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mc:AlternateContent xmlns:mc="http://schemas.openxmlformats.org/markup-compatibility/2006">
    <mc:Choice Requires="x15">
      <x15ac:absPath xmlns:x15ac="http://schemas.microsoft.com/office/spreadsheetml/2010/11/ac" url="https://zhaw-my.sharepoint.com/personal/stck_zhaw_ch/Documents/IEA PVPS Task 12/IEA_PVPS_T12_LCI_online/"/>
    </mc:Choice>
  </mc:AlternateContent>
  <xr:revisionPtr revIDLastSave="16847" documentId="120_S{02A262C8-B6EA-5A2B-88CB-6D10208F6E6B}" xr6:coauthVersionLast="47" xr6:coauthVersionMax="47" xr10:uidLastSave="{B49DED79-3437-4AD3-8229-182610239C0A}"/>
  <bookViews>
    <workbookView xWindow="-120" yWindow="-120" windowWidth="38640" windowHeight="21120" tabRatio="890" xr2:uid="{8626E9A1-EB96-4DF4-9E77-DF82A1676448}"/>
  </bookViews>
  <sheets>
    <sheet name="Intro" sheetId="127" r:id="rId1"/>
    <sheet name="Bill-of-Materials_c-Si" sheetId="4" r:id="rId2"/>
    <sheet name="Bill-of-Materials_CdTe" sheetId="126" r:id="rId3"/>
    <sheet name="X-NF3" sheetId="5" r:id="rId4"/>
    <sheet name="X-NF3-wastewater" sheetId="6" r:id="rId5"/>
    <sheet name="X-fluor" sheetId="7" r:id="rId6"/>
    <sheet name="X-PVB foil" sheetId="8" r:id="rId7"/>
    <sheet name="X-PVB" sheetId="9" r:id="rId8"/>
    <sheet name="X-PVA" sheetId="10" r:id="rId9"/>
    <sheet name="X-emulsion polymerisation" sheetId="11" r:id="rId10"/>
    <sheet name="X-silane" sheetId="12" r:id="rId11"/>
    <sheet name="X-MG-Si" sheetId="14" r:id="rId12"/>
    <sheet name="X-SoG-Si" sheetId="15" r:id="rId13"/>
    <sheet name="X-Si-Market" sheetId="17" r:id="rId14"/>
    <sheet name="X-single-Si-ingots" sheetId="18" r:id="rId15"/>
    <sheet name="X-mc-Si" sheetId="19" r:id="rId16"/>
    <sheet name="X-single-Si-brick" sheetId="20" r:id="rId17"/>
    <sheet name="X-silicon-factory" sheetId="21" r:id="rId18"/>
    <sheet name="X-factory-ancillary-building" sheetId="22" r:id="rId19"/>
    <sheet name="X-wafer-factory" sheetId="23" r:id="rId20"/>
    <sheet name="X-wafer_mono-Si" sheetId="24" r:id="rId21"/>
    <sheet name="X-wafer-market" sheetId="25" r:id="rId22"/>
    <sheet name="X-paste" sheetId="26" r:id="rId23"/>
    <sheet name="X-cell-factory" sheetId="27" r:id="rId24"/>
    <sheet name="X-cell_mono-Si_TOPCon" sheetId="28" r:id="rId25"/>
    <sheet name="X-cell_mono-Si_PERC" sheetId="29" r:id="rId26"/>
    <sheet name="X-cell-market" sheetId="30" r:id="rId27"/>
    <sheet name="X-panel-factory" sheetId="31" r:id="rId28"/>
    <sheet name="X-panel_mono-Si_TOPCon" sheetId="32" r:id="rId29"/>
    <sheet name="X-panel_mono-Si_PERC" sheetId="33" r:id="rId30"/>
    <sheet name="X-panel-market-RER" sheetId="34" r:id="rId31"/>
    <sheet name="X-panel-market-US" sheetId="35" r:id="rId32"/>
    <sheet name="X-panel-market-APAC" sheetId="36" r:id="rId33"/>
    <sheet name="cSi-Production-2024" sheetId="38" r:id="rId34"/>
    <sheet name="X-CdTe (Series 6)" sheetId="44" r:id="rId35"/>
    <sheet name="X-CdTe (Series 7)" sheetId="46" r:id="rId36"/>
    <sheet name="X-CdTe-RER" sheetId="48" r:id="rId37"/>
    <sheet name="X-CdTe-US" sheetId="49" r:id="rId38"/>
    <sheet name="X-perovskite" sheetId="51" r:id="rId39"/>
    <sheet name="X-methyl-iodide" sheetId="52" r:id="rId40"/>
    <sheet name="X-iodine" sheetId="53" r:id="rId41"/>
    <sheet name="X-ethylene-bromide" sheetId="54" r:id="rId42"/>
    <sheet name="X-bromine" sheetId="55" r:id="rId43"/>
    <sheet name="X-Recycling-cSi" sheetId="56" r:id="rId44"/>
    <sheet name="X-AvoidedBurden-cSi" sheetId="57" r:id="rId45"/>
    <sheet name="X-Treatment-cSi" sheetId="58" r:id="rId46"/>
    <sheet name="X-Recycling-CdTe" sheetId="59" r:id="rId47"/>
    <sheet name="X-AvoidedBurden-CdTe" sheetId="60" r:id="rId48"/>
    <sheet name="X-Treatment-CdTe" sheetId="61" r:id="rId49"/>
    <sheet name="X-Montage" sheetId="62" r:id="rId50"/>
    <sheet name="X-Montage-utility" sheetId="106" r:id="rId51"/>
    <sheet name="X-electric" sheetId="65" r:id="rId52"/>
    <sheet name="X-electric-utility" sheetId="104" r:id="rId53"/>
    <sheet name="X-inverter" sheetId="67" r:id="rId54"/>
    <sheet name="X-transformer-utility" sheetId="124" r:id="rId55"/>
    <sheet name="X-singleSi-plants-GLO" sheetId="69" r:id="rId56"/>
    <sheet name="X-singleSi-plants-RER" sheetId="97" r:id="rId57"/>
    <sheet name="X-singleSi-plants-US" sheetId="71" r:id="rId58"/>
    <sheet name="X-singleSi-plants-APAC" sheetId="98" r:id="rId59"/>
    <sheet name="X-singleSi-plants-CN" sheetId="74" r:id="rId60"/>
    <sheet name="X-multiSi-plants-GLO" sheetId="75" r:id="rId61"/>
    <sheet name="X-multiSi-plants-RER" sheetId="76" r:id="rId62"/>
    <sheet name="X-multiSi-plants-US" sheetId="77" r:id="rId63"/>
    <sheet name="X-multiSi-plants-APAC" sheetId="78" r:id="rId64"/>
    <sheet name="X-multiSi-plants-CN" sheetId="79" r:id="rId65"/>
    <sheet name="X-CdTe-plants-GLO" sheetId="83" r:id="rId66"/>
    <sheet name="X-CdTe-plants-RER" sheetId="84" r:id="rId67"/>
    <sheet name="electricity-mixes-data" sheetId="85" r:id="rId68"/>
    <sheet name="electricity-mixes-shares" sheetId="86" r:id="rId69"/>
    <sheet name="X-elec-CH_production-mix" sheetId="110" r:id="rId70"/>
    <sheet name="X-elec-REF" sheetId="123" r:id="rId71"/>
    <sheet name="X-elec-RER" sheetId="90" r:id="rId72"/>
    <sheet name="X-elec-Americas" sheetId="91" r:id="rId73"/>
    <sheet name="X-elec-APAC" sheetId="92" r:id="rId74"/>
    <sheet name="X-elec-CN" sheetId="93" r:id="rId75"/>
    <sheet name="X-Process" sheetId="94" r:id="rId76"/>
    <sheet name="X-Source" sheetId="95" r:id="rId77"/>
    <sheet name="X-Person" sheetId="96" r:id="rId78"/>
  </sheets>
  <definedNames>
    <definedName name="\P">#REF!</definedName>
    <definedName name="amount_inverter">#REF!</definedName>
    <definedName name="BS_Timber">#REF!</definedName>
    <definedName name="Cass_to_clean">#REF!</definedName>
    <definedName name="CdTe_module_correction_factor">#REF!</definedName>
    <definedName name="cell_infra">#REF!</definedName>
    <definedName name="Cent_to_Cass">#REF!</definedName>
    <definedName name="Clean_to_Cent">#REF!</definedName>
    <definedName name="cleaning_of_20_substrates">#REF!</definedName>
    <definedName name="correction_yield">#REF!</definedName>
    <definedName name="COSTSUM">#REF!</definedName>
    <definedName name="Cur.Mo">#REF!</definedName>
    <definedName name="degradation" localSheetId="69">'X-elec-CH_production-mix'!#REF!</definedName>
    <definedName name="degradation" localSheetId="70">'X-elec-REF'!#REF!</definedName>
    <definedName name="degradation">#REF!</definedName>
    <definedName name="disposal_panel">#REF!</definedName>
    <definedName name="dollar">#REF!</definedName>
    <definedName name="efficiency">#REF!</definedName>
    <definedName name="effluent_cell">#REF!</definedName>
    <definedName name="Electricity_savings">#REF!</definedName>
    <definedName name="entry">#REF!</definedName>
    <definedName name="eric">#REF!</definedName>
    <definedName name="Ertrag_CH">#REF!</definedName>
    <definedName name="EV__EVCOM_OPTIONS__" hidden="1">8</definedName>
    <definedName name="EV__EXPOPTIONS__" hidden="1">1</definedName>
    <definedName name="EV__LASTREFTIME__" hidden="1">40169.6767939815</definedName>
    <definedName name="EV__MAXEXPCOLS__" hidden="1">100</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xchange_LL_with_Cent">#REF!</definedName>
    <definedName name="ext_cost">#REF!</definedName>
    <definedName name="Fassade">#REF!</definedName>
    <definedName name="generator">#REF!</definedName>
    <definedName name="GM_Cz_Wafer_Kerfloss">#REF!</definedName>
    <definedName name="i_wafer_m2">#REF!</definedName>
    <definedName name="inverter">#REF!</definedName>
    <definedName name="lifetime" localSheetId="69">'X-elec-CH_production-mix'!#REF!</definedName>
    <definedName name="lifetime" localSheetId="70">'X-elec-REF'!#REF!</definedName>
    <definedName name="lifetime">#REF!</definedName>
    <definedName name="Lifetime_FactoryBuildings">#REF!</definedName>
    <definedName name="LOCATION">#REF!</definedName>
    <definedName name="mariska">#REF!</definedName>
    <definedName name="MEWarning" hidden="1">1</definedName>
    <definedName name="module_infra">#REF!</definedName>
    <definedName name="name_is_208">"Linie 208"</definedName>
    <definedName name="names">#REF!</definedName>
    <definedName name="New_Cz_Wafer_Kerfloss">#REF!</definedName>
    <definedName name="New_Wafer_pitch">#REF!</definedName>
    <definedName name="new_wastewater">#REF!</definedName>
    <definedName name="ParetoDB4">#REF!</definedName>
    <definedName name="ParetoGLT">#REF!</definedName>
    <definedName name="pcSi_m2">#REF!</definedName>
    <definedName name="Pump">#REF!</definedName>
    <definedName name="review">#REF!</definedName>
    <definedName name="review2009">#REF!</definedName>
    <definedName name="Schrägdach">#REF!</definedName>
    <definedName name="SF6_em_operation">#REF!</definedName>
    <definedName name="Si_m2">#REF!</definedName>
    <definedName name="source">#REF!</definedName>
    <definedName name="SourceNumber">#REF!</definedName>
    <definedName name="stromverlust" localSheetId="69">'X-elec-CH_production-mix'!#REF!</definedName>
    <definedName name="stromverlust" localSheetId="70">'X-elec-REF'!#REF!</definedName>
    <definedName name="stromverlust">#REF!</definedName>
    <definedName name="t_Exchange">#REF!</definedName>
    <definedName name="t_load4react">#REF!</definedName>
    <definedName name="travel_cost">#REF!</definedName>
    <definedName name="trips">#REF!</definedName>
    <definedName name="UNITS">#REF!</definedName>
    <definedName name="Validator">#REF!</definedName>
    <definedName name="Vent">#REF!</definedName>
    <definedName name="VI">#REF!</definedName>
    <definedName name="Wafer_pitch_ratio_New_GM">#REF!</definedName>
    <definedName name="yieldfacade" localSheetId="69">'X-elec-CH_production-mix'!#REF!</definedName>
    <definedName name="yieldfacade" localSheetId="70">'X-elec-REF'!#REF!</definedName>
    <definedName name="yieldrooftop" localSheetId="69">'X-elec-CH_production-mix'!#REF!</definedName>
    <definedName name="yieldrooftop" localSheetId="70">'X-elec-REF'!#REF!</definedName>
    <definedName name="Z_0111E7B5_3E0B_11D4_8303_000102284B93_.wvu.PrintArea" hidden="1">#REF!</definedName>
    <definedName name="Z_011E7B5_3E0B_11D4_8303_000102284B94" localSheetId="47" hidden="1">#REF!</definedName>
    <definedName name="Z_011E7B5_3E0B_11D4_8303_000102284B94" localSheetId="44" hidden="1">#REF!</definedName>
    <definedName name="Z_011E7B5_3E0B_11D4_8303_000102284B94" localSheetId="42" hidden="1">#REF!</definedName>
    <definedName name="Z_011E7B5_3E0B_11D4_8303_000102284B94" localSheetId="41" hidden="1">#REF!</definedName>
    <definedName name="Z_011E7B5_3E0B_11D4_8303_000102284B94" localSheetId="40" hidden="1">#REF!</definedName>
    <definedName name="Z_011E7B5_3E0B_11D4_8303_000102284B94" localSheetId="39" hidden="1">#REF!</definedName>
    <definedName name="Z_011E7B5_3E0B_11D4_8303_000102284B94" localSheetId="38" hidden="1">#REF!</definedName>
    <definedName name="Z_011E7B5_3E0B_11D4_8303_000102284B94" localSheetId="46" hidden="1">#REF!</definedName>
    <definedName name="Z_011E7B5_3E0B_11D4_8303_000102284B94" localSheetId="48" hidden="1">#REF!</definedName>
    <definedName name="Z_011E7B5_3E0B_11D4_8303_000102284B94" localSheetId="45" hidden="1">#REF!</definedName>
    <definedName name="Z_011E7B5_3E0B_11D4_8303_000102284B94" hidden="1">#REF!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Y36" i="94" l="1"/>
  <c r="JO36" i="94"/>
  <c r="JO14" i="94"/>
  <c r="FH34" i="94"/>
  <c r="FH32" i="94"/>
  <c r="FH31" i="94"/>
  <c r="FH18" i="94"/>
  <c r="FH14" i="94"/>
  <c r="L38" i="91" l="1"/>
  <c r="F35" i="85"/>
  <c r="G35" i="85"/>
  <c r="I35" i="85"/>
  <c r="J35" i="85" s="1"/>
  <c r="U35" i="85"/>
  <c r="V35" i="85"/>
  <c r="W35" i="85"/>
  <c r="X35" i="85"/>
  <c r="Y35" i="85"/>
  <c r="Z35" i="85"/>
  <c r="AA35" i="85"/>
  <c r="AB35" i="85"/>
  <c r="AC35" i="85"/>
  <c r="AD35" i="85"/>
  <c r="F36" i="85"/>
  <c r="G36" i="85"/>
  <c r="I36" i="85"/>
  <c r="J36" i="85" s="1"/>
  <c r="Q36" i="85"/>
  <c r="R36" i="85" s="1"/>
  <c r="T36" i="85" s="1"/>
  <c r="U36" i="85"/>
  <c r="V36" i="85"/>
  <c r="W36" i="85"/>
  <c r="X36" i="85"/>
  <c r="Y36" i="85"/>
  <c r="Z36" i="85"/>
  <c r="AA36" i="85"/>
  <c r="AB36" i="85"/>
  <c r="AC36" i="85"/>
  <c r="AD36" i="85"/>
  <c r="F37" i="85"/>
  <c r="G37" i="85"/>
  <c r="I37" i="85"/>
  <c r="J37" i="85" s="1"/>
  <c r="Q37" i="85"/>
  <c r="R37" i="85" s="1"/>
  <c r="U37" i="85"/>
  <c r="V37" i="85"/>
  <c r="W37" i="85"/>
  <c r="X37" i="85"/>
  <c r="Y37" i="85"/>
  <c r="Z37" i="85"/>
  <c r="AA37" i="85"/>
  <c r="AB37" i="85"/>
  <c r="AC37" i="85"/>
  <c r="AD37" i="85"/>
  <c r="F38" i="85"/>
  <c r="G38" i="85"/>
  <c r="I38" i="85"/>
  <c r="K38" i="85" s="1"/>
  <c r="J38" i="85"/>
  <c r="Q38" i="85"/>
  <c r="R38" i="85" s="1"/>
  <c r="U38" i="85"/>
  <c r="V38" i="85"/>
  <c r="W38" i="85"/>
  <c r="X38" i="85"/>
  <c r="Y38" i="85"/>
  <c r="Z38" i="85"/>
  <c r="AA38" i="85"/>
  <c r="AB38" i="85"/>
  <c r="AC38" i="85"/>
  <c r="AD38" i="85"/>
  <c r="F39" i="85"/>
  <c r="G39" i="85"/>
  <c r="I39" i="85"/>
  <c r="J39" i="85" s="1"/>
  <c r="Q39" i="85"/>
  <c r="R39" i="85" s="1"/>
  <c r="U39" i="85"/>
  <c r="V39" i="85"/>
  <c r="W39" i="85"/>
  <c r="X39" i="85"/>
  <c r="Y39" i="85"/>
  <c r="Z39" i="85"/>
  <c r="AA39" i="85"/>
  <c r="AB39" i="85"/>
  <c r="AC39" i="85"/>
  <c r="AD39" i="85"/>
  <c r="F40" i="85"/>
  <c r="G40" i="85"/>
  <c r="I40" i="85"/>
  <c r="J40" i="85" s="1"/>
  <c r="K40" i="85"/>
  <c r="Q40" i="85"/>
  <c r="R40" i="85" s="1"/>
  <c r="U40" i="85"/>
  <c r="V40" i="85"/>
  <c r="W40" i="85"/>
  <c r="X40" i="85"/>
  <c r="Y40" i="85"/>
  <c r="Z40" i="85"/>
  <c r="AA40" i="85"/>
  <c r="AB40" i="85"/>
  <c r="AC40" i="85"/>
  <c r="AD40" i="85"/>
  <c r="F41" i="85"/>
  <c r="G41" i="85"/>
  <c r="J41" i="85"/>
  <c r="K41" i="85"/>
  <c r="Q41" i="85"/>
  <c r="R41" i="85" s="1"/>
  <c r="T41" i="85" s="1"/>
  <c r="U41" i="85"/>
  <c r="V41" i="85"/>
  <c r="W41" i="85"/>
  <c r="X41" i="85"/>
  <c r="Y41" i="85"/>
  <c r="Z41" i="85"/>
  <c r="AA41" i="85"/>
  <c r="AB41" i="85"/>
  <c r="AC41" i="85"/>
  <c r="AD41" i="85"/>
  <c r="F42" i="85"/>
  <c r="G42" i="85"/>
  <c r="I42" i="85"/>
  <c r="K42" i="85" s="1"/>
  <c r="Q42" i="85"/>
  <c r="R42" i="85" s="1"/>
  <c r="U42" i="85"/>
  <c r="V42" i="85"/>
  <c r="W42" i="85"/>
  <c r="X42" i="85"/>
  <c r="Y42" i="85"/>
  <c r="Z42" i="85"/>
  <c r="AA42" i="85"/>
  <c r="AB42" i="85"/>
  <c r="AC42" i="85"/>
  <c r="AD42" i="85"/>
  <c r="F43" i="85"/>
  <c r="G43" i="85"/>
  <c r="I43" i="85"/>
  <c r="K43" i="85" s="1"/>
  <c r="J43" i="85"/>
  <c r="Q43" i="85"/>
  <c r="R43" i="85" s="1"/>
  <c r="U43" i="85"/>
  <c r="V43" i="85"/>
  <c r="W43" i="85"/>
  <c r="X43" i="85"/>
  <c r="Y43" i="85"/>
  <c r="Z43" i="85"/>
  <c r="AA43" i="85"/>
  <c r="AB43" i="85"/>
  <c r="AC43" i="85"/>
  <c r="AD43" i="85"/>
  <c r="F44" i="85"/>
  <c r="G44" i="85"/>
  <c r="I44" i="85"/>
  <c r="J44" i="85" s="1"/>
  <c r="Q44" i="85"/>
  <c r="U44" i="85"/>
  <c r="V44" i="85"/>
  <c r="W44" i="85"/>
  <c r="X44" i="85"/>
  <c r="Y44" i="85"/>
  <c r="Z44" i="85"/>
  <c r="AA44" i="85"/>
  <c r="AB44" i="85"/>
  <c r="AC44" i="85"/>
  <c r="AD44" i="85"/>
  <c r="F45" i="85"/>
  <c r="G45" i="85"/>
  <c r="I45" i="85"/>
  <c r="J45" i="85" s="1"/>
  <c r="Q45" i="85"/>
  <c r="R45" i="85" s="1"/>
  <c r="X45" i="85"/>
  <c r="Y45" i="85"/>
  <c r="AC45" i="85"/>
  <c r="AD45" i="85"/>
  <c r="F46" i="85"/>
  <c r="G46" i="85"/>
  <c r="I46" i="85"/>
  <c r="J46" i="85" s="1"/>
  <c r="Q46" i="85"/>
  <c r="R46" i="85" s="1"/>
  <c r="I47" i="85"/>
  <c r="AK47" i="85"/>
  <c r="AK35" i="85" s="1"/>
  <c r="AL47" i="85"/>
  <c r="AL36" i="85" s="1"/>
  <c r="C54" i="85"/>
  <c r="B55" i="85"/>
  <c r="B56" i="85" s="1"/>
  <c r="B57" i="85" s="1"/>
  <c r="B58" i="85" s="1"/>
  <c r="B59" i="85" s="1"/>
  <c r="B60" i="85" s="1"/>
  <c r="B61" i="85" s="1"/>
  <c r="B62" i="85" s="1"/>
  <c r="B63" i="85" s="1"/>
  <c r="B64" i="85" s="1"/>
  <c r="B65" i="85" s="1"/>
  <c r="B66" i="85" s="1"/>
  <c r="B67" i="85" s="1"/>
  <c r="B68" i="85" s="1"/>
  <c r="B69" i="85" s="1"/>
  <c r="B70" i="85" s="1"/>
  <c r="B71" i="85" s="1"/>
  <c r="B72" i="85" s="1"/>
  <c r="B73" i="85" s="1"/>
  <c r="B74" i="85" s="1"/>
  <c r="B75" i="85" s="1"/>
  <c r="B76" i="85" s="1"/>
  <c r="B77" i="85" s="1"/>
  <c r="B78" i="85" s="1"/>
  <c r="B79" i="85" s="1"/>
  <c r="B80" i="85" s="1"/>
  <c r="B81" i="85" s="1"/>
  <c r="B82" i="85" s="1"/>
  <c r="B83" i="85" s="1"/>
  <c r="F10" i="85"/>
  <c r="G10" i="85"/>
  <c r="I10" i="85"/>
  <c r="Q10" i="85"/>
  <c r="R10" i="85" s="1"/>
  <c r="S10" i="85" s="1"/>
  <c r="U10" i="85"/>
  <c r="V10" i="85"/>
  <c r="W10" i="85"/>
  <c r="X10" i="85"/>
  <c r="Y10" i="85"/>
  <c r="Z10" i="85"/>
  <c r="AA10" i="85"/>
  <c r="AB10" i="85"/>
  <c r="AC10" i="85"/>
  <c r="AD10" i="85"/>
  <c r="F11" i="85"/>
  <c r="G11" i="85"/>
  <c r="I11" i="85"/>
  <c r="J11" i="85" s="1"/>
  <c r="Q11" i="85"/>
  <c r="R11" i="85" s="1"/>
  <c r="T11" i="85" s="1"/>
  <c r="AJ11" i="85" s="1"/>
  <c r="U11" i="85"/>
  <c r="V11" i="85"/>
  <c r="W11" i="85"/>
  <c r="X11" i="85"/>
  <c r="Y11" i="85"/>
  <c r="Z11" i="85"/>
  <c r="AA11" i="85"/>
  <c r="AB11" i="85"/>
  <c r="AC11" i="85"/>
  <c r="AD11" i="85"/>
  <c r="AL11" i="85"/>
  <c r="F12" i="85"/>
  <c r="G12" i="85"/>
  <c r="I12" i="85"/>
  <c r="J12" i="85" s="1"/>
  <c r="Q12" i="85"/>
  <c r="R12" i="85" s="1"/>
  <c r="U12" i="85"/>
  <c r="V12" i="85"/>
  <c r="W12" i="85"/>
  <c r="X12" i="85"/>
  <c r="Y12" i="85"/>
  <c r="Z12" i="85"/>
  <c r="AA12" i="85"/>
  <c r="AB12" i="85"/>
  <c r="AC12" i="85"/>
  <c r="AD12" i="85"/>
  <c r="AL12" i="85"/>
  <c r="F13" i="85"/>
  <c r="G13" i="85"/>
  <c r="I13" i="85"/>
  <c r="J13" i="85" s="1"/>
  <c r="Q13" i="85"/>
  <c r="R13" i="85" s="1"/>
  <c r="F14" i="85"/>
  <c r="G14" i="85"/>
  <c r="I14" i="85"/>
  <c r="Q14" i="85"/>
  <c r="R14" i="85" s="1"/>
  <c r="T14" i="85" s="1"/>
  <c r="U14" i="85"/>
  <c r="V14" i="85"/>
  <c r="W14" i="85"/>
  <c r="X14" i="85"/>
  <c r="Y14" i="85"/>
  <c r="Z14" i="85"/>
  <c r="AA14" i="85"/>
  <c r="AB14" i="85"/>
  <c r="AC14" i="85"/>
  <c r="AD14" i="85"/>
  <c r="AK14" i="85"/>
  <c r="F15" i="85"/>
  <c r="G15" i="85"/>
  <c r="I15" i="85"/>
  <c r="J15" i="85" s="1"/>
  <c r="Q15" i="85"/>
  <c r="R15" i="85" s="1"/>
  <c r="S15" i="85" s="1"/>
  <c r="U15" i="85"/>
  <c r="V15" i="85"/>
  <c r="W15" i="85"/>
  <c r="X15" i="85"/>
  <c r="Y15" i="85"/>
  <c r="Z15" i="85"/>
  <c r="AA15" i="85"/>
  <c r="AB15" i="85"/>
  <c r="AC15" i="85"/>
  <c r="AD15" i="85"/>
  <c r="AK15" i="85"/>
  <c r="F16" i="85"/>
  <c r="G16" i="85"/>
  <c r="I16" i="85"/>
  <c r="J16" i="85" s="1"/>
  <c r="Q16" i="85"/>
  <c r="U16" i="85"/>
  <c r="V16" i="85"/>
  <c r="W16" i="85"/>
  <c r="X16" i="85"/>
  <c r="Y16" i="85"/>
  <c r="Z16" i="85"/>
  <c r="AA16" i="85"/>
  <c r="AB16" i="85"/>
  <c r="AC16" i="85"/>
  <c r="AD16" i="85"/>
  <c r="AK16" i="85"/>
  <c r="F17" i="85"/>
  <c r="G17" i="85"/>
  <c r="I17" i="85"/>
  <c r="J17" i="85" s="1"/>
  <c r="U17" i="85"/>
  <c r="V17" i="85"/>
  <c r="W17" i="85"/>
  <c r="X17" i="85"/>
  <c r="Y17" i="85"/>
  <c r="Z17" i="85"/>
  <c r="AA17" i="85"/>
  <c r="AB17" i="85"/>
  <c r="AC17" i="85"/>
  <c r="AD17" i="85"/>
  <c r="F18" i="85"/>
  <c r="G18" i="85"/>
  <c r="I18" i="85"/>
  <c r="K18" i="85" s="1"/>
  <c r="Q18" i="85"/>
  <c r="R18" i="85" s="1"/>
  <c r="U18" i="85"/>
  <c r="V18" i="85"/>
  <c r="W18" i="85"/>
  <c r="X18" i="85"/>
  <c r="Y18" i="85"/>
  <c r="Z18" i="85"/>
  <c r="AA18" i="85"/>
  <c r="AB18" i="85"/>
  <c r="AC18" i="85"/>
  <c r="AD18" i="85"/>
  <c r="F19" i="85"/>
  <c r="G19" i="85"/>
  <c r="I19" i="85"/>
  <c r="J19" i="85" s="1"/>
  <c r="Q19" i="85"/>
  <c r="U19" i="85"/>
  <c r="V19" i="85"/>
  <c r="W19" i="85"/>
  <c r="X19" i="85"/>
  <c r="Y19" i="85"/>
  <c r="Z19" i="85"/>
  <c r="AA19" i="85"/>
  <c r="AB19" i="85"/>
  <c r="AC19" i="85"/>
  <c r="AD19" i="85"/>
  <c r="F20" i="85"/>
  <c r="G20" i="85"/>
  <c r="I20" i="85"/>
  <c r="J20" i="85" s="1"/>
  <c r="Q20" i="85"/>
  <c r="R20" i="85" s="1"/>
  <c r="U20" i="85"/>
  <c r="V20" i="85"/>
  <c r="W20" i="85"/>
  <c r="X20" i="85"/>
  <c r="Y20" i="85"/>
  <c r="Z20" i="85"/>
  <c r="AA20" i="85"/>
  <c r="AB20" i="85"/>
  <c r="AC20" i="85"/>
  <c r="AD20" i="85"/>
  <c r="AK20" i="85"/>
  <c r="F21" i="85"/>
  <c r="G21" i="85"/>
  <c r="I21" i="85"/>
  <c r="J21" i="85" s="1"/>
  <c r="Q21" i="85"/>
  <c r="R21" i="85" s="1"/>
  <c r="T21" i="85" s="1"/>
  <c r="U21" i="85"/>
  <c r="V21" i="85"/>
  <c r="W21" i="85"/>
  <c r="X21" i="85"/>
  <c r="Y21" i="85"/>
  <c r="Z21" i="85"/>
  <c r="AA21" i="85"/>
  <c r="AB21" i="85"/>
  <c r="AC21" i="85"/>
  <c r="AD21" i="85"/>
  <c r="F22" i="85"/>
  <c r="G22" i="85"/>
  <c r="I22" i="85"/>
  <c r="J22" i="85" s="1"/>
  <c r="U22" i="85"/>
  <c r="V22" i="85"/>
  <c r="W22" i="85"/>
  <c r="X22" i="85"/>
  <c r="Y22" i="85"/>
  <c r="Z22" i="85"/>
  <c r="AA22" i="85"/>
  <c r="AB22" i="85"/>
  <c r="AC22" i="85"/>
  <c r="AD22" i="85"/>
  <c r="AL22" i="85"/>
  <c r="F23" i="85"/>
  <c r="G23" i="85"/>
  <c r="I23" i="85"/>
  <c r="J23" i="85" s="1"/>
  <c r="U23" i="85"/>
  <c r="V23" i="85"/>
  <c r="W23" i="85"/>
  <c r="X23" i="85"/>
  <c r="Y23" i="85"/>
  <c r="Z23" i="85"/>
  <c r="AA23" i="85"/>
  <c r="AB23" i="85"/>
  <c r="AC23" i="85"/>
  <c r="AD23" i="85"/>
  <c r="AK23" i="85"/>
  <c r="F24" i="85"/>
  <c r="G24" i="85"/>
  <c r="I24" i="85"/>
  <c r="K24" i="85" s="1"/>
  <c r="Q24" i="85"/>
  <c r="F25" i="85"/>
  <c r="G25" i="85"/>
  <c r="I25" i="85"/>
  <c r="J25" i="85" s="1"/>
  <c r="U25" i="85"/>
  <c r="V25" i="85"/>
  <c r="W25" i="85"/>
  <c r="X25" i="85"/>
  <c r="Y25" i="85"/>
  <c r="Z25" i="85"/>
  <c r="AA25" i="85"/>
  <c r="AB25" i="85"/>
  <c r="AC25" i="85"/>
  <c r="AD25" i="85"/>
  <c r="AK25" i="85"/>
  <c r="F26" i="85"/>
  <c r="G26" i="85"/>
  <c r="I26" i="85"/>
  <c r="J26" i="85" s="1"/>
  <c r="Q26" i="85"/>
  <c r="R26" i="85" s="1"/>
  <c r="S26" i="85" s="1"/>
  <c r="U26" i="85"/>
  <c r="V26" i="85"/>
  <c r="W26" i="85"/>
  <c r="X26" i="85"/>
  <c r="Y26" i="85"/>
  <c r="Z26" i="85"/>
  <c r="AA26" i="85"/>
  <c r="AB26" i="85"/>
  <c r="AC26" i="85"/>
  <c r="AD26" i="85"/>
  <c r="AK26" i="85"/>
  <c r="F27" i="85"/>
  <c r="G27" i="85"/>
  <c r="I27" i="85"/>
  <c r="J27" i="85" s="1"/>
  <c r="Q27" i="85"/>
  <c r="R27" i="85" s="1"/>
  <c r="U27" i="85"/>
  <c r="V27" i="85"/>
  <c r="W27" i="85"/>
  <c r="X27" i="85"/>
  <c r="Y27" i="85"/>
  <c r="Z27" i="85"/>
  <c r="AA27" i="85"/>
  <c r="AB27" i="85"/>
  <c r="AC27" i="85"/>
  <c r="AD27" i="85"/>
  <c r="F28" i="85"/>
  <c r="G28" i="85"/>
  <c r="I28" i="85"/>
  <c r="J28" i="85" s="1"/>
  <c r="Q28" i="85"/>
  <c r="R28" i="85" s="1"/>
  <c r="T28" i="85" s="1"/>
  <c r="U28" i="85"/>
  <c r="V28" i="85"/>
  <c r="W28" i="85"/>
  <c r="X28" i="85"/>
  <c r="Y28" i="85"/>
  <c r="Z28" i="85"/>
  <c r="AA28" i="85"/>
  <c r="AB28" i="85"/>
  <c r="AC28" i="85"/>
  <c r="AD28" i="85"/>
  <c r="F29" i="85"/>
  <c r="G29" i="85"/>
  <c r="I29" i="85"/>
  <c r="J29" i="85" s="1"/>
  <c r="Q29" i="85"/>
  <c r="R29" i="85" s="1"/>
  <c r="U29" i="85"/>
  <c r="V29" i="85"/>
  <c r="W29" i="85"/>
  <c r="X29" i="85"/>
  <c r="Y29" i="85"/>
  <c r="Z29" i="85"/>
  <c r="AA29" i="85"/>
  <c r="AB29" i="85"/>
  <c r="AC29" i="85"/>
  <c r="AD29" i="85"/>
  <c r="I30" i="85"/>
  <c r="J30" i="85" s="1"/>
  <c r="U30" i="85"/>
  <c r="V30" i="85"/>
  <c r="W30" i="85"/>
  <c r="X30" i="85"/>
  <c r="Y30" i="85"/>
  <c r="Z30" i="85"/>
  <c r="AA30" i="85"/>
  <c r="AB30" i="85"/>
  <c r="AC30" i="85"/>
  <c r="AD30" i="85"/>
  <c r="F31" i="85"/>
  <c r="G31" i="85"/>
  <c r="I31" i="85"/>
  <c r="J31" i="85" s="1"/>
  <c r="Q31" i="85"/>
  <c r="R31" i="85" s="1"/>
  <c r="U31" i="85"/>
  <c r="V31" i="85"/>
  <c r="W31" i="85"/>
  <c r="X31" i="85"/>
  <c r="Y31" i="85"/>
  <c r="Z31" i="85"/>
  <c r="AA31" i="85"/>
  <c r="AB31" i="85"/>
  <c r="AC31" i="85"/>
  <c r="AD31" i="85"/>
  <c r="AK31" i="85"/>
  <c r="F32" i="85"/>
  <c r="G32" i="85"/>
  <c r="I32" i="85"/>
  <c r="J32" i="85" s="1"/>
  <c r="Q32" i="85"/>
  <c r="R32" i="85" s="1"/>
  <c r="U32" i="85"/>
  <c r="V32" i="85"/>
  <c r="W32" i="85"/>
  <c r="X32" i="85"/>
  <c r="Y32" i="85"/>
  <c r="Z32" i="85"/>
  <c r="AA32" i="85"/>
  <c r="AB32" i="85"/>
  <c r="AC32" i="85"/>
  <c r="AD32" i="85"/>
  <c r="F33" i="85"/>
  <c r="G33" i="85"/>
  <c r="I33" i="85"/>
  <c r="J33" i="85" s="1"/>
  <c r="Q33" i="85"/>
  <c r="R33" i="85" s="1"/>
  <c r="F34" i="85"/>
  <c r="G34" i="85"/>
  <c r="I34" i="85"/>
  <c r="J34" i="85" s="1"/>
  <c r="Q34" i="85"/>
  <c r="R34" i="85" s="1"/>
  <c r="U34" i="85"/>
  <c r="V34" i="85"/>
  <c r="W34" i="85"/>
  <c r="X34" i="85"/>
  <c r="Y34" i="85"/>
  <c r="Z34" i="85"/>
  <c r="AA34" i="85"/>
  <c r="AB34" i="85"/>
  <c r="AC34" i="85"/>
  <c r="AD34" i="85"/>
  <c r="AK34" i="85"/>
  <c r="H53" i="69"/>
  <c r="I54" i="69"/>
  <c r="G57" i="69"/>
  <c r="Q27" i="69"/>
  <c r="U27" i="69"/>
  <c r="X27" i="69"/>
  <c r="Y27" i="69"/>
  <c r="AB27" i="69"/>
  <c r="AF27" i="69"/>
  <c r="AG27" i="69"/>
  <c r="AH27" i="69"/>
  <c r="AJ27" i="69"/>
  <c r="AV27" i="69"/>
  <c r="AW27" i="69"/>
  <c r="M27" i="69" s="1"/>
  <c r="AX27" i="69"/>
  <c r="V27" i="69" s="1"/>
  <c r="Q28" i="69"/>
  <c r="X28" i="69"/>
  <c r="AB28" i="69"/>
  <c r="AF28" i="69"/>
  <c r="AV28" i="69"/>
  <c r="AW28" i="69"/>
  <c r="AC28" i="69" s="1"/>
  <c r="Q29" i="69"/>
  <c r="X29" i="69"/>
  <c r="AB29" i="69"/>
  <c r="AF29" i="69"/>
  <c r="AV29" i="69"/>
  <c r="AW29" i="69"/>
  <c r="Y29" i="69" s="1"/>
  <c r="Q30" i="69"/>
  <c r="U30" i="69"/>
  <c r="X30" i="69"/>
  <c r="Y30" i="69"/>
  <c r="AB30" i="69"/>
  <c r="AF30" i="69"/>
  <c r="AG30" i="69"/>
  <c r="AJ30" i="69"/>
  <c r="AV30" i="69"/>
  <c r="AW30" i="69"/>
  <c r="M30" i="69" s="1"/>
  <c r="Q31" i="69"/>
  <c r="U31" i="69"/>
  <c r="X31" i="69"/>
  <c r="Y31" i="69"/>
  <c r="AB31" i="69"/>
  <c r="AC31" i="69"/>
  <c r="AF31" i="69"/>
  <c r="AG31" i="69"/>
  <c r="AJ31" i="69"/>
  <c r="AV31" i="69"/>
  <c r="AW31" i="69"/>
  <c r="M31" i="69" s="1"/>
  <c r="M32" i="69"/>
  <c r="Q32" i="69"/>
  <c r="X32" i="69"/>
  <c r="Z32" i="69"/>
  <c r="AB32" i="69"/>
  <c r="AF32" i="69"/>
  <c r="AK32" i="69"/>
  <c r="AV32" i="69"/>
  <c r="AW32" i="69"/>
  <c r="AC32" i="69" s="1"/>
  <c r="AX32" i="69"/>
  <c r="N32" i="69" s="1"/>
  <c r="Q33" i="69"/>
  <c r="U33" i="69"/>
  <c r="X33" i="69"/>
  <c r="Y33" i="69"/>
  <c r="AB33" i="69"/>
  <c r="AF33" i="69"/>
  <c r="AG33" i="69"/>
  <c r="AH33" i="69"/>
  <c r="AJ33" i="69"/>
  <c r="AV33" i="69"/>
  <c r="AW33" i="69"/>
  <c r="M33" i="69" s="1"/>
  <c r="AX33" i="69"/>
  <c r="V33" i="69" s="1"/>
  <c r="M34" i="69"/>
  <c r="Q34" i="69"/>
  <c r="X34" i="69"/>
  <c r="Z34" i="69"/>
  <c r="AB34" i="69"/>
  <c r="AF34" i="69"/>
  <c r="AK34" i="69"/>
  <c r="AV34" i="69"/>
  <c r="AW34" i="69"/>
  <c r="AC34" i="69" s="1"/>
  <c r="AX34" i="69"/>
  <c r="N34" i="69" s="1"/>
  <c r="Q35" i="69"/>
  <c r="U35" i="69"/>
  <c r="X35" i="69"/>
  <c r="Y35" i="69"/>
  <c r="AB35" i="69"/>
  <c r="AF35" i="69"/>
  <c r="AG35" i="69"/>
  <c r="AH35" i="69"/>
  <c r="AJ35" i="69"/>
  <c r="AV35" i="69"/>
  <c r="AW35" i="69"/>
  <c r="M35" i="69" s="1"/>
  <c r="AX35" i="69"/>
  <c r="V35" i="69" s="1"/>
  <c r="M36" i="69"/>
  <c r="O36" i="69"/>
  <c r="Q36" i="69"/>
  <c r="S36" i="69"/>
  <c r="W36" i="69"/>
  <c r="X36" i="69"/>
  <c r="Y36" i="69"/>
  <c r="AA36" i="69"/>
  <c r="AB36" i="69"/>
  <c r="AE36" i="69"/>
  <c r="AF36" i="69"/>
  <c r="AG36" i="69"/>
  <c r="AV36" i="69"/>
  <c r="AW36" i="69"/>
  <c r="AJ36" i="69" s="1"/>
  <c r="AX36" i="69"/>
  <c r="N36" i="69" s="1"/>
  <c r="N37" i="69"/>
  <c r="Q37" i="69"/>
  <c r="V37" i="69"/>
  <c r="X37" i="69"/>
  <c r="AB37" i="69"/>
  <c r="AD37" i="69"/>
  <c r="AF37" i="69"/>
  <c r="AV37" i="69"/>
  <c r="AW37" i="69"/>
  <c r="M37" i="69" s="1"/>
  <c r="AX37" i="69"/>
  <c r="Z37" i="69" s="1"/>
  <c r="M38" i="69"/>
  <c r="Q38" i="69"/>
  <c r="U38" i="69"/>
  <c r="W38" i="69"/>
  <c r="X38" i="69"/>
  <c r="AB38" i="69"/>
  <c r="AC38" i="69"/>
  <c r="AE38" i="69"/>
  <c r="AF38" i="69"/>
  <c r="AV38" i="69"/>
  <c r="AW38" i="69"/>
  <c r="Y38" i="69" s="1"/>
  <c r="AX38" i="69"/>
  <c r="V38" i="69" s="1"/>
  <c r="G45" i="69"/>
  <c r="O23" i="69" s="1"/>
  <c r="O37" i="69" s="1"/>
  <c r="O1" i="69"/>
  <c r="S8" i="69"/>
  <c r="W8" i="69"/>
  <c r="AA8" i="69"/>
  <c r="AE8" i="69"/>
  <c r="S9" i="69"/>
  <c r="W9" i="69"/>
  <c r="AA9" i="69"/>
  <c r="AE9" i="69"/>
  <c r="S10" i="69"/>
  <c r="W10" i="69"/>
  <c r="AA10" i="69"/>
  <c r="AE10" i="69"/>
  <c r="S11" i="69"/>
  <c r="W11" i="69"/>
  <c r="AA11" i="69"/>
  <c r="AE11" i="69"/>
  <c r="S12" i="69"/>
  <c r="W12" i="69"/>
  <c r="AA12" i="69"/>
  <c r="AE12" i="69"/>
  <c r="A15" i="69"/>
  <c r="AE15" i="69"/>
  <c r="A16" i="69"/>
  <c r="S16" i="69"/>
  <c r="W16" i="69"/>
  <c r="AA16" i="69"/>
  <c r="N18" i="69"/>
  <c r="Q18" i="69"/>
  <c r="R18" i="69"/>
  <c r="S18" i="69"/>
  <c r="S38" i="69" s="1"/>
  <c r="W18" i="69"/>
  <c r="X18" i="69"/>
  <c r="Y18" i="69"/>
  <c r="Z18" i="69"/>
  <c r="AA18" i="69"/>
  <c r="AA38" i="69" s="1"/>
  <c r="AB18" i="69"/>
  <c r="AE18" i="69"/>
  <c r="AF18" i="69"/>
  <c r="AG18" i="69"/>
  <c r="AH18" i="69"/>
  <c r="AJ18" i="69"/>
  <c r="AK18" i="69"/>
  <c r="AV18" i="69"/>
  <c r="AW18" i="69"/>
  <c r="U18" i="69" s="1"/>
  <c r="AX18" i="69"/>
  <c r="V18" i="69" s="1"/>
  <c r="N19" i="69"/>
  <c r="O19" i="69"/>
  <c r="O38" i="69" s="1"/>
  <c r="Q19" i="69"/>
  <c r="X19" i="69"/>
  <c r="Z19" i="69"/>
  <c r="AB19" i="69"/>
  <c r="AF19" i="69"/>
  <c r="AK19" i="69"/>
  <c r="AV19" i="69"/>
  <c r="AW19" i="69"/>
  <c r="AC19" i="69" s="1"/>
  <c r="AX19" i="69"/>
  <c r="R19" i="69" s="1"/>
  <c r="Q20" i="69"/>
  <c r="U20" i="69"/>
  <c r="X20" i="69"/>
  <c r="Y20" i="69"/>
  <c r="AB20" i="69"/>
  <c r="AE20" i="69"/>
  <c r="AF20" i="69"/>
  <c r="AG20" i="69"/>
  <c r="AV20" i="69"/>
  <c r="AW20" i="69"/>
  <c r="M20" i="69" s="1"/>
  <c r="AX20" i="69"/>
  <c r="V20" i="69" s="1"/>
  <c r="N21" i="69"/>
  <c r="Q21" i="69"/>
  <c r="X21" i="69"/>
  <c r="Y21" i="69"/>
  <c r="Z21" i="69"/>
  <c r="AB21" i="69"/>
  <c r="AF21" i="69"/>
  <c r="AJ21" i="69"/>
  <c r="AK21" i="69"/>
  <c r="AV21" i="69"/>
  <c r="AW21" i="69"/>
  <c r="M21" i="69" s="1"/>
  <c r="AX21" i="69"/>
  <c r="R21" i="69" s="1"/>
  <c r="Q22" i="69"/>
  <c r="R22" i="69"/>
  <c r="S22" i="69"/>
  <c r="S37" i="69" s="1"/>
  <c r="V22" i="69"/>
  <c r="W22" i="69"/>
  <c r="W37" i="69" s="1"/>
  <c r="X22" i="69"/>
  <c r="AA22" i="69"/>
  <c r="AA37" i="69" s="1"/>
  <c r="AB22" i="69"/>
  <c r="AD22" i="69"/>
  <c r="AE22" i="69"/>
  <c r="AE37" i="69" s="1"/>
  <c r="AF22" i="69"/>
  <c r="AJ22" i="69"/>
  <c r="AK22" i="69"/>
  <c r="AV22" i="69"/>
  <c r="AW22" i="69"/>
  <c r="U22" i="69" s="1"/>
  <c r="AX22" i="69"/>
  <c r="N22" i="69" s="1"/>
  <c r="Q23" i="69"/>
  <c r="U23" i="69"/>
  <c r="X23" i="69"/>
  <c r="AA23" i="69"/>
  <c r="AB23" i="69"/>
  <c r="AF23" i="69"/>
  <c r="AV23" i="69"/>
  <c r="AW23" i="69"/>
  <c r="AC23" i="69" s="1"/>
  <c r="AX23" i="69"/>
  <c r="R23" i="69" s="1"/>
  <c r="Q24" i="69"/>
  <c r="S24" i="69"/>
  <c r="W24" i="69"/>
  <c r="X24" i="69"/>
  <c r="AA24" i="69"/>
  <c r="AB24" i="69"/>
  <c r="AF24" i="69"/>
  <c r="AV24" i="69"/>
  <c r="AW24" i="69"/>
  <c r="M24" i="69" s="1"/>
  <c r="AX24" i="69"/>
  <c r="V24" i="69" s="1"/>
  <c r="M25" i="69"/>
  <c r="N25" i="69"/>
  <c r="Q25" i="69"/>
  <c r="X25" i="69"/>
  <c r="Y25" i="69"/>
  <c r="Z25" i="69"/>
  <c r="AB25" i="69"/>
  <c r="AE25" i="69"/>
  <c r="AF25" i="69"/>
  <c r="AG25" i="69"/>
  <c r="AH25" i="69"/>
  <c r="AJ25" i="69"/>
  <c r="AK25" i="69"/>
  <c r="AV25" i="69"/>
  <c r="AW25" i="69"/>
  <c r="AC25" i="69" s="1"/>
  <c r="AX25" i="69"/>
  <c r="R25" i="69" s="1"/>
  <c r="Q26" i="69"/>
  <c r="U26" i="69"/>
  <c r="X26" i="69"/>
  <c r="Y26" i="69"/>
  <c r="AB26" i="69"/>
  <c r="AC26" i="69"/>
  <c r="AF26" i="69"/>
  <c r="AG26" i="69"/>
  <c r="AJ26" i="69"/>
  <c r="AN26" i="69"/>
  <c r="AN28" i="69" s="1"/>
  <c r="AO26" i="69"/>
  <c r="AO28" i="69" s="1"/>
  <c r="AO30" i="69" s="1"/>
  <c r="AO29" i="69" s="1"/>
  <c r="AO31" i="69" s="1"/>
  <c r="AP26" i="69"/>
  <c r="AP28" i="69" s="1"/>
  <c r="AP30" i="69" s="1"/>
  <c r="AP29" i="69" s="1"/>
  <c r="AP31" i="69" s="1"/>
  <c r="AQ26" i="69"/>
  <c r="AQ28" i="69" s="1"/>
  <c r="AQ30" i="69" s="1"/>
  <c r="AQ29" i="69" s="1"/>
  <c r="AQ31" i="69" s="1"/>
  <c r="AR26" i="69"/>
  <c r="AR28" i="69" s="1"/>
  <c r="AR30" i="69" s="1"/>
  <c r="AR29" i="69" s="1"/>
  <c r="AR31" i="69" s="1"/>
  <c r="AS26" i="69"/>
  <c r="AS28" i="69" s="1"/>
  <c r="AS30" i="69" s="1"/>
  <c r="AS29" i="69" s="1"/>
  <c r="AS31" i="69" s="1"/>
  <c r="AV26" i="69"/>
  <c r="AW26" i="69"/>
  <c r="M26" i="69" s="1"/>
  <c r="AX26" i="69"/>
  <c r="R26" i="69" s="1"/>
  <c r="K26" i="85" l="1"/>
  <c r="AL23" i="85"/>
  <c r="H37" i="85"/>
  <c r="AL31" i="85"/>
  <c r="AL30" i="85"/>
  <c r="K20" i="85"/>
  <c r="N20" i="85" s="1"/>
  <c r="AL16" i="85"/>
  <c r="AL15" i="85"/>
  <c r="AL32" i="85"/>
  <c r="AL26" i="85"/>
  <c r="AL14" i="85"/>
  <c r="AL27" i="85"/>
  <c r="AL17" i="85"/>
  <c r="K12" i="85"/>
  <c r="K30" i="85" s="1"/>
  <c r="K46" i="85"/>
  <c r="AL25" i="85"/>
  <c r="J24" i="85"/>
  <c r="AL20" i="85"/>
  <c r="AL18" i="85"/>
  <c r="AL29" i="85"/>
  <c r="AL21" i="85"/>
  <c r="AL19" i="85"/>
  <c r="AL34" i="85"/>
  <c r="AL10" i="85"/>
  <c r="AL38" i="85"/>
  <c r="AL37" i="85"/>
  <c r="AK36" i="85"/>
  <c r="H29" i="85"/>
  <c r="H14" i="85"/>
  <c r="K39" i="85"/>
  <c r="H12" i="85"/>
  <c r="S11" i="85"/>
  <c r="AI11" i="85" s="1"/>
  <c r="AL44" i="85"/>
  <c r="T15" i="85"/>
  <c r="H42" i="85"/>
  <c r="N42" i="85" s="1"/>
  <c r="H27" i="85"/>
  <c r="K37" i="85"/>
  <c r="S18" i="85"/>
  <c r="T18" i="85"/>
  <c r="S39" i="85"/>
  <c r="T39" i="85"/>
  <c r="H38" i="85"/>
  <c r="N38" i="85" s="1"/>
  <c r="T38" i="85"/>
  <c r="T33" i="85"/>
  <c r="S33" i="85"/>
  <c r="H13" i="85"/>
  <c r="L13" i="85" s="1"/>
  <c r="M13" i="85" s="1"/>
  <c r="T13" i="85"/>
  <c r="H43" i="85"/>
  <c r="N43" i="85" s="1"/>
  <c r="T43" i="85"/>
  <c r="K19" i="85"/>
  <c r="T37" i="85"/>
  <c r="AK32" i="85"/>
  <c r="AK29" i="85"/>
  <c r="AK10" i="85"/>
  <c r="AK45" i="85"/>
  <c r="J42" i="85"/>
  <c r="S37" i="85"/>
  <c r="AK30" i="85"/>
  <c r="K27" i="85"/>
  <c r="N27" i="85" s="1"/>
  <c r="AK19" i="85"/>
  <c r="AK17" i="85"/>
  <c r="S14" i="85"/>
  <c r="AK12" i="85"/>
  <c r="AK44" i="85"/>
  <c r="AK43" i="85"/>
  <c r="H28" i="85"/>
  <c r="H36" i="85"/>
  <c r="R24" i="85"/>
  <c r="S24" i="85" s="1"/>
  <c r="AK37" i="85"/>
  <c r="K34" i="85"/>
  <c r="AK27" i="85"/>
  <c r="AK22" i="85"/>
  <c r="AK21" i="85"/>
  <c r="AK18" i="85"/>
  <c r="J18" i="85"/>
  <c r="K16" i="85"/>
  <c r="K36" i="85"/>
  <c r="L36" i="85" s="1"/>
  <c r="M36" i="85" s="1"/>
  <c r="S28" i="85"/>
  <c r="H46" i="85"/>
  <c r="K44" i="85"/>
  <c r="S41" i="85"/>
  <c r="S20" i="85"/>
  <c r="T20" i="85"/>
  <c r="J14" i="85"/>
  <c r="K14" i="85"/>
  <c r="N14" i="85" s="1"/>
  <c r="K11" i="85"/>
  <c r="N11" i="85" s="1"/>
  <c r="H34" i="85"/>
  <c r="S34" i="85"/>
  <c r="T34" i="85"/>
  <c r="H32" i="85"/>
  <c r="K32" i="85" s="1"/>
  <c r="H40" i="85"/>
  <c r="N40" i="85" s="1"/>
  <c r="S31" i="85"/>
  <c r="T31" i="85"/>
  <c r="S21" i="85"/>
  <c r="T10" i="85"/>
  <c r="R35" i="85"/>
  <c r="H33" i="85"/>
  <c r="L33" i="85" s="1"/>
  <c r="M33" i="85" s="1"/>
  <c r="H19" i="85"/>
  <c r="N19" i="85" s="1"/>
  <c r="H18" i="85"/>
  <c r="N18" i="85" s="1"/>
  <c r="AF28" i="85"/>
  <c r="AF47" i="85" s="1"/>
  <c r="AH28" i="85"/>
  <c r="AH47" i="85" s="1"/>
  <c r="AJ28" i="85"/>
  <c r="AJ47" i="85" s="1"/>
  <c r="S32" i="85"/>
  <c r="T32" i="85"/>
  <c r="S29" i="85"/>
  <c r="T29" i="85"/>
  <c r="H20" i="85"/>
  <c r="AF11" i="85"/>
  <c r="AH11" i="85"/>
  <c r="J10" i="85"/>
  <c r="K10" i="85"/>
  <c r="S40" i="85"/>
  <c r="T40" i="85"/>
  <c r="H31" i="85"/>
  <c r="R19" i="85"/>
  <c r="R17" i="85"/>
  <c r="R23" i="85"/>
  <c r="R30" i="85"/>
  <c r="R44" i="85"/>
  <c r="R22" i="85"/>
  <c r="R25" i="85"/>
  <c r="AE11" i="85"/>
  <c r="AG11" i="85"/>
  <c r="H10" i="85"/>
  <c r="S46" i="85"/>
  <c r="T46" i="85"/>
  <c r="H45" i="85"/>
  <c r="S45" i="85"/>
  <c r="T45" i="85"/>
  <c r="T42" i="85"/>
  <c r="H41" i="85"/>
  <c r="N41" i="85" s="1"/>
  <c r="T26" i="85"/>
  <c r="H21" i="85"/>
  <c r="S42" i="85"/>
  <c r="H39" i="85"/>
  <c r="K28" i="85"/>
  <c r="T27" i="85"/>
  <c r="H15" i="85"/>
  <c r="T12" i="85"/>
  <c r="H11" i="85"/>
  <c r="C55" i="85"/>
  <c r="C56" i="85" s="1"/>
  <c r="C57" i="85" s="1"/>
  <c r="C58" i="85" s="1"/>
  <c r="C59" i="85" s="1"/>
  <c r="C60" i="85" s="1"/>
  <c r="C61" i="85" s="1"/>
  <c r="C62" i="85" s="1"/>
  <c r="C63" i="85" s="1"/>
  <c r="C64" i="85" s="1"/>
  <c r="C65" i="85" s="1"/>
  <c r="C66" i="85" s="1"/>
  <c r="C67" i="85" s="1"/>
  <c r="C68" i="85" s="1"/>
  <c r="C69" i="85" s="1"/>
  <c r="C70" i="85" s="1"/>
  <c r="C71" i="85" s="1"/>
  <c r="C72" i="85" s="1"/>
  <c r="C73" i="85" s="1"/>
  <c r="C74" i="85" s="1"/>
  <c r="C75" i="85" s="1"/>
  <c r="C76" i="85" s="1"/>
  <c r="C77" i="85" s="1"/>
  <c r="C78" i="85" s="1"/>
  <c r="C79" i="85" s="1"/>
  <c r="C80" i="85" s="1"/>
  <c r="C81" i="85" s="1"/>
  <c r="C82" i="85" s="1"/>
  <c r="C83" i="85" s="1"/>
  <c r="K45" i="85"/>
  <c r="S43" i="85"/>
  <c r="AL39" i="85"/>
  <c r="AK38" i="85"/>
  <c r="S36" i="85"/>
  <c r="K31" i="85"/>
  <c r="S27" i="85"/>
  <c r="H26" i="85"/>
  <c r="N26" i="85" s="1"/>
  <c r="R16" i="85"/>
  <c r="S12" i="85"/>
  <c r="AL40" i="85"/>
  <c r="AK39" i="85"/>
  <c r="AK40" i="85"/>
  <c r="S38" i="85"/>
  <c r="K29" i="85"/>
  <c r="N29" i="85" s="1"/>
  <c r="S13" i="85"/>
  <c r="AL41" i="85"/>
  <c r="AL42" i="85"/>
  <c r="AK41" i="85"/>
  <c r="AL35" i="85"/>
  <c r="AL45" i="85"/>
  <c r="AL43" i="85"/>
  <c r="AK42" i="85"/>
  <c r="AX28" i="69"/>
  <c r="AN30" i="69"/>
  <c r="N26" i="69"/>
  <c r="U24" i="69"/>
  <c r="M28" i="69"/>
  <c r="AK26" i="69"/>
  <c r="Z26" i="69"/>
  <c r="V25" i="69"/>
  <c r="AK23" i="69"/>
  <c r="AH22" i="69"/>
  <c r="Z22" i="69"/>
  <c r="AH21" i="69"/>
  <c r="AD20" i="69"/>
  <c r="R20" i="69"/>
  <c r="AJ19" i="69"/>
  <c r="Y19" i="69"/>
  <c r="M19" i="69"/>
  <c r="M18" i="69"/>
  <c r="AK38" i="69"/>
  <c r="AC37" i="69"/>
  <c r="U37" i="69"/>
  <c r="AD36" i="69"/>
  <c r="V36" i="69"/>
  <c r="AD35" i="69"/>
  <c r="R35" i="69"/>
  <c r="AJ34" i="69"/>
  <c r="Y34" i="69"/>
  <c r="AD33" i="69"/>
  <c r="R33" i="69"/>
  <c r="AJ32" i="69"/>
  <c r="Y32" i="69"/>
  <c r="AG29" i="69"/>
  <c r="AJ28" i="69"/>
  <c r="Y28" i="69"/>
  <c r="AD27" i="69"/>
  <c r="R27" i="69"/>
  <c r="AC24" i="69"/>
  <c r="U25" i="69"/>
  <c r="AK24" i="69"/>
  <c r="R24" i="69"/>
  <c r="AJ23" i="69"/>
  <c r="Z23" i="69"/>
  <c r="N23" i="69"/>
  <c r="AG22" i="69"/>
  <c r="Y22" i="69"/>
  <c r="AG21" i="69"/>
  <c r="V21" i="69"/>
  <c r="AC20" i="69"/>
  <c r="AH19" i="69"/>
  <c r="AJ38" i="69"/>
  <c r="R38" i="69"/>
  <c r="AK37" i="69"/>
  <c r="AC36" i="69"/>
  <c r="U36" i="69"/>
  <c r="AC35" i="69"/>
  <c r="AH34" i="69"/>
  <c r="AC33" i="69"/>
  <c r="AH32" i="69"/>
  <c r="AC30" i="69"/>
  <c r="U29" i="69"/>
  <c r="AC27" i="69"/>
  <c r="AH26" i="69"/>
  <c r="AD25" i="69"/>
  <c r="AJ24" i="69"/>
  <c r="Z24" i="69"/>
  <c r="AH23" i="69"/>
  <c r="Y23" i="69"/>
  <c r="M23" i="69"/>
  <c r="M22" i="69"/>
  <c r="U21" i="69"/>
  <c r="AK20" i="69"/>
  <c r="N20" i="69"/>
  <c r="AG19" i="69"/>
  <c r="V19" i="69"/>
  <c r="AD18" i="69"/>
  <c r="AH38" i="69"/>
  <c r="Z38" i="69"/>
  <c r="AJ37" i="69"/>
  <c r="R37" i="69"/>
  <c r="AK36" i="69"/>
  <c r="N35" i="69"/>
  <c r="AG34" i="69"/>
  <c r="V34" i="69"/>
  <c r="N33" i="69"/>
  <c r="AG32" i="69"/>
  <c r="V32" i="69"/>
  <c r="AG28" i="69"/>
  <c r="N27" i="69"/>
  <c r="V26" i="69"/>
  <c r="AH24" i="69"/>
  <c r="Y24" i="69"/>
  <c r="N24" i="69"/>
  <c r="AG23" i="69"/>
  <c r="AD21" i="69"/>
  <c r="AJ20" i="69"/>
  <c r="Z20" i="69"/>
  <c r="U19" i="69"/>
  <c r="AC18" i="69"/>
  <c r="AG38" i="69"/>
  <c r="AH37" i="69"/>
  <c r="R36" i="69"/>
  <c r="AK35" i="69"/>
  <c r="Z35" i="69"/>
  <c r="U34" i="69"/>
  <c r="AK33" i="69"/>
  <c r="Z33" i="69"/>
  <c r="U32" i="69"/>
  <c r="AC29" i="69"/>
  <c r="U28" i="69"/>
  <c r="AK27" i="69"/>
  <c r="Z27" i="69"/>
  <c r="AG24" i="69"/>
  <c r="V23" i="69"/>
  <c r="AC21" i="69"/>
  <c r="AH20" i="69"/>
  <c r="AD19" i="69"/>
  <c r="N38" i="69"/>
  <c r="AG37" i="69"/>
  <c r="Y37" i="69"/>
  <c r="AH36" i="69"/>
  <c r="Z36" i="69"/>
  <c r="AD34" i="69"/>
  <c r="R34" i="69"/>
  <c r="AD32" i="69"/>
  <c r="R32" i="69"/>
  <c r="AD26" i="69"/>
  <c r="AD23" i="69"/>
  <c r="AC22" i="69"/>
  <c r="M29" i="69"/>
  <c r="AD24" i="69"/>
  <c r="AD38" i="69"/>
  <c r="AJ29" i="69"/>
  <c r="L28" i="85" l="1"/>
  <c r="M28" i="85" s="1"/>
  <c r="N39" i="85"/>
  <c r="N12" i="85"/>
  <c r="N30" i="85" s="1"/>
  <c r="L37" i="85"/>
  <c r="M37" i="85" s="1"/>
  <c r="AE45" i="85"/>
  <c r="L34" i="85"/>
  <c r="M34" i="85" s="1"/>
  <c r="L46" i="85"/>
  <c r="M46" i="85" s="1"/>
  <c r="L38" i="85"/>
  <c r="M38" i="85" s="1"/>
  <c r="L20" i="85"/>
  <c r="M20" i="85" s="1"/>
  <c r="L14" i="85"/>
  <c r="M14" i="85" s="1"/>
  <c r="N37" i="85"/>
  <c r="N45" i="85"/>
  <c r="L10" i="85"/>
  <c r="M10" i="85" s="1"/>
  <c r="N36" i="85"/>
  <c r="H24" i="85"/>
  <c r="N24" i="85" s="1"/>
  <c r="L12" i="85"/>
  <c r="L30" i="85" s="1"/>
  <c r="M30" i="85" s="1"/>
  <c r="L39" i="85"/>
  <c r="M39" i="85" s="1"/>
  <c r="L42" i="85"/>
  <c r="M42" i="85" s="1"/>
  <c r="N31" i="85"/>
  <c r="T24" i="85"/>
  <c r="N46" i="85"/>
  <c r="L11" i="85"/>
  <c r="M11" i="85" s="1"/>
  <c r="AG28" i="85"/>
  <c r="AG47" i="85" s="1"/>
  <c r="AE28" i="85"/>
  <c r="AE47" i="85" s="1"/>
  <c r="AI28" i="85"/>
  <c r="AI47" i="85" s="1"/>
  <c r="N34" i="85"/>
  <c r="L32" i="85"/>
  <c r="M32" i="85" s="1"/>
  <c r="L41" i="85"/>
  <c r="M41" i="85" s="1"/>
  <c r="L27" i="85"/>
  <c r="M27" i="85" s="1"/>
  <c r="L43" i="85"/>
  <c r="M43" i="85" s="1"/>
  <c r="L29" i="85"/>
  <c r="M29" i="85" s="1"/>
  <c r="N32" i="85"/>
  <c r="L26" i="85"/>
  <c r="M26" i="85" s="1"/>
  <c r="N13" i="85"/>
  <c r="L31" i="85"/>
  <c r="M31" i="85" s="1"/>
  <c r="L40" i="85"/>
  <c r="M40" i="85" s="1"/>
  <c r="S22" i="85"/>
  <c r="T22" i="85"/>
  <c r="S30" i="85"/>
  <c r="T30" i="85"/>
  <c r="H16" i="85"/>
  <c r="S16" i="85"/>
  <c r="T16" i="85"/>
  <c r="H23" i="85"/>
  <c r="S23" i="85"/>
  <c r="T23" i="85"/>
  <c r="AI45" i="85"/>
  <c r="AF38" i="85"/>
  <c r="AF17" i="85"/>
  <c r="AF23" i="85"/>
  <c r="AF30" i="85"/>
  <c r="AF37" i="85"/>
  <c r="AF44" i="85"/>
  <c r="AF12" i="85"/>
  <c r="AF27" i="85"/>
  <c r="AF34" i="85"/>
  <c r="AF36" i="85"/>
  <c r="AF43" i="85"/>
  <c r="AF16" i="85"/>
  <c r="AF22" i="85"/>
  <c r="AF26" i="85"/>
  <c r="AF35" i="85"/>
  <c r="AF42" i="85"/>
  <c r="AF15" i="85"/>
  <c r="AF25" i="85"/>
  <c r="AF41" i="85"/>
  <c r="AF10" i="85"/>
  <c r="AF14" i="85"/>
  <c r="AF21" i="85"/>
  <c r="AF20" i="85"/>
  <c r="AF29" i="85"/>
  <c r="AF18" i="85"/>
  <c r="AF31" i="85"/>
  <c r="AF39" i="85"/>
  <c r="AF19" i="85"/>
  <c r="AF40" i="85"/>
  <c r="AF32" i="85"/>
  <c r="H17" i="85"/>
  <c r="S17" i="85"/>
  <c r="T17" i="85"/>
  <c r="AH45" i="85"/>
  <c r="H35" i="85"/>
  <c r="S35" i="85"/>
  <c r="T35" i="85"/>
  <c r="S44" i="85"/>
  <c r="T44" i="85"/>
  <c r="K15" i="85"/>
  <c r="L15" i="85" s="1"/>
  <c r="M15" i="85" s="1"/>
  <c r="H22" i="85"/>
  <c r="S19" i="85"/>
  <c r="T19" i="85"/>
  <c r="N33" i="85"/>
  <c r="L18" i="85"/>
  <c r="M18" i="85" s="1"/>
  <c r="AG45" i="85"/>
  <c r="N10" i="85"/>
  <c r="K21" i="85"/>
  <c r="L21" i="85" s="1"/>
  <c r="M21" i="85" s="1"/>
  <c r="AJ41" i="85"/>
  <c r="AJ10" i="85"/>
  <c r="AJ14" i="85"/>
  <c r="AJ21" i="85"/>
  <c r="AJ20" i="85"/>
  <c r="AJ29" i="85"/>
  <c r="AJ40" i="85"/>
  <c r="AJ19" i="85"/>
  <c r="AJ32" i="85"/>
  <c r="AJ39" i="85"/>
  <c r="AJ18" i="85"/>
  <c r="AJ31" i="85"/>
  <c r="AJ38" i="85"/>
  <c r="AJ17" i="85"/>
  <c r="AJ23" i="85"/>
  <c r="AJ30" i="85"/>
  <c r="AJ37" i="85"/>
  <c r="AJ44" i="85"/>
  <c r="AJ12" i="85"/>
  <c r="AJ27" i="85"/>
  <c r="AJ34" i="85"/>
  <c r="AJ36" i="85"/>
  <c r="AJ43" i="85"/>
  <c r="AJ35" i="85"/>
  <c r="AJ15" i="85"/>
  <c r="AJ22" i="85"/>
  <c r="AJ26" i="85"/>
  <c r="AJ16" i="85"/>
  <c r="AJ42" i="85"/>
  <c r="AJ25" i="85"/>
  <c r="AF45" i="85"/>
  <c r="C84" i="85"/>
  <c r="C85" i="85" s="1"/>
  <c r="AJ45" i="85"/>
  <c r="H44" i="85"/>
  <c r="L45" i="85"/>
  <c r="M45" i="85" s="1"/>
  <c r="H25" i="85"/>
  <c r="S25" i="85"/>
  <c r="T25" i="85"/>
  <c r="N28" i="85"/>
  <c r="AH40" i="85"/>
  <c r="AH19" i="85"/>
  <c r="AH32" i="85"/>
  <c r="AH39" i="85"/>
  <c r="AH18" i="85"/>
  <c r="AH31" i="85"/>
  <c r="AH38" i="85"/>
  <c r="AH17" i="85"/>
  <c r="AH23" i="85"/>
  <c r="AH30" i="85"/>
  <c r="AH37" i="85"/>
  <c r="AH44" i="85"/>
  <c r="AH12" i="85"/>
  <c r="AH27" i="85"/>
  <c r="AH34" i="85"/>
  <c r="AH36" i="85"/>
  <c r="AH43" i="85"/>
  <c r="AH16" i="85"/>
  <c r="AH22" i="85"/>
  <c r="AH26" i="85"/>
  <c r="AH35" i="85"/>
  <c r="AH42" i="85"/>
  <c r="AH15" i="85"/>
  <c r="AH25" i="85"/>
  <c r="AH10" i="85"/>
  <c r="AH41" i="85"/>
  <c r="AH20" i="85"/>
  <c r="AH14" i="85"/>
  <c r="AH21" i="85"/>
  <c r="AH29" i="85"/>
  <c r="L19" i="85"/>
  <c r="M19" i="85" s="1"/>
  <c r="M12" i="85"/>
  <c r="AN29" i="69"/>
  <c r="AX30" i="69"/>
  <c r="N28" i="69"/>
  <c r="R28" i="69"/>
  <c r="AD28" i="69"/>
  <c r="V28" i="69"/>
  <c r="AH28" i="69"/>
  <c r="Z28" i="69"/>
  <c r="AK28" i="69"/>
  <c r="N15" i="85" l="1"/>
  <c r="L24" i="85"/>
  <c r="M24" i="85" s="1"/>
  <c r="AE23" i="85"/>
  <c r="AE18" i="85"/>
  <c r="AE30" i="85"/>
  <c r="AE38" i="85"/>
  <c r="AE12" i="85"/>
  <c r="AE35" i="85"/>
  <c r="AE20" i="85"/>
  <c r="AE27" i="85"/>
  <c r="AE42" i="85"/>
  <c r="AE29" i="85"/>
  <c r="AE39" i="85"/>
  <c r="AE34" i="85"/>
  <c r="AE15" i="85"/>
  <c r="AE40" i="85"/>
  <c r="AE31" i="85"/>
  <c r="AE36" i="85"/>
  <c r="AE25" i="85"/>
  <c r="AE19" i="85"/>
  <c r="AE17" i="85"/>
  <c r="AE43" i="85"/>
  <c r="AE41" i="85"/>
  <c r="AE32" i="85"/>
  <c r="AE16" i="85"/>
  <c r="AE10" i="85"/>
  <c r="AE37" i="85"/>
  <c r="AE22" i="85"/>
  <c r="AE14" i="85"/>
  <c r="AE44" i="85"/>
  <c r="AE26" i="85"/>
  <c r="AE21" i="85"/>
  <c r="AG40" i="85"/>
  <c r="AG19" i="85"/>
  <c r="AG29" i="85"/>
  <c r="AG32" i="85"/>
  <c r="AG20" i="85"/>
  <c r="AG38" i="85"/>
  <c r="AG34" i="85"/>
  <c r="AG15" i="85"/>
  <c r="AG39" i="85"/>
  <c r="AG44" i="85"/>
  <c r="AG26" i="85"/>
  <c r="AG21" i="85"/>
  <c r="AG12" i="85"/>
  <c r="AG17" i="85"/>
  <c r="AG36" i="85"/>
  <c r="AG25" i="85"/>
  <c r="AG18" i="85"/>
  <c r="AG27" i="85"/>
  <c r="AG23" i="85"/>
  <c r="AG43" i="85"/>
  <c r="AG41" i="85"/>
  <c r="AG30" i="85"/>
  <c r="AG16" i="85"/>
  <c r="AG10" i="85"/>
  <c r="AG35" i="85"/>
  <c r="AG31" i="85"/>
  <c r="AG42" i="85"/>
  <c r="AG37" i="85"/>
  <c r="AG22" i="85"/>
  <c r="AG14" i="85"/>
  <c r="AI25" i="85"/>
  <c r="AI14" i="85"/>
  <c r="AI18" i="85"/>
  <c r="AI12" i="85"/>
  <c r="AI35" i="85"/>
  <c r="AI31" i="85"/>
  <c r="AI27" i="85"/>
  <c r="AI42" i="85"/>
  <c r="AI20" i="85"/>
  <c r="AI38" i="85"/>
  <c r="AI34" i="85"/>
  <c r="AI41" i="85"/>
  <c r="AI15" i="85"/>
  <c r="AI21" i="85"/>
  <c r="AI29" i="85"/>
  <c r="AI17" i="85"/>
  <c r="AI36" i="85"/>
  <c r="AI40" i="85"/>
  <c r="AI23" i="85"/>
  <c r="AI43" i="85"/>
  <c r="AI19" i="85"/>
  <c r="AI30" i="85"/>
  <c r="AI16" i="85"/>
  <c r="AI10" i="85"/>
  <c r="AI32" i="85"/>
  <c r="AI37" i="85"/>
  <c r="AI22" i="85"/>
  <c r="AI39" i="85"/>
  <c r="AI44" i="85"/>
  <c r="AI26" i="85"/>
  <c r="N44" i="85"/>
  <c r="L44" i="85"/>
  <c r="M44" i="85" s="1"/>
  <c r="N21" i="85"/>
  <c r="K23" i="85"/>
  <c r="N23" i="85" s="1"/>
  <c r="K22" i="85"/>
  <c r="L22" i="85" s="1"/>
  <c r="M22" i="85" s="1"/>
  <c r="K35" i="85"/>
  <c r="L35" i="85" s="1"/>
  <c r="M35" i="85" s="1"/>
  <c r="N35" i="85"/>
  <c r="N16" i="85"/>
  <c r="L16" i="85"/>
  <c r="M16" i="85" s="1"/>
  <c r="K25" i="85"/>
  <c r="N25" i="85" s="1"/>
  <c r="K17" i="85"/>
  <c r="N17" i="85" s="1"/>
  <c r="L17" i="85"/>
  <c r="M17" i="85" s="1"/>
  <c r="AX29" i="69"/>
  <c r="AN31" i="69"/>
  <c r="AX31" i="69" s="1"/>
  <c r="V30" i="69"/>
  <c r="AH30" i="69"/>
  <c r="Z30" i="69"/>
  <c r="AK30" i="69"/>
  <c r="N30" i="69"/>
  <c r="R30" i="69"/>
  <c r="AD30" i="69"/>
  <c r="N22" i="85" l="1"/>
  <c r="L25" i="85"/>
  <c r="M25" i="85" s="1"/>
  <c r="L23" i="85"/>
  <c r="M23" i="85" s="1"/>
  <c r="Z29" i="69"/>
  <c r="AK29" i="69"/>
  <c r="N29" i="69"/>
  <c r="R29" i="69"/>
  <c r="AD29" i="69"/>
  <c r="V29" i="69"/>
  <c r="AH29" i="69"/>
  <c r="R31" i="69"/>
  <c r="AD31" i="69"/>
  <c r="V31" i="69"/>
  <c r="AH31" i="69"/>
  <c r="Z31" i="69"/>
  <c r="AK31" i="69"/>
  <c r="N31" i="69"/>
  <c r="FK50" i="94" l="1"/>
  <c r="FL50" i="94"/>
  <c r="FM50" i="94"/>
  <c r="FN50" i="94"/>
  <c r="FO50" i="94"/>
  <c r="FP50" i="94"/>
  <c r="FQ50" i="94"/>
  <c r="FR50" i="94"/>
  <c r="D47" i="94"/>
  <c r="E47" i="94"/>
  <c r="F47" i="94"/>
  <c r="G47" i="94"/>
  <c r="H47" i="94"/>
  <c r="I47" i="94"/>
  <c r="J47" i="94"/>
  <c r="K47" i="94"/>
  <c r="L47" i="94"/>
  <c r="M47" i="94"/>
  <c r="N47" i="94"/>
  <c r="O47" i="94"/>
  <c r="P47" i="94"/>
  <c r="Q47" i="94"/>
  <c r="R47" i="94"/>
  <c r="S47" i="94"/>
  <c r="T47" i="94"/>
  <c r="U47" i="94"/>
  <c r="V47" i="94"/>
  <c r="W47" i="94"/>
  <c r="X47" i="94"/>
  <c r="Y47" i="94"/>
  <c r="Z47" i="94"/>
  <c r="AA47" i="94"/>
  <c r="AB47" i="94"/>
  <c r="AC47" i="94"/>
  <c r="AD47" i="94"/>
  <c r="AE47" i="94"/>
  <c r="AF47" i="94"/>
  <c r="AG47" i="94"/>
  <c r="AH47" i="94"/>
  <c r="AI47" i="94"/>
  <c r="AJ47" i="94"/>
  <c r="AK47" i="94"/>
  <c r="AL47" i="94"/>
  <c r="AM47" i="94"/>
  <c r="AN47" i="94"/>
  <c r="AO47" i="94"/>
  <c r="AP47" i="94"/>
  <c r="AQ47" i="94"/>
  <c r="AR47" i="94"/>
  <c r="AS47" i="94"/>
  <c r="AT47" i="94"/>
  <c r="AU47" i="94"/>
  <c r="AV47" i="94"/>
  <c r="AW47" i="94"/>
  <c r="AX47" i="94"/>
  <c r="AY47" i="94"/>
  <c r="AZ47" i="94"/>
  <c r="BA47" i="94"/>
  <c r="BB47" i="94"/>
  <c r="BC47" i="94"/>
  <c r="BD47" i="94"/>
  <c r="BE47" i="94"/>
  <c r="BF47" i="94"/>
  <c r="BG47" i="94"/>
  <c r="BH47" i="94"/>
  <c r="BI47" i="94"/>
  <c r="BJ47" i="94"/>
  <c r="BK47" i="94"/>
  <c r="BL47" i="94"/>
  <c r="BM47" i="94"/>
  <c r="BN47" i="94"/>
  <c r="BO47" i="94"/>
  <c r="BP47" i="94"/>
  <c r="BQ47" i="94"/>
  <c r="BR47" i="94"/>
  <c r="BS47" i="94"/>
  <c r="BT47" i="94"/>
  <c r="BU47" i="94"/>
  <c r="BV47" i="94"/>
  <c r="BW47" i="94"/>
  <c r="BX47" i="94"/>
  <c r="BY47" i="94"/>
  <c r="BZ47" i="94"/>
  <c r="CA47" i="94"/>
  <c r="CB47" i="94"/>
  <c r="CC47" i="94"/>
  <c r="CD47" i="94"/>
  <c r="CE47" i="94"/>
  <c r="CF47" i="94"/>
  <c r="CG47" i="94"/>
  <c r="CH47" i="94"/>
  <c r="CI47" i="94"/>
  <c r="CJ47" i="94"/>
  <c r="CK47" i="94"/>
  <c r="CL47" i="94"/>
  <c r="CM47" i="94"/>
  <c r="CN47" i="94"/>
  <c r="CO47" i="94"/>
  <c r="CP47" i="94"/>
  <c r="CQ47" i="94"/>
  <c r="CR47" i="94"/>
  <c r="CS47" i="94"/>
  <c r="CT47" i="94"/>
  <c r="CU47" i="94"/>
  <c r="CV47" i="94"/>
  <c r="CW47" i="94"/>
  <c r="CX47" i="94"/>
  <c r="CY47" i="94"/>
  <c r="CZ47" i="94"/>
  <c r="DA47" i="94"/>
  <c r="DB47" i="94"/>
  <c r="DC47" i="94"/>
  <c r="DD47" i="94"/>
  <c r="DE47" i="94"/>
  <c r="DF47" i="94"/>
  <c r="DG47" i="94"/>
  <c r="DH47" i="94"/>
  <c r="DI47" i="94"/>
  <c r="DJ47" i="94"/>
  <c r="DK47" i="94"/>
  <c r="DL47" i="94"/>
  <c r="DM47" i="94"/>
  <c r="DN47" i="94"/>
  <c r="DO47" i="94"/>
  <c r="DP47" i="94"/>
  <c r="DQ47" i="94"/>
  <c r="DR47" i="94"/>
  <c r="DS47" i="94"/>
  <c r="DT47" i="94"/>
  <c r="DU47" i="94"/>
  <c r="DV47" i="94"/>
  <c r="DW47" i="94"/>
  <c r="DX47" i="94"/>
  <c r="DY47" i="94"/>
  <c r="DZ47" i="94"/>
  <c r="EA47" i="94"/>
  <c r="EB47" i="94"/>
  <c r="EC47" i="94"/>
  <c r="ED47" i="94"/>
  <c r="EE47" i="94"/>
  <c r="EF47" i="94"/>
  <c r="EG47" i="94"/>
  <c r="EH47" i="94"/>
  <c r="EI47" i="94"/>
  <c r="EJ47" i="94"/>
  <c r="EK47" i="94"/>
  <c r="EL47" i="94"/>
  <c r="EM47" i="94"/>
  <c r="EN47" i="94"/>
  <c r="EO47" i="94"/>
  <c r="EP47" i="94"/>
  <c r="EQ47" i="94"/>
  <c r="ER47" i="94"/>
  <c r="ES47" i="94"/>
  <c r="ET47" i="94"/>
  <c r="EU47" i="94"/>
  <c r="EV47" i="94"/>
  <c r="EW47" i="94"/>
  <c r="EX47" i="94"/>
  <c r="EY47" i="94"/>
  <c r="EZ47" i="94"/>
  <c r="FA47" i="94"/>
  <c r="FB47" i="94"/>
  <c r="FC47" i="94"/>
  <c r="FD47" i="94"/>
  <c r="FE47" i="94"/>
  <c r="FF47" i="94"/>
  <c r="FG47" i="94"/>
  <c r="FH47" i="94"/>
  <c r="FI47" i="94"/>
  <c r="FJ47" i="94"/>
  <c r="FK47" i="94"/>
  <c r="FL47" i="94"/>
  <c r="FM47" i="94"/>
  <c r="FN47" i="94"/>
  <c r="FO47" i="94"/>
  <c r="FP47" i="94"/>
  <c r="FQ47" i="94"/>
  <c r="FR47" i="94"/>
  <c r="FS47" i="94"/>
  <c r="FT47" i="94"/>
  <c r="FU47" i="94"/>
  <c r="FV47" i="94"/>
  <c r="FW47" i="94"/>
  <c r="FX47" i="94"/>
  <c r="FY47" i="94"/>
  <c r="FZ47" i="94"/>
  <c r="GA47" i="94"/>
  <c r="GB47" i="94"/>
  <c r="GC47" i="94"/>
  <c r="GD47" i="94"/>
  <c r="GE47" i="94"/>
  <c r="GF47" i="94"/>
  <c r="GG47" i="94"/>
  <c r="GH47" i="94"/>
  <c r="GI47" i="94"/>
  <c r="GJ47" i="94"/>
  <c r="GK47" i="94"/>
  <c r="GL47" i="94"/>
  <c r="GM47" i="94"/>
  <c r="GN47" i="94"/>
  <c r="GO47" i="94"/>
  <c r="GP47" i="94"/>
  <c r="GQ47" i="94"/>
  <c r="GR47" i="94"/>
  <c r="GS47" i="94"/>
  <c r="GT47" i="94"/>
  <c r="GU47" i="94"/>
  <c r="GV47" i="94"/>
  <c r="GW47" i="94"/>
  <c r="GX47" i="94"/>
  <c r="GY47" i="94"/>
  <c r="GZ47" i="94"/>
  <c r="HA47" i="94"/>
  <c r="HB47" i="94"/>
  <c r="HC47" i="94"/>
  <c r="HD47" i="94"/>
  <c r="HE47" i="94"/>
  <c r="HF47" i="94"/>
  <c r="HG47" i="94"/>
  <c r="HH47" i="94"/>
  <c r="HI47" i="94"/>
  <c r="HJ47" i="94"/>
  <c r="HK47" i="94"/>
  <c r="HL47" i="94"/>
  <c r="HM47" i="94"/>
  <c r="HN47" i="94"/>
  <c r="HO47" i="94"/>
  <c r="HP47" i="94"/>
  <c r="HQ47" i="94"/>
  <c r="HR47" i="94"/>
  <c r="HS47" i="94"/>
  <c r="HT47" i="94"/>
  <c r="HU47" i="94"/>
  <c r="HV47" i="94"/>
  <c r="HW47" i="94"/>
  <c r="HX47" i="94"/>
  <c r="HY47" i="94"/>
  <c r="HZ47" i="94"/>
  <c r="IA47" i="94"/>
  <c r="IB47" i="94"/>
  <c r="IC47" i="94"/>
  <c r="ID47" i="94"/>
  <c r="IE47" i="94"/>
  <c r="IF47" i="94"/>
  <c r="IG47" i="94"/>
  <c r="IH47" i="94"/>
  <c r="II47" i="94"/>
  <c r="IJ47" i="94"/>
  <c r="IK47" i="94"/>
  <c r="IL47" i="94"/>
  <c r="IM47" i="94"/>
  <c r="IN47" i="94"/>
  <c r="IO47" i="94"/>
  <c r="IP47" i="94"/>
  <c r="IQ47" i="94"/>
  <c r="IR47" i="94"/>
  <c r="IS47" i="94"/>
  <c r="IT47" i="94"/>
  <c r="IU47" i="94"/>
  <c r="IV47" i="94"/>
  <c r="IW47" i="94"/>
  <c r="IX47" i="94"/>
  <c r="IY47" i="94"/>
  <c r="IZ47" i="94"/>
  <c r="JA47" i="94"/>
  <c r="JB47" i="94"/>
  <c r="JC47" i="94"/>
  <c r="JE47" i="94"/>
  <c r="JF47" i="94"/>
  <c r="JG47" i="94"/>
  <c r="JH47" i="94"/>
  <c r="JI47" i="94"/>
  <c r="JJ47" i="94"/>
  <c r="JK47" i="94"/>
  <c r="JL47" i="94"/>
  <c r="JM47" i="94"/>
  <c r="JN47" i="94"/>
  <c r="JO47" i="94"/>
  <c r="JP47" i="94"/>
  <c r="JQ47" i="94"/>
  <c r="JR47" i="94"/>
  <c r="JS47" i="94"/>
  <c r="JT47" i="94"/>
  <c r="JU47" i="94"/>
  <c r="JV47" i="94"/>
  <c r="JW47" i="94"/>
  <c r="JX47" i="94"/>
  <c r="JY47" i="94"/>
  <c r="JZ47" i="94"/>
  <c r="KA47" i="94"/>
  <c r="KB47" i="94"/>
  <c r="KC47" i="94"/>
  <c r="KD47" i="94"/>
  <c r="KE47" i="94"/>
  <c r="D48" i="94"/>
  <c r="E48" i="94"/>
  <c r="F48" i="94"/>
  <c r="G48" i="94"/>
  <c r="H48" i="94"/>
  <c r="I48" i="94"/>
  <c r="J48" i="94"/>
  <c r="K48" i="94"/>
  <c r="L48" i="94"/>
  <c r="M48" i="94"/>
  <c r="N48" i="94"/>
  <c r="O48" i="94"/>
  <c r="P48" i="94"/>
  <c r="Q48" i="94"/>
  <c r="R48" i="94"/>
  <c r="S48" i="94"/>
  <c r="T48" i="94"/>
  <c r="U48" i="94"/>
  <c r="V48" i="94"/>
  <c r="W48" i="94"/>
  <c r="X48" i="94"/>
  <c r="Y48" i="94"/>
  <c r="Z48" i="94"/>
  <c r="AA48" i="94"/>
  <c r="AB48" i="94"/>
  <c r="AC48" i="94"/>
  <c r="AD48" i="94"/>
  <c r="AE48" i="94"/>
  <c r="AF48" i="94"/>
  <c r="AG48" i="94"/>
  <c r="AH48" i="94"/>
  <c r="AI48" i="94"/>
  <c r="AJ48" i="94"/>
  <c r="AK48" i="94"/>
  <c r="AL48" i="94"/>
  <c r="AM48" i="94"/>
  <c r="AN48" i="94"/>
  <c r="AO48" i="94"/>
  <c r="AP48" i="94"/>
  <c r="AQ48" i="94"/>
  <c r="AR48" i="94"/>
  <c r="AS48" i="94"/>
  <c r="AT48" i="94"/>
  <c r="AU48" i="94"/>
  <c r="AV48" i="94"/>
  <c r="AW48" i="94"/>
  <c r="AX48" i="94"/>
  <c r="AY48" i="94"/>
  <c r="AZ48" i="94"/>
  <c r="BA48" i="94"/>
  <c r="BB48" i="94"/>
  <c r="BC48" i="94"/>
  <c r="BD48" i="94"/>
  <c r="BE48" i="94"/>
  <c r="BF48" i="94"/>
  <c r="BG48" i="94"/>
  <c r="BH48" i="94"/>
  <c r="BI48" i="94"/>
  <c r="BJ48" i="94"/>
  <c r="BK48" i="94"/>
  <c r="BL48" i="94"/>
  <c r="BM48" i="94"/>
  <c r="BN48" i="94"/>
  <c r="BO48" i="94"/>
  <c r="BP48" i="94"/>
  <c r="BQ48" i="94"/>
  <c r="BR48" i="94"/>
  <c r="BS48" i="94"/>
  <c r="BT48" i="94"/>
  <c r="BU48" i="94"/>
  <c r="BV48" i="94"/>
  <c r="BW48" i="94"/>
  <c r="BX48" i="94"/>
  <c r="BY48" i="94"/>
  <c r="BZ48" i="94"/>
  <c r="CA48" i="94"/>
  <c r="CB48" i="94"/>
  <c r="CC48" i="94"/>
  <c r="CD48" i="94"/>
  <c r="CE48" i="94"/>
  <c r="CF48" i="94"/>
  <c r="CG48" i="94"/>
  <c r="CH48" i="94"/>
  <c r="CI48" i="94"/>
  <c r="CJ48" i="94"/>
  <c r="CK48" i="94"/>
  <c r="CL48" i="94"/>
  <c r="CM48" i="94"/>
  <c r="CN48" i="94"/>
  <c r="CO48" i="94"/>
  <c r="CP48" i="94"/>
  <c r="CQ48" i="94"/>
  <c r="CR48" i="94"/>
  <c r="CS48" i="94"/>
  <c r="CT48" i="94"/>
  <c r="CU48" i="94"/>
  <c r="CV48" i="94"/>
  <c r="CW48" i="94"/>
  <c r="CX48" i="94"/>
  <c r="CY48" i="94"/>
  <c r="CZ48" i="94"/>
  <c r="DA48" i="94"/>
  <c r="DB48" i="94"/>
  <c r="DC48" i="94"/>
  <c r="DD48" i="94"/>
  <c r="DE48" i="94"/>
  <c r="DF48" i="94"/>
  <c r="DG48" i="94"/>
  <c r="DH48" i="94"/>
  <c r="DI48" i="94"/>
  <c r="DJ48" i="94"/>
  <c r="DK48" i="94"/>
  <c r="DL48" i="94"/>
  <c r="DM48" i="94"/>
  <c r="DN48" i="94"/>
  <c r="DO48" i="94"/>
  <c r="DP48" i="94"/>
  <c r="DQ48" i="94"/>
  <c r="DR48" i="94"/>
  <c r="DS48" i="94"/>
  <c r="DT48" i="94"/>
  <c r="DU48" i="94"/>
  <c r="DV48" i="94"/>
  <c r="DW48" i="94"/>
  <c r="DX48" i="94"/>
  <c r="DY48" i="94"/>
  <c r="DZ48" i="94"/>
  <c r="EA48" i="94"/>
  <c r="EB48" i="94"/>
  <c r="EC48" i="94"/>
  <c r="ED48" i="94"/>
  <c r="EE48" i="94"/>
  <c r="EF48" i="94"/>
  <c r="EG48" i="94"/>
  <c r="EH48" i="94"/>
  <c r="EI48" i="94"/>
  <c r="EJ48" i="94"/>
  <c r="EK48" i="94"/>
  <c r="EL48" i="94"/>
  <c r="EM48" i="94"/>
  <c r="EN48" i="94"/>
  <c r="EO48" i="94"/>
  <c r="EP48" i="94"/>
  <c r="EQ48" i="94"/>
  <c r="ER48" i="94"/>
  <c r="ES48" i="94"/>
  <c r="ET48" i="94"/>
  <c r="EU48" i="94"/>
  <c r="EV48" i="94"/>
  <c r="EW48" i="94"/>
  <c r="EX48" i="94"/>
  <c r="EY48" i="94"/>
  <c r="EZ48" i="94"/>
  <c r="FA48" i="94"/>
  <c r="FB48" i="94"/>
  <c r="FC48" i="94"/>
  <c r="FD48" i="94"/>
  <c r="FE48" i="94"/>
  <c r="FF48" i="94"/>
  <c r="FG48" i="94"/>
  <c r="FH48" i="94"/>
  <c r="FI48" i="94"/>
  <c r="FJ48" i="94"/>
  <c r="FK48" i="94"/>
  <c r="FL48" i="94"/>
  <c r="FM48" i="94"/>
  <c r="FN48" i="94"/>
  <c r="FO48" i="94"/>
  <c r="FP48" i="94"/>
  <c r="FQ48" i="94"/>
  <c r="FR48" i="94"/>
  <c r="FS48" i="94"/>
  <c r="FT48" i="94"/>
  <c r="FU48" i="94"/>
  <c r="FV48" i="94"/>
  <c r="FW48" i="94"/>
  <c r="FX48" i="94"/>
  <c r="FY48" i="94"/>
  <c r="FZ48" i="94"/>
  <c r="GA48" i="94"/>
  <c r="GB48" i="94"/>
  <c r="GC48" i="94"/>
  <c r="GD48" i="94"/>
  <c r="GE48" i="94"/>
  <c r="GF48" i="94"/>
  <c r="GG48" i="94"/>
  <c r="GH48" i="94"/>
  <c r="GI48" i="94"/>
  <c r="GJ48" i="94"/>
  <c r="GK48" i="94"/>
  <c r="GL48" i="94"/>
  <c r="GM48" i="94"/>
  <c r="GN48" i="94"/>
  <c r="GO48" i="94"/>
  <c r="GP48" i="94"/>
  <c r="GQ48" i="94"/>
  <c r="GR48" i="94"/>
  <c r="GS48" i="94"/>
  <c r="GT48" i="94"/>
  <c r="GU48" i="94"/>
  <c r="GV48" i="94"/>
  <c r="GW48" i="94"/>
  <c r="GX48" i="94"/>
  <c r="GY48" i="94"/>
  <c r="GZ48" i="94"/>
  <c r="HA48" i="94"/>
  <c r="HB48" i="94"/>
  <c r="HC48" i="94"/>
  <c r="HD48" i="94"/>
  <c r="HE48" i="94"/>
  <c r="HF48" i="94"/>
  <c r="HG48" i="94"/>
  <c r="HH48" i="94"/>
  <c r="HI48" i="94"/>
  <c r="HJ48" i="94"/>
  <c r="HK48" i="94"/>
  <c r="HL48" i="94"/>
  <c r="HM48" i="94"/>
  <c r="HN48" i="94"/>
  <c r="HO48" i="94"/>
  <c r="HP48" i="94"/>
  <c r="HQ48" i="94"/>
  <c r="HR48" i="94"/>
  <c r="HS48" i="94"/>
  <c r="HT48" i="94"/>
  <c r="HU48" i="94"/>
  <c r="HV48" i="94"/>
  <c r="HW48" i="94"/>
  <c r="HX48" i="94"/>
  <c r="HY48" i="94"/>
  <c r="HZ48" i="94"/>
  <c r="IA48" i="94"/>
  <c r="IB48" i="94"/>
  <c r="IC48" i="94"/>
  <c r="ID48" i="94"/>
  <c r="IE48" i="94"/>
  <c r="IF48" i="94"/>
  <c r="IG48" i="94"/>
  <c r="IH48" i="94"/>
  <c r="II48" i="94"/>
  <c r="IJ48" i="94"/>
  <c r="IK48" i="94"/>
  <c r="IL48" i="94"/>
  <c r="IM48" i="94"/>
  <c r="IN48" i="94"/>
  <c r="IO48" i="94"/>
  <c r="IP48" i="94"/>
  <c r="IQ48" i="94"/>
  <c r="IR48" i="94"/>
  <c r="IS48" i="94"/>
  <c r="IT48" i="94"/>
  <c r="IU48" i="94"/>
  <c r="IV48" i="94"/>
  <c r="IW48" i="94"/>
  <c r="IX48" i="94"/>
  <c r="IY48" i="94"/>
  <c r="IZ48" i="94"/>
  <c r="JA48" i="94"/>
  <c r="JB48" i="94"/>
  <c r="JC48" i="94"/>
  <c r="JE48" i="94"/>
  <c r="JF48" i="94"/>
  <c r="JG48" i="94"/>
  <c r="JH48" i="94"/>
  <c r="JI48" i="94"/>
  <c r="JJ48" i="94"/>
  <c r="JK48" i="94"/>
  <c r="JL48" i="94"/>
  <c r="JM48" i="94"/>
  <c r="JN48" i="94"/>
  <c r="JO48" i="94"/>
  <c r="JP48" i="94"/>
  <c r="JQ48" i="94"/>
  <c r="JR48" i="94"/>
  <c r="JS48" i="94"/>
  <c r="JT48" i="94"/>
  <c r="JU48" i="94"/>
  <c r="JV48" i="94"/>
  <c r="JW48" i="94"/>
  <c r="JX48" i="94"/>
  <c r="JY48" i="94"/>
  <c r="JZ48" i="94"/>
  <c r="KA48" i="94"/>
  <c r="KB48" i="94"/>
  <c r="KC48" i="94"/>
  <c r="KD48" i="94"/>
  <c r="KE48" i="94"/>
  <c r="BH44" i="94"/>
  <c r="BI44" i="94"/>
  <c r="BJ44" i="94"/>
  <c r="BK44" i="94"/>
  <c r="BL44" i="94"/>
  <c r="BM44" i="94"/>
  <c r="BN44" i="94"/>
  <c r="BO44" i="94"/>
  <c r="BP44" i="94"/>
  <c r="BQ44" i="94"/>
  <c r="BR44" i="94"/>
  <c r="BS44" i="94"/>
  <c r="BT44" i="94"/>
  <c r="BU44" i="94"/>
  <c r="BV44" i="94"/>
  <c r="BW44" i="94"/>
  <c r="BX44" i="94"/>
  <c r="BY44" i="94"/>
  <c r="BZ44" i="94"/>
  <c r="CA44" i="94"/>
  <c r="CF44" i="94"/>
  <c r="CG44" i="94"/>
  <c r="CH44" i="94"/>
  <c r="CI44" i="94"/>
  <c r="CN44" i="94"/>
  <c r="CO44" i="94"/>
  <c r="CP44" i="94"/>
  <c r="CQ44" i="94"/>
  <c r="CR44" i="94"/>
  <c r="CS44" i="94"/>
  <c r="CT44" i="94"/>
  <c r="CU44" i="94"/>
  <c r="CV44" i="94"/>
  <c r="CW44" i="94"/>
  <c r="CX44" i="94"/>
  <c r="CY44" i="94"/>
  <c r="CZ44" i="94"/>
  <c r="DA44" i="94"/>
  <c r="DB44" i="94"/>
  <c r="DC44" i="94"/>
  <c r="EO44" i="94"/>
  <c r="EP44" i="94"/>
  <c r="EQ44" i="94"/>
  <c r="ER44" i="94"/>
  <c r="ES44" i="94"/>
  <c r="ET44" i="94"/>
  <c r="EU44" i="94"/>
  <c r="EV44" i="94"/>
  <c r="EW44" i="94"/>
  <c r="EX44" i="94"/>
  <c r="EY44" i="94"/>
  <c r="EZ44" i="94"/>
  <c r="FA44" i="94"/>
  <c r="FK44" i="94"/>
  <c r="FL44" i="94"/>
  <c r="FM44" i="94"/>
  <c r="FN44" i="94"/>
  <c r="FO44" i="94"/>
  <c r="FP44" i="94"/>
  <c r="FQ44" i="94"/>
  <c r="FR44" i="94"/>
  <c r="FS44" i="94"/>
  <c r="FT44" i="94"/>
  <c r="FU44" i="94"/>
  <c r="FV44" i="94"/>
  <c r="FW44" i="94"/>
  <c r="FX44" i="94"/>
  <c r="FY44" i="94"/>
  <c r="FZ44" i="94"/>
  <c r="GA44" i="94"/>
  <c r="GB44" i="94"/>
  <c r="JC44" i="94"/>
  <c r="JP44" i="94"/>
  <c r="JQ44" i="94"/>
  <c r="JR44" i="94"/>
  <c r="JS44" i="94"/>
  <c r="JT44" i="94"/>
  <c r="JU44" i="94"/>
  <c r="JV44" i="94"/>
  <c r="JW44" i="94"/>
  <c r="JX44" i="94"/>
  <c r="JY44" i="94"/>
  <c r="DP34" i="94"/>
  <c r="DQ34" i="94" s="1"/>
  <c r="DR34" i="94" s="1"/>
  <c r="EC34" i="94"/>
  <c r="ED34" i="94" s="1"/>
  <c r="EF34" i="94"/>
  <c r="FC34" i="94"/>
  <c r="FD34" i="94" s="1"/>
  <c r="FE34" i="94" s="1"/>
  <c r="FF34" i="94" s="1"/>
  <c r="FG34" i="94" s="1"/>
  <c r="FI34" i="94"/>
  <c r="CI35" i="94"/>
  <c r="DP35" i="94"/>
  <c r="DQ35" i="94" s="1"/>
  <c r="DR35" i="94" s="1"/>
  <c r="EC35" i="94"/>
  <c r="ED35" i="94" s="1"/>
  <c r="EF35" i="94"/>
  <c r="FC35" i="94"/>
  <c r="FD35" i="94" s="1"/>
  <c r="FE35" i="94" s="1"/>
  <c r="FF35" i="94" s="1"/>
  <c r="HQ35" i="94"/>
  <c r="HR35" i="94" s="1"/>
  <c r="HS35" i="94" s="1"/>
  <c r="HT35" i="94" s="1"/>
  <c r="HU35" i="94" s="1"/>
  <c r="HV35" i="94" s="1"/>
  <c r="HW35" i="94" s="1"/>
  <c r="HX35" i="94" s="1"/>
  <c r="HY35" i="94" s="1"/>
  <c r="HZ35" i="94" s="1"/>
  <c r="IA35" i="94" s="1"/>
  <c r="IB35" i="94" s="1"/>
  <c r="IC35" i="94" s="1"/>
  <c r="ID35" i="94" s="1"/>
  <c r="IE35" i="94" s="1"/>
  <c r="IF35" i="94" s="1"/>
  <c r="IG35" i="94" s="1"/>
  <c r="IH35" i="94" s="1"/>
  <c r="II35" i="94" s="1"/>
  <c r="IJ35" i="94" s="1"/>
  <c r="IK35" i="94" s="1"/>
  <c r="IL35" i="94" s="1"/>
  <c r="IM35" i="94" s="1"/>
  <c r="IN35" i="94" s="1"/>
  <c r="IO35" i="94" s="1"/>
  <c r="IP35" i="94" s="1"/>
  <c r="IQ35" i="94" s="1"/>
  <c r="IR35" i="94" s="1"/>
  <c r="IS35" i="94" s="1"/>
  <c r="IT35" i="94" s="1"/>
  <c r="IU35" i="94" s="1"/>
  <c r="JR35" i="94"/>
  <c r="JS35" i="94"/>
  <c r="JT35" i="94"/>
  <c r="JU35" i="94"/>
  <c r="JY35" i="94"/>
  <c r="DP36" i="94"/>
  <c r="DQ36" i="94" s="1"/>
  <c r="DR36" i="94" s="1"/>
  <c r="EC36" i="94"/>
  <c r="ED36" i="94" s="1"/>
  <c r="FC36" i="94"/>
  <c r="FD36" i="94" s="1"/>
  <c r="FE36" i="94" s="1"/>
  <c r="FF36" i="94" s="1"/>
  <c r="FL36" i="94"/>
  <c r="FM36" i="94"/>
  <c r="FN36" i="94"/>
  <c r="FO36" i="94"/>
  <c r="FP36" i="94"/>
  <c r="FQ36" i="94"/>
  <c r="FR36" i="94"/>
  <c r="HQ36" i="94"/>
  <c r="HR36" i="94" s="1"/>
  <c r="HS36" i="94" s="1"/>
  <c r="HT36" i="94" s="1"/>
  <c r="HU36" i="94" s="1"/>
  <c r="HV36" i="94" s="1"/>
  <c r="HW36" i="94" s="1"/>
  <c r="HX36" i="94" s="1"/>
  <c r="HY36" i="94" s="1"/>
  <c r="HZ36" i="94" s="1"/>
  <c r="IA36" i="94" s="1"/>
  <c r="IB36" i="94" s="1"/>
  <c r="IC36" i="94" s="1"/>
  <c r="ID36" i="94" s="1"/>
  <c r="IE36" i="94" s="1"/>
  <c r="IF36" i="94" s="1"/>
  <c r="IG36" i="94" s="1"/>
  <c r="IH36" i="94" s="1"/>
  <c r="II36" i="94" s="1"/>
  <c r="IJ36" i="94" s="1"/>
  <c r="IK36" i="94" s="1"/>
  <c r="IL36" i="94" s="1"/>
  <c r="IM36" i="94" s="1"/>
  <c r="IN36" i="94" s="1"/>
  <c r="IO36" i="94" s="1"/>
  <c r="IP36" i="94" s="1"/>
  <c r="IQ36" i="94" s="1"/>
  <c r="IR36" i="94" s="1"/>
  <c r="IS36" i="94" s="1"/>
  <c r="IT36" i="94" s="1"/>
  <c r="IU36" i="94" s="1"/>
  <c r="JU36" i="94"/>
  <c r="DP31" i="94"/>
  <c r="DQ31" i="94" s="1"/>
  <c r="DR31" i="94" s="1"/>
  <c r="EC31" i="94"/>
  <c r="ED31" i="94" s="1"/>
  <c r="EF31" i="94"/>
  <c r="FC31" i="94"/>
  <c r="FD31" i="94" s="1"/>
  <c r="FE31" i="94" s="1"/>
  <c r="FF31" i="94" s="1"/>
  <c r="FG31" i="94" s="1"/>
  <c r="FI31" i="94"/>
  <c r="DP32" i="94"/>
  <c r="DQ32" i="94" s="1"/>
  <c r="DR32" i="94" s="1"/>
  <c r="EC32" i="94"/>
  <c r="ED32" i="94" s="1"/>
  <c r="EF32" i="94"/>
  <c r="FC32" i="94"/>
  <c r="FD32" i="94" s="1"/>
  <c r="FE32" i="94" s="1"/>
  <c r="FF32" i="94" s="1"/>
  <c r="FG32" i="94" s="1"/>
  <c r="FI32" i="94"/>
  <c r="DP33" i="94"/>
  <c r="DQ33" i="94" s="1"/>
  <c r="DR33" i="94" s="1"/>
  <c r="DP30" i="94"/>
  <c r="DQ30" i="94" s="1"/>
  <c r="DR30" i="94" s="1"/>
  <c r="EC30" i="94"/>
  <c r="ED30" i="94" s="1"/>
  <c r="EF30" i="94"/>
  <c r="HQ30" i="94"/>
  <c r="HR30" i="94" s="1"/>
  <c r="HS30" i="94" s="1"/>
  <c r="HT30" i="94" s="1"/>
  <c r="HU30" i="94" s="1"/>
  <c r="HV30" i="94" s="1"/>
  <c r="HW30" i="94" s="1"/>
  <c r="HX30" i="94" s="1"/>
  <c r="HY30" i="94" s="1"/>
  <c r="HZ30" i="94" s="1"/>
  <c r="IA30" i="94" s="1"/>
  <c r="IB30" i="94" s="1"/>
  <c r="IC30" i="94" s="1"/>
  <c r="ID30" i="94" s="1"/>
  <c r="IE30" i="94" s="1"/>
  <c r="IF30" i="94" s="1"/>
  <c r="IG30" i="94" s="1"/>
  <c r="IH30" i="94" s="1"/>
  <c r="II30" i="94" s="1"/>
  <c r="IJ30" i="94" s="1"/>
  <c r="IK30" i="94" s="1"/>
  <c r="IL30" i="94" s="1"/>
  <c r="IM30" i="94" s="1"/>
  <c r="IN30" i="94" s="1"/>
  <c r="IO30" i="94" s="1"/>
  <c r="IP30" i="94" s="1"/>
  <c r="IQ30" i="94" s="1"/>
  <c r="IR30" i="94" s="1"/>
  <c r="IS30" i="94" s="1"/>
  <c r="IT30" i="94" s="1"/>
  <c r="IU30" i="94" s="1"/>
  <c r="DP18" i="94"/>
  <c r="DQ18" i="94" s="1"/>
  <c r="DR18" i="94" s="1"/>
  <c r="EC18" i="94"/>
  <c r="ED18" i="94" s="1"/>
  <c r="FC18" i="94"/>
  <c r="FD18" i="94" s="1"/>
  <c r="FE18" i="94" s="1"/>
  <c r="FF18" i="94" s="1"/>
  <c r="FG18" i="94" s="1"/>
  <c r="FI18" i="94"/>
  <c r="DP14" i="94"/>
  <c r="DQ14" i="94" s="1"/>
  <c r="DR14" i="94" s="1"/>
  <c r="EC14" i="94"/>
  <c r="ED14" i="94" s="1"/>
  <c r="EF14" i="94"/>
  <c r="FC14" i="94"/>
  <c r="FD14" i="94" s="1"/>
  <c r="FE14" i="94" s="1"/>
  <c r="FF14" i="94" s="1"/>
  <c r="FG14" i="94" s="1"/>
  <c r="FI14" i="94"/>
  <c r="HB14" i="94"/>
  <c r="HC14" i="94"/>
  <c r="HD14" i="94"/>
  <c r="HE14" i="94"/>
  <c r="HF14" i="94"/>
  <c r="HG14" i="94"/>
  <c r="HH14" i="94"/>
  <c r="HI14" i="94"/>
  <c r="HJ14" i="94"/>
  <c r="HK14" i="94"/>
  <c r="HL14" i="94"/>
  <c r="HM14" i="94"/>
  <c r="HN14" i="94"/>
  <c r="HO14" i="94"/>
  <c r="HP14" i="94"/>
  <c r="HQ14" i="94"/>
  <c r="HR14" i="94"/>
  <c r="HS14" i="94"/>
  <c r="HT14" i="94"/>
  <c r="HU14" i="94"/>
  <c r="HV14" i="94"/>
  <c r="HW14" i="94"/>
  <c r="HX14" i="94"/>
  <c r="HY14" i="94"/>
  <c r="HZ14" i="94"/>
  <c r="IA14" i="94"/>
  <c r="IB14" i="94"/>
  <c r="IC14" i="94"/>
  <c r="ID14" i="94"/>
  <c r="IE14" i="94"/>
  <c r="IF14" i="94"/>
  <c r="IG14" i="94"/>
  <c r="IH14" i="94"/>
  <c r="II14" i="94"/>
  <c r="IJ14" i="94"/>
  <c r="IK14" i="94"/>
  <c r="IL14" i="94"/>
  <c r="IM14" i="94"/>
  <c r="IN14" i="94"/>
  <c r="IO14" i="94"/>
  <c r="IP14" i="94"/>
  <c r="IQ14" i="94"/>
  <c r="IR14" i="94"/>
  <c r="IS14" i="94"/>
  <c r="IT14" i="94"/>
  <c r="IU14" i="94"/>
  <c r="O29" i="91"/>
  <c r="W29" i="91"/>
  <c r="AA29" i="91"/>
  <c r="AF29" i="91"/>
  <c r="AP29" i="91"/>
  <c r="AQ29" i="91"/>
  <c r="R29" i="91" s="1"/>
  <c r="AR29" i="91"/>
  <c r="S29" i="91" s="1"/>
  <c r="BA29" i="91"/>
  <c r="N30" i="91"/>
  <c r="O30" i="91"/>
  <c r="V30" i="91"/>
  <c r="W30" i="91"/>
  <c r="AA30" i="91"/>
  <c r="AF30" i="91"/>
  <c r="AP30" i="91"/>
  <c r="AQ30" i="91"/>
  <c r="Z30" i="91" s="1"/>
  <c r="AR30" i="91"/>
  <c r="S30" i="91" s="1"/>
  <c r="BA30" i="91"/>
  <c r="N31" i="91"/>
  <c r="V31" i="91"/>
  <c r="AF31" i="91"/>
  <c r="AP31" i="91"/>
  <c r="AQ31" i="91"/>
  <c r="R31" i="91" s="1"/>
  <c r="AR31" i="91"/>
  <c r="O31" i="91" s="1"/>
  <c r="BA31" i="91"/>
  <c r="Z32" i="91"/>
  <c r="AF32" i="91"/>
  <c r="AP32" i="91"/>
  <c r="AQ32" i="91"/>
  <c r="V32" i="91" s="1"/>
  <c r="AR32" i="91"/>
  <c r="S32" i="91" s="1"/>
  <c r="BA32" i="91"/>
  <c r="O33" i="91"/>
  <c r="W33" i="91"/>
  <c r="Z33" i="91"/>
  <c r="AF33" i="91"/>
  <c r="AP33" i="91"/>
  <c r="AQ33" i="91"/>
  <c r="N33" i="91" s="1"/>
  <c r="AR33" i="91"/>
  <c r="AA33" i="91" s="1"/>
  <c r="BA33" i="91"/>
  <c r="N34" i="91"/>
  <c r="O34" i="91"/>
  <c r="V34" i="91"/>
  <c r="W34" i="91"/>
  <c r="Z34" i="91"/>
  <c r="AF34" i="91"/>
  <c r="AP34" i="91"/>
  <c r="AQ34" i="91"/>
  <c r="R34" i="91" s="1"/>
  <c r="AR34" i="91"/>
  <c r="S34" i="91" s="1"/>
  <c r="BA34" i="91"/>
  <c r="N35" i="91"/>
  <c r="V35" i="91"/>
  <c r="Z35" i="91"/>
  <c r="AA35" i="91"/>
  <c r="AF35" i="91"/>
  <c r="AP35" i="91"/>
  <c r="AQ35" i="91"/>
  <c r="R35" i="91" s="1"/>
  <c r="AR35" i="91"/>
  <c r="W35" i="91" s="1"/>
  <c r="BA35" i="91"/>
  <c r="AA36" i="91"/>
  <c r="AF36" i="91"/>
  <c r="AP36" i="91"/>
  <c r="AQ36" i="91"/>
  <c r="N36" i="91" s="1"/>
  <c r="AR36" i="91"/>
  <c r="O36" i="91" s="1"/>
  <c r="BA36" i="91"/>
  <c r="O37" i="91"/>
  <c r="R37" i="91"/>
  <c r="W37" i="91"/>
  <c r="AA37" i="91"/>
  <c r="AF37" i="91"/>
  <c r="AP37" i="91"/>
  <c r="AQ37" i="91"/>
  <c r="AR37" i="91"/>
  <c r="S37" i="91" s="1"/>
  <c r="BA37" i="91"/>
  <c r="O38" i="91"/>
  <c r="S38" i="91"/>
  <c r="W38" i="91"/>
  <c r="AP38" i="91"/>
  <c r="AQ38" i="91"/>
  <c r="AR38" i="91"/>
  <c r="AA38" i="91" s="1"/>
  <c r="N39" i="91"/>
  <c r="P39" i="91"/>
  <c r="T39" i="91"/>
  <c r="X39" i="91"/>
  <c r="Z39" i="91"/>
  <c r="AP39" i="91"/>
  <c r="AQ39" i="91"/>
  <c r="V39" i="91" s="1"/>
  <c r="AR39" i="91"/>
  <c r="L40" i="91"/>
  <c r="N40" i="91"/>
  <c r="O40" i="91"/>
  <c r="R40" i="91"/>
  <c r="T40" i="91"/>
  <c r="V40" i="91"/>
  <c r="X40" i="91"/>
  <c r="Z40" i="91"/>
  <c r="AA40" i="91"/>
  <c r="AP40" i="91"/>
  <c r="AQ40" i="91"/>
  <c r="AR40" i="91"/>
  <c r="W40" i="91" s="1"/>
  <c r="L41" i="91"/>
  <c r="O41" i="91"/>
  <c r="P41" i="91"/>
  <c r="R41" i="91"/>
  <c r="S41" i="91"/>
  <c r="V41" i="91"/>
  <c r="W41" i="91"/>
  <c r="X41" i="91"/>
  <c r="Z41" i="91"/>
  <c r="AA41" i="91"/>
  <c r="AP41" i="91"/>
  <c r="AQ41" i="91"/>
  <c r="N41" i="91" s="1"/>
  <c r="AR41" i="91"/>
  <c r="L42" i="91"/>
  <c r="N42" i="91"/>
  <c r="P42" i="91"/>
  <c r="S42" i="91"/>
  <c r="T42" i="91"/>
  <c r="W42" i="91"/>
  <c r="AA42" i="91"/>
  <c r="AP42" i="91"/>
  <c r="AQ42" i="91"/>
  <c r="Z42" i="91" s="1"/>
  <c r="AR42" i="91"/>
  <c r="O42" i="91" s="1"/>
  <c r="L1" i="91"/>
  <c r="P1" i="91"/>
  <c r="P8" i="91" s="1"/>
  <c r="T1" i="91"/>
  <c r="T8" i="91" s="1"/>
  <c r="X1" i="91"/>
  <c r="L7" i="91"/>
  <c r="P7" i="91"/>
  <c r="T7" i="91"/>
  <c r="X7" i="91"/>
  <c r="AZ7" i="91"/>
  <c r="L8" i="91"/>
  <c r="X8" i="91"/>
  <c r="AZ8" i="91"/>
  <c r="L9" i="91"/>
  <c r="X9" i="91"/>
  <c r="AZ9" i="91"/>
  <c r="L10" i="91"/>
  <c r="P10" i="91"/>
  <c r="T10" i="91"/>
  <c r="X10" i="91"/>
  <c r="AZ10" i="91"/>
  <c r="P38" i="91"/>
  <c r="T38" i="91"/>
  <c r="X38" i="91"/>
  <c r="P12" i="91"/>
  <c r="S12" i="91"/>
  <c r="T12" i="91"/>
  <c r="X12" i="91"/>
  <c r="Z12" i="91"/>
  <c r="AP12" i="91"/>
  <c r="AQ12" i="91"/>
  <c r="AR12" i="91"/>
  <c r="L13" i="91"/>
  <c r="O13" i="91"/>
  <c r="T13" i="91"/>
  <c r="V13" i="91"/>
  <c r="X13" i="91"/>
  <c r="Z13" i="91"/>
  <c r="AA13" i="91"/>
  <c r="AP13" i="91"/>
  <c r="AQ13" i="91"/>
  <c r="R13" i="91" s="1"/>
  <c r="AR13" i="91"/>
  <c r="L14" i="91"/>
  <c r="N14" i="91"/>
  <c r="P14" i="91"/>
  <c r="R14" i="91"/>
  <c r="V14" i="91"/>
  <c r="W14" i="91"/>
  <c r="X14" i="91"/>
  <c r="AA14" i="91"/>
  <c r="AP14" i="91"/>
  <c r="AQ14" i="91"/>
  <c r="Z14" i="91" s="1"/>
  <c r="AR14" i="91"/>
  <c r="L15" i="91"/>
  <c r="P15" i="91"/>
  <c r="R15" i="91"/>
  <c r="S15" i="91"/>
  <c r="T15" i="91"/>
  <c r="W15" i="91"/>
  <c r="AP15" i="91"/>
  <c r="AQ15" i="91"/>
  <c r="Z15" i="91" s="1"/>
  <c r="AR15" i="91"/>
  <c r="O15" i="91" s="1"/>
  <c r="W16" i="91"/>
  <c r="Z16" i="91"/>
  <c r="AP16" i="91"/>
  <c r="AQ16" i="91"/>
  <c r="AR16" i="91"/>
  <c r="AA16" i="91" s="1"/>
  <c r="S17" i="91"/>
  <c r="Z17" i="91"/>
  <c r="AA17" i="91"/>
  <c r="AF17" i="91"/>
  <c r="AP17" i="91"/>
  <c r="AQ17" i="91"/>
  <c r="R17" i="91" s="1"/>
  <c r="AR17" i="91"/>
  <c r="W17" i="91" s="1"/>
  <c r="BA17" i="91"/>
  <c r="O18" i="91"/>
  <c r="R18" i="91"/>
  <c r="V18" i="91"/>
  <c r="W18" i="91"/>
  <c r="Z18" i="91"/>
  <c r="AF18" i="91"/>
  <c r="AP18" i="91"/>
  <c r="AQ18" i="91"/>
  <c r="N18" i="91" s="1"/>
  <c r="AR18" i="91"/>
  <c r="S18" i="91" s="1"/>
  <c r="BA18" i="91"/>
  <c r="N19" i="91"/>
  <c r="O19" i="91"/>
  <c r="V19" i="91"/>
  <c r="W19" i="91"/>
  <c r="AA19" i="91"/>
  <c r="AF19" i="91"/>
  <c r="AP19" i="91"/>
  <c r="AQ19" i="91"/>
  <c r="Z19" i="91" s="1"/>
  <c r="AR19" i="91"/>
  <c r="S19" i="91" s="1"/>
  <c r="BA19" i="91"/>
  <c r="N20" i="91"/>
  <c r="R20" i="91"/>
  <c r="AF20" i="91"/>
  <c r="AP20" i="91"/>
  <c r="AQ20" i="91"/>
  <c r="Z20" i="91" s="1"/>
  <c r="AR20" i="91"/>
  <c r="S20" i="91" s="1"/>
  <c r="BA20" i="91"/>
  <c r="S21" i="91"/>
  <c r="W21" i="91"/>
  <c r="Z21" i="91"/>
  <c r="AA21" i="91"/>
  <c r="AF21" i="91"/>
  <c r="AP21" i="91"/>
  <c r="AQ21" i="91"/>
  <c r="R21" i="91" s="1"/>
  <c r="AR21" i="91"/>
  <c r="O21" i="91" s="1"/>
  <c r="BA21" i="91"/>
  <c r="N22" i="91"/>
  <c r="O22" i="91"/>
  <c r="R22" i="91"/>
  <c r="W22" i="91"/>
  <c r="Z22" i="91"/>
  <c r="AF22" i="91"/>
  <c r="AP22" i="91"/>
  <c r="AQ22" i="91"/>
  <c r="V22" i="91" s="1"/>
  <c r="AR22" i="91"/>
  <c r="AA22" i="91" s="1"/>
  <c r="BA22" i="91"/>
  <c r="N23" i="91"/>
  <c r="V23" i="91"/>
  <c r="AF23" i="91"/>
  <c r="AP23" i="91"/>
  <c r="AQ23" i="91"/>
  <c r="R23" i="91" s="1"/>
  <c r="AR23" i="91"/>
  <c r="BA23" i="91"/>
  <c r="N24" i="91"/>
  <c r="V24" i="91"/>
  <c r="Z24" i="91"/>
  <c r="AF24" i="91"/>
  <c r="AP24" i="91"/>
  <c r="AQ24" i="91"/>
  <c r="R24" i="91" s="1"/>
  <c r="AR24" i="91"/>
  <c r="S24" i="91" s="1"/>
  <c r="BA24" i="91"/>
  <c r="S25" i="91"/>
  <c r="Z25" i="91"/>
  <c r="AA25" i="91"/>
  <c r="AF25" i="91"/>
  <c r="AP25" i="91"/>
  <c r="AQ25" i="91"/>
  <c r="R25" i="91" s="1"/>
  <c r="AR25" i="91"/>
  <c r="W25" i="91" s="1"/>
  <c r="BA25" i="91"/>
  <c r="O26" i="91"/>
  <c r="R26" i="91"/>
  <c r="V26" i="91"/>
  <c r="W26" i="91"/>
  <c r="Z26" i="91"/>
  <c r="AF26" i="91"/>
  <c r="AP26" i="91"/>
  <c r="AQ26" i="91"/>
  <c r="N26" i="91" s="1"/>
  <c r="AR26" i="91"/>
  <c r="S26" i="91" s="1"/>
  <c r="BA26" i="91"/>
  <c r="N27" i="91"/>
  <c r="O27" i="91"/>
  <c r="V27" i="91"/>
  <c r="W27" i="91"/>
  <c r="AA27" i="91"/>
  <c r="AF27" i="91"/>
  <c r="AP27" i="91"/>
  <c r="AQ27" i="91"/>
  <c r="Z27" i="91" s="1"/>
  <c r="AR27" i="91"/>
  <c r="S27" i="91" s="1"/>
  <c r="BA27" i="91"/>
  <c r="W28" i="91"/>
  <c r="AA28" i="91"/>
  <c r="AF28" i="91"/>
  <c r="AP28" i="91"/>
  <c r="AQ28" i="91"/>
  <c r="Z28" i="91" s="1"/>
  <c r="AR28" i="91"/>
  <c r="O28" i="91" s="1"/>
  <c r="BA28" i="91"/>
  <c r="L79" i="90"/>
  <c r="P79" i="90"/>
  <c r="T79" i="90"/>
  <c r="X79" i="90"/>
  <c r="AB79" i="90"/>
  <c r="AF79" i="90"/>
  <c r="AJ79" i="90"/>
  <c r="AL79" i="90"/>
  <c r="AN79" i="90"/>
  <c r="AR79" i="90"/>
  <c r="AV79" i="90"/>
  <c r="BD79" i="90"/>
  <c r="BH79" i="90"/>
  <c r="BL79" i="90"/>
  <c r="BP79" i="90"/>
  <c r="BR79" i="90"/>
  <c r="BT79" i="90"/>
  <c r="BX79" i="90"/>
  <c r="CB79" i="90"/>
  <c r="CF79" i="90"/>
  <c r="CX79" i="90"/>
  <c r="CY79" i="90"/>
  <c r="R79" i="90" s="1"/>
  <c r="CZ79" i="90"/>
  <c r="L80" i="90"/>
  <c r="N80" i="90"/>
  <c r="O80" i="90"/>
  <c r="P80" i="90"/>
  <c r="S80" i="90"/>
  <c r="T80" i="90"/>
  <c r="V80" i="90"/>
  <c r="W80" i="90"/>
  <c r="X80" i="90"/>
  <c r="AB80" i="90"/>
  <c r="AE80" i="90"/>
  <c r="AF80" i="90"/>
  <c r="AI80" i="90"/>
  <c r="AJ80" i="90"/>
  <c r="AM80" i="90"/>
  <c r="AN80" i="90"/>
  <c r="AP80" i="90"/>
  <c r="AQ80" i="90"/>
  <c r="AR80" i="90"/>
  <c r="AT80" i="90"/>
  <c r="AU80" i="90"/>
  <c r="AV80" i="90"/>
  <c r="AY80" i="90"/>
  <c r="AZ80" i="90"/>
  <c r="BB80" i="90"/>
  <c r="BC80" i="90"/>
  <c r="BH80" i="90"/>
  <c r="BK80" i="90"/>
  <c r="BL80" i="90"/>
  <c r="BO80" i="90"/>
  <c r="BP80" i="90"/>
  <c r="BS80" i="90"/>
  <c r="BT80" i="90"/>
  <c r="BV80" i="90"/>
  <c r="BW80" i="90"/>
  <c r="BX80" i="90"/>
  <c r="BZ80" i="90"/>
  <c r="CA80" i="90"/>
  <c r="CB80" i="90"/>
  <c r="CE80" i="90"/>
  <c r="CF80" i="90"/>
  <c r="CH80" i="90"/>
  <c r="CI80" i="90"/>
  <c r="CX80" i="90"/>
  <c r="CY80" i="90"/>
  <c r="AH80" i="90" s="1"/>
  <c r="CZ80" i="90"/>
  <c r="AA80" i="90" s="1"/>
  <c r="L81" i="90"/>
  <c r="P81" i="90"/>
  <c r="T81" i="90"/>
  <c r="X81" i="90"/>
  <c r="AA81" i="90"/>
  <c r="AB81" i="90"/>
  <c r="AF81" i="90"/>
  <c r="AJ81" i="90"/>
  <c r="AL81" i="90"/>
  <c r="AN81" i="90"/>
  <c r="AR81" i="90"/>
  <c r="AV81" i="90"/>
  <c r="AZ81" i="90"/>
  <c r="BD81" i="90"/>
  <c r="BL81" i="90"/>
  <c r="BP81" i="90"/>
  <c r="BR81" i="90"/>
  <c r="BT81" i="90"/>
  <c r="BX81" i="90"/>
  <c r="CB81" i="90"/>
  <c r="CF81" i="90"/>
  <c r="CX81" i="90"/>
  <c r="CY81" i="90"/>
  <c r="R81" i="90" s="1"/>
  <c r="CZ81" i="90"/>
  <c r="L82" i="90"/>
  <c r="N82" i="90"/>
  <c r="O82" i="90"/>
  <c r="P82" i="90"/>
  <c r="S82" i="90"/>
  <c r="T82" i="90"/>
  <c r="V82" i="90"/>
  <c r="W82" i="90"/>
  <c r="X82" i="90"/>
  <c r="AB82" i="90"/>
  <c r="AE82" i="90"/>
  <c r="AF82" i="90"/>
  <c r="AI82" i="90"/>
  <c r="AJ82" i="90"/>
  <c r="AM82" i="90"/>
  <c r="AN82" i="90"/>
  <c r="AP82" i="90"/>
  <c r="AQ82" i="90"/>
  <c r="AR82" i="90"/>
  <c r="AT82" i="90"/>
  <c r="AU82" i="90"/>
  <c r="AV82" i="90"/>
  <c r="AY82" i="90"/>
  <c r="AZ82" i="90"/>
  <c r="BB82" i="90"/>
  <c r="BC82" i="90"/>
  <c r="BD82" i="90"/>
  <c r="BH82" i="90"/>
  <c r="BK82" i="90"/>
  <c r="BO82" i="90"/>
  <c r="BP82" i="90"/>
  <c r="BS82" i="90"/>
  <c r="BT82" i="90"/>
  <c r="BV82" i="90"/>
  <c r="BW82" i="90"/>
  <c r="BX82" i="90"/>
  <c r="BZ82" i="90"/>
  <c r="CA82" i="90"/>
  <c r="CB82" i="90"/>
  <c r="CE82" i="90"/>
  <c r="CF82" i="90"/>
  <c r="CH82" i="90"/>
  <c r="CI82" i="90"/>
  <c r="CX82" i="90"/>
  <c r="CY82" i="90"/>
  <c r="AH82" i="90" s="1"/>
  <c r="CZ82" i="90"/>
  <c r="AA82" i="90" s="1"/>
  <c r="L83" i="90"/>
  <c r="P83" i="90"/>
  <c r="T83" i="90"/>
  <c r="X83" i="90"/>
  <c r="AA83" i="90"/>
  <c r="AB83" i="90"/>
  <c r="AF83" i="90"/>
  <c r="AJ83" i="90"/>
  <c r="AL83" i="90"/>
  <c r="AN83" i="90"/>
  <c r="AR83" i="90"/>
  <c r="AV83" i="90"/>
  <c r="AZ83" i="90"/>
  <c r="BD83" i="90"/>
  <c r="BH83" i="90"/>
  <c r="BL83" i="90"/>
  <c r="BR83" i="90"/>
  <c r="BT83" i="90"/>
  <c r="BX83" i="90"/>
  <c r="CB83" i="90"/>
  <c r="CF83" i="90"/>
  <c r="CX83" i="90"/>
  <c r="CY83" i="90"/>
  <c r="R83" i="90" s="1"/>
  <c r="CZ83" i="90"/>
  <c r="L84" i="90"/>
  <c r="O84" i="90"/>
  <c r="P84" i="90"/>
  <c r="S84" i="90"/>
  <c r="T84" i="90"/>
  <c r="V84" i="90"/>
  <c r="X84" i="90"/>
  <c r="AB84" i="90"/>
  <c r="AE84" i="90"/>
  <c r="AF84" i="90"/>
  <c r="AI84" i="90"/>
  <c r="AJ84" i="90"/>
  <c r="AN84" i="90"/>
  <c r="AP84" i="90"/>
  <c r="AQ84" i="90"/>
  <c r="AR84" i="90"/>
  <c r="AT84" i="90"/>
  <c r="AU84" i="90"/>
  <c r="AV84" i="90"/>
  <c r="AY84" i="90"/>
  <c r="AZ84" i="90"/>
  <c r="BB84" i="90"/>
  <c r="BC84" i="90"/>
  <c r="BD84" i="90"/>
  <c r="BH84" i="90"/>
  <c r="BK84" i="90"/>
  <c r="BL84" i="90"/>
  <c r="BO84" i="90"/>
  <c r="BP84" i="90"/>
  <c r="BS84" i="90"/>
  <c r="BV84" i="90"/>
  <c r="BW84" i="90"/>
  <c r="BX84" i="90"/>
  <c r="BZ84" i="90"/>
  <c r="CA84" i="90"/>
  <c r="CB84" i="90"/>
  <c r="CE84" i="90"/>
  <c r="CF84" i="90"/>
  <c r="CH84" i="90"/>
  <c r="CI84" i="90"/>
  <c r="CX84" i="90"/>
  <c r="CY84" i="90"/>
  <c r="AH84" i="90" s="1"/>
  <c r="CZ84" i="90"/>
  <c r="W84" i="90" s="1"/>
  <c r="L85" i="90"/>
  <c r="P85" i="90"/>
  <c r="T85" i="90"/>
  <c r="X85" i="90"/>
  <c r="AB85" i="90"/>
  <c r="AF85" i="90"/>
  <c r="AJ85" i="90"/>
  <c r="AL85" i="90"/>
  <c r="AN85" i="90"/>
  <c r="AR85" i="90"/>
  <c r="AV85" i="90"/>
  <c r="AZ85" i="90"/>
  <c r="BD85" i="90"/>
  <c r="BH85" i="90"/>
  <c r="BL85" i="90"/>
  <c r="BP85" i="90"/>
  <c r="BR85" i="90"/>
  <c r="BT85" i="90"/>
  <c r="CB85" i="90"/>
  <c r="CF85" i="90"/>
  <c r="CX85" i="90"/>
  <c r="CY85" i="90"/>
  <c r="R85" i="90" s="1"/>
  <c r="CZ85" i="90"/>
  <c r="AA85" i="90" s="1"/>
  <c r="L86" i="90"/>
  <c r="O86" i="90"/>
  <c r="P86" i="90"/>
  <c r="S86" i="90"/>
  <c r="T86" i="90"/>
  <c r="V86" i="90"/>
  <c r="X86" i="90"/>
  <c r="AB86" i="90"/>
  <c r="AE86" i="90"/>
  <c r="AF86" i="90"/>
  <c r="AI86" i="90"/>
  <c r="AJ86" i="90"/>
  <c r="AN86" i="90"/>
  <c r="AP86" i="90"/>
  <c r="AQ86" i="90"/>
  <c r="AR86" i="90"/>
  <c r="AU86" i="90"/>
  <c r="AV86" i="90"/>
  <c r="AY86" i="90"/>
  <c r="AZ86" i="90"/>
  <c r="BB86" i="90"/>
  <c r="BD86" i="90"/>
  <c r="BH86" i="90"/>
  <c r="BK86" i="90"/>
  <c r="BL86" i="90"/>
  <c r="BO86" i="90"/>
  <c r="BP86" i="90"/>
  <c r="BT86" i="90"/>
  <c r="BV86" i="90"/>
  <c r="BW86" i="90"/>
  <c r="BX86" i="90"/>
  <c r="BZ86" i="90"/>
  <c r="CA86" i="90"/>
  <c r="CE86" i="90"/>
  <c r="CF86" i="90"/>
  <c r="CH86" i="90"/>
  <c r="CI86" i="90"/>
  <c r="CX86" i="90"/>
  <c r="CY86" i="90"/>
  <c r="AH86" i="90" s="1"/>
  <c r="CZ86" i="90"/>
  <c r="W86" i="90" s="1"/>
  <c r="L87" i="90"/>
  <c r="P87" i="90"/>
  <c r="T87" i="90"/>
  <c r="X87" i="90"/>
  <c r="AA87" i="90"/>
  <c r="AB87" i="90"/>
  <c r="AF87" i="90"/>
  <c r="AJ87" i="90"/>
  <c r="AN87" i="90"/>
  <c r="AR87" i="90"/>
  <c r="AU87" i="90"/>
  <c r="AV87" i="90"/>
  <c r="AZ87" i="90"/>
  <c r="BD87" i="90"/>
  <c r="BH87" i="90"/>
  <c r="BK87" i="90"/>
  <c r="BL87" i="90"/>
  <c r="BP87" i="90"/>
  <c r="BT87" i="90"/>
  <c r="BX87" i="90"/>
  <c r="CA87" i="90"/>
  <c r="CB87" i="90"/>
  <c r="CX87" i="90"/>
  <c r="CY87" i="90"/>
  <c r="BV87" i="90" s="1"/>
  <c r="CZ87" i="90"/>
  <c r="L89" i="90"/>
  <c r="P89" i="90"/>
  <c r="T89" i="90"/>
  <c r="X89" i="90"/>
  <c r="AB89" i="90"/>
  <c r="AF89" i="90"/>
  <c r="AJ89" i="90"/>
  <c r="AN89" i="90"/>
  <c r="AR89" i="90"/>
  <c r="AV89" i="90"/>
  <c r="AZ89" i="90"/>
  <c r="BD89" i="90"/>
  <c r="BH89" i="90"/>
  <c r="BL89" i="90"/>
  <c r="BP89" i="90"/>
  <c r="BT89" i="90"/>
  <c r="BX89" i="90"/>
  <c r="CB89" i="90"/>
  <c r="CF89" i="90"/>
  <c r="N66" i="90"/>
  <c r="V66" i="90"/>
  <c r="AA66" i="90"/>
  <c r="AL66" i="90"/>
  <c r="AY66" i="90"/>
  <c r="BK66" i="90"/>
  <c r="BZ66" i="90"/>
  <c r="CN66" i="90"/>
  <c r="CX66" i="90"/>
  <c r="CY66" i="90"/>
  <c r="CZ66" i="90"/>
  <c r="CA66" i="90" s="1"/>
  <c r="DI66" i="90"/>
  <c r="DL66" i="90"/>
  <c r="DN66" i="90"/>
  <c r="R67" i="90"/>
  <c r="S67" i="90"/>
  <c r="V67" i="90"/>
  <c r="Z67" i="90"/>
  <c r="AA67" i="90"/>
  <c r="AH67" i="90"/>
  <c r="AI67" i="90"/>
  <c r="AL67" i="90"/>
  <c r="AP67" i="90"/>
  <c r="AQ67" i="90"/>
  <c r="AX67" i="90"/>
  <c r="AY67" i="90"/>
  <c r="BB67" i="90"/>
  <c r="BF67" i="90"/>
  <c r="BG67" i="90"/>
  <c r="BN67" i="90"/>
  <c r="BO67" i="90"/>
  <c r="BR67" i="90"/>
  <c r="BV67" i="90"/>
  <c r="BW67" i="90"/>
  <c r="CD67" i="90"/>
  <c r="CE67" i="90"/>
  <c r="CH67" i="90"/>
  <c r="CN67" i="90"/>
  <c r="CX67" i="90"/>
  <c r="CY67" i="90"/>
  <c r="N67" i="90" s="1"/>
  <c r="CZ67" i="90"/>
  <c r="W67" i="90" s="1"/>
  <c r="DI67" i="90"/>
  <c r="DL67" i="90"/>
  <c r="DN67" i="90"/>
  <c r="O68" i="90"/>
  <c r="S68" i="90"/>
  <c r="Z68" i="90"/>
  <c r="AD68" i="90"/>
  <c r="AE68" i="90"/>
  <c r="AI68" i="90"/>
  <c r="AQ68" i="90"/>
  <c r="AT68" i="90"/>
  <c r="AU68" i="90"/>
  <c r="AY68" i="90"/>
  <c r="BB68" i="90"/>
  <c r="BJ68" i="90"/>
  <c r="BK68" i="90"/>
  <c r="BO68" i="90"/>
  <c r="BW68" i="90"/>
  <c r="BZ68" i="90"/>
  <c r="CA68" i="90"/>
  <c r="CE68" i="90"/>
  <c r="CX68" i="90"/>
  <c r="CY68" i="90"/>
  <c r="AP68" i="90" s="1"/>
  <c r="CZ68" i="90"/>
  <c r="W68" i="90" s="1"/>
  <c r="N69" i="90"/>
  <c r="O69" i="90"/>
  <c r="P69" i="90"/>
  <c r="T69" i="90"/>
  <c r="X69" i="90"/>
  <c r="Z69" i="90"/>
  <c r="AB69" i="90"/>
  <c r="AD69" i="90"/>
  <c r="AF69" i="90"/>
  <c r="AJ69" i="90"/>
  <c r="AL69" i="90"/>
  <c r="AN69" i="90"/>
  <c r="AP69" i="90"/>
  <c r="AR69" i="90"/>
  <c r="AV69" i="90"/>
  <c r="AY69" i="90"/>
  <c r="AZ69" i="90"/>
  <c r="BD69" i="90"/>
  <c r="BF69" i="90"/>
  <c r="BG69" i="90"/>
  <c r="BH69" i="90"/>
  <c r="BJ69" i="90"/>
  <c r="BL69" i="90"/>
  <c r="BP69" i="90"/>
  <c r="BR69" i="90"/>
  <c r="BT69" i="90"/>
  <c r="BX69" i="90"/>
  <c r="BZ69" i="90"/>
  <c r="CA69" i="90"/>
  <c r="CB69" i="90"/>
  <c r="CF69" i="90"/>
  <c r="CX69" i="90"/>
  <c r="CY69" i="90"/>
  <c r="CZ69" i="90"/>
  <c r="AI69" i="90" s="1"/>
  <c r="L70" i="90"/>
  <c r="N70" i="90"/>
  <c r="O70" i="90"/>
  <c r="S70" i="90"/>
  <c r="T70" i="90"/>
  <c r="V70" i="90"/>
  <c r="X70" i="90"/>
  <c r="Z70" i="90"/>
  <c r="AB70" i="90"/>
  <c r="AD70" i="90"/>
  <c r="AE70" i="90"/>
  <c r="AF70" i="90"/>
  <c r="AI70" i="90"/>
  <c r="AJ70" i="90"/>
  <c r="AN70" i="90"/>
  <c r="AP70" i="90"/>
  <c r="AQ70" i="90"/>
  <c r="AR70" i="90"/>
  <c r="AU70" i="90"/>
  <c r="AV70" i="90"/>
  <c r="AY70" i="90"/>
  <c r="AZ70" i="90"/>
  <c r="BB70" i="90"/>
  <c r="BD70" i="90"/>
  <c r="BF70" i="90"/>
  <c r="BH70" i="90"/>
  <c r="BK70" i="90"/>
  <c r="BL70" i="90"/>
  <c r="BO70" i="90"/>
  <c r="BP70" i="90"/>
  <c r="BT70" i="90"/>
  <c r="BV70" i="90"/>
  <c r="BW70" i="90"/>
  <c r="BX70" i="90"/>
  <c r="BZ70" i="90"/>
  <c r="CA70" i="90"/>
  <c r="CB70" i="90"/>
  <c r="CE70" i="90"/>
  <c r="CF70" i="90"/>
  <c r="CH70" i="90"/>
  <c r="CX70" i="90"/>
  <c r="CY70" i="90"/>
  <c r="CZ70" i="90"/>
  <c r="W70" i="90" s="1"/>
  <c r="L71" i="90"/>
  <c r="P71" i="90"/>
  <c r="S71" i="90"/>
  <c r="X71" i="90"/>
  <c r="Z71" i="90"/>
  <c r="AA71" i="90"/>
  <c r="AB71" i="90"/>
  <c r="AD71" i="90"/>
  <c r="AF71" i="90"/>
  <c r="AJ71" i="90"/>
  <c r="AL71" i="90"/>
  <c r="AN71" i="90"/>
  <c r="AR71" i="90"/>
  <c r="AT71" i="90"/>
  <c r="AV71" i="90"/>
  <c r="AZ71" i="90"/>
  <c r="BD71" i="90"/>
  <c r="BF71" i="90"/>
  <c r="BG71" i="90"/>
  <c r="BH71" i="90"/>
  <c r="BJ71" i="90"/>
  <c r="BL71" i="90"/>
  <c r="BP71" i="90"/>
  <c r="BR71" i="90"/>
  <c r="BT71" i="90"/>
  <c r="BV71" i="90"/>
  <c r="BX71" i="90"/>
  <c r="CB71" i="90"/>
  <c r="CE71" i="90"/>
  <c r="CF71" i="90"/>
  <c r="CH71" i="90"/>
  <c r="CX71" i="90"/>
  <c r="CY71" i="90"/>
  <c r="CZ71" i="90"/>
  <c r="AE71" i="90" s="1"/>
  <c r="L72" i="90"/>
  <c r="N72" i="90"/>
  <c r="P72" i="90"/>
  <c r="R72" i="90"/>
  <c r="T72" i="90"/>
  <c r="V72" i="90"/>
  <c r="Z72" i="90"/>
  <c r="AB72" i="90"/>
  <c r="AD72" i="90"/>
  <c r="AF72" i="90"/>
  <c r="AJ72" i="90"/>
  <c r="AL72" i="90"/>
  <c r="AN72" i="90"/>
  <c r="AP72" i="90"/>
  <c r="AR72" i="90"/>
  <c r="AT72" i="90"/>
  <c r="AV72" i="90"/>
  <c r="AZ72" i="90"/>
  <c r="BB72" i="90"/>
  <c r="BD72" i="90"/>
  <c r="BG72" i="90"/>
  <c r="BH72" i="90"/>
  <c r="BL72" i="90"/>
  <c r="BP72" i="90"/>
  <c r="BR72" i="90"/>
  <c r="BT72" i="90"/>
  <c r="BV72" i="90"/>
  <c r="BX72" i="90"/>
  <c r="BZ72" i="90"/>
  <c r="CB72" i="90"/>
  <c r="CF72" i="90"/>
  <c r="CH72" i="90"/>
  <c r="CX72" i="90"/>
  <c r="CY72" i="90"/>
  <c r="AH72" i="90" s="1"/>
  <c r="CZ72" i="90"/>
  <c r="L73" i="90"/>
  <c r="P73" i="90"/>
  <c r="T73" i="90"/>
  <c r="V73" i="90"/>
  <c r="X73" i="90"/>
  <c r="AF73" i="90"/>
  <c r="AJ73" i="90"/>
  <c r="AL73" i="90"/>
  <c r="AN73" i="90"/>
  <c r="AR73" i="90"/>
  <c r="AV73" i="90"/>
  <c r="AZ73" i="90"/>
  <c r="BB73" i="90"/>
  <c r="BD73" i="90"/>
  <c r="BH73" i="90"/>
  <c r="BL73" i="90"/>
  <c r="BP73" i="90"/>
  <c r="BR73" i="90"/>
  <c r="BT73" i="90"/>
  <c r="BX73" i="90"/>
  <c r="CB73" i="90"/>
  <c r="CF73" i="90"/>
  <c r="CH73" i="90"/>
  <c r="CX73" i="90"/>
  <c r="CY73" i="90"/>
  <c r="Z73" i="90" s="1"/>
  <c r="CZ73" i="90"/>
  <c r="BW73" i="90" s="1"/>
  <c r="L74" i="90"/>
  <c r="N74" i="90"/>
  <c r="P74" i="90"/>
  <c r="T74" i="90"/>
  <c r="V74" i="90"/>
  <c r="X74" i="90"/>
  <c r="AB74" i="90"/>
  <c r="AJ74" i="90"/>
  <c r="AL74" i="90"/>
  <c r="AN74" i="90"/>
  <c r="AP74" i="90"/>
  <c r="AR74" i="90"/>
  <c r="AT74" i="90"/>
  <c r="AV74" i="90"/>
  <c r="AZ74" i="90"/>
  <c r="BB74" i="90"/>
  <c r="BD74" i="90"/>
  <c r="BH74" i="90"/>
  <c r="BL74" i="90"/>
  <c r="BP74" i="90"/>
  <c r="BR74" i="90"/>
  <c r="BT74" i="90"/>
  <c r="BV74" i="90"/>
  <c r="BX74" i="90"/>
  <c r="BZ74" i="90"/>
  <c r="CB74" i="90"/>
  <c r="CF74" i="90"/>
  <c r="CH74" i="90"/>
  <c r="CX74" i="90"/>
  <c r="CY74" i="90"/>
  <c r="AH74" i="90" s="1"/>
  <c r="CZ74" i="90"/>
  <c r="BG74" i="90" s="1"/>
  <c r="L75" i="90"/>
  <c r="P75" i="90"/>
  <c r="T75" i="90"/>
  <c r="V75" i="90"/>
  <c r="X75" i="90"/>
  <c r="AB75" i="90"/>
  <c r="AF75" i="90"/>
  <c r="AN75" i="90"/>
  <c r="AQ75" i="90"/>
  <c r="AR75" i="90"/>
  <c r="AV75" i="90"/>
  <c r="AZ75" i="90"/>
  <c r="BB75" i="90"/>
  <c r="BD75" i="90"/>
  <c r="BH75" i="90"/>
  <c r="BJ75" i="90"/>
  <c r="BL75" i="90"/>
  <c r="BP75" i="90"/>
  <c r="BR75" i="90"/>
  <c r="BT75" i="90"/>
  <c r="BX75" i="90"/>
  <c r="CA75" i="90"/>
  <c r="CB75" i="90"/>
  <c r="CF75" i="90"/>
  <c r="CH75" i="90"/>
  <c r="CX75" i="90"/>
  <c r="CY75" i="90"/>
  <c r="CZ75" i="90"/>
  <c r="CE75" i="90" s="1"/>
  <c r="L76" i="90"/>
  <c r="N76" i="90"/>
  <c r="P76" i="90"/>
  <c r="T76" i="90"/>
  <c r="V76" i="90"/>
  <c r="X76" i="90"/>
  <c r="AB76" i="90"/>
  <c r="AE76" i="90"/>
  <c r="AF76" i="90"/>
  <c r="AJ76" i="90"/>
  <c r="AL76" i="90"/>
  <c r="AP76" i="90"/>
  <c r="AR76" i="90"/>
  <c r="AT76" i="90"/>
  <c r="AV76" i="90"/>
  <c r="AZ76" i="90"/>
  <c r="BB76" i="90"/>
  <c r="BD76" i="90"/>
  <c r="BG76" i="90"/>
  <c r="BH76" i="90"/>
  <c r="BK76" i="90"/>
  <c r="BL76" i="90"/>
  <c r="BO76" i="90"/>
  <c r="BP76" i="90"/>
  <c r="BR76" i="90"/>
  <c r="BT76" i="90"/>
  <c r="BV76" i="90"/>
  <c r="BX76" i="90"/>
  <c r="BZ76" i="90"/>
  <c r="CB76" i="90"/>
  <c r="CF76" i="90"/>
  <c r="CH76" i="90"/>
  <c r="CX76" i="90"/>
  <c r="CY76" i="90"/>
  <c r="AH76" i="90" s="1"/>
  <c r="CZ76" i="90"/>
  <c r="AI76" i="90" s="1"/>
  <c r="L77" i="90"/>
  <c r="O77" i="90"/>
  <c r="P77" i="90"/>
  <c r="T77" i="90"/>
  <c r="X77" i="90"/>
  <c r="AA77" i="90"/>
  <c r="AB77" i="90"/>
  <c r="AF77" i="90"/>
  <c r="AJ77" i="90"/>
  <c r="AN77" i="90"/>
  <c r="AU77" i="90"/>
  <c r="AV77" i="90"/>
  <c r="AY77" i="90"/>
  <c r="AZ77" i="90"/>
  <c r="BD77" i="90"/>
  <c r="BH77" i="90"/>
  <c r="BL77" i="90"/>
  <c r="BP77" i="90"/>
  <c r="BT77" i="90"/>
  <c r="BW77" i="90"/>
  <c r="BX77" i="90"/>
  <c r="CA77" i="90"/>
  <c r="CB77" i="90"/>
  <c r="CE77" i="90"/>
  <c r="CF77" i="90"/>
  <c r="CX77" i="90"/>
  <c r="CY77" i="90"/>
  <c r="Z77" i="90" s="1"/>
  <c r="CZ77" i="90"/>
  <c r="S77" i="90" s="1"/>
  <c r="L78" i="90"/>
  <c r="N78" i="90"/>
  <c r="P78" i="90"/>
  <c r="T78" i="90"/>
  <c r="V78" i="90"/>
  <c r="X78" i="90"/>
  <c r="AA78" i="90"/>
  <c r="AB78" i="90"/>
  <c r="AE78" i="90"/>
  <c r="AF78" i="90"/>
  <c r="AI78" i="90"/>
  <c r="AJ78" i="90"/>
  <c r="AL78" i="90"/>
  <c r="AN78" i="90"/>
  <c r="AP78" i="90"/>
  <c r="AR78" i="90"/>
  <c r="AT78" i="90"/>
  <c r="AZ78" i="90"/>
  <c r="BB78" i="90"/>
  <c r="BD78" i="90"/>
  <c r="BG78" i="90"/>
  <c r="BH78" i="90"/>
  <c r="BK78" i="90"/>
  <c r="BL78" i="90"/>
  <c r="BO78" i="90"/>
  <c r="BP78" i="90"/>
  <c r="BR78" i="90"/>
  <c r="BT78" i="90"/>
  <c r="BV78" i="90"/>
  <c r="BX78" i="90"/>
  <c r="BZ78" i="90"/>
  <c r="CB78" i="90"/>
  <c r="CF78" i="90"/>
  <c r="CH78" i="90"/>
  <c r="CX78" i="90"/>
  <c r="CY78" i="90"/>
  <c r="AH78" i="90" s="1"/>
  <c r="CZ78" i="90"/>
  <c r="R53" i="90"/>
  <c r="S53" i="90"/>
  <c r="W53" i="90"/>
  <c r="Z53" i="90"/>
  <c r="AA53" i="90"/>
  <c r="AH53" i="90"/>
  <c r="AI53" i="90"/>
  <c r="AM53" i="90"/>
  <c r="AP53" i="90"/>
  <c r="AQ53" i="90"/>
  <c r="AX53" i="90"/>
  <c r="AY53" i="90"/>
  <c r="BC53" i="90"/>
  <c r="BF53" i="90"/>
  <c r="BG53" i="90"/>
  <c r="BN53" i="90"/>
  <c r="BO53" i="90"/>
  <c r="BS53" i="90"/>
  <c r="BV53" i="90"/>
  <c r="BW53" i="90"/>
  <c r="CD53" i="90"/>
  <c r="CE53" i="90"/>
  <c r="CI53" i="90"/>
  <c r="CN53" i="90"/>
  <c r="CX53" i="90"/>
  <c r="CY53" i="90"/>
  <c r="V53" i="90" s="1"/>
  <c r="CZ53" i="90"/>
  <c r="O53" i="90" s="1"/>
  <c r="DI53" i="90"/>
  <c r="DL53" i="90"/>
  <c r="DN53" i="90"/>
  <c r="N54" i="90"/>
  <c r="W54" i="90"/>
  <c r="Z54" i="90"/>
  <c r="AD54" i="90"/>
  <c r="AM54" i="90"/>
  <c r="AP54" i="90"/>
  <c r="AT54" i="90"/>
  <c r="BC54" i="90"/>
  <c r="BF54" i="90"/>
  <c r="BJ54" i="90"/>
  <c r="BS54" i="90"/>
  <c r="BV54" i="90"/>
  <c r="BZ54" i="90"/>
  <c r="CI54" i="90"/>
  <c r="CN54" i="90"/>
  <c r="CX54" i="90"/>
  <c r="CY54" i="90"/>
  <c r="CZ54" i="90"/>
  <c r="AA54" i="90" s="1"/>
  <c r="DI54" i="90"/>
  <c r="DL54" i="90"/>
  <c r="DN54" i="90"/>
  <c r="O55" i="90"/>
  <c r="S55" i="90"/>
  <c r="AE55" i="90"/>
  <c r="AI55" i="90"/>
  <c r="AU55" i="90"/>
  <c r="AY55" i="90"/>
  <c r="BC55" i="90"/>
  <c r="BK55" i="90"/>
  <c r="BO55" i="90"/>
  <c r="CA55" i="90"/>
  <c r="CE55" i="90"/>
  <c r="CI55" i="90"/>
  <c r="CN55" i="90"/>
  <c r="CX55" i="90"/>
  <c r="CY55" i="90"/>
  <c r="N55" i="90" s="1"/>
  <c r="CZ55" i="90"/>
  <c r="W55" i="90" s="1"/>
  <c r="DI55" i="90"/>
  <c r="DL55" i="90"/>
  <c r="DN55" i="90"/>
  <c r="S56" i="90"/>
  <c r="AA56" i="90"/>
  <c r="AH56" i="90"/>
  <c r="AI56" i="90"/>
  <c r="AQ56" i="90"/>
  <c r="AY56" i="90"/>
  <c r="BB56" i="90"/>
  <c r="BG56" i="90"/>
  <c r="BN56" i="90"/>
  <c r="BO56" i="90"/>
  <c r="BW56" i="90"/>
  <c r="CE56" i="90"/>
  <c r="CH56" i="90"/>
  <c r="CN56" i="90"/>
  <c r="CX56" i="90"/>
  <c r="CY56" i="90"/>
  <c r="R56" i="90" s="1"/>
  <c r="CZ56" i="90"/>
  <c r="W56" i="90" s="1"/>
  <c r="DI56" i="90"/>
  <c r="DL56" i="90"/>
  <c r="DN56" i="90"/>
  <c r="R57" i="90"/>
  <c r="V57" i="90"/>
  <c r="Z57" i="90"/>
  <c r="AH57" i="90"/>
  <c r="AL57" i="90"/>
  <c r="AP57" i="90"/>
  <c r="AX57" i="90"/>
  <c r="BB57" i="90"/>
  <c r="BF57" i="90"/>
  <c r="BN57" i="90"/>
  <c r="BR57" i="90"/>
  <c r="BV57" i="90"/>
  <c r="CD57" i="90"/>
  <c r="CH57" i="90"/>
  <c r="CN57" i="90"/>
  <c r="CX57" i="90"/>
  <c r="CY57" i="90"/>
  <c r="N57" i="90" s="1"/>
  <c r="CZ57" i="90"/>
  <c r="DI57" i="90"/>
  <c r="DL57" i="90"/>
  <c r="DN57" i="90"/>
  <c r="N58" i="90"/>
  <c r="R58" i="90"/>
  <c r="V58" i="90"/>
  <c r="W58" i="90"/>
  <c r="AD58" i="90"/>
  <c r="AE58" i="90"/>
  <c r="AL58" i="90"/>
  <c r="AM58" i="90"/>
  <c r="AP58" i="90"/>
  <c r="AT58" i="90"/>
  <c r="AU58" i="90"/>
  <c r="AX58" i="90"/>
  <c r="BC58" i="90"/>
  <c r="BF58" i="90"/>
  <c r="BG58" i="90"/>
  <c r="BN58" i="90"/>
  <c r="BO58" i="90"/>
  <c r="BS58" i="90"/>
  <c r="BV58" i="90"/>
  <c r="BW58" i="90"/>
  <c r="CD58" i="90"/>
  <c r="CE58" i="90"/>
  <c r="CI58" i="90"/>
  <c r="CN58" i="90"/>
  <c r="CX58" i="90"/>
  <c r="CY58" i="90"/>
  <c r="AH58" i="90" s="1"/>
  <c r="CZ58" i="90"/>
  <c r="O58" i="90" s="1"/>
  <c r="DI58" i="90"/>
  <c r="DL58" i="90"/>
  <c r="DN58" i="90"/>
  <c r="R59" i="90"/>
  <c r="Z59" i="90"/>
  <c r="AH59" i="90"/>
  <c r="AP59" i="90"/>
  <c r="AX59" i="90"/>
  <c r="BF59" i="90"/>
  <c r="BN59" i="90"/>
  <c r="BV59" i="90"/>
  <c r="CA59" i="90"/>
  <c r="CD59" i="90"/>
  <c r="CN59" i="90"/>
  <c r="CX59" i="90"/>
  <c r="CY59" i="90"/>
  <c r="V59" i="90" s="1"/>
  <c r="CZ59" i="90"/>
  <c r="DI59" i="90"/>
  <c r="DL59" i="90"/>
  <c r="DN59" i="90"/>
  <c r="V60" i="90"/>
  <c r="AD60" i="90"/>
  <c r="BB60" i="90"/>
  <c r="BJ60" i="90"/>
  <c r="CH60" i="90"/>
  <c r="CN60" i="90"/>
  <c r="CX60" i="90"/>
  <c r="CY60" i="90"/>
  <c r="N60" i="90" s="1"/>
  <c r="CZ60" i="90"/>
  <c r="O60" i="90" s="1"/>
  <c r="DI60" i="90"/>
  <c r="DL60" i="90"/>
  <c r="DN60" i="90"/>
  <c r="N61" i="90"/>
  <c r="S61" i="90"/>
  <c r="V61" i="90"/>
  <c r="AA61" i="90"/>
  <c r="AD61" i="90"/>
  <c r="AI61" i="90"/>
  <c r="AQ61" i="90"/>
  <c r="AT61" i="90"/>
  <c r="AY61" i="90"/>
  <c r="BB61" i="90"/>
  <c r="BG61" i="90"/>
  <c r="BJ61" i="90"/>
  <c r="BO61" i="90"/>
  <c r="BW61" i="90"/>
  <c r="BZ61" i="90"/>
  <c r="CE61" i="90"/>
  <c r="CH61" i="90"/>
  <c r="CN61" i="90"/>
  <c r="CX61" i="90"/>
  <c r="CY61" i="90"/>
  <c r="AL61" i="90" s="1"/>
  <c r="CZ61" i="90"/>
  <c r="W61" i="90" s="1"/>
  <c r="DI61" i="90"/>
  <c r="DL61" i="90"/>
  <c r="DN61" i="90"/>
  <c r="R62" i="90"/>
  <c r="S62" i="90"/>
  <c r="Z62" i="90"/>
  <c r="AA62" i="90"/>
  <c r="AH62" i="90"/>
  <c r="AI62" i="90"/>
  <c r="AP62" i="90"/>
  <c r="AQ62" i="90"/>
  <c r="AX62" i="90"/>
  <c r="AY62" i="90"/>
  <c r="BF62" i="90"/>
  <c r="BG62" i="90"/>
  <c r="BN62" i="90"/>
  <c r="BO62" i="90"/>
  <c r="BV62" i="90"/>
  <c r="BW62" i="90"/>
  <c r="CD62" i="90"/>
  <c r="CE62" i="90"/>
  <c r="CN62" i="90"/>
  <c r="CX62" i="90"/>
  <c r="CY62" i="90"/>
  <c r="N62" i="90" s="1"/>
  <c r="CZ62" i="90"/>
  <c r="W62" i="90" s="1"/>
  <c r="DI62" i="90"/>
  <c r="DL62" i="90"/>
  <c r="DN62" i="90"/>
  <c r="R63" i="90"/>
  <c r="Z63" i="90"/>
  <c r="AE63" i="90"/>
  <c r="AH63" i="90"/>
  <c r="AP63" i="90"/>
  <c r="AX63" i="90"/>
  <c r="BF63" i="90"/>
  <c r="BK63" i="90"/>
  <c r="BN63" i="90"/>
  <c r="BV63" i="90"/>
  <c r="CD63" i="90"/>
  <c r="CH63" i="90"/>
  <c r="CN63" i="90"/>
  <c r="CX63" i="90"/>
  <c r="CY63" i="90"/>
  <c r="N63" i="90" s="1"/>
  <c r="CZ63" i="90"/>
  <c r="O63" i="90" s="1"/>
  <c r="DI63" i="90"/>
  <c r="DL63" i="90"/>
  <c r="DN63" i="90"/>
  <c r="O64" i="90"/>
  <c r="AU64" i="90"/>
  <c r="CA64" i="90"/>
  <c r="CN64" i="90"/>
  <c r="CX64" i="90"/>
  <c r="CY64" i="90"/>
  <c r="N64" i="90" s="1"/>
  <c r="CZ64" i="90"/>
  <c r="W64" i="90" s="1"/>
  <c r="DI64" i="90"/>
  <c r="DL64" i="90"/>
  <c r="DN64" i="90"/>
  <c r="S65" i="90"/>
  <c r="W65" i="90"/>
  <c r="AA65" i="90"/>
  <c r="AI65" i="90"/>
  <c r="AL65" i="90"/>
  <c r="AM65" i="90"/>
  <c r="AQ65" i="90"/>
  <c r="AY65" i="90"/>
  <c r="BC65" i="90"/>
  <c r="BG65" i="90"/>
  <c r="BJ65" i="90"/>
  <c r="BO65" i="90"/>
  <c r="BS65" i="90"/>
  <c r="BW65" i="90"/>
  <c r="CD65" i="90"/>
  <c r="CE65" i="90"/>
  <c r="CI65" i="90"/>
  <c r="CN65" i="90"/>
  <c r="CX65" i="90"/>
  <c r="CY65" i="90"/>
  <c r="AD65" i="90" s="1"/>
  <c r="CZ65" i="90"/>
  <c r="O65" i="90" s="1"/>
  <c r="DI65" i="90"/>
  <c r="DL65" i="90"/>
  <c r="DN65" i="90"/>
  <c r="L40" i="90"/>
  <c r="P40" i="90"/>
  <c r="T40" i="90"/>
  <c r="V40" i="90"/>
  <c r="X40" i="90"/>
  <c r="AB40" i="90"/>
  <c r="AD40" i="90"/>
  <c r="AF40" i="90"/>
  <c r="AI40" i="90"/>
  <c r="AJ40" i="90"/>
  <c r="AN40" i="90"/>
  <c r="AQ40" i="90"/>
  <c r="AR40" i="90"/>
  <c r="AU40" i="90"/>
  <c r="AV40" i="90"/>
  <c r="AZ40" i="90"/>
  <c r="BD40" i="90"/>
  <c r="BF40" i="90"/>
  <c r="BH40" i="90"/>
  <c r="BJ40" i="90"/>
  <c r="BP40" i="90"/>
  <c r="BR40" i="90"/>
  <c r="BT40" i="90"/>
  <c r="BV40" i="90"/>
  <c r="BX40" i="90"/>
  <c r="BZ40" i="90"/>
  <c r="CB40" i="90"/>
  <c r="CF40" i="90"/>
  <c r="CH40" i="90"/>
  <c r="CX40" i="90"/>
  <c r="CY40" i="90"/>
  <c r="CZ40" i="90"/>
  <c r="O40" i="90" s="1"/>
  <c r="L41" i="90"/>
  <c r="N41" i="90"/>
  <c r="P41" i="90"/>
  <c r="T41" i="90"/>
  <c r="V41" i="90"/>
  <c r="X41" i="90"/>
  <c r="AB41" i="90"/>
  <c r="AF41" i="90"/>
  <c r="AJ41" i="90"/>
  <c r="AN41" i="90"/>
  <c r="AP41" i="90"/>
  <c r="AR41" i="90"/>
  <c r="AT41" i="90"/>
  <c r="AV41" i="90"/>
  <c r="AZ41" i="90"/>
  <c r="BB41" i="90"/>
  <c r="BD41" i="90"/>
  <c r="BF41" i="90"/>
  <c r="BH41" i="90"/>
  <c r="BJ41" i="90"/>
  <c r="BL41" i="90"/>
  <c r="BR41" i="90"/>
  <c r="BT41" i="90"/>
  <c r="BV41" i="90"/>
  <c r="BX41" i="90"/>
  <c r="BZ41" i="90"/>
  <c r="CB41" i="90"/>
  <c r="CF41" i="90"/>
  <c r="CH41" i="90"/>
  <c r="CX41" i="90"/>
  <c r="CY41" i="90"/>
  <c r="AD41" i="90" s="1"/>
  <c r="CZ41" i="90"/>
  <c r="O41" i="90" s="1"/>
  <c r="L42" i="90"/>
  <c r="O42" i="90"/>
  <c r="P42" i="90"/>
  <c r="T42" i="90"/>
  <c r="X42" i="90"/>
  <c r="AB42" i="90"/>
  <c r="AD42" i="90"/>
  <c r="AF42" i="90"/>
  <c r="AJ42" i="90"/>
  <c r="AN42" i="90"/>
  <c r="AP42" i="90"/>
  <c r="AQ42" i="90"/>
  <c r="AR42" i="90"/>
  <c r="AT42" i="90"/>
  <c r="AV42" i="90"/>
  <c r="AZ42" i="90"/>
  <c r="BB42" i="90"/>
  <c r="BD42" i="90"/>
  <c r="BG42" i="90"/>
  <c r="BH42" i="90"/>
  <c r="BJ42" i="90"/>
  <c r="BL42" i="90"/>
  <c r="BO42" i="90"/>
  <c r="BP42" i="90"/>
  <c r="BW42" i="90"/>
  <c r="BX42" i="90"/>
  <c r="CA42" i="90"/>
  <c r="CB42" i="90"/>
  <c r="CF42" i="90"/>
  <c r="CX42" i="90"/>
  <c r="CY42" i="90"/>
  <c r="N42" i="90" s="1"/>
  <c r="CZ42" i="90"/>
  <c r="S42" i="90" s="1"/>
  <c r="L43" i="90"/>
  <c r="N43" i="90"/>
  <c r="P43" i="90"/>
  <c r="T43" i="90"/>
  <c r="X43" i="90"/>
  <c r="Z43" i="90"/>
  <c r="AB43" i="90"/>
  <c r="AD43" i="90"/>
  <c r="AF43" i="90"/>
  <c r="AJ43" i="90"/>
  <c r="AL43" i="90"/>
  <c r="AN43" i="90"/>
  <c r="AR43" i="90"/>
  <c r="AT43" i="90"/>
  <c r="AV43" i="90"/>
  <c r="AZ43" i="90"/>
  <c r="BD43" i="90"/>
  <c r="BG43" i="90"/>
  <c r="BH43" i="90"/>
  <c r="BL43" i="90"/>
  <c r="BP43" i="90"/>
  <c r="BT43" i="90"/>
  <c r="BZ43" i="90"/>
  <c r="CB43" i="90"/>
  <c r="CF43" i="90"/>
  <c r="CH43" i="90"/>
  <c r="CX43" i="90"/>
  <c r="CY43" i="90"/>
  <c r="AP43" i="90" s="1"/>
  <c r="CZ43" i="90"/>
  <c r="AA43" i="90" s="1"/>
  <c r="L44" i="90"/>
  <c r="O44" i="90"/>
  <c r="P44" i="90"/>
  <c r="S44" i="90"/>
  <c r="T44" i="90"/>
  <c r="X44" i="90"/>
  <c r="AB44" i="90"/>
  <c r="AE44" i="90"/>
  <c r="AF44" i="90"/>
  <c r="AI44" i="90"/>
  <c r="AJ44" i="90"/>
  <c r="AN44" i="90"/>
  <c r="AP44" i="90"/>
  <c r="AR44" i="90"/>
  <c r="AU44" i="90"/>
  <c r="AV44" i="90"/>
  <c r="AY44" i="90"/>
  <c r="AZ44" i="90"/>
  <c r="BB44" i="90"/>
  <c r="BD44" i="90"/>
  <c r="BF44" i="90"/>
  <c r="BG44" i="90"/>
  <c r="BH44" i="90"/>
  <c r="BJ44" i="90"/>
  <c r="BK44" i="90"/>
  <c r="BL44" i="90"/>
  <c r="BO44" i="90"/>
  <c r="BP44" i="90"/>
  <c r="BR44" i="90"/>
  <c r="BT44" i="90"/>
  <c r="BW44" i="90"/>
  <c r="BX44" i="90"/>
  <c r="CA44" i="90"/>
  <c r="CE44" i="90"/>
  <c r="CF44" i="90"/>
  <c r="CX44" i="90"/>
  <c r="CY44" i="90"/>
  <c r="N44" i="90" s="1"/>
  <c r="CZ44" i="90"/>
  <c r="L45" i="90"/>
  <c r="O45" i="90"/>
  <c r="P45" i="90"/>
  <c r="S45" i="90"/>
  <c r="T45" i="90"/>
  <c r="X45" i="90"/>
  <c r="AB45" i="90"/>
  <c r="AE45" i="90"/>
  <c r="AF45" i="90"/>
  <c r="AI45" i="90"/>
  <c r="AJ45" i="90"/>
  <c r="AN45" i="90"/>
  <c r="AP45" i="90"/>
  <c r="AQ45" i="90"/>
  <c r="AR45" i="90"/>
  <c r="AT45" i="90"/>
  <c r="AU45" i="90"/>
  <c r="AV45" i="90"/>
  <c r="AY45" i="90"/>
  <c r="AZ45" i="90"/>
  <c r="BB45" i="90"/>
  <c r="BD45" i="90"/>
  <c r="BG45" i="90"/>
  <c r="BH45" i="90"/>
  <c r="BK45" i="90"/>
  <c r="BL45" i="90"/>
  <c r="BO45" i="90"/>
  <c r="BP45" i="90"/>
  <c r="BT45" i="90"/>
  <c r="BW45" i="90"/>
  <c r="BX45" i="90"/>
  <c r="CA45" i="90"/>
  <c r="CB45" i="90"/>
  <c r="CE45" i="90"/>
  <c r="CX45" i="90"/>
  <c r="CY45" i="90"/>
  <c r="N45" i="90" s="1"/>
  <c r="CZ45" i="90"/>
  <c r="N46" i="90"/>
  <c r="S46" i="90"/>
  <c r="AA46" i="90"/>
  <c r="AE46" i="90"/>
  <c r="AM46" i="90"/>
  <c r="AQ46" i="90"/>
  <c r="AT46" i="90"/>
  <c r="AY46" i="90"/>
  <c r="BF46" i="90"/>
  <c r="BK46" i="90"/>
  <c r="BR46" i="90"/>
  <c r="BW46" i="90"/>
  <c r="CD46" i="90"/>
  <c r="CX46" i="90"/>
  <c r="CY46" i="90"/>
  <c r="AD46" i="90" s="1"/>
  <c r="CZ46" i="90"/>
  <c r="AI46" i="90" s="1"/>
  <c r="N47" i="90"/>
  <c r="O47" i="90"/>
  <c r="S47" i="90"/>
  <c r="Z47" i="90"/>
  <c r="AE47" i="90"/>
  <c r="AH47" i="90"/>
  <c r="AM47" i="90"/>
  <c r="AQ47" i="90"/>
  <c r="AX47" i="90"/>
  <c r="AY47" i="90"/>
  <c r="BC47" i="90"/>
  <c r="BG47" i="90"/>
  <c r="BN47" i="90"/>
  <c r="BO47" i="90"/>
  <c r="BS47" i="90"/>
  <c r="BW47" i="90"/>
  <c r="CD47" i="90"/>
  <c r="CE47" i="90"/>
  <c r="CI47" i="90"/>
  <c r="CN47" i="90"/>
  <c r="CX47" i="90"/>
  <c r="CY47" i="90"/>
  <c r="AD47" i="90" s="1"/>
  <c r="CZ47" i="90"/>
  <c r="W47" i="90" s="1"/>
  <c r="DI47" i="90"/>
  <c r="DL47" i="90"/>
  <c r="DN47" i="90"/>
  <c r="W48" i="90"/>
  <c r="AI48" i="90"/>
  <c r="AM48" i="90"/>
  <c r="AY48" i="90"/>
  <c r="BC48" i="90"/>
  <c r="BO48" i="90"/>
  <c r="BS48" i="90"/>
  <c r="CE48" i="90"/>
  <c r="CI48" i="90"/>
  <c r="CN48" i="90"/>
  <c r="CX48" i="90"/>
  <c r="CY48" i="90"/>
  <c r="AT48" i="90" s="1"/>
  <c r="CZ48" i="90"/>
  <c r="O48" i="90" s="1"/>
  <c r="DI48" i="90"/>
  <c r="DL48" i="90"/>
  <c r="DN48" i="90"/>
  <c r="N49" i="90"/>
  <c r="S49" i="90"/>
  <c r="W49" i="90"/>
  <c r="AD49" i="90"/>
  <c r="AI49" i="90"/>
  <c r="AM49" i="90"/>
  <c r="AT49" i="90"/>
  <c r="AY49" i="90"/>
  <c r="BC49" i="90"/>
  <c r="BO49" i="90"/>
  <c r="BS49" i="90"/>
  <c r="BZ49" i="90"/>
  <c r="CE49" i="90"/>
  <c r="CI49" i="90"/>
  <c r="CN49" i="90"/>
  <c r="CX49" i="90"/>
  <c r="CY49" i="90"/>
  <c r="CZ49" i="90"/>
  <c r="AA49" i="90" s="1"/>
  <c r="DI49" i="90"/>
  <c r="DL49" i="90"/>
  <c r="DN49" i="90"/>
  <c r="S50" i="90"/>
  <c r="AI50" i="90"/>
  <c r="AY50" i="90"/>
  <c r="BO50" i="90"/>
  <c r="CE50" i="90"/>
  <c r="CN50" i="90"/>
  <c r="CX50" i="90"/>
  <c r="CY50" i="90"/>
  <c r="AL50" i="90" s="1"/>
  <c r="CZ50" i="90"/>
  <c r="AA50" i="90" s="1"/>
  <c r="DI50" i="90"/>
  <c r="DL50" i="90"/>
  <c r="DN50" i="90"/>
  <c r="O51" i="90"/>
  <c r="R51" i="90"/>
  <c r="S51" i="90"/>
  <c r="V51" i="90"/>
  <c r="Z51" i="90"/>
  <c r="AA51" i="90"/>
  <c r="AE51" i="90"/>
  <c r="AH51" i="90"/>
  <c r="AI51" i="90"/>
  <c r="AL51" i="90"/>
  <c r="AP51" i="90"/>
  <c r="AQ51" i="90"/>
  <c r="AU51" i="90"/>
  <c r="AX51" i="90"/>
  <c r="AY51" i="90"/>
  <c r="BB51" i="90"/>
  <c r="BF51" i="90"/>
  <c r="BG51" i="90"/>
  <c r="BK51" i="90"/>
  <c r="BN51" i="90"/>
  <c r="BO51" i="90"/>
  <c r="BR51" i="90"/>
  <c r="BV51" i="90"/>
  <c r="CA51" i="90"/>
  <c r="CD51" i="90"/>
  <c r="CE51" i="90"/>
  <c r="CH51" i="90"/>
  <c r="CN51" i="90"/>
  <c r="BD38" i="90" s="1"/>
  <c r="CX51" i="90"/>
  <c r="CY51" i="90"/>
  <c r="N51" i="90" s="1"/>
  <c r="CZ51" i="90"/>
  <c r="DI51" i="90"/>
  <c r="DL51" i="90"/>
  <c r="DN51" i="90"/>
  <c r="O52" i="90"/>
  <c r="R52" i="90"/>
  <c r="V52" i="90"/>
  <c r="Z52" i="90"/>
  <c r="AH52" i="90"/>
  <c r="AL52" i="90"/>
  <c r="AP52" i="90"/>
  <c r="AU52" i="90"/>
  <c r="AX52" i="90"/>
  <c r="BB52" i="90"/>
  <c r="BF52" i="90"/>
  <c r="BN52" i="90"/>
  <c r="BR52" i="90"/>
  <c r="BV52" i="90"/>
  <c r="CA52" i="90"/>
  <c r="CD52" i="90"/>
  <c r="CH52" i="90"/>
  <c r="CN52" i="90"/>
  <c r="CX52" i="90"/>
  <c r="CY52" i="90"/>
  <c r="N52" i="90" s="1"/>
  <c r="CZ52" i="90"/>
  <c r="DI52" i="90"/>
  <c r="DL52" i="90"/>
  <c r="DN52" i="90"/>
  <c r="N27" i="90"/>
  <c r="P27" i="90"/>
  <c r="R27" i="90"/>
  <c r="S27" i="90"/>
  <c r="T27" i="90"/>
  <c r="V27" i="90"/>
  <c r="X27" i="90"/>
  <c r="AB27" i="90"/>
  <c r="AD27" i="90"/>
  <c r="AF27" i="90"/>
  <c r="AI27" i="90"/>
  <c r="AJ27" i="90"/>
  <c r="AM27" i="90"/>
  <c r="AN27" i="90"/>
  <c r="AQ27" i="90"/>
  <c r="AR27" i="90"/>
  <c r="AT27" i="90"/>
  <c r="AV27" i="90"/>
  <c r="AX27" i="90"/>
  <c r="AY27" i="90"/>
  <c r="AZ27" i="90"/>
  <c r="BB27" i="90"/>
  <c r="BD27" i="90"/>
  <c r="BH27" i="90"/>
  <c r="BH46" i="90" s="1"/>
  <c r="BJ27" i="90"/>
  <c r="BL27" i="90"/>
  <c r="BO27" i="90"/>
  <c r="BP27" i="90"/>
  <c r="BS27" i="90"/>
  <c r="BT27" i="90"/>
  <c r="BW27" i="90"/>
  <c r="BX27" i="90"/>
  <c r="BZ27" i="90"/>
  <c r="CB27" i="90"/>
  <c r="CD27" i="90"/>
  <c r="CE27" i="90"/>
  <c r="CF27" i="90"/>
  <c r="CH27" i="90"/>
  <c r="CX27" i="90"/>
  <c r="CY27" i="90"/>
  <c r="AH27" i="90" s="1"/>
  <c r="CZ27" i="90"/>
  <c r="W27" i="90" s="1"/>
  <c r="L28" i="90"/>
  <c r="N28" i="90"/>
  <c r="P28" i="90"/>
  <c r="T28" i="90"/>
  <c r="V28" i="90"/>
  <c r="X28" i="90"/>
  <c r="AB28" i="90"/>
  <c r="AD28" i="90"/>
  <c r="AF28" i="90"/>
  <c r="AH28" i="90"/>
  <c r="AI28" i="90"/>
  <c r="AJ28" i="90"/>
  <c r="AL28" i="90"/>
  <c r="AN28" i="90"/>
  <c r="AP28" i="90"/>
  <c r="AR28" i="90"/>
  <c r="AT28" i="90"/>
  <c r="AV28" i="90"/>
  <c r="AY28" i="90"/>
  <c r="AZ28" i="90"/>
  <c r="BB28" i="90"/>
  <c r="BD28" i="90"/>
  <c r="BG28" i="90"/>
  <c r="BH28" i="90"/>
  <c r="BJ28" i="90"/>
  <c r="BK28" i="90"/>
  <c r="BL28" i="90"/>
  <c r="BN28" i="90"/>
  <c r="BP28" i="90"/>
  <c r="BR28" i="90"/>
  <c r="BT28" i="90"/>
  <c r="BV28" i="90"/>
  <c r="BX28" i="90"/>
  <c r="BZ28" i="90"/>
  <c r="CB28" i="90"/>
  <c r="CF28" i="90"/>
  <c r="CH28" i="90"/>
  <c r="CX28" i="90"/>
  <c r="CY28" i="90"/>
  <c r="R28" i="90" s="1"/>
  <c r="CZ28" i="90"/>
  <c r="AA28" i="90" s="1"/>
  <c r="L29" i="90"/>
  <c r="P29" i="90"/>
  <c r="S29" i="90"/>
  <c r="V29" i="90"/>
  <c r="X29" i="90"/>
  <c r="Z29" i="90"/>
  <c r="AB29" i="90"/>
  <c r="AF29" i="90"/>
  <c r="AI29" i="90"/>
  <c r="AJ29" i="90"/>
  <c r="AL29" i="90"/>
  <c r="AM29" i="90"/>
  <c r="AN29" i="90"/>
  <c r="AQ29" i="90"/>
  <c r="AR29" i="90"/>
  <c r="AT29" i="90"/>
  <c r="AU29" i="90"/>
  <c r="AV29" i="90"/>
  <c r="AX29" i="90"/>
  <c r="AY29" i="90"/>
  <c r="AZ29" i="90"/>
  <c r="BD29" i="90"/>
  <c r="BF29" i="90"/>
  <c r="BG29" i="90"/>
  <c r="BH29" i="90"/>
  <c r="BJ29" i="90"/>
  <c r="BK29" i="90"/>
  <c r="BL29" i="90"/>
  <c r="BO29" i="90"/>
  <c r="BP29" i="90"/>
  <c r="BR29" i="90"/>
  <c r="BS29" i="90"/>
  <c r="BT29" i="90"/>
  <c r="BV29" i="90"/>
  <c r="BW29" i="90"/>
  <c r="BX29" i="90"/>
  <c r="CB29" i="90"/>
  <c r="CE29" i="90"/>
  <c r="CF29" i="90"/>
  <c r="CH29" i="90"/>
  <c r="CX29" i="90"/>
  <c r="CY29" i="90"/>
  <c r="AD29" i="90" s="1"/>
  <c r="CZ29" i="90"/>
  <c r="L30" i="90"/>
  <c r="O30" i="90"/>
  <c r="P30" i="90"/>
  <c r="S30" i="90"/>
  <c r="T30" i="90"/>
  <c r="X30" i="90"/>
  <c r="AA30" i="90"/>
  <c r="AB30" i="90"/>
  <c r="AE30" i="90"/>
  <c r="AF30" i="90"/>
  <c r="AI30" i="90"/>
  <c r="AJ30" i="90"/>
  <c r="AN30" i="90"/>
  <c r="AQ30" i="90"/>
  <c r="AR30" i="90"/>
  <c r="AU30" i="90"/>
  <c r="AV30" i="90"/>
  <c r="AY30" i="90"/>
  <c r="AZ30" i="90"/>
  <c r="BC30" i="90"/>
  <c r="BD30" i="90"/>
  <c r="BH30" i="90"/>
  <c r="BK30" i="90"/>
  <c r="BL30" i="90"/>
  <c r="BP30" i="90"/>
  <c r="BS30" i="90"/>
  <c r="BT30" i="90"/>
  <c r="BW30" i="90"/>
  <c r="BX30" i="90"/>
  <c r="CA30" i="90"/>
  <c r="CB30" i="90"/>
  <c r="CE30" i="90"/>
  <c r="CF30" i="90"/>
  <c r="CI30" i="90"/>
  <c r="CX30" i="90"/>
  <c r="CY30" i="90"/>
  <c r="R30" i="90" s="1"/>
  <c r="CZ30" i="90"/>
  <c r="AM30" i="90" s="1"/>
  <c r="L31" i="90"/>
  <c r="O31" i="90"/>
  <c r="P31" i="90"/>
  <c r="T31" i="90"/>
  <c r="X31" i="90"/>
  <c r="AB31" i="90"/>
  <c r="AE31" i="90"/>
  <c r="AF31" i="90"/>
  <c r="AI31" i="90"/>
  <c r="AJ31" i="90"/>
  <c r="AN31" i="90"/>
  <c r="AP31" i="90"/>
  <c r="AR31" i="90"/>
  <c r="AU31" i="90"/>
  <c r="AV31" i="90"/>
  <c r="AZ31" i="90"/>
  <c r="BD31" i="90"/>
  <c r="BH31" i="90"/>
  <c r="BK31" i="90"/>
  <c r="BL31" i="90"/>
  <c r="BO31" i="90"/>
  <c r="BP31" i="90"/>
  <c r="BT31" i="90"/>
  <c r="BV31" i="90"/>
  <c r="BX31" i="90"/>
  <c r="BZ31" i="90"/>
  <c r="CA31" i="90"/>
  <c r="CB31" i="90"/>
  <c r="CF31" i="90"/>
  <c r="CX31" i="90"/>
  <c r="CY31" i="90"/>
  <c r="AH31" i="90" s="1"/>
  <c r="CZ31" i="90"/>
  <c r="W31" i="90" s="1"/>
  <c r="L32" i="90"/>
  <c r="O32" i="90"/>
  <c r="P32" i="90"/>
  <c r="S32" i="90"/>
  <c r="T32" i="90"/>
  <c r="W32" i="90"/>
  <c r="X32" i="90"/>
  <c r="AB32" i="90"/>
  <c r="AE32" i="90"/>
  <c r="AF32" i="90"/>
  <c r="AJ32" i="90"/>
  <c r="AM32" i="90"/>
  <c r="AN32" i="90"/>
  <c r="AQ32" i="90"/>
  <c r="AR32" i="90"/>
  <c r="AU32" i="90"/>
  <c r="AV32" i="90"/>
  <c r="AY32" i="90"/>
  <c r="AZ32" i="90"/>
  <c r="BC32" i="90"/>
  <c r="BD32" i="90"/>
  <c r="BH32" i="90"/>
  <c r="BK32" i="90"/>
  <c r="BL32" i="90"/>
  <c r="BP32" i="90"/>
  <c r="BS32" i="90"/>
  <c r="BT32" i="90"/>
  <c r="BW32" i="90"/>
  <c r="BX32" i="90"/>
  <c r="CA32" i="90"/>
  <c r="CB32" i="90"/>
  <c r="CE32" i="90"/>
  <c r="CF32" i="90"/>
  <c r="CI32" i="90"/>
  <c r="CX32" i="90"/>
  <c r="CY32" i="90"/>
  <c r="R32" i="90" s="1"/>
  <c r="CZ32" i="90"/>
  <c r="AI32" i="90" s="1"/>
  <c r="L33" i="90"/>
  <c r="P33" i="90"/>
  <c r="T33" i="90"/>
  <c r="X33" i="90"/>
  <c r="AB33" i="90"/>
  <c r="AE33" i="90"/>
  <c r="AF33" i="90"/>
  <c r="AI33" i="90"/>
  <c r="AJ33" i="90"/>
  <c r="AN33" i="90"/>
  <c r="AR33" i="90"/>
  <c r="AU33" i="90"/>
  <c r="AV33" i="90"/>
  <c r="AZ33" i="90"/>
  <c r="BD33" i="90"/>
  <c r="BH33" i="90"/>
  <c r="BK33" i="90"/>
  <c r="BL33" i="90"/>
  <c r="BO33" i="90"/>
  <c r="BP33" i="90"/>
  <c r="BT33" i="90"/>
  <c r="BX33" i="90"/>
  <c r="CA33" i="90"/>
  <c r="CB33" i="90"/>
  <c r="CF33" i="90"/>
  <c r="CX33" i="90"/>
  <c r="CY33" i="90"/>
  <c r="AH33" i="90" s="1"/>
  <c r="CZ33" i="90"/>
  <c r="W33" i="90" s="1"/>
  <c r="L34" i="90"/>
  <c r="O34" i="90"/>
  <c r="P34" i="90"/>
  <c r="S34" i="90"/>
  <c r="T34" i="90"/>
  <c r="W34" i="90"/>
  <c r="X34" i="90"/>
  <c r="AB34" i="90"/>
  <c r="AE34" i="90"/>
  <c r="AF34" i="90"/>
  <c r="AJ34" i="90"/>
  <c r="AM34" i="90"/>
  <c r="AN34" i="90"/>
  <c r="AQ34" i="90"/>
  <c r="AR34" i="90"/>
  <c r="AU34" i="90"/>
  <c r="AV34" i="90"/>
  <c r="AY34" i="90"/>
  <c r="AZ34" i="90"/>
  <c r="BC34" i="90"/>
  <c r="BD34" i="90"/>
  <c r="BH34" i="90"/>
  <c r="BK34" i="90"/>
  <c r="BL34" i="90"/>
  <c r="BP34" i="90"/>
  <c r="BS34" i="90"/>
  <c r="BT34" i="90"/>
  <c r="BW34" i="90"/>
  <c r="BX34" i="90"/>
  <c r="CA34" i="90"/>
  <c r="CB34" i="90"/>
  <c r="CE34" i="90"/>
  <c r="CF34" i="90"/>
  <c r="CI34" i="90"/>
  <c r="CX34" i="90"/>
  <c r="CY34" i="90"/>
  <c r="R34" i="90" s="1"/>
  <c r="CZ34" i="90"/>
  <c r="AI34" i="90" s="1"/>
  <c r="L35" i="90"/>
  <c r="O35" i="90"/>
  <c r="P35" i="90"/>
  <c r="T35" i="90"/>
  <c r="X35" i="90"/>
  <c r="AB35" i="90"/>
  <c r="AE35" i="90"/>
  <c r="AF35" i="90"/>
  <c r="AI35" i="90"/>
  <c r="AJ35" i="90"/>
  <c r="AN35" i="90"/>
  <c r="AR35" i="90"/>
  <c r="AU35" i="90"/>
  <c r="AV35" i="90"/>
  <c r="AZ35" i="90"/>
  <c r="BD35" i="90"/>
  <c r="BH35" i="90"/>
  <c r="BK35" i="90"/>
  <c r="BL35" i="90"/>
  <c r="BO35" i="90"/>
  <c r="BP35" i="90"/>
  <c r="BT35" i="90"/>
  <c r="BX35" i="90"/>
  <c r="CA35" i="90"/>
  <c r="CB35" i="90"/>
  <c r="CF35" i="90"/>
  <c r="CX35" i="90"/>
  <c r="CY35" i="90"/>
  <c r="AH35" i="90" s="1"/>
  <c r="CZ35" i="90"/>
  <c r="W35" i="90" s="1"/>
  <c r="L36" i="90"/>
  <c r="O36" i="90"/>
  <c r="P36" i="90"/>
  <c r="S36" i="90"/>
  <c r="T36" i="90"/>
  <c r="W36" i="90"/>
  <c r="X36" i="90"/>
  <c r="AB36" i="90"/>
  <c r="AE36" i="90"/>
  <c r="AF36" i="90"/>
  <c r="AJ36" i="90"/>
  <c r="AM36" i="90"/>
  <c r="AN36" i="90"/>
  <c r="AQ36" i="90"/>
  <c r="AR36" i="90"/>
  <c r="AU36" i="90"/>
  <c r="AY36" i="90"/>
  <c r="AZ36" i="90"/>
  <c r="BC36" i="90"/>
  <c r="BD36" i="90"/>
  <c r="BH36" i="90"/>
  <c r="BK36" i="90"/>
  <c r="BL36" i="90"/>
  <c r="BP36" i="90"/>
  <c r="BS36" i="90"/>
  <c r="BT36" i="90"/>
  <c r="BW36" i="90"/>
  <c r="BX36" i="90"/>
  <c r="CA36" i="90"/>
  <c r="CB36" i="90"/>
  <c r="CE36" i="90"/>
  <c r="CF36" i="90"/>
  <c r="CI36" i="90"/>
  <c r="CX36" i="90"/>
  <c r="CY36" i="90"/>
  <c r="R36" i="90" s="1"/>
  <c r="CZ36" i="90"/>
  <c r="AI36" i="90" s="1"/>
  <c r="L37" i="90"/>
  <c r="O37" i="90"/>
  <c r="P37" i="90"/>
  <c r="T37" i="90"/>
  <c r="X37" i="90"/>
  <c r="AB37" i="90"/>
  <c r="AE37" i="90"/>
  <c r="AF37" i="90"/>
  <c r="AI37" i="90"/>
  <c r="AJ37" i="90"/>
  <c r="AN37" i="90"/>
  <c r="AR37" i="90"/>
  <c r="AU37" i="90"/>
  <c r="AV37" i="90"/>
  <c r="AZ37" i="90"/>
  <c r="BD37" i="90"/>
  <c r="BH37" i="90"/>
  <c r="BK37" i="90"/>
  <c r="BL37" i="90"/>
  <c r="BO37" i="90"/>
  <c r="BP37" i="90"/>
  <c r="BT37" i="90"/>
  <c r="BV37" i="90"/>
  <c r="BX37" i="90"/>
  <c r="CA37" i="90"/>
  <c r="CB37" i="90"/>
  <c r="CF37" i="90"/>
  <c r="CX37" i="90"/>
  <c r="CY37" i="90"/>
  <c r="AH37" i="90" s="1"/>
  <c r="CZ37" i="90"/>
  <c r="W37" i="90" s="1"/>
  <c r="L38" i="90"/>
  <c r="O38" i="90"/>
  <c r="P38" i="90"/>
  <c r="S38" i="90"/>
  <c r="T38" i="90"/>
  <c r="W38" i="90"/>
  <c r="X38" i="90"/>
  <c r="AB38" i="90"/>
  <c r="AE38" i="90"/>
  <c r="AF38" i="90"/>
  <c r="AJ38" i="90"/>
  <c r="AM38" i="90"/>
  <c r="AN38" i="90"/>
  <c r="AQ38" i="90"/>
  <c r="AR38" i="90"/>
  <c r="AU38" i="90"/>
  <c r="AV38" i="90"/>
  <c r="AY38" i="90"/>
  <c r="AZ38" i="90"/>
  <c r="BC38" i="90"/>
  <c r="BH38" i="90"/>
  <c r="BK38" i="90"/>
  <c r="BL38" i="90"/>
  <c r="BP38" i="90"/>
  <c r="BS38" i="90"/>
  <c r="BT38" i="90"/>
  <c r="BW38" i="90"/>
  <c r="BX38" i="90"/>
  <c r="CA38" i="90"/>
  <c r="CB38" i="90"/>
  <c r="CE38" i="90"/>
  <c r="CF38" i="90"/>
  <c r="CI38" i="90"/>
  <c r="CX38" i="90"/>
  <c r="CY38" i="90"/>
  <c r="R38" i="90" s="1"/>
  <c r="CZ38" i="90"/>
  <c r="AI38" i="90" s="1"/>
  <c r="L39" i="90"/>
  <c r="O39" i="90"/>
  <c r="P39" i="90"/>
  <c r="T39" i="90"/>
  <c r="X39" i="90"/>
  <c r="AB39" i="90"/>
  <c r="AE39" i="90"/>
  <c r="AF39" i="90"/>
  <c r="AI39" i="90"/>
  <c r="AJ39" i="90"/>
  <c r="AN39" i="90"/>
  <c r="AR39" i="90"/>
  <c r="AU39" i="90"/>
  <c r="AV39" i="90"/>
  <c r="AZ39" i="90"/>
  <c r="BD39" i="90"/>
  <c r="BH39" i="90"/>
  <c r="BK39" i="90"/>
  <c r="BL39" i="90"/>
  <c r="BO39" i="90"/>
  <c r="BP39" i="90"/>
  <c r="BT39" i="90"/>
  <c r="BV39" i="90"/>
  <c r="BX39" i="90"/>
  <c r="CA39" i="90"/>
  <c r="CB39" i="90"/>
  <c r="CF39" i="90"/>
  <c r="CX39" i="90"/>
  <c r="CY39" i="90"/>
  <c r="AH39" i="90" s="1"/>
  <c r="CZ39" i="90"/>
  <c r="W39" i="90" s="1"/>
  <c r="L14" i="90"/>
  <c r="P14" i="90"/>
  <c r="T14" i="90"/>
  <c r="X14" i="90"/>
  <c r="AB14" i="90"/>
  <c r="AF14" i="90"/>
  <c r="AJ14" i="90"/>
  <c r="AN14" i="90"/>
  <c r="AR14" i="90"/>
  <c r="AV14" i="90"/>
  <c r="AZ14" i="90"/>
  <c r="BD14" i="90"/>
  <c r="BH14" i="90"/>
  <c r="BL14" i="90"/>
  <c r="BP14" i="90"/>
  <c r="BT14" i="90"/>
  <c r="BX14" i="90"/>
  <c r="CB14" i="90"/>
  <c r="CF14" i="90"/>
  <c r="L15" i="90"/>
  <c r="P15" i="90"/>
  <c r="T15" i="90"/>
  <c r="X15" i="90"/>
  <c r="AB15" i="90"/>
  <c r="AF15" i="90"/>
  <c r="AJ15" i="90"/>
  <c r="AN15" i="90"/>
  <c r="AR15" i="90"/>
  <c r="AV15" i="90"/>
  <c r="AZ15" i="90"/>
  <c r="BD15" i="90"/>
  <c r="BH15" i="90"/>
  <c r="BL15" i="90"/>
  <c r="BP15" i="90"/>
  <c r="BT15" i="90"/>
  <c r="BX15" i="90"/>
  <c r="CB15" i="90"/>
  <c r="CF15" i="90"/>
  <c r="L16" i="90"/>
  <c r="P16" i="90"/>
  <c r="T16" i="90"/>
  <c r="X16" i="90"/>
  <c r="AB16" i="90"/>
  <c r="AF16" i="90"/>
  <c r="AJ16" i="90"/>
  <c r="AN16" i="90"/>
  <c r="AR16" i="90"/>
  <c r="AV16" i="90"/>
  <c r="AZ16" i="90"/>
  <c r="BD16" i="90"/>
  <c r="BH16" i="90"/>
  <c r="BL16" i="90"/>
  <c r="BP16" i="90"/>
  <c r="BT16" i="90"/>
  <c r="BX16" i="90"/>
  <c r="CB16" i="90"/>
  <c r="CF16" i="90"/>
  <c r="L17" i="90"/>
  <c r="P17" i="90"/>
  <c r="T17" i="90"/>
  <c r="X17" i="90"/>
  <c r="AB17" i="90"/>
  <c r="AF17" i="90"/>
  <c r="AJ17" i="90"/>
  <c r="AN17" i="90"/>
  <c r="AR17" i="90"/>
  <c r="AV17" i="90"/>
  <c r="AZ17" i="90"/>
  <c r="BD17" i="90"/>
  <c r="BH17" i="90"/>
  <c r="BL17" i="90"/>
  <c r="BP17" i="90"/>
  <c r="BT17" i="90"/>
  <c r="BX17" i="90"/>
  <c r="CB17" i="90"/>
  <c r="CF17" i="90"/>
  <c r="L18" i="90"/>
  <c r="P18" i="90"/>
  <c r="T18" i="90"/>
  <c r="X18" i="90"/>
  <c r="AB18" i="90"/>
  <c r="AF18" i="90"/>
  <c r="AJ18" i="90"/>
  <c r="AN18" i="90"/>
  <c r="AR18" i="90"/>
  <c r="AV18" i="90"/>
  <c r="AZ18" i="90"/>
  <c r="BD18" i="90"/>
  <c r="BH18" i="90"/>
  <c r="BL18" i="90"/>
  <c r="BP18" i="90"/>
  <c r="BT18" i="90"/>
  <c r="BX18" i="90"/>
  <c r="CB18" i="90"/>
  <c r="CF18" i="90"/>
  <c r="L19" i="90"/>
  <c r="P19" i="90"/>
  <c r="T19" i="90"/>
  <c r="X19" i="90"/>
  <c r="AB19" i="90"/>
  <c r="AF19" i="90"/>
  <c r="AJ19" i="90"/>
  <c r="AN19" i="90"/>
  <c r="AR19" i="90"/>
  <c r="AV19" i="90"/>
  <c r="AZ19" i="90"/>
  <c r="BD19" i="90"/>
  <c r="BH19" i="90"/>
  <c r="BL19" i="90"/>
  <c r="BP19" i="90"/>
  <c r="BT19" i="90"/>
  <c r="BX19" i="90"/>
  <c r="CB19" i="90"/>
  <c r="CF19" i="90"/>
  <c r="L20" i="90"/>
  <c r="P20" i="90"/>
  <c r="T20" i="90"/>
  <c r="X20" i="90"/>
  <c r="AB20" i="90"/>
  <c r="AF20" i="90"/>
  <c r="AJ20" i="90"/>
  <c r="AN20" i="90"/>
  <c r="AR20" i="90"/>
  <c r="AV20" i="90"/>
  <c r="AZ20" i="90"/>
  <c r="BD20" i="90"/>
  <c r="BH20" i="90"/>
  <c r="BL20" i="90"/>
  <c r="BP20" i="90"/>
  <c r="BT20" i="90"/>
  <c r="BX20" i="90"/>
  <c r="CB20" i="90"/>
  <c r="CF20" i="90"/>
  <c r="L21" i="90"/>
  <c r="P21" i="90"/>
  <c r="T21" i="90"/>
  <c r="X21" i="90"/>
  <c r="AB21" i="90"/>
  <c r="AF21" i="90"/>
  <c r="AJ21" i="90"/>
  <c r="AN21" i="90"/>
  <c r="AR21" i="90"/>
  <c r="AV21" i="90"/>
  <c r="AZ21" i="90"/>
  <c r="BD21" i="90"/>
  <c r="BH21" i="90"/>
  <c r="BL21" i="90"/>
  <c r="BP21" i="90"/>
  <c r="BT21" i="90"/>
  <c r="BX21" i="90"/>
  <c r="CB21" i="90"/>
  <c r="CF21" i="90"/>
  <c r="L22" i="90"/>
  <c r="P22" i="90"/>
  <c r="T22" i="90"/>
  <c r="X22" i="90"/>
  <c r="AB22" i="90"/>
  <c r="AF22" i="90"/>
  <c r="AJ22" i="90"/>
  <c r="AN22" i="90"/>
  <c r="AR22" i="90"/>
  <c r="AV22" i="90"/>
  <c r="AZ22" i="90"/>
  <c r="BD22" i="90"/>
  <c r="BH22" i="90"/>
  <c r="BL22" i="90"/>
  <c r="BP22" i="90"/>
  <c r="BT22" i="90"/>
  <c r="BX22" i="90"/>
  <c r="CB22" i="90"/>
  <c r="CF22" i="90"/>
  <c r="L23" i="90"/>
  <c r="P23" i="90"/>
  <c r="T23" i="90"/>
  <c r="X23" i="90"/>
  <c r="AB23" i="90"/>
  <c r="AF23" i="90"/>
  <c r="AJ23" i="90"/>
  <c r="AN23" i="90"/>
  <c r="AR23" i="90"/>
  <c r="AV23" i="90"/>
  <c r="AZ23" i="90"/>
  <c r="BD23" i="90"/>
  <c r="BH23" i="90"/>
  <c r="BL23" i="90"/>
  <c r="BP23" i="90"/>
  <c r="BT23" i="90"/>
  <c r="BX23" i="90"/>
  <c r="CB23" i="90"/>
  <c r="CF23" i="90"/>
  <c r="L24" i="90"/>
  <c r="P24" i="90"/>
  <c r="T24" i="90"/>
  <c r="X24" i="90"/>
  <c r="AB24" i="90"/>
  <c r="AF24" i="90"/>
  <c r="AJ24" i="90"/>
  <c r="AN24" i="90"/>
  <c r="AR24" i="90"/>
  <c r="AV24" i="90"/>
  <c r="AZ24" i="90"/>
  <c r="BD24" i="90"/>
  <c r="BH24" i="90"/>
  <c r="BL24" i="90"/>
  <c r="BP24" i="90"/>
  <c r="BT24" i="90"/>
  <c r="BX24" i="90"/>
  <c r="CB24" i="90"/>
  <c r="CF24" i="90"/>
  <c r="L25" i="90"/>
  <c r="P25" i="90"/>
  <c r="T25" i="90"/>
  <c r="X25" i="90"/>
  <c r="AB25" i="90"/>
  <c r="AF25" i="90"/>
  <c r="AJ25" i="90"/>
  <c r="AN25" i="90"/>
  <c r="AR25" i="90"/>
  <c r="AV25" i="90"/>
  <c r="AZ25" i="90"/>
  <c r="BD25" i="90"/>
  <c r="BH25" i="90"/>
  <c r="BL25" i="90"/>
  <c r="BP25" i="90"/>
  <c r="BT25" i="90"/>
  <c r="BX25" i="90"/>
  <c r="CB25" i="90"/>
  <c r="CF25" i="90"/>
  <c r="L68" i="90"/>
  <c r="P68" i="90"/>
  <c r="T68" i="90"/>
  <c r="X68" i="90"/>
  <c r="AB68" i="90"/>
  <c r="AF68" i="90"/>
  <c r="AJ68" i="90"/>
  <c r="AN68" i="90"/>
  <c r="AR68" i="90"/>
  <c r="AV68" i="90"/>
  <c r="AZ68" i="90"/>
  <c r="BD68" i="90"/>
  <c r="BH68" i="90"/>
  <c r="BL68" i="90"/>
  <c r="BP68" i="90"/>
  <c r="BT68" i="90"/>
  <c r="BX68" i="90"/>
  <c r="CB68" i="90"/>
  <c r="CF68" i="90"/>
  <c r="L7" i="90"/>
  <c r="P7" i="90"/>
  <c r="T7" i="90"/>
  <c r="X7" i="90"/>
  <c r="AB7" i="90"/>
  <c r="AF7" i="90"/>
  <c r="AJ7" i="90"/>
  <c r="AN7" i="90"/>
  <c r="AR7" i="90"/>
  <c r="AV7" i="90"/>
  <c r="AZ7" i="90"/>
  <c r="BD7" i="90"/>
  <c r="BH7" i="90"/>
  <c r="BL7" i="90"/>
  <c r="BP7" i="90"/>
  <c r="BT7" i="90"/>
  <c r="BX7" i="90"/>
  <c r="CB7" i="90"/>
  <c r="CF7" i="90"/>
  <c r="DH7" i="90"/>
  <c r="DK7" i="90"/>
  <c r="DM7" i="90"/>
  <c r="DN7" i="90"/>
  <c r="L8" i="90"/>
  <c r="P8" i="90"/>
  <c r="T8" i="90"/>
  <c r="X8" i="90"/>
  <c r="AB8" i="90"/>
  <c r="AF8" i="90"/>
  <c r="AJ8" i="90"/>
  <c r="AN8" i="90"/>
  <c r="AR8" i="90"/>
  <c r="AV8" i="90"/>
  <c r="AZ8" i="90"/>
  <c r="BD8" i="90"/>
  <c r="BH8" i="90"/>
  <c r="BL8" i="90"/>
  <c r="BP8" i="90"/>
  <c r="BT8" i="90"/>
  <c r="BX8" i="90"/>
  <c r="CB8" i="90"/>
  <c r="CF8" i="90"/>
  <c r="DH8" i="90"/>
  <c r="DK8" i="90"/>
  <c r="DM8" i="90"/>
  <c r="L9" i="90"/>
  <c r="P9" i="90"/>
  <c r="T9" i="90"/>
  <c r="X9" i="90"/>
  <c r="AB9" i="90"/>
  <c r="AF9" i="90"/>
  <c r="AJ9" i="90"/>
  <c r="AN9" i="90"/>
  <c r="AR9" i="90"/>
  <c r="AV9" i="90"/>
  <c r="AZ9" i="90"/>
  <c r="BD9" i="90"/>
  <c r="BH9" i="90"/>
  <c r="BL9" i="90"/>
  <c r="BP9" i="90"/>
  <c r="BT9" i="90"/>
  <c r="BX9" i="90"/>
  <c r="CB9" i="90"/>
  <c r="CF9" i="90"/>
  <c r="DH9" i="90"/>
  <c r="DK9" i="90"/>
  <c r="DM9" i="90"/>
  <c r="L10" i="90"/>
  <c r="P10" i="90"/>
  <c r="T10" i="90"/>
  <c r="X10" i="90"/>
  <c r="AB10" i="90"/>
  <c r="AF10" i="90"/>
  <c r="AJ10" i="90"/>
  <c r="AN10" i="90"/>
  <c r="AR10" i="90"/>
  <c r="AV10" i="90"/>
  <c r="AZ10" i="90"/>
  <c r="BD10" i="90"/>
  <c r="BH10" i="90"/>
  <c r="BL10" i="90"/>
  <c r="BP10" i="90"/>
  <c r="BT10" i="90"/>
  <c r="BX10" i="90"/>
  <c r="CB10" i="90"/>
  <c r="CF10" i="90"/>
  <c r="DH10" i="90"/>
  <c r="DK10" i="90"/>
  <c r="DM10" i="90"/>
  <c r="L11" i="90"/>
  <c r="P11" i="90"/>
  <c r="T11" i="90"/>
  <c r="X11" i="90"/>
  <c r="AB11" i="90"/>
  <c r="AF11" i="90"/>
  <c r="AJ11" i="90"/>
  <c r="AN11" i="90"/>
  <c r="AR11" i="90"/>
  <c r="AV11" i="90"/>
  <c r="AZ11" i="90"/>
  <c r="BD11" i="90"/>
  <c r="BH11" i="90"/>
  <c r="BL11" i="90"/>
  <c r="BP11" i="90"/>
  <c r="BT11" i="90"/>
  <c r="BX11" i="90"/>
  <c r="CB11" i="90"/>
  <c r="CF11" i="90"/>
  <c r="L12" i="90"/>
  <c r="P12" i="90"/>
  <c r="T12" i="90"/>
  <c r="X12" i="90"/>
  <c r="AB12" i="90"/>
  <c r="AF12" i="90"/>
  <c r="AJ12" i="90"/>
  <c r="AN12" i="90"/>
  <c r="AR12" i="90"/>
  <c r="AV12" i="90"/>
  <c r="AZ12" i="90"/>
  <c r="BD12" i="90"/>
  <c r="BH12" i="90"/>
  <c r="BL12" i="90"/>
  <c r="BP12" i="90"/>
  <c r="BT12" i="90"/>
  <c r="BX12" i="90"/>
  <c r="CB12" i="90"/>
  <c r="CF12" i="90"/>
  <c r="L13" i="90"/>
  <c r="P13" i="90"/>
  <c r="T13" i="90"/>
  <c r="X13" i="90"/>
  <c r="AB13" i="90"/>
  <c r="AF13" i="90"/>
  <c r="AJ13" i="90"/>
  <c r="AN13" i="90"/>
  <c r="AR13" i="90"/>
  <c r="AV13" i="90"/>
  <c r="AZ13" i="90"/>
  <c r="BD13" i="90"/>
  <c r="BH13" i="90"/>
  <c r="BL13" i="90"/>
  <c r="BP13" i="90"/>
  <c r="BT13" i="90"/>
  <c r="BX13" i="90"/>
  <c r="CB13" i="90"/>
  <c r="CF13" i="90"/>
  <c r="L57" i="86"/>
  <c r="D58" i="86"/>
  <c r="E58" i="86"/>
  <c r="F58" i="86"/>
  <c r="G58" i="86"/>
  <c r="H58" i="86"/>
  <c r="I58" i="86"/>
  <c r="J58" i="86"/>
  <c r="K58" i="86"/>
  <c r="X8" i="86"/>
  <c r="X9" i="86"/>
  <c r="X10" i="86"/>
  <c r="X11" i="86"/>
  <c r="X12" i="86"/>
  <c r="X13" i="86"/>
  <c r="X14" i="86"/>
  <c r="X15" i="86"/>
  <c r="X16" i="86"/>
  <c r="X17" i="86"/>
  <c r="X18" i="86"/>
  <c r="X19" i="86"/>
  <c r="X20" i="86"/>
  <c r="X21" i="86"/>
  <c r="X22" i="86"/>
  <c r="X23" i="86"/>
  <c r="X24" i="86"/>
  <c r="X25" i="86"/>
  <c r="X26" i="86"/>
  <c r="X27" i="86"/>
  <c r="X28" i="86"/>
  <c r="X29" i="86"/>
  <c r="X30" i="86"/>
  <c r="X31" i="86"/>
  <c r="X32" i="86"/>
  <c r="X33" i="86"/>
  <c r="X34" i="86"/>
  <c r="X35" i="86"/>
  <c r="X36" i="86"/>
  <c r="X37" i="86"/>
  <c r="X38" i="86"/>
  <c r="X39" i="86"/>
  <c r="X40" i="86"/>
  <c r="L1" i="84"/>
  <c r="P1" i="84"/>
  <c r="AD9" i="84"/>
  <c r="AE9" i="84"/>
  <c r="AF9" i="84"/>
  <c r="V10" i="84"/>
  <c r="W10" i="84"/>
  <c r="X10" i="84"/>
  <c r="Y10" i="84"/>
  <c r="Z10" i="84"/>
  <c r="AA10" i="84"/>
  <c r="AD10" i="84"/>
  <c r="AE10" i="84"/>
  <c r="V11" i="84"/>
  <c r="W11" i="84"/>
  <c r="X11" i="84"/>
  <c r="Y11" i="84"/>
  <c r="Z11" i="84"/>
  <c r="AA11" i="84"/>
  <c r="AD11" i="84"/>
  <c r="AE11" i="84"/>
  <c r="V12" i="84"/>
  <c r="W12" i="84"/>
  <c r="X12" i="84"/>
  <c r="Y12" i="84"/>
  <c r="Z12" i="84"/>
  <c r="AA12" i="84"/>
  <c r="AD12" i="84"/>
  <c r="AE12" i="84"/>
  <c r="R13" i="84"/>
  <c r="V13" i="84"/>
  <c r="AF13" i="84" s="1"/>
  <c r="W13" i="84"/>
  <c r="X13" i="84"/>
  <c r="Y13" i="84"/>
  <c r="Z13" i="84"/>
  <c r="AA13" i="84"/>
  <c r="AD13" i="84"/>
  <c r="AE13" i="84"/>
  <c r="R14" i="84"/>
  <c r="V14" i="84"/>
  <c r="W14" i="84"/>
  <c r="X14" i="84"/>
  <c r="Y14" i="84"/>
  <c r="Z14" i="84"/>
  <c r="AA14" i="84"/>
  <c r="AD14" i="84"/>
  <c r="AE14" i="84"/>
  <c r="R15" i="84"/>
  <c r="V15" i="84"/>
  <c r="AF15" i="84" s="1"/>
  <c r="W15" i="84"/>
  <c r="X15" i="84"/>
  <c r="Y15" i="84"/>
  <c r="Z15" i="84"/>
  <c r="AA15" i="84"/>
  <c r="AD15" i="84"/>
  <c r="AE15" i="84"/>
  <c r="V16" i="84"/>
  <c r="W16" i="84"/>
  <c r="X16" i="84"/>
  <c r="Y16" i="84"/>
  <c r="Z16" i="84"/>
  <c r="AA16" i="84"/>
  <c r="AD16" i="84"/>
  <c r="AE16" i="84"/>
  <c r="R16" i="84" s="1"/>
  <c r="AD17" i="84"/>
  <c r="AE17" i="84"/>
  <c r="AF17" i="84"/>
  <c r="AD18" i="84"/>
  <c r="AE18" i="84"/>
  <c r="AF18" i="84"/>
  <c r="AD19" i="84"/>
  <c r="AE19" i="84"/>
  <c r="AF19" i="84"/>
  <c r="V20" i="84"/>
  <c r="W20" i="84"/>
  <c r="X20" i="84"/>
  <c r="Y20" i="84"/>
  <c r="Z20" i="84"/>
  <c r="AA20" i="84"/>
  <c r="AD20" i="84"/>
  <c r="AE20" i="84"/>
  <c r="R20" i="84" s="1"/>
  <c r="L1" i="79"/>
  <c r="P1" i="79"/>
  <c r="T1" i="79"/>
  <c r="X1" i="79"/>
  <c r="AB1" i="79"/>
  <c r="M2" i="79"/>
  <c r="N2" i="79"/>
  <c r="O2" i="79"/>
  <c r="Q2" i="79"/>
  <c r="R2" i="79"/>
  <c r="S2" i="79"/>
  <c r="U2" i="79"/>
  <c r="V2" i="79"/>
  <c r="W2" i="79"/>
  <c r="Y2" i="79"/>
  <c r="Z2" i="79"/>
  <c r="AA2" i="79"/>
  <c r="M3" i="79"/>
  <c r="N3" i="79"/>
  <c r="O3" i="79"/>
  <c r="Q3" i="79"/>
  <c r="R3" i="79"/>
  <c r="S3" i="79"/>
  <c r="U3" i="79"/>
  <c r="V3" i="79"/>
  <c r="W3" i="79"/>
  <c r="Y3" i="79"/>
  <c r="Z3" i="79"/>
  <c r="AA3" i="79"/>
  <c r="M4" i="79"/>
  <c r="N4" i="79"/>
  <c r="O4" i="79"/>
  <c r="Q4" i="79"/>
  <c r="R4" i="79"/>
  <c r="S4" i="79"/>
  <c r="U4" i="79"/>
  <c r="V4" i="79"/>
  <c r="W4" i="79"/>
  <c r="Y4" i="79"/>
  <c r="Z4" i="79"/>
  <c r="AA4" i="79"/>
  <c r="M5" i="79"/>
  <c r="N5" i="79"/>
  <c r="O5" i="79"/>
  <c r="Q5" i="79"/>
  <c r="R5" i="79"/>
  <c r="S5" i="79"/>
  <c r="U5" i="79"/>
  <c r="V5" i="79"/>
  <c r="W5" i="79"/>
  <c r="Y5" i="79"/>
  <c r="Z5" i="79"/>
  <c r="AA5" i="79"/>
  <c r="M6" i="79"/>
  <c r="N6" i="79"/>
  <c r="O6" i="79"/>
  <c r="Q6" i="79"/>
  <c r="R6" i="79"/>
  <c r="S6" i="79"/>
  <c r="U6" i="79"/>
  <c r="V6" i="79"/>
  <c r="W6" i="79"/>
  <c r="Y6" i="79"/>
  <c r="Z6" i="79"/>
  <c r="AA6" i="79"/>
  <c r="P8" i="79"/>
  <c r="T9" i="79" s="1"/>
  <c r="X10" i="79" s="1"/>
  <c r="AB11" i="79" s="1"/>
  <c r="T8" i="79"/>
  <c r="X8" i="79"/>
  <c r="AB9" i="79" s="1"/>
  <c r="AB8" i="79"/>
  <c r="X9" i="79"/>
  <c r="AB10" i="79" s="1"/>
  <c r="T10" i="79"/>
  <c r="X11" i="79" s="1"/>
  <c r="T11" i="79"/>
  <c r="L12" i="79"/>
  <c r="L24" i="79" s="1"/>
  <c r="M12" i="79"/>
  <c r="N12" i="79"/>
  <c r="P12" i="79"/>
  <c r="Q12" i="79"/>
  <c r="T12" i="79"/>
  <c r="T24" i="79" s="1"/>
  <c r="U12" i="79"/>
  <c r="V12" i="79"/>
  <c r="X12" i="79"/>
  <c r="Y12" i="79"/>
  <c r="AB12" i="79"/>
  <c r="AB24" i="79" s="1"/>
  <c r="AP12" i="79"/>
  <c r="AQ12" i="79"/>
  <c r="AD12" i="79" s="1"/>
  <c r="AR12" i="79"/>
  <c r="AE12" i="79" s="1"/>
  <c r="M13" i="79"/>
  <c r="O13" i="79"/>
  <c r="P13" i="79"/>
  <c r="Q13" i="79"/>
  <c r="T13" i="79"/>
  <c r="X13" i="79" s="1"/>
  <c r="X23" i="79" s="1"/>
  <c r="U13" i="79"/>
  <c r="W13" i="79"/>
  <c r="Y13" i="79"/>
  <c r="Z13" i="79"/>
  <c r="AB13" i="79"/>
  <c r="AP13" i="79"/>
  <c r="AQ13" i="79"/>
  <c r="AD13" i="79" s="1"/>
  <c r="AR13" i="79"/>
  <c r="AE13" i="79" s="1"/>
  <c r="M14" i="79"/>
  <c r="Q14" i="79"/>
  <c r="S14" i="79"/>
  <c r="U14" i="79"/>
  <c r="V14" i="79"/>
  <c r="Y14" i="79"/>
  <c r="AE14" i="79"/>
  <c r="AA14" i="79" s="1"/>
  <c r="AP14" i="79"/>
  <c r="AQ14" i="79"/>
  <c r="AD14" i="79" s="1"/>
  <c r="AR14" i="79"/>
  <c r="M15" i="79"/>
  <c r="Q15" i="79"/>
  <c r="U15" i="79"/>
  <c r="Y15" i="79"/>
  <c r="AP15" i="79"/>
  <c r="AQ15" i="79"/>
  <c r="AD15" i="79" s="1"/>
  <c r="AR15" i="79"/>
  <c r="AE15" i="79" s="1"/>
  <c r="M16" i="79"/>
  <c r="Q16" i="79"/>
  <c r="U16" i="79"/>
  <c r="V16" i="79"/>
  <c r="W16" i="79"/>
  <c r="Y16" i="79"/>
  <c r="AP16" i="79"/>
  <c r="AQ16" i="79"/>
  <c r="AD16" i="79" s="1"/>
  <c r="AR16" i="79"/>
  <c r="AE16" i="79" s="1"/>
  <c r="M17" i="79"/>
  <c r="O17" i="79"/>
  <c r="Q17" i="79"/>
  <c r="U17" i="79"/>
  <c r="Y17" i="79"/>
  <c r="AD17" i="79"/>
  <c r="AE17" i="79"/>
  <c r="S17" i="79" s="1"/>
  <c r="AP17" i="79"/>
  <c r="AQ17" i="79"/>
  <c r="AR17" i="79"/>
  <c r="M18" i="79"/>
  <c r="N18" i="79"/>
  <c r="Q18" i="79"/>
  <c r="R18" i="79"/>
  <c r="U18" i="79"/>
  <c r="Y18" i="79"/>
  <c r="AD18" i="79"/>
  <c r="AE18" i="79"/>
  <c r="AP18" i="79"/>
  <c r="AQ18" i="79"/>
  <c r="AR18" i="79"/>
  <c r="M19" i="79"/>
  <c r="Q19" i="79"/>
  <c r="U19" i="79"/>
  <c r="Y19" i="79"/>
  <c r="AD19" i="79"/>
  <c r="R19" i="79" s="1"/>
  <c r="AP19" i="79"/>
  <c r="AQ19" i="79"/>
  <c r="AR19" i="79"/>
  <c r="AE19" i="79" s="1"/>
  <c r="S19" i="79" s="1"/>
  <c r="M20" i="79"/>
  <c r="Q20" i="79"/>
  <c r="U20" i="79"/>
  <c r="Y20" i="79"/>
  <c r="Z20" i="79"/>
  <c r="AD20" i="79"/>
  <c r="N20" i="79" s="1"/>
  <c r="AF20" i="79"/>
  <c r="AP20" i="79"/>
  <c r="AQ20" i="79"/>
  <c r="AR20" i="79"/>
  <c r="AE20" i="79" s="1"/>
  <c r="M21" i="79"/>
  <c r="N21" i="79"/>
  <c r="Q21" i="79"/>
  <c r="U21" i="79"/>
  <c r="V21" i="79"/>
  <c r="Y21" i="79"/>
  <c r="Z21" i="79"/>
  <c r="AF21" i="79"/>
  <c r="AP21" i="79"/>
  <c r="AQ21" i="79"/>
  <c r="AD21" i="79" s="1"/>
  <c r="R21" i="79" s="1"/>
  <c r="AR21" i="79"/>
  <c r="AE21" i="79" s="1"/>
  <c r="L22" i="79"/>
  <c r="M22" i="79"/>
  <c r="P22" i="79"/>
  <c r="Q22" i="79"/>
  <c r="R22" i="79"/>
  <c r="T22" i="79"/>
  <c r="U22" i="79"/>
  <c r="W22" i="79"/>
  <c r="X22" i="79"/>
  <c r="Y22" i="79"/>
  <c r="AB22" i="79"/>
  <c r="AP22" i="79"/>
  <c r="AQ22" i="79"/>
  <c r="AD22" i="79" s="1"/>
  <c r="AR22" i="79"/>
  <c r="AE22" i="79" s="1"/>
  <c r="L23" i="79"/>
  <c r="M23" i="79"/>
  <c r="N23" i="79"/>
  <c r="P23" i="79"/>
  <c r="Q23" i="79"/>
  <c r="T23" i="79"/>
  <c r="U23" i="79"/>
  <c r="V23" i="79"/>
  <c r="Y23" i="79"/>
  <c r="AB23" i="79"/>
  <c r="AD23" i="79"/>
  <c r="AE23" i="79"/>
  <c r="S23" i="79" s="1"/>
  <c r="AP23" i="79"/>
  <c r="AQ23" i="79"/>
  <c r="AR23" i="79"/>
  <c r="M24" i="79"/>
  <c r="O24" i="79"/>
  <c r="P24" i="79"/>
  <c r="Q24" i="79"/>
  <c r="U24" i="79"/>
  <c r="X24" i="79"/>
  <c r="Y24" i="79"/>
  <c r="AD24" i="79"/>
  <c r="AE24" i="79"/>
  <c r="W24" i="79" s="1"/>
  <c r="AP24" i="79"/>
  <c r="AQ24" i="79"/>
  <c r="AR24" i="79"/>
  <c r="L1" i="78"/>
  <c r="P1" i="78"/>
  <c r="T1" i="78"/>
  <c r="X1" i="78"/>
  <c r="AB1" i="78"/>
  <c r="M2" i="78"/>
  <c r="N2" i="78"/>
  <c r="O2" i="78"/>
  <c r="Q2" i="78"/>
  <c r="R2" i="78"/>
  <c r="S2" i="78"/>
  <c r="U2" i="78"/>
  <c r="V2" i="78"/>
  <c r="W2" i="78"/>
  <c r="Y2" i="78"/>
  <c r="Z2" i="78"/>
  <c r="AA2" i="78"/>
  <c r="M3" i="78"/>
  <c r="N3" i="78"/>
  <c r="O3" i="78"/>
  <c r="Q3" i="78"/>
  <c r="R3" i="78"/>
  <c r="S3" i="78"/>
  <c r="U3" i="78"/>
  <c r="V3" i="78"/>
  <c r="W3" i="78"/>
  <c r="Y3" i="78"/>
  <c r="Z3" i="78"/>
  <c r="AA3" i="78"/>
  <c r="M4" i="78"/>
  <c r="N4" i="78"/>
  <c r="O4" i="78"/>
  <c r="Q4" i="78"/>
  <c r="R4" i="78"/>
  <c r="S4" i="78"/>
  <c r="U4" i="78"/>
  <c r="V4" i="78"/>
  <c r="W4" i="78"/>
  <c r="Y4" i="78"/>
  <c r="Z4" i="78"/>
  <c r="AA4" i="78"/>
  <c r="M5" i="78"/>
  <c r="N5" i="78"/>
  <c r="O5" i="78"/>
  <c r="Q5" i="78"/>
  <c r="R5" i="78"/>
  <c r="S5" i="78"/>
  <c r="U5" i="78"/>
  <c r="V5" i="78"/>
  <c r="W5" i="78"/>
  <c r="Y5" i="78"/>
  <c r="Z5" i="78"/>
  <c r="AA5" i="78"/>
  <c r="M6" i="78"/>
  <c r="N6" i="78"/>
  <c r="O6" i="78"/>
  <c r="Q6" i="78"/>
  <c r="R6" i="78"/>
  <c r="S6" i="78"/>
  <c r="U6" i="78"/>
  <c r="V6" i="78"/>
  <c r="W6" i="78"/>
  <c r="Y6" i="78"/>
  <c r="Z6" i="78"/>
  <c r="AA6" i="78"/>
  <c r="P8" i="78"/>
  <c r="T8" i="78"/>
  <c r="X8" i="78"/>
  <c r="AB9" i="78" s="1"/>
  <c r="AB8" i="78"/>
  <c r="T9" i="78"/>
  <c r="X10" i="78" s="1"/>
  <c r="AB11" i="78" s="1"/>
  <c r="X9" i="78"/>
  <c r="AB10" i="78" s="1"/>
  <c r="T10" i="78"/>
  <c r="X11" i="78" s="1"/>
  <c r="T11" i="78"/>
  <c r="L12" i="78"/>
  <c r="M12" i="78"/>
  <c r="P12" i="78"/>
  <c r="Q12" i="78"/>
  <c r="T12" i="78"/>
  <c r="U12" i="78"/>
  <c r="X12" i="78"/>
  <c r="Y12" i="78"/>
  <c r="AA12" i="78"/>
  <c r="AB12" i="78"/>
  <c r="AD12" i="78"/>
  <c r="AQ12" i="78"/>
  <c r="AR12" i="78"/>
  <c r="AS12" i="78"/>
  <c r="AE12" i="78" s="1"/>
  <c r="M13" i="78"/>
  <c r="N13" i="78"/>
  <c r="P13" i="78"/>
  <c r="T13" i="78" s="1"/>
  <c r="Q13" i="78"/>
  <c r="U13" i="78"/>
  <c r="X13" i="78"/>
  <c r="AB13" i="78" s="1"/>
  <c r="Y13" i="78"/>
  <c r="AE13" i="78"/>
  <c r="AQ13" i="78"/>
  <c r="AR13" i="78"/>
  <c r="AD13" i="78" s="1"/>
  <c r="AS13" i="78"/>
  <c r="M14" i="78"/>
  <c r="O14" i="78"/>
  <c r="Q14" i="78"/>
  <c r="U14" i="78"/>
  <c r="Y14" i="78"/>
  <c r="AD14" i="78"/>
  <c r="AE14" i="78"/>
  <c r="W14" i="78" s="1"/>
  <c r="AQ14" i="78"/>
  <c r="AR14" i="78"/>
  <c r="AS14" i="78"/>
  <c r="M15" i="78"/>
  <c r="N15" i="78"/>
  <c r="Q15" i="78"/>
  <c r="S15" i="78"/>
  <c r="U15" i="78"/>
  <c r="Y15" i="78"/>
  <c r="AD15" i="78"/>
  <c r="V15" i="78" s="1"/>
  <c r="AE15" i="78"/>
  <c r="AQ15" i="78"/>
  <c r="AR15" i="78"/>
  <c r="AS15" i="78"/>
  <c r="M16" i="78"/>
  <c r="O16" i="78"/>
  <c r="Q16" i="78"/>
  <c r="R16" i="78"/>
  <c r="U16" i="78"/>
  <c r="Y16" i="78"/>
  <c r="Z16" i="78"/>
  <c r="AD16" i="78"/>
  <c r="AQ16" i="78"/>
  <c r="AR16" i="78"/>
  <c r="AS16" i="78"/>
  <c r="AE16" i="78" s="1"/>
  <c r="M17" i="78"/>
  <c r="O17" i="78"/>
  <c r="Q17" i="78"/>
  <c r="U17" i="78"/>
  <c r="Y17" i="78"/>
  <c r="AA17" i="78"/>
  <c r="AE17" i="78"/>
  <c r="S17" i="78" s="1"/>
  <c r="AQ17" i="78"/>
  <c r="AR17" i="78"/>
  <c r="AD17" i="78" s="1"/>
  <c r="AS17" i="78"/>
  <c r="M18" i="78"/>
  <c r="N18" i="78"/>
  <c r="O18" i="78"/>
  <c r="Q18" i="78"/>
  <c r="U18" i="78"/>
  <c r="Y18" i="78"/>
  <c r="Z18" i="78"/>
  <c r="AD18" i="78"/>
  <c r="R18" i="78" s="1"/>
  <c r="AQ18" i="78"/>
  <c r="AR18" i="78"/>
  <c r="AS18" i="78"/>
  <c r="AE18" i="78" s="1"/>
  <c r="W18" i="78" s="1"/>
  <c r="M19" i="78"/>
  <c r="N19" i="78"/>
  <c r="Q19" i="78"/>
  <c r="U19" i="78"/>
  <c r="V19" i="78"/>
  <c r="Y19" i="78"/>
  <c r="AE19" i="78"/>
  <c r="O19" i="78" s="1"/>
  <c r="AQ19" i="78"/>
  <c r="AR19" i="78"/>
  <c r="AD19" i="78" s="1"/>
  <c r="AS19" i="78"/>
  <c r="M20" i="78"/>
  <c r="Q20" i="78"/>
  <c r="U20" i="78"/>
  <c r="W20" i="78"/>
  <c r="Y20" i="78"/>
  <c r="AF20" i="78"/>
  <c r="L22" i="78" s="1"/>
  <c r="AQ20" i="78"/>
  <c r="AR20" i="78"/>
  <c r="AD20" i="78" s="1"/>
  <c r="AS20" i="78"/>
  <c r="AE20" i="78" s="1"/>
  <c r="M21" i="78"/>
  <c r="O21" i="78"/>
  <c r="Q21" i="78"/>
  <c r="U21" i="78"/>
  <c r="Y21" i="78"/>
  <c r="AD21" i="78"/>
  <c r="AE21" i="78"/>
  <c r="W21" i="78" s="1"/>
  <c r="AF21" i="78"/>
  <c r="AQ21" i="78"/>
  <c r="AR21" i="78"/>
  <c r="AS21" i="78"/>
  <c r="M22" i="78"/>
  <c r="Q22" i="78"/>
  <c r="U22" i="78"/>
  <c r="Y22" i="78"/>
  <c r="AE22" i="78"/>
  <c r="AQ22" i="78"/>
  <c r="AR22" i="78"/>
  <c r="AD22" i="78" s="1"/>
  <c r="V22" i="78" s="1"/>
  <c r="AS22" i="78"/>
  <c r="M23" i="78"/>
  <c r="Q23" i="78"/>
  <c r="U23" i="78"/>
  <c r="V23" i="78"/>
  <c r="Y23" i="78"/>
  <c r="AE23" i="78"/>
  <c r="AQ23" i="78"/>
  <c r="AR23" i="78"/>
  <c r="AD23" i="78" s="1"/>
  <c r="N23" i="78" s="1"/>
  <c r="AS23" i="78"/>
  <c r="L24" i="78"/>
  <c r="M24" i="78"/>
  <c r="P24" i="78"/>
  <c r="Q24" i="78"/>
  <c r="S24" i="78"/>
  <c r="T24" i="78"/>
  <c r="U24" i="78"/>
  <c r="X24" i="78"/>
  <c r="Y24" i="78"/>
  <c r="AA24" i="78"/>
  <c r="AB24" i="78"/>
  <c r="AE24" i="78"/>
  <c r="O24" i="78" s="1"/>
  <c r="AQ24" i="78"/>
  <c r="AR24" i="78"/>
  <c r="AD24" i="78" s="1"/>
  <c r="AS24" i="78"/>
  <c r="L1" i="77"/>
  <c r="P1" i="77"/>
  <c r="T1" i="77"/>
  <c r="X1" i="77"/>
  <c r="AB1" i="77"/>
  <c r="M2" i="77"/>
  <c r="N2" i="77"/>
  <c r="O2" i="77"/>
  <c r="Q2" i="77"/>
  <c r="R2" i="77"/>
  <c r="S2" i="77"/>
  <c r="U2" i="77"/>
  <c r="V2" i="77"/>
  <c r="W2" i="77"/>
  <c r="Y2" i="77"/>
  <c r="Z2" i="77"/>
  <c r="AA2" i="77"/>
  <c r="M3" i="77"/>
  <c r="N3" i="77"/>
  <c r="O3" i="77"/>
  <c r="Q3" i="77"/>
  <c r="R3" i="77"/>
  <c r="S3" i="77"/>
  <c r="U3" i="77"/>
  <c r="V3" i="77"/>
  <c r="W3" i="77"/>
  <c r="Y3" i="77"/>
  <c r="Z3" i="77"/>
  <c r="AA3" i="77"/>
  <c r="M4" i="77"/>
  <c r="N4" i="77"/>
  <c r="O4" i="77"/>
  <c r="Q4" i="77"/>
  <c r="R4" i="77"/>
  <c r="S4" i="77"/>
  <c r="U4" i="77"/>
  <c r="V4" i="77"/>
  <c r="W4" i="77"/>
  <c r="Y4" i="77"/>
  <c r="Z4" i="77"/>
  <c r="AA4" i="77"/>
  <c r="M5" i="77"/>
  <c r="N5" i="77"/>
  <c r="O5" i="77"/>
  <c r="Q5" i="77"/>
  <c r="R5" i="77"/>
  <c r="S5" i="77"/>
  <c r="U5" i="77"/>
  <c r="V5" i="77"/>
  <c r="W5" i="77"/>
  <c r="Y5" i="77"/>
  <c r="Z5" i="77"/>
  <c r="AA5" i="77"/>
  <c r="M6" i="77"/>
  <c r="N6" i="77"/>
  <c r="O6" i="77"/>
  <c r="Q6" i="77"/>
  <c r="R6" i="77"/>
  <c r="S6" i="77"/>
  <c r="U6" i="77"/>
  <c r="V6" i="77"/>
  <c r="W6" i="77"/>
  <c r="Y6" i="77"/>
  <c r="Z6" i="77"/>
  <c r="AA6" i="77"/>
  <c r="P8" i="77"/>
  <c r="T9" i="77" s="1"/>
  <c r="X10" i="77" s="1"/>
  <c r="AB11" i="77" s="1"/>
  <c r="T8" i="77"/>
  <c r="X8" i="77"/>
  <c r="AB9" i="77" s="1"/>
  <c r="AB8" i="77"/>
  <c r="X9" i="77"/>
  <c r="T10" i="77"/>
  <c r="X11" i="77" s="1"/>
  <c r="AB10" i="77"/>
  <c r="T11" i="77"/>
  <c r="L12" i="77"/>
  <c r="L24" i="77" s="1"/>
  <c r="M12" i="77"/>
  <c r="P12" i="77"/>
  <c r="P24" i="77" s="1"/>
  <c r="Q12" i="77"/>
  <c r="T12" i="77"/>
  <c r="T24" i="77" s="1"/>
  <c r="U12" i="77"/>
  <c r="X12" i="77"/>
  <c r="Y12" i="77"/>
  <c r="AB12" i="77"/>
  <c r="AB24" i="77" s="1"/>
  <c r="AP12" i="77"/>
  <c r="AQ12" i="77"/>
  <c r="AD12" i="77" s="1"/>
  <c r="AR12" i="77"/>
  <c r="AE12" i="77" s="1"/>
  <c r="M13" i="77"/>
  <c r="O13" i="77"/>
  <c r="P13" i="77"/>
  <c r="Q13" i="77"/>
  <c r="R13" i="77"/>
  <c r="S13" i="77"/>
  <c r="T13" i="77"/>
  <c r="U13" i="77"/>
  <c r="Y13" i="77"/>
  <c r="Z13" i="77"/>
  <c r="AA13" i="77"/>
  <c r="AD13" i="77"/>
  <c r="N13" i="77" s="1"/>
  <c r="AP13" i="77"/>
  <c r="AQ13" i="77"/>
  <c r="AR13" i="77"/>
  <c r="AE13" i="77" s="1"/>
  <c r="W13" i="77" s="1"/>
  <c r="M14" i="77"/>
  <c r="Q14" i="77"/>
  <c r="S14" i="77"/>
  <c r="U14" i="77"/>
  <c r="V14" i="77"/>
  <c r="Y14" i="77"/>
  <c r="AE14" i="77"/>
  <c r="O14" i="77" s="1"/>
  <c r="AP14" i="77"/>
  <c r="AQ14" i="77"/>
  <c r="AD14" i="77" s="1"/>
  <c r="R14" i="77" s="1"/>
  <c r="AR14" i="77"/>
  <c r="M15" i="77"/>
  <c r="N15" i="77"/>
  <c r="Q15" i="77"/>
  <c r="R15" i="77"/>
  <c r="U15" i="77"/>
  <c r="W15" i="77"/>
  <c r="Y15" i="77"/>
  <c r="AD15" i="77"/>
  <c r="AP15" i="77"/>
  <c r="AQ15" i="77"/>
  <c r="AR15" i="77"/>
  <c r="AE15" i="77" s="1"/>
  <c r="M16" i="77"/>
  <c r="Q16" i="77"/>
  <c r="U16" i="77"/>
  <c r="V16" i="77"/>
  <c r="W16" i="77"/>
  <c r="Y16" i="77"/>
  <c r="AP16" i="77"/>
  <c r="AQ16" i="77"/>
  <c r="AD16" i="77" s="1"/>
  <c r="AR16" i="77"/>
  <c r="AE16" i="77" s="1"/>
  <c r="M17" i="77"/>
  <c r="O17" i="77"/>
  <c r="Q17" i="77"/>
  <c r="U17" i="77"/>
  <c r="Y17" i="77"/>
  <c r="Z17" i="77"/>
  <c r="AD17" i="77"/>
  <c r="N17" i="77" s="1"/>
  <c r="AE17" i="77"/>
  <c r="W17" i="77" s="1"/>
  <c r="AP17" i="77"/>
  <c r="AQ17" i="77"/>
  <c r="AR17" i="77"/>
  <c r="M18" i="77"/>
  <c r="N18" i="77"/>
  <c r="Q18" i="77"/>
  <c r="S18" i="77"/>
  <c r="U18" i="77"/>
  <c r="Y18" i="77"/>
  <c r="AD18" i="77"/>
  <c r="V18" i="77" s="1"/>
  <c r="AE18" i="77"/>
  <c r="AP18" i="77"/>
  <c r="AQ18" i="77"/>
  <c r="AR18" i="77"/>
  <c r="M19" i="77"/>
  <c r="Q19" i="77"/>
  <c r="U19" i="77"/>
  <c r="Y19" i="77"/>
  <c r="Z19" i="77"/>
  <c r="AD19" i="77"/>
  <c r="R19" i="77" s="1"/>
  <c r="AP19" i="77"/>
  <c r="AQ19" i="77"/>
  <c r="AR19" i="77"/>
  <c r="AE19" i="77" s="1"/>
  <c r="M20" i="77"/>
  <c r="Q20" i="77"/>
  <c r="R20" i="77"/>
  <c r="U20" i="77"/>
  <c r="Y20" i="77"/>
  <c r="AA20" i="77"/>
  <c r="AD20" i="77"/>
  <c r="Z20" i="77" s="1"/>
  <c r="AF20" i="77"/>
  <c r="P22" i="77" s="1"/>
  <c r="AP20" i="77"/>
  <c r="AQ20" i="77"/>
  <c r="AR20" i="77"/>
  <c r="AE20" i="77" s="1"/>
  <c r="M21" i="77"/>
  <c r="Q21" i="77"/>
  <c r="U21" i="77"/>
  <c r="V21" i="77"/>
  <c r="Y21" i="77"/>
  <c r="Z21" i="77"/>
  <c r="AF21" i="77"/>
  <c r="AP21" i="77"/>
  <c r="AQ21" i="77"/>
  <c r="AD21" i="77" s="1"/>
  <c r="R21" i="77" s="1"/>
  <c r="AR21" i="77"/>
  <c r="AE21" i="77" s="1"/>
  <c r="L22" i="77"/>
  <c r="M22" i="77"/>
  <c r="O22" i="77"/>
  <c r="Q22" i="77"/>
  <c r="R22" i="77"/>
  <c r="S22" i="77"/>
  <c r="T22" i="77"/>
  <c r="U22" i="77"/>
  <c r="W22" i="77"/>
  <c r="X22" i="77"/>
  <c r="Y22" i="77"/>
  <c r="Z22" i="77"/>
  <c r="AA22" i="77"/>
  <c r="AB22" i="77"/>
  <c r="AD22" i="77"/>
  <c r="N22" i="77" s="1"/>
  <c r="AP22" i="77"/>
  <c r="AQ22" i="77"/>
  <c r="AR22" i="77"/>
  <c r="AE22" i="77" s="1"/>
  <c r="L23" i="77"/>
  <c r="M23" i="77"/>
  <c r="P23" i="77"/>
  <c r="Q23" i="77"/>
  <c r="U23" i="77"/>
  <c r="Y23" i="77"/>
  <c r="AD23" i="77"/>
  <c r="AP23" i="77"/>
  <c r="AQ23" i="77"/>
  <c r="AR23" i="77"/>
  <c r="AE23" i="77" s="1"/>
  <c r="S23" i="77" s="1"/>
  <c r="M24" i="77"/>
  <c r="O24" i="77"/>
  <c r="Q24" i="77"/>
  <c r="S24" i="77"/>
  <c r="U24" i="77"/>
  <c r="W24" i="77"/>
  <c r="X24" i="77"/>
  <c r="Y24" i="77"/>
  <c r="AA24" i="77"/>
  <c r="AE24" i="77"/>
  <c r="AP24" i="77"/>
  <c r="AQ24" i="77"/>
  <c r="AD24" i="77" s="1"/>
  <c r="AR24" i="77"/>
  <c r="L1" i="76"/>
  <c r="P1" i="76"/>
  <c r="T1" i="76"/>
  <c r="X1" i="76"/>
  <c r="AB1" i="76"/>
  <c r="M2" i="76"/>
  <c r="N2" i="76"/>
  <c r="O2" i="76"/>
  <c r="Q2" i="76"/>
  <c r="R2" i="76"/>
  <c r="S2" i="76"/>
  <c r="U2" i="76"/>
  <c r="V2" i="76"/>
  <c r="W2" i="76"/>
  <c r="Y2" i="76"/>
  <c r="Z2" i="76"/>
  <c r="AA2" i="76"/>
  <c r="M3" i="76"/>
  <c r="N3" i="76"/>
  <c r="O3" i="76"/>
  <c r="Q3" i="76"/>
  <c r="R3" i="76"/>
  <c r="S3" i="76"/>
  <c r="U3" i="76"/>
  <c r="V3" i="76"/>
  <c r="W3" i="76"/>
  <c r="Y3" i="76"/>
  <c r="Z3" i="76"/>
  <c r="AA3" i="76"/>
  <c r="M4" i="76"/>
  <c r="N4" i="76"/>
  <c r="O4" i="76"/>
  <c r="Q4" i="76"/>
  <c r="R4" i="76"/>
  <c r="S4" i="76"/>
  <c r="U4" i="76"/>
  <c r="V4" i="76"/>
  <c r="W4" i="76"/>
  <c r="Y4" i="76"/>
  <c r="Z4" i="76"/>
  <c r="AA4" i="76"/>
  <c r="M5" i="76"/>
  <c r="N5" i="76"/>
  <c r="O5" i="76"/>
  <c r="Q5" i="76"/>
  <c r="R5" i="76"/>
  <c r="S5" i="76"/>
  <c r="U5" i="76"/>
  <c r="V5" i="76"/>
  <c r="W5" i="76"/>
  <c r="Y5" i="76"/>
  <c r="Z5" i="76"/>
  <c r="AA5" i="76"/>
  <c r="M6" i="76"/>
  <c r="N6" i="76"/>
  <c r="O6" i="76"/>
  <c r="Q6" i="76"/>
  <c r="R6" i="76"/>
  <c r="S6" i="76"/>
  <c r="U6" i="76"/>
  <c r="V6" i="76"/>
  <c r="W6" i="76"/>
  <c r="Y6" i="76"/>
  <c r="Z6" i="76"/>
  <c r="AA6" i="76"/>
  <c r="P8" i="76"/>
  <c r="T8" i="76"/>
  <c r="X8" i="76"/>
  <c r="AB9" i="76" s="1"/>
  <c r="AB8" i="76"/>
  <c r="T9" i="76"/>
  <c r="X10" i="76" s="1"/>
  <c r="AB11" i="76" s="1"/>
  <c r="X9" i="76"/>
  <c r="AB10" i="76" s="1"/>
  <c r="T10" i="76"/>
  <c r="T11" i="76"/>
  <c r="X11" i="76"/>
  <c r="L12" i="76"/>
  <c r="L24" i="76" s="1"/>
  <c r="M12" i="76"/>
  <c r="P12" i="76"/>
  <c r="Q12" i="76"/>
  <c r="R12" i="76"/>
  <c r="S12" i="76"/>
  <c r="T12" i="76"/>
  <c r="T24" i="76" s="1"/>
  <c r="U12" i="76"/>
  <c r="W12" i="76"/>
  <c r="X12" i="76"/>
  <c r="Y12" i="76"/>
  <c r="Z12" i="76"/>
  <c r="AB12" i="76"/>
  <c r="AB24" i="76" s="1"/>
  <c r="AD12" i="76"/>
  <c r="N12" i="76" s="1"/>
  <c r="AP12" i="76"/>
  <c r="AQ12" i="76"/>
  <c r="AR12" i="76"/>
  <c r="AE12" i="76" s="1"/>
  <c r="AA12" i="76" s="1"/>
  <c r="M13" i="76"/>
  <c r="N13" i="76"/>
  <c r="P13" i="76"/>
  <c r="Q13" i="76"/>
  <c r="R13" i="76"/>
  <c r="T13" i="76"/>
  <c r="X13" i="76" s="1"/>
  <c r="AB13" i="76" s="1"/>
  <c r="U13" i="76"/>
  <c r="V13" i="76"/>
  <c r="Y13" i="76"/>
  <c r="Z13" i="76"/>
  <c r="AD13" i="76"/>
  <c r="AE13" i="76"/>
  <c r="AP13" i="76"/>
  <c r="AQ13" i="76"/>
  <c r="AR13" i="76"/>
  <c r="M14" i="76"/>
  <c r="Q14" i="76"/>
  <c r="U14" i="76"/>
  <c r="W14" i="76"/>
  <c r="Y14" i="76"/>
  <c r="AD14" i="76"/>
  <c r="R14" i="76" s="1"/>
  <c r="AP14" i="76"/>
  <c r="AQ14" i="76"/>
  <c r="AR14" i="76"/>
  <c r="AE14" i="76" s="1"/>
  <c r="M15" i="76"/>
  <c r="O15" i="76"/>
  <c r="Q15" i="76"/>
  <c r="U15" i="76"/>
  <c r="V15" i="76"/>
  <c r="Y15" i="76"/>
  <c r="AA15" i="76"/>
  <c r="AD15" i="76"/>
  <c r="Z15" i="76" s="1"/>
  <c r="AE15" i="76"/>
  <c r="S15" i="76" s="1"/>
  <c r="AP15" i="76"/>
  <c r="AQ15" i="76"/>
  <c r="AR15" i="76"/>
  <c r="M16" i="76"/>
  <c r="N16" i="76"/>
  <c r="O16" i="76"/>
  <c r="Q16" i="76"/>
  <c r="U16" i="76"/>
  <c r="W16" i="76"/>
  <c r="Y16" i="76"/>
  <c r="Z16" i="76"/>
  <c r="AA16" i="76"/>
  <c r="AD16" i="76"/>
  <c r="R16" i="76" s="1"/>
  <c r="AP16" i="76"/>
  <c r="AQ16" i="76"/>
  <c r="AR16" i="76"/>
  <c r="AE16" i="76" s="1"/>
  <c r="S16" i="76" s="1"/>
  <c r="M17" i="76"/>
  <c r="Q17" i="76"/>
  <c r="S17" i="76"/>
  <c r="U17" i="76"/>
  <c r="Y17" i="76"/>
  <c r="AE17" i="76"/>
  <c r="O17" i="76" s="1"/>
  <c r="AP17" i="76"/>
  <c r="AQ17" i="76"/>
  <c r="AD17" i="76" s="1"/>
  <c r="R17" i="76" s="1"/>
  <c r="AR17" i="76"/>
  <c r="M18" i="76"/>
  <c r="N18" i="76"/>
  <c r="Q18" i="76"/>
  <c r="R18" i="76"/>
  <c r="U18" i="76"/>
  <c r="Y18" i="76"/>
  <c r="AD18" i="76"/>
  <c r="AP18" i="76"/>
  <c r="AQ18" i="76"/>
  <c r="AR18" i="76"/>
  <c r="AE18" i="76" s="1"/>
  <c r="W18" i="76" s="1"/>
  <c r="M19" i="76"/>
  <c r="Q19" i="76"/>
  <c r="U19" i="76"/>
  <c r="V19" i="76"/>
  <c r="W19" i="76"/>
  <c r="Y19" i="76"/>
  <c r="AP19" i="76"/>
  <c r="AQ19" i="76"/>
  <c r="AD19" i="76" s="1"/>
  <c r="AR19" i="76"/>
  <c r="AE19" i="76" s="1"/>
  <c r="M20" i="76"/>
  <c r="O20" i="76"/>
  <c r="Q20" i="76"/>
  <c r="U20" i="76"/>
  <c r="Y20" i="76"/>
  <c r="Z20" i="76"/>
  <c r="AD20" i="76"/>
  <c r="N20" i="76" s="1"/>
  <c r="AE20" i="76"/>
  <c r="W20" i="76" s="1"/>
  <c r="AF20" i="76"/>
  <c r="T22" i="76" s="1"/>
  <c r="AP20" i="76"/>
  <c r="AQ20" i="76"/>
  <c r="AR20" i="76"/>
  <c r="M21" i="76"/>
  <c r="O21" i="76"/>
  <c r="Q21" i="76"/>
  <c r="R21" i="76"/>
  <c r="S21" i="76"/>
  <c r="U21" i="76"/>
  <c r="W21" i="76"/>
  <c r="Y21" i="76"/>
  <c r="AD21" i="76"/>
  <c r="AE21" i="76"/>
  <c r="AA21" i="76" s="1"/>
  <c r="AF21" i="76"/>
  <c r="AP21" i="76"/>
  <c r="AQ21" i="76"/>
  <c r="AR21" i="76"/>
  <c r="M22" i="76"/>
  <c r="N22" i="76"/>
  <c r="O22" i="76"/>
  <c r="Q22" i="76"/>
  <c r="R22" i="76"/>
  <c r="U22" i="76"/>
  <c r="V22" i="76"/>
  <c r="Y22" i="76"/>
  <c r="Z22" i="76"/>
  <c r="AB22" i="76"/>
  <c r="AD22" i="76"/>
  <c r="AE22" i="76"/>
  <c r="W22" i="76" s="1"/>
  <c r="AP22" i="76"/>
  <c r="AQ22" i="76"/>
  <c r="AR22" i="76"/>
  <c r="L23" i="76"/>
  <c r="M23" i="76"/>
  <c r="N23" i="76"/>
  <c r="P23" i="76"/>
  <c r="Q23" i="76"/>
  <c r="U23" i="76"/>
  <c r="X23" i="76"/>
  <c r="Y23" i="76"/>
  <c r="AB23" i="76"/>
  <c r="AE23" i="76"/>
  <c r="AP23" i="76"/>
  <c r="AQ23" i="76"/>
  <c r="AD23" i="76" s="1"/>
  <c r="V23" i="76" s="1"/>
  <c r="AR23" i="76"/>
  <c r="M24" i="76"/>
  <c r="N24" i="76"/>
  <c r="P24" i="76"/>
  <c r="Q24" i="76"/>
  <c r="R24" i="76"/>
  <c r="U24" i="76"/>
  <c r="X24" i="76"/>
  <c r="Y24" i="76"/>
  <c r="AA24" i="76"/>
  <c r="AE24" i="76"/>
  <c r="S24" i="76" s="1"/>
  <c r="AP24" i="76"/>
  <c r="AQ24" i="76"/>
  <c r="AD24" i="76" s="1"/>
  <c r="V24" i="76" s="1"/>
  <c r="AR24" i="76"/>
  <c r="U22" i="75"/>
  <c r="Y22" i="75"/>
  <c r="AC22" i="75"/>
  <c r="Q22" i="75" s="1"/>
  <c r="AG22" i="75"/>
  <c r="AI22" i="75"/>
  <c r="AK22" i="75"/>
  <c r="AO22" i="75"/>
  <c r="AS22" i="75"/>
  <c r="AW22" i="75"/>
  <c r="AX22" i="75"/>
  <c r="BJ22" i="75"/>
  <c r="BK22" i="75"/>
  <c r="AP22" i="75" s="1"/>
  <c r="BL22" i="75"/>
  <c r="AE22" i="75" s="1"/>
  <c r="M23" i="75"/>
  <c r="N23" i="75"/>
  <c r="Q23" i="75"/>
  <c r="S23" i="75"/>
  <c r="U23" i="75"/>
  <c r="V23" i="75"/>
  <c r="Y23" i="75"/>
  <c r="Z23" i="75"/>
  <c r="AD23" i="75"/>
  <c r="R23" i="75" s="1"/>
  <c r="AE23" i="75"/>
  <c r="AH23" i="75"/>
  <c r="AI23" i="75"/>
  <c r="AJ23" i="75"/>
  <c r="AL23" i="75"/>
  <c r="AM23" i="75"/>
  <c r="AN23" i="75"/>
  <c r="AO23" i="75"/>
  <c r="AP23" i="75"/>
  <c r="AQ23" i="75"/>
  <c r="AR23" i="75"/>
  <c r="AS23" i="75"/>
  <c r="AT23" i="75"/>
  <c r="AU23" i="75"/>
  <c r="AV23" i="75"/>
  <c r="AW23" i="75"/>
  <c r="AX23" i="75"/>
  <c r="AY23" i="75"/>
  <c r="BJ23" i="75"/>
  <c r="BK23" i="75"/>
  <c r="BL23" i="75"/>
  <c r="M24" i="75"/>
  <c r="Q24" i="75"/>
  <c r="R24" i="75"/>
  <c r="S24" i="75"/>
  <c r="U24" i="75"/>
  <c r="Y24" i="75"/>
  <c r="AD24" i="75"/>
  <c r="Z24" i="75" s="1"/>
  <c r="AE24" i="75"/>
  <c r="AH24" i="75"/>
  <c r="AI24" i="75"/>
  <c r="AL24" i="75"/>
  <c r="AM24" i="75"/>
  <c r="AO24" i="75"/>
  <c r="AP24" i="75"/>
  <c r="AQ24" i="75"/>
  <c r="AS24" i="75"/>
  <c r="AT24" i="75"/>
  <c r="AU24" i="75"/>
  <c r="AW24" i="75"/>
  <c r="AX24" i="75"/>
  <c r="BJ24" i="75"/>
  <c r="BK24" i="75"/>
  <c r="BL24" i="75"/>
  <c r="AY24" i="75" s="1"/>
  <c r="M25" i="75"/>
  <c r="Q25" i="75"/>
  <c r="U25" i="75"/>
  <c r="Y25" i="75"/>
  <c r="AC25" i="75"/>
  <c r="AG25" i="75"/>
  <c r="AI25" i="75"/>
  <c r="AK25" i="75"/>
  <c r="AL25" i="75"/>
  <c r="AO25" i="75"/>
  <c r="AS25" i="75"/>
  <c r="AU25" i="75"/>
  <c r="AW25" i="75"/>
  <c r="AY25" i="75"/>
  <c r="BJ25" i="75"/>
  <c r="BK25" i="75"/>
  <c r="AX25" i="75" s="1"/>
  <c r="BL25" i="75"/>
  <c r="AM25" i="75" s="1"/>
  <c r="AC26" i="75"/>
  <c r="Q26" i="75" s="1"/>
  <c r="AE26" i="75"/>
  <c r="AG26" i="75"/>
  <c r="AK26" i="75"/>
  <c r="AO26" i="75"/>
  <c r="AQ26" i="75"/>
  <c r="AS26" i="75"/>
  <c r="AW26" i="75"/>
  <c r="AY26" i="75"/>
  <c r="BJ26" i="75"/>
  <c r="BK26" i="75"/>
  <c r="BL26" i="75"/>
  <c r="AI26" i="75" s="1"/>
  <c r="M27" i="75"/>
  <c r="U27" i="75"/>
  <c r="Y27" i="75"/>
  <c r="AC27" i="75"/>
  <c r="Q27" i="75" s="1"/>
  <c r="AE27" i="75"/>
  <c r="O27" i="75" s="1"/>
  <c r="AG27" i="75"/>
  <c r="AH27" i="75"/>
  <c r="AI27" i="75"/>
  <c r="AK27" i="75"/>
  <c r="AO27" i="75"/>
  <c r="AS27" i="75"/>
  <c r="AW27" i="75"/>
  <c r="BJ27" i="75"/>
  <c r="BK27" i="75"/>
  <c r="AT27" i="75" s="1"/>
  <c r="BL27" i="75"/>
  <c r="AU27" i="75" s="1"/>
  <c r="M28" i="75"/>
  <c r="Y28" i="75"/>
  <c r="AC28" i="75"/>
  <c r="Q28" i="75" s="1"/>
  <c r="AG28" i="75"/>
  <c r="AI28" i="75"/>
  <c r="AK28" i="75"/>
  <c r="AM28" i="75"/>
  <c r="AO28" i="75"/>
  <c r="AQ28" i="75"/>
  <c r="AS28" i="75"/>
  <c r="AT28" i="75"/>
  <c r="AU28" i="75"/>
  <c r="AW28" i="75"/>
  <c r="BJ28" i="75"/>
  <c r="BK28" i="75"/>
  <c r="AL28" i="75" s="1"/>
  <c r="BL28" i="75"/>
  <c r="AY28" i="75" s="1"/>
  <c r="M29" i="75"/>
  <c r="Q29" i="75"/>
  <c r="U29" i="75"/>
  <c r="Y29" i="75"/>
  <c r="AC29" i="75"/>
  <c r="AG29" i="75"/>
  <c r="AH29" i="75"/>
  <c r="AK29" i="75"/>
  <c r="AL29" i="75"/>
  <c r="AO29" i="75"/>
  <c r="AP29" i="75"/>
  <c r="AS29" i="75"/>
  <c r="AT29" i="75"/>
  <c r="AW29" i="75"/>
  <c r="BJ29" i="75"/>
  <c r="BK29" i="75"/>
  <c r="AX29" i="75" s="1"/>
  <c r="BL29" i="75"/>
  <c r="M30" i="75"/>
  <c r="Q30" i="75"/>
  <c r="U30" i="75"/>
  <c r="Y30" i="75"/>
  <c r="AC30" i="75"/>
  <c r="AG30" i="75"/>
  <c r="AK30" i="75"/>
  <c r="AO30" i="75"/>
  <c r="AQ30" i="75"/>
  <c r="AS30" i="75"/>
  <c r="AW30" i="75"/>
  <c r="AY30" i="75"/>
  <c r="BJ30" i="75"/>
  <c r="BK30" i="75"/>
  <c r="BL30" i="75"/>
  <c r="AI30" i="75" s="1"/>
  <c r="N31" i="75"/>
  <c r="R31" i="75"/>
  <c r="U31" i="75"/>
  <c r="V31" i="75"/>
  <c r="AC31" i="75"/>
  <c r="M31" i="75" s="1"/>
  <c r="AD31" i="75"/>
  <c r="Z31" i="75" s="1"/>
  <c r="AE31" i="75"/>
  <c r="AG31" i="75"/>
  <c r="AK31" i="75"/>
  <c r="AM31" i="75"/>
  <c r="AO31" i="75"/>
  <c r="AP31" i="75"/>
  <c r="AQ31" i="75"/>
  <c r="AS31" i="75"/>
  <c r="AT31" i="75"/>
  <c r="AW31" i="75"/>
  <c r="AX31" i="75"/>
  <c r="AZ31" i="75"/>
  <c r="BJ31" i="75"/>
  <c r="BK31" i="75"/>
  <c r="AH31" i="75" s="1"/>
  <c r="BL31" i="75"/>
  <c r="AI31" i="75" s="1"/>
  <c r="O32" i="75"/>
  <c r="R32" i="75"/>
  <c r="S32" i="75"/>
  <c r="Z32" i="75"/>
  <c r="AA32" i="75"/>
  <c r="AC32" i="75"/>
  <c r="AD32" i="75"/>
  <c r="V32" i="75" s="1"/>
  <c r="AE32" i="75"/>
  <c r="W32" i="75" s="1"/>
  <c r="AG32" i="75"/>
  <c r="AK32" i="75"/>
  <c r="AL32" i="75"/>
  <c r="AM32" i="75"/>
  <c r="AO32" i="75"/>
  <c r="AP32" i="75"/>
  <c r="AQ32" i="75"/>
  <c r="AS32" i="75"/>
  <c r="AU32" i="75"/>
  <c r="AW32" i="75"/>
  <c r="AX32" i="75"/>
  <c r="AY32" i="75"/>
  <c r="AZ32" i="75"/>
  <c r="BJ32" i="75"/>
  <c r="BK32" i="75"/>
  <c r="AH32" i="75" s="1"/>
  <c r="BL32" i="75"/>
  <c r="AI32" i="75" s="1"/>
  <c r="Q33" i="75"/>
  <c r="Y33" i="75"/>
  <c r="AC33" i="75"/>
  <c r="M33" i="75" s="1"/>
  <c r="AD33" i="75"/>
  <c r="N33" i="75" s="1"/>
  <c r="AG33" i="75"/>
  <c r="AJ33" i="75"/>
  <c r="AK33" i="75"/>
  <c r="AL33" i="75"/>
  <c r="AO33" i="75"/>
  <c r="AR33" i="75"/>
  <c r="AS33" i="75"/>
  <c r="AT33" i="75"/>
  <c r="AW33" i="75"/>
  <c r="BJ33" i="75"/>
  <c r="BK33" i="75"/>
  <c r="AH33" i="75" s="1"/>
  <c r="BL33" i="75"/>
  <c r="Q34" i="75"/>
  <c r="S34" i="75"/>
  <c r="Y34" i="75"/>
  <c r="AA34" i="75"/>
  <c r="AC34" i="75"/>
  <c r="M34" i="75" s="1"/>
  <c r="AD34" i="75"/>
  <c r="N34" i="75" s="1"/>
  <c r="AG34" i="75"/>
  <c r="AI34" i="75"/>
  <c r="AK34" i="75"/>
  <c r="AL34" i="75"/>
  <c r="AO34" i="75"/>
  <c r="AQ34" i="75"/>
  <c r="AS34" i="75"/>
  <c r="AT34" i="75"/>
  <c r="AW34" i="75"/>
  <c r="AY34" i="75"/>
  <c r="BJ34" i="75"/>
  <c r="BK34" i="75"/>
  <c r="AH34" i="75" s="1"/>
  <c r="BL34" i="75"/>
  <c r="AE34" i="75" s="1"/>
  <c r="N35" i="75"/>
  <c r="P35" i="75"/>
  <c r="Q35" i="75"/>
  <c r="V35" i="75"/>
  <c r="X35" i="75"/>
  <c r="Y35" i="75"/>
  <c r="AC35" i="75"/>
  <c r="M35" i="75" s="1"/>
  <c r="AD35" i="75"/>
  <c r="AG35" i="75"/>
  <c r="AH35" i="75"/>
  <c r="AK35" i="75"/>
  <c r="AL35" i="75"/>
  <c r="AN35" i="75"/>
  <c r="AO35" i="75"/>
  <c r="AP35" i="75"/>
  <c r="AS35" i="75"/>
  <c r="AT35" i="75"/>
  <c r="AW35" i="75"/>
  <c r="AX35" i="75"/>
  <c r="BJ35" i="75"/>
  <c r="BK35" i="75"/>
  <c r="BL35" i="75"/>
  <c r="AB1" i="75"/>
  <c r="AF1" i="75"/>
  <c r="AJ1" i="75"/>
  <c r="AN1" i="75"/>
  <c r="AR1" i="75"/>
  <c r="AV1" i="75"/>
  <c r="M3" i="75"/>
  <c r="N3" i="75"/>
  <c r="O3" i="75"/>
  <c r="Q3" i="75"/>
  <c r="R3" i="75"/>
  <c r="S3" i="75"/>
  <c r="U3" i="75"/>
  <c r="V3" i="75"/>
  <c r="W3" i="75"/>
  <c r="Y3" i="75"/>
  <c r="Z3" i="75"/>
  <c r="AA3" i="75"/>
  <c r="M4" i="75"/>
  <c r="N4" i="75"/>
  <c r="O4" i="75"/>
  <c r="Q4" i="75"/>
  <c r="R4" i="75"/>
  <c r="S4" i="75"/>
  <c r="U4" i="75"/>
  <c r="V4" i="75"/>
  <c r="W4" i="75"/>
  <c r="Y4" i="75"/>
  <c r="Z4" i="75"/>
  <c r="AA4" i="75"/>
  <c r="M5" i="75"/>
  <c r="N5" i="75"/>
  <c r="O5" i="75"/>
  <c r="Q5" i="75"/>
  <c r="R5" i="75"/>
  <c r="S5" i="75"/>
  <c r="U5" i="75"/>
  <c r="V5" i="75"/>
  <c r="W5" i="75"/>
  <c r="Y5" i="75"/>
  <c r="Z5" i="75"/>
  <c r="AA5" i="75"/>
  <c r="M6" i="75"/>
  <c r="N6" i="75"/>
  <c r="O6" i="75"/>
  <c r="Q6" i="75"/>
  <c r="R6" i="75"/>
  <c r="S6" i="75"/>
  <c r="U6" i="75"/>
  <c r="V6" i="75"/>
  <c r="W6" i="75"/>
  <c r="Y6" i="75"/>
  <c r="Z6" i="75"/>
  <c r="AA6" i="75"/>
  <c r="P8" i="75"/>
  <c r="T8" i="75"/>
  <c r="X9" i="75" s="1"/>
  <c r="X8" i="75"/>
  <c r="AB8" i="75"/>
  <c r="AJ9" i="75" s="1"/>
  <c r="AN10" i="75" s="1"/>
  <c r="AR12" i="75" s="1"/>
  <c r="AV13" i="75" s="1"/>
  <c r="AF8" i="75"/>
  <c r="AJ8" i="75"/>
  <c r="AN8" i="75"/>
  <c r="AR9" i="75" s="1"/>
  <c r="AR8" i="75"/>
  <c r="AV9" i="75" s="1"/>
  <c r="AV8" i="75"/>
  <c r="T9" i="75"/>
  <c r="X10" i="75" s="1"/>
  <c r="AB9" i="75"/>
  <c r="AF9" i="75"/>
  <c r="AN9" i="75"/>
  <c r="AR11" i="75" s="1"/>
  <c r="T10" i="75"/>
  <c r="X12" i="75" s="1"/>
  <c r="AB13" i="75" s="1"/>
  <c r="AB10" i="75"/>
  <c r="AJ12" i="75" s="1"/>
  <c r="AN13" i="75" s="1"/>
  <c r="AR14" i="75" s="1"/>
  <c r="T11" i="75"/>
  <c r="AN11" i="75"/>
  <c r="T12" i="75"/>
  <c r="T13" i="75"/>
  <c r="X13" i="75"/>
  <c r="AF13" i="75"/>
  <c r="T14" i="75"/>
  <c r="X16" i="75" s="1"/>
  <c r="X14" i="75"/>
  <c r="AB14" i="75"/>
  <c r="AF16" i="75" s="1"/>
  <c r="AN14" i="75"/>
  <c r="T16" i="75"/>
  <c r="AB16" i="75"/>
  <c r="N17" i="75"/>
  <c r="V17" i="75"/>
  <c r="Y17" i="75"/>
  <c r="AC17" i="75"/>
  <c r="Q17" i="75" s="1"/>
  <c r="AF17" i="75"/>
  <c r="AF35" i="75" s="1"/>
  <c r="AG17" i="75"/>
  <c r="AH17" i="75"/>
  <c r="AI17" i="75"/>
  <c r="AJ17" i="75"/>
  <c r="AJ35" i="75" s="1"/>
  <c r="AK17" i="75"/>
  <c r="AN17" i="75"/>
  <c r="AO17" i="75"/>
  <c r="AP17" i="75"/>
  <c r="AQ17" i="75"/>
  <c r="AR17" i="75"/>
  <c r="AR35" i="75" s="1"/>
  <c r="AS17" i="75"/>
  <c r="AV17" i="75"/>
  <c r="AV35" i="75" s="1"/>
  <c r="AW17" i="75"/>
  <c r="AX17" i="75"/>
  <c r="AY17" i="75"/>
  <c r="BJ17" i="75"/>
  <c r="BK17" i="75"/>
  <c r="AD17" i="75" s="1"/>
  <c r="R17" i="75" s="1"/>
  <c r="BL17" i="75"/>
  <c r="AE17" i="75" s="1"/>
  <c r="O17" i="75" s="1"/>
  <c r="L18" i="75"/>
  <c r="L35" i="75" s="1"/>
  <c r="P18" i="75"/>
  <c r="T18" i="75"/>
  <c r="T35" i="75" s="1"/>
  <c r="X18" i="75"/>
  <c r="AB18" i="75"/>
  <c r="AB35" i="75" s="1"/>
  <c r="AC18" i="75"/>
  <c r="AE18" i="75"/>
  <c r="W18" i="75" s="1"/>
  <c r="AG18" i="75"/>
  <c r="AI18" i="75"/>
  <c r="AK18" i="75"/>
  <c r="AM18" i="75"/>
  <c r="AO18" i="75"/>
  <c r="AQ18" i="75"/>
  <c r="AS18" i="75"/>
  <c r="AW18" i="75"/>
  <c r="BJ18" i="75"/>
  <c r="BK18" i="75"/>
  <c r="AP18" i="75" s="1"/>
  <c r="BL18" i="75"/>
  <c r="AU18" i="75" s="1"/>
  <c r="M19" i="75"/>
  <c r="Q19" i="75"/>
  <c r="U19" i="75"/>
  <c r="AC19" i="75"/>
  <c r="Y19" i="75" s="1"/>
  <c r="AD19" i="75"/>
  <c r="AE19" i="75"/>
  <c r="AG19" i="75"/>
  <c r="AH19" i="75"/>
  <c r="AK19" i="75"/>
  <c r="AL19" i="75"/>
  <c r="AN19" i="75"/>
  <c r="AR19" i="75" s="1"/>
  <c r="AO19" i="75"/>
  <c r="AP19" i="75"/>
  <c r="AS19" i="75"/>
  <c r="AT19" i="75"/>
  <c r="AV19" i="75"/>
  <c r="AW19" i="75"/>
  <c r="AX19" i="75"/>
  <c r="BJ19" i="75"/>
  <c r="BK19" i="75"/>
  <c r="BL19" i="75"/>
  <c r="N20" i="75"/>
  <c r="R20" i="75"/>
  <c r="T20" i="75"/>
  <c r="X20" i="75"/>
  <c r="Z20" i="75"/>
  <c r="AC20" i="75"/>
  <c r="AD20" i="75"/>
  <c r="V20" i="75" s="1"/>
  <c r="AG20" i="75"/>
  <c r="AH20" i="75"/>
  <c r="AK20" i="75"/>
  <c r="AL20" i="75"/>
  <c r="AN20" i="75"/>
  <c r="AO20" i="75"/>
  <c r="AP20" i="75"/>
  <c r="AS20" i="75"/>
  <c r="AT20" i="75"/>
  <c r="AW20" i="75"/>
  <c r="AX20" i="75"/>
  <c r="BJ20" i="75"/>
  <c r="BK20" i="75"/>
  <c r="BL20" i="75"/>
  <c r="AE20" i="75" s="1"/>
  <c r="Y21" i="75"/>
  <c r="AC21" i="75"/>
  <c r="Q21" i="75" s="1"/>
  <c r="AG21" i="75"/>
  <c r="AI21" i="75"/>
  <c r="AJ21" i="75"/>
  <c r="AJ34" i="75" s="1"/>
  <c r="AK21" i="75"/>
  <c r="AL21" i="75"/>
  <c r="AN21" i="75"/>
  <c r="AO21" i="75"/>
  <c r="AQ21" i="75"/>
  <c r="AR21" i="75"/>
  <c r="AS21" i="75"/>
  <c r="AT21" i="75"/>
  <c r="AV21" i="75"/>
  <c r="AW21" i="75"/>
  <c r="AY21" i="75"/>
  <c r="BJ21" i="75"/>
  <c r="BK21" i="75"/>
  <c r="AD21" i="75" s="1"/>
  <c r="R21" i="75" s="1"/>
  <c r="BL21" i="75"/>
  <c r="AM21" i="75" s="1"/>
  <c r="L1" i="71"/>
  <c r="P1" i="71"/>
  <c r="T1" i="71"/>
  <c r="X1" i="71"/>
  <c r="AB1" i="71"/>
  <c r="M2" i="71"/>
  <c r="N2" i="71"/>
  <c r="O2" i="71"/>
  <c r="Q2" i="71"/>
  <c r="R2" i="71"/>
  <c r="S2" i="71"/>
  <c r="U2" i="71"/>
  <c r="V2" i="71"/>
  <c r="W2" i="71"/>
  <c r="Y2" i="71"/>
  <c r="Z2" i="71"/>
  <c r="AA2" i="71"/>
  <c r="M3" i="71"/>
  <c r="N3" i="71"/>
  <c r="O3" i="71"/>
  <c r="Q3" i="71"/>
  <c r="R3" i="71"/>
  <c r="S3" i="71"/>
  <c r="U3" i="71"/>
  <c r="V3" i="71"/>
  <c r="W3" i="71"/>
  <c r="Y3" i="71"/>
  <c r="Z3" i="71"/>
  <c r="AA3" i="71"/>
  <c r="M4" i="71"/>
  <c r="N4" i="71"/>
  <c r="O4" i="71"/>
  <c r="Q4" i="71"/>
  <c r="R4" i="71"/>
  <c r="S4" i="71"/>
  <c r="U4" i="71"/>
  <c r="V4" i="71"/>
  <c r="W4" i="71"/>
  <c r="Y4" i="71"/>
  <c r="Z4" i="71"/>
  <c r="AA4" i="71"/>
  <c r="M5" i="71"/>
  <c r="N5" i="71"/>
  <c r="O5" i="71"/>
  <c r="Q5" i="71"/>
  <c r="R5" i="71"/>
  <c r="S5" i="71"/>
  <c r="U5" i="71"/>
  <c r="V5" i="71"/>
  <c r="W5" i="71"/>
  <c r="Y5" i="71"/>
  <c r="Z5" i="71"/>
  <c r="AA5" i="71"/>
  <c r="M6" i="71"/>
  <c r="N6" i="71"/>
  <c r="O6" i="71"/>
  <c r="Q6" i="71"/>
  <c r="R6" i="71"/>
  <c r="S6" i="71"/>
  <c r="U6" i="71"/>
  <c r="V6" i="71"/>
  <c r="W6" i="71"/>
  <c r="Y6" i="71"/>
  <c r="Z6" i="71"/>
  <c r="AA6" i="71"/>
  <c r="P8" i="71"/>
  <c r="T9" i="71" s="1"/>
  <c r="X10" i="71" s="1"/>
  <c r="AB11" i="71" s="1"/>
  <c r="T8" i="71"/>
  <c r="X8" i="71"/>
  <c r="AB9" i="71" s="1"/>
  <c r="AB8" i="71"/>
  <c r="P9" i="71"/>
  <c r="X9" i="71"/>
  <c r="AB10" i="71" s="1"/>
  <c r="P10" i="71"/>
  <c r="T11" i="71" s="1"/>
  <c r="T10" i="71"/>
  <c r="P11" i="71"/>
  <c r="X11" i="71"/>
  <c r="L12" i="71"/>
  <c r="M12" i="71"/>
  <c r="N12" i="71"/>
  <c r="P12" i="71"/>
  <c r="Q12" i="71"/>
  <c r="R12" i="71"/>
  <c r="T12" i="71"/>
  <c r="U12" i="71"/>
  <c r="V12" i="71"/>
  <c r="X12" i="71"/>
  <c r="Y12" i="71"/>
  <c r="Z12" i="71"/>
  <c r="AB12" i="71"/>
  <c r="AD12" i="71"/>
  <c r="AE12" i="71"/>
  <c r="S12" i="71" s="1"/>
  <c r="AP12" i="71"/>
  <c r="AQ12" i="71"/>
  <c r="AR12" i="71"/>
  <c r="L13" i="71"/>
  <c r="L24" i="71" s="1"/>
  <c r="M13" i="71"/>
  <c r="P13" i="71"/>
  <c r="P24" i="71" s="1"/>
  <c r="Q13" i="71"/>
  <c r="T13" i="71"/>
  <c r="T24" i="71" s="1"/>
  <c r="U13" i="71"/>
  <c r="X13" i="71"/>
  <c r="X24" i="71" s="1"/>
  <c r="Y13" i="71"/>
  <c r="AB13" i="71"/>
  <c r="AB24" i="71" s="1"/>
  <c r="AE13" i="71"/>
  <c r="O13" i="71" s="1"/>
  <c r="AP13" i="71"/>
  <c r="AQ13" i="71"/>
  <c r="AD13" i="71" s="1"/>
  <c r="AR13" i="71"/>
  <c r="M14" i="71"/>
  <c r="O14" i="71"/>
  <c r="Q14" i="71"/>
  <c r="U14" i="71"/>
  <c r="Y14" i="71"/>
  <c r="Z14" i="71"/>
  <c r="AD14" i="71"/>
  <c r="R14" i="71" s="1"/>
  <c r="AE14" i="71"/>
  <c r="AA14" i="71" s="1"/>
  <c r="AP14" i="71"/>
  <c r="AQ14" i="71"/>
  <c r="AR14" i="71"/>
  <c r="M15" i="71"/>
  <c r="N15" i="71"/>
  <c r="Q15" i="71"/>
  <c r="U15" i="71"/>
  <c r="Y15" i="71"/>
  <c r="AH15" i="71"/>
  <c r="AI15" i="71"/>
  <c r="AJ15" i="71"/>
  <c r="AK15" i="71"/>
  <c r="AR15" i="71" s="1"/>
  <c r="AE15" i="71" s="1"/>
  <c r="AL15" i="71"/>
  <c r="AM15" i="71"/>
  <c r="AP15" i="71"/>
  <c r="AQ15" i="71"/>
  <c r="AD15" i="71" s="1"/>
  <c r="M16" i="71"/>
  <c r="O16" i="71"/>
  <c r="Q16" i="71"/>
  <c r="U16" i="71"/>
  <c r="Y16" i="71"/>
  <c r="Z16" i="71"/>
  <c r="AD16" i="71"/>
  <c r="R16" i="71" s="1"/>
  <c r="AE16" i="71"/>
  <c r="AA16" i="71" s="1"/>
  <c r="AP16" i="71"/>
  <c r="AQ16" i="71"/>
  <c r="AR16" i="71"/>
  <c r="M17" i="71"/>
  <c r="N17" i="71"/>
  <c r="Q17" i="71"/>
  <c r="U17" i="71"/>
  <c r="Y17" i="71"/>
  <c r="AH17" i="71"/>
  <c r="AI17" i="71"/>
  <c r="AJ17" i="71"/>
  <c r="AK17" i="71"/>
  <c r="AL17" i="71"/>
  <c r="AM17" i="71"/>
  <c r="AP17" i="71"/>
  <c r="AQ17" i="71"/>
  <c r="AD17" i="71" s="1"/>
  <c r="M18" i="71"/>
  <c r="Q18" i="71"/>
  <c r="U18" i="71"/>
  <c r="Y18" i="71"/>
  <c r="Z18" i="71"/>
  <c r="AD18" i="71"/>
  <c r="R18" i="71" s="1"/>
  <c r="AH18" i="71"/>
  <c r="AL18" i="71"/>
  <c r="AP18" i="71"/>
  <c r="AQ18" i="71"/>
  <c r="M19" i="71"/>
  <c r="Q19" i="71"/>
  <c r="U19" i="71"/>
  <c r="Y19" i="71"/>
  <c r="AH19" i="71"/>
  <c r="AI19" i="71"/>
  <c r="AJ19" i="71"/>
  <c r="AJ18" i="71" s="1"/>
  <c r="AL19" i="71"/>
  <c r="AM19" i="71"/>
  <c r="AM18" i="71" s="1"/>
  <c r="AP19" i="71"/>
  <c r="AQ19" i="71"/>
  <c r="AD19" i="71" s="1"/>
  <c r="M20" i="71"/>
  <c r="Q20" i="71"/>
  <c r="U20" i="71"/>
  <c r="Y20" i="71"/>
  <c r="AD20" i="71"/>
  <c r="AP20" i="71"/>
  <c r="AQ20" i="71"/>
  <c r="AR20" i="71"/>
  <c r="AE20" i="71" s="1"/>
  <c r="M21" i="71"/>
  <c r="Q21" i="71"/>
  <c r="U21" i="71"/>
  <c r="Y21" i="71"/>
  <c r="AA21" i="71"/>
  <c r="AE21" i="71"/>
  <c r="S21" i="71" s="1"/>
  <c r="AP21" i="71"/>
  <c r="AQ21" i="71"/>
  <c r="AD21" i="71" s="1"/>
  <c r="AR21" i="71"/>
  <c r="M22" i="71"/>
  <c r="O22" i="71"/>
  <c r="Q22" i="71"/>
  <c r="U22" i="71"/>
  <c r="Y22" i="71"/>
  <c r="Z22" i="71"/>
  <c r="AD22" i="71"/>
  <c r="R22" i="71" s="1"/>
  <c r="AE22" i="71"/>
  <c r="AA22" i="71" s="1"/>
  <c r="L23" i="71"/>
  <c r="M23" i="71"/>
  <c r="P23" i="71"/>
  <c r="Q23" i="71"/>
  <c r="T23" i="71"/>
  <c r="U23" i="71"/>
  <c r="X23" i="71"/>
  <c r="Y23" i="71"/>
  <c r="AB23" i="71"/>
  <c r="AP23" i="71"/>
  <c r="AQ23" i="71"/>
  <c r="AD23" i="71" s="1"/>
  <c r="AR23" i="71"/>
  <c r="AE23" i="71" s="1"/>
  <c r="M24" i="71"/>
  <c r="N24" i="71"/>
  <c r="Q24" i="71"/>
  <c r="R24" i="71"/>
  <c r="U24" i="71"/>
  <c r="V24" i="71"/>
  <c r="Y24" i="71"/>
  <c r="Z24" i="71"/>
  <c r="AD24" i="71"/>
  <c r="AE24" i="71"/>
  <c r="S24" i="71" s="1"/>
  <c r="AP24" i="71"/>
  <c r="AQ24" i="71"/>
  <c r="AR24" i="71"/>
  <c r="L25" i="71"/>
  <c r="M25" i="71"/>
  <c r="P25" i="71"/>
  <c r="Q25" i="71"/>
  <c r="T25" i="71"/>
  <c r="U25" i="71"/>
  <c r="X25" i="71"/>
  <c r="Y25" i="71"/>
  <c r="AB25" i="71"/>
  <c r="AE25" i="71"/>
  <c r="O25" i="71" s="1"/>
  <c r="AP25" i="71"/>
  <c r="AQ25" i="71"/>
  <c r="AD25" i="71" s="1"/>
  <c r="AR25" i="71"/>
  <c r="L1" i="97"/>
  <c r="P1" i="97"/>
  <c r="T1" i="97"/>
  <c r="X1" i="97"/>
  <c r="AB1" i="97"/>
  <c r="M2" i="97"/>
  <c r="N2" i="97"/>
  <c r="O2" i="97"/>
  <c r="Q2" i="97"/>
  <c r="R2" i="97"/>
  <c r="S2" i="97"/>
  <c r="U2" i="97"/>
  <c r="V2" i="97"/>
  <c r="W2" i="97"/>
  <c r="Y2" i="97"/>
  <c r="Z2" i="97"/>
  <c r="AA2" i="97"/>
  <c r="M3" i="97"/>
  <c r="N3" i="97"/>
  <c r="O3" i="97"/>
  <c r="Q3" i="97"/>
  <c r="R3" i="97"/>
  <c r="S3" i="97"/>
  <c r="U3" i="97"/>
  <c r="V3" i="97"/>
  <c r="W3" i="97"/>
  <c r="Y3" i="97"/>
  <c r="Z3" i="97"/>
  <c r="AA3" i="97"/>
  <c r="M4" i="97"/>
  <c r="N4" i="97"/>
  <c r="O4" i="97"/>
  <c r="Q4" i="97"/>
  <c r="R4" i="97"/>
  <c r="S4" i="97"/>
  <c r="U4" i="97"/>
  <c r="V4" i="97"/>
  <c r="W4" i="97"/>
  <c r="Y4" i="97"/>
  <c r="Z4" i="97"/>
  <c r="AA4" i="97"/>
  <c r="M5" i="97"/>
  <c r="N5" i="97"/>
  <c r="O5" i="97"/>
  <c r="Q5" i="97"/>
  <c r="R5" i="97"/>
  <c r="S5" i="97"/>
  <c r="U5" i="97"/>
  <c r="V5" i="97"/>
  <c r="W5" i="97"/>
  <c r="Y5" i="97"/>
  <c r="Z5" i="97"/>
  <c r="AA5" i="97"/>
  <c r="M6" i="97"/>
  <c r="N6" i="97"/>
  <c r="O6" i="97"/>
  <c r="Q6" i="97"/>
  <c r="R6" i="97"/>
  <c r="S6" i="97"/>
  <c r="U6" i="97"/>
  <c r="V6" i="97"/>
  <c r="W6" i="97"/>
  <c r="Y6" i="97"/>
  <c r="Z6" i="97"/>
  <c r="AA6" i="97"/>
  <c r="P8" i="97"/>
  <c r="T8" i="97"/>
  <c r="X9" i="97" s="1"/>
  <c r="AB10" i="97" s="1"/>
  <c r="X8" i="97"/>
  <c r="AB8" i="97"/>
  <c r="P9" i="97"/>
  <c r="T9" i="97"/>
  <c r="X10" i="97" s="1"/>
  <c r="AB11" i="97" s="1"/>
  <c r="AB9" i="97"/>
  <c r="P10" i="97"/>
  <c r="T10" i="97"/>
  <c r="X11" i="97" s="1"/>
  <c r="P11" i="97"/>
  <c r="T11" i="97"/>
  <c r="L12" i="97"/>
  <c r="M12" i="97"/>
  <c r="P12" i="97"/>
  <c r="Q12" i="97"/>
  <c r="T12" i="97"/>
  <c r="U12" i="97"/>
  <c r="X12" i="97"/>
  <c r="Y12" i="97"/>
  <c r="AB12" i="97"/>
  <c r="AD12" i="97"/>
  <c r="AP12" i="97"/>
  <c r="AQ12" i="97"/>
  <c r="AR12" i="97"/>
  <c r="AE12" i="97" s="1"/>
  <c r="L13" i="97"/>
  <c r="M13" i="97"/>
  <c r="P13" i="97"/>
  <c r="Q13" i="97"/>
  <c r="R13" i="97"/>
  <c r="T13" i="97"/>
  <c r="U13" i="97"/>
  <c r="X13" i="97"/>
  <c r="Y13" i="97"/>
  <c r="Z13" i="97"/>
  <c r="AB13" i="97"/>
  <c r="AD13" i="97"/>
  <c r="N13" i="97" s="1"/>
  <c r="AP13" i="97"/>
  <c r="AQ13" i="97"/>
  <c r="AR13" i="97"/>
  <c r="AE13" i="97" s="1"/>
  <c r="O13" i="97" s="1"/>
  <c r="M14" i="97"/>
  <c r="Q14" i="97"/>
  <c r="U14" i="97"/>
  <c r="Y14" i="97"/>
  <c r="AE14" i="97"/>
  <c r="AP14" i="97"/>
  <c r="AQ14" i="97"/>
  <c r="AD14" i="97" s="1"/>
  <c r="AR14" i="97"/>
  <c r="M15" i="97"/>
  <c r="Q15" i="97"/>
  <c r="U15" i="97"/>
  <c r="W15" i="97"/>
  <c r="Y15" i="97"/>
  <c r="AD15" i="97"/>
  <c r="AH15" i="97"/>
  <c r="AI15" i="97"/>
  <c r="AJ15" i="97"/>
  <c r="AK15" i="97"/>
  <c r="AL15" i="97"/>
  <c r="AM15" i="97"/>
  <c r="AP15" i="97"/>
  <c r="AQ15" i="97"/>
  <c r="AR15" i="97"/>
  <c r="AE15" i="97" s="1"/>
  <c r="M16" i="97"/>
  <c r="Q16" i="97"/>
  <c r="U16" i="97"/>
  <c r="V16" i="97"/>
  <c r="Y16" i="97"/>
  <c r="AE16" i="97"/>
  <c r="S16" i="97" s="1"/>
  <c r="AP16" i="97"/>
  <c r="AQ16" i="97"/>
  <c r="AD16" i="97" s="1"/>
  <c r="AR16" i="97"/>
  <c r="M17" i="97"/>
  <c r="Q17" i="97"/>
  <c r="R17" i="97"/>
  <c r="U17" i="97"/>
  <c r="Y17" i="97"/>
  <c r="AD17" i="97"/>
  <c r="AH17" i="97"/>
  <c r="AI17" i="97"/>
  <c r="AI19" i="97" s="1"/>
  <c r="AJ17" i="97"/>
  <c r="AK17" i="97"/>
  <c r="AL17" i="97"/>
  <c r="AM17" i="97"/>
  <c r="AP17" i="97"/>
  <c r="AQ17" i="97"/>
  <c r="M18" i="97"/>
  <c r="N18" i="97"/>
  <c r="Q18" i="97"/>
  <c r="U18" i="97"/>
  <c r="Y18" i="97"/>
  <c r="AI18" i="97"/>
  <c r="AK18" i="97"/>
  <c r="AP18" i="97"/>
  <c r="AQ18" i="97"/>
  <c r="AD18" i="97" s="1"/>
  <c r="M19" i="97"/>
  <c r="Q19" i="97"/>
  <c r="U19" i="97"/>
  <c r="Y19" i="97"/>
  <c r="AH19" i="97"/>
  <c r="AH18" i="97" s="1"/>
  <c r="AK19" i="97"/>
  <c r="AL19" i="97"/>
  <c r="AL18" i="97" s="1"/>
  <c r="AM19" i="97"/>
  <c r="AM18" i="97" s="1"/>
  <c r="AP19" i="97"/>
  <c r="AQ19" i="97"/>
  <c r="AD19" i="97" s="1"/>
  <c r="M20" i="97"/>
  <c r="Q20" i="97"/>
  <c r="U20" i="97"/>
  <c r="Y20" i="97"/>
  <c r="AA20" i="97"/>
  <c r="AP20" i="97"/>
  <c r="AQ20" i="97"/>
  <c r="AD20" i="97" s="1"/>
  <c r="AR20" i="97"/>
  <c r="AE20" i="97" s="1"/>
  <c r="M21" i="97"/>
  <c r="Q21" i="97"/>
  <c r="U21" i="97"/>
  <c r="W21" i="97"/>
  <c r="Y21" i="97"/>
  <c r="Z21" i="97"/>
  <c r="AP21" i="97"/>
  <c r="AQ21" i="97"/>
  <c r="AD21" i="97" s="1"/>
  <c r="AR21" i="97"/>
  <c r="AE21" i="97" s="1"/>
  <c r="M22" i="97"/>
  <c r="Q22" i="97"/>
  <c r="S22" i="97"/>
  <c r="U22" i="97"/>
  <c r="V22" i="97"/>
  <c r="Y22" i="97"/>
  <c r="AE22" i="97"/>
  <c r="AP22" i="97"/>
  <c r="AQ22" i="97"/>
  <c r="AD22" i="97" s="1"/>
  <c r="AR22" i="97"/>
  <c r="L23" i="97"/>
  <c r="M23" i="97"/>
  <c r="P23" i="97"/>
  <c r="Q23" i="97"/>
  <c r="T23" i="97"/>
  <c r="U23" i="97"/>
  <c r="X23" i="97"/>
  <c r="Y23" i="97"/>
  <c r="Z23" i="97"/>
  <c r="AB23" i="97"/>
  <c r="AP23" i="97"/>
  <c r="AQ23" i="97"/>
  <c r="AD23" i="97" s="1"/>
  <c r="AR23" i="97"/>
  <c r="AE23" i="97" s="1"/>
  <c r="L24" i="97"/>
  <c r="M24" i="97"/>
  <c r="N24" i="97"/>
  <c r="P24" i="97"/>
  <c r="Q24" i="97"/>
  <c r="R24" i="97"/>
  <c r="T24" i="97"/>
  <c r="U24" i="97"/>
  <c r="V24" i="97"/>
  <c r="X24" i="97"/>
  <c r="Y24" i="97"/>
  <c r="Z24" i="97"/>
  <c r="AB24" i="97"/>
  <c r="AD24" i="97"/>
  <c r="AE24" i="97"/>
  <c r="AP24" i="97"/>
  <c r="AQ24" i="97"/>
  <c r="AR24" i="97"/>
  <c r="L25" i="97"/>
  <c r="M25" i="97"/>
  <c r="P25" i="97"/>
  <c r="Q25" i="97"/>
  <c r="T25" i="97"/>
  <c r="U25" i="97"/>
  <c r="V25" i="97"/>
  <c r="X25" i="97"/>
  <c r="Y25" i="97"/>
  <c r="AB25" i="97"/>
  <c r="AE25" i="97"/>
  <c r="AP25" i="97"/>
  <c r="AQ25" i="97"/>
  <c r="AD25" i="97" s="1"/>
  <c r="AR25" i="97"/>
  <c r="L1" i="124"/>
  <c r="B9" i="124"/>
  <c r="Z9" i="124"/>
  <c r="AA9" i="124"/>
  <c r="N9" i="124" s="1"/>
  <c r="AB9" i="124"/>
  <c r="O9" i="124" s="1"/>
  <c r="B10" i="124"/>
  <c r="N10" i="124"/>
  <c r="Z10" i="124"/>
  <c r="AA10" i="124"/>
  <c r="AB10" i="124"/>
  <c r="O10" i="124" s="1"/>
  <c r="B11" i="124"/>
  <c r="L11" i="124"/>
  <c r="Z11" i="124"/>
  <c r="AA11" i="124"/>
  <c r="N11" i="124" s="1"/>
  <c r="AB11" i="124"/>
  <c r="O11" i="124" s="1"/>
  <c r="B12" i="124"/>
  <c r="L12" i="124"/>
  <c r="Z12" i="124"/>
  <c r="AA12" i="124"/>
  <c r="N12" i="124" s="1"/>
  <c r="AB12" i="124"/>
  <c r="O12" i="124" s="1"/>
  <c r="B13" i="124"/>
  <c r="L13" i="124"/>
  <c r="Z13" i="124"/>
  <c r="AA13" i="124"/>
  <c r="N13" i="124" s="1"/>
  <c r="AB13" i="124"/>
  <c r="O13" i="124" s="1"/>
  <c r="B14" i="124"/>
  <c r="Z14" i="124"/>
  <c r="AA14" i="124"/>
  <c r="N14" i="124" s="1"/>
  <c r="AB14" i="124"/>
  <c r="O14" i="124" s="1"/>
  <c r="B15" i="124"/>
  <c r="O15" i="124"/>
  <c r="Z15" i="124"/>
  <c r="AA15" i="124"/>
  <c r="N15" i="124" s="1"/>
  <c r="AB15" i="124"/>
  <c r="B16" i="124"/>
  <c r="Z16" i="124"/>
  <c r="AA16" i="124"/>
  <c r="N16" i="124" s="1"/>
  <c r="AB16" i="124"/>
  <c r="O16" i="124" s="1"/>
  <c r="B17" i="124"/>
  <c r="Z17" i="124"/>
  <c r="AA17" i="124"/>
  <c r="N17" i="124" s="1"/>
  <c r="AB17" i="124"/>
  <c r="O17" i="124" s="1"/>
  <c r="B18" i="124"/>
  <c r="O18" i="124"/>
  <c r="Z18" i="124"/>
  <c r="AA18" i="124"/>
  <c r="N18" i="124" s="1"/>
  <c r="AB18" i="124"/>
  <c r="B19" i="124"/>
  <c r="Z19" i="124"/>
  <c r="AA19" i="124"/>
  <c r="N19" i="124" s="1"/>
  <c r="AB19" i="124"/>
  <c r="O19" i="124" s="1"/>
  <c r="B20" i="124"/>
  <c r="O20" i="124"/>
  <c r="Z20" i="124"/>
  <c r="AA20" i="124"/>
  <c r="N20" i="124" s="1"/>
  <c r="AB20" i="124"/>
  <c r="B21" i="124"/>
  <c r="Z21" i="124"/>
  <c r="AA21" i="124"/>
  <c r="N21" i="124" s="1"/>
  <c r="AB21" i="124"/>
  <c r="O21" i="124" s="1"/>
  <c r="B22" i="124"/>
  <c r="O22" i="124"/>
  <c r="Z22" i="124"/>
  <c r="AA22" i="124"/>
  <c r="N22" i="124" s="1"/>
  <c r="AB22" i="124"/>
  <c r="B23" i="124"/>
  <c r="O23" i="124"/>
  <c r="Z23" i="124"/>
  <c r="AA23" i="124"/>
  <c r="N23" i="124" s="1"/>
  <c r="AB23" i="124"/>
  <c r="B24" i="124"/>
  <c r="Z24" i="124"/>
  <c r="AA24" i="124"/>
  <c r="N24" i="124" s="1"/>
  <c r="AB24" i="124"/>
  <c r="O24" i="124" s="1"/>
  <c r="Z25" i="124"/>
  <c r="AA25" i="124"/>
  <c r="N25" i="124" s="1"/>
  <c r="AB25" i="124"/>
  <c r="O25" i="124" s="1"/>
  <c r="B26" i="124"/>
  <c r="N26" i="124"/>
  <c r="Z26" i="124"/>
  <c r="AA26" i="124"/>
  <c r="AB26" i="124"/>
  <c r="O26" i="124" s="1"/>
  <c r="Z27" i="124"/>
  <c r="AA27" i="124"/>
  <c r="AB27" i="124"/>
  <c r="O27" i="124" s="1"/>
  <c r="B28" i="124"/>
  <c r="Z28" i="124"/>
  <c r="AA28" i="124"/>
  <c r="AB28" i="124"/>
  <c r="B29" i="124"/>
  <c r="Z29" i="124"/>
  <c r="AA29" i="124"/>
  <c r="AB29" i="124"/>
  <c r="B30" i="124"/>
  <c r="Z30" i="124"/>
  <c r="AA30" i="124"/>
  <c r="AB30" i="124"/>
  <c r="B31" i="124"/>
  <c r="O31" i="124"/>
  <c r="Z31" i="124"/>
  <c r="AA31" i="124"/>
  <c r="AB31" i="124"/>
  <c r="L8" i="104"/>
  <c r="O8" i="104"/>
  <c r="Z8" i="104"/>
  <c r="AA8" i="104"/>
  <c r="N9" i="104" s="1"/>
  <c r="AB8" i="104"/>
  <c r="Z9" i="104"/>
  <c r="AA9" i="104"/>
  <c r="AB9" i="104"/>
  <c r="O9" i="104" s="1"/>
  <c r="N10" i="104"/>
  <c r="O10" i="104"/>
  <c r="Z10" i="104"/>
  <c r="AA10" i="104"/>
  <c r="AB10" i="104"/>
  <c r="Z11" i="104"/>
  <c r="AA11" i="104"/>
  <c r="N11" i="104" s="1"/>
  <c r="AB11" i="104"/>
  <c r="O11" i="104" s="1"/>
  <c r="L12" i="104"/>
  <c r="Z12" i="104"/>
  <c r="AA12" i="104"/>
  <c r="AB12" i="104"/>
  <c r="O12" i="104" s="1"/>
  <c r="N13" i="104"/>
  <c r="O13" i="104"/>
  <c r="Z13" i="104"/>
  <c r="AA13" i="104"/>
  <c r="AB13" i="104"/>
  <c r="Z14" i="104"/>
  <c r="AA14" i="104"/>
  <c r="N14" i="104" s="1"/>
  <c r="AB14" i="104"/>
  <c r="O14" i="104" s="1"/>
  <c r="L15" i="104"/>
  <c r="Z15" i="104"/>
  <c r="AA15" i="104"/>
  <c r="AB15" i="104"/>
  <c r="O15" i="104" s="1"/>
  <c r="N16" i="104"/>
  <c r="O16" i="104"/>
  <c r="Z16" i="104"/>
  <c r="AA16" i="104"/>
  <c r="AB16" i="104"/>
  <c r="L17" i="104"/>
  <c r="O17" i="104"/>
  <c r="Z17" i="104"/>
  <c r="AA17" i="104"/>
  <c r="N17" i="104" s="1"/>
  <c r="AB17" i="104"/>
  <c r="L18" i="104"/>
  <c r="Z18" i="104"/>
  <c r="AA18" i="104"/>
  <c r="N18" i="104" s="1"/>
  <c r="AB18" i="104"/>
  <c r="O18" i="104" s="1"/>
  <c r="L19" i="104"/>
  <c r="O19" i="104"/>
  <c r="Z19" i="104"/>
  <c r="AA19" i="104"/>
  <c r="N19" i="104" s="1"/>
  <c r="AB19" i="104"/>
  <c r="L22" i="104"/>
  <c r="M27" i="106"/>
  <c r="Q27" i="106"/>
  <c r="R27" i="106"/>
  <c r="AD27" i="106"/>
  <c r="AE27" i="106"/>
  <c r="AF27" i="106"/>
  <c r="O27" i="106" s="1"/>
  <c r="AW27" i="106"/>
  <c r="AX27" i="106"/>
  <c r="AY27" i="106"/>
  <c r="S27" i="106" s="1"/>
  <c r="M28" i="106"/>
  <c r="Q28" i="106"/>
  <c r="AD28" i="106"/>
  <c r="AE28" i="106"/>
  <c r="AF28" i="106"/>
  <c r="O28" i="106" s="1"/>
  <c r="AW28" i="106"/>
  <c r="AX28" i="106"/>
  <c r="AY28" i="106"/>
  <c r="S28" i="106" s="1"/>
  <c r="M29" i="106"/>
  <c r="Q29" i="106"/>
  <c r="AD29" i="106"/>
  <c r="AE29" i="106"/>
  <c r="AF29" i="106"/>
  <c r="O29" i="106" s="1"/>
  <c r="AW29" i="106"/>
  <c r="AX29" i="106"/>
  <c r="AY29" i="106"/>
  <c r="S29" i="106" s="1"/>
  <c r="M30" i="106"/>
  <c r="Q30" i="106"/>
  <c r="AD30" i="106"/>
  <c r="AE30" i="106"/>
  <c r="AF30" i="106"/>
  <c r="O30" i="106" s="1"/>
  <c r="AW30" i="106"/>
  <c r="AX30" i="106"/>
  <c r="AY30" i="106"/>
  <c r="S30" i="106" s="1"/>
  <c r="M31" i="106"/>
  <c r="Q31" i="106"/>
  <c r="AC31" i="106"/>
  <c r="AE31" i="106" s="1"/>
  <c r="AD31" i="106"/>
  <c r="AF31" i="106"/>
  <c r="O31" i="106" s="1"/>
  <c r="AV31" i="106"/>
  <c r="AX31" i="106" s="1"/>
  <c r="AW31" i="106"/>
  <c r="AY31" i="106"/>
  <c r="S31" i="106" s="1"/>
  <c r="L32" i="106"/>
  <c r="M32" i="106"/>
  <c r="P32" i="106"/>
  <c r="Q32" i="106"/>
  <c r="AC32" i="106"/>
  <c r="AE32" i="106" s="1"/>
  <c r="AD32" i="106"/>
  <c r="AF32" i="106"/>
  <c r="O32" i="106" s="1"/>
  <c r="AV32" i="106"/>
  <c r="AX32" i="106" s="1"/>
  <c r="AW32" i="106"/>
  <c r="AY32" i="106"/>
  <c r="S32" i="106" s="1"/>
  <c r="L33" i="106"/>
  <c r="M33" i="106"/>
  <c r="P33" i="106"/>
  <c r="Q33" i="106"/>
  <c r="AC33" i="106"/>
  <c r="AE33" i="106" s="1"/>
  <c r="AD33" i="106"/>
  <c r="AF33" i="106"/>
  <c r="O33" i="106" s="1"/>
  <c r="AV33" i="106"/>
  <c r="AX33" i="106" s="1"/>
  <c r="AW33" i="106"/>
  <c r="AY33" i="106"/>
  <c r="S33" i="106" s="1"/>
  <c r="L34" i="106"/>
  <c r="M34" i="106"/>
  <c r="P34" i="106"/>
  <c r="P36" i="106" s="1"/>
  <c r="Q34" i="106"/>
  <c r="AC34" i="106"/>
  <c r="AE34" i="106" s="1"/>
  <c r="AD34" i="106"/>
  <c r="AF34" i="106"/>
  <c r="O34" i="106" s="1"/>
  <c r="AV34" i="106"/>
  <c r="AX34" i="106" s="1"/>
  <c r="AW34" i="106"/>
  <c r="AY34" i="106"/>
  <c r="S34" i="106" s="1"/>
  <c r="L35" i="106"/>
  <c r="L37" i="106" s="1"/>
  <c r="M35" i="106"/>
  <c r="O35" i="106"/>
  <c r="P35" i="106"/>
  <c r="Q35" i="106"/>
  <c r="AC35" i="106"/>
  <c r="AE35" i="106" s="1"/>
  <c r="AD35" i="106"/>
  <c r="AF35" i="106"/>
  <c r="AV35" i="106"/>
  <c r="AX35" i="106" s="1"/>
  <c r="AW35" i="106"/>
  <c r="AY35" i="106"/>
  <c r="S35" i="106" s="1"/>
  <c r="L36" i="106"/>
  <c r="M36" i="106"/>
  <c r="Q36" i="106"/>
  <c r="AC36" i="106"/>
  <c r="AE36" i="106" s="1"/>
  <c r="AD36" i="106"/>
  <c r="AF36" i="106"/>
  <c r="O36" i="106" s="1"/>
  <c r="AV36" i="106"/>
  <c r="AX36" i="106" s="1"/>
  <c r="AW36" i="106"/>
  <c r="AY36" i="106"/>
  <c r="S36" i="106" s="1"/>
  <c r="M37" i="106"/>
  <c r="O37" i="106"/>
  <c r="P37" i="106"/>
  <c r="Q37" i="106"/>
  <c r="AC37" i="106"/>
  <c r="AE37" i="106" s="1"/>
  <c r="AD37" i="106"/>
  <c r="AF37" i="106"/>
  <c r="AV37" i="106"/>
  <c r="AX37" i="106" s="1"/>
  <c r="AW37" i="106"/>
  <c r="AY37" i="106"/>
  <c r="S37" i="106" s="1"/>
  <c r="L39" i="106"/>
  <c r="L29" i="106" s="1"/>
  <c r="P39" i="106"/>
  <c r="P29" i="106" s="1"/>
  <c r="L40" i="106"/>
  <c r="O40" i="106"/>
  <c r="P40" i="106"/>
  <c r="S40" i="106"/>
  <c r="L1" i="106"/>
  <c r="P1" i="106"/>
  <c r="M9" i="106"/>
  <c r="Q9" i="106"/>
  <c r="AD9" i="106"/>
  <c r="AE9" i="106"/>
  <c r="AF9" i="106"/>
  <c r="O9" i="106" s="1"/>
  <c r="AW9" i="106"/>
  <c r="AX9" i="106"/>
  <c r="AY9" i="106"/>
  <c r="S9" i="106" s="1"/>
  <c r="M10" i="106"/>
  <c r="Q10" i="106"/>
  <c r="AD10" i="106"/>
  <c r="AE10" i="106"/>
  <c r="N29" i="106" s="1"/>
  <c r="AF10" i="106"/>
  <c r="O10" i="106" s="1"/>
  <c r="AW10" i="106"/>
  <c r="AX10" i="106"/>
  <c r="AY10" i="106"/>
  <c r="S10" i="106" s="1"/>
  <c r="M11" i="106"/>
  <c r="Q11" i="106"/>
  <c r="R11" i="106"/>
  <c r="AC11" i="106"/>
  <c r="AE11" i="106" s="1"/>
  <c r="AD11" i="106"/>
  <c r="AF11" i="106"/>
  <c r="O11" i="106" s="1"/>
  <c r="AV11" i="106"/>
  <c r="AW11" i="106"/>
  <c r="AX11" i="106"/>
  <c r="AY11" i="106"/>
  <c r="S11" i="106" s="1"/>
  <c r="M12" i="106"/>
  <c r="N12" i="106"/>
  <c r="Q12" i="106"/>
  <c r="AC12" i="106"/>
  <c r="AE12" i="106" s="1"/>
  <c r="AD12" i="106"/>
  <c r="AF12" i="106"/>
  <c r="O12" i="106" s="1"/>
  <c r="AV12" i="106"/>
  <c r="AX12" i="106" s="1"/>
  <c r="AW12" i="106"/>
  <c r="AY12" i="106"/>
  <c r="S12" i="106" s="1"/>
  <c r="M13" i="106"/>
  <c r="Q13" i="106"/>
  <c r="R13" i="106"/>
  <c r="AC13" i="106"/>
  <c r="AD13" i="106"/>
  <c r="AE13" i="106"/>
  <c r="AF13" i="106"/>
  <c r="O13" i="106" s="1"/>
  <c r="AV13" i="106"/>
  <c r="AX13" i="106" s="1"/>
  <c r="AW13" i="106"/>
  <c r="AY13" i="106"/>
  <c r="S13" i="106" s="1"/>
  <c r="M14" i="106"/>
  <c r="N14" i="106"/>
  <c r="Q14" i="106"/>
  <c r="AC14" i="106"/>
  <c r="AE14" i="106" s="1"/>
  <c r="AD14" i="106"/>
  <c r="AF14" i="106"/>
  <c r="O14" i="106" s="1"/>
  <c r="AV14" i="106"/>
  <c r="AX14" i="106" s="1"/>
  <c r="AW14" i="106"/>
  <c r="AY14" i="106"/>
  <c r="S14" i="106" s="1"/>
  <c r="M15" i="106"/>
  <c r="Q15" i="106"/>
  <c r="R15" i="106"/>
  <c r="AC15" i="106"/>
  <c r="AE15" i="106" s="1"/>
  <c r="AD15" i="106"/>
  <c r="AF15" i="106"/>
  <c r="O15" i="106" s="1"/>
  <c r="AV15" i="106"/>
  <c r="AW15" i="106"/>
  <c r="AX15" i="106"/>
  <c r="AY15" i="106"/>
  <c r="S15" i="106" s="1"/>
  <c r="L16" i="106"/>
  <c r="L31" i="106" s="1"/>
  <c r="M16" i="106"/>
  <c r="P16" i="106"/>
  <c r="P31" i="106" s="1"/>
  <c r="Q16" i="106"/>
  <c r="R16" i="106"/>
  <c r="AC16" i="106"/>
  <c r="AD16" i="106"/>
  <c r="AE16" i="106"/>
  <c r="AF16" i="106"/>
  <c r="O16" i="106" s="1"/>
  <c r="AV16" i="106"/>
  <c r="AW16" i="106"/>
  <c r="AX16" i="106"/>
  <c r="AY16" i="106"/>
  <c r="S16" i="106" s="1"/>
  <c r="M17" i="106"/>
  <c r="N17" i="106"/>
  <c r="Q17" i="106"/>
  <c r="AC17" i="106"/>
  <c r="AE17" i="106" s="1"/>
  <c r="AD17" i="106"/>
  <c r="AF17" i="106"/>
  <c r="O17" i="106" s="1"/>
  <c r="AV17" i="106"/>
  <c r="AX17" i="106" s="1"/>
  <c r="AW17" i="106"/>
  <c r="AY17" i="106"/>
  <c r="S17" i="106" s="1"/>
  <c r="M18" i="106"/>
  <c r="Q18" i="106"/>
  <c r="R18" i="106"/>
  <c r="AC18" i="106"/>
  <c r="AD18" i="106"/>
  <c r="AE18" i="106"/>
  <c r="AF18" i="106"/>
  <c r="O18" i="106" s="1"/>
  <c r="AV18" i="106"/>
  <c r="AW18" i="106"/>
  <c r="AX18" i="106"/>
  <c r="AY18" i="106"/>
  <c r="S18" i="106" s="1"/>
  <c r="M19" i="106"/>
  <c r="N19" i="106"/>
  <c r="Q19" i="106"/>
  <c r="AC19" i="106"/>
  <c r="AE19" i="106" s="1"/>
  <c r="AD19" i="106"/>
  <c r="AF19" i="106"/>
  <c r="O19" i="106" s="1"/>
  <c r="AV19" i="106"/>
  <c r="AX19" i="106" s="1"/>
  <c r="AW19" i="106"/>
  <c r="AY19" i="106"/>
  <c r="S19" i="106" s="1"/>
  <c r="M20" i="106"/>
  <c r="Q20" i="106"/>
  <c r="R20" i="106"/>
  <c r="AC20" i="106"/>
  <c r="AD20" i="106"/>
  <c r="AE20" i="106"/>
  <c r="AF20" i="106"/>
  <c r="O20" i="106" s="1"/>
  <c r="AV20" i="106"/>
  <c r="AW20" i="106"/>
  <c r="AX20" i="106"/>
  <c r="AY20" i="106"/>
  <c r="S20" i="106" s="1"/>
  <c r="L21" i="106"/>
  <c r="M21" i="106"/>
  <c r="N21" i="106"/>
  <c r="Q21" i="106"/>
  <c r="R21" i="106"/>
  <c r="AC21" i="106"/>
  <c r="AE21" i="106" s="1"/>
  <c r="AD21" i="106"/>
  <c r="AF21" i="106"/>
  <c r="O21" i="106" s="1"/>
  <c r="AV21" i="106"/>
  <c r="AX21" i="106" s="1"/>
  <c r="AW21" i="106"/>
  <c r="AY21" i="106"/>
  <c r="S21" i="106" s="1"/>
  <c r="L22" i="106"/>
  <c r="M22" i="106"/>
  <c r="N22" i="106"/>
  <c r="Q22" i="106"/>
  <c r="AC22" i="106"/>
  <c r="AE22" i="106" s="1"/>
  <c r="AD22" i="106"/>
  <c r="AF22" i="106"/>
  <c r="O22" i="106" s="1"/>
  <c r="AV22" i="106"/>
  <c r="AX22" i="106" s="1"/>
  <c r="AW22" i="106"/>
  <c r="AY22" i="106"/>
  <c r="S22" i="106" s="1"/>
  <c r="L23" i="106"/>
  <c r="M23" i="106"/>
  <c r="Q23" i="106"/>
  <c r="R23" i="106"/>
  <c r="AC23" i="106"/>
  <c r="AE23" i="106" s="1"/>
  <c r="AD23" i="106"/>
  <c r="AF23" i="106"/>
  <c r="O23" i="106" s="1"/>
  <c r="AV23" i="106"/>
  <c r="AW23" i="106"/>
  <c r="AX23" i="106"/>
  <c r="AY23" i="106"/>
  <c r="S23" i="106" s="1"/>
  <c r="L24" i="106"/>
  <c r="M24" i="106"/>
  <c r="N24" i="106"/>
  <c r="P24" i="106"/>
  <c r="Q24" i="106"/>
  <c r="R24" i="106"/>
  <c r="AC24" i="106"/>
  <c r="AE24" i="106" s="1"/>
  <c r="AD24" i="106"/>
  <c r="AF24" i="106"/>
  <c r="O24" i="106" s="1"/>
  <c r="AV24" i="106"/>
  <c r="AX24" i="106" s="1"/>
  <c r="AW24" i="106"/>
  <c r="AY24" i="106"/>
  <c r="S24" i="106" s="1"/>
  <c r="M25" i="106"/>
  <c r="N25" i="106"/>
  <c r="Q25" i="106"/>
  <c r="R25" i="106"/>
  <c r="AC25" i="106"/>
  <c r="AD25" i="106"/>
  <c r="AE25" i="106"/>
  <c r="AF25" i="106"/>
  <c r="O25" i="106" s="1"/>
  <c r="AV25" i="106"/>
  <c r="AX25" i="106" s="1"/>
  <c r="AW25" i="106"/>
  <c r="AY25" i="106"/>
  <c r="S25" i="106" s="1"/>
  <c r="M26" i="106"/>
  <c r="P26" i="106"/>
  <c r="Q26" i="106"/>
  <c r="AC26" i="106"/>
  <c r="AE26" i="106" s="1"/>
  <c r="AD26" i="106"/>
  <c r="AF26" i="106"/>
  <c r="O26" i="106" s="1"/>
  <c r="AV26" i="106"/>
  <c r="AX26" i="106" s="1"/>
  <c r="AW26" i="106"/>
  <c r="AY26" i="106"/>
  <c r="S26" i="106" s="1"/>
  <c r="L1" i="48"/>
  <c r="Z8" i="48"/>
  <c r="AA8" i="48"/>
  <c r="N8" i="48" s="1"/>
  <c r="AB8" i="48"/>
  <c r="O8" i="48" s="1"/>
  <c r="Z9" i="48"/>
  <c r="AA9" i="48"/>
  <c r="N9" i="48" s="1"/>
  <c r="AB9" i="48"/>
  <c r="O9" i="48" s="1"/>
  <c r="N10" i="48"/>
  <c r="Z10" i="48"/>
  <c r="AA10" i="48"/>
  <c r="AB10" i="48"/>
  <c r="O10" i="48" s="1"/>
  <c r="Z11" i="48"/>
  <c r="AA11" i="48"/>
  <c r="N11" i="48" s="1"/>
  <c r="AB11" i="48"/>
  <c r="O11" i="48" s="1"/>
  <c r="Z12" i="48"/>
  <c r="AA12" i="48"/>
  <c r="N12" i="48" s="1"/>
  <c r="AB12" i="48"/>
  <c r="O12" i="48" s="1"/>
  <c r="H18" i="48"/>
  <c r="L8" i="48" s="1"/>
  <c r="J18" i="48"/>
  <c r="H19" i="48"/>
  <c r="L9" i="48" s="1"/>
  <c r="J19" i="48"/>
  <c r="H20" i="48"/>
  <c r="L10" i="48" s="1"/>
  <c r="J20" i="48"/>
  <c r="H21" i="48"/>
  <c r="J21" i="48"/>
  <c r="O40" i="46"/>
  <c r="S40" i="46"/>
  <c r="AD40" i="46"/>
  <c r="AE40" i="46"/>
  <c r="N40" i="46" s="1"/>
  <c r="AF40" i="46"/>
  <c r="AD41" i="46"/>
  <c r="AE41" i="46"/>
  <c r="N41" i="46" s="1"/>
  <c r="AF41" i="46"/>
  <c r="S41" i="46" s="1"/>
  <c r="AD42" i="46"/>
  <c r="AE42" i="46"/>
  <c r="N42" i="46" s="1"/>
  <c r="AF42" i="46"/>
  <c r="O42" i="46" s="1"/>
  <c r="R43" i="46"/>
  <c r="AD43" i="46"/>
  <c r="AE43" i="46"/>
  <c r="N43" i="46" s="1"/>
  <c r="AF43" i="46"/>
  <c r="O43" i="46" s="1"/>
  <c r="AD44" i="46"/>
  <c r="AE44" i="46"/>
  <c r="R44" i="46" s="1"/>
  <c r="AF44" i="46"/>
  <c r="O44" i="46" s="1"/>
  <c r="AD45" i="46"/>
  <c r="AE45" i="46"/>
  <c r="R45" i="46" s="1"/>
  <c r="AF45" i="46"/>
  <c r="S45" i="46" s="1"/>
  <c r="O46" i="46"/>
  <c r="AD46" i="46"/>
  <c r="AE46" i="46"/>
  <c r="N46" i="46" s="1"/>
  <c r="AF46" i="46"/>
  <c r="S46" i="46" s="1"/>
  <c r="N47" i="46"/>
  <c r="R47" i="46"/>
  <c r="AD47" i="46"/>
  <c r="AE47" i="46"/>
  <c r="AF47" i="46"/>
  <c r="O47" i="46" s="1"/>
  <c r="N48" i="46"/>
  <c r="R48" i="46"/>
  <c r="AD48" i="46"/>
  <c r="AE48" i="46"/>
  <c r="AF48" i="46"/>
  <c r="O48" i="46" s="1"/>
  <c r="AD49" i="46"/>
  <c r="AE49" i="46"/>
  <c r="N49" i="46" s="1"/>
  <c r="AF49" i="46"/>
  <c r="O49" i="46" s="1"/>
  <c r="S50" i="46"/>
  <c r="AD50" i="46"/>
  <c r="AE50" i="46"/>
  <c r="N50" i="46" s="1"/>
  <c r="AF50" i="46"/>
  <c r="O50" i="46" s="1"/>
  <c r="L1" i="46"/>
  <c r="P1" i="46"/>
  <c r="R9" i="46"/>
  <c r="AD9" i="46"/>
  <c r="AE9" i="46"/>
  <c r="N9" i="46" s="1"/>
  <c r="AF9" i="46"/>
  <c r="O9" i="46" s="1"/>
  <c r="S10" i="46"/>
  <c r="AD10" i="46"/>
  <c r="AE10" i="46"/>
  <c r="R10" i="46" s="1"/>
  <c r="AF10" i="46"/>
  <c r="O10" i="46" s="1"/>
  <c r="N11" i="46"/>
  <c r="AD11" i="46"/>
  <c r="AE11" i="46"/>
  <c r="R11" i="46" s="1"/>
  <c r="AF11" i="46"/>
  <c r="S11" i="46" s="1"/>
  <c r="AD12" i="46"/>
  <c r="AE12" i="46"/>
  <c r="N12" i="46" s="1"/>
  <c r="AF12" i="46"/>
  <c r="S12" i="46" s="1"/>
  <c r="S13" i="46"/>
  <c r="AD13" i="46"/>
  <c r="AE13" i="46"/>
  <c r="N13" i="46" s="1"/>
  <c r="AF13" i="46"/>
  <c r="O13" i="46" s="1"/>
  <c r="S14" i="46"/>
  <c r="AD14" i="46"/>
  <c r="AE14" i="46"/>
  <c r="N14" i="46" s="1"/>
  <c r="AF14" i="46"/>
  <c r="O14" i="46" s="1"/>
  <c r="AD15" i="46"/>
  <c r="AE15" i="46"/>
  <c r="N15" i="46" s="1"/>
  <c r="AF15" i="46"/>
  <c r="S15" i="46" s="1"/>
  <c r="S16" i="46"/>
  <c r="AD16" i="46"/>
  <c r="AE16" i="46"/>
  <c r="N16" i="46" s="1"/>
  <c r="AF16" i="46"/>
  <c r="O16" i="46" s="1"/>
  <c r="AD17" i="46"/>
  <c r="AE17" i="46"/>
  <c r="N17" i="46" s="1"/>
  <c r="AF17" i="46"/>
  <c r="O17" i="46" s="1"/>
  <c r="S18" i="46"/>
  <c r="AD18" i="46"/>
  <c r="AE18" i="46"/>
  <c r="R18" i="46" s="1"/>
  <c r="AF18" i="46"/>
  <c r="O18" i="46" s="1"/>
  <c r="N19" i="46"/>
  <c r="AD19" i="46"/>
  <c r="AE19" i="46"/>
  <c r="R19" i="46" s="1"/>
  <c r="AF19" i="46"/>
  <c r="S19" i="46" s="1"/>
  <c r="R20" i="46"/>
  <c r="AD20" i="46"/>
  <c r="AE20" i="46"/>
  <c r="N20" i="46" s="1"/>
  <c r="AF20" i="46"/>
  <c r="S20" i="46" s="1"/>
  <c r="R21" i="46"/>
  <c r="AD21" i="46"/>
  <c r="AE21" i="46"/>
  <c r="N21" i="46" s="1"/>
  <c r="AF21" i="46"/>
  <c r="O21" i="46" s="1"/>
  <c r="N22" i="46"/>
  <c r="S22" i="46"/>
  <c r="AD22" i="46"/>
  <c r="AE22" i="46"/>
  <c r="R22" i="46" s="1"/>
  <c r="AF22" i="46"/>
  <c r="O22" i="46" s="1"/>
  <c r="AD23" i="46"/>
  <c r="AE23" i="46"/>
  <c r="N23" i="46" s="1"/>
  <c r="AF23" i="46"/>
  <c r="S23" i="46" s="1"/>
  <c r="AD24" i="46"/>
  <c r="AE24" i="46"/>
  <c r="N24" i="46" s="1"/>
  <c r="AF24" i="46"/>
  <c r="O24" i="46" s="1"/>
  <c r="R25" i="46"/>
  <c r="AD25" i="46"/>
  <c r="AE25" i="46"/>
  <c r="N25" i="46" s="1"/>
  <c r="AF25" i="46"/>
  <c r="O25" i="46" s="1"/>
  <c r="S26" i="46"/>
  <c r="AD26" i="46"/>
  <c r="AE26" i="46"/>
  <c r="R26" i="46" s="1"/>
  <c r="AF26" i="46"/>
  <c r="O26" i="46" s="1"/>
  <c r="AD27" i="46"/>
  <c r="AE27" i="46"/>
  <c r="R27" i="46" s="1"/>
  <c r="AF27" i="46"/>
  <c r="S27" i="46" s="1"/>
  <c r="R28" i="46"/>
  <c r="AD28" i="46"/>
  <c r="AE28" i="46"/>
  <c r="N28" i="46" s="1"/>
  <c r="AF28" i="46"/>
  <c r="S28" i="46" s="1"/>
  <c r="AD29" i="46"/>
  <c r="AE29" i="46"/>
  <c r="N29" i="46" s="1"/>
  <c r="AF29" i="46"/>
  <c r="O29" i="46" s="1"/>
  <c r="N30" i="46"/>
  <c r="AD30" i="46"/>
  <c r="AE30" i="46"/>
  <c r="R30" i="46" s="1"/>
  <c r="AF30" i="46"/>
  <c r="O30" i="46" s="1"/>
  <c r="AD31" i="46"/>
  <c r="AE31" i="46"/>
  <c r="N31" i="46" s="1"/>
  <c r="AF31" i="46"/>
  <c r="S31" i="46" s="1"/>
  <c r="S32" i="46"/>
  <c r="AD32" i="46"/>
  <c r="AE32" i="46"/>
  <c r="N32" i="46" s="1"/>
  <c r="AF32" i="46"/>
  <c r="O32" i="46" s="1"/>
  <c r="R33" i="46"/>
  <c r="AD33" i="46"/>
  <c r="AE33" i="46"/>
  <c r="N33" i="46" s="1"/>
  <c r="AF33" i="46"/>
  <c r="O33" i="46" s="1"/>
  <c r="AD34" i="46"/>
  <c r="AE34" i="46"/>
  <c r="R34" i="46" s="1"/>
  <c r="AF34" i="46"/>
  <c r="O34" i="46" s="1"/>
  <c r="AD35" i="46"/>
  <c r="AE35" i="46"/>
  <c r="R35" i="46" s="1"/>
  <c r="AF35" i="46"/>
  <c r="S35" i="46" s="1"/>
  <c r="AD36" i="46"/>
  <c r="AE36" i="46"/>
  <c r="N36" i="46" s="1"/>
  <c r="AF36" i="46"/>
  <c r="S36" i="46" s="1"/>
  <c r="S37" i="46"/>
  <c r="AD37" i="46"/>
  <c r="AE37" i="46"/>
  <c r="N37" i="46" s="1"/>
  <c r="AF37" i="46"/>
  <c r="O37" i="46" s="1"/>
  <c r="N38" i="46"/>
  <c r="AD38" i="46"/>
  <c r="AE38" i="46"/>
  <c r="R38" i="46" s="1"/>
  <c r="AF38" i="46"/>
  <c r="O38" i="46" s="1"/>
  <c r="AD39" i="46"/>
  <c r="AE39" i="46"/>
  <c r="N39" i="46" s="1"/>
  <c r="AF39" i="46"/>
  <c r="S39" i="46" s="1"/>
  <c r="AH37" i="44"/>
  <c r="AI37" i="44"/>
  <c r="V37" i="44" s="1"/>
  <c r="AJ37" i="44"/>
  <c r="O37" i="44" s="1"/>
  <c r="N38" i="44"/>
  <c r="V38" i="44"/>
  <c r="W38" i="44"/>
  <c r="AH38" i="44"/>
  <c r="AI38" i="44"/>
  <c r="R38" i="44" s="1"/>
  <c r="AJ38" i="44"/>
  <c r="S38" i="44" s="1"/>
  <c r="AH39" i="44"/>
  <c r="AI39" i="44"/>
  <c r="R39" i="44" s="1"/>
  <c r="AJ39" i="44"/>
  <c r="W39" i="44" s="1"/>
  <c r="R40" i="44"/>
  <c r="AH40" i="44"/>
  <c r="AI40" i="44"/>
  <c r="V40" i="44" s="1"/>
  <c r="AJ40" i="44"/>
  <c r="AH41" i="44"/>
  <c r="AI41" i="44"/>
  <c r="R41" i="44" s="1"/>
  <c r="AJ41" i="44"/>
  <c r="O41" i="44" s="1"/>
  <c r="O42" i="44"/>
  <c r="R42" i="44"/>
  <c r="AH42" i="44"/>
  <c r="AI42" i="44"/>
  <c r="N42" i="44" s="1"/>
  <c r="AJ42" i="44"/>
  <c r="S42" i="44" s="1"/>
  <c r="AH43" i="44"/>
  <c r="AI43" i="44"/>
  <c r="R43" i="44" s="1"/>
  <c r="AJ43" i="44"/>
  <c r="W43" i="44" s="1"/>
  <c r="AH44" i="44"/>
  <c r="AI44" i="44"/>
  <c r="AJ44" i="44"/>
  <c r="W44" i="44" s="1"/>
  <c r="AH45" i="44"/>
  <c r="AI45" i="44"/>
  <c r="V45" i="44" s="1"/>
  <c r="AJ45" i="44"/>
  <c r="O45" i="44" s="1"/>
  <c r="N46" i="44"/>
  <c r="V46" i="44"/>
  <c r="W46" i="44"/>
  <c r="AH46" i="44"/>
  <c r="AI46" i="44"/>
  <c r="R46" i="44" s="1"/>
  <c r="AJ46" i="44"/>
  <c r="S46" i="44" s="1"/>
  <c r="AH47" i="44"/>
  <c r="AI47" i="44"/>
  <c r="R47" i="44" s="1"/>
  <c r="AJ47" i="44"/>
  <c r="W47" i="44" s="1"/>
  <c r="R48" i="44"/>
  <c r="S48" i="44"/>
  <c r="AH48" i="44"/>
  <c r="AI48" i="44"/>
  <c r="V48" i="44" s="1"/>
  <c r="AJ48" i="44"/>
  <c r="AH49" i="44"/>
  <c r="AI49" i="44"/>
  <c r="AJ49" i="44"/>
  <c r="O49" i="44" s="1"/>
  <c r="O50" i="44"/>
  <c r="R50" i="44"/>
  <c r="AH50" i="44"/>
  <c r="AI50" i="44"/>
  <c r="N50" i="44" s="1"/>
  <c r="AJ50" i="44"/>
  <c r="S50" i="44" s="1"/>
  <c r="AH51" i="44"/>
  <c r="AI51" i="44"/>
  <c r="R51" i="44" s="1"/>
  <c r="AJ51" i="44"/>
  <c r="AH52" i="44"/>
  <c r="AI52" i="44"/>
  <c r="AJ52" i="44"/>
  <c r="W52" i="44" s="1"/>
  <c r="R53" i="44"/>
  <c r="AH53" i="44"/>
  <c r="AI53" i="44"/>
  <c r="V53" i="44" s="1"/>
  <c r="AJ53" i="44"/>
  <c r="O53" i="44" s="1"/>
  <c r="N54" i="44"/>
  <c r="R54" i="44"/>
  <c r="W54" i="44"/>
  <c r="AH54" i="44"/>
  <c r="AI54" i="44"/>
  <c r="V54" i="44" s="1"/>
  <c r="AJ54" i="44"/>
  <c r="S54" i="44" s="1"/>
  <c r="AH55" i="44"/>
  <c r="AI55" i="44"/>
  <c r="R55" i="44" s="1"/>
  <c r="AJ55" i="44"/>
  <c r="W55" i="44" s="1"/>
  <c r="L1" i="44"/>
  <c r="P1" i="44"/>
  <c r="T1" i="44"/>
  <c r="N10" i="44"/>
  <c r="R10" i="44"/>
  <c r="V10" i="44"/>
  <c r="W10" i="44"/>
  <c r="AH10" i="44"/>
  <c r="AI10" i="44"/>
  <c r="AJ10" i="44"/>
  <c r="S10" i="44" s="1"/>
  <c r="O11" i="44"/>
  <c r="S11" i="44"/>
  <c r="AH11" i="44"/>
  <c r="AI11" i="44"/>
  <c r="R11" i="44" s="1"/>
  <c r="AJ11" i="44"/>
  <c r="W11" i="44" s="1"/>
  <c r="N12" i="44"/>
  <c r="R12" i="44"/>
  <c r="AH12" i="44"/>
  <c r="AI12" i="44"/>
  <c r="V12" i="44" s="1"/>
  <c r="AJ12" i="44"/>
  <c r="S12" i="44" s="1"/>
  <c r="O13" i="44"/>
  <c r="R13" i="44"/>
  <c r="S13" i="44"/>
  <c r="AH13" i="44"/>
  <c r="AI13" i="44"/>
  <c r="AJ13" i="44"/>
  <c r="W13" i="44" s="1"/>
  <c r="AH14" i="44"/>
  <c r="AI14" i="44"/>
  <c r="R14" i="44" s="1"/>
  <c r="AJ14" i="44"/>
  <c r="S14" i="44" s="1"/>
  <c r="N15" i="44"/>
  <c r="AH15" i="44"/>
  <c r="AI15" i="44"/>
  <c r="R15" i="44" s="1"/>
  <c r="AJ15" i="44"/>
  <c r="O16" i="44"/>
  <c r="S16" i="44"/>
  <c r="AH16" i="44"/>
  <c r="AI16" i="44"/>
  <c r="V16" i="44" s="1"/>
  <c r="AJ16" i="44"/>
  <c r="W16" i="44" s="1"/>
  <c r="O17" i="44"/>
  <c r="R17" i="44"/>
  <c r="S17" i="44"/>
  <c r="AH17" i="44"/>
  <c r="AI17" i="44"/>
  <c r="V17" i="44" s="1"/>
  <c r="AJ17" i="44"/>
  <c r="W17" i="44" s="1"/>
  <c r="AH18" i="44"/>
  <c r="AI18" i="44"/>
  <c r="N18" i="44" s="1"/>
  <c r="AJ18" i="44"/>
  <c r="S18" i="44" s="1"/>
  <c r="O19" i="44"/>
  <c r="V19" i="44"/>
  <c r="AH19" i="44"/>
  <c r="AI19" i="44"/>
  <c r="AJ19" i="44"/>
  <c r="W19" i="44" s="1"/>
  <c r="AH20" i="44"/>
  <c r="AI20" i="44"/>
  <c r="V20" i="44" s="1"/>
  <c r="AJ20" i="44"/>
  <c r="S20" i="44" s="1"/>
  <c r="O21" i="44"/>
  <c r="W21" i="44"/>
  <c r="AH21" i="44"/>
  <c r="AI21" i="44"/>
  <c r="AJ21" i="44"/>
  <c r="S21" i="44" s="1"/>
  <c r="AH22" i="44"/>
  <c r="AI22" i="44"/>
  <c r="R22" i="44" s="1"/>
  <c r="AJ22" i="44"/>
  <c r="S22" i="44" s="1"/>
  <c r="AH23" i="44"/>
  <c r="AI23" i="44"/>
  <c r="R23" i="44" s="1"/>
  <c r="AJ23" i="44"/>
  <c r="O23" i="44" s="1"/>
  <c r="AH24" i="44"/>
  <c r="AI24" i="44"/>
  <c r="N24" i="44" s="1"/>
  <c r="AJ24" i="44"/>
  <c r="W24" i="44" s="1"/>
  <c r="N25" i="44"/>
  <c r="R25" i="44"/>
  <c r="S25" i="44"/>
  <c r="W25" i="44"/>
  <c r="AH25" i="44"/>
  <c r="AI25" i="44"/>
  <c r="V25" i="44" s="1"/>
  <c r="AJ25" i="44"/>
  <c r="O25" i="44" s="1"/>
  <c r="N26" i="44"/>
  <c r="R26" i="44"/>
  <c r="V26" i="44"/>
  <c r="AH26" i="44"/>
  <c r="AI26" i="44"/>
  <c r="AJ26" i="44"/>
  <c r="W26" i="44" s="1"/>
  <c r="O27" i="44"/>
  <c r="S27" i="44"/>
  <c r="AH27" i="44"/>
  <c r="AI27" i="44"/>
  <c r="AJ27" i="44"/>
  <c r="W27" i="44" s="1"/>
  <c r="S28" i="44"/>
  <c r="AH28" i="44"/>
  <c r="AI28" i="44"/>
  <c r="V28" i="44" s="1"/>
  <c r="AJ28" i="44"/>
  <c r="O29" i="44"/>
  <c r="R29" i="44"/>
  <c r="S29" i="44"/>
  <c r="W29" i="44"/>
  <c r="AH29" i="44"/>
  <c r="AI29" i="44"/>
  <c r="AJ29" i="44"/>
  <c r="N30" i="44"/>
  <c r="V30" i="44"/>
  <c r="AH30" i="44"/>
  <c r="AI30" i="44"/>
  <c r="R30" i="44" s="1"/>
  <c r="AJ30" i="44"/>
  <c r="S30" i="44" s="1"/>
  <c r="N31" i="44"/>
  <c r="W31" i="44"/>
  <c r="AH31" i="44"/>
  <c r="AI31" i="44"/>
  <c r="R31" i="44" s="1"/>
  <c r="AJ31" i="44"/>
  <c r="O31" i="44" s="1"/>
  <c r="AH32" i="44"/>
  <c r="AI32" i="44"/>
  <c r="N32" i="44" s="1"/>
  <c r="AJ32" i="44"/>
  <c r="W32" i="44" s="1"/>
  <c r="O33" i="44"/>
  <c r="R33" i="44"/>
  <c r="S33" i="44"/>
  <c r="W33" i="44"/>
  <c r="AH33" i="44"/>
  <c r="AI33" i="44"/>
  <c r="V33" i="44" s="1"/>
  <c r="AJ33" i="44"/>
  <c r="N34" i="44"/>
  <c r="R34" i="44"/>
  <c r="V34" i="44"/>
  <c r="AH34" i="44"/>
  <c r="AI34" i="44"/>
  <c r="AJ34" i="44"/>
  <c r="O35" i="44"/>
  <c r="S35" i="44"/>
  <c r="AH35" i="44"/>
  <c r="AI35" i="44"/>
  <c r="AJ35" i="44"/>
  <c r="W35" i="44" s="1"/>
  <c r="S36" i="44"/>
  <c r="AH36" i="44"/>
  <c r="AI36" i="44"/>
  <c r="V36" i="44" s="1"/>
  <c r="AJ36" i="44"/>
  <c r="L1" i="36"/>
  <c r="P1" i="36"/>
  <c r="T1" i="36"/>
  <c r="N10" i="36"/>
  <c r="S10" i="36"/>
  <c r="V10" i="36"/>
  <c r="AH10" i="36"/>
  <c r="AI10" i="36"/>
  <c r="R10" i="36" s="1"/>
  <c r="AJ10" i="36"/>
  <c r="W10" i="36" s="1"/>
  <c r="R11" i="36"/>
  <c r="S11" i="36"/>
  <c r="AH11" i="36"/>
  <c r="AI11" i="36"/>
  <c r="V11" i="36" s="1"/>
  <c r="AJ11" i="36"/>
  <c r="W11" i="36" s="1"/>
  <c r="O12" i="36"/>
  <c r="R12" i="36"/>
  <c r="S12" i="36"/>
  <c r="AH12" i="36"/>
  <c r="AI12" i="36"/>
  <c r="V12" i="36" s="1"/>
  <c r="AJ12" i="36"/>
  <c r="W12" i="36" s="1"/>
  <c r="N13" i="36"/>
  <c r="O13" i="36"/>
  <c r="R13" i="36"/>
  <c r="AH13" i="36"/>
  <c r="AI13" i="36"/>
  <c r="V13" i="36" s="1"/>
  <c r="AJ13" i="36"/>
  <c r="AH14" i="36"/>
  <c r="AI14" i="36"/>
  <c r="AJ14" i="36"/>
  <c r="S15" i="36"/>
  <c r="AH15" i="36"/>
  <c r="AI15" i="36"/>
  <c r="AJ15" i="36"/>
  <c r="O15" i="36" s="1"/>
  <c r="S16" i="36"/>
  <c r="W16" i="36"/>
  <c r="AH16" i="36"/>
  <c r="AI16" i="36"/>
  <c r="N16" i="36" s="1"/>
  <c r="AJ16" i="36"/>
  <c r="O16" i="36" s="1"/>
  <c r="O17" i="36"/>
  <c r="R17" i="36"/>
  <c r="V17" i="36"/>
  <c r="W17" i="36"/>
  <c r="AH17" i="36"/>
  <c r="AI17" i="36"/>
  <c r="N17" i="36" s="1"/>
  <c r="AJ17" i="36"/>
  <c r="S17" i="36" s="1"/>
  <c r="N18" i="36"/>
  <c r="S18" i="36"/>
  <c r="V18" i="36"/>
  <c r="AH18" i="36"/>
  <c r="AI18" i="36"/>
  <c r="R18" i="36" s="1"/>
  <c r="AJ18" i="36"/>
  <c r="W18" i="36" s="1"/>
  <c r="R19" i="36"/>
  <c r="S19" i="36"/>
  <c r="AH19" i="36"/>
  <c r="AI19" i="36"/>
  <c r="V19" i="36" s="1"/>
  <c r="AJ19" i="36"/>
  <c r="W19" i="36" s="1"/>
  <c r="O20" i="36"/>
  <c r="R20" i="36"/>
  <c r="S20" i="36"/>
  <c r="W20" i="36"/>
  <c r="AH20" i="36"/>
  <c r="AI20" i="36"/>
  <c r="V20" i="36" s="1"/>
  <c r="AJ20" i="36"/>
  <c r="N21" i="36"/>
  <c r="R21" i="36"/>
  <c r="V21" i="36"/>
  <c r="AH21" i="36"/>
  <c r="AI21" i="36"/>
  <c r="AJ21" i="36"/>
  <c r="N22" i="36"/>
  <c r="AH22" i="36"/>
  <c r="AI22" i="36"/>
  <c r="AJ22" i="36"/>
  <c r="S23" i="36"/>
  <c r="AH23" i="36"/>
  <c r="AI23" i="36"/>
  <c r="AJ23" i="36"/>
  <c r="O23" i="36" s="1"/>
  <c r="L24" i="36"/>
  <c r="O24" i="36"/>
  <c r="P24" i="36"/>
  <c r="S24" i="36"/>
  <c r="T24" i="36"/>
  <c r="AH24" i="36"/>
  <c r="AI24" i="36"/>
  <c r="V24" i="36" s="1"/>
  <c r="AJ24" i="36"/>
  <c r="W24" i="36" s="1"/>
  <c r="L25" i="36"/>
  <c r="O25" i="36"/>
  <c r="P25" i="36"/>
  <c r="T25" i="36"/>
  <c r="AH25" i="36"/>
  <c r="AI25" i="36"/>
  <c r="AJ25" i="36"/>
  <c r="S25" i="36" s="1"/>
  <c r="L26" i="36"/>
  <c r="O26" i="36"/>
  <c r="P26" i="36"/>
  <c r="S26" i="36"/>
  <c r="T26" i="36"/>
  <c r="AH26" i="36"/>
  <c r="AI26" i="36"/>
  <c r="V26" i="36" s="1"/>
  <c r="AJ26" i="36"/>
  <c r="W26" i="36" s="1"/>
  <c r="L30" i="36"/>
  <c r="P30" i="36"/>
  <c r="T30" i="36"/>
  <c r="L37" i="35"/>
  <c r="P37" i="35"/>
  <c r="T37" i="35"/>
  <c r="L1" i="35"/>
  <c r="P1" i="35"/>
  <c r="T1" i="35"/>
  <c r="N10" i="35"/>
  <c r="R10" i="35"/>
  <c r="AH10" i="35"/>
  <c r="AI10" i="35"/>
  <c r="V10" i="35" s="1"/>
  <c r="AJ10" i="35"/>
  <c r="N11" i="35"/>
  <c r="AH11" i="35"/>
  <c r="AI11" i="35"/>
  <c r="AJ11" i="35"/>
  <c r="S12" i="35"/>
  <c r="AH12" i="35"/>
  <c r="AI12" i="35"/>
  <c r="AJ12" i="35"/>
  <c r="O12" i="35" s="1"/>
  <c r="R13" i="35"/>
  <c r="S13" i="35"/>
  <c r="W13" i="35"/>
  <c r="AH13" i="35"/>
  <c r="AI13" i="35"/>
  <c r="N13" i="35" s="1"/>
  <c r="AJ13" i="35"/>
  <c r="O13" i="35" s="1"/>
  <c r="O14" i="35"/>
  <c r="V14" i="35"/>
  <c r="W14" i="35"/>
  <c r="AH14" i="35"/>
  <c r="AI14" i="35"/>
  <c r="N14" i="35" s="1"/>
  <c r="AJ14" i="35"/>
  <c r="S14" i="35" s="1"/>
  <c r="N15" i="35"/>
  <c r="S15" i="35"/>
  <c r="V15" i="35"/>
  <c r="AH15" i="35"/>
  <c r="AI15" i="35"/>
  <c r="R15" i="35" s="1"/>
  <c r="AJ15" i="35"/>
  <c r="W15" i="35" s="1"/>
  <c r="R16" i="35"/>
  <c r="S16" i="35"/>
  <c r="AH16" i="35"/>
  <c r="AI16" i="35"/>
  <c r="V16" i="35" s="1"/>
  <c r="AJ16" i="35"/>
  <c r="W16" i="35" s="1"/>
  <c r="O17" i="35"/>
  <c r="R17" i="35"/>
  <c r="S17" i="35"/>
  <c r="W17" i="35"/>
  <c r="AH17" i="35"/>
  <c r="AI17" i="35"/>
  <c r="V17" i="35" s="1"/>
  <c r="AJ17" i="35"/>
  <c r="N18" i="35"/>
  <c r="O18" i="35"/>
  <c r="R18" i="35"/>
  <c r="AH18" i="35"/>
  <c r="AI18" i="35"/>
  <c r="V18" i="35" s="1"/>
  <c r="AJ18" i="35"/>
  <c r="AH19" i="35"/>
  <c r="AI19" i="35"/>
  <c r="AJ19" i="35"/>
  <c r="S20" i="35"/>
  <c r="AH20" i="35"/>
  <c r="AI20" i="35"/>
  <c r="AJ20" i="35"/>
  <c r="O20" i="35" s="1"/>
  <c r="R21" i="35"/>
  <c r="S21" i="35"/>
  <c r="W21" i="35"/>
  <c r="AH21" i="35"/>
  <c r="AI21" i="35"/>
  <c r="N21" i="35" s="1"/>
  <c r="AJ21" i="35"/>
  <c r="O21" i="35" s="1"/>
  <c r="O22" i="35"/>
  <c r="R22" i="35"/>
  <c r="V22" i="35"/>
  <c r="W22" i="35"/>
  <c r="AH22" i="35"/>
  <c r="AI22" i="35"/>
  <c r="N22" i="35" s="1"/>
  <c r="AJ22" i="35"/>
  <c r="S22" i="35" s="1"/>
  <c r="N23" i="35"/>
  <c r="S23" i="35"/>
  <c r="V23" i="35"/>
  <c r="AH23" i="35"/>
  <c r="AI23" i="35"/>
  <c r="R23" i="35" s="1"/>
  <c r="AJ23" i="35"/>
  <c r="W23" i="35" s="1"/>
  <c r="R24" i="35"/>
  <c r="S24" i="35"/>
  <c r="AH24" i="35"/>
  <c r="AI24" i="35"/>
  <c r="V24" i="35" s="1"/>
  <c r="AJ24" i="35"/>
  <c r="W24" i="35" s="1"/>
  <c r="O25" i="35"/>
  <c r="R25" i="35"/>
  <c r="S25" i="35"/>
  <c r="W25" i="35"/>
  <c r="AH25" i="35"/>
  <c r="AI25" i="35"/>
  <c r="V25" i="35" s="1"/>
  <c r="AJ25" i="35"/>
  <c r="N26" i="35"/>
  <c r="R26" i="35"/>
  <c r="AH26" i="35"/>
  <c r="AI26" i="35"/>
  <c r="V26" i="35" s="1"/>
  <c r="AJ26" i="35"/>
  <c r="N27" i="35"/>
  <c r="AH27" i="35"/>
  <c r="AI27" i="35"/>
  <c r="AJ27" i="35"/>
  <c r="S28" i="35"/>
  <c r="AH28" i="35"/>
  <c r="AI28" i="35"/>
  <c r="AJ28" i="35"/>
  <c r="O28" i="35" s="1"/>
  <c r="R29" i="35"/>
  <c r="S29" i="35"/>
  <c r="W29" i="35"/>
  <c r="AH29" i="35"/>
  <c r="AI29" i="35"/>
  <c r="N29" i="35" s="1"/>
  <c r="AJ29" i="35"/>
  <c r="O29" i="35" s="1"/>
  <c r="O30" i="35"/>
  <c r="R30" i="35"/>
  <c r="S30" i="35"/>
  <c r="V30" i="35"/>
  <c r="W30" i="35"/>
  <c r="AH30" i="35"/>
  <c r="AI30" i="35"/>
  <c r="N30" i="35" s="1"/>
  <c r="AJ30" i="35"/>
  <c r="L31" i="35"/>
  <c r="P31" i="35"/>
  <c r="R31" i="35"/>
  <c r="T31" i="35"/>
  <c r="AH31" i="35"/>
  <c r="AI31" i="35"/>
  <c r="V31" i="35" s="1"/>
  <c r="AJ31" i="35"/>
  <c r="L32" i="35"/>
  <c r="N32" i="35"/>
  <c r="P32" i="35"/>
  <c r="R32" i="35"/>
  <c r="S32" i="35"/>
  <c r="T32" i="35"/>
  <c r="V32" i="35"/>
  <c r="W32" i="35"/>
  <c r="AH32" i="35"/>
  <c r="AI32" i="35"/>
  <c r="AJ32" i="35"/>
  <c r="O32" i="35" s="1"/>
  <c r="L33" i="35"/>
  <c r="P33" i="35"/>
  <c r="R33" i="35"/>
  <c r="T33" i="35"/>
  <c r="AH33" i="35"/>
  <c r="AI33" i="35"/>
  <c r="V33" i="35" s="1"/>
  <c r="AJ33" i="35"/>
  <c r="H40" i="34"/>
  <c r="H41" i="34"/>
  <c r="G42" i="34"/>
  <c r="G46" i="34"/>
  <c r="G47" i="34"/>
  <c r="G49" i="34"/>
  <c r="G50" i="34"/>
  <c r="H53" i="34"/>
  <c r="L53" i="34"/>
  <c r="P53" i="34"/>
  <c r="T53" i="34"/>
  <c r="H54" i="34"/>
  <c r="I60" i="34"/>
  <c r="J60" i="34" s="1"/>
  <c r="J62" i="34"/>
  <c r="L1" i="34"/>
  <c r="P1" i="34"/>
  <c r="O10" i="34"/>
  <c r="S10" i="34"/>
  <c r="V10" i="34"/>
  <c r="W10" i="34"/>
  <c r="AH10" i="34"/>
  <c r="AI10" i="34"/>
  <c r="N10" i="34" s="1"/>
  <c r="AJ10" i="34"/>
  <c r="N11" i="34"/>
  <c r="R11" i="34"/>
  <c r="S11" i="34"/>
  <c r="V11" i="34"/>
  <c r="AH11" i="34"/>
  <c r="AI11" i="34"/>
  <c r="AJ11" i="34"/>
  <c r="W11" i="34" s="1"/>
  <c r="O12" i="34"/>
  <c r="R12" i="34"/>
  <c r="S12" i="34"/>
  <c r="W12" i="34"/>
  <c r="AH12" i="34"/>
  <c r="AI12" i="34"/>
  <c r="V12" i="34" s="1"/>
  <c r="AJ12" i="34"/>
  <c r="O13" i="34"/>
  <c r="R13" i="34"/>
  <c r="S13" i="34"/>
  <c r="V13" i="34"/>
  <c r="AH13" i="34"/>
  <c r="AI13" i="34"/>
  <c r="N13" i="34" s="1"/>
  <c r="AJ13" i="34"/>
  <c r="W13" i="34" s="1"/>
  <c r="N14" i="34"/>
  <c r="AH14" i="34"/>
  <c r="AI14" i="34"/>
  <c r="R14" i="34" s="1"/>
  <c r="AJ14" i="34"/>
  <c r="AH15" i="34"/>
  <c r="AI15" i="34"/>
  <c r="AJ15" i="34"/>
  <c r="S16" i="34"/>
  <c r="AH16" i="34"/>
  <c r="AI16" i="34"/>
  <c r="AJ16" i="34"/>
  <c r="O16" i="34" s="1"/>
  <c r="W17" i="34"/>
  <c r="AH17" i="34"/>
  <c r="AI17" i="34"/>
  <c r="N17" i="34" s="1"/>
  <c r="AJ17" i="34"/>
  <c r="O17" i="34" s="1"/>
  <c r="O18" i="34"/>
  <c r="S18" i="34"/>
  <c r="V18" i="34"/>
  <c r="W18" i="34"/>
  <c r="AH18" i="34"/>
  <c r="AI18" i="34"/>
  <c r="N18" i="34" s="1"/>
  <c r="AJ18" i="34"/>
  <c r="N19" i="34"/>
  <c r="R19" i="34"/>
  <c r="S19" i="34"/>
  <c r="V19" i="34"/>
  <c r="AH19" i="34"/>
  <c r="AI19" i="34"/>
  <c r="AJ19" i="34"/>
  <c r="W19" i="34" s="1"/>
  <c r="O20" i="34"/>
  <c r="R20" i="34"/>
  <c r="S20" i="34"/>
  <c r="W20" i="34"/>
  <c r="AH20" i="34"/>
  <c r="AI20" i="34"/>
  <c r="V20" i="34" s="1"/>
  <c r="AJ20" i="34"/>
  <c r="O21" i="34"/>
  <c r="R21" i="34"/>
  <c r="S21" i="34"/>
  <c r="V21" i="34"/>
  <c r="AH21" i="34"/>
  <c r="AI21" i="34"/>
  <c r="N21" i="34" s="1"/>
  <c r="AJ21" i="34"/>
  <c r="W21" i="34" s="1"/>
  <c r="N22" i="34"/>
  <c r="AH22" i="34"/>
  <c r="AI22" i="34"/>
  <c r="R22" i="34" s="1"/>
  <c r="AJ22" i="34"/>
  <c r="AH23" i="34"/>
  <c r="AI23" i="34"/>
  <c r="AJ23" i="34"/>
  <c r="S24" i="34"/>
  <c r="AH24" i="34"/>
  <c r="AI24" i="34"/>
  <c r="AJ24" i="34"/>
  <c r="O24" i="34" s="1"/>
  <c r="W25" i="34"/>
  <c r="AH25" i="34"/>
  <c r="AI25" i="34"/>
  <c r="N25" i="34" s="1"/>
  <c r="AJ25" i="34"/>
  <c r="O25" i="34" s="1"/>
  <c r="O26" i="34"/>
  <c r="S26" i="34"/>
  <c r="V26" i="34"/>
  <c r="W26" i="34"/>
  <c r="AH26" i="34"/>
  <c r="AI26" i="34"/>
  <c r="N26" i="34" s="1"/>
  <c r="AJ26" i="34"/>
  <c r="N27" i="34"/>
  <c r="R27" i="34"/>
  <c r="S27" i="34"/>
  <c r="V27" i="34"/>
  <c r="AH27" i="34"/>
  <c r="AI27" i="34"/>
  <c r="AJ27" i="34"/>
  <c r="W27" i="34" s="1"/>
  <c r="O28" i="34"/>
  <c r="R28" i="34"/>
  <c r="S28" i="34"/>
  <c r="W28" i="34"/>
  <c r="AH28" i="34"/>
  <c r="AI28" i="34"/>
  <c r="V28" i="34" s="1"/>
  <c r="AJ28" i="34"/>
  <c r="O29" i="34"/>
  <c r="R29" i="34"/>
  <c r="S29" i="34"/>
  <c r="V29" i="34"/>
  <c r="AH29" i="34"/>
  <c r="AI29" i="34"/>
  <c r="N29" i="34" s="1"/>
  <c r="AJ29" i="34"/>
  <c r="W29" i="34" s="1"/>
  <c r="N30" i="34"/>
  <c r="AH30" i="34"/>
  <c r="AI30" i="34"/>
  <c r="R30" i="34" s="1"/>
  <c r="AJ30" i="34"/>
  <c r="O30" i="34" s="1"/>
  <c r="L31" i="34"/>
  <c r="N31" i="34"/>
  <c r="P31" i="34"/>
  <c r="R31" i="34"/>
  <c r="T31" i="34"/>
  <c r="V31" i="34"/>
  <c r="W31" i="34"/>
  <c r="AH31" i="34"/>
  <c r="AI31" i="34"/>
  <c r="AJ31" i="34"/>
  <c r="O31" i="34" s="1"/>
  <c r="R32" i="34"/>
  <c r="AH32" i="34"/>
  <c r="AI32" i="34"/>
  <c r="V32" i="34" s="1"/>
  <c r="AJ32" i="34"/>
  <c r="L36" i="34"/>
  <c r="P36" i="34"/>
  <c r="T36" i="34"/>
  <c r="F103" i="33"/>
  <c r="F104" i="33"/>
  <c r="F105" i="33"/>
  <c r="F106" i="33"/>
  <c r="BA86" i="33"/>
  <c r="BK86" i="33"/>
  <c r="BL86" i="33"/>
  <c r="AL86" i="33" s="1"/>
  <c r="BM86" i="33"/>
  <c r="AA86" i="33" s="1"/>
  <c r="CD86" i="33"/>
  <c r="CE86" i="33"/>
  <c r="AT86" i="33" s="1"/>
  <c r="CF86" i="33"/>
  <c r="AY86" i="33" s="1"/>
  <c r="AM87" i="33"/>
  <c r="BK87" i="33"/>
  <c r="BL87" i="33"/>
  <c r="BM87" i="33"/>
  <c r="AA87" i="33" s="1"/>
  <c r="CD87" i="33"/>
  <c r="CE87" i="33"/>
  <c r="AT87" i="33" s="1"/>
  <c r="CF87" i="33"/>
  <c r="AU87" i="33" s="1"/>
  <c r="S88" i="33"/>
  <c r="BK88" i="33"/>
  <c r="BL88" i="33"/>
  <c r="AH88" i="33" s="1"/>
  <c r="BM88" i="33"/>
  <c r="AI88" i="33" s="1"/>
  <c r="CD88" i="33"/>
  <c r="CE88" i="33"/>
  <c r="AX88" i="33" s="1"/>
  <c r="CF88" i="33"/>
  <c r="BK89" i="33"/>
  <c r="BL89" i="33"/>
  <c r="BM89" i="33"/>
  <c r="O89" i="33" s="1"/>
  <c r="CD89" i="33"/>
  <c r="CE89" i="33"/>
  <c r="AT89" i="33" s="1"/>
  <c r="CF89" i="33"/>
  <c r="AU89" i="33" s="1"/>
  <c r="BK90" i="33"/>
  <c r="BL90" i="33"/>
  <c r="V90" i="33" s="1"/>
  <c r="BM90" i="33"/>
  <c r="CD90" i="33"/>
  <c r="CE90" i="33"/>
  <c r="AX90" i="33" s="1"/>
  <c r="CF90" i="33"/>
  <c r="AA91" i="33"/>
  <c r="AM91" i="33"/>
  <c r="BK91" i="33"/>
  <c r="BL91" i="33"/>
  <c r="BM91" i="33"/>
  <c r="O91" i="33" s="1"/>
  <c r="CD91" i="33"/>
  <c r="CE91" i="33"/>
  <c r="AT91" i="33" s="1"/>
  <c r="CF91" i="33"/>
  <c r="AU91" i="33" s="1"/>
  <c r="S92" i="33"/>
  <c r="AE92" i="33"/>
  <c r="BK92" i="33"/>
  <c r="BL92" i="33"/>
  <c r="V92" i="33" s="1"/>
  <c r="BM92" i="33"/>
  <c r="W92" i="33" s="1"/>
  <c r="CD92" i="33"/>
  <c r="CE92" i="33"/>
  <c r="CF92" i="33"/>
  <c r="AY92" i="33" s="1"/>
  <c r="S93" i="33"/>
  <c r="AM93" i="33"/>
  <c r="BK93" i="33"/>
  <c r="BL93" i="33"/>
  <c r="Z93" i="33" s="1"/>
  <c r="BM93" i="33"/>
  <c r="O93" i="33" s="1"/>
  <c r="CD93" i="33"/>
  <c r="CE93" i="33"/>
  <c r="AT93" i="33" s="1"/>
  <c r="CF93" i="33"/>
  <c r="AU93" i="33" s="1"/>
  <c r="AB94" i="33"/>
  <c r="AF94" i="33"/>
  <c r="AU94" i="33"/>
  <c r="BK94" i="33"/>
  <c r="BL94" i="33"/>
  <c r="V94" i="33" s="1"/>
  <c r="BM94" i="33"/>
  <c r="W94" i="33" s="1"/>
  <c r="CD94" i="33"/>
  <c r="CE94" i="33"/>
  <c r="CF94" i="33"/>
  <c r="AY94" i="33" s="1"/>
  <c r="AA95" i="33"/>
  <c r="AM95" i="33"/>
  <c r="BK95" i="33"/>
  <c r="BL95" i="33"/>
  <c r="Z95" i="33" s="1"/>
  <c r="BM95" i="33"/>
  <c r="O95" i="33" s="1"/>
  <c r="CD95" i="33"/>
  <c r="CE95" i="33"/>
  <c r="AT95" i="33" s="1"/>
  <c r="CF95" i="33"/>
  <c r="AY95" i="33" s="1"/>
  <c r="F101" i="33"/>
  <c r="F102" i="33"/>
  <c r="W69" i="33"/>
  <c r="BK69" i="33"/>
  <c r="BL69" i="33"/>
  <c r="AD69" i="33" s="1"/>
  <c r="BM69" i="33"/>
  <c r="S69" i="33" s="1"/>
  <c r="CD69" i="33"/>
  <c r="CE69" i="33"/>
  <c r="CF69" i="33"/>
  <c r="AY69" i="33" s="1"/>
  <c r="AI70" i="33"/>
  <c r="AQ70" i="33"/>
  <c r="BA70" i="33"/>
  <c r="BK70" i="33"/>
  <c r="BL70" i="33"/>
  <c r="N70" i="33" s="1"/>
  <c r="BM70" i="33"/>
  <c r="O70" i="33" s="1"/>
  <c r="CD70" i="33"/>
  <c r="CE70" i="33"/>
  <c r="CF70" i="33"/>
  <c r="AI71" i="33"/>
  <c r="AR71" i="33"/>
  <c r="AY71" i="33"/>
  <c r="BA71" i="33"/>
  <c r="BK71" i="33"/>
  <c r="BL71" i="33"/>
  <c r="R71" i="33" s="1"/>
  <c r="BM71" i="33"/>
  <c r="O71" i="33" s="1"/>
  <c r="CD71" i="33"/>
  <c r="CE71" i="33"/>
  <c r="AX71" i="33" s="1"/>
  <c r="CF71" i="33"/>
  <c r="AU71" i="33" s="1"/>
  <c r="P72" i="33"/>
  <c r="AP72" i="33"/>
  <c r="BA72" i="33"/>
  <c r="AJ72" i="33" s="1"/>
  <c r="BK72" i="33"/>
  <c r="BL72" i="33"/>
  <c r="BM72" i="33"/>
  <c r="O72" i="33" s="1"/>
  <c r="CD72" i="33"/>
  <c r="CE72" i="33"/>
  <c r="AX72" i="33" s="1"/>
  <c r="CF72" i="33"/>
  <c r="AY72" i="33" s="1"/>
  <c r="AT73" i="33"/>
  <c r="AU73" i="33"/>
  <c r="AY73" i="33"/>
  <c r="BA73" i="33"/>
  <c r="BC73" i="33"/>
  <c r="BD73" i="33"/>
  <c r="BF73" i="33"/>
  <c r="BG73" i="33"/>
  <c r="BH73" i="33"/>
  <c r="BK73" i="33"/>
  <c r="BL73" i="33"/>
  <c r="AL73" i="33" s="1"/>
  <c r="CD73" i="33"/>
  <c r="CE73" i="33"/>
  <c r="AX73" i="33" s="1"/>
  <c r="CF73" i="33"/>
  <c r="R74" i="33"/>
  <c r="AR74" i="33"/>
  <c r="AV74" i="33" s="1"/>
  <c r="AT74" i="33"/>
  <c r="BA74" i="33"/>
  <c r="BC74" i="33"/>
  <c r="BD74" i="33"/>
  <c r="BF74" i="33"/>
  <c r="BG74" i="33"/>
  <c r="BH74" i="33"/>
  <c r="BK74" i="33"/>
  <c r="BL74" i="33"/>
  <c r="AD74" i="33" s="1"/>
  <c r="CD74" i="33"/>
  <c r="CE74" i="33"/>
  <c r="AX74" i="33" s="1"/>
  <c r="CF74" i="33"/>
  <c r="AY74" i="33" s="1"/>
  <c r="X75" i="33"/>
  <c r="Z75" i="33"/>
  <c r="AB75" i="33"/>
  <c r="AE75" i="33"/>
  <c r="AF75" i="33"/>
  <c r="AJ75" i="33"/>
  <c r="AP75" i="33"/>
  <c r="AQ75" i="33"/>
  <c r="AR75" i="33"/>
  <c r="AV75" i="33"/>
  <c r="BK75" i="33"/>
  <c r="BL75" i="33"/>
  <c r="R75" i="33" s="1"/>
  <c r="BM75" i="33"/>
  <c r="W75" i="33" s="1"/>
  <c r="CD75" i="33"/>
  <c r="CE75" i="33"/>
  <c r="AT75" i="33" s="1"/>
  <c r="CF75" i="33"/>
  <c r="AU75" i="33" s="1"/>
  <c r="T76" i="33"/>
  <c r="X76" i="33"/>
  <c r="AF76" i="33"/>
  <c r="AJ76" i="33"/>
  <c r="AU76" i="33"/>
  <c r="BA76" i="33"/>
  <c r="AB76" i="33" s="1"/>
  <c r="BC76" i="33"/>
  <c r="BD76" i="33"/>
  <c r="BF76" i="33"/>
  <c r="BG76" i="33"/>
  <c r="BH76" i="33"/>
  <c r="BK76" i="33"/>
  <c r="BL76" i="33"/>
  <c r="N76" i="33" s="1"/>
  <c r="CD76" i="33"/>
  <c r="CE76" i="33"/>
  <c r="AX76" i="33" s="1"/>
  <c r="CF76" i="33"/>
  <c r="AY76" i="33" s="1"/>
  <c r="AA77" i="33"/>
  <c r="AI77" i="33"/>
  <c r="AR77" i="33"/>
  <c r="AT77" i="33"/>
  <c r="AV77" i="33"/>
  <c r="BK77" i="33"/>
  <c r="BL77" i="33"/>
  <c r="R77" i="33" s="1"/>
  <c r="BM77" i="33"/>
  <c r="W77" i="33" s="1"/>
  <c r="CD77" i="33"/>
  <c r="CE77" i="33"/>
  <c r="AX77" i="33" s="1"/>
  <c r="CF77" i="33"/>
  <c r="AU77" i="33" s="1"/>
  <c r="AR78" i="33"/>
  <c r="AV78" i="33" s="1"/>
  <c r="BK78" i="33"/>
  <c r="BL78" i="33"/>
  <c r="Z78" i="33" s="1"/>
  <c r="BM78" i="33"/>
  <c r="CD78" i="33"/>
  <c r="CE78" i="33"/>
  <c r="AT78" i="33" s="1"/>
  <c r="CF78" i="33"/>
  <c r="AU78" i="33" s="1"/>
  <c r="S79" i="33"/>
  <c r="X79" i="33"/>
  <c r="AB79" i="33"/>
  <c r="AF79" i="33"/>
  <c r="AI79" i="33"/>
  <c r="AJ79" i="33"/>
  <c r="AM79" i="33"/>
  <c r="AQ79" i="33"/>
  <c r="AR79" i="33"/>
  <c r="AV79" i="33"/>
  <c r="BK79" i="33"/>
  <c r="BL79" i="33"/>
  <c r="R79" i="33" s="1"/>
  <c r="BM79" i="33"/>
  <c r="W79" i="33" s="1"/>
  <c r="CD79" i="33"/>
  <c r="CE79" i="33"/>
  <c r="AT79" i="33" s="1"/>
  <c r="CF79" i="33"/>
  <c r="AU79" i="33" s="1"/>
  <c r="O80" i="33"/>
  <c r="AR80" i="33"/>
  <c r="AT80" i="33"/>
  <c r="AV80" i="33"/>
  <c r="BK80" i="33"/>
  <c r="BL80" i="33"/>
  <c r="R80" i="33" s="1"/>
  <c r="BM80" i="33"/>
  <c r="W80" i="33" s="1"/>
  <c r="CD80" i="33"/>
  <c r="CE80" i="33"/>
  <c r="AX80" i="33" s="1"/>
  <c r="CF80" i="33"/>
  <c r="AU80" i="33" s="1"/>
  <c r="S81" i="33"/>
  <c r="AA81" i="33"/>
  <c r="AM81" i="33"/>
  <c r="AQ81" i="33"/>
  <c r="AR81" i="33"/>
  <c r="AV81" i="33"/>
  <c r="BK81" i="33"/>
  <c r="BL81" i="33"/>
  <c r="Z81" i="33" s="1"/>
  <c r="BM81" i="33"/>
  <c r="O81" i="33" s="1"/>
  <c r="CD81" i="33"/>
  <c r="CE81" i="33"/>
  <c r="AT81" i="33" s="1"/>
  <c r="CF81" i="33"/>
  <c r="AU81" i="33" s="1"/>
  <c r="O82" i="33"/>
  <c r="AR82" i="33"/>
  <c r="AT82" i="33"/>
  <c r="AV82" i="33"/>
  <c r="BK82" i="33"/>
  <c r="BL82" i="33"/>
  <c r="BM82" i="33"/>
  <c r="W82" i="33" s="1"/>
  <c r="CD82" i="33"/>
  <c r="CE82" i="33"/>
  <c r="AX82" i="33" s="1"/>
  <c r="CF82" i="33"/>
  <c r="AU82" i="33" s="1"/>
  <c r="AD83" i="33"/>
  <c r="AL83" i="33"/>
  <c r="BA83" i="33"/>
  <c r="BC83" i="33"/>
  <c r="BD83" i="33"/>
  <c r="BF83" i="33"/>
  <c r="BG83" i="33"/>
  <c r="BH83" i="33"/>
  <c r="BK83" i="33"/>
  <c r="BL83" i="33"/>
  <c r="CD83" i="33"/>
  <c r="CE83" i="33"/>
  <c r="AT83" i="33" s="1"/>
  <c r="CF83" i="33"/>
  <c r="AU83" i="33" s="1"/>
  <c r="P84" i="33"/>
  <c r="AL84" i="33"/>
  <c r="AR84" i="33"/>
  <c r="AV84" i="33"/>
  <c r="BA84" i="33"/>
  <c r="BK84" i="33"/>
  <c r="BL84" i="33"/>
  <c r="AH84" i="33" s="1"/>
  <c r="BM84" i="33"/>
  <c r="AQ84" i="33" s="1"/>
  <c r="CD84" i="33"/>
  <c r="CE84" i="33"/>
  <c r="CF84" i="33"/>
  <c r="AU84" i="33" s="1"/>
  <c r="P85" i="33"/>
  <c r="T85" i="33"/>
  <c r="AJ85" i="33"/>
  <c r="AP85" i="33"/>
  <c r="BA85" i="33"/>
  <c r="AB85" i="33" s="1"/>
  <c r="BK85" i="33"/>
  <c r="BL85" i="33"/>
  <c r="AH85" i="33" s="1"/>
  <c r="BM85" i="33"/>
  <c r="AA85" i="33" s="1"/>
  <c r="CD85" i="33"/>
  <c r="CE85" i="33"/>
  <c r="CF85" i="33"/>
  <c r="AU85" i="33" s="1"/>
  <c r="V52" i="33"/>
  <c r="Z52" i="33"/>
  <c r="AA52" i="33"/>
  <c r="AX52" i="33"/>
  <c r="BA52" i="33"/>
  <c r="BK52" i="33"/>
  <c r="BL52" i="33"/>
  <c r="AP52" i="33" s="1"/>
  <c r="BM52" i="33"/>
  <c r="AE52" i="33" s="1"/>
  <c r="CD52" i="33"/>
  <c r="CE52" i="33"/>
  <c r="AT52" i="33" s="1"/>
  <c r="CF52" i="33"/>
  <c r="AU52" i="33" s="1"/>
  <c r="N53" i="33"/>
  <c r="R53" i="33"/>
  <c r="X53" i="33"/>
  <c r="Z53" i="33"/>
  <c r="AB53" i="33"/>
  <c r="AD53" i="33"/>
  <c r="AF53" i="33"/>
  <c r="AJ53" i="33"/>
  <c r="AL53" i="33"/>
  <c r="BK53" i="33"/>
  <c r="BL53" i="33"/>
  <c r="AH53" i="33" s="1"/>
  <c r="BM53" i="33"/>
  <c r="CD53" i="33"/>
  <c r="CE53" i="33"/>
  <c r="AT53" i="33" s="1"/>
  <c r="CF53" i="33"/>
  <c r="X54" i="33"/>
  <c r="AB54" i="33"/>
  <c r="AF54" i="33"/>
  <c r="AJ54" i="33"/>
  <c r="AT54" i="33"/>
  <c r="BK54" i="33"/>
  <c r="BL54" i="33"/>
  <c r="BM54" i="33"/>
  <c r="CD54" i="33"/>
  <c r="CE54" i="33"/>
  <c r="AX54" i="33" s="1"/>
  <c r="CF54" i="33"/>
  <c r="AU54" i="33" s="1"/>
  <c r="BA55" i="33"/>
  <c r="P55" i="33" s="1"/>
  <c r="BC55" i="33"/>
  <c r="BD55" i="33"/>
  <c r="BF55" i="33"/>
  <c r="BG55" i="33"/>
  <c r="BH55" i="33"/>
  <c r="BK55" i="33"/>
  <c r="BL55" i="33"/>
  <c r="AP55" i="33" s="1"/>
  <c r="BV55" i="33"/>
  <c r="BW55" i="33"/>
  <c r="CF55" i="33" s="1"/>
  <c r="BY55" i="33"/>
  <c r="BZ55" i="33"/>
  <c r="CA55" i="33"/>
  <c r="CD55" i="33"/>
  <c r="CE55" i="33"/>
  <c r="L56" i="33"/>
  <c r="P56" i="33"/>
  <c r="T56" i="33"/>
  <c r="X56" i="33"/>
  <c r="AB56" i="33"/>
  <c r="AF56" i="33"/>
  <c r="AJ56" i="33"/>
  <c r="AN56" i="33"/>
  <c r="AP56" i="33"/>
  <c r="BK56" i="33"/>
  <c r="BL56" i="33"/>
  <c r="R56" i="33" s="1"/>
  <c r="BM56" i="33"/>
  <c r="BV56" i="33"/>
  <c r="BW56" i="33"/>
  <c r="BY56" i="33"/>
  <c r="CF56" i="33" s="1"/>
  <c r="AY56" i="33" s="1"/>
  <c r="BZ56" i="33"/>
  <c r="CA56" i="33"/>
  <c r="CD56" i="33"/>
  <c r="CE56" i="33"/>
  <c r="AT56" i="33" s="1"/>
  <c r="O57" i="33"/>
  <c r="AE57" i="33"/>
  <c r="AI57" i="33"/>
  <c r="AM57" i="33"/>
  <c r="AP57" i="33"/>
  <c r="BK57" i="33"/>
  <c r="BL57" i="33"/>
  <c r="R57" i="33" s="1"/>
  <c r="BM57" i="33"/>
  <c r="AA57" i="33" s="1"/>
  <c r="BV57" i="33"/>
  <c r="BW57" i="33"/>
  <c r="BY57" i="33"/>
  <c r="BZ57" i="33"/>
  <c r="CA57" i="33"/>
  <c r="CD57" i="33"/>
  <c r="CE57" i="33"/>
  <c r="AT57" i="33" s="1"/>
  <c r="N58" i="33"/>
  <c r="R58" i="33"/>
  <c r="V58" i="33"/>
  <c r="X84" i="33"/>
  <c r="Z58" i="33"/>
  <c r="AL58" i="33"/>
  <c r="AP58" i="33"/>
  <c r="AY58" i="33"/>
  <c r="W58" i="33"/>
  <c r="BK58" i="33"/>
  <c r="BL58" i="33"/>
  <c r="AH58" i="33" s="1"/>
  <c r="BM58" i="33"/>
  <c r="O58" i="33" s="1"/>
  <c r="CD58" i="33"/>
  <c r="CE58" i="33"/>
  <c r="AX58" i="33" s="1"/>
  <c r="CF58" i="33"/>
  <c r="AU58" i="33" s="1"/>
  <c r="O59" i="33"/>
  <c r="W59" i="33"/>
  <c r="AB59" i="33"/>
  <c r="BK59" i="33"/>
  <c r="BL59" i="33"/>
  <c r="AP59" i="33" s="1"/>
  <c r="BM59" i="33"/>
  <c r="AQ59" i="33" s="1"/>
  <c r="CD59" i="33"/>
  <c r="CE59" i="33"/>
  <c r="AT59" i="33" s="1"/>
  <c r="CF59" i="33"/>
  <c r="AY59" i="33" s="1"/>
  <c r="AA60" i="33"/>
  <c r="AF60" i="33"/>
  <c r="AX60" i="33"/>
  <c r="BK60" i="33"/>
  <c r="BL60" i="33"/>
  <c r="AH60" i="33" s="1"/>
  <c r="BM60" i="33"/>
  <c r="O60" i="33" s="1"/>
  <c r="CD60" i="33"/>
  <c r="CE60" i="33"/>
  <c r="AT60" i="33" s="1"/>
  <c r="CF60" i="33"/>
  <c r="AY60" i="33" s="1"/>
  <c r="R61" i="33"/>
  <c r="Z61" i="33"/>
  <c r="AD61" i="33"/>
  <c r="AH61" i="33"/>
  <c r="AL61" i="33"/>
  <c r="BK61" i="33"/>
  <c r="BL61" i="33"/>
  <c r="N61" i="33" s="1"/>
  <c r="BM61" i="33"/>
  <c r="AM61" i="33" s="1"/>
  <c r="CD61" i="33"/>
  <c r="CE61" i="33"/>
  <c r="AX61" i="33" s="1"/>
  <c r="CF61" i="33"/>
  <c r="Z62" i="33"/>
  <c r="AH62" i="33"/>
  <c r="AL62" i="33"/>
  <c r="BK62" i="33"/>
  <c r="BL62" i="33"/>
  <c r="N62" i="33" s="1"/>
  <c r="BM62" i="33"/>
  <c r="AQ62" i="33" s="1"/>
  <c r="CD62" i="33"/>
  <c r="CE62" i="33"/>
  <c r="CF62" i="33"/>
  <c r="AU62" i="33" s="1"/>
  <c r="AA63" i="33"/>
  <c r="AB63" i="33"/>
  <c r="AD63" i="33"/>
  <c r="AI63" i="33"/>
  <c r="AM63" i="33"/>
  <c r="AQ63" i="33"/>
  <c r="BK63" i="33"/>
  <c r="BL63" i="33"/>
  <c r="AP63" i="33" s="1"/>
  <c r="BM63" i="33"/>
  <c r="S63" i="33" s="1"/>
  <c r="CD63" i="33"/>
  <c r="CE63" i="33"/>
  <c r="AT63" i="33" s="1"/>
  <c r="CF63" i="33"/>
  <c r="AU63" i="33" s="1"/>
  <c r="Z64" i="33"/>
  <c r="AB60" i="33"/>
  <c r="AL64" i="33"/>
  <c r="AN84" i="33"/>
  <c r="AU64" i="33"/>
  <c r="BA64" i="33"/>
  <c r="BK64" i="33"/>
  <c r="BL64" i="33"/>
  <c r="N64" i="33" s="1"/>
  <c r="BM64" i="33"/>
  <c r="CD64" i="33"/>
  <c r="CE64" i="33"/>
  <c r="AT64" i="33" s="1"/>
  <c r="CF64" i="33"/>
  <c r="AY64" i="33" s="1"/>
  <c r="AD65" i="33"/>
  <c r="AE65" i="33"/>
  <c r="AT65" i="33"/>
  <c r="BK65" i="33"/>
  <c r="BL65" i="33"/>
  <c r="R65" i="33" s="1"/>
  <c r="BM65" i="33"/>
  <c r="S65" i="33" s="1"/>
  <c r="CD65" i="33"/>
  <c r="CE65" i="33"/>
  <c r="AX65" i="33" s="1"/>
  <c r="CF65" i="33"/>
  <c r="AY65" i="33" s="1"/>
  <c r="L66" i="33"/>
  <c r="P66" i="33"/>
  <c r="AE66" i="33"/>
  <c r="AF66" i="33"/>
  <c r="AQ66" i="33"/>
  <c r="AY66" i="33"/>
  <c r="BA66" i="33"/>
  <c r="X66" i="33" s="1"/>
  <c r="BK66" i="33"/>
  <c r="BL66" i="33"/>
  <c r="AP66" i="33" s="1"/>
  <c r="BM66" i="33"/>
  <c r="CD66" i="33"/>
  <c r="CE66" i="33"/>
  <c r="AT66" i="33" s="1"/>
  <c r="CF66" i="33"/>
  <c r="AU66" i="33" s="1"/>
  <c r="N67" i="33"/>
  <c r="V67" i="33"/>
  <c r="Z67" i="33"/>
  <c r="AA67" i="33"/>
  <c r="AD67" i="33"/>
  <c r="AH67" i="33"/>
  <c r="AL67" i="33"/>
  <c r="AM67" i="33"/>
  <c r="AY67" i="33"/>
  <c r="BA67" i="33"/>
  <c r="BK67" i="33"/>
  <c r="BL67" i="33"/>
  <c r="AP67" i="33" s="1"/>
  <c r="BM67" i="33"/>
  <c r="AE67" i="33" s="1"/>
  <c r="CD67" i="33"/>
  <c r="CE67" i="33"/>
  <c r="AX67" i="33" s="1"/>
  <c r="CF67" i="33"/>
  <c r="AU67" i="33" s="1"/>
  <c r="W68" i="33"/>
  <c r="AM68" i="33"/>
  <c r="AT68" i="33"/>
  <c r="BK68" i="33"/>
  <c r="BL68" i="33"/>
  <c r="R68" i="33" s="1"/>
  <c r="BM68" i="33"/>
  <c r="S68" i="33" s="1"/>
  <c r="CD68" i="33"/>
  <c r="CE68" i="33"/>
  <c r="AX68" i="33" s="1"/>
  <c r="CF68" i="33"/>
  <c r="AY68" i="33" s="1"/>
  <c r="L35" i="33"/>
  <c r="T35" i="33"/>
  <c r="V35" i="33"/>
  <c r="AF35" i="33"/>
  <c r="AP35" i="33"/>
  <c r="BA35" i="33"/>
  <c r="X35" i="33" s="1"/>
  <c r="BC35" i="33"/>
  <c r="BD35" i="33"/>
  <c r="BF35" i="33"/>
  <c r="BG35" i="33"/>
  <c r="BH35" i="33"/>
  <c r="BK35" i="33"/>
  <c r="BL35" i="33"/>
  <c r="AH35" i="33" s="1"/>
  <c r="BW35" i="33"/>
  <c r="BY35" i="33"/>
  <c r="BZ35" i="33"/>
  <c r="CD35" i="33"/>
  <c r="CE35" i="33"/>
  <c r="AT36" i="33"/>
  <c r="BA36" i="33"/>
  <c r="AB36" i="33" s="1"/>
  <c r="BC36" i="33"/>
  <c r="BD36" i="33"/>
  <c r="BF36" i="33"/>
  <c r="BG36" i="33"/>
  <c r="BH36" i="33"/>
  <c r="BK36" i="33"/>
  <c r="BL36" i="33"/>
  <c r="R36" i="33" s="1"/>
  <c r="BW36" i="33"/>
  <c r="BY36" i="33"/>
  <c r="BZ36" i="33"/>
  <c r="CD36" i="33"/>
  <c r="CE36" i="33"/>
  <c r="AX36" i="33" s="1"/>
  <c r="T37" i="33"/>
  <c r="X37" i="33"/>
  <c r="AB37" i="33"/>
  <c r="AF37" i="33"/>
  <c r="AJ37" i="33"/>
  <c r="AN37" i="33"/>
  <c r="AR37" i="33"/>
  <c r="BC37" i="33"/>
  <c r="BD37" i="33"/>
  <c r="BF37" i="33"/>
  <c r="BG37" i="33"/>
  <c r="BH37" i="33"/>
  <c r="BK37" i="33"/>
  <c r="BL37" i="33"/>
  <c r="AL37" i="33" s="1"/>
  <c r="BW37" i="33"/>
  <c r="BY37" i="33"/>
  <c r="BZ37" i="33"/>
  <c r="CD37" i="33"/>
  <c r="CE37" i="33"/>
  <c r="L38" i="33"/>
  <c r="P38" i="33"/>
  <c r="V38" i="33"/>
  <c r="Z38" i="33"/>
  <c r="AB38" i="33"/>
  <c r="AF38" i="33"/>
  <c r="AJ38" i="33"/>
  <c r="AN38" i="33"/>
  <c r="AP38" i="33"/>
  <c r="AR38" i="33"/>
  <c r="AV38" i="33"/>
  <c r="BC38" i="33"/>
  <c r="BD38" i="33"/>
  <c r="BF38" i="33"/>
  <c r="BG38" i="33"/>
  <c r="BH38" i="33"/>
  <c r="BK38" i="33"/>
  <c r="BL38" i="33"/>
  <c r="AH38" i="33" s="1"/>
  <c r="CD38" i="33"/>
  <c r="CE38" i="33"/>
  <c r="AT38" i="33" s="1"/>
  <c r="CF38" i="33"/>
  <c r="AU38" i="33" s="1"/>
  <c r="L39" i="33"/>
  <c r="P39" i="33"/>
  <c r="T39" i="33"/>
  <c r="X39" i="33"/>
  <c r="AJ39" i="33"/>
  <c r="AN39" i="33"/>
  <c r="AR39" i="33"/>
  <c r="AT39" i="33"/>
  <c r="AV39" i="33"/>
  <c r="BC39" i="33"/>
  <c r="BD39" i="33"/>
  <c r="BF39" i="33"/>
  <c r="BG39" i="33"/>
  <c r="BH39" i="33"/>
  <c r="BK39" i="33"/>
  <c r="BL39" i="33"/>
  <c r="R39" i="33" s="1"/>
  <c r="CD39" i="33"/>
  <c r="CE39" i="33"/>
  <c r="AX39" i="33" s="1"/>
  <c r="CF39" i="33"/>
  <c r="AU39" i="33" s="1"/>
  <c r="L40" i="33"/>
  <c r="P40" i="33"/>
  <c r="T40" i="33"/>
  <c r="X40" i="33"/>
  <c r="AJ40" i="33"/>
  <c r="AL40" i="33"/>
  <c r="AN40" i="33"/>
  <c r="AR40" i="33"/>
  <c r="AV40" i="33"/>
  <c r="AX40" i="33"/>
  <c r="BC40" i="33"/>
  <c r="BD40" i="33"/>
  <c r="BF40" i="33"/>
  <c r="BG40" i="33"/>
  <c r="BH40" i="33"/>
  <c r="BK40" i="33"/>
  <c r="BL40" i="33"/>
  <c r="R40" i="33" s="1"/>
  <c r="CD40" i="33"/>
  <c r="CE40" i="33"/>
  <c r="AT40" i="33" s="1"/>
  <c r="CF40" i="33"/>
  <c r="AY40" i="33" s="1"/>
  <c r="L41" i="33"/>
  <c r="P41" i="33"/>
  <c r="T41" i="33"/>
  <c r="X41" i="33"/>
  <c r="AJ41" i="33"/>
  <c r="AN41" i="33"/>
  <c r="AR41" i="33"/>
  <c r="AU41" i="33"/>
  <c r="AV41" i="33"/>
  <c r="BC41" i="33"/>
  <c r="BD41" i="33"/>
  <c r="BF41" i="33"/>
  <c r="BG41" i="33"/>
  <c r="BH41" i="33"/>
  <c r="BK41" i="33"/>
  <c r="BL41" i="33"/>
  <c r="CD41" i="33"/>
  <c r="CE41" i="33"/>
  <c r="AX41" i="33" s="1"/>
  <c r="CF41" i="33"/>
  <c r="AY41" i="33" s="1"/>
  <c r="L42" i="33"/>
  <c r="P42" i="33"/>
  <c r="T42" i="33"/>
  <c r="V42" i="33"/>
  <c r="X42" i="33"/>
  <c r="AJ42" i="33"/>
  <c r="AN42" i="33"/>
  <c r="AR42" i="33"/>
  <c r="AV42" i="33"/>
  <c r="BC42" i="33"/>
  <c r="BD42" i="33"/>
  <c r="BF42" i="33"/>
  <c r="BG42" i="33"/>
  <c r="BH42" i="33"/>
  <c r="BK42" i="33"/>
  <c r="BL42" i="33"/>
  <c r="R42" i="33" s="1"/>
  <c r="CD42" i="33"/>
  <c r="CE42" i="33"/>
  <c r="AX42" i="33" s="1"/>
  <c r="CF42" i="33"/>
  <c r="AU42" i="33" s="1"/>
  <c r="L43" i="33"/>
  <c r="N43" i="33"/>
  <c r="P43" i="33"/>
  <c r="T43" i="33"/>
  <c r="X43" i="33"/>
  <c r="AD43" i="33"/>
  <c r="AH43" i="33"/>
  <c r="AJ43" i="33"/>
  <c r="AN43" i="33"/>
  <c r="AR43" i="33"/>
  <c r="AV43" i="33"/>
  <c r="BC43" i="33"/>
  <c r="BD43" i="33"/>
  <c r="BF43" i="33"/>
  <c r="BM43" i="33" s="1"/>
  <c r="BG43" i="33"/>
  <c r="BH43" i="33"/>
  <c r="BK43" i="33"/>
  <c r="BL43" i="33"/>
  <c r="AL43" i="33" s="1"/>
  <c r="CD43" i="33"/>
  <c r="CE43" i="33"/>
  <c r="AT43" i="33" s="1"/>
  <c r="CF43" i="33"/>
  <c r="AU43" i="33" s="1"/>
  <c r="N44" i="33"/>
  <c r="AR44" i="33"/>
  <c r="AU44" i="33"/>
  <c r="BA44" i="33"/>
  <c r="BC44" i="33"/>
  <c r="BM44" i="33" s="1"/>
  <c r="BD44" i="33"/>
  <c r="BF44" i="33"/>
  <c r="BG44" i="33"/>
  <c r="BH44" i="33"/>
  <c r="BK44" i="33"/>
  <c r="BL44" i="33"/>
  <c r="R44" i="33" s="1"/>
  <c r="CD44" i="33"/>
  <c r="CE44" i="33"/>
  <c r="AT44" i="33" s="1"/>
  <c r="CF44" i="33"/>
  <c r="AY44" i="33" s="1"/>
  <c r="O45" i="33"/>
  <c r="W45" i="33"/>
  <c r="AE45" i="33"/>
  <c r="AJ45" i="33"/>
  <c r="AL45" i="33"/>
  <c r="AQ45" i="33"/>
  <c r="AT45" i="33"/>
  <c r="BK45" i="33"/>
  <c r="BL45" i="33"/>
  <c r="Z45" i="33" s="1"/>
  <c r="BM45" i="33"/>
  <c r="AA45" i="33" s="1"/>
  <c r="CD45" i="33"/>
  <c r="CE45" i="33"/>
  <c r="AX45" i="33" s="1"/>
  <c r="CF45" i="33"/>
  <c r="AU45" i="33" s="1"/>
  <c r="O46" i="33"/>
  <c r="Z46" i="33"/>
  <c r="AE46" i="33"/>
  <c r="AJ46" i="33"/>
  <c r="AX46" i="33"/>
  <c r="BK46" i="33"/>
  <c r="BL46" i="33"/>
  <c r="R46" i="33" s="1"/>
  <c r="BM46" i="33"/>
  <c r="W46" i="33" s="1"/>
  <c r="CD46" i="33"/>
  <c r="CE46" i="33"/>
  <c r="AT46" i="33" s="1"/>
  <c r="CF46" i="33"/>
  <c r="AY46" i="33" s="1"/>
  <c r="AX47" i="33"/>
  <c r="BA47" i="33"/>
  <c r="BK47" i="33"/>
  <c r="BL47" i="33"/>
  <c r="AL47" i="33" s="1"/>
  <c r="BM47" i="33"/>
  <c r="CD47" i="33"/>
  <c r="CE47" i="33"/>
  <c r="AT47" i="33" s="1"/>
  <c r="CF47" i="33"/>
  <c r="AU47" i="33" s="1"/>
  <c r="P48" i="33"/>
  <c r="AT48" i="33"/>
  <c r="BA48" i="33"/>
  <c r="AN48" i="33" s="1"/>
  <c r="BC48" i="33"/>
  <c r="BD48" i="33"/>
  <c r="BF48" i="33"/>
  <c r="BG48" i="33"/>
  <c r="BH48" i="33"/>
  <c r="BK48" i="33"/>
  <c r="BL48" i="33"/>
  <c r="AD48" i="33" s="1"/>
  <c r="BV48" i="33"/>
  <c r="BW48" i="33"/>
  <c r="BY48" i="33"/>
  <c r="BZ48" i="33"/>
  <c r="CA48" i="33"/>
  <c r="CD48" i="33"/>
  <c r="CE48" i="33"/>
  <c r="AX48" i="33" s="1"/>
  <c r="AA49" i="33"/>
  <c r="AD49" i="33"/>
  <c r="AP49" i="33"/>
  <c r="BK49" i="33"/>
  <c r="BL49" i="33"/>
  <c r="R49" i="33" s="1"/>
  <c r="BM49" i="33"/>
  <c r="S49" i="33" s="1"/>
  <c r="BV49" i="33"/>
  <c r="CF49" i="33" s="1"/>
  <c r="AU49" i="33" s="1"/>
  <c r="BW49" i="33"/>
  <c r="BY49" i="33"/>
  <c r="BZ49" i="33"/>
  <c r="CA49" i="33"/>
  <c r="CD49" i="33"/>
  <c r="CE49" i="33"/>
  <c r="AX49" i="33" s="1"/>
  <c r="N50" i="33"/>
  <c r="R50" i="33"/>
  <c r="V50" i="33"/>
  <c r="X50" i="33"/>
  <c r="AD50" i="33"/>
  <c r="AH50" i="33"/>
  <c r="AY50" i="33"/>
  <c r="BA50" i="33"/>
  <c r="AB50" i="33" s="1"/>
  <c r="BK50" i="33"/>
  <c r="BL50" i="33"/>
  <c r="Z50" i="33" s="1"/>
  <c r="BM50" i="33"/>
  <c r="W50" i="33" s="1"/>
  <c r="CD50" i="33"/>
  <c r="CE50" i="33"/>
  <c r="AX50" i="33" s="1"/>
  <c r="CF50" i="33"/>
  <c r="AU50" i="33" s="1"/>
  <c r="N51" i="33"/>
  <c r="R51" i="33"/>
  <c r="AA51" i="33"/>
  <c r="AB51" i="33"/>
  <c r="AI51" i="33"/>
  <c r="AP51" i="33"/>
  <c r="BA51" i="33"/>
  <c r="BK51" i="33"/>
  <c r="BL51" i="33"/>
  <c r="AD51" i="33" s="1"/>
  <c r="BM51" i="33"/>
  <c r="AQ51" i="33" s="1"/>
  <c r="CD51" i="33"/>
  <c r="CE51" i="33"/>
  <c r="CF51" i="33"/>
  <c r="R18" i="33"/>
  <c r="Z18" i="33"/>
  <c r="AL18" i="33"/>
  <c r="AP18" i="33"/>
  <c r="AT18" i="33"/>
  <c r="AU18" i="33"/>
  <c r="BC18" i="33"/>
  <c r="BD18" i="33"/>
  <c r="BF18" i="33"/>
  <c r="BG18" i="33"/>
  <c r="BH18" i="33"/>
  <c r="BK18" i="33"/>
  <c r="BL18" i="33"/>
  <c r="AH18" i="33" s="1"/>
  <c r="CD18" i="33"/>
  <c r="CE18" i="33"/>
  <c r="AX18" i="33" s="1"/>
  <c r="CF18" i="33"/>
  <c r="AY18" i="33" s="1"/>
  <c r="N19" i="33"/>
  <c r="Z19" i="33"/>
  <c r="AD19" i="33"/>
  <c r="AL19" i="33"/>
  <c r="BC19" i="33"/>
  <c r="BD19" i="33"/>
  <c r="BF19" i="33"/>
  <c r="BG19" i="33"/>
  <c r="BH19" i="33"/>
  <c r="BK19" i="33"/>
  <c r="BL19" i="33"/>
  <c r="V19" i="33" s="1"/>
  <c r="CD19" i="33"/>
  <c r="CE19" i="33"/>
  <c r="AX19" i="33" s="1"/>
  <c r="CF19" i="33"/>
  <c r="AX20" i="33"/>
  <c r="AY20" i="33"/>
  <c r="AJ20" i="33"/>
  <c r="BC20" i="33"/>
  <c r="BM20" i="33" s="1"/>
  <c r="AE20" i="33" s="1"/>
  <c r="BD20" i="33"/>
  <c r="BF20" i="33"/>
  <c r="BG20" i="33"/>
  <c r="BH20" i="33"/>
  <c r="BK20" i="33"/>
  <c r="BL20" i="33"/>
  <c r="CD20" i="33"/>
  <c r="CE20" i="33"/>
  <c r="AT20" i="33" s="1"/>
  <c r="CF20" i="33"/>
  <c r="AU20" i="33" s="1"/>
  <c r="R21" i="33"/>
  <c r="AL21" i="33"/>
  <c r="AP21" i="33"/>
  <c r="BK21" i="33"/>
  <c r="BL21" i="33"/>
  <c r="Z21" i="33" s="1"/>
  <c r="BM21" i="33"/>
  <c r="BW21" i="33"/>
  <c r="CF21" i="33" s="1"/>
  <c r="BY21" i="33"/>
  <c r="BZ21" i="33"/>
  <c r="CD21" i="33"/>
  <c r="CE21" i="33"/>
  <c r="AX21" i="33" s="1"/>
  <c r="N22" i="33"/>
  <c r="R22" i="33"/>
  <c r="S22" i="33"/>
  <c r="AD22" i="33"/>
  <c r="AE22" i="33"/>
  <c r="AH22" i="33"/>
  <c r="AI22" i="33"/>
  <c r="AP22" i="33"/>
  <c r="BK22" i="33"/>
  <c r="BL22" i="33"/>
  <c r="V22" i="33" s="1"/>
  <c r="BM22" i="33"/>
  <c r="W22" i="33" s="1"/>
  <c r="BW22" i="33"/>
  <c r="BY22" i="33"/>
  <c r="BZ22" i="33"/>
  <c r="CD22" i="33"/>
  <c r="CE22" i="33"/>
  <c r="AT22" i="33" s="1"/>
  <c r="AH23" i="33"/>
  <c r="AU23" i="33"/>
  <c r="AV23" i="33"/>
  <c r="AY23" i="33"/>
  <c r="BA23" i="33"/>
  <c r="AJ23" i="33" s="1"/>
  <c r="BK23" i="33"/>
  <c r="BL23" i="33"/>
  <c r="BM23" i="33"/>
  <c r="S23" i="33" s="1"/>
  <c r="CD23" i="33"/>
  <c r="CE23" i="33"/>
  <c r="AX23" i="33" s="1"/>
  <c r="CF23" i="33"/>
  <c r="R24" i="33"/>
  <c r="AB24" i="33"/>
  <c r="AB25" i="33" s="1"/>
  <c r="AN24" i="33"/>
  <c r="BA24" i="33"/>
  <c r="BC24" i="33"/>
  <c r="BD24" i="33"/>
  <c r="BF24" i="33"/>
  <c r="BG24" i="33"/>
  <c r="BH24" i="33"/>
  <c r="BK24" i="33"/>
  <c r="BL24" i="33"/>
  <c r="V24" i="33" s="1"/>
  <c r="BW24" i="33"/>
  <c r="BY24" i="33"/>
  <c r="BZ24" i="33"/>
  <c r="CD24" i="33"/>
  <c r="CE24" i="33"/>
  <c r="AT24" i="33" s="1"/>
  <c r="Z25" i="33"/>
  <c r="BA25" i="33"/>
  <c r="BC25" i="33"/>
  <c r="BD25" i="33"/>
  <c r="BF25" i="33"/>
  <c r="BG25" i="33"/>
  <c r="BH25" i="33"/>
  <c r="BK25" i="33"/>
  <c r="BL25" i="33"/>
  <c r="AL25" i="33" s="1"/>
  <c r="BW25" i="33"/>
  <c r="BY25" i="33"/>
  <c r="CF25" i="33" s="1"/>
  <c r="BZ25" i="33"/>
  <c r="CD25" i="33"/>
  <c r="CE25" i="33"/>
  <c r="AT25" i="33" s="1"/>
  <c r="L26" i="33"/>
  <c r="AF26" i="33"/>
  <c r="AQ26" i="33"/>
  <c r="BA26" i="33"/>
  <c r="X26" i="33" s="1"/>
  <c r="BK26" i="33"/>
  <c r="BL26" i="33"/>
  <c r="AP26" i="33" s="1"/>
  <c r="BM26" i="33"/>
  <c r="BW26" i="33"/>
  <c r="BY26" i="33"/>
  <c r="BZ26" i="33"/>
  <c r="CD26" i="33"/>
  <c r="CE26" i="33"/>
  <c r="AX26" i="33" s="1"/>
  <c r="R27" i="33"/>
  <c r="T27" i="33"/>
  <c r="X27" i="33"/>
  <c r="AD27" i="33"/>
  <c r="AF27" i="33"/>
  <c r="AN27" i="33"/>
  <c r="AT27" i="33"/>
  <c r="BA27" i="33"/>
  <c r="P27" i="33" s="1"/>
  <c r="BC27" i="33"/>
  <c r="BD27" i="33"/>
  <c r="BF27" i="33"/>
  <c r="BG27" i="33"/>
  <c r="BH27" i="33"/>
  <c r="BK27" i="33"/>
  <c r="BL27" i="33"/>
  <c r="AL27" i="33" s="1"/>
  <c r="BW27" i="33"/>
  <c r="CF27" i="33" s="1"/>
  <c r="BY27" i="33"/>
  <c r="BZ27" i="33"/>
  <c r="CD27" i="33"/>
  <c r="CE27" i="33"/>
  <c r="AX27" i="33" s="1"/>
  <c r="P28" i="33"/>
  <c r="T28" i="33"/>
  <c r="AE28" i="33"/>
  <c r="AJ28" i="33"/>
  <c r="AN28" i="33"/>
  <c r="AX28" i="33"/>
  <c r="BA28" i="33"/>
  <c r="L28" i="33" s="1"/>
  <c r="BK28" i="33"/>
  <c r="BL28" i="33"/>
  <c r="AP28" i="33" s="1"/>
  <c r="BM28" i="33"/>
  <c r="AQ28" i="33" s="1"/>
  <c r="BW28" i="33"/>
  <c r="BY28" i="33"/>
  <c r="CF28" i="33" s="1"/>
  <c r="BZ28" i="33"/>
  <c r="CD28" i="33"/>
  <c r="CE28" i="33"/>
  <c r="AT28" i="33" s="1"/>
  <c r="L29" i="33"/>
  <c r="X29" i="33"/>
  <c r="AF29" i="33"/>
  <c r="AT29" i="33"/>
  <c r="BA29" i="33"/>
  <c r="AJ29" i="33" s="1"/>
  <c r="BK29" i="33"/>
  <c r="BL29" i="33"/>
  <c r="Z29" i="33" s="1"/>
  <c r="BM29" i="33"/>
  <c r="AQ29" i="33" s="1"/>
  <c r="BW29" i="33"/>
  <c r="CF29" i="33" s="1"/>
  <c r="BY29" i="33"/>
  <c r="BZ29" i="33"/>
  <c r="CD29" i="33"/>
  <c r="CE29" i="33"/>
  <c r="AX29" i="33" s="1"/>
  <c r="L30" i="33"/>
  <c r="L31" i="33" s="1"/>
  <c r="N30" i="33"/>
  <c r="P30" i="33"/>
  <c r="P31" i="33" s="1"/>
  <c r="X30" i="33"/>
  <c r="X31" i="33" s="1"/>
  <c r="Z30" i="33"/>
  <c r="AF30" i="33"/>
  <c r="AJ30" i="33"/>
  <c r="AJ31" i="33" s="1"/>
  <c r="AX30" i="33"/>
  <c r="BA30" i="33"/>
  <c r="AB30" i="33" s="1"/>
  <c r="AB31" i="33" s="1"/>
  <c r="BC30" i="33"/>
  <c r="BD30" i="33"/>
  <c r="BM30" i="33" s="1"/>
  <c r="BF30" i="33"/>
  <c r="BH30" i="33"/>
  <c r="BK30" i="33"/>
  <c r="BL30" i="33"/>
  <c r="BW30" i="33"/>
  <c r="BY30" i="33"/>
  <c r="BZ30" i="33"/>
  <c r="CF30" i="33" s="1"/>
  <c r="AY30" i="33" s="1"/>
  <c r="CD30" i="33"/>
  <c r="CE30" i="33"/>
  <c r="AT30" i="33" s="1"/>
  <c r="AF31" i="33"/>
  <c r="AT31" i="33"/>
  <c r="BA31" i="33"/>
  <c r="BC31" i="33"/>
  <c r="BD31" i="33"/>
  <c r="BF31" i="33"/>
  <c r="BG31" i="33"/>
  <c r="BH31" i="33"/>
  <c r="BK31" i="33"/>
  <c r="BL31" i="33"/>
  <c r="BW31" i="33"/>
  <c r="BY31" i="33"/>
  <c r="BZ31" i="33"/>
  <c r="CD31" i="33"/>
  <c r="CE31" i="33"/>
  <c r="AX31" i="33" s="1"/>
  <c r="BA32" i="33"/>
  <c r="AB32" i="33" s="1"/>
  <c r="BC32" i="33"/>
  <c r="BD32" i="33"/>
  <c r="BF32" i="33"/>
  <c r="BG32" i="33"/>
  <c r="BH32" i="33"/>
  <c r="BK32" i="33"/>
  <c r="BL32" i="33"/>
  <c r="BW32" i="33"/>
  <c r="BY32" i="33"/>
  <c r="BZ32" i="33"/>
  <c r="CD32" i="33"/>
  <c r="CE32" i="33"/>
  <c r="AT32" i="33" s="1"/>
  <c r="L33" i="33"/>
  <c r="P33" i="33"/>
  <c r="X33" i="33"/>
  <c r="AJ33" i="33"/>
  <c r="BA33" i="33"/>
  <c r="AB33" i="33" s="1"/>
  <c r="BC33" i="33"/>
  <c r="BD33" i="33"/>
  <c r="BF33" i="33"/>
  <c r="BG33" i="33"/>
  <c r="BH33" i="33"/>
  <c r="BK33" i="33"/>
  <c r="BL33" i="33"/>
  <c r="N33" i="33" s="1"/>
  <c r="BW33" i="33"/>
  <c r="BY33" i="33"/>
  <c r="BZ33" i="33"/>
  <c r="CD33" i="33"/>
  <c r="CE33" i="33"/>
  <c r="AT33" i="33" s="1"/>
  <c r="AH34" i="33"/>
  <c r="AP34" i="33"/>
  <c r="BA34" i="33"/>
  <c r="BK34" i="33"/>
  <c r="BL34" i="33"/>
  <c r="BM34" i="33"/>
  <c r="BW34" i="33"/>
  <c r="BY34" i="33"/>
  <c r="BZ34" i="33"/>
  <c r="CD34" i="33"/>
  <c r="CE34" i="33"/>
  <c r="L1" i="33"/>
  <c r="P1" i="33"/>
  <c r="T1" i="33"/>
  <c r="X1" i="33"/>
  <c r="AB1" i="33"/>
  <c r="AF1" i="33"/>
  <c r="AF16" i="33" s="1"/>
  <c r="AJ1" i="33"/>
  <c r="AJ10" i="33" s="1"/>
  <c r="AN1" i="33"/>
  <c r="L7" i="33"/>
  <c r="P7" i="33"/>
  <c r="T7" i="33"/>
  <c r="X7" i="33"/>
  <c r="AB7" i="33"/>
  <c r="AF7" i="33"/>
  <c r="AJ7" i="33"/>
  <c r="AN7" i="33"/>
  <c r="AR7" i="33"/>
  <c r="AV7" i="33"/>
  <c r="X8" i="33"/>
  <c r="AB8" i="33"/>
  <c r="AJ8" i="33"/>
  <c r="AR8" i="33"/>
  <c r="AV8" i="33"/>
  <c r="AB9" i="33"/>
  <c r="AF9" i="33"/>
  <c r="AJ9" i="33"/>
  <c r="AR9" i="33"/>
  <c r="AV9" i="33"/>
  <c r="X10" i="33"/>
  <c r="AB10" i="33"/>
  <c r="AR10" i="33"/>
  <c r="AV10" i="33"/>
  <c r="AB11" i="33"/>
  <c r="AJ11" i="33"/>
  <c r="AN11" i="33"/>
  <c r="AR11" i="33"/>
  <c r="AV11" i="33"/>
  <c r="L12" i="33"/>
  <c r="AB12" i="33"/>
  <c r="AJ12" i="33"/>
  <c r="AN12" i="33"/>
  <c r="AR12" i="33"/>
  <c r="AV12" i="33"/>
  <c r="X13" i="33"/>
  <c r="AB13" i="33"/>
  <c r="AJ13" i="33"/>
  <c r="AR13" i="33"/>
  <c r="AV13" i="33"/>
  <c r="X14" i="33"/>
  <c r="AB14" i="33"/>
  <c r="AJ14" i="33"/>
  <c r="AR14" i="33"/>
  <c r="AV14" i="33"/>
  <c r="X15" i="33"/>
  <c r="AB15" i="33"/>
  <c r="AF15" i="33"/>
  <c r="AJ15" i="33"/>
  <c r="X16" i="33"/>
  <c r="AB16" i="33"/>
  <c r="AJ16" i="33"/>
  <c r="AN16" i="33"/>
  <c r="L17" i="33"/>
  <c r="N17" i="33"/>
  <c r="AD17" i="33"/>
  <c r="BC17" i="33"/>
  <c r="BD17" i="33"/>
  <c r="BF17" i="33"/>
  <c r="BG17" i="33"/>
  <c r="BH17" i="33"/>
  <c r="BK17" i="33"/>
  <c r="BL17" i="33"/>
  <c r="CD17" i="33"/>
  <c r="CE17" i="33"/>
  <c r="AX17" i="33" s="1"/>
  <c r="CF17" i="33"/>
  <c r="AU17" i="33" s="1"/>
  <c r="CJ140" i="32"/>
  <c r="CR140" i="32"/>
  <c r="CW122" i="32"/>
  <c r="CW123" i="32" s="1"/>
  <c r="CW124" i="32" s="1"/>
  <c r="CW79" i="32" s="1"/>
  <c r="L79" i="32" s="1"/>
  <c r="AF79" i="32" s="1"/>
  <c r="AZ79" i="32" s="1"/>
  <c r="BT79" i="32" s="1"/>
  <c r="CX122" i="32"/>
  <c r="CX123" i="32" s="1"/>
  <c r="CX124" i="32" s="1"/>
  <c r="CX79" i="32" s="1"/>
  <c r="P79" i="32" s="1"/>
  <c r="AJ79" i="32" s="1"/>
  <c r="BD79" i="32" s="1"/>
  <c r="BX79" i="32" s="1"/>
  <c r="CY122" i="32"/>
  <c r="CY123" i="32" s="1"/>
  <c r="CY124" i="32" s="1"/>
  <c r="CY79" i="32" s="1"/>
  <c r="T79" i="32" s="1"/>
  <c r="AN79" i="32" s="1"/>
  <c r="BH79" i="32" s="1"/>
  <c r="CB79" i="32" s="1"/>
  <c r="CZ122" i="32"/>
  <c r="CZ123" i="32" s="1"/>
  <c r="CZ124" i="32" s="1"/>
  <c r="J124" i="32"/>
  <c r="J125" i="32"/>
  <c r="J126" i="32"/>
  <c r="J127" i="32"/>
  <c r="J128" i="32"/>
  <c r="CW128" i="32"/>
  <c r="CW129" i="32" s="1"/>
  <c r="CW130" i="32" s="1"/>
  <c r="CX128" i="32"/>
  <c r="CX129" i="32" s="1"/>
  <c r="CX130" i="32" s="1"/>
  <c r="CY128" i="32"/>
  <c r="CY129" i="32" s="1"/>
  <c r="CY130" i="32" s="1"/>
  <c r="CZ128" i="32"/>
  <c r="CZ129" i="32" s="1"/>
  <c r="CZ130" i="32" s="1"/>
  <c r="CZ80" i="32" s="1"/>
  <c r="X80" i="32" s="1"/>
  <c r="AR80" i="32" s="1"/>
  <c r="BL80" i="32" s="1"/>
  <c r="CF80" i="32" s="1"/>
  <c r="J129" i="32"/>
  <c r="CN118" i="32"/>
  <c r="CR118" i="32"/>
  <c r="L100" i="32"/>
  <c r="AF100" i="32" s="1"/>
  <c r="P100" i="32"/>
  <c r="T100" i="32"/>
  <c r="AN100" i="32" s="1"/>
  <c r="X100" i="32"/>
  <c r="AR100" i="32" s="1"/>
  <c r="AJ100" i="32"/>
  <c r="DJ100" i="32"/>
  <c r="DK100" i="32"/>
  <c r="BF100" i="32" s="1"/>
  <c r="DL100" i="32"/>
  <c r="AA100" i="32" s="1"/>
  <c r="EC100" i="32"/>
  <c r="ED100" i="32"/>
  <c r="CP100" i="32" s="1"/>
  <c r="EE100" i="32"/>
  <c r="CQ100" i="32" s="1"/>
  <c r="L101" i="32"/>
  <c r="P101" i="32"/>
  <c r="T101" i="32"/>
  <c r="AN101" i="32" s="1"/>
  <c r="X101" i="32"/>
  <c r="AR101" i="32" s="1"/>
  <c r="AF101" i="32"/>
  <c r="AJ101" i="32"/>
  <c r="BS101" i="32"/>
  <c r="DJ101" i="32"/>
  <c r="DK101" i="32"/>
  <c r="BR101" i="32" s="1"/>
  <c r="DL101" i="32"/>
  <c r="AA101" i="32" s="1"/>
  <c r="EC101" i="32"/>
  <c r="ED101" i="32"/>
  <c r="CP101" i="32" s="1"/>
  <c r="EE101" i="32"/>
  <c r="CQ101" i="32" s="1"/>
  <c r="L102" i="32"/>
  <c r="AF102" i="32" s="1"/>
  <c r="P102" i="32"/>
  <c r="AJ102" i="32" s="1"/>
  <c r="T102" i="32"/>
  <c r="X102" i="32"/>
  <c r="AR102" i="32" s="1"/>
  <c r="AN102" i="32"/>
  <c r="DJ102" i="32"/>
  <c r="DK102" i="32"/>
  <c r="AL102" i="32" s="1"/>
  <c r="DL102" i="32"/>
  <c r="BS102" i="32" s="1"/>
  <c r="EC102" i="32"/>
  <c r="ED102" i="32"/>
  <c r="CP102" i="32" s="1"/>
  <c r="EE102" i="32"/>
  <c r="CQ102" i="32" s="1"/>
  <c r="L103" i="32"/>
  <c r="AF103" i="32" s="1"/>
  <c r="P103" i="32"/>
  <c r="AJ103" i="32" s="1"/>
  <c r="R103" i="32"/>
  <c r="S103" i="32"/>
  <c r="T103" i="32"/>
  <c r="AN103" i="32" s="1"/>
  <c r="X103" i="32"/>
  <c r="AD103" i="32"/>
  <c r="AE103" i="32"/>
  <c r="AP103" i="32"/>
  <c r="AR103" i="32"/>
  <c r="AT103" i="32"/>
  <c r="BB103" i="32"/>
  <c r="BF103" i="32"/>
  <c r="BJ103" i="32"/>
  <c r="BZ103" i="32"/>
  <c r="CL103" i="32"/>
  <c r="CM103" i="32"/>
  <c r="DJ103" i="32"/>
  <c r="DK103" i="32"/>
  <c r="BN103" i="32" s="1"/>
  <c r="DL103" i="32"/>
  <c r="AM103" i="32" s="1"/>
  <c r="EC103" i="32"/>
  <c r="ED103" i="32"/>
  <c r="CT103" i="32" s="1"/>
  <c r="EE103" i="32"/>
  <c r="CQ103" i="32" s="1"/>
  <c r="L104" i="32"/>
  <c r="P104" i="32"/>
  <c r="T104" i="32"/>
  <c r="AN104" i="32" s="1"/>
  <c r="X104" i="32"/>
  <c r="AR104" i="32" s="1"/>
  <c r="AF104" i="32"/>
  <c r="AJ104" i="32"/>
  <c r="AU104" i="32"/>
  <c r="BC104" i="32"/>
  <c r="BK104" i="32"/>
  <c r="BW104" i="32"/>
  <c r="CQ104" i="32"/>
  <c r="DJ104" i="32"/>
  <c r="DK104" i="32"/>
  <c r="V104" i="32" s="1"/>
  <c r="DL104" i="32"/>
  <c r="BO104" i="32" s="1"/>
  <c r="EC104" i="32"/>
  <c r="ED104" i="32"/>
  <c r="CT104" i="32" s="1"/>
  <c r="EE104" i="32"/>
  <c r="CU104" i="32" s="1"/>
  <c r="L105" i="32"/>
  <c r="P105" i="32"/>
  <c r="AJ105" i="32" s="1"/>
  <c r="T105" i="32"/>
  <c r="AN105" i="32" s="1"/>
  <c r="X105" i="32"/>
  <c r="Z105" i="32"/>
  <c r="AF105" i="32"/>
  <c r="AH105" i="32"/>
  <c r="AL105" i="32"/>
  <c r="AR105" i="32"/>
  <c r="AX105" i="32"/>
  <c r="BF105" i="32"/>
  <c r="BP105" i="32"/>
  <c r="BV105" i="32"/>
  <c r="CH105" i="32"/>
  <c r="CL105" i="32"/>
  <c r="DJ105" i="32"/>
  <c r="DK105" i="32"/>
  <c r="BN105" i="32" s="1"/>
  <c r="DL105" i="32"/>
  <c r="BC105" i="32" s="1"/>
  <c r="EC105" i="32"/>
  <c r="ED105" i="32"/>
  <c r="CP105" i="32" s="1"/>
  <c r="EE105" i="32"/>
  <c r="CU105" i="32" s="1"/>
  <c r="L106" i="32"/>
  <c r="P106" i="32"/>
  <c r="AJ106" i="32" s="1"/>
  <c r="T106" i="32"/>
  <c r="X106" i="32"/>
  <c r="AF106" i="32"/>
  <c r="AN106" i="32"/>
  <c r="AR106" i="32"/>
  <c r="BO106" i="32"/>
  <c r="CM106" i="32"/>
  <c r="DJ106" i="32"/>
  <c r="DK106" i="32"/>
  <c r="BB106" i="32" s="1"/>
  <c r="DL106" i="32"/>
  <c r="AA106" i="32" s="1"/>
  <c r="EC106" i="32"/>
  <c r="ED106" i="32"/>
  <c r="CP106" i="32" s="1"/>
  <c r="EE106" i="32"/>
  <c r="CQ106" i="32" s="1"/>
  <c r="L89" i="32"/>
  <c r="AF89" i="32" s="1"/>
  <c r="AZ89" i="32" s="1"/>
  <c r="BT89" i="32" s="1"/>
  <c r="P89" i="32"/>
  <c r="AJ89" i="32" s="1"/>
  <c r="BD89" i="32" s="1"/>
  <c r="BX89" i="32" s="1"/>
  <c r="S89" i="32"/>
  <c r="T89" i="32"/>
  <c r="X89" i="32"/>
  <c r="AA89" i="32"/>
  <c r="AM89" i="32"/>
  <c r="AN89" i="32"/>
  <c r="BH89" i="32" s="1"/>
  <c r="CB89" i="32" s="1"/>
  <c r="AR89" i="32"/>
  <c r="BL89" i="32" s="1"/>
  <c r="CF89" i="32" s="1"/>
  <c r="AY89" i="32"/>
  <c r="BP89" i="32"/>
  <c r="BS89" i="32"/>
  <c r="CM89" i="32"/>
  <c r="DJ89" i="32"/>
  <c r="DK89" i="32"/>
  <c r="BN89" i="32" s="1"/>
  <c r="DL89" i="32"/>
  <c r="AQ89" i="32" s="1"/>
  <c r="EC89" i="32"/>
  <c r="ED89" i="32"/>
  <c r="CP89" i="32" s="1"/>
  <c r="EE89" i="32"/>
  <c r="CQ89" i="32" s="1"/>
  <c r="L90" i="32"/>
  <c r="AF90" i="32" s="1"/>
  <c r="AZ90" i="32" s="1"/>
  <c r="BT90" i="32" s="1"/>
  <c r="P90" i="32"/>
  <c r="T90" i="32"/>
  <c r="AN90" i="32" s="1"/>
  <c r="BH90" i="32" s="1"/>
  <c r="CB90" i="32" s="1"/>
  <c r="X90" i="32"/>
  <c r="AR90" i="32" s="1"/>
  <c r="AJ90" i="32"/>
  <c r="BD90" i="32" s="1"/>
  <c r="BX90" i="32" s="1"/>
  <c r="BF90" i="32"/>
  <c r="BL90" i="32"/>
  <c r="CF90" i="32" s="1"/>
  <c r="BS90" i="32"/>
  <c r="CN90" i="32"/>
  <c r="CR90" i="32" s="1"/>
  <c r="CP90" i="32"/>
  <c r="DJ90" i="32"/>
  <c r="DK90" i="32"/>
  <c r="BJ90" i="32" s="1"/>
  <c r="DL90" i="32"/>
  <c r="W90" i="32" s="1"/>
  <c r="EC90" i="32"/>
  <c r="ED90" i="32"/>
  <c r="CT90" i="32" s="1"/>
  <c r="EE90" i="32"/>
  <c r="CU90" i="32" s="1"/>
  <c r="L91" i="32"/>
  <c r="AF91" i="32" s="1"/>
  <c r="AZ91" i="32" s="1"/>
  <c r="BT91" i="32" s="1"/>
  <c r="P91" i="32"/>
  <c r="R91" i="32"/>
  <c r="T91" i="32"/>
  <c r="X91" i="32"/>
  <c r="AR91" i="32" s="1"/>
  <c r="AA91" i="32"/>
  <c r="AJ91" i="32"/>
  <c r="BD91" i="32" s="1"/>
  <c r="BX91" i="32" s="1"/>
  <c r="AN91" i="32"/>
  <c r="BH91" i="32" s="1"/>
  <c r="CB91" i="32" s="1"/>
  <c r="AP91" i="32"/>
  <c r="AQ91" i="32"/>
  <c r="BB91" i="32"/>
  <c r="BL91" i="32"/>
  <c r="CF91" i="32" s="1"/>
  <c r="BN91" i="32"/>
  <c r="CD91" i="32"/>
  <c r="CH91" i="32"/>
  <c r="CN91" i="32"/>
  <c r="CR91" i="32"/>
  <c r="CT91" i="32"/>
  <c r="DJ91" i="32"/>
  <c r="DK91" i="32"/>
  <c r="V91" i="32" s="1"/>
  <c r="DL91" i="32"/>
  <c r="W91" i="32" s="1"/>
  <c r="EC91" i="32"/>
  <c r="ED91" i="32"/>
  <c r="CP91" i="32" s="1"/>
  <c r="EE91" i="32"/>
  <c r="CQ91" i="32" s="1"/>
  <c r="L92" i="32"/>
  <c r="AF92" i="32" s="1"/>
  <c r="AZ92" i="32" s="1"/>
  <c r="BT92" i="32" s="1"/>
  <c r="P92" i="32"/>
  <c r="T92" i="32"/>
  <c r="X92" i="32"/>
  <c r="AR92" i="32" s="1"/>
  <c r="BL92" i="32" s="1"/>
  <c r="CF92" i="32" s="1"/>
  <c r="AJ92" i="32"/>
  <c r="BD92" i="32" s="1"/>
  <c r="BX92" i="32" s="1"/>
  <c r="AN92" i="32"/>
  <c r="BB92" i="32"/>
  <c r="BH92" i="32"/>
  <c r="CB92" i="32"/>
  <c r="CN92" i="32"/>
  <c r="CR92" i="32"/>
  <c r="DJ92" i="32"/>
  <c r="DK92" i="32"/>
  <c r="BJ92" i="32" s="1"/>
  <c r="DL92" i="32"/>
  <c r="S92" i="32" s="1"/>
  <c r="EC92" i="32"/>
  <c r="ED92" i="32"/>
  <c r="CT92" i="32" s="1"/>
  <c r="EE92" i="32"/>
  <c r="CQ92" i="32" s="1"/>
  <c r="L93" i="32"/>
  <c r="AF93" i="32" s="1"/>
  <c r="AZ93" i="32" s="1"/>
  <c r="BT93" i="32" s="1"/>
  <c r="P93" i="32"/>
  <c r="S93" i="32"/>
  <c r="T93" i="32"/>
  <c r="AN93" i="32" s="1"/>
  <c r="BH93" i="32" s="1"/>
  <c r="CB93" i="32" s="1"/>
  <c r="X93" i="32"/>
  <c r="AR93" i="32" s="1"/>
  <c r="BL93" i="32" s="1"/>
  <c r="CF93" i="32" s="1"/>
  <c r="AD93" i="32"/>
  <c r="AJ93" i="32"/>
  <c r="BD93" i="32" s="1"/>
  <c r="BX93" i="32" s="1"/>
  <c r="AM93" i="32"/>
  <c r="AU93" i="32"/>
  <c r="BB93" i="32"/>
  <c r="BC93" i="32"/>
  <c r="BO93" i="32"/>
  <c r="BV93" i="32"/>
  <c r="BW93" i="32"/>
  <c r="CH93" i="32"/>
  <c r="CN93" i="32"/>
  <c r="CR93" i="32"/>
  <c r="DJ93" i="32"/>
  <c r="DK93" i="32"/>
  <c r="BN93" i="32" s="1"/>
  <c r="DL93" i="32"/>
  <c r="W93" i="32" s="1"/>
  <c r="EC93" i="32"/>
  <c r="ED93" i="32"/>
  <c r="EE93" i="32"/>
  <c r="CU93" i="32" s="1"/>
  <c r="V94" i="32"/>
  <c r="AH94" i="32"/>
  <c r="AI94" i="32"/>
  <c r="AN94" i="32"/>
  <c r="AQ94" i="32"/>
  <c r="AT94" i="32"/>
  <c r="BD94" i="32"/>
  <c r="BX94" i="32" s="1"/>
  <c r="BH94" i="32"/>
  <c r="CB94" i="32" s="1"/>
  <c r="BV94" i="32"/>
  <c r="BW94" i="32"/>
  <c r="CI94" i="32"/>
  <c r="CW94" i="32"/>
  <c r="L94" i="32" s="1"/>
  <c r="AF94" i="32" s="1"/>
  <c r="AZ94" i="32" s="1"/>
  <c r="BT94" i="32" s="1"/>
  <c r="CX94" i="32"/>
  <c r="P94" i="32" s="1"/>
  <c r="AJ94" i="32" s="1"/>
  <c r="CY94" i="32"/>
  <c r="CZ94" i="32"/>
  <c r="DJ94" i="32"/>
  <c r="DK94" i="32"/>
  <c r="N94" i="32" s="1"/>
  <c r="DL94" i="32"/>
  <c r="AU94" i="32" s="1"/>
  <c r="EC94" i="32"/>
  <c r="ED94" i="32"/>
  <c r="EE94" i="32"/>
  <c r="CQ94" i="32" s="1"/>
  <c r="T95" i="32"/>
  <c r="AN95" i="32" s="1"/>
  <c r="BH95" i="32" s="1"/>
  <c r="CB95" i="32" s="1"/>
  <c r="AY95" i="32"/>
  <c r="BJ95" i="32"/>
  <c r="CA95" i="32"/>
  <c r="CH95" i="32"/>
  <c r="CN95" i="32"/>
  <c r="CR95" i="32"/>
  <c r="CW95" i="32"/>
  <c r="L95" i="32" s="1"/>
  <c r="AF95" i="32" s="1"/>
  <c r="AZ95" i="32" s="1"/>
  <c r="BT95" i="32" s="1"/>
  <c r="CX95" i="32"/>
  <c r="P95" i="32" s="1"/>
  <c r="AJ95" i="32" s="1"/>
  <c r="BD95" i="32" s="1"/>
  <c r="BX95" i="32" s="1"/>
  <c r="CY95" i="32"/>
  <c r="CZ95" i="32"/>
  <c r="X95" i="32" s="1"/>
  <c r="AR95" i="32" s="1"/>
  <c r="BL95" i="32" s="1"/>
  <c r="CF95" i="32" s="1"/>
  <c r="DJ95" i="32"/>
  <c r="DK95" i="32"/>
  <c r="AP95" i="32" s="1"/>
  <c r="DL95" i="32"/>
  <c r="W95" i="32" s="1"/>
  <c r="EC95" i="32"/>
  <c r="ED95" i="32"/>
  <c r="CT95" i="32" s="1"/>
  <c r="EE95" i="32"/>
  <c r="CU95" i="32" s="1"/>
  <c r="L96" i="32"/>
  <c r="AF96" i="32" s="1"/>
  <c r="AZ96" i="32" s="1"/>
  <c r="BT96" i="32" s="1"/>
  <c r="P96" i="32"/>
  <c r="AJ96" i="32" s="1"/>
  <c r="BD96" i="32" s="1"/>
  <c r="BX96" i="32" s="1"/>
  <c r="T96" i="32"/>
  <c r="AN96" i="32" s="1"/>
  <c r="BH96" i="32" s="1"/>
  <c r="CB96" i="32" s="1"/>
  <c r="X96" i="32"/>
  <c r="AB96" i="32" s="1"/>
  <c r="AR96" i="32"/>
  <c r="BL96" i="32" s="1"/>
  <c r="CF96" i="32" s="1"/>
  <c r="AV96" i="32"/>
  <c r="BR96" i="32"/>
  <c r="CJ96" i="32"/>
  <c r="DJ96" i="32"/>
  <c r="DK96" i="32"/>
  <c r="CL96" i="32" s="1"/>
  <c r="DL96" i="32"/>
  <c r="AU96" i="32" s="1"/>
  <c r="EC96" i="32"/>
  <c r="ED96" i="32"/>
  <c r="CP96" i="32" s="1"/>
  <c r="EE96" i="32"/>
  <c r="CQ96" i="32" s="1"/>
  <c r="L97" i="32"/>
  <c r="AF97" i="32" s="1"/>
  <c r="AZ97" i="32" s="1"/>
  <c r="BT97" i="32" s="1"/>
  <c r="P97" i="32"/>
  <c r="T97" i="32"/>
  <c r="X97" i="32"/>
  <c r="AR97" i="32" s="1"/>
  <c r="BL97" i="32" s="1"/>
  <c r="CF97" i="32" s="1"/>
  <c r="CJ97" i="32" s="1"/>
  <c r="AA97" i="32"/>
  <c r="AJ97" i="32"/>
  <c r="BD97" i="32" s="1"/>
  <c r="BX97" i="32" s="1"/>
  <c r="AN97" i="32"/>
  <c r="BH97" i="32" s="1"/>
  <c r="CB97" i="32" s="1"/>
  <c r="AU97" i="32"/>
  <c r="CD97" i="32"/>
  <c r="CM97" i="32"/>
  <c r="DJ97" i="32"/>
  <c r="DK97" i="32"/>
  <c r="AP97" i="32" s="1"/>
  <c r="DL97" i="32"/>
  <c r="CE97" i="32" s="1"/>
  <c r="EC97" i="32"/>
  <c r="ED97" i="32"/>
  <c r="EE97" i="32"/>
  <c r="AT98" i="32"/>
  <c r="BZ98" i="32"/>
  <c r="DJ98" i="32"/>
  <c r="DK98" i="32"/>
  <c r="N98" i="32" s="1"/>
  <c r="DL98" i="32"/>
  <c r="W98" i="32" s="1"/>
  <c r="EC98" i="32"/>
  <c r="ED98" i="32"/>
  <c r="CP98" i="32" s="1"/>
  <c r="EE98" i="32"/>
  <c r="CU98" i="32" s="1"/>
  <c r="L99" i="32"/>
  <c r="P99" i="32"/>
  <c r="T99" i="32"/>
  <c r="W99" i="32"/>
  <c r="X99" i="32"/>
  <c r="AM99" i="32"/>
  <c r="AP99" i="32"/>
  <c r="AQ99" i="32"/>
  <c r="CD99" i="32"/>
  <c r="CE99" i="32"/>
  <c r="DJ99" i="32"/>
  <c r="DK99" i="32"/>
  <c r="BF99" i="32" s="1"/>
  <c r="DL99" i="32"/>
  <c r="S99" i="32" s="1"/>
  <c r="EC99" i="32"/>
  <c r="ED99" i="32"/>
  <c r="CP99" i="32" s="1"/>
  <c r="EE99" i="32"/>
  <c r="CQ99" i="32" s="1"/>
  <c r="L78" i="32"/>
  <c r="P78" i="32"/>
  <c r="T78" i="32"/>
  <c r="X78" i="32"/>
  <c r="AD78" i="32"/>
  <c r="BJ78" i="32"/>
  <c r="BK78" i="32"/>
  <c r="CP78" i="32"/>
  <c r="DJ78" i="32"/>
  <c r="DK78" i="32"/>
  <c r="N78" i="32" s="1"/>
  <c r="DL78" i="32"/>
  <c r="O78" i="32" s="1"/>
  <c r="EC78" i="32"/>
  <c r="ED78" i="32"/>
  <c r="CT78" i="32" s="1"/>
  <c r="EE78" i="32"/>
  <c r="V79" i="32"/>
  <c r="BJ79" i="32"/>
  <c r="CZ79" i="32"/>
  <c r="X79" i="32" s="1"/>
  <c r="AR79" i="32" s="1"/>
  <c r="BL79" i="32" s="1"/>
  <c r="CF79" i="32" s="1"/>
  <c r="DJ79" i="32"/>
  <c r="DK79" i="32"/>
  <c r="AL79" i="32" s="1"/>
  <c r="DL79" i="32"/>
  <c r="BC79" i="32" s="1"/>
  <c r="EC79" i="32"/>
  <c r="ED79" i="32"/>
  <c r="CP79" i="32" s="1"/>
  <c r="EE79" i="32"/>
  <c r="AJ80" i="32"/>
  <c r="BD80" i="32" s="1"/>
  <c r="BX80" i="32" s="1"/>
  <c r="CQ80" i="32"/>
  <c r="CW80" i="32"/>
  <c r="L80" i="32" s="1"/>
  <c r="AF80" i="32" s="1"/>
  <c r="AZ80" i="32" s="1"/>
  <c r="BT80" i="32" s="1"/>
  <c r="CX80" i="32"/>
  <c r="P80" i="32" s="1"/>
  <c r="CY80" i="32"/>
  <c r="T80" i="32" s="1"/>
  <c r="AN80" i="32" s="1"/>
  <c r="BH80" i="32" s="1"/>
  <c r="CB80" i="32" s="1"/>
  <c r="DJ80" i="32"/>
  <c r="DK80" i="32"/>
  <c r="DL80" i="32"/>
  <c r="O80" i="32" s="1"/>
  <c r="EC80" i="32"/>
  <c r="ED80" i="32"/>
  <c r="CP80" i="32" s="1"/>
  <c r="EE80" i="32"/>
  <c r="CU80" i="32" s="1"/>
  <c r="L81" i="32"/>
  <c r="AF81" i="32" s="1"/>
  <c r="AZ81" i="32" s="1"/>
  <c r="P81" i="32"/>
  <c r="AJ81" i="32" s="1"/>
  <c r="BD81" i="32" s="1"/>
  <c r="BX81" i="32" s="1"/>
  <c r="R81" i="32"/>
  <c r="T81" i="32"/>
  <c r="AN81" i="32" s="1"/>
  <c r="BH81" i="32" s="1"/>
  <c r="CB81" i="32" s="1"/>
  <c r="X81" i="32"/>
  <c r="Z81" i="32"/>
  <c r="AA81" i="32"/>
  <c r="AR81" i="32"/>
  <c r="BL81" i="32" s="1"/>
  <c r="CF81" i="32" s="1"/>
  <c r="AX81" i="32"/>
  <c r="AY81" i="32"/>
  <c r="BR81" i="32"/>
  <c r="BT81" i="32"/>
  <c r="CH81" i="32"/>
  <c r="DJ81" i="32"/>
  <c r="DK81" i="32"/>
  <c r="AP81" i="32" s="1"/>
  <c r="DL81" i="32"/>
  <c r="BK81" i="32" s="1"/>
  <c r="EC81" i="32"/>
  <c r="ED81" i="32"/>
  <c r="EE81" i="32"/>
  <c r="CU81" i="32" s="1"/>
  <c r="AE82" i="32"/>
  <c r="BW82" i="32"/>
  <c r="CR82" i="32"/>
  <c r="DJ82" i="32"/>
  <c r="DK82" i="32"/>
  <c r="BV82" i="32" s="1"/>
  <c r="DL82" i="32"/>
  <c r="AQ82" i="32" s="1"/>
  <c r="EC82" i="32"/>
  <c r="ED82" i="32"/>
  <c r="CP82" i="32" s="1"/>
  <c r="EE82" i="32"/>
  <c r="CQ82" i="32" s="1"/>
  <c r="L83" i="32"/>
  <c r="P83" i="32"/>
  <c r="AJ83" i="32" s="1"/>
  <c r="BD83" i="32" s="1"/>
  <c r="BX83" i="32" s="1"/>
  <c r="T83" i="32"/>
  <c r="X83" i="32"/>
  <c r="AR83" i="32" s="1"/>
  <c r="BL83" i="32" s="1"/>
  <c r="CF83" i="32" s="1"/>
  <c r="CJ83" i="32" s="1"/>
  <c r="AA83" i="32"/>
  <c r="AB83" i="32"/>
  <c r="AF83" i="32"/>
  <c r="AZ83" i="32" s="1"/>
  <c r="BT83" i="32" s="1"/>
  <c r="AI83" i="32"/>
  <c r="AN83" i="32"/>
  <c r="AV83" i="32"/>
  <c r="BP83" i="32" s="1"/>
  <c r="AY83" i="32"/>
  <c r="BH83" i="32"/>
  <c r="CB83" i="32" s="1"/>
  <c r="BO83" i="32"/>
  <c r="CE83" i="32"/>
  <c r="DJ83" i="32"/>
  <c r="DK83" i="32"/>
  <c r="AD83" i="32" s="1"/>
  <c r="DL83" i="32"/>
  <c r="AE83" i="32" s="1"/>
  <c r="EC83" i="32"/>
  <c r="ED83" i="32"/>
  <c r="CT83" i="32" s="1"/>
  <c r="EE83" i="32"/>
  <c r="CQ83" i="32" s="1"/>
  <c r="L84" i="32"/>
  <c r="AF84" i="32" s="1"/>
  <c r="AZ84" i="32" s="1"/>
  <c r="BT84" i="32" s="1"/>
  <c r="P84" i="32"/>
  <c r="AJ84" i="32" s="1"/>
  <c r="BD84" i="32" s="1"/>
  <c r="BX84" i="32" s="1"/>
  <c r="T84" i="32"/>
  <c r="AN84" i="32" s="1"/>
  <c r="BH84" i="32" s="1"/>
  <c r="CB84" i="32" s="1"/>
  <c r="X84" i="32"/>
  <c r="AR84" i="32" s="1"/>
  <c r="BL84" i="32" s="1"/>
  <c r="AB84" i="32"/>
  <c r="AV84" i="32" s="1"/>
  <c r="BP84" i="32" s="1"/>
  <c r="AD84" i="32"/>
  <c r="CF84" i="32"/>
  <c r="CJ84" i="32" s="1"/>
  <c r="CH84" i="32"/>
  <c r="DJ84" i="32"/>
  <c r="DK84" i="32"/>
  <c r="AH84" i="32" s="1"/>
  <c r="DL84" i="32"/>
  <c r="W84" i="32" s="1"/>
  <c r="EC84" i="32"/>
  <c r="ED84" i="32"/>
  <c r="CP84" i="32" s="1"/>
  <c r="EE84" i="32"/>
  <c r="CU84" i="32" s="1"/>
  <c r="L85" i="32"/>
  <c r="AF85" i="32" s="1"/>
  <c r="AZ85" i="32" s="1"/>
  <c r="BT85" i="32" s="1"/>
  <c r="P85" i="32"/>
  <c r="T85" i="32"/>
  <c r="AN85" i="32" s="1"/>
  <c r="BH85" i="32" s="1"/>
  <c r="CB85" i="32" s="1"/>
  <c r="X85" i="32"/>
  <c r="AR85" i="32" s="1"/>
  <c r="BL85" i="32" s="1"/>
  <c r="CF85" i="32" s="1"/>
  <c r="AJ85" i="32"/>
  <c r="BD85" i="32" s="1"/>
  <c r="BX85" i="32" s="1"/>
  <c r="CM85" i="32"/>
  <c r="CN85" i="32"/>
  <c r="CP85" i="32"/>
  <c r="CT85" i="32"/>
  <c r="DJ85" i="32"/>
  <c r="DK85" i="32"/>
  <c r="AT85" i="32" s="1"/>
  <c r="DL85" i="32"/>
  <c r="BO85" i="32" s="1"/>
  <c r="EC85" i="32"/>
  <c r="ED85" i="32"/>
  <c r="EE85" i="32"/>
  <c r="CQ85" i="32" s="1"/>
  <c r="L86" i="32"/>
  <c r="AF86" i="32" s="1"/>
  <c r="AZ86" i="32" s="1"/>
  <c r="BT86" i="32" s="1"/>
  <c r="P86" i="32"/>
  <c r="AJ86" i="32" s="1"/>
  <c r="BD86" i="32" s="1"/>
  <c r="BX86" i="32" s="1"/>
  <c r="T86" i="32"/>
  <c r="AN86" i="32" s="1"/>
  <c r="BH86" i="32" s="1"/>
  <c r="CB86" i="32" s="1"/>
  <c r="V86" i="32"/>
  <c r="X86" i="32"/>
  <c r="AR86" i="32" s="1"/>
  <c r="BL86" i="32" s="1"/>
  <c r="BP86" i="32"/>
  <c r="CF86" i="32"/>
  <c r="CL86" i="32"/>
  <c r="CN86" i="32"/>
  <c r="CR86" i="32" s="1"/>
  <c r="DJ86" i="32"/>
  <c r="DK86" i="32"/>
  <c r="BN86" i="32" s="1"/>
  <c r="DL86" i="32"/>
  <c r="S86" i="32" s="1"/>
  <c r="EC86" i="32"/>
  <c r="ED86" i="32"/>
  <c r="EE86" i="32"/>
  <c r="CU86" i="32" s="1"/>
  <c r="L87" i="32"/>
  <c r="AF87" i="32" s="1"/>
  <c r="AZ87" i="32" s="1"/>
  <c r="BT87" i="32" s="1"/>
  <c r="P87" i="32"/>
  <c r="AJ87" i="32" s="1"/>
  <c r="R87" i="32"/>
  <c r="T87" i="32"/>
  <c r="AN87" i="32" s="1"/>
  <c r="BH87" i="32" s="1"/>
  <c r="CB87" i="32" s="1"/>
  <c r="X87" i="32"/>
  <c r="AR87" i="32" s="1"/>
  <c r="BL87" i="32" s="1"/>
  <c r="CF87" i="32" s="1"/>
  <c r="AQ87" i="32"/>
  <c r="BD87" i="32"/>
  <c r="BP87" i="32"/>
  <c r="BS87" i="32"/>
  <c r="BX87" i="32"/>
  <c r="CL87" i="32"/>
  <c r="CM87" i="32"/>
  <c r="CN87" i="32"/>
  <c r="CP87" i="32"/>
  <c r="CR87" i="32"/>
  <c r="DJ87" i="32"/>
  <c r="DK87" i="32"/>
  <c r="AT87" i="32" s="1"/>
  <c r="DL87" i="32"/>
  <c r="AU87" i="32" s="1"/>
  <c r="EC87" i="32"/>
  <c r="ED87" i="32"/>
  <c r="CT87" i="32" s="1"/>
  <c r="EE87" i="32"/>
  <c r="CQ87" i="32" s="1"/>
  <c r="L88" i="32"/>
  <c r="AF88" i="32" s="1"/>
  <c r="AZ88" i="32" s="1"/>
  <c r="BT88" i="32" s="1"/>
  <c r="P88" i="32"/>
  <c r="T88" i="32"/>
  <c r="AN88" i="32" s="1"/>
  <c r="BH88" i="32" s="1"/>
  <c r="CB88" i="32" s="1"/>
  <c r="X88" i="32"/>
  <c r="AR88" i="32" s="1"/>
  <c r="BL88" i="32" s="1"/>
  <c r="CF88" i="32" s="1"/>
  <c r="Z88" i="32"/>
  <c r="AA88" i="32"/>
  <c r="AJ88" i="32"/>
  <c r="BD88" i="32" s="1"/>
  <c r="BX88" i="32" s="1"/>
  <c r="AL88" i="32"/>
  <c r="AM88" i="32"/>
  <c r="AX88" i="32"/>
  <c r="AY88" i="32"/>
  <c r="CA88" i="32"/>
  <c r="CI88" i="32"/>
  <c r="CN88" i="32"/>
  <c r="CQ88" i="32"/>
  <c r="CR88" i="32"/>
  <c r="DJ88" i="32"/>
  <c r="DK88" i="32"/>
  <c r="BJ88" i="32" s="1"/>
  <c r="DL88" i="32"/>
  <c r="BK88" i="32" s="1"/>
  <c r="EC88" i="32"/>
  <c r="ED88" i="32"/>
  <c r="CT88" i="32" s="1"/>
  <c r="EE88" i="32"/>
  <c r="CU88" i="32" s="1"/>
  <c r="L67" i="32"/>
  <c r="AZ67" i="32" s="1"/>
  <c r="BT67" i="32" s="1"/>
  <c r="P67" i="32"/>
  <c r="BD67" i="32" s="1"/>
  <c r="BX67" i="32" s="1"/>
  <c r="S67" i="32"/>
  <c r="T67" i="32"/>
  <c r="BH67" i="32" s="1"/>
  <c r="X67" i="32"/>
  <c r="AR67" i="32" s="1"/>
  <c r="AE67" i="32"/>
  <c r="AF67" i="32"/>
  <c r="AI67" i="32"/>
  <c r="AQ67" i="32"/>
  <c r="BG67" i="32"/>
  <c r="BJ67" i="32"/>
  <c r="BO67" i="32"/>
  <c r="BW67" i="32"/>
  <c r="CB67" i="32"/>
  <c r="DJ67" i="32"/>
  <c r="DK67" i="32"/>
  <c r="DL67" i="32"/>
  <c r="W67" i="32" s="1"/>
  <c r="EC67" i="32"/>
  <c r="ED67" i="32"/>
  <c r="EE67" i="32"/>
  <c r="CU67" i="32" s="1"/>
  <c r="L68" i="32"/>
  <c r="AZ68" i="32" s="1"/>
  <c r="BT68" i="32" s="1"/>
  <c r="P68" i="32"/>
  <c r="AJ68" i="32" s="1"/>
  <c r="S68" i="32"/>
  <c r="T68" i="32"/>
  <c r="AN68" i="32" s="1"/>
  <c r="W68" i="32"/>
  <c r="X68" i="32"/>
  <c r="AH68" i="32"/>
  <c r="AI68" i="32"/>
  <c r="AY68" i="32"/>
  <c r="BB68" i="32"/>
  <c r="BD68" i="32"/>
  <c r="BG68" i="32"/>
  <c r="BH68" i="32"/>
  <c r="CB68" i="32" s="1"/>
  <c r="BJ68" i="32"/>
  <c r="BN68" i="32"/>
  <c r="BX68" i="32"/>
  <c r="CE68" i="32"/>
  <c r="CH68" i="32"/>
  <c r="CI68" i="32"/>
  <c r="CM68" i="32"/>
  <c r="DJ68" i="32"/>
  <c r="DK68" i="32"/>
  <c r="N68" i="32" s="1"/>
  <c r="DL68" i="32"/>
  <c r="O68" i="32" s="1"/>
  <c r="EC68" i="32"/>
  <c r="ED68" i="32"/>
  <c r="CP68" i="32" s="1"/>
  <c r="EE68" i="32"/>
  <c r="CU68" i="32" s="1"/>
  <c r="N69" i="32"/>
  <c r="Z69" i="32"/>
  <c r="AL69" i="32"/>
  <c r="BB69" i="32"/>
  <c r="BF69" i="32"/>
  <c r="BR69" i="32"/>
  <c r="CH69" i="32"/>
  <c r="CU69" i="32"/>
  <c r="CW69" i="32"/>
  <c r="CX69" i="32"/>
  <c r="CY69" i="32"/>
  <c r="CZ69" i="32"/>
  <c r="X69" i="32" s="1"/>
  <c r="DJ69" i="32"/>
  <c r="DK69" i="32"/>
  <c r="R69" i="32" s="1"/>
  <c r="DL69" i="32"/>
  <c r="AQ69" i="32" s="1"/>
  <c r="EC69" i="32"/>
  <c r="ED69" i="32"/>
  <c r="CP69" i="32" s="1"/>
  <c r="EE69" i="32"/>
  <c r="CQ69" i="32" s="1"/>
  <c r="L70" i="32"/>
  <c r="AF71" i="32" s="1"/>
  <c r="N70" i="32"/>
  <c r="P70" i="32"/>
  <c r="T70" i="32"/>
  <c r="V70" i="32"/>
  <c r="X70" i="32"/>
  <c r="AB70" i="32" s="1"/>
  <c r="AD70" i="32"/>
  <c r="AH70" i="32"/>
  <c r="AP70" i="32"/>
  <c r="AT70" i="32"/>
  <c r="BB70" i="32"/>
  <c r="BF70" i="32"/>
  <c r="BJ70" i="32"/>
  <c r="BR70" i="32"/>
  <c r="CD70" i="32"/>
  <c r="CH70" i="32"/>
  <c r="CU70" i="32"/>
  <c r="DJ70" i="32"/>
  <c r="DK70" i="32"/>
  <c r="Z70" i="32" s="1"/>
  <c r="DL70" i="32"/>
  <c r="AI70" i="32" s="1"/>
  <c r="EC70" i="32"/>
  <c r="ED70" i="32"/>
  <c r="CP70" i="32" s="1"/>
  <c r="EE70" i="32"/>
  <c r="CQ70" i="32" s="1"/>
  <c r="L71" i="32"/>
  <c r="P71" i="32"/>
  <c r="T71" i="32"/>
  <c r="W71" i="32"/>
  <c r="X71" i="32"/>
  <c r="AI71" i="32"/>
  <c r="AJ71" i="32"/>
  <c r="AN71" i="32"/>
  <c r="BH76" i="32" s="1"/>
  <c r="AY71" i="32"/>
  <c r="BC71" i="32"/>
  <c r="BG71" i="32"/>
  <c r="BK71" i="32"/>
  <c r="BO71" i="32"/>
  <c r="CA71" i="32"/>
  <c r="CE71" i="32"/>
  <c r="CI71" i="32"/>
  <c r="CM71" i="32"/>
  <c r="DJ71" i="32"/>
  <c r="DK71" i="32"/>
  <c r="N71" i="32" s="1"/>
  <c r="DL71" i="32"/>
  <c r="AA71" i="32" s="1"/>
  <c r="EC71" i="32"/>
  <c r="ED71" i="32"/>
  <c r="EE71" i="32"/>
  <c r="CU71" i="32" s="1"/>
  <c r="L72" i="32"/>
  <c r="P72" i="32"/>
  <c r="T72" i="32"/>
  <c r="X72" i="32"/>
  <c r="BH72" i="32"/>
  <c r="BR72" i="32"/>
  <c r="BV72" i="32"/>
  <c r="CL72" i="32"/>
  <c r="DJ72" i="32"/>
  <c r="DK72" i="32"/>
  <c r="BJ72" i="32" s="1"/>
  <c r="DL72" i="32"/>
  <c r="EC72" i="32"/>
  <c r="ED72" i="32"/>
  <c r="CP72" i="32" s="1"/>
  <c r="EE72" i="32"/>
  <c r="CQ72" i="32" s="1"/>
  <c r="L73" i="32"/>
  <c r="P73" i="32"/>
  <c r="T73" i="32"/>
  <c r="X73" i="32"/>
  <c r="BH73" i="32"/>
  <c r="DJ73" i="32"/>
  <c r="DK73" i="32"/>
  <c r="CD73" i="32" s="1"/>
  <c r="DL73" i="32"/>
  <c r="S73" i="32" s="1"/>
  <c r="EC73" i="32"/>
  <c r="ED73" i="32"/>
  <c r="CP73" i="32" s="1"/>
  <c r="EE73" i="32"/>
  <c r="CQ73" i="32" s="1"/>
  <c r="L74" i="32"/>
  <c r="P74" i="32"/>
  <c r="T74" i="32"/>
  <c r="X74" i="32"/>
  <c r="DJ74" i="32"/>
  <c r="DK74" i="32"/>
  <c r="Z74" i="32" s="1"/>
  <c r="DL74" i="32"/>
  <c r="S74" i="32" s="1"/>
  <c r="EC74" i="32"/>
  <c r="ED74" i="32"/>
  <c r="CP74" i="32" s="1"/>
  <c r="EE74" i="32"/>
  <c r="CQ74" i="32" s="1"/>
  <c r="L75" i="32"/>
  <c r="P75" i="32"/>
  <c r="T75" i="32"/>
  <c r="X75" i="32"/>
  <c r="AE75" i="32"/>
  <c r="BH75" i="32"/>
  <c r="BK75" i="32"/>
  <c r="BS75" i="32"/>
  <c r="CA75" i="32"/>
  <c r="DJ75" i="32"/>
  <c r="DK75" i="32"/>
  <c r="DL75" i="32"/>
  <c r="AI75" i="32" s="1"/>
  <c r="EC75" i="32"/>
  <c r="ED75" i="32"/>
  <c r="CP75" i="32" s="1"/>
  <c r="EE75" i="32"/>
  <c r="CU75" i="32" s="1"/>
  <c r="L76" i="32"/>
  <c r="N76" i="32"/>
  <c r="P76" i="32"/>
  <c r="T76" i="32"/>
  <c r="V76" i="32"/>
  <c r="X76" i="32"/>
  <c r="Z76" i="32"/>
  <c r="AP76" i="32"/>
  <c r="BB76" i="32"/>
  <c r="BJ76" i="32"/>
  <c r="BR76" i="32"/>
  <c r="BZ76" i="32"/>
  <c r="CD76" i="32"/>
  <c r="CH76" i="32"/>
  <c r="CL76" i="32"/>
  <c r="DJ76" i="32"/>
  <c r="DK76" i="32"/>
  <c r="R76" i="32" s="1"/>
  <c r="DL76" i="32"/>
  <c r="AQ76" i="32" s="1"/>
  <c r="EC76" i="32"/>
  <c r="ED76" i="32"/>
  <c r="CP76" i="32" s="1"/>
  <c r="EE76" i="32"/>
  <c r="CU76" i="32" s="1"/>
  <c r="L77" i="32"/>
  <c r="P77" i="32"/>
  <c r="T77" i="32"/>
  <c r="W77" i="32"/>
  <c r="X77" i="32"/>
  <c r="AI77" i="32"/>
  <c r="CA77" i="32"/>
  <c r="CB77" i="32"/>
  <c r="CE77" i="32"/>
  <c r="DJ77" i="32"/>
  <c r="DK77" i="32"/>
  <c r="V77" i="32" s="1"/>
  <c r="DL77" i="32"/>
  <c r="AY77" i="32" s="1"/>
  <c r="EC77" i="32"/>
  <c r="ED77" i="32"/>
  <c r="CP77" i="32" s="1"/>
  <c r="EE77" i="32"/>
  <c r="CQ77" i="32" s="1"/>
  <c r="L56" i="32"/>
  <c r="N56" i="32"/>
  <c r="P56" i="32"/>
  <c r="T56" i="32"/>
  <c r="V56" i="32"/>
  <c r="X56" i="32"/>
  <c r="AD56" i="32"/>
  <c r="BB56" i="32"/>
  <c r="BJ56" i="32"/>
  <c r="BV56" i="32"/>
  <c r="BZ56" i="32"/>
  <c r="CD56" i="32"/>
  <c r="CL56" i="32"/>
  <c r="DJ56" i="32"/>
  <c r="DK56" i="32"/>
  <c r="BR56" i="32" s="1"/>
  <c r="DL56" i="32"/>
  <c r="AY56" i="32" s="1"/>
  <c r="EC56" i="32"/>
  <c r="ED56" i="32"/>
  <c r="CP56" i="32" s="1"/>
  <c r="EE56" i="32"/>
  <c r="CQ56" i="32" s="1"/>
  <c r="L57" i="32"/>
  <c r="P57" i="32"/>
  <c r="T57" i="32"/>
  <c r="V57" i="32"/>
  <c r="X57" i="32"/>
  <c r="AU57" i="32"/>
  <c r="BF57" i="32"/>
  <c r="BG57" i="32"/>
  <c r="CE57" i="32"/>
  <c r="CH57" i="32"/>
  <c r="CL57" i="32"/>
  <c r="DJ57" i="32"/>
  <c r="DK57" i="32"/>
  <c r="AH57" i="32" s="1"/>
  <c r="DL57" i="32"/>
  <c r="BS57" i="32" s="1"/>
  <c r="EC57" i="32"/>
  <c r="ED57" i="32"/>
  <c r="CP57" i="32" s="1"/>
  <c r="EE57" i="32"/>
  <c r="CQ57" i="32" s="1"/>
  <c r="L58" i="32"/>
  <c r="P58" i="32"/>
  <c r="T58" i="32"/>
  <c r="X58" i="32"/>
  <c r="BJ58" i="32"/>
  <c r="DJ58" i="32"/>
  <c r="DK58" i="32"/>
  <c r="BV58" i="32" s="1"/>
  <c r="DL58" i="32"/>
  <c r="AA58" i="32" s="1"/>
  <c r="EC58" i="32"/>
  <c r="ED58" i="32"/>
  <c r="CT58" i="32" s="1"/>
  <c r="EE58" i="32"/>
  <c r="CU58" i="32" s="1"/>
  <c r="L59" i="32"/>
  <c r="P59" i="32"/>
  <c r="T59" i="32"/>
  <c r="X59" i="32"/>
  <c r="AM59" i="32"/>
  <c r="BS59" i="32"/>
  <c r="CN59" i="32"/>
  <c r="DJ59" i="32"/>
  <c r="DK59" i="32"/>
  <c r="AL59" i="32" s="1"/>
  <c r="DL59" i="32"/>
  <c r="W59" i="32" s="1"/>
  <c r="EC59" i="32"/>
  <c r="ED59" i="32"/>
  <c r="CP59" i="32" s="1"/>
  <c r="EE59" i="32"/>
  <c r="CU59" i="32" s="1"/>
  <c r="L60" i="32"/>
  <c r="AZ60" i="32" s="1"/>
  <c r="BT60" i="32" s="1"/>
  <c r="P60" i="32"/>
  <c r="BD60" i="32" s="1"/>
  <c r="BX60" i="32" s="1"/>
  <c r="T60" i="32"/>
  <c r="V60" i="32"/>
  <c r="X60" i="32"/>
  <c r="BL60" i="32" s="1"/>
  <c r="AF60" i="32"/>
  <c r="AJ60" i="32"/>
  <c r="AN60" i="32"/>
  <c r="BB60" i="32"/>
  <c r="BH60" i="32"/>
  <c r="CB60" i="32" s="1"/>
  <c r="BJ60" i="32"/>
  <c r="BN60" i="32"/>
  <c r="CL60" i="32"/>
  <c r="CU60" i="32"/>
  <c r="DJ60" i="32"/>
  <c r="DK60" i="32"/>
  <c r="N60" i="32" s="1"/>
  <c r="DL60" i="32"/>
  <c r="AI60" i="32" s="1"/>
  <c r="EC60" i="32"/>
  <c r="ED60" i="32"/>
  <c r="CP60" i="32" s="1"/>
  <c r="EE60" i="32"/>
  <c r="CQ60" i="32" s="1"/>
  <c r="L61" i="32"/>
  <c r="AZ61" i="32" s="1"/>
  <c r="BT61" i="32" s="1"/>
  <c r="P61" i="32"/>
  <c r="R61" i="32"/>
  <c r="T61" i="32"/>
  <c r="X61" i="32"/>
  <c r="Z61" i="32"/>
  <c r="AJ61" i="32"/>
  <c r="AN61" i="32"/>
  <c r="AX61" i="32"/>
  <c r="BD61" i="32"/>
  <c r="BX61" i="32" s="1"/>
  <c r="BH61" i="32"/>
  <c r="CB61" i="32" s="1"/>
  <c r="CQ61" i="32"/>
  <c r="CT61" i="32"/>
  <c r="DJ61" i="32"/>
  <c r="DK61" i="32"/>
  <c r="BJ61" i="32" s="1"/>
  <c r="DL61" i="32"/>
  <c r="AA61" i="32" s="1"/>
  <c r="EC61" i="32"/>
  <c r="ED61" i="32"/>
  <c r="CP61" i="32" s="1"/>
  <c r="EE61" i="32"/>
  <c r="CU61" i="32" s="1"/>
  <c r="L62" i="32"/>
  <c r="P62" i="32"/>
  <c r="AJ62" i="32" s="1"/>
  <c r="T62" i="32"/>
  <c r="AN62" i="32" s="1"/>
  <c r="X62" i="32"/>
  <c r="AR62" i="32" s="1"/>
  <c r="BD62" i="32"/>
  <c r="BX62" i="32" s="1"/>
  <c r="BL62" i="32"/>
  <c r="CF62" i="32" s="1"/>
  <c r="DJ62" i="32"/>
  <c r="DK62" i="32"/>
  <c r="N62" i="32" s="1"/>
  <c r="DL62" i="32"/>
  <c r="AQ62" i="32" s="1"/>
  <c r="EC62" i="32"/>
  <c r="ED62" i="32"/>
  <c r="EE62" i="32"/>
  <c r="CQ62" i="32" s="1"/>
  <c r="L63" i="32"/>
  <c r="AF63" i="32" s="1"/>
  <c r="P63" i="32"/>
  <c r="S63" i="32"/>
  <c r="T63" i="32"/>
  <c r="BH63" i="32" s="1"/>
  <c r="CB63" i="32" s="1"/>
  <c r="W63" i="32"/>
  <c r="X63" i="32"/>
  <c r="BL63" i="32" s="1"/>
  <c r="AE63" i="32"/>
  <c r="AI63" i="32"/>
  <c r="AR63" i="32"/>
  <c r="AZ63" i="32"/>
  <c r="BC63" i="32"/>
  <c r="BT63" i="32"/>
  <c r="CF63" i="32"/>
  <c r="CJ63" i="32" s="1"/>
  <c r="CI63" i="32"/>
  <c r="CM63" i="32"/>
  <c r="DJ63" i="32"/>
  <c r="DK63" i="32"/>
  <c r="V63" i="32" s="1"/>
  <c r="DL63" i="32"/>
  <c r="AQ63" i="32" s="1"/>
  <c r="EC63" i="32"/>
  <c r="ED63" i="32"/>
  <c r="CP63" i="32" s="1"/>
  <c r="EE63" i="32"/>
  <c r="CU63" i="32" s="1"/>
  <c r="L64" i="32"/>
  <c r="P64" i="32"/>
  <c r="AJ64" i="32" s="1"/>
  <c r="T64" i="32"/>
  <c r="BH64" i="32" s="1"/>
  <c r="CB64" i="32" s="1"/>
  <c r="X64" i="32"/>
  <c r="BL64" i="32" s="1"/>
  <c r="CF64" i="32" s="1"/>
  <c r="AN64" i="32"/>
  <c r="AP64" i="32"/>
  <c r="BD64" i="32"/>
  <c r="BX64" i="32" s="1"/>
  <c r="BV64" i="32"/>
  <c r="DJ64" i="32"/>
  <c r="DK64" i="32"/>
  <c r="AH64" i="32" s="1"/>
  <c r="DL64" i="32"/>
  <c r="AQ64" i="32" s="1"/>
  <c r="EC64" i="32"/>
  <c r="ED64" i="32"/>
  <c r="CP64" i="32" s="1"/>
  <c r="EE64" i="32"/>
  <c r="CQ64" i="32" s="1"/>
  <c r="L65" i="32"/>
  <c r="AZ65" i="32" s="1"/>
  <c r="BT65" i="32" s="1"/>
  <c r="P65" i="32"/>
  <c r="S65" i="32"/>
  <c r="T65" i="32"/>
  <c r="X65" i="32"/>
  <c r="AR65" i="32" s="1"/>
  <c r="AA65" i="32"/>
  <c r="AF65" i="32"/>
  <c r="AM65" i="32"/>
  <c r="AQ65" i="32"/>
  <c r="BC65" i="32"/>
  <c r="BG65" i="32"/>
  <c r="BS65" i="32"/>
  <c r="CI65" i="32"/>
  <c r="DJ65" i="32"/>
  <c r="DK65" i="32"/>
  <c r="BN65" i="32" s="1"/>
  <c r="DL65" i="32"/>
  <c r="AI65" i="32" s="1"/>
  <c r="EC65" i="32"/>
  <c r="ED65" i="32"/>
  <c r="EE65" i="32"/>
  <c r="CQ65" i="32" s="1"/>
  <c r="L66" i="32"/>
  <c r="P66" i="32"/>
  <c r="AJ66" i="32" s="1"/>
  <c r="S66" i="32"/>
  <c r="T66" i="32"/>
  <c r="W66" i="32"/>
  <c r="X66" i="32"/>
  <c r="AR66" i="32" s="1"/>
  <c r="AE66" i="32"/>
  <c r="AF66" i="32"/>
  <c r="AI66" i="32"/>
  <c r="AQ66" i="32"/>
  <c r="AY66" i="32"/>
  <c r="AZ66" i="32"/>
  <c r="BT66" i="32" s="1"/>
  <c r="BB66" i="32"/>
  <c r="BK66" i="32"/>
  <c r="BL66" i="32"/>
  <c r="CF66" i="32" s="1"/>
  <c r="CJ66" i="32" s="1"/>
  <c r="BO66" i="32"/>
  <c r="BS66" i="32"/>
  <c r="CI66" i="32"/>
  <c r="CM66" i="32"/>
  <c r="DJ66" i="32"/>
  <c r="DK66" i="32"/>
  <c r="AX66" i="32" s="1"/>
  <c r="DL66" i="32"/>
  <c r="O66" i="32" s="1"/>
  <c r="EC66" i="32"/>
  <c r="ED66" i="32"/>
  <c r="CT66" i="32" s="1"/>
  <c r="EE66" i="32"/>
  <c r="CQ66" i="32" s="1"/>
  <c r="P45" i="32"/>
  <c r="BD45" i="32" s="1"/>
  <c r="BX45" i="32" s="1"/>
  <c r="T45" i="32"/>
  <c r="X45" i="32"/>
  <c r="AB45" i="32" s="1"/>
  <c r="AJ45" i="32"/>
  <c r="AR45" i="32"/>
  <c r="BG45" i="32"/>
  <c r="BK45" i="32"/>
  <c r="BP45" i="32"/>
  <c r="BS45" i="32"/>
  <c r="BW45" i="32"/>
  <c r="CM45" i="32"/>
  <c r="CW45" i="32"/>
  <c r="L45" i="32" s="1"/>
  <c r="AZ45" i="32" s="1"/>
  <c r="BT45" i="32" s="1"/>
  <c r="DJ45" i="32"/>
  <c r="DK45" i="32"/>
  <c r="N45" i="32" s="1"/>
  <c r="DL45" i="32"/>
  <c r="O45" i="32" s="1"/>
  <c r="EC45" i="32"/>
  <c r="ED45" i="32"/>
  <c r="CT45" i="32" s="1"/>
  <c r="EE45" i="32"/>
  <c r="CQ45" i="32" s="1"/>
  <c r="L46" i="32"/>
  <c r="P46" i="32"/>
  <c r="AJ46" i="32" s="1"/>
  <c r="T46" i="32"/>
  <c r="BH46" i="32" s="1"/>
  <c r="CB46" i="32" s="1"/>
  <c r="X46" i="32"/>
  <c r="AU46" i="32"/>
  <c r="BD46" i="32"/>
  <c r="BX46" i="32" s="1"/>
  <c r="DJ46" i="32"/>
  <c r="DK46" i="32"/>
  <c r="BZ46" i="32" s="1"/>
  <c r="DL46" i="32"/>
  <c r="CA46" i="32" s="1"/>
  <c r="EC46" i="32"/>
  <c r="ED46" i="32"/>
  <c r="CP46" i="32" s="1"/>
  <c r="EE46" i="32"/>
  <c r="CQ46" i="32" s="1"/>
  <c r="L47" i="32"/>
  <c r="AZ47" i="32" s="1"/>
  <c r="BT47" i="32" s="1"/>
  <c r="P47" i="32"/>
  <c r="T47" i="32"/>
  <c r="AN47" i="32" s="1"/>
  <c r="X47" i="32"/>
  <c r="AB47" i="32"/>
  <c r="AL47" i="32"/>
  <c r="AR47" i="32"/>
  <c r="AX47" i="32"/>
  <c r="BJ47" i="32"/>
  <c r="BL47" i="32"/>
  <c r="CF47" i="32" s="1"/>
  <c r="BP47" i="32"/>
  <c r="CH47" i="32"/>
  <c r="CT47" i="32"/>
  <c r="DJ47" i="32"/>
  <c r="DK47" i="32"/>
  <c r="AD47" i="32" s="1"/>
  <c r="DL47" i="32"/>
  <c r="S47" i="32" s="1"/>
  <c r="EC47" i="32"/>
  <c r="ED47" i="32"/>
  <c r="CP47" i="32" s="1"/>
  <c r="EE47" i="32"/>
  <c r="CU47" i="32" s="1"/>
  <c r="S48" i="32"/>
  <c r="AA48" i="32"/>
  <c r="AI48" i="32"/>
  <c r="AQ48" i="32"/>
  <c r="AR48" i="32"/>
  <c r="AY48" i="32"/>
  <c r="BG48" i="32"/>
  <c r="BL48" i="32"/>
  <c r="CF48" i="32" s="1"/>
  <c r="CJ48" i="32" s="1"/>
  <c r="BO48" i="32"/>
  <c r="BS48" i="32"/>
  <c r="CA48" i="32"/>
  <c r="CI48" i="32"/>
  <c r="CW48" i="32"/>
  <c r="L48" i="32" s="1"/>
  <c r="CX48" i="32"/>
  <c r="P48" i="32" s="1"/>
  <c r="CY48" i="32"/>
  <c r="T48" i="32" s="1"/>
  <c r="CZ48" i="32"/>
  <c r="X48" i="32" s="1"/>
  <c r="AB48" i="32" s="1"/>
  <c r="AV48" i="32" s="1"/>
  <c r="BP48" i="32" s="1"/>
  <c r="DJ48" i="32"/>
  <c r="DK48" i="32"/>
  <c r="N48" i="32" s="1"/>
  <c r="DL48" i="32"/>
  <c r="AE48" i="32" s="1"/>
  <c r="EC48" i="32"/>
  <c r="ED48" i="32"/>
  <c r="EE48" i="32"/>
  <c r="CQ48" i="32" s="1"/>
  <c r="AP49" i="32"/>
  <c r="CQ49" i="32"/>
  <c r="CT49" i="32"/>
  <c r="DJ49" i="32"/>
  <c r="DK49" i="32"/>
  <c r="AD49" i="32" s="1"/>
  <c r="DL49" i="32"/>
  <c r="AE49" i="32" s="1"/>
  <c r="EC49" i="32"/>
  <c r="ED49" i="32"/>
  <c r="CP49" i="32" s="1"/>
  <c r="EE49" i="32"/>
  <c r="CU49" i="32" s="1"/>
  <c r="CN50" i="32"/>
  <c r="CR50" i="32"/>
  <c r="DJ50" i="32"/>
  <c r="DK50" i="32"/>
  <c r="DL50" i="32"/>
  <c r="BG50" i="32" s="1"/>
  <c r="EC50" i="32"/>
  <c r="ED50" i="32"/>
  <c r="CP50" i="32" s="1"/>
  <c r="EE50" i="32"/>
  <c r="CQ50" i="32" s="1"/>
  <c r="L51" i="32"/>
  <c r="L98" i="32" s="1"/>
  <c r="AF99" i="32" s="1"/>
  <c r="P51" i="32"/>
  <c r="T51" i="32"/>
  <c r="T98" i="32" s="1"/>
  <c r="AN99" i="32" s="1"/>
  <c r="BH101" i="32" s="1"/>
  <c r="X51" i="32"/>
  <c r="AB51" i="32" s="1"/>
  <c r="BV51" i="32"/>
  <c r="CL51" i="32"/>
  <c r="CR51" i="32"/>
  <c r="DJ51" i="32"/>
  <c r="DK51" i="32"/>
  <c r="AP51" i="32" s="1"/>
  <c r="DL51" i="32"/>
  <c r="BG51" i="32" s="1"/>
  <c r="EC51" i="32"/>
  <c r="ED51" i="32"/>
  <c r="CP51" i="32" s="1"/>
  <c r="EE51" i="32"/>
  <c r="CQ51" i="32" s="1"/>
  <c r="L52" i="32"/>
  <c r="P52" i="32"/>
  <c r="T52" i="32"/>
  <c r="X52" i="32"/>
  <c r="AN52" i="32"/>
  <c r="BH54" i="32" s="1"/>
  <c r="AY52" i="32"/>
  <c r="BF52" i="32"/>
  <c r="BV52" i="32"/>
  <c r="CD52" i="32"/>
  <c r="CT52" i="32"/>
  <c r="CU52" i="32"/>
  <c r="DJ52" i="32"/>
  <c r="DK52" i="32"/>
  <c r="AP52" i="32" s="1"/>
  <c r="DL52" i="32"/>
  <c r="S52" i="32" s="1"/>
  <c r="EC52" i="32"/>
  <c r="ED52" i="32"/>
  <c r="CP52" i="32" s="1"/>
  <c r="EE52" i="32"/>
  <c r="CQ52" i="32" s="1"/>
  <c r="L53" i="32"/>
  <c r="N53" i="32"/>
  <c r="P53" i="32"/>
  <c r="R53" i="32"/>
  <c r="T53" i="32"/>
  <c r="X53" i="32"/>
  <c r="AL53" i="32"/>
  <c r="BF53" i="32"/>
  <c r="BN53" i="32"/>
  <c r="BZ53" i="32"/>
  <c r="CH53" i="32"/>
  <c r="CP53" i="32"/>
  <c r="CU53" i="32"/>
  <c r="DJ53" i="32"/>
  <c r="DK53" i="32"/>
  <c r="Z53" i="32" s="1"/>
  <c r="DL53" i="32"/>
  <c r="AI53" i="32" s="1"/>
  <c r="EC53" i="32"/>
  <c r="ED53" i="32"/>
  <c r="CT53" i="32" s="1"/>
  <c r="EE53" i="32"/>
  <c r="CQ53" i="32" s="1"/>
  <c r="L54" i="32"/>
  <c r="P54" i="32"/>
  <c r="T54" i="32"/>
  <c r="X54" i="32"/>
  <c r="BC54" i="32"/>
  <c r="CI54" i="32"/>
  <c r="DJ54" i="32"/>
  <c r="DK54" i="32"/>
  <c r="AX54" i="32" s="1"/>
  <c r="DL54" i="32"/>
  <c r="AI54" i="32" s="1"/>
  <c r="EC54" i="32"/>
  <c r="ED54" i="32"/>
  <c r="CP54" i="32" s="1"/>
  <c r="EE54" i="32"/>
  <c r="CQ54" i="32" s="1"/>
  <c r="L55" i="32"/>
  <c r="P55" i="32"/>
  <c r="T55" i="32"/>
  <c r="X55" i="32"/>
  <c r="AQ55" i="32"/>
  <c r="CD55" i="32"/>
  <c r="DJ55" i="32"/>
  <c r="DK55" i="32"/>
  <c r="R55" i="32" s="1"/>
  <c r="DL55" i="32"/>
  <c r="CE55" i="32" s="1"/>
  <c r="EC55" i="32"/>
  <c r="ED55" i="32"/>
  <c r="CP55" i="32" s="1"/>
  <c r="EE55" i="32"/>
  <c r="CU55" i="32" s="1"/>
  <c r="N34" i="32"/>
  <c r="V34" i="32"/>
  <c r="AL34" i="32"/>
  <c r="AT34" i="32"/>
  <c r="AX34" i="32"/>
  <c r="AZ34" i="32"/>
  <c r="BD34" i="32"/>
  <c r="BF34" i="32"/>
  <c r="BH34" i="32"/>
  <c r="BL34" i="32"/>
  <c r="BR34" i="32"/>
  <c r="BZ34" i="32"/>
  <c r="CL34" i="32"/>
  <c r="CU34" i="32"/>
  <c r="DJ34" i="32"/>
  <c r="DK34" i="32"/>
  <c r="BB34" i="32" s="1"/>
  <c r="DL34" i="32"/>
  <c r="O34" i="32" s="1"/>
  <c r="EC34" i="32"/>
  <c r="ED34" i="32"/>
  <c r="CP34" i="32" s="1"/>
  <c r="EE34" i="32"/>
  <c r="CQ34" i="32" s="1"/>
  <c r="O35" i="32"/>
  <c r="AH35" i="32"/>
  <c r="AM35" i="32"/>
  <c r="BC35" i="32"/>
  <c r="BK35" i="32"/>
  <c r="CA35" i="32"/>
  <c r="DJ35" i="32"/>
  <c r="DK35" i="32"/>
  <c r="V35" i="32" s="1"/>
  <c r="DL35" i="32"/>
  <c r="S35" i="32" s="1"/>
  <c r="EC35" i="32"/>
  <c r="ED35" i="32"/>
  <c r="CP35" i="32" s="1"/>
  <c r="EE35" i="32"/>
  <c r="CU35" i="32" s="1"/>
  <c r="L36" i="32"/>
  <c r="P36" i="32"/>
  <c r="AJ36" i="32" s="1"/>
  <c r="R36" i="32"/>
  <c r="T36" i="32"/>
  <c r="V36" i="32"/>
  <c r="X36" i="32"/>
  <c r="Z36" i="32"/>
  <c r="AD36" i="32"/>
  <c r="AL36" i="32"/>
  <c r="AN36" i="32"/>
  <c r="AR36" i="32"/>
  <c r="AT36" i="32"/>
  <c r="BH36" i="32"/>
  <c r="CB36" i="32" s="1"/>
  <c r="BJ36" i="32"/>
  <c r="BL36" i="32"/>
  <c r="BR36" i="32"/>
  <c r="BV36" i="32"/>
  <c r="CF36" i="32"/>
  <c r="CH36" i="32"/>
  <c r="CP36" i="32"/>
  <c r="CU36" i="32"/>
  <c r="DJ36" i="32"/>
  <c r="DK36" i="32"/>
  <c r="N36" i="32" s="1"/>
  <c r="DL36" i="32"/>
  <c r="AQ36" i="32" s="1"/>
  <c r="EC36" i="32"/>
  <c r="ED36" i="32"/>
  <c r="CT36" i="32" s="1"/>
  <c r="EE36" i="32"/>
  <c r="CQ36" i="32" s="1"/>
  <c r="S37" i="32"/>
  <c r="T37" i="32"/>
  <c r="BH37" i="32" s="1"/>
  <c r="CB37" i="32" s="1"/>
  <c r="AE37" i="32"/>
  <c r="AN37" i="32"/>
  <c r="AY37" i="32"/>
  <c r="BO37" i="32"/>
  <c r="CW37" i="32"/>
  <c r="CW49" i="32" s="1"/>
  <c r="L49" i="32" s="1"/>
  <c r="CX37" i="32"/>
  <c r="CY37" i="32"/>
  <c r="CY49" i="32" s="1"/>
  <c r="T49" i="32" s="1"/>
  <c r="CZ37" i="32"/>
  <c r="CZ49" i="32" s="1"/>
  <c r="X49" i="32" s="1"/>
  <c r="DJ37" i="32"/>
  <c r="DK37" i="32"/>
  <c r="AP37" i="32" s="1"/>
  <c r="DL37" i="32"/>
  <c r="CE37" i="32" s="1"/>
  <c r="EC37" i="32"/>
  <c r="ED37" i="32"/>
  <c r="EE37" i="32"/>
  <c r="CU37" i="32" s="1"/>
  <c r="L38" i="32"/>
  <c r="P38" i="32"/>
  <c r="S38" i="32"/>
  <c r="T38" i="32"/>
  <c r="AN38" i="32" s="1"/>
  <c r="W38" i="32"/>
  <c r="X38" i="32"/>
  <c r="AB38" i="32"/>
  <c r="AV38" i="32" s="1"/>
  <c r="BP38" i="32" s="1"/>
  <c r="AE38" i="32"/>
  <c r="AF38" i="32"/>
  <c r="AM38" i="32"/>
  <c r="AQ38" i="32"/>
  <c r="AR38" i="32"/>
  <c r="AZ38" i="32"/>
  <c r="BT38" i="32" s="1"/>
  <c r="BB38" i="32"/>
  <c r="BC38" i="32"/>
  <c r="BH38" i="32"/>
  <c r="BK38" i="32"/>
  <c r="BL38" i="32"/>
  <c r="CF38" i="32" s="1"/>
  <c r="CJ38" i="32" s="1"/>
  <c r="BS38" i="32"/>
  <c r="BW38" i="32"/>
  <c r="CB38" i="32"/>
  <c r="CI38" i="32"/>
  <c r="CM38" i="32"/>
  <c r="CU38" i="32"/>
  <c r="DJ38" i="32"/>
  <c r="DK38" i="32"/>
  <c r="CD38" i="32" s="1"/>
  <c r="DL38" i="32"/>
  <c r="O38" i="32" s="1"/>
  <c r="EC38" i="32"/>
  <c r="ED38" i="32"/>
  <c r="EE38" i="32"/>
  <c r="CQ38" i="32" s="1"/>
  <c r="L39" i="32"/>
  <c r="AF39" i="32" s="1"/>
  <c r="P39" i="32"/>
  <c r="AJ39" i="32" s="1"/>
  <c r="T39" i="32"/>
  <c r="X39" i="32"/>
  <c r="AI39" i="32"/>
  <c r="AZ39" i="32"/>
  <c r="BT39" i="32" s="1"/>
  <c r="BK39" i="32"/>
  <c r="CT39" i="32"/>
  <c r="DJ39" i="32"/>
  <c r="DK39" i="32"/>
  <c r="BZ39" i="32" s="1"/>
  <c r="DL39" i="32"/>
  <c r="S39" i="32" s="1"/>
  <c r="EC39" i="32"/>
  <c r="ED39" i="32"/>
  <c r="CP39" i="32" s="1"/>
  <c r="EE39" i="32"/>
  <c r="CU39" i="32" s="1"/>
  <c r="L40" i="32"/>
  <c r="P40" i="32"/>
  <c r="AJ40" i="32" s="1"/>
  <c r="T40" i="32"/>
  <c r="BH40" i="32" s="1"/>
  <c r="CB40" i="32" s="1"/>
  <c r="X40" i="32"/>
  <c r="AI40" i="32"/>
  <c r="AN40" i="32"/>
  <c r="AR40" i="32"/>
  <c r="BD40" i="32"/>
  <c r="BX40" i="32" s="1"/>
  <c r="BL40" i="32"/>
  <c r="CF40" i="32" s="1"/>
  <c r="BP40" i="32"/>
  <c r="CH40" i="32"/>
  <c r="DJ40" i="32"/>
  <c r="DK40" i="32"/>
  <c r="AP40" i="32" s="1"/>
  <c r="DL40" i="32"/>
  <c r="EC40" i="32"/>
  <c r="ED40" i="32"/>
  <c r="CP40" i="32" s="1"/>
  <c r="EE40" i="32"/>
  <c r="CQ40" i="32" s="1"/>
  <c r="L41" i="32"/>
  <c r="AF41" i="32" s="1"/>
  <c r="P41" i="32"/>
  <c r="AJ41" i="32" s="1"/>
  <c r="T41" i="32"/>
  <c r="BH41" i="32" s="1"/>
  <c r="CB41" i="32" s="1"/>
  <c r="X41" i="32"/>
  <c r="BL41" i="32" s="1"/>
  <c r="AH41" i="32"/>
  <c r="AN41" i="32"/>
  <c r="AR41" i="32"/>
  <c r="AZ41" i="32"/>
  <c r="BT41" i="32" s="1"/>
  <c r="BD41" i="32"/>
  <c r="BX41" i="32" s="1"/>
  <c r="BF41" i="32"/>
  <c r="BP41" i="32"/>
  <c r="CF41" i="32"/>
  <c r="CL41" i="32"/>
  <c r="DJ41" i="32"/>
  <c r="DK41" i="32"/>
  <c r="DL41" i="32"/>
  <c r="S41" i="32" s="1"/>
  <c r="EC41" i="32"/>
  <c r="ED41" i="32"/>
  <c r="CT41" i="32" s="1"/>
  <c r="EE41" i="32"/>
  <c r="CQ41" i="32" s="1"/>
  <c r="X42" i="32"/>
  <c r="BD42" i="32"/>
  <c r="BX42" i="32" s="1"/>
  <c r="CP42" i="32"/>
  <c r="CQ42" i="32"/>
  <c r="CT42" i="32"/>
  <c r="CW42" i="32"/>
  <c r="L42" i="32" s="1"/>
  <c r="AF42" i="32" s="1"/>
  <c r="CX42" i="32"/>
  <c r="P42" i="32" s="1"/>
  <c r="AJ42" i="32" s="1"/>
  <c r="CY42" i="32"/>
  <c r="T42" i="32" s="1"/>
  <c r="CZ42" i="32"/>
  <c r="DJ42" i="32"/>
  <c r="DK42" i="32"/>
  <c r="BF42" i="32" s="1"/>
  <c r="DL42" i="32"/>
  <c r="AU42" i="32" s="1"/>
  <c r="EC42" i="32"/>
  <c r="ED42" i="32"/>
  <c r="EE42" i="32"/>
  <c r="CU42" i="32" s="1"/>
  <c r="L43" i="32"/>
  <c r="P43" i="32"/>
  <c r="T43" i="32"/>
  <c r="T50" i="32" s="1"/>
  <c r="V43" i="32"/>
  <c r="X43" i="32"/>
  <c r="X50" i="32" s="1"/>
  <c r="AB43" i="32"/>
  <c r="AB50" i="32" s="1"/>
  <c r="AV50" i="32" s="1"/>
  <c r="BP50" i="32" s="1"/>
  <c r="AF43" i="32"/>
  <c r="AN43" i="32"/>
  <c r="AR43" i="32"/>
  <c r="AV43" i="32"/>
  <c r="BP43" i="32" s="1"/>
  <c r="BB43" i="32"/>
  <c r="BL43" i="32"/>
  <c r="CF43" i="32" s="1"/>
  <c r="BN43" i="32"/>
  <c r="CD43" i="32"/>
  <c r="CJ43" i="32"/>
  <c r="CJ50" i="32" s="1"/>
  <c r="CP43" i="32"/>
  <c r="DJ43" i="32"/>
  <c r="DK43" i="32"/>
  <c r="N43" i="32" s="1"/>
  <c r="DL43" i="32"/>
  <c r="AM43" i="32" s="1"/>
  <c r="EC43" i="32"/>
  <c r="ED43" i="32"/>
  <c r="CT43" i="32" s="1"/>
  <c r="EE43" i="32"/>
  <c r="CQ43" i="32" s="1"/>
  <c r="N44" i="32"/>
  <c r="X44" i="32"/>
  <c r="AB44" i="32" s="1"/>
  <c r="AV44" i="32" s="1"/>
  <c r="BP44" i="32" s="1"/>
  <c r="AD44" i="32"/>
  <c r="CP44" i="32"/>
  <c r="CW44" i="32"/>
  <c r="L44" i="32" s="1"/>
  <c r="CX44" i="32"/>
  <c r="P44" i="32" s="1"/>
  <c r="CY44" i="32"/>
  <c r="T44" i="32" s="1"/>
  <c r="AN44" i="32" s="1"/>
  <c r="CZ44" i="32"/>
  <c r="DJ44" i="32"/>
  <c r="DK44" i="32"/>
  <c r="Z44" i="32" s="1"/>
  <c r="DL44" i="32"/>
  <c r="CA44" i="32" s="1"/>
  <c r="EC44" i="32"/>
  <c r="ED44" i="32"/>
  <c r="CT44" i="32" s="1"/>
  <c r="EE44" i="32"/>
  <c r="AR23" i="32"/>
  <c r="P25" i="32"/>
  <c r="AB25" i="32"/>
  <c r="BX25" i="32"/>
  <c r="BH27" i="32"/>
  <c r="CN27" i="32"/>
  <c r="L29" i="32"/>
  <c r="P29" i="32"/>
  <c r="AJ31" i="32" s="1"/>
  <c r="T29" i="32"/>
  <c r="X29" i="32"/>
  <c r="AM29" i="32"/>
  <c r="CI29" i="32"/>
  <c r="DJ29" i="32"/>
  <c r="DK29" i="32"/>
  <c r="DL29" i="32"/>
  <c r="O29" i="32" s="1"/>
  <c r="EC29" i="32"/>
  <c r="ED29" i="32"/>
  <c r="CP29" i="32" s="1"/>
  <c r="EE29" i="32"/>
  <c r="CQ29" i="32" s="1"/>
  <c r="L30" i="32"/>
  <c r="P30" i="32"/>
  <c r="T30" i="32"/>
  <c r="X30" i="32"/>
  <c r="DJ30" i="32"/>
  <c r="DK30" i="32"/>
  <c r="N30" i="32" s="1"/>
  <c r="DL30" i="32"/>
  <c r="O30" i="32" s="1"/>
  <c r="EC30" i="32"/>
  <c r="ED30" i="32"/>
  <c r="CP30" i="32" s="1"/>
  <c r="EE30" i="32"/>
  <c r="CQ30" i="32" s="1"/>
  <c r="W31" i="32"/>
  <c r="AE31" i="32"/>
  <c r="AI31" i="32"/>
  <c r="AN31" i="32"/>
  <c r="BH32" i="32" s="1"/>
  <c r="AQ31" i="32"/>
  <c r="AU31" i="32"/>
  <c r="AV31" i="32"/>
  <c r="BP32" i="32" s="1"/>
  <c r="AY31" i="32"/>
  <c r="BK31" i="32"/>
  <c r="BS31" i="32"/>
  <c r="BW31" i="32"/>
  <c r="CI31" i="32"/>
  <c r="CM31" i="32"/>
  <c r="DJ31" i="32"/>
  <c r="DK31" i="32"/>
  <c r="Z31" i="32" s="1"/>
  <c r="DL31" i="32"/>
  <c r="S31" i="32" s="1"/>
  <c r="EC31" i="32"/>
  <c r="ED31" i="32"/>
  <c r="CT31" i="32" s="1"/>
  <c r="EE31" i="32"/>
  <c r="CQ31" i="32" s="1"/>
  <c r="Z32" i="32"/>
  <c r="AE32" i="32"/>
  <c r="BB32" i="32"/>
  <c r="BJ32" i="32"/>
  <c r="BN32" i="32"/>
  <c r="BV32" i="32"/>
  <c r="BZ32" i="32"/>
  <c r="CD32" i="32"/>
  <c r="CH32" i="32"/>
  <c r="CL32" i="32"/>
  <c r="DJ32" i="32"/>
  <c r="DK32" i="32"/>
  <c r="N32" i="32" s="1"/>
  <c r="DL32" i="32"/>
  <c r="AA32" i="32" s="1"/>
  <c r="EC32" i="32"/>
  <c r="ED32" i="32"/>
  <c r="EE32" i="32"/>
  <c r="CU32" i="32" s="1"/>
  <c r="AA33" i="32"/>
  <c r="BG33" i="32"/>
  <c r="BW33" i="32"/>
  <c r="CE33" i="32"/>
  <c r="CJ33" i="32"/>
  <c r="DJ33" i="32"/>
  <c r="DK33" i="32"/>
  <c r="N33" i="32" s="1"/>
  <c r="DL33" i="32"/>
  <c r="O33" i="32" s="1"/>
  <c r="EC33" i="32"/>
  <c r="ED33" i="32"/>
  <c r="CP33" i="32" s="1"/>
  <c r="EE33" i="32"/>
  <c r="CU33" i="32" s="1"/>
  <c r="AB12" i="32"/>
  <c r="BH12" i="32"/>
  <c r="CN12" i="32"/>
  <c r="P13" i="32"/>
  <c r="AV13" i="32"/>
  <c r="CN13" i="32"/>
  <c r="CN14" i="32"/>
  <c r="L16" i="32"/>
  <c r="AR16" i="32"/>
  <c r="BX16" i="32"/>
  <c r="AB17" i="32"/>
  <c r="BH17" i="32"/>
  <c r="CB17" i="32"/>
  <c r="AB18" i="32"/>
  <c r="BH18" i="32"/>
  <c r="CR19" i="32"/>
  <c r="AB20" i="32"/>
  <c r="BH20" i="32"/>
  <c r="CN20" i="32"/>
  <c r="P21" i="32"/>
  <c r="AV21" i="32"/>
  <c r="AZ21" i="32"/>
  <c r="CN21" i="32"/>
  <c r="CN22" i="32"/>
  <c r="L1" i="32"/>
  <c r="L24" i="32" s="1"/>
  <c r="P1" i="32"/>
  <c r="P23" i="32" s="1"/>
  <c r="T1" i="32"/>
  <c r="T25" i="32" s="1"/>
  <c r="X1" i="32"/>
  <c r="X13" i="32" s="1"/>
  <c r="AB1" i="32"/>
  <c r="AB26" i="32" s="1"/>
  <c r="AF1" i="32"/>
  <c r="AF19" i="32" s="1"/>
  <c r="AJ1" i="32"/>
  <c r="AJ24" i="32" s="1"/>
  <c r="AN1" i="32"/>
  <c r="AN15" i="32" s="1"/>
  <c r="AR1" i="32"/>
  <c r="AR24" i="32" s="1"/>
  <c r="AV1" i="32"/>
  <c r="AV23" i="32" s="1"/>
  <c r="AZ1" i="32"/>
  <c r="AZ25" i="32" s="1"/>
  <c r="BD1" i="32"/>
  <c r="BD23" i="32" s="1"/>
  <c r="BH1" i="32"/>
  <c r="BH26" i="32" s="1"/>
  <c r="BL1" i="32"/>
  <c r="BL19" i="32" s="1"/>
  <c r="BP1" i="32"/>
  <c r="BP24" i="32" s="1"/>
  <c r="BT1" i="32"/>
  <c r="BT15" i="32" s="1"/>
  <c r="BX1" i="32"/>
  <c r="BX24" i="32" s="1"/>
  <c r="CB1" i="32"/>
  <c r="CB23" i="32" s="1"/>
  <c r="CF1" i="32"/>
  <c r="CF25" i="32" s="1"/>
  <c r="CJ1" i="32"/>
  <c r="CJ13" i="32" s="1"/>
  <c r="CN1" i="32"/>
  <c r="CN26" i="32" s="1"/>
  <c r="CR1" i="32"/>
  <c r="CR27" i="32" s="1"/>
  <c r="L7" i="32"/>
  <c r="T7" i="32"/>
  <c r="AB7" i="32"/>
  <c r="AR7" i="32"/>
  <c r="BH7" i="32"/>
  <c r="BT7" i="32"/>
  <c r="BX7" i="32"/>
  <c r="CN7" i="32"/>
  <c r="P8" i="32"/>
  <c r="AB8" i="32"/>
  <c r="AV8" i="32"/>
  <c r="AZ8" i="32"/>
  <c r="BD8" i="32"/>
  <c r="BH8" i="32"/>
  <c r="CB8" i="32"/>
  <c r="CF8" i="32"/>
  <c r="CN8" i="32"/>
  <c r="L9" i="32"/>
  <c r="X9" i="32"/>
  <c r="AB9" i="32"/>
  <c r="AR9" i="32"/>
  <c r="BD9" i="32"/>
  <c r="BH9" i="32"/>
  <c r="BX9" i="32"/>
  <c r="CJ9" i="32"/>
  <c r="CN9" i="32"/>
  <c r="L10" i="32"/>
  <c r="P10" i="32"/>
  <c r="T10" i="32"/>
  <c r="AB10" i="32"/>
  <c r="AF10" i="32"/>
  <c r="AJ10" i="32"/>
  <c r="AR10" i="32"/>
  <c r="AV10" i="32"/>
  <c r="AZ10" i="32"/>
  <c r="BH10" i="32"/>
  <c r="BL10" i="32"/>
  <c r="BP10" i="32"/>
  <c r="BX10" i="32"/>
  <c r="CB10" i="32"/>
  <c r="CF10" i="32"/>
  <c r="CN10" i="32"/>
  <c r="CR10" i="32"/>
  <c r="L11" i="32"/>
  <c r="AB11" i="32"/>
  <c r="AN11" i="32"/>
  <c r="AR11" i="32"/>
  <c r="BH11" i="32"/>
  <c r="BX11" i="32"/>
  <c r="CF11" i="32"/>
  <c r="CJ11" i="32"/>
  <c r="CN11" i="32"/>
  <c r="AI121" i="31"/>
  <c r="AJ121" i="31"/>
  <c r="AK121" i="31"/>
  <c r="BB121" i="31"/>
  <c r="BC121" i="31"/>
  <c r="BD121" i="31"/>
  <c r="S121" i="31" s="1"/>
  <c r="V123" i="31"/>
  <c r="U124" i="31"/>
  <c r="U123" i="31" s="1"/>
  <c r="L125" i="31"/>
  <c r="AI97" i="31"/>
  <c r="AJ97" i="31"/>
  <c r="AK97" i="31"/>
  <c r="BB97" i="31"/>
  <c r="BC97" i="31"/>
  <c r="BD97" i="31"/>
  <c r="S97" i="31" s="1"/>
  <c r="AI98" i="31"/>
  <c r="AJ98" i="31"/>
  <c r="AK98" i="31"/>
  <c r="BB98" i="31"/>
  <c r="BC98" i="31"/>
  <c r="BD98" i="31"/>
  <c r="S98" i="31" s="1"/>
  <c r="S99" i="31"/>
  <c r="AI99" i="31"/>
  <c r="AJ99" i="31"/>
  <c r="AK99" i="31"/>
  <c r="BB99" i="31"/>
  <c r="BC99" i="31"/>
  <c r="BD99" i="31"/>
  <c r="AI100" i="31"/>
  <c r="AJ100" i="31"/>
  <c r="AK100" i="31"/>
  <c r="BB100" i="31"/>
  <c r="BC100" i="31"/>
  <c r="BD100" i="31"/>
  <c r="S100" i="31" s="1"/>
  <c r="AI101" i="31"/>
  <c r="AJ101" i="31"/>
  <c r="AK101" i="31"/>
  <c r="BB101" i="31"/>
  <c r="BC101" i="31"/>
  <c r="BD101" i="31"/>
  <c r="S101" i="31" s="1"/>
  <c r="AI102" i="31"/>
  <c r="AJ102" i="31"/>
  <c r="AK102" i="31"/>
  <c r="BB102" i="31"/>
  <c r="BC102" i="31"/>
  <c r="BD102" i="31"/>
  <c r="S102" i="31" s="1"/>
  <c r="AI103" i="31"/>
  <c r="AJ103" i="31"/>
  <c r="AK103" i="31"/>
  <c r="BB103" i="31"/>
  <c r="BC103" i="31"/>
  <c r="BD103" i="31"/>
  <c r="S103" i="31" s="1"/>
  <c r="AI104" i="31"/>
  <c r="AJ104" i="31"/>
  <c r="AK104" i="31"/>
  <c r="BB104" i="31"/>
  <c r="BC104" i="31"/>
  <c r="BD104" i="31"/>
  <c r="S104" i="31" s="1"/>
  <c r="AI105" i="31"/>
  <c r="AJ105" i="31"/>
  <c r="AK105" i="31"/>
  <c r="BB105" i="31"/>
  <c r="BC105" i="31"/>
  <c r="BD105" i="31"/>
  <c r="S105" i="31" s="1"/>
  <c r="AI106" i="31"/>
  <c r="AJ106" i="31"/>
  <c r="AK106" i="31"/>
  <c r="BB106" i="31"/>
  <c r="BC106" i="31"/>
  <c r="BD106" i="31"/>
  <c r="S106" i="31" s="1"/>
  <c r="AI107" i="31"/>
  <c r="AJ107" i="31"/>
  <c r="AK107" i="31"/>
  <c r="BB107" i="31"/>
  <c r="BC107" i="31"/>
  <c r="BD107" i="31"/>
  <c r="S107" i="31" s="1"/>
  <c r="AI108" i="31"/>
  <c r="AJ108" i="31"/>
  <c r="AK108" i="31"/>
  <c r="BB108" i="31"/>
  <c r="BC108" i="31"/>
  <c r="BD108" i="31"/>
  <c r="S108" i="31" s="1"/>
  <c r="S109" i="31"/>
  <c r="AI109" i="31"/>
  <c r="AJ109" i="31"/>
  <c r="AK109" i="31"/>
  <c r="BB109" i="31"/>
  <c r="BC109" i="31"/>
  <c r="BD109" i="31"/>
  <c r="AI110" i="31"/>
  <c r="AJ110" i="31"/>
  <c r="AK110" i="31"/>
  <c r="BB110" i="31"/>
  <c r="BC110" i="31"/>
  <c r="BD110" i="31"/>
  <c r="S110" i="31" s="1"/>
  <c r="S111" i="31"/>
  <c r="AI111" i="31"/>
  <c r="AJ111" i="31"/>
  <c r="AK111" i="31"/>
  <c r="BB111" i="31"/>
  <c r="BC111" i="31"/>
  <c r="BD111" i="31"/>
  <c r="AI112" i="31"/>
  <c r="AJ112" i="31"/>
  <c r="AK112" i="31"/>
  <c r="BB112" i="31"/>
  <c r="BC112" i="31"/>
  <c r="BD112" i="31"/>
  <c r="S112" i="31" s="1"/>
  <c r="AI113" i="31"/>
  <c r="AJ113" i="31"/>
  <c r="AK113" i="31"/>
  <c r="BB113" i="31"/>
  <c r="BC113" i="31"/>
  <c r="BD113" i="31"/>
  <c r="S113" i="31" s="1"/>
  <c r="AI114" i="31"/>
  <c r="AJ114" i="31"/>
  <c r="AK114" i="31"/>
  <c r="BB114" i="31"/>
  <c r="BC114" i="31"/>
  <c r="BD114" i="31"/>
  <c r="S114" i="31" s="1"/>
  <c r="AI115" i="31"/>
  <c r="AJ115" i="31"/>
  <c r="AK115" i="31"/>
  <c r="BB115" i="31"/>
  <c r="BC115" i="31"/>
  <c r="BD115" i="31"/>
  <c r="S115" i="31" s="1"/>
  <c r="AI116" i="31"/>
  <c r="AJ116" i="31"/>
  <c r="AK116" i="31"/>
  <c r="BB116" i="31"/>
  <c r="BC116" i="31"/>
  <c r="BD116" i="31"/>
  <c r="S116" i="31" s="1"/>
  <c r="AI117" i="31"/>
  <c r="AJ117" i="31"/>
  <c r="AK117" i="31"/>
  <c r="BB117" i="31"/>
  <c r="BC117" i="31"/>
  <c r="BD117" i="31"/>
  <c r="S117" i="31" s="1"/>
  <c r="AI118" i="31"/>
  <c r="AJ118" i="31"/>
  <c r="AK118" i="31"/>
  <c r="BB118" i="31"/>
  <c r="BC118" i="31"/>
  <c r="BD118" i="31"/>
  <c r="S118" i="31" s="1"/>
  <c r="AI119" i="31"/>
  <c r="AJ119" i="31"/>
  <c r="AK119" i="31"/>
  <c r="BB119" i="31"/>
  <c r="BC119" i="31"/>
  <c r="BD119" i="31"/>
  <c r="S119" i="31" s="1"/>
  <c r="V120" i="31"/>
  <c r="Y120" i="31"/>
  <c r="AI120" i="31"/>
  <c r="AJ120" i="31"/>
  <c r="AK120" i="31"/>
  <c r="BB120" i="31"/>
  <c r="BC120" i="31"/>
  <c r="BD120" i="31"/>
  <c r="S120" i="31" s="1"/>
  <c r="AI73" i="31"/>
  <c r="AJ73" i="31"/>
  <c r="AK73" i="31"/>
  <c r="BB73" i="31"/>
  <c r="BC73" i="31"/>
  <c r="BD73" i="31"/>
  <c r="S73" i="31" s="1"/>
  <c r="AI74" i="31"/>
  <c r="AJ74" i="31"/>
  <c r="AK74" i="31"/>
  <c r="BB74" i="31"/>
  <c r="BC74" i="31"/>
  <c r="BD74" i="31"/>
  <c r="S74" i="31" s="1"/>
  <c r="AI75" i="31"/>
  <c r="AJ75" i="31"/>
  <c r="AK75" i="31"/>
  <c r="BB75" i="31"/>
  <c r="BC75" i="31"/>
  <c r="BD75" i="31"/>
  <c r="S75" i="31" s="1"/>
  <c r="AI76" i="31"/>
  <c r="AJ76" i="31"/>
  <c r="AK76" i="31"/>
  <c r="BB76" i="31"/>
  <c r="BC76" i="31"/>
  <c r="BD76" i="31"/>
  <c r="S76" i="31" s="1"/>
  <c r="AI77" i="31"/>
  <c r="AJ77" i="31"/>
  <c r="AK77" i="31"/>
  <c r="BB77" i="31"/>
  <c r="BC77" i="31"/>
  <c r="BD77" i="31"/>
  <c r="S77" i="31" s="1"/>
  <c r="AI78" i="31"/>
  <c r="AJ78" i="31"/>
  <c r="AK78" i="31"/>
  <c r="BB78" i="31"/>
  <c r="BC78" i="31"/>
  <c r="BD78" i="31"/>
  <c r="S78" i="31" s="1"/>
  <c r="AI79" i="31"/>
  <c r="AJ79" i="31"/>
  <c r="AK79" i="31"/>
  <c r="BB79" i="31"/>
  <c r="BC79" i="31"/>
  <c r="BD79" i="31"/>
  <c r="S79" i="31" s="1"/>
  <c r="S80" i="31"/>
  <c r="AI80" i="31"/>
  <c r="AJ80" i="31"/>
  <c r="AK80" i="31"/>
  <c r="BB80" i="31"/>
  <c r="BC80" i="31"/>
  <c r="BD80" i="31"/>
  <c r="AI81" i="31"/>
  <c r="AJ81" i="31"/>
  <c r="AK81" i="31"/>
  <c r="BB81" i="31"/>
  <c r="BC81" i="31"/>
  <c r="BD81" i="31"/>
  <c r="S81" i="31" s="1"/>
  <c r="AI82" i="31"/>
  <c r="AJ82" i="31"/>
  <c r="AK82" i="31"/>
  <c r="BB82" i="31"/>
  <c r="BC82" i="31"/>
  <c r="BD82" i="31"/>
  <c r="S82" i="31" s="1"/>
  <c r="AI83" i="31"/>
  <c r="AJ83" i="31"/>
  <c r="AK83" i="31"/>
  <c r="BB83" i="31"/>
  <c r="BC83" i="31"/>
  <c r="BD83" i="31"/>
  <c r="S83" i="31" s="1"/>
  <c r="AI84" i="31"/>
  <c r="AJ84" i="31"/>
  <c r="AK84" i="31"/>
  <c r="BB84" i="31"/>
  <c r="BC84" i="31"/>
  <c r="BD84" i="31"/>
  <c r="S84" i="31" s="1"/>
  <c r="AI85" i="31"/>
  <c r="AJ85" i="31"/>
  <c r="AK85" i="31"/>
  <c r="BB85" i="31"/>
  <c r="BC85" i="31"/>
  <c r="BD85" i="31"/>
  <c r="S85" i="31" s="1"/>
  <c r="AI86" i="31"/>
  <c r="AJ86" i="31"/>
  <c r="AK86" i="31"/>
  <c r="BB86" i="31"/>
  <c r="BC86" i="31"/>
  <c r="R86" i="31" s="1"/>
  <c r="BD86" i="31"/>
  <c r="S86" i="31" s="1"/>
  <c r="AI87" i="31"/>
  <c r="AJ87" i="31"/>
  <c r="AK87" i="31"/>
  <c r="BB87" i="31"/>
  <c r="BC87" i="31"/>
  <c r="BD87" i="31"/>
  <c r="S87" i="31" s="1"/>
  <c r="S88" i="31"/>
  <c r="AI88" i="31"/>
  <c r="AJ88" i="31"/>
  <c r="AK88" i="31"/>
  <c r="BB88" i="31"/>
  <c r="BC88" i="31"/>
  <c r="BD88" i="31"/>
  <c r="AI89" i="31"/>
  <c r="AJ89" i="31"/>
  <c r="AK89" i="31"/>
  <c r="BB89" i="31"/>
  <c r="BC89" i="31"/>
  <c r="BD89" i="31"/>
  <c r="S89" i="31" s="1"/>
  <c r="AI90" i="31"/>
  <c r="AJ90" i="31"/>
  <c r="AK90" i="31"/>
  <c r="BB90" i="31"/>
  <c r="BC90" i="31"/>
  <c r="BD90" i="31"/>
  <c r="S90" i="31" s="1"/>
  <c r="AI91" i="31"/>
  <c r="AJ91" i="31"/>
  <c r="AK91" i="31"/>
  <c r="BB91" i="31"/>
  <c r="BC91" i="31"/>
  <c r="BD91" i="31"/>
  <c r="S91" i="31" s="1"/>
  <c r="S92" i="31"/>
  <c r="AI92" i="31"/>
  <c r="AJ92" i="31"/>
  <c r="AK92" i="31"/>
  <c r="BB92" i="31"/>
  <c r="BC92" i="31"/>
  <c r="BD92" i="31"/>
  <c r="S93" i="31"/>
  <c r="AI93" i="31"/>
  <c r="AJ93" i="31"/>
  <c r="AK93" i="31"/>
  <c r="BB93" i="31"/>
  <c r="BC93" i="31"/>
  <c r="BD93" i="31"/>
  <c r="AI94" i="31"/>
  <c r="AJ94" i="31"/>
  <c r="AK94" i="31"/>
  <c r="BB94" i="31"/>
  <c r="BC94" i="31"/>
  <c r="BD94" i="31"/>
  <c r="S94" i="31" s="1"/>
  <c r="S95" i="31"/>
  <c r="AI95" i="31"/>
  <c r="AJ95" i="31"/>
  <c r="AK95" i="31"/>
  <c r="BB95" i="31"/>
  <c r="BC95" i="31"/>
  <c r="BD95" i="31"/>
  <c r="AI96" i="31"/>
  <c r="AJ96" i="31"/>
  <c r="AK96" i="31"/>
  <c r="BB96" i="31"/>
  <c r="BC96" i="31"/>
  <c r="BD96" i="31"/>
  <c r="S96" i="31" s="1"/>
  <c r="AI49" i="31"/>
  <c r="AJ49" i="31"/>
  <c r="AK49" i="31"/>
  <c r="BB49" i="31"/>
  <c r="BC49" i="31"/>
  <c r="BD49" i="31"/>
  <c r="S49" i="31" s="1"/>
  <c r="S50" i="31"/>
  <c r="AI50" i="31"/>
  <c r="AJ50" i="31"/>
  <c r="AK50" i="31"/>
  <c r="BB50" i="31"/>
  <c r="BC50" i="31"/>
  <c r="BD50" i="31"/>
  <c r="AI51" i="31"/>
  <c r="AJ51" i="31"/>
  <c r="AK51" i="31"/>
  <c r="BB51" i="31"/>
  <c r="BC51" i="31"/>
  <c r="BD51" i="31"/>
  <c r="S51" i="31" s="1"/>
  <c r="AI52" i="31"/>
  <c r="AJ52" i="31"/>
  <c r="AK52" i="31"/>
  <c r="BB52" i="31"/>
  <c r="BC52" i="31"/>
  <c r="BD52" i="31"/>
  <c r="S52" i="31" s="1"/>
  <c r="AI53" i="31"/>
  <c r="AJ53" i="31"/>
  <c r="AK53" i="31"/>
  <c r="BB53" i="31"/>
  <c r="BC53" i="31"/>
  <c r="BD53" i="31"/>
  <c r="S53" i="31" s="1"/>
  <c r="S54" i="31"/>
  <c r="AI54" i="31"/>
  <c r="AJ54" i="31"/>
  <c r="AK54" i="31"/>
  <c r="BB54" i="31"/>
  <c r="BC54" i="31"/>
  <c r="BD54" i="31"/>
  <c r="AI55" i="31"/>
  <c r="AJ55" i="31"/>
  <c r="AK55" i="31"/>
  <c r="BB55" i="31"/>
  <c r="BC55" i="31"/>
  <c r="BD55" i="31"/>
  <c r="S55" i="31" s="1"/>
  <c r="AI56" i="31"/>
  <c r="AJ56" i="31"/>
  <c r="AK56" i="31"/>
  <c r="BB56" i="31"/>
  <c r="BC56" i="31"/>
  <c r="BD56" i="31"/>
  <c r="S56" i="31" s="1"/>
  <c r="AI57" i="31"/>
  <c r="AJ57" i="31"/>
  <c r="AK57" i="31"/>
  <c r="BB57" i="31"/>
  <c r="BC57" i="31"/>
  <c r="BD57" i="31"/>
  <c r="S57" i="31" s="1"/>
  <c r="AI58" i="31"/>
  <c r="AJ58" i="31"/>
  <c r="AK58" i="31"/>
  <c r="BB58" i="31"/>
  <c r="BC58" i="31"/>
  <c r="BD58" i="31"/>
  <c r="S58" i="31" s="1"/>
  <c r="AI59" i="31"/>
  <c r="AJ59" i="31"/>
  <c r="AK59" i="31"/>
  <c r="BB59" i="31"/>
  <c r="BC59" i="31"/>
  <c r="BD59" i="31"/>
  <c r="S59" i="31" s="1"/>
  <c r="AI60" i="31"/>
  <c r="AJ60" i="31"/>
  <c r="AK60" i="31"/>
  <c r="BB60" i="31"/>
  <c r="BC60" i="31"/>
  <c r="BD60" i="31"/>
  <c r="S60" i="31" s="1"/>
  <c r="AI61" i="31"/>
  <c r="AJ61" i="31"/>
  <c r="AK61" i="31"/>
  <c r="BB61" i="31"/>
  <c r="BC61" i="31"/>
  <c r="BD61" i="31"/>
  <c r="S61" i="31" s="1"/>
  <c r="AI62" i="31"/>
  <c r="AJ62" i="31"/>
  <c r="AK62" i="31"/>
  <c r="BB62" i="31"/>
  <c r="BC62" i="31"/>
  <c r="BD62" i="31"/>
  <c r="S62" i="31" s="1"/>
  <c r="S63" i="31"/>
  <c r="AI63" i="31"/>
  <c r="AJ63" i="31"/>
  <c r="AK63" i="31"/>
  <c r="BB63" i="31"/>
  <c r="BC63" i="31"/>
  <c r="BD63" i="31"/>
  <c r="AI64" i="31"/>
  <c r="AJ64" i="31"/>
  <c r="AK64" i="31"/>
  <c r="BB64" i="31"/>
  <c r="BC64" i="31"/>
  <c r="BD64" i="31"/>
  <c r="S64" i="31" s="1"/>
  <c r="S65" i="31"/>
  <c r="AI65" i="31"/>
  <c r="AJ65" i="31"/>
  <c r="AK65" i="31"/>
  <c r="BB65" i="31"/>
  <c r="BC65" i="31"/>
  <c r="BD65" i="31"/>
  <c r="AI66" i="31"/>
  <c r="AJ66" i="31"/>
  <c r="AK66" i="31"/>
  <c r="BB66" i="31"/>
  <c r="BC66" i="31"/>
  <c r="BD66" i="31"/>
  <c r="S66" i="31" s="1"/>
  <c r="AI67" i="31"/>
  <c r="AJ67" i="31"/>
  <c r="AK67" i="31"/>
  <c r="BB67" i="31"/>
  <c r="BC67" i="31"/>
  <c r="BD67" i="31"/>
  <c r="S67" i="31" s="1"/>
  <c r="AI68" i="31"/>
  <c r="AJ68" i="31"/>
  <c r="AK68" i="31"/>
  <c r="BB68" i="31"/>
  <c r="BC68" i="31"/>
  <c r="BD68" i="31"/>
  <c r="S68" i="31" s="1"/>
  <c r="AI69" i="31"/>
  <c r="AJ69" i="31"/>
  <c r="AK69" i="31"/>
  <c r="BB69" i="31"/>
  <c r="BC69" i="31"/>
  <c r="BD69" i="31"/>
  <c r="S69" i="31" s="1"/>
  <c r="AI70" i="31"/>
  <c r="AJ70" i="31"/>
  <c r="AK70" i="31"/>
  <c r="BB70" i="31"/>
  <c r="BC70" i="31"/>
  <c r="BD70" i="31"/>
  <c r="S70" i="31" s="1"/>
  <c r="S71" i="31"/>
  <c r="AI71" i="31"/>
  <c r="AJ71" i="31"/>
  <c r="AK71" i="31"/>
  <c r="BB71" i="31"/>
  <c r="BC71" i="31"/>
  <c r="BD71" i="31"/>
  <c r="AI72" i="31"/>
  <c r="AJ72" i="31"/>
  <c r="AK72" i="31"/>
  <c r="BB72" i="31"/>
  <c r="BC72" i="31"/>
  <c r="BD72" i="31"/>
  <c r="S72" i="31" s="1"/>
  <c r="AI25" i="31"/>
  <c r="AJ25" i="31"/>
  <c r="AK25" i="31"/>
  <c r="BB25" i="31"/>
  <c r="BC25" i="31"/>
  <c r="BD25" i="31"/>
  <c r="S25" i="31" s="1"/>
  <c r="AI26" i="31"/>
  <c r="AJ26" i="31"/>
  <c r="AK26" i="31"/>
  <c r="BB26" i="31"/>
  <c r="BC26" i="31"/>
  <c r="BD26" i="31"/>
  <c r="S26" i="31" s="1"/>
  <c r="AI27" i="31"/>
  <c r="AJ27" i="31"/>
  <c r="AK27" i="31"/>
  <c r="BB27" i="31"/>
  <c r="BC27" i="31"/>
  <c r="BD27" i="31"/>
  <c r="S27" i="31" s="1"/>
  <c r="S28" i="31"/>
  <c r="AI28" i="31"/>
  <c r="AJ28" i="31"/>
  <c r="AK28" i="31"/>
  <c r="BB28" i="31"/>
  <c r="BC28" i="31"/>
  <c r="BD28" i="31"/>
  <c r="AI29" i="31"/>
  <c r="AJ29" i="31"/>
  <c r="AK29" i="31"/>
  <c r="BB29" i="31"/>
  <c r="BC29" i="31"/>
  <c r="BD29" i="31"/>
  <c r="S29" i="31" s="1"/>
  <c r="S30" i="31"/>
  <c r="AI30" i="31"/>
  <c r="AJ30" i="31"/>
  <c r="AK30" i="31"/>
  <c r="BB30" i="31"/>
  <c r="BC30" i="31"/>
  <c r="BD30" i="31"/>
  <c r="AI31" i="31"/>
  <c r="AJ31" i="31"/>
  <c r="AK31" i="31"/>
  <c r="BB31" i="31"/>
  <c r="BC31" i="31"/>
  <c r="BD31" i="31"/>
  <c r="S31" i="31" s="1"/>
  <c r="S32" i="31"/>
  <c r="AI32" i="31"/>
  <c r="AJ32" i="31"/>
  <c r="AK32" i="31"/>
  <c r="BB32" i="31"/>
  <c r="BC32" i="31"/>
  <c r="BD32" i="31"/>
  <c r="AI33" i="31"/>
  <c r="AJ33" i="31"/>
  <c r="AK33" i="31"/>
  <c r="BB33" i="31"/>
  <c r="BC33" i="31"/>
  <c r="BD33" i="31"/>
  <c r="S33" i="31" s="1"/>
  <c r="AI34" i="31"/>
  <c r="AJ34" i="31"/>
  <c r="AK34" i="31"/>
  <c r="BB34" i="31"/>
  <c r="BC34" i="31"/>
  <c r="BD34" i="31"/>
  <c r="S34" i="31" s="1"/>
  <c r="AI35" i="31"/>
  <c r="AJ35" i="31"/>
  <c r="AK35" i="31"/>
  <c r="BB35" i="31"/>
  <c r="BC35" i="31"/>
  <c r="BD35" i="31"/>
  <c r="S35" i="31" s="1"/>
  <c r="AI36" i="31"/>
  <c r="AJ36" i="31"/>
  <c r="AK36" i="31"/>
  <c r="BB36" i="31"/>
  <c r="BC36" i="31"/>
  <c r="BD36" i="31"/>
  <c r="S36" i="31" s="1"/>
  <c r="S37" i="31"/>
  <c r="AI37" i="31"/>
  <c r="AJ37" i="31"/>
  <c r="AK37" i="31"/>
  <c r="BB37" i="31"/>
  <c r="BC37" i="31"/>
  <c r="BD37" i="31"/>
  <c r="AI38" i="31"/>
  <c r="AJ38" i="31"/>
  <c r="AK38" i="31"/>
  <c r="BB38" i="31"/>
  <c r="BC38" i="31"/>
  <c r="BD38" i="31"/>
  <c r="S38" i="31" s="1"/>
  <c r="AI39" i="31"/>
  <c r="AJ39" i="31"/>
  <c r="AK39" i="31"/>
  <c r="BB39" i="31"/>
  <c r="BC39" i="31"/>
  <c r="BD39" i="31"/>
  <c r="S39" i="31" s="1"/>
  <c r="AI40" i="31"/>
  <c r="AJ40" i="31"/>
  <c r="AK40" i="31"/>
  <c r="BB40" i="31"/>
  <c r="BC40" i="31"/>
  <c r="BD40" i="31"/>
  <c r="S40" i="31" s="1"/>
  <c r="AI41" i="31"/>
  <c r="AJ41" i="31"/>
  <c r="AK41" i="31"/>
  <c r="BB41" i="31"/>
  <c r="BC41" i="31"/>
  <c r="BD41" i="31"/>
  <c r="S41" i="31" s="1"/>
  <c r="AI42" i="31"/>
  <c r="AJ42" i="31"/>
  <c r="AK42" i="31"/>
  <c r="BB42" i="31"/>
  <c r="BC42" i="31"/>
  <c r="BD42" i="31"/>
  <c r="S42" i="31" s="1"/>
  <c r="S43" i="31"/>
  <c r="AI43" i="31"/>
  <c r="AJ43" i="31"/>
  <c r="AK43" i="31"/>
  <c r="BB43" i="31"/>
  <c r="BC43" i="31"/>
  <c r="BD43" i="31"/>
  <c r="AI44" i="31"/>
  <c r="AJ44" i="31"/>
  <c r="AK44" i="31"/>
  <c r="BB44" i="31"/>
  <c r="BC44" i="31"/>
  <c r="BD44" i="31"/>
  <c r="S44" i="31" s="1"/>
  <c r="AI45" i="31"/>
  <c r="AJ45" i="31"/>
  <c r="AK45" i="31"/>
  <c r="BB45" i="31"/>
  <c r="BC45" i="31"/>
  <c r="BD45" i="31"/>
  <c r="S45" i="31" s="1"/>
  <c r="AI46" i="31"/>
  <c r="AJ46" i="31"/>
  <c r="AK46" i="31"/>
  <c r="BB46" i="31"/>
  <c r="BC46" i="31"/>
  <c r="BD46" i="31"/>
  <c r="S46" i="31" s="1"/>
  <c r="AI47" i="31"/>
  <c r="AJ47" i="31"/>
  <c r="AK47" i="31"/>
  <c r="BB47" i="31"/>
  <c r="BC47" i="31"/>
  <c r="BD47" i="31"/>
  <c r="S47" i="31" s="1"/>
  <c r="AI48" i="31"/>
  <c r="AJ48" i="31"/>
  <c r="AK48" i="31"/>
  <c r="BB48" i="31"/>
  <c r="BC48" i="31"/>
  <c r="BD48" i="31"/>
  <c r="S48" i="31" s="1"/>
  <c r="AI7" i="31"/>
  <c r="AJ7" i="31"/>
  <c r="AK7" i="31"/>
  <c r="BB7" i="31"/>
  <c r="BC7" i="31"/>
  <c r="BD7" i="31"/>
  <c r="AI8" i="31"/>
  <c r="AJ8" i="31"/>
  <c r="AK8" i="31"/>
  <c r="BB8" i="31"/>
  <c r="BC8" i="31"/>
  <c r="R79" i="31" s="1"/>
  <c r="BD8" i="31"/>
  <c r="U9" i="31"/>
  <c r="V9" i="31"/>
  <c r="W9" i="31"/>
  <c r="X9" i="31"/>
  <c r="X119" i="31" s="1"/>
  <c r="AI9" i="31"/>
  <c r="AJ9" i="31"/>
  <c r="AK9" i="31"/>
  <c r="BB9" i="31"/>
  <c r="BC9" i="31"/>
  <c r="BD9" i="31"/>
  <c r="S9" i="31" s="1"/>
  <c r="AI10" i="31"/>
  <c r="AJ10" i="31"/>
  <c r="AK10" i="31"/>
  <c r="BB10" i="31"/>
  <c r="BC10" i="31"/>
  <c r="BD10" i="31"/>
  <c r="S10" i="31" s="1"/>
  <c r="S11" i="31"/>
  <c r="AI11" i="31"/>
  <c r="AJ11" i="31"/>
  <c r="AK11" i="31"/>
  <c r="BB11" i="31"/>
  <c r="BC11" i="31"/>
  <c r="BD11" i="31"/>
  <c r="AI12" i="31"/>
  <c r="AJ12" i="31"/>
  <c r="AK12" i="31"/>
  <c r="BB12" i="31"/>
  <c r="BC12" i="31"/>
  <c r="BD12" i="31"/>
  <c r="S12" i="31" s="1"/>
  <c r="S13" i="31"/>
  <c r="AI13" i="31"/>
  <c r="AJ13" i="31"/>
  <c r="AK13" i="31"/>
  <c r="BB13" i="31"/>
  <c r="BC13" i="31"/>
  <c r="BD13" i="31"/>
  <c r="AI14" i="31"/>
  <c r="AJ14" i="31"/>
  <c r="AK14" i="31"/>
  <c r="BB14" i="31"/>
  <c r="BC14" i="31"/>
  <c r="BD14" i="31"/>
  <c r="S14" i="31" s="1"/>
  <c r="S15" i="31"/>
  <c r="AI15" i="31"/>
  <c r="AJ15" i="31"/>
  <c r="AK15" i="31"/>
  <c r="BB15" i="31"/>
  <c r="BC15" i="31"/>
  <c r="BD15" i="31"/>
  <c r="AI16" i="31"/>
  <c r="AJ16" i="31"/>
  <c r="AK16" i="31"/>
  <c r="BB16" i="31"/>
  <c r="BC16" i="31"/>
  <c r="BD16" i="31"/>
  <c r="S16" i="31" s="1"/>
  <c r="AI17" i="31"/>
  <c r="AJ17" i="31"/>
  <c r="AK17" i="31"/>
  <c r="BB17" i="31"/>
  <c r="BC17" i="31"/>
  <c r="R17" i="31" s="1"/>
  <c r="BD17" i="31"/>
  <c r="S17" i="31" s="1"/>
  <c r="AI18" i="31"/>
  <c r="AJ18" i="31"/>
  <c r="AK18" i="31"/>
  <c r="BB18" i="31"/>
  <c r="BC18" i="31"/>
  <c r="BD18" i="31"/>
  <c r="S18" i="31" s="1"/>
  <c r="AI19" i="31"/>
  <c r="AJ19" i="31"/>
  <c r="AK19" i="31"/>
  <c r="BB19" i="31"/>
  <c r="BC19" i="31"/>
  <c r="BD19" i="31"/>
  <c r="S19" i="31" s="1"/>
  <c r="AI20" i="31"/>
  <c r="AJ20" i="31"/>
  <c r="AK20" i="31"/>
  <c r="BB20" i="31"/>
  <c r="BC20" i="31"/>
  <c r="BD20" i="31"/>
  <c r="S20" i="31" s="1"/>
  <c r="S21" i="31"/>
  <c r="AI21" i="31"/>
  <c r="AJ21" i="31"/>
  <c r="AK21" i="31"/>
  <c r="BB21" i="31"/>
  <c r="BC21" i="31"/>
  <c r="R21" i="31" s="1"/>
  <c r="BD21" i="31"/>
  <c r="AI22" i="31"/>
  <c r="AJ22" i="31"/>
  <c r="AK22" i="31"/>
  <c r="BB22" i="31"/>
  <c r="BC22" i="31"/>
  <c r="BD22" i="31"/>
  <c r="S22" i="31" s="1"/>
  <c r="R23" i="31"/>
  <c r="S23" i="31"/>
  <c r="AI23" i="31"/>
  <c r="AJ23" i="31"/>
  <c r="AK23" i="31"/>
  <c r="BB23" i="31"/>
  <c r="BC23" i="31"/>
  <c r="BD23" i="31"/>
  <c r="S24" i="31"/>
  <c r="AI24" i="31"/>
  <c r="AJ24" i="31"/>
  <c r="AK24" i="31"/>
  <c r="BB24" i="31"/>
  <c r="BC24" i="31"/>
  <c r="R24" i="31" s="1"/>
  <c r="BD24" i="31"/>
  <c r="T29" i="30"/>
  <c r="X29" i="30"/>
  <c r="AB29" i="30"/>
  <c r="L31" i="30"/>
  <c r="P31" i="30"/>
  <c r="T31" i="30"/>
  <c r="X31" i="30"/>
  <c r="AB31" i="30"/>
  <c r="AF31" i="30"/>
  <c r="H35" i="30"/>
  <c r="L35" i="30"/>
  <c r="P35" i="30"/>
  <c r="T36" i="30"/>
  <c r="H36" i="30" s="1"/>
  <c r="X36" i="30"/>
  <c r="H38" i="30"/>
  <c r="H39" i="30"/>
  <c r="H41" i="30"/>
  <c r="AB41" i="30"/>
  <c r="AF41" i="30"/>
  <c r="L1" i="30"/>
  <c r="P1" i="30"/>
  <c r="T1" i="30"/>
  <c r="T8" i="30" s="1"/>
  <c r="X1" i="30"/>
  <c r="X8" i="30" s="1"/>
  <c r="AB1" i="30"/>
  <c r="AF1" i="30"/>
  <c r="AF7" i="30" s="1"/>
  <c r="T7" i="30"/>
  <c r="X7" i="30"/>
  <c r="L8" i="30"/>
  <c r="AB8" i="30"/>
  <c r="AF8" i="30"/>
  <c r="T9" i="30"/>
  <c r="X9" i="30"/>
  <c r="L10" i="30"/>
  <c r="P10" i="30"/>
  <c r="T10" i="30"/>
  <c r="X10" i="30"/>
  <c r="AB10" i="30"/>
  <c r="AF10" i="30"/>
  <c r="T11" i="30"/>
  <c r="X11" i="30"/>
  <c r="L12" i="30"/>
  <c r="AB12" i="30"/>
  <c r="AF12" i="30"/>
  <c r="N13" i="30"/>
  <c r="R13" i="30"/>
  <c r="V13" i="30"/>
  <c r="Z13" i="30"/>
  <c r="AD13" i="30"/>
  <c r="AH13" i="30"/>
  <c r="AT13" i="30"/>
  <c r="AU13" i="30"/>
  <c r="AV13" i="30"/>
  <c r="N14" i="30"/>
  <c r="O14" i="30"/>
  <c r="S14" i="30"/>
  <c r="V14" i="30"/>
  <c r="W14" i="30"/>
  <c r="AA14" i="30"/>
  <c r="AD14" i="30"/>
  <c r="AE14" i="30"/>
  <c r="AI14" i="30"/>
  <c r="AT14" i="30"/>
  <c r="AU14" i="30"/>
  <c r="R14" i="30" s="1"/>
  <c r="AV14" i="30"/>
  <c r="N15" i="30"/>
  <c r="O15" i="30"/>
  <c r="W15" i="30"/>
  <c r="AD15" i="30"/>
  <c r="AE15" i="30"/>
  <c r="AT15" i="30"/>
  <c r="AU15" i="30"/>
  <c r="V15" i="30" s="1"/>
  <c r="AV15" i="30"/>
  <c r="S15" i="30" s="1"/>
  <c r="Z16" i="30"/>
  <c r="AE16" i="30"/>
  <c r="AT16" i="30"/>
  <c r="AU16" i="30"/>
  <c r="R16" i="30" s="1"/>
  <c r="AV16" i="30"/>
  <c r="W16" i="30" s="1"/>
  <c r="N17" i="30"/>
  <c r="R17" i="30"/>
  <c r="Z17" i="30"/>
  <c r="AD17" i="30"/>
  <c r="AH17" i="30"/>
  <c r="AT17" i="30"/>
  <c r="AU17" i="30"/>
  <c r="V17" i="30" s="1"/>
  <c r="AV17" i="30"/>
  <c r="S17" i="30" s="1"/>
  <c r="N18" i="30"/>
  <c r="S18" i="30"/>
  <c r="V18" i="30"/>
  <c r="AA18" i="30"/>
  <c r="AD18" i="30"/>
  <c r="AI18" i="30"/>
  <c r="AT18" i="30"/>
  <c r="AU18" i="30"/>
  <c r="Z18" i="30" s="1"/>
  <c r="AV18" i="30"/>
  <c r="W18" i="30" s="1"/>
  <c r="O19" i="30"/>
  <c r="W19" i="30"/>
  <c r="AE19" i="30"/>
  <c r="AT19" i="30"/>
  <c r="AU19" i="30"/>
  <c r="N19" i="30" s="1"/>
  <c r="AV19" i="30"/>
  <c r="AA19" i="30" s="1"/>
  <c r="R20" i="30"/>
  <c r="W20" i="30"/>
  <c r="AH20" i="30"/>
  <c r="AT20" i="30"/>
  <c r="AU20" i="30"/>
  <c r="Z20" i="30" s="1"/>
  <c r="AV20" i="30"/>
  <c r="AE20" i="30" s="1"/>
  <c r="N21" i="30"/>
  <c r="R21" i="30"/>
  <c r="V21" i="30"/>
  <c r="Z21" i="30"/>
  <c r="AA21" i="30"/>
  <c r="AD21" i="30"/>
  <c r="AH21" i="30"/>
  <c r="AI21" i="30"/>
  <c r="AT21" i="30"/>
  <c r="AU21" i="30"/>
  <c r="AV21" i="30"/>
  <c r="N22" i="30"/>
  <c r="O22" i="30"/>
  <c r="S22" i="30"/>
  <c r="V22" i="30"/>
  <c r="W22" i="30"/>
  <c r="AA22" i="30"/>
  <c r="AD22" i="30"/>
  <c r="AE22" i="30"/>
  <c r="AI22" i="30"/>
  <c r="AT22" i="30"/>
  <c r="AU22" i="30"/>
  <c r="R22" i="30" s="1"/>
  <c r="AV22" i="30"/>
  <c r="N23" i="30"/>
  <c r="O23" i="30"/>
  <c r="W23" i="30"/>
  <c r="AD23" i="30"/>
  <c r="AE23" i="30"/>
  <c r="AT23" i="30"/>
  <c r="AU23" i="30"/>
  <c r="V23" i="30" s="1"/>
  <c r="AV23" i="30"/>
  <c r="S23" i="30" s="1"/>
  <c r="Z24" i="30"/>
  <c r="AE24" i="30"/>
  <c r="AT24" i="30"/>
  <c r="AU24" i="30"/>
  <c r="R24" i="30" s="1"/>
  <c r="AV24" i="30"/>
  <c r="W24" i="30" s="1"/>
  <c r="L25" i="30"/>
  <c r="O25" i="30"/>
  <c r="P25" i="30"/>
  <c r="T25" i="30"/>
  <c r="W25" i="30"/>
  <c r="AA25" i="30"/>
  <c r="AB25" i="30"/>
  <c r="AE25" i="30"/>
  <c r="AH25" i="30"/>
  <c r="AT25" i="30"/>
  <c r="AU25" i="30"/>
  <c r="Z25" i="30" s="1"/>
  <c r="AV25" i="30"/>
  <c r="S25" i="30" s="1"/>
  <c r="L26" i="30"/>
  <c r="O26" i="30"/>
  <c r="P26" i="30"/>
  <c r="S26" i="30"/>
  <c r="T26" i="30"/>
  <c r="X26" i="30"/>
  <c r="AA26" i="30"/>
  <c r="AB26" i="30"/>
  <c r="AD26" i="30"/>
  <c r="AE26" i="30"/>
  <c r="AI26" i="30"/>
  <c r="AT26" i="30"/>
  <c r="AU26" i="30"/>
  <c r="N26" i="30" s="1"/>
  <c r="AV26" i="30"/>
  <c r="W26" i="30" s="1"/>
  <c r="L27" i="30"/>
  <c r="N27" i="30"/>
  <c r="P27" i="30"/>
  <c r="R27" i="30"/>
  <c r="T27" i="30"/>
  <c r="X27" i="30"/>
  <c r="Z27" i="30"/>
  <c r="AB27" i="30"/>
  <c r="AD27" i="30"/>
  <c r="AH27" i="30"/>
  <c r="AT27" i="30"/>
  <c r="AU27" i="30"/>
  <c r="V27" i="30" s="1"/>
  <c r="AV27" i="30"/>
  <c r="X101" i="29"/>
  <c r="L101" i="29" s="1"/>
  <c r="AU101" i="29"/>
  <c r="AV101" i="29"/>
  <c r="N101" i="29" s="1"/>
  <c r="AW101" i="29"/>
  <c r="O101" i="29" s="1"/>
  <c r="BN101" i="29"/>
  <c r="BO101" i="29"/>
  <c r="AD101" i="29" s="1"/>
  <c r="BP101" i="29"/>
  <c r="AE101" i="29" s="1"/>
  <c r="F107" i="29"/>
  <c r="F108" i="29"/>
  <c r="F109" i="29"/>
  <c r="F110" i="29"/>
  <c r="T60" i="29" s="1"/>
  <c r="F111" i="29"/>
  <c r="F112" i="29"/>
  <c r="AU81" i="29"/>
  <c r="AV81" i="29"/>
  <c r="AH81" i="29" s="1"/>
  <c r="AW81" i="29"/>
  <c r="S81" i="29" s="1"/>
  <c r="BN81" i="29"/>
  <c r="BO81" i="29"/>
  <c r="AD81" i="29" s="1"/>
  <c r="BP81" i="29"/>
  <c r="AE81" i="29" s="1"/>
  <c r="AU82" i="29"/>
  <c r="AV82" i="29"/>
  <c r="AW82" i="29"/>
  <c r="AA82" i="29" s="1"/>
  <c r="BN82" i="29"/>
  <c r="BO82" i="29"/>
  <c r="AD82" i="29" s="1"/>
  <c r="BP82" i="29"/>
  <c r="AE82" i="29" s="1"/>
  <c r="N83" i="29"/>
  <c r="AH83" i="29"/>
  <c r="AI83" i="29"/>
  <c r="AU83" i="29"/>
  <c r="AV83" i="29"/>
  <c r="Z83" i="29" s="1"/>
  <c r="AW83" i="29"/>
  <c r="W83" i="29" s="1"/>
  <c r="BN83" i="29"/>
  <c r="BO83" i="29"/>
  <c r="AD83" i="29" s="1"/>
  <c r="BP83" i="29"/>
  <c r="AE83" i="29" s="1"/>
  <c r="N84" i="29"/>
  <c r="O84" i="29"/>
  <c r="V84" i="29"/>
  <c r="W84" i="29"/>
  <c r="X84" i="29"/>
  <c r="AH84" i="29"/>
  <c r="AI84" i="29"/>
  <c r="AU84" i="29"/>
  <c r="AV84" i="29"/>
  <c r="R84" i="29" s="1"/>
  <c r="AW84" i="29"/>
  <c r="S84" i="29" s="1"/>
  <c r="BN84" i="29"/>
  <c r="BO84" i="29"/>
  <c r="AD84" i="29" s="1"/>
  <c r="BP84" i="29"/>
  <c r="AE84" i="29" s="1"/>
  <c r="L85" i="29"/>
  <c r="P85" i="29" s="1"/>
  <c r="S85" i="29"/>
  <c r="T85" i="29"/>
  <c r="X85" i="29"/>
  <c r="AH85" i="29"/>
  <c r="AU85" i="29"/>
  <c r="AV85" i="29"/>
  <c r="V85" i="29" s="1"/>
  <c r="AW85" i="29"/>
  <c r="W85" i="29" s="1"/>
  <c r="BN85" i="29"/>
  <c r="BO85" i="29"/>
  <c r="AD85" i="29" s="1"/>
  <c r="BP85" i="29"/>
  <c r="AI85" i="29" s="1"/>
  <c r="R86" i="29"/>
  <c r="X86" i="29"/>
  <c r="L86" i="29" s="1"/>
  <c r="P86" i="29" s="1"/>
  <c r="Z86" i="29"/>
  <c r="AI86" i="29"/>
  <c r="AU86" i="29"/>
  <c r="AV86" i="29"/>
  <c r="N86" i="29" s="1"/>
  <c r="AW86" i="29"/>
  <c r="O86" i="29" s="1"/>
  <c r="BN86" i="29"/>
  <c r="BO86" i="29"/>
  <c r="AD86" i="29" s="1"/>
  <c r="BP86" i="29"/>
  <c r="AE86" i="29" s="1"/>
  <c r="N87" i="29"/>
  <c r="X87" i="29"/>
  <c r="L87" i="29" s="1"/>
  <c r="AU87" i="29"/>
  <c r="AV87" i="29"/>
  <c r="AW87" i="29"/>
  <c r="O87" i="29" s="1"/>
  <c r="BN87" i="29"/>
  <c r="BO87" i="29"/>
  <c r="AD87" i="29" s="1"/>
  <c r="BP87" i="29"/>
  <c r="AE87" i="29" s="1"/>
  <c r="L88" i="29"/>
  <c r="T88" i="29" s="1"/>
  <c r="X88" i="29"/>
  <c r="AI88" i="29"/>
  <c r="AU88" i="29"/>
  <c r="AV88" i="29"/>
  <c r="V88" i="29" s="1"/>
  <c r="AW88" i="29"/>
  <c r="S88" i="29" s="1"/>
  <c r="BN88" i="29"/>
  <c r="BO88" i="29"/>
  <c r="AD88" i="29" s="1"/>
  <c r="BP88" i="29"/>
  <c r="AE88" i="29" s="1"/>
  <c r="X89" i="29"/>
  <c r="L89" i="29" s="1"/>
  <c r="AU89" i="29"/>
  <c r="AV89" i="29"/>
  <c r="V89" i="29" s="1"/>
  <c r="AW89" i="29"/>
  <c r="W89" i="29" s="1"/>
  <c r="BN89" i="29"/>
  <c r="BO89" i="29"/>
  <c r="AD89" i="29" s="1"/>
  <c r="BP89" i="29"/>
  <c r="AI89" i="29" s="1"/>
  <c r="V90" i="29"/>
  <c r="X90" i="29"/>
  <c r="L90" i="29" s="1"/>
  <c r="P90" i="29" s="1"/>
  <c r="AU90" i="29"/>
  <c r="AV90" i="29"/>
  <c r="N90" i="29" s="1"/>
  <c r="AW90" i="29"/>
  <c r="O90" i="29" s="1"/>
  <c r="BN90" i="29"/>
  <c r="BO90" i="29"/>
  <c r="AD90" i="29" s="1"/>
  <c r="BP90" i="29"/>
  <c r="AE90" i="29" s="1"/>
  <c r="X91" i="29"/>
  <c r="L91" i="29" s="1"/>
  <c r="AU91" i="29"/>
  <c r="AV91" i="29"/>
  <c r="N91" i="29" s="1"/>
  <c r="AW91" i="29"/>
  <c r="O91" i="29" s="1"/>
  <c r="BN91" i="29"/>
  <c r="BO91" i="29"/>
  <c r="AD91" i="29" s="1"/>
  <c r="BP91" i="29"/>
  <c r="AE91" i="29" s="1"/>
  <c r="W92" i="29"/>
  <c r="X92" i="29"/>
  <c r="L92" i="29" s="1"/>
  <c r="AU92" i="29"/>
  <c r="AV92" i="29"/>
  <c r="AH92" i="29" s="1"/>
  <c r="AW92" i="29"/>
  <c r="S92" i="29" s="1"/>
  <c r="BN92" i="29"/>
  <c r="BO92" i="29"/>
  <c r="AD92" i="29" s="1"/>
  <c r="BP92" i="29"/>
  <c r="AE92" i="29" s="1"/>
  <c r="S93" i="29"/>
  <c r="X93" i="29"/>
  <c r="L93" i="29" s="1"/>
  <c r="AH93" i="29"/>
  <c r="AU93" i="29"/>
  <c r="AV93" i="29"/>
  <c r="V93" i="29" s="1"/>
  <c r="AW93" i="29"/>
  <c r="W93" i="29" s="1"/>
  <c r="BN93" i="29"/>
  <c r="BO93" i="29"/>
  <c r="AD93" i="29" s="1"/>
  <c r="BP93" i="29"/>
  <c r="AI93" i="29" s="1"/>
  <c r="R94" i="29"/>
  <c r="W94" i="29"/>
  <c r="X94" i="29"/>
  <c r="L94" i="29" s="1"/>
  <c r="P94" i="29" s="1"/>
  <c r="AI94" i="29"/>
  <c r="AU94" i="29"/>
  <c r="AV94" i="29"/>
  <c r="N94" i="29" s="1"/>
  <c r="AW94" i="29"/>
  <c r="O94" i="29" s="1"/>
  <c r="BN94" i="29"/>
  <c r="BO94" i="29"/>
  <c r="AD94" i="29" s="1"/>
  <c r="BP94" i="29"/>
  <c r="AE94" i="29" s="1"/>
  <c r="X95" i="29"/>
  <c r="L95" i="29" s="1"/>
  <c r="AU95" i="29"/>
  <c r="AV95" i="29"/>
  <c r="AW95" i="29"/>
  <c r="O95" i="29" s="1"/>
  <c r="BN95" i="29"/>
  <c r="BO95" i="29"/>
  <c r="AD95" i="29" s="1"/>
  <c r="BP95" i="29"/>
  <c r="AE95" i="29" s="1"/>
  <c r="R96" i="29"/>
  <c r="W96" i="29"/>
  <c r="X96" i="29"/>
  <c r="L96" i="29" s="1"/>
  <c r="AU96" i="29"/>
  <c r="AV96" i="29"/>
  <c r="AH96" i="29" s="1"/>
  <c r="AW96" i="29"/>
  <c r="S96" i="29" s="1"/>
  <c r="BN96" i="29"/>
  <c r="BO96" i="29"/>
  <c r="AD96" i="29" s="1"/>
  <c r="BP96" i="29"/>
  <c r="AE96" i="29" s="1"/>
  <c r="X97" i="29"/>
  <c r="L97" i="29" s="1"/>
  <c r="Z97" i="29"/>
  <c r="AH97" i="29"/>
  <c r="AU97" i="29"/>
  <c r="AV97" i="29"/>
  <c r="V97" i="29" s="1"/>
  <c r="AW97" i="29"/>
  <c r="W97" i="29" s="1"/>
  <c r="BN97" i="29"/>
  <c r="BO97" i="29"/>
  <c r="AD97" i="29" s="1"/>
  <c r="BP97" i="29"/>
  <c r="R98" i="29"/>
  <c r="V98" i="29"/>
  <c r="X98" i="29"/>
  <c r="L98" i="29" s="1"/>
  <c r="P98" i="29" s="1"/>
  <c r="AI98" i="29"/>
  <c r="AU98" i="29"/>
  <c r="AV98" i="29"/>
  <c r="N98" i="29" s="1"/>
  <c r="AW98" i="29"/>
  <c r="O98" i="29" s="1"/>
  <c r="BN98" i="29"/>
  <c r="BO98" i="29"/>
  <c r="AD98" i="29" s="1"/>
  <c r="BP98" i="29"/>
  <c r="AE98" i="29" s="1"/>
  <c r="X99" i="29"/>
  <c r="L99" i="29" s="1"/>
  <c r="AU99" i="29"/>
  <c r="AV99" i="29"/>
  <c r="AW99" i="29"/>
  <c r="O99" i="29" s="1"/>
  <c r="BN99" i="29"/>
  <c r="BO99" i="29"/>
  <c r="AD99" i="29" s="1"/>
  <c r="BP99" i="29"/>
  <c r="AE99" i="29" s="1"/>
  <c r="W100" i="29"/>
  <c r="X100" i="29"/>
  <c r="L100" i="29" s="1"/>
  <c r="AA100" i="29"/>
  <c r="AU100" i="29"/>
  <c r="AV100" i="29"/>
  <c r="AH100" i="29" s="1"/>
  <c r="AW100" i="29"/>
  <c r="S100" i="29" s="1"/>
  <c r="BN100" i="29"/>
  <c r="BO100" i="29"/>
  <c r="AD100" i="29" s="1"/>
  <c r="BP100" i="29"/>
  <c r="AE100" i="29" s="1"/>
  <c r="W61" i="29"/>
  <c r="AU61" i="29"/>
  <c r="AV61" i="29"/>
  <c r="Z61" i="29" s="1"/>
  <c r="AW61" i="29"/>
  <c r="AA61" i="29" s="1"/>
  <c r="BN61" i="29"/>
  <c r="BO61" i="29"/>
  <c r="AD61" i="29" s="1"/>
  <c r="BP61" i="29"/>
  <c r="AE61" i="29" s="1"/>
  <c r="AU62" i="29"/>
  <c r="AV62" i="29"/>
  <c r="V62" i="29" s="1"/>
  <c r="AW62" i="29"/>
  <c r="W62" i="29" s="1"/>
  <c r="BN62" i="29"/>
  <c r="BO62" i="29"/>
  <c r="AD62" i="29" s="1"/>
  <c r="BP62" i="29"/>
  <c r="AI62" i="29" s="1"/>
  <c r="N63" i="29"/>
  <c r="V63" i="29"/>
  <c r="T62" i="29"/>
  <c r="Z63" i="29"/>
  <c r="AI63" i="29"/>
  <c r="AU63" i="29"/>
  <c r="AV63" i="29"/>
  <c r="R63" i="29" s="1"/>
  <c r="AW63" i="29"/>
  <c r="BN63" i="29"/>
  <c r="BO63" i="29"/>
  <c r="AD63" i="29" s="1"/>
  <c r="BP63" i="29"/>
  <c r="AE63" i="29" s="1"/>
  <c r="O64" i="29"/>
  <c r="V64" i="29"/>
  <c r="W64" i="29"/>
  <c r="AB64" i="29"/>
  <c r="AU64" i="29"/>
  <c r="AV64" i="29"/>
  <c r="Z64" i="29" s="1"/>
  <c r="AW64" i="29"/>
  <c r="AA64" i="29" s="1"/>
  <c r="BN64" i="29"/>
  <c r="BO64" i="29"/>
  <c r="AD64" i="29" s="1"/>
  <c r="BP64" i="29"/>
  <c r="AE64" i="29" s="1"/>
  <c r="X65" i="29"/>
  <c r="L65" i="29" s="1"/>
  <c r="AU65" i="29"/>
  <c r="AV65" i="29"/>
  <c r="AW65" i="29"/>
  <c r="O65" i="29" s="1"/>
  <c r="BN65" i="29"/>
  <c r="BO65" i="29"/>
  <c r="AD65" i="29" s="1"/>
  <c r="BP65" i="29"/>
  <c r="AE65" i="29" s="1"/>
  <c r="L66" i="29"/>
  <c r="T66" i="29" s="1"/>
  <c r="X66" i="29"/>
  <c r="AU66" i="29"/>
  <c r="AV66" i="29"/>
  <c r="AH66" i="29" s="1"/>
  <c r="AW66" i="29"/>
  <c r="S66" i="29" s="1"/>
  <c r="BN66" i="29"/>
  <c r="BO66" i="29"/>
  <c r="AD66" i="29" s="1"/>
  <c r="BP66" i="29"/>
  <c r="AE66" i="29" s="1"/>
  <c r="P67" i="29"/>
  <c r="T67" i="29"/>
  <c r="V67" i="29"/>
  <c r="X67" i="29"/>
  <c r="AA67" i="29"/>
  <c r="AU67" i="29"/>
  <c r="AV67" i="29"/>
  <c r="N67" i="29" s="1"/>
  <c r="AW67" i="29"/>
  <c r="W67" i="29" s="1"/>
  <c r="BN67" i="29"/>
  <c r="BO67" i="29"/>
  <c r="AD67" i="29" s="1"/>
  <c r="BP67" i="29"/>
  <c r="AE67" i="29" s="1"/>
  <c r="X68" i="29"/>
  <c r="L68" i="29" s="1"/>
  <c r="AU68" i="29"/>
  <c r="AV68" i="29"/>
  <c r="N68" i="29" s="1"/>
  <c r="AW68" i="29"/>
  <c r="O68" i="29" s="1"/>
  <c r="BN68" i="29"/>
  <c r="BO68" i="29"/>
  <c r="AD68" i="29" s="1"/>
  <c r="BP68" i="29"/>
  <c r="AE68" i="29" s="1"/>
  <c r="AU69" i="29"/>
  <c r="AV69" i="29"/>
  <c r="R69" i="29" s="1"/>
  <c r="AW69" i="29"/>
  <c r="S69" i="29" s="1"/>
  <c r="BN69" i="29"/>
  <c r="BO69" i="29"/>
  <c r="AD69" i="29" s="1"/>
  <c r="BP69" i="29"/>
  <c r="AE69" i="29" s="1"/>
  <c r="O70" i="29"/>
  <c r="AA70" i="29"/>
  <c r="AU70" i="29"/>
  <c r="AV70" i="29"/>
  <c r="R70" i="29" s="1"/>
  <c r="AW70" i="29"/>
  <c r="S70" i="29" s="1"/>
  <c r="BN70" i="29"/>
  <c r="BO70" i="29"/>
  <c r="AD70" i="29" s="1"/>
  <c r="BP70" i="29"/>
  <c r="AE70" i="29" s="1"/>
  <c r="R71" i="29"/>
  <c r="V71" i="29"/>
  <c r="Z71" i="29"/>
  <c r="AU71" i="29"/>
  <c r="AV71" i="29"/>
  <c r="AH71" i="29" s="1"/>
  <c r="AW71" i="29"/>
  <c r="O71" i="29" s="1"/>
  <c r="BN71" i="29"/>
  <c r="BO71" i="29"/>
  <c r="AD71" i="29" s="1"/>
  <c r="BP71" i="29"/>
  <c r="AE71" i="29" s="1"/>
  <c r="O72" i="29"/>
  <c r="W72" i="29"/>
  <c r="AU72" i="29"/>
  <c r="AV72" i="29"/>
  <c r="Z72" i="29" s="1"/>
  <c r="AW72" i="29"/>
  <c r="AA72" i="29" s="1"/>
  <c r="BN72" i="29"/>
  <c r="BO72" i="29"/>
  <c r="AD72" i="29" s="1"/>
  <c r="BP72" i="29"/>
  <c r="AE72" i="29" s="1"/>
  <c r="X73" i="29"/>
  <c r="L73" i="29" s="1"/>
  <c r="AU73" i="29"/>
  <c r="AV73" i="29"/>
  <c r="AH73" i="29" s="1"/>
  <c r="AW73" i="29"/>
  <c r="BN73" i="29"/>
  <c r="BO73" i="29"/>
  <c r="AD73" i="29" s="1"/>
  <c r="BP73" i="29"/>
  <c r="AE73" i="29" s="1"/>
  <c r="R74" i="29"/>
  <c r="X74" i="29"/>
  <c r="L74" i="29" s="1"/>
  <c r="AE74" i="29"/>
  <c r="AU74" i="29"/>
  <c r="AV74" i="29"/>
  <c r="AH74" i="29" s="1"/>
  <c r="AW74" i="29"/>
  <c r="W74" i="29" s="1"/>
  <c r="BN74" i="29"/>
  <c r="BO74" i="29"/>
  <c r="AD74" i="29" s="1"/>
  <c r="BP74" i="29"/>
  <c r="AI74" i="29" s="1"/>
  <c r="L75" i="29"/>
  <c r="P75" i="29" s="1"/>
  <c r="W75" i="29"/>
  <c r="X75" i="29"/>
  <c r="AA75" i="29"/>
  <c r="AB75" i="29"/>
  <c r="AU75" i="29"/>
  <c r="AV75" i="29"/>
  <c r="AH75" i="29" s="1"/>
  <c r="AW75" i="29"/>
  <c r="O75" i="29" s="1"/>
  <c r="BN75" i="29"/>
  <c r="BO75" i="29"/>
  <c r="AD75" i="29" s="1"/>
  <c r="BP75" i="29"/>
  <c r="AI75" i="29" s="1"/>
  <c r="AU76" i="29"/>
  <c r="AV76" i="29"/>
  <c r="AW76" i="29"/>
  <c r="BN76" i="29"/>
  <c r="BO76" i="29"/>
  <c r="AD76" i="29" s="1"/>
  <c r="BP76" i="29"/>
  <c r="AE76" i="29" s="1"/>
  <c r="R77" i="29"/>
  <c r="V77" i="29"/>
  <c r="AA77" i="29"/>
  <c r="AH77" i="29"/>
  <c r="AU77" i="29"/>
  <c r="AV77" i="29"/>
  <c r="Z77" i="29" s="1"/>
  <c r="AW77" i="29"/>
  <c r="W77" i="29" s="1"/>
  <c r="BN77" i="29"/>
  <c r="BO77" i="29"/>
  <c r="AD77" i="29" s="1"/>
  <c r="BP77" i="29"/>
  <c r="AE77" i="29" s="1"/>
  <c r="AU78" i="29"/>
  <c r="AV78" i="29"/>
  <c r="AH78" i="29" s="1"/>
  <c r="AW78" i="29"/>
  <c r="S78" i="29" s="1"/>
  <c r="BN78" i="29"/>
  <c r="BO78" i="29"/>
  <c r="AD78" i="29" s="1"/>
  <c r="BP78" i="29"/>
  <c r="AE78" i="29" s="1"/>
  <c r="AU79" i="29"/>
  <c r="AV79" i="29"/>
  <c r="V79" i="29" s="1"/>
  <c r="AW79" i="29"/>
  <c r="AA79" i="29" s="1"/>
  <c r="BN79" i="29"/>
  <c r="BO79" i="29"/>
  <c r="AD79" i="29" s="1"/>
  <c r="BP79" i="29"/>
  <c r="AE79" i="29" s="1"/>
  <c r="S80" i="29"/>
  <c r="AH80" i="29"/>
  <c r="AU80" i="29"/>
  <c r="AV80" i="29"/>
  <c r="V80" i="29" s="1"/>
  <c r="AW80" i="29"/>
  <c r="W80" i="29" s="1"/>
  <c r="BN80" i="29"/>
  <c r="BO80" i="29"/>
  <c r="AD80" i="29" s="1"/>
  <c r="BP80" i="29"/>
  <c r="AI80" i="29" s="1"/>
  <c r="R41" i="29"/>
  <c r="V41" i="29"/>
  <c r="W41" i="29"/>
  <c r="X41" i="29"/>
  <c r="L41" i="29" s="1"/>
  <c r="AU41" i="29"/>
  <c r="AV41" i="29"/>
  <c r="N41" i="29" s="1"/>
  <c r="AW41" i="29"/>
  <c r="O41" i="29" s="1"/>
  <c r="BN41" i="29"/>
  <c r="BO41" i="29"/>
  <c r="AD41" i="29" s="1"/>
  <c r="BP41" i="29"/>
  <c r="AE41" i="29" s="1"/>
  <c r="X42" i="29"/>
  <c r="L42" i="29" s="1"/>
  <c r="AU42" i="29"/>
  <c r="AV42" i="29"/>
  <c r="Z42" i="29" s="1"/>
  <c r="AW42" i="29"/>
  <c r="BN42" i="29"/>
  <c r="BO42" i="29"/>
  <c r="AD42" i="29" s="1"/>
  <c r="BP42" i="29"/>
  <c r="AE42" i="29" s="1"/>
  <c r="W43" i="29"/>
  <c r="X43" i="29"/>
  <c r="L43" i="29" s="1"/>
  <c r="AA43" i="29"/>
  <c r="AU43" i="29"/>
  <c r="AV43" i="29"/>
  <c r="AH43" i="29" s="1"/>
  <c r="AW43" i="29"/>
  <c r="S43" i="29" s="1"/>
  <c r="BN43" i="29"/>
  <c r="BO43" i="29"/>
  <c r="AD43" i="29" s="1"/>
  <c r="BP43" i="29"/>
  <c r="AE43" i="29" s="1"/>
  <c r="T44" i="29"/>
  <c r="V44" i="29"/>
  <c r="X44" i="29"/>
  <c r="L44" i="29" s="1"/>
  <c r="P44" i="29" s="1"/>
  <c r="AU44" i="29"/>
  <c r="AV44" i="29"/>
  <c r="N44" i="29" s="1"/>
  <c r="AW44" i="29"/>
  <c r="W44" i="29" s="1"/>
  <c r="BN44" i="29"/>
  <c r="BO44" i="29"/>
  <c r="AD44" i="29" s="1"/>
  <c r="BP44" i="29"/>
  <c r="AI44" i="29" s="1"/>
  <c r="W45" i="29"/>
  <c r="X45" i="29"/>
  <c r="L45" i="29" s="1"/>
  <c r="AI45" i="29"/>
  <c r="AU45" i="29"/>
  <c r="AV45" i="29"/>
  <c r="N45" i="29" s="1"/>
  <c r="AW45" i="29"/>
  <c r="O45" i="29" s="1"/>
  <c r="BN45" i="29"/>
  <c r="BO45" i="29"/>
  <c r="AD45" i="29" s="1"/>
  <c r="BP45" i="29"/>
  <c r="AE45" i="29" s="1"/>
  <c r="O46" i="29"/>
  <c r="W46" i="29"/>
  <c r="AF46" i="29"/>
  <c r="AU46" i="29"/>
  <c r="AV46" i="29"/>
  <c r="R46" i="29" s="1"/>
  <c r="AW46" i="29"/>
  <c r="S46" i="29" s="1"/>
  <c r="BN46" i="29"/>
  <c r="BO46" i="29"/>
  <c r="AD46" i="29" s="1"/>
  <c r="BP46" i="29"/>
  <c r="AI46" i="29" s="1"/>
  <c r="AU47" i="29"/>
  <c r="AV47" i="29"/>
  <c r="V47" i="29" s="1"/>
  <c r="AW47" i="29"/>
  <c r="AA47" i="29" s="1"/>
  <c r="BN47" i="29"/>
  <c r="BO47" i="29"/>
  <c r="AD47" i="29" s="1"/>
  <c r="BP47" i="29"/>
  <c r="AE47" i="29" s="1"/>
  <c r="R48" i="29"/>
  <c r="Z48" i="29"/>
  <c r="AU48" i="29"/>
  <c r="AV48" i="29"/>
  <c r="V48" i="29" s="1"/>
  <c r="AW48" i="29"/>
  <c r="W48" i="29" s="1"/>
  <c r="BN48" i="29"/>
  <c r="BO48" i="29"/>
  <c r="AD48" i="29" s="1"/>
  <c r="BP48" i="29"/>
  <c r="AU49" i="29"/>
  <c r="AV49" i="29"/>
  <c r="R49" i="29" s="1"/>
  <c r="AW49" i="29"/>
  <c r="AA49" i="29" s="1"/>
  <c r="BN49" i="29"/>
  <c r="BO49" i="29"/>
  <c r="AD49" i="29" s="1"/>
  <c r="BP49" i="29"/>
  <c r="AE49" i="29" s="1"/>
  <c r="O50" i="29"/>
  <c r="V50" i="29"/>
  <c r="AI50" i="29"/>
  <c r="AU50" i="29"/>
  <c r="AV50" i="29"/>
  <c r="Z50" i="29" s="1"/>
  <c r="AW50" i="29"/>
  <c r="W50" i="29" s="1"/>
  <c r="BN50" i="29"/>
  <c r="BO50" i="29"/>
  <c r="AD50" i="29" s="1"/>
  <c r="BP50" i="29"/>
  <c r="AE50" i="29" s="1"/>
  <c r="O51" i="29"/>
  <c r="R51" i="29"/>
  <c r="W51" i="29"/>
  <c r="AU51" i="29"/>
  <c r="AV51" i="29"/>
  <c r="AH51" i="29" s="1"/>
  <c r="AW51" i="29"/>
  <c r="S51" i="29" s="1"/>
  <c r="BN51" i="29"/>
  <c r="BO51" i="29"/>
  <c r="AD51" i="29" s="1"/>
  <c r="BP51" i="29"/>
  <c r="AI51" i="29" s="1"/>
  <c r="AU52" i="29"/>
  <c r="AV52" i="29"/>
  <c r="Z52" i="29" s="1"/>
  <c r="AW52" i="29"/>
  <c r="W52" i="29" s="1"/>
  <c r="BN52" i="29"/>
  <c r="BO52" i="29"/>
  <c r="AD52" i="29" s="1"/>
  <c r="BP52" i="29"/>
  <c r="AE52" i="29" s="1"/>
  <c r="V53" i="29"/>
  <c r="X53" i="29"/>
  <c r="T48" i="29" s="1"/>
  <c r="T78" i="29" s="1"/>
  <c r="AH53" i="29"/>
  <c r="AI53" i="29"/>
  <c r="AU53" i="29"/>
  <c r="AV53" i="29"/>
  <c r="Z53" i="29" s="1"/>
  <c r="AW53" i="29"/>
  <c r="W53" i="29" s="1"/>
  <c r="BN53" i="29"/>
  <c r="BO53" i="29"/>
  <c r="AD53" i="29" s="1"/>
  <c r="BP53" i="29"/>
  <c r="AE53" i="29" s="1"/>
  <c r="N54" i="29"/>
  <c r="O54" i="29"/>
  <c r="W54" i="29"/>
  <c r="AB54" i="29"/>
  <c r="AU54" i="29"/>
  <c r="AV54" i="29"/>
  <c r="R54" i="29" s="1"/>
  <c r="AW54" i="29"/>
  <c r="S54" i="29" s="1"/>
  <c r="BN54" i="29"/>
  <c r="BO54" i="29"/>
  <c r="AD54" i="29" s="1"/>
  <c r="BP54" i="29"/>
  <c r="AE54" i="29" s="1"/>
  <c r="L55" i="29"/>
  <c r="V55" i="29"/>
  <c r="W55" i="29"/>
  <c r="AF55" i="29"/>
  <c r="AF75" i="29" s="1"/>
  <c r="AI55" i="29"/>
  <c r="AU55" i="29"/>
  <c r="AV55" i="29"/>
  <c r="Z55" i="29" s="1"/>
  <c r="AW55" i="29"/>
  <c r="AA55" i="29" s="1"/>
  <c r="BN55" i="29"/>
  <c r="BO55" i="29"/>
  <c r="AD55" i="29" s="1"/>
  <c r="BP55" i="29"/>
  <c r="AE55" i="29" s="1"/>
  <c r="O56" i="29"/>
  <c r="P56" i="29"/>
  <c r="W56" i="29"/>
  <c r="AU56" i="29"/>
  <c r="AV56" i="29"/>
  <c r="R56" i="29" s="1"/>
  <c r="AW56" i="29"/>
  <c r="S56" i="29" s="1"/>
  <c r="BN56" i="29"/>
  <c r="BO56" i="29"/>
  <c r="AD56" i="29" s="1"/>
  <c r="BP56" i="29"/>
  <c r="AI56" i="29" s="1"/>
  <c r="T57" i="29"/>
  <c r="AU57" i="29"/>
  <c r="AV57" i="29"/>
  <c r="AW57" i="29"/>
  <c r="BN57" i="29"/>
  <c r="BO57" i="29"/>
  <c r="AD57" i="29" s="1"/>
  <c r="BP57" i="29"/>
  <c r="AE57" i="29" s="1"/>
  <c r="N58" i="29"/>
  <c r="T58" i="29"/>
  <c r="AI58" i="29"/>
  <c r="AU58" i="29"/>
  <c r="AV58" i="29"/>
  <c r="V58" i="29" s="1"/>
  <c r="AW58" i="29"/>
  <c r="W58" i="29" s="1"/>
  <c r="BN58" i="29"/>
  <c r="BO58" i="29"/>
  <c r="AD58" i="29" s="1"/>
  <c r="BP58" i="29"/>
  <c r="AE58" i="29" s="1"/>
  <c r="N59" i="29"/>
  <c r="T59" i="29"/>
  <c r="V59" i="29"/>
  <c r="AA59" i="29"/>
  <c r="AU59" i="29"/>
  <c r="AV59" i="29"/>
  <c r="R59" i="29" s="1"/>
  <c r="AW59" i="29"/>
  <c r="S59" i="29" s="1"/>
  <c r="BN59" i="29"/>
  <c r="BO59" i="29"/>
  <c r="AD59" i="29" s="1"/>
  <c r="BP59" i="29"/>
  <c r="AE59" i="29" s="1"/>
  <c r="W60" i="29"/>
  <c r="AU60" i="29"/>
  <c r="AV60" i="29"/>
  <c r="AW60" i="29"/>
  <c r="AA60" i="29" s="1"/>
  <c r="BN60" i="29"/>
  <c r="BO60" i="29"/>
  <c r="AD60" i="29" s="1"/>
  <c r="BP60" i="29"/>
  <c r="AE60" i="29" s="1"/>
  <c r="P21" i="29"/>
  <c r="AA21" i="29"/>
  <c r="X21" i="29"/>
  <c r="L21" i="29" s="1"/>
  <c r="T21" i="29" s="1"/>
  <c r="AU21" i="29"/>
  <c r="AV21" i="29"/>
  <c r="Z21" i="29" s="1"/>
  <c r="AW21" i="29"/>
  <c r="BN21" i="29"/>
  <c r="BO21" i="29"/>
  <c r="AD21" i="29" s="1"/>
  <c r="BP21" i="29"/>
  <c r="AE21" i="29" s="1"/>
  <c r="AI22" i="29"/>
  <c r="AU22" i="29"/>
  <c r="AV22" i="29"/>
  <c r="Z22" i="29" s="1"/>
  <c r="AW22" i="29"/>
  <c r="W22" i="29" s="1"/>
  <c r="BN22" i="29"/>
  <c r="BO22" i="29"/>
  <c r="AD22" i="29" s="1"/>
  <c r="BP22" i="29"/>
  <c r="AE22" i="29" s="1"/>
  <c r="R23" i="29"/>
  <c r="Z23" i="29"/>
  <c r="AE23" i="29"/>
  <c r="AH23" i="29"/>
  <c r="AU23" i="29"/>
  <c r="AV23" i="29"/>
  <c r="V23" i="29" s="1"/>
  <c r="AW23" i="29"/>
  <c r="S23" i="29" s="1"/>
  <c r="BN23" i="29"/>
  <c r="BO23" i="29"/>
  <c r="AD23" i="29" s="1"/>
  <c r="BP23" i="29"/>
  <c r="AI23" i="29" s="1"/>
  <c r="N24" i="29"/>
  <c r="V24" i="29"/>
  <c r="AA24" i="29"/>
  <c r="AU24" i="29"/>
  <c r="AV24" i="29"/>
  <c r="R24" i="29" s="1"/>
  <c r="AW24" i="29"/>
  <c r="O24" i="29" s="1"/>
  <c r="BN24" i="29"/>
  <c r="BO24" i="29"/>
  <c r="AD24" i="29" s="1"/>
  <c r="BP24" i="29"/>
  <c r="AE24" i="29" s="1"/>
  <c r="AB25" i="29"/>
  <c r="AB69" i="29" s="1"/>
  <c r="AF25" i="29"/>
  <c r="AF69" i="29" s="1"/>
  <c r="AU25" i="29"/>
  <c r="AV25" i="29"/>
  <c r="N25" i="29" s="1"/>
  <c r="AW25" i="29"/>
  <c r="AA25" i="29" s="1"/>
  <c r="BN25" i="29"/>
  <c r="BO25" i="29"/>
  <c r="AD25" i="29" s="1"/>
  <c r="BP25" i="29"/>
  <c r="AE25" i="29" s="1"/>
  <c r="Z26" i="29"/>
  <c r="AB26" i="29"/>
  <c r="AE26" i="29"/>
  <c r="AU26" i="29"/>
  <c r="AV26" i="29"/>
  <c r="V26" i="29" s="1"/>
  <c r="AW26" i="29"/>
  <c r="S26" i="29" s="1"/>
  <c r="BN26" i="29"/>
  <c r="BO26" i="29"/>
  <c r="AD26" i="29" s="1"/>
  <c r="BP26" i="29"/>
  <c r="AI26" i="29" s="1"/>
  <c r="W27" i="29"/>
  <c r="AU27" i="29"/>
  <c r="AV27" i="29"/>
  <c r="Z27" i="29" s="1"/>
  <c r="AW27" i="29"/>
  <c r="BN27" i="29"/>
  <c r="BO27" i="29"/>
  <c r="AD27" i="29" s="1"/>
  <c r="BP27" i="29"/>
  <c r="AE27" i="29" s="1"/>
  <c r="W28" i="29"/>
  <c r="X28" i="29"/>
  <c r="L28" i="29" s="1"/>
  <c r="AA28" i="29"/>
  <c r="AU28" i="29"/>
  <c r="AV28" i="29"/>
  <c r="AH28" i="29" s="1"/>
  <c r="AW28" i="29"/>
  <c r="S28" i="29" s="1"/>
  <c r="BN28" i="29"/>
  <c r="BO28" i="29"/>
  <c r="AD28" i="29" s="1"/>
  <c r="BP28" i="29"/>
  <c r="AE28" i="29" s="1"/>
  <c r="V29" i="29"/>
  <c r="X29" i="29"/>
  <c r="L29" i="29" s="1"/>
  <c r="P29" i="29" s="1"/>
  <c r="Z29" i="29"/>
  <c r="AU29" i="29"/>
  <c r="AV29" i="29"/>
  <c r="N29" i="29" s="1"/>
  <c r="AW29" i="29"/>
  <c r="O29" i="29" s="1"/>
  <c r="BN29" i="29"/>
  <c r="BO29" i="29"/>
  <c r="AD29" i="29" s="1"/>
  <c r="BP29" i="29"/>
  <c r="AI29" i="29" s="1"/>
  <c r="AU30" i="29"/>
  <c r="AV30" i="29"/>
  <c r="R30" i="29" s="1"/>
  <c r="AW30" i="29"/>
  <c r="O30" i="29" s="1"/>
  <c r="BN30" i="29"/>
  <c r="BO30" i="29"/>
  <c r="AD30" i="29" s="1"/>
  <c r="BP30" i="29"/>
  <c r="AE30" i="29" s="1"/>
  <c r="V31" i="29"/>
  <c r="X31" i="29"/>
  <c r="L31" i="29" s="1"/>
  <c r="P31" i="29" s="1"/>
  <c r="Z31" i="29"/>
  <c r="AE31" i="29"/>
  <c r="AH31" i="29"/>
  <c r="AU31" i="29"/>
  <c r="AV31" i="29"/>
  <c r="N31" i="29" s="1"/>
  <c r="AW31" i="29"/>
  <c r="O31" i="29" s="1"/>
  <c r="BN31" i="29"/>
  <c r="BO31" i="29"/>
  <c r="AD31" i="29" s="1"/>
  <c r="BP31" i="29"/>
  <c r="AI31" i="29" s="1"/>
  <c r="L32" i="29"/>
  <c r="S32" i="29"/>
  <c r="X32" i="29"/>
  <c r="AI32" i="29"/>
  <c r="AU32" i="29"/>
  <c r="AV32" i="29"/>
  <c r="N32" i="29" s="1"/>
  <c r="AW32" i="29"/>
  <c r="O32" i="29" s="1"/>
  <c r="BN32" i="29"/>
  <c r="BO32" i="29"/>
  <c r="AD32" i="29" s="1"/>
  <c r="BP32" i="29"/>
  <c r="AE32" i="29" s="1"/>
  <c r="X33" i="29"/>
  <c r="Z33" i="29"/>
  <c r="AI33" i="29"/>
  <c r="AU33" i="29"/>
  <c r="AV33" i="29"/>
  <c r="AH33" i="29" s="1"/>
  <c r="AW33" i="29"/>
  <c r="BN33" i="29"/>
  <c r="BO33" i="29"/>
  <c r="AD33" i="29" s="1"/>
  <c r="BP33" i="29"/>
  <c r="AE33" i="29" s="1"/>
  <c r="R34" i="29"/>
  <c r="X34" i="29"/>
  <c r="L34" i="29" s="1"/>
  <c r="AU34" i="29"/>
  <c r="AV34" i="29"/>
  <c r="AH34" i="29" s="1"/>
  <c r="AW34" i="29"/>
  <c r="S34" i="29" s="1"/>
  <c r="BN34" i="29"/>
  <c r="BO34" i="29"/>
  <c r="AD34" i="29" s="1"/>
  <c r="BP34" i="29"/>
  <c r="AE34" i="29" s="1"/>
  <c r="X35" i="29"/>
  <c r="L35" i="29" s="1"/>
  <c r="AE35" i="29"/>
  <c r="AU35" i="29"/>
  <c r="AV35" i="29"/>
  <c r="N35" i="29" s="1"/>
  <c r="AW35" i="29"/>
  <c r="W35" i="29" s="1"/>
  <c r="BN35" i="29"/>
  <c r="BO35" i="29"/>
  <c r="AD35" i="29" s="1"/>
  <c r="BP35" i="29"/>
  <c r="AI35" i="29" s="1"/>
  <c r="L36" i="29"/>
  <c r="W36" i="29"/>
  <c r="X36" i="29"/>
  <c r="AH36" i="29"/>
  <c r="AU36" i="29"/>
  <c r="AV36" i="29"/>
  <c r="AW36" i="29"/>
  <c r="O36" i="29" s="1"/>
  <c r="BN36" i="29"/>
  <c r="BO36" i="29"/>
  <c r="AD36" i="29" s="1"/>
  <c r="BP36" i="29"/>
  <c r="AE36" i="29" s="1"/>
  <c r="S37" i="29"/>
  <c r="X37" i="29"/>
  <c r="L37" i="29" s="1"/>
  <c r="P37" i="29" s="1"/>
  <c r="AI37" i="29"/>
  <c r="AU37" i="29"/>
  <c r="AV37" i="29"/>
  <c r="R37" i="29" s="1"/>
  <c r="AW37" i="29"/>
  <c r="W37" i="29" s="1"/>
  <c r="BN37" i="29"/>
  <c r="BO37" i="29"/>
  <c r="AD37" i="29" s="1"/>
  <c r="BP37" i="29"/>
  <c r="AE37" i="29" s="1"/>
  <c r="X38" i="29"/>
  <c r="L38" i="29" s="1"/>
  <c r="AI38" i="29"/>
  <c r="AU38" i="29"/>
  <c r="AV38" i="29"/>
  <c r="N38" i="29" s="1"/>
  <c r="AW38" i="29"/>
  <c r="O38" i="29" s="1"/>
  <c r="BN38" i="29"/>
  <c r="BO38" i="29"/>
  <c r="AD38" i="29" s="1"/>
  <c r="BP38" i="29"/>
  <c r="AE38" i="29" s="1"/>
  <c r="W39" i="29"/>
  <c r="X39" i="29"/>
  <c r="L39" i="29" s="1"/>
  <c r="Z39" i="29"/>
  <c r="AU39" i="29"/>
  <c r="AV39" i="29"/>
  <c r="V39" i="29" s="1"/>
  <c r="AW39" i="29"/>
  <c r="S39" i="29" s="1"/>
  <c r="BN39" i="29"/>
  <c r="BO39" i="29"/>
  <c r="AD39" i="29" s="1"/>
  <c r="BP39" i="29"/>
  <c r="AE39" i="29" s="1"/>
  <c r="R40" i="29"/>
  <c r="X40" i="29"/>
  <c r="L40" i="29" s="1"/>
  <c r="Z40" i="29"/>
  <c r="AE40" i="29"/>
  <c r="AU40" i="29"/>
  <c r="AV40" i="29"/>
  <c r="N40" i="29" s="1"/>
  <c r="AW40" i="29"/>
  <c r="W40" i="29" s="1"/>
  <c r="BN40" i="29"/>
  <c r="BO40" i="29"/>
  <c r="AD40" i="29" s="1"/>
  <c r="BP40" i="29"/>
  <c r="AI40" i="29" s="1"/>
  <c r="L1" i="29"/>
  <c r="L8" i="29" s="1"/>
  <c r="P1" i="29"/>
  <c r="P8" i="29" s="1"/>
  <c r="T1" i="29"/>
  <c r="T8" i="29" s="1"/>
  <c r="X1" i="29"/>
  <c r="X7" i="29"/>
  <c r="AB7" i="29"/>
  <c r="AF7" i="29"/>
  <c r="X8" i="29"/>
  <c r="AB8" i="29"/>
  <c r="AF8" i="29"/>
  <c r="P9" i="29"/>
  <c r="T9" i="29"/>
  <c r="X9" i="29"/>
  <c r="AB9" i="29"/>
  <c r="AF9" i="29"/>
  <c r="P10" i="29"/>
  <c r="X10" i="29"/>
  <c r="AB10" i="29"/>
  <c r="AF10" i="29"/>
  <c r="T11" i="29"/>
  <c r="X11" i="29"/>
  <c r="AB11" i="29"/>
  <c r="AF11" i="29"/>
  <c r="L12" i="29"/>
  <c r="T12" i="29"/>
  <c r="X12" i="29"/>
  <c r="AB12" i="29"/>
  <c r="AF12" i="29"/>
  <c r="L13" i="29"/>
  <c r="AL13" i="29"/>
  <c r="S13" i="29" s="1"/>
  <c r="AU13" i="29"/>
  <c r="AV13" i="29"/>
  <c r="Z13" i="29" s="1"/>
  <c r="AW13" i="29"/>
  <c r="BN13" i="29"/>
  <c r="BO13" i="29"/>
  <c r="AD13" i="29" s="1"/>
  <c r="BP13" i="29"/>
  <c r="AI13" i="29" s="1"/>
  <c r="P14" i="29"/>
  <c r="AL14" i="29"/>
  <c r="AU14" i="29"/>
  <c r="AV14" i="29"/>
  <c r="Z14" i="29" s="1"/>
  <c r="AW14" i="29"/>
  <c r="BN14" i="29"/>
  <c r="BO14" i="29"/>
  <c r="AD14" i="29" s="1"/>
  <c r="BP14" i="29"/>
  <c r="T15" i="29"/>
  <c r="AL15" i="29"/>
  <c r="W15" i="29" s="1"/>
  <c r="AU15" i="29"/>
  <c r="AV15" i="29"/>
  <c r="Z15" i="29" s="1"/>
  <c r="AW15" i="29"/>
  <c r="BN15" i="29"/>
  <c r="BO15" i="29"/>
  <c r="AD15" i="29" s="1"/>
  <c r="BP15" i="29"/>
  <c r="AI15" i="29" s="1"/>
  <c r="R16" i="29"/>
  <c r="X16" i="29"/>
  <c r="AU16" i="29"/>
  <c r="AV16" i="29"/>
  <c r="V16" i="29" s="1"/>
  <c r="AW16" i="29"/>
  <c r="O16" i="29" s="1"/>
  <c r="BN16" i="29"/>
  <c r="BO16" i="29"/>
  <c r="AD16" i="29" s="1"/>
  <c r="BP16" i="29"/>
  <c r="AI16" i="29" s="1"/>
  <c r="N17" i="29"/>
  <c r="S17" i="29"/>
  <c r="W17" i="29"/>
  <c r="AA17" i="29"/>
  <c r="AU17" i="29"/>
  <c r="AV17" i="29"/>
  <c r="R17" i="29" s="1"/>
  <c r="AW17" i="29"/>
  <c r="O17" i="29" s="1"/>
  <c r="BN17" i="29"/>
  <c r="BO17" i="29"/>
  <c r="AD17" i="29" s="1"/>
  <c r="BP17" i="29"/>
  <c r="AE17" i="29" s="1"/>
  <c r="Z18" i="29"/>
  <c r="AU18" i="29"/>
  <c r="AV18" i="29"/>
  <c r="N18" i="29" s="1"/>
  <c r="AW18" i="29"/>
  <c r="BN18" i="29"/>
  <c r="BO18" i="29"/>
  <c r="AD18" i="29" s="1"/>
  <c r="BP18" i="29"/>
  <c r="AE18" i="29" s="1"/>
  <c r="X19" i="29"/>
  <c r="L19" i="29" s="1"/>
  <c r="AI19" i="29"/>
  <c r="AU19" i="29"/>
  <c r="AV19" i="29"/>
  <c r="Z19" i="29" s="1"/>
  <c r="AW19" i="29"/>
  <c r="S19" i="29" s="1"/>
  <c r="BN19" i="29"/>
  <c r="BO19" i="29"/>
  <c r="AD19" i="29" s="1"/>
  <c r="BP19" i="29"/>
  <c r="AE19" i="29" s="1"/>
  <c r="L20" i="29"/>
  <c r="P20" i="29" s="1"/>
  <c r="T20" i="29"/>
  <c r="AU20" i="29"/>
  <c r="AV20" i="29"/>
  <c r="N20" i="29" s="1"/>
  <c r="AW20" i="29"/>
  <c r="W20" i="29" s="1"/>
  <c r="BN20" i="29"/>
  <c r="BO20" i="29"/>
  <c r="AD20" i="29" s="1"/>
  <c r="BP20" i="29"/>
  <c r="AI20" i="29" s="1"/>
  <c r="P129" i="28"/>
  <c r="P130" i="28" s="1"/>
  <c r="P131" i="28" s="1"/>
  <c r="P84" i="28" s="1"/>
  <c r="X84" i="28" s="1"/>
  <c r="AF84" i="28" s="1"/>
  <c r="AN84" i="28" s="1"/>
  <c r="L130" i="28"/>
  <c r="L131" i="28" s="1"/>
  <c r="BA84" i="28" s="1"/>
  <c r="AJ84" i="28" s="1"/>
  <c r="J137" i="28"/>
  <c r="J138" i="28"/>
  <c r="J139" i="28"/>
  <c r="J140" i="28"/>
  <c r="J141" i="28"/>
  <c r="J142" i="28"/>
  <c r="N113" i="28"/>
  <c r="T113" i="28"/>
  <c r="AB113" i="28"/>
  <c r="AD113" i="28"/>
  <c r="AL113" i="28"/>
  <c r="BL113" i="28"/>
  <c r="BM113" i="28"/>
  <c r="V113" i="28" s="1"/>
  <c r="BN113" i="28"/>
  <c r="S113" i="28" s="1"/>
  <c r="CE113" i="28"/>
  <c r="CF113" i="28"/>
  <c r="AT113" i="28" s="1"/>
  <c r="CG113" i="28"/>
  <c r="AU113" i="28" s="1"/>
  <c r="T114" i="28"/>
  <c r="AB114" i="28"/>
  <c r="AD114" i="28"/>
  <c r="AI114" i="28"/>
  <c r="BL114" i="28"/>
  <c r="BM114" i="28"/>
  <c r="Z114" i="28" s="1"/>
  <c r="BN114" i="28"/>
  <c r="AM114" i="28" s="1"/>
  <c r="CE114" i="28"/>
  <c r="CF114" i="28"/>
  <c r="AT114" i="28" s="1"/>
  <c r="CG114" i="28"/>
  <c r="AU114" i="28" s="1"/>
  <c r="T115" i="28"/>
  <c r="AB115" i="28"/>
  <c r="AH115" i="28"/>
  <c r="BL115" i="28"/>
  <c r="BM115" i="28"/>
  <c r="V115" i="28" s="1"/>
  <c r="BN115" i="28"/>
  <c r="S115" i="28" s="1"/>
  <c r="CE115" i="28"/>
  <c r="CF115" i="28"/>
  <c r="AT115" i="28" s="1"/>
  <c r="CG115" i="28"/>
  <c r="AU115" i="28" s="1"/>
  <c r="T116" i="28"/>
  <c r="AB116" i="28"/>
  <c r="AH116" i="28"/>
  <c r="BL116" i="28"/>
  <c r="BM116" i="28"/>
  <c r="Z116" i="28" s="1"/>
  <c r="BN116" i="28"/>
  <c r="AM116" i="28" s="1"/>
  <c r="CE116" i="28"/>
  <c r="CF116" i="28"/>
  <c r="AT116" i="28" s="1"/>
  <c r="CG116" i="28"/>
  <c r="AU116" i="28" s="1"/>
  <c r="AI117" i="28"/>
  <c r="AJ117" i="28"/>
  <c r="L117" i="28" s="1"/>
  <c r="AM117" i="28"/>
  <c r="AX117" i="28"/>
  <c r="BL117" i="28"/>
  <c r="BM117" i="28"/>
  <c r="BN117" i="28"/>
  <c r="O117" i="28" s="1"/>
  <c r="CE117" i="28"/>
  <c r="CF117" i="28"/>
  <c r="AT117" i="28" s="1"/>
  <c r="CG117" i="28"/>
  <c r="AU117" i="28" s="1"/>
  <c r="P124" i="28"/>
  <c r="P125" i="28" s="1"/>
  <c r="P126" i="28" s="1"/>
  <c r="L125" i="28"/>
  <c r="L126" i="28" s="1"/>
  <c r="BA83" i="28" s="1"/>
  <c r="AJ83" i="28" s="1"/>
  <c r="L83" i="28" s="1"/>
  <c r="Z97" i="28"/>
  <c r="AA97" i="28"/>
  <c r="AI97" i="28"/>
  <c r="AL97" i="28"/>
  <c r="AM97" i="28"/>
  <c r="BL97" i="28"/>
  <c r="BM97" i="28"/>
  <c r="N97" i="28" s="1"/>
  <c r="BN97" i="28"/>
  <c r="O97" i="28" s="1"/>
  <c r="CE97" i="28"/>
  <c r="CF97" i="28"/>
  <c r="AT97" i="28" s="1"/>
  <c r="CG97" i="28"/>
  <c r="AU97" i="28" s="1"/>
  <c r="R98" i="28"/>
  <c r="S98" i="28"/>
  <c r="AA98" i="28"/>
  <c r="AI98" i="28"/>
  <c r="AM98" i="28"/>
  <c r="AQ98" i="28"/>
  <c r="BL98" i="28"/>
  <c r="BM98" i="28"/>
  <c r="V98" i="28" s="1"/>
  <c r="BN98" i="28"/>
  <c r="W98" i="28" s="1"/>
  <c r="CE98" i="28"/>
  <c r="CF98" i="28"/>
  <c r="AX98" i="28" s="1"/>
  <c r="CG98" i="28"/>
  <c r="AU98" i="28" s="1"/>
  <c r="Z99" i="28"/>
  <c r="AF99" i="28"/>
  <c r="BL99" i="28"/>
  <c r="BM99" i="28"/>
  <c r="N99" i="28" s="1"/>
  <c r="BN99" i="28"/>
  <c r="O99" i="28" s="1"/>
  <c r="CE99" i="28"/>
  <c r="CF99" i="28"/>
  <c r="AT99" i="28" s="1"/>
  <c r="CG99" i="28"/>
  <c r="AU99" i="28" s="1"/>
  <c r="R100" i="28"/>
  <c r="AN100" i="28"/>
  <c r="BL100" i="28"/>
  <c r="BM100" i="28"/>
  <c r="V100" i="28" s="1"/>
  <c r="BN100" i="28"/>
  <c r="AM100" i="28" s="1"/>
  <c r="CE100" i="28"/>
  <c r="CF100" i="28"/>
  <c r="CG100" i="28"/>
  <c r="AU100" i="28" s="1"/>
  <c r="Z101" i="28"/>
  <c r="AI101" i="28"/>
  <c r="AJ101" i="28"/>
  <c r="AM101" i="28"/>
  <c r="BL101" i="28"/>
  <c r="BM101" i="28"/>
  <c r="BN101" i="28"/>
  <c r="AA101" i="28" s="1"/>
  <c r="CE101" i="28"/>
  <c r="CF101" i="28"/>
  <c r="AT101" i="28" s="1"/>
  <c r="CG101" i="28"/>
  <c r="AU101" i="28" s="1"/>
  <c r="N102" i="28"/>
  <c r="R102" i="28"/>
  <c r="V102" i="28"/>
  <c r="AD102" i="28"/>
  <c r="AH102" i="28"/>
  <c r="AI102" i="28"/>
  <c r="AL102" i="28"/>
  <c r="BL102" i="28"/>
  <c r="BM102" i="28"/>
  <c r="Z102" i="28" s="1"/>
  <c r="BN102" i="28"/>
  <c r="W102" i="28" s="1"/>
  <c r="CE102" i="28"/>
  <c r="CF102" i="28"/>
  <c r="AT102" i="28" s="1"/>
  <c r="CG102" i="28"/>
  <c r="AU102" i="28" s="1"/>
  <c r="O103" i="28"/>
  <c r="AE103" i="28"/>
  <c r="AH103" i="28"/>
  <c r="AP103" i="28"/>
  <c r="BL103" i="28"/>
  <c r="BM103" i="28"/>
  <c r="R103" i="28" s="1"/>
  <c r="BN103" i="28"/>
  <c r="S103" i="28" s="1"/>
  <c r="CE103" i="28"/>
  <c r="CF103" i="28"/>
  <c r="AT103" i="28" s="1"/>
  <c r="CG103" i="28"/>
  <c r="AY103" i="28" s="1"/>
  <c r="N104" i="28"/>
  <c r="AH104" i="28"/>
  <c r="AP104" i="28"/>
  <c r="BL104" i="28"/>
  <c r="BM104" i="28"/>
  <c r="R104" i="28" s="1"/>
  <c r="BN104" i="28"/>
  <c r="O104" i="28" s="1"/>
  <c r="CE104" i="28"/>
  <c r="CF104" i="28"/>
  <c r="AT104" i="28" s="1"/>
  <c r="CG104" i="28"/>
  <c r="AU104" i="28" s="1"/>
  <c r="W105" i="28"/>
  <c r="BL105" i="28"/>
  <c r="BM105" i="28"/>
  <c r="BN105" i="28"/>
  <c r="AA105" i="28" s="1"/>
  <c r="CE105" i="28"/>
  <c r="CF105" i="28"/>
  <c r="AT105" i="28" s="1"/>
  <c r="CG105" i="28"/>
  <c r="AU105" i="28" s="1"/>
  <c r="AD106" i="28"/>
  <c r="AH106" i="28"/>
  <c r="AL106" i="28"/>
  <c r="BL106" i="28"/>
  <c r="BM106" i="28"/>
  <c r="Z106" i="28" s="1"/>
  <c r="BN106" i="28"/>
  <c r="W106" i="28" s="1"/>
  <c r="CE106" i="28"/>
  <c r="CF106" i="28"/>
  <c r="AT106" i="28" s="1"/>
  <c r="CG106" i="28"/>
  <c r="AU106" i="28" s="1"/>
  <c r="N107" i="28"/>
  <c r="AE107" i="28"/>
  <c r="AL107" i="28"/>
  <c r="BL107" i="28"/>
  <c r="BM107" i="28"/>
  <c r="AP107" i="28" s="1"/>
  <c r="BN107" i="28"/>
  <c r="S107" i="28" s="1"/>
  <c r="CE107" i="28"/>
  <c r="CF107" i="28"/>
  <c r="AT107" i="28" s="1"/>
  <c r="CG107" i="28"/>
  <c r="Z108" i="28"/>
  <c r="AE108" i="28"/>
  <c r="AI108" i="28"/>
  <c r="AJ108" i="28"/>
  <c r="L108" i="28" s="1"/>
  <c r="AL108" i="28"/>
  <c r="BL108" i="28"/>
  <c r="BM108" i="28"/>
  <c r="N108" i="28" s="1"/>
  <c r="BN108" i="28"/>
  <c r="AA108" i="28" s="1"/>
  <c r="CE108" i="28"/>
  <c r="CF108" i="28"/>
  <c r="AT108" i="28" s="1"/>
  <c r="CG108" i="28"/>
  <c r="AU108" i="28" s="1"/>
  <c r="N109" i="28"/>
  <c r="T109" i="28"/>
  <c r="AB109" i="28"/>
  <c r="AD109" i="28"/>
  <c r="AL109" i="28"/>
  <c r="BL109" i="28"/>
  <c r="BM109" i="28"/>
  <c r="V109" i="28" s="1"/>
  <c r="BN109" i="28"/>
  <c r="S109" i="28" s="1"/>
  <c r="CE109" i="28"/>
  <c r="CF109" i="28"/>
  <c r="AT109" i="28" s="1"/>
  <c r="CG109" i="28"/>
  <c r="AU109" i="28" s="1"/>
  <c r="T110" i="28"/>
  <c r="AB110" i="28"/>
  <c r="AD110" i="28"/>
  <c r="AI110" i="28"/>
  <c r="BL110" i="28"/>
  <c r="BM110" i="28"/>
  <c r="Z110" i="28" s="1"/>
  <c r="BN110" i="28"/>
  <c r="AM110" i="28" s="1"/>
  <c r="CE110" i="28"/>
  <c r="CF110" i="28"/>
  <c r="AT110" i="28" s="1"/>
  <c r="CG110" i="28"/>
  <c r="AU110" i="28" s="1"/>
  <c r="T111" i="28"/>
  <c r="AB111" i="28"/>
  <c r="AH111" i="28"/>
  <c r="BL111" i="28"/>
  <c r="BM111" i="28"/>
  <c r="V111" i="28" s="1"/>
  <c r="BN111" i="28"/>
  <c r="S111" i="28" s="1"/>
  <c r="CE111" i="28"/>
  <c r="CF111" i="28"/>
  <c r="AT111" i="28" s="1"/>
  <c r="CG111" i="28"/>
  <c r="AU111" i="28" s="1"/>
  <c r="T112" i="28"/>
  <c r="AB112" i="28"/>
  <c r="AH112" i="28"/>
  <c r="AY112" i="28"/>
  <c r="BL112" i="28"/>
  <c r="BM112" i="28"/>
  <c r="Z112" i="28" s="1"/>
  <c r="BN112" i="28"/>
  <c r="AM112" i="28" s="1"/>
  <c r="CE112" i="28"/>
  <c r="CF112" i="28"/>
  <c r="AT112" i="28" s="1"/>
  <c r="CG112" i="28"/>
  <c r="AU112" i="28" s="1"/>
  <c r="P81" i="28"/>
  <c r="Z81" i="28"/>
  <c r="AH81" i="28"/>
  <c r="AJ81" i="28"/>
  <c r="L81" i="28" s="1"/>
  <c r="BL81" i="28"/>
  <c r="BM81" i="28"/>
  <c r="AP81" i="28" s="1"/>
  <c r="BN81" i="28"/>
  <c r="AQ81" i="28" s="1"/>
  <c r="CE81" i="28"/>
  <c r="CF81" i="28"/>
  <c r="AT81" i="28" s="1"/>
  <c r="CG81" i="28"/>
  <c r="AU81" i="28" s="1"/>
  <c r="P82" i="28"/>
  <c r="AA82" i="28"/>
  <c r="AI82" i="28"/>
  <c r="AJ82" i="28"/>
  <c r="L82" i="28" s="1"/>
  <c r="AM82" i="28"/>
  <c r="AX82" i="28"/>
  <c r="BL82" i="28"/>
  <c r="BM82" i="28"/>
  <c r="BN82" i="28"/>
  <c r="AQ82" i="28" s="1"/>
  <c r="CE82" i="28"/>
  <c r="CF82" i="28"/>
  <c r="AT82" i="28" s="1"/>
  <c r="CG82" i="28"/>
  <c r="AU82" i="28" s="1"/>
  <c r="P83" i="28"/>
  <c r="X83" i="28" s="1"/>
  <c r="AF83" i="28" s="1"/>
  <c r="AN83" i="28" s="1"/>
  <c r="AA83" i="28"/>
  <c r="AE83" i="28"/>
  <c r="AX83" i="28"/>
  <c r="AY83" i="28"/>
  <c r="BL83" i="28"/>
  <c r="BM83" i="28"/>
  <c r="AD83" i="28" s="1"/>
  <c r="BN83" i="28"/>
  <c r="AQ83" i="28" s="1"/>
  <c r="CE83" i="28"/>
  <c r="CF83" i="28"/>
  <c r="AT83" i="28" s="1"/>
  <c r="CG83" i="28"/>
  <c r="AU83" i="28" s="1"/>
  <c r="L84" i="28"/>
  <c r="S84" i="28"/>
  <c r="V84" i="28"/>
  <c r="W84" i="28"/>
  <c r="AI84" i="28"/>
  <c r="AT84" i="28"/>
  <c r="AU84" i="28"/>
  <c r="BL84" i="28"/>
  <c r="BM84" i="28"/>
  <c r="R84" i="28" s="1"/>
  <c r="BN84" i="28"/>
  <c r="O84" i="28" s="1"/>
  <c r="CE84" i="28"/>
  <c r="CF84" i="28"/>
  <c r="AX84" i="28" s="1"/>
  <c r="CG84" i="28"/>
  <c r="AY84" i="28" s="1"/>
  <c r="O85" i="28"/>
  <c r="R85" i="28"/>
  <c r="S85" i="28"/>
  <c r="AM85" i="28"/>
  <c r="AU85" i="28"/>
  <c r="AY85" i="28"/>
  <c r="BL85" i="28"/>
  <c r="BM85" i="28"/>
  <c r="V85" i="28" s="1"/>
  <c r="BN85" i="28"/>
  <c r="AQ85" i="28" s="1"/>
  <c r="CE85" i="28"/>
  <c r="CF85" i="28"/>
  <c r="AT85" i="28" s="1"/>
  <c r="CG85" i="28"/>
  <c r="N86" i="28"/>
  <c r="O86" i="28"/>
  <c r="R86" i="28"/>
  <c r="Z86" i="28"/>
  <c r="AE86" i="28"/>
  <c r="AI86" i="28"/>
  <c r="AL86" i="28"/>
  <c r="AP86" i="28"/>
  <c r="AT86" i="28"/>
  <c r="BL86" i="28"/>
  <c r="BM86" i="28"/>
  <c r="AD86" i="28" s="1"/>
  <c r="BN86" i="28"/>
  <c r="AA86" i="28" s="1"/>
  <c r="CE86" i="28"/>
  <c r="CF86" i="28"/>
  <c r="AX86" i="28" s="1"/>
  <c r="CG86" i="28"/>
  <c r="AY86" i="28" s="1"/>
  <c r="O87" i="28"/>
  <c r="P87" i="28"/>
  <c r="S87" i="28"/>
  <c r="X87" i="28"/>
  <c r="AN87" i="28"/>
  <c r="BA87" i="28"/>
  <c r="BL87" i="28"/>
  <c r="BM87" i="28"/>
  <c r="AP87" i="28" s="1"/>
  <c r="BN87" i="28"/>
  <c r="AQ87" i="28" s="1"/>
  <c r="CE87" i="28"/>
  <c r="CF87" i="28"/>
  <c r="AX87" i="28" s="1"/>
  <c r="CG87" i="28"/>
  <c r="AU87" i="28" s="1"/>
  <c r="R88" i="28"/>
  <c r="AX88" i="28"/>
  <c r="BA88" i="28"/>
  <c r="BL88" i="28"/>
  <c r="BM88" i="28"/>
  <c r="Z88" i="28" s="1"/>
  <c r="BN88" i="28"/>
  <c r="S88" i="28" s="1"/>
  <c r="CE88" i="28"/>
  <c r="CF88" i="28"/>
  <c r="AT88" i="28" s="1"/>
  <c r="CG88" i="28"/>
  <c r="W89" i="28"/>
  <c r="AE89" i="28"/>
  <c r="AJ89" i="28"/>
  <c r="L89" i="28" s="1"/>
  <c r="AY89" i="28"/>
  <c r="BL89" i="28"/>
  <c r="BM89" i="28"/>
  <c r="N89" i="28" s="1"/>
  <c r="BN89" i="28"/>
  <c r="AA89" i="28" s="1"/>
  <c r="CE89" i="28"/>
  <c r="CF89" i="28"/>
  <c r="AT89" i="28" s="1"/>
  <c r="CG89" i="28"/>
  <c r="AU89" i="28" s="1"/>
  <c r="AI90" i="28"/>
  <c r="AJ90" i="28"/>
  <c r="L90" i="28" s="1"/>
  <c r="AM90" i="28"/>
  <c r="BL90" i="28"/>
  <c r="BM90" i="28"/>
  <c r="BN90" i="28"/>
  <c r="O90" i="28" s="1"/>
  <c r="CE90" i="28"/>
  <c r="CF90" i="28"/>
  <c r="AT90" i="28" s="1"/>
  <c r="CG90" i="28"/>
  <c r="AU90" i="28" s="1"/>
  <c r="AJ91" i="28"/>
  <c r="L91" i="28" s="1"/>
  <c r="T91" i="28" s="1"/>
  <c r="BL91" i="28"/>
  <c r="BM91" i="28"/>
  <c r="N91" i="28" s="1"/>
  <c r="BN91" i="28"/>
  <c r="AI91" i="28" s="1"/>
  <c r="CE91" i="28"/>
  <c r="CF91" i="28"/>
  <c r="AT91" i="28" s="1"/>
  <c r="CG91" i="28"/>
  <c r="AU91" i="28" s="1"/>
  <c r="AD92" i="28"/>
  <c r="AN92" i="28"/>
  <c r="AU92" i="28"/>
  <c r="AY92" i="28"/>
  <c r="BL92" i="28"/>
  <c r="BM92" i="28"/>
  <c r="V92" i="28" s="1"/>
  <c r="BN92" i="28"/>
  <c r="W92" i="28" s="1"/>
  <c r="CE92" i="28"/>
  <c r="CF92" i="28"/>
  <c r="AT92" i="28" s="1"/>
  <c r="CG92" i="28"/>
  <c r="P93" i="28"/>
  <c r="X93" i="28"/>
  <c r="AF93" i="28"/>
  <c r="AN93" i="28"/>
  <c r="BL93" i="28"/>
  <c r="BM93" i="28"/>
  <c r="AD93" i="28" s="1"/>
  <c r="BN93" i="28"/>
  <c r="AE93" i="28" s="1"/>
  <c r="CE93" i="28"/>
  <c r="CF93" i="28"/>
  <c r="AT93" i="28" s="1"/>
  <c r="CG93" i="28"/>
  <c r="AU93" i="28" s="1"/>
  <c r="X94" i="28"/>
  <c r="AD94" i="28"/>
  <c r="AT94" i="28"/>
  <c r="BL94" i="28"/>
  <c r="BM94" i="28"/>
  <c r="AH94" i="28" s="1"/>
  <c r="BN94" i="28"/>
  <c r="W94" i="28" s="1"/>
  <c r="CE94" i="28"/>
  <c r="CF94" i="28"/>
  <c r="AX94" i="28" s="1"/>
  <c r="CG94" i="28"/>
  <c r="AU94" i="28" s="1"/>
  <c r="Z95" i="28"/>
  <c r="AA95" i="28"/>
  <c r="AI95" i="28"/>
  <c r="BL95" i="28"/>
  <c r="BM95" i="28"/>
  <c r="N95" i="28" s="1"/>
  <c r="BN95" i="28"/>
  <c r="O95" i="28" s="1"/>
  <c r="CE95" i="28"/>
  <c r="CF95" i="28"/>
  <c r="AT95" i="28" s="1"/>
  <c r="CG95" i="28"/>
  <c r="AU95" i="28" s="1"/>
  <c r="AE96" i="28"/>
  <c r="AI96" i="28"/>
  <c r="AM96" i="28"/>
  <c r="BL96" i="28"/>
  <c r="BM96" i="28"/>
  <c r="V96" i="28" s="1"/>
  <c r="BN96" i="28"/>
  <c r="O96" i="28" s="1"/>
  <c r="CE96" i="28"/>
  <c r="CF96" i="28"/>
  <c r="AX96" i="28" s="1"/>
  <c r="CG96" i="28"/>
  <c r="AU96" i="28" s="1"/>
  <c r="Z65" i="28"/>
  <c r="AA65" i="28"/>
  <c r="AF65" i="28"/>
  <c r="AF96" i="28" s="1"/>
  <c r="AI65" i="28"/>
  <c r="AL65" i="28"/>
  <c r="AM65" i="28"/>
  <c r="BL65" i="28"/>
  <c r="BM65" i="28"/>
  <c r="N65" i="28" s="1"/>
  <c r="BN65" i="28"/>
  <c r="O65" i="28" s="1"/>
  <c r="CE65" i="28"/>
  <c r="CF65" i="28"/>
  <c r="AT65" i="28" s="1"/>
  <c r="CG65" i="28"/>
  <c r="AU65" i="28" s="1"/>
  <c r="O66" i="28"/>
  <c r="R66" i="28"/>
  <c r="AF66" i="28"/>
  <c r="AF97" i="28" s="1"/>
  <c r="AI66" i="28"/>
  <c r="AM66" i="28"/>
  <c r="AQ66" i="28"/>
  <c r="BL66" i="28"/>
  <c r="BM66" i="28"/>
  <c r="BN66" i="28"/>
  <c r="S66" i="28" s="1"/>
  <c r="CE66" i="28"/>
  <c r="CF66" i="28"/>
  <c r="AX66" i="28" s="1"/>
  <c r="CG66" i="28"/>
  <c r="AY66" i="28" s="1"/>
  <c r="S67" i="28"/>
  <c r="AF67" i="28"/>
  <c r="AF98" i="28" s="1"/>
  <c r="AI67" i="28"/>
  <c r="AM67" i="28"/>
  <c r="BL67" i="28"/>
  <c r="BM67" i="28"/>
  <c r="AL67" i="28" s="1"/>
  <c r="BN67" i="28"/>
  <c r="O67" i="28" s="1"/>
  <c r="CE67" i="28"/>
  <c r="CF67" i="28"/>
  <c r="AT67" i="28" s="1"/>
  <c r="CG67" i="28"/>
  <c r="AY67" i="28" s="1"/>
  <c r="V68" i="28"/>
  <c r="AD68" i="28"/>
  <c r="AH68" i="28"/>
  <c r="BL68" i="28"/>
  <c r="BM68" i="28"/>
  <c r="Z68" i="28" s="1"/>
  <c r="BN68" i="28"/>
  <c r="AE68" i="28" s="1"/>
  <c r="CE68" i="28"/>
  <c r="CF68" i="28"/>
  <c r="AT68" i="28" s="1"/>
  <c r="CG68" i="28"/>
  <c r="AY68" i="28" s="1"/>
  <c r="V69" i="28"/>
  <c r="AD69" i="28"/>
  <c r="AJ69" i="28"/>
  <c r="AP69" i="28"/>
  <c r="AQ69" i="28"/>
  <c r="BL69" i="28"/>
  <c r="BM69" i="28"/>
  <c r="R69" i="28" s="1"/>
  <c r="BN69" i="28"/>
  <c r="CE69" i="28"/>
  <c r="CF69" i="28"/>
  <c r="AT69" i="28" s="1"/>
  <c r="CG69" i="28"/>
  <c r="AU69" i="28" s="1"/>
  <c r="S70" i="28"/>
  <c r="AL70" i="28"/>
  <c r="AM70" i="28"/>
  <c r="AR70" i="28"/>
  <c r="BL70" i="28"/>
  <c r="BM70" i="28"/>
  <c r="Z70" i="28" s="1"/>
  <c r="BN70" i="28"/>
  <c r="AA70" i="28" s="1"/>
  <c r="CE70" i="28"/>
  <c r="CF70" i="28"/>
  <c r="AX70" i="28" s="1"/>
  <c r="CG70" i="28"/>
  <c r="AU70" i="28" s="1"/>
  <c r="L71" i="28"/>
  <c r="AT71" i="28"/>
  <c r="AY71" i="28"/>
  <c r="BL71" i="28"/>
  <c r="BM71" i="28"/>
  <c r="V71" i="28" s="1"/>
  <c r="BN71" i="28"/>
  <c r="AM71" i="28" s="1"/>
  <c r="CE71" i="28"/>
  <c r="CF71" i="28"/>
  <c r="AX71" i="28" s="1"/>
  <c r="CG71" i="28"/>
  <c r="AU71" i="28" s="1"/>
  <c r="V72" i="28"/>
  <c r="Z72" i="28"/>
  <c r="AD72" i="28"/>
  <c r="AY72" i="28"/>
  <c r="BL72" i="28"/>
  <c r="BM72" i="28"/>
  <c r="AH72" i="28" s="1"/>
  <c r="BN72" i="28"/>
  <c r="AM72" i="28" s="1"/>
  <c r="CE72" i="28"/>
  <c r="CF72" i="28"/>
  <c r="AT72" i="28" s="1"/>
  <c r="CG72" i="28"/>
  <c r="AU72" i="28" s="1"/>
  <c r="AF73" i="28"/>
  <c r="AL73" i="28"/>
  <c r="AX73" i="28"/>
  <c r="AY73" i="28"/>
  <c r="BL73" i="28"/>
  <c r="BM73" i="28"/>
  <c r="N73" i="28" s="1"/>
  <c r="BN73" i="28"/>
  <c r="AM73" i="28" s="1"/>
  <c r="CE73" i="28"/>
  <c r="CF73" i="28"/>
  <c r="AT73" i="28" s="1"/>
  <c r="CG73" i="28"/>
  <c r="AU73" i="28" s="1"/>
  <c r="V74" i="28"/>
  <c r="AB74" i="28"/>
  <c r="AF74" i="28"/>
  <c r="BL74" i="28"/>
  <c r="BM74" i="28"/>
  <c r="AP74" i="28" s="1"/>
  <c r="BN74" i="28"/>
  <c r="AM74" i="28" s="1"/>
  <c r="CE74" i="28"/>
  <c r="CF74" i="28"/>
  <c r="AX74" i="28" s="1"/>
  <c r="CG74" i="28"/>
  <c r="AY74" i="28" s="1"/>
  <c r="AF75" i="28"/>
  <c r="AX75" i="28"/>
  <c r="AY75" i="28"/>
  <c r="BL75" i="28"/>
  <c r="BM75" i="28"/>
  <c r="N75" i="28" s="1"/>
  <c r="BN75" i="28"/>
  <c r="AM75" i="28" s="1"/>
  <c r="CE75" i="28"/>
  <c r="CF75" i="28"/>
  <c r="AT75" i="28" s="1"/>
  <c r="CG75" i="28"/>
  <c r="AU75" i="28" s="1"/>
  <c r="N76" i="28"/>
  <c r="AB76" i="28"/>
  <c r="AF76" i="28"/>
  <c r="BL76" i="28"/>
  <c r="BM76" i="28"/>
  <c r="AL76" i="28" s="1"/>
  <c r="BN76" i="28"/>
  <c r="AM76" i="28" s="1"/>
  <c r="CE76" i="28"/>
  <c r="CF76" i="28"/>
  <c r="AT76" i="28" s="1"/>
  <c r="CG76" i="28"/>
  <c r="AU76" i="28" s="1"/>
  <c r="AB77" i="28"/>
  <c r="AF77" i="28"/>
  <c r="AM77" i="28"/>
  <c r="AX77" i="28"/>
  <c r="BL77" i="28"/>
  <c r="BM77" i="28"/>
  <c r="N77" i="28" s="1"/>
  <c r="BN77" i="28"/>
  <c r="CE77" i="28"/>
  <c r="CF77" i="28"/>
  <c r="AT77" i="28" s="1"/>
  <c r="CG77" i="28"/>
  <c r="AY77" i="28" s="1"/>
  <c r="AB78" i="28"/>
  <c r="AF78" i="28"/>
  <c r="AL78" i="28"/>
  <c r="BL78" i="28"/>
  <c r="BM78" i="28"/>
  <c r="AH78" i="28" s="1"/>
  <c r="BN78" i="28"/>
  <c r="AM78" i="28" s="1"/>
  <c r="CE78" i="28"/>
  <c r="CF78" i="28"/>
  <c r="AT78" i="28" s="1"/>
  <c r="CG78" i="28"/>
  <c r="AY78" i="28" s="1"/>
  <c r="AJ79" i="28"/>
  <c r="AB73" i="28" s="1"/>
  <c r="AY79" i="28"/>
  <c r="BL79" i="28"/>
  <c r="BM79" i="28"/>
  <c r="N79" i="28" s="1"/>
  <c r="BN79" i="28"/>
  <c r="AM79" i="28" s="1"/>
  <c r="CE79" i="28"/>
  <c r="CF79" i="28"/>
  <c r="AX79" i="28" s="1"/>
  <c r="CG79" i="28"/>
  <c r="AU79" i="28" s="1"/>
  <c r="AQ80" i="28"/>
  <c r="AR80" i="28"/>
  <c r="AX80" i="28"/>
  <c r="BL80" i="28"/>
  <c r="BM80" i="28"/>
  <c r="AP80" i="28" s="1"/>
  <c r="BN80" i="28"/>
  <c r="AE80" i="28" s="1"/>
  <c r="CE80" i="28"/>
  <c r="CF80" i="28"/>
  <c r="AT80" i="28" s="1"/>
  <c r="CG80" i="28"/>
  <c r="AU80" i="28" s="1"/>
  <c r="L49" i="28"/>
  <c r="T49" i="28" s="1"/>
  <c r="O49" i="28"/>
  <c r="AB49" i="28"/>
  <c r="AE49" i="28"/>
  <c r="AJ49" i="28"/>
  <c r="AU49" i="28"/>
  <c r="BL49" i="28"/>
  <c r="BM49" i="28"/>
  <c r="N49" i="28" s="1"/>
  <c r="BN49" i="28"/>
  <c r="S49" i="28" s="1"/>
  <c r="CE49" i="28"/>
  <c r="CF49" i="28"/>
  <c r="AX49" i="28" s="1"/>
  <c r="CG49" i="28"/>
  <c r="AY49" i="28" s="1"/>
  <c r="L50" i="28"/>
  <c r="AJ50" i="28"/>
  <c r="BL50" i="28"/>
  <c r="BM50" i="28"/>
  <c r="V50" i="28" s="1"/>
  <c r="BN50" i="28"/>
  <c r="AI50" i="28" s="1"/>
  <c r="CE50" i="28"/>
  <c r="CF50" i="28"/>
  <c r="AT50" i="28" s="1"/>
  <c r="CG50" i="28"/>
  <c r="AY50" i="28" s="1"/>
  <c r="V51" i="28"/>
  <c r="AD51" i="28"/>
  <c r="AH51" i="28"/>
  <c r="AJ51" i="28"/>
  <c r="L51" i="28" s="1"/>
  <c r="BL51" i="28"/>
  <c r="BM51" i="28"/>
  <c r="N51" i="28" s="1"/>
  <c r="BN51" i="28"/>
  <c r="AA51" i="28" s="1"/>
  <c r="CE51" i="28"/>
  <c r="CF51" i="28"/>
  <c r="AT51" i="28" s="1"/>
  <c r="CG51" i="28"/>
  <c r="AU51" i="28" s="1"/>
  <c r="O52" i="28"/>
  <c r="P52" i="28"/>
  <c r="R52" i="28"/>
  <c r="V52" i="28"/>
  <c r="X52" i="28"/>
  <c r="Z52" i="28"/>
  <c r="AJ52" i="28"/>
  <c r="L52" i="28" s="1"/>
  <c r="AL52" i="28"/>
  <c r="AP52" i="28"/>
  <c r="BL52" i="28"/>
  <c r="BM52" i="28"/>
  <c r="N52" i="28" s="1"/>
  <c r="BN52" i="28"/>
  <c r="AA52" i="28" s="1"/>
  <c r="CE52" i="28"/>
  <c r="CF52" i="28"/>
  <c r="AT52" i="28" s="1"/>
  <c r="CG52" i="28"/>
  <c r="AU52" i="28" s="1"/>
  <c r="O53" i="28"/>
  <c r="P53" i="28"/>
  <c r="S53" i="28"/>
  <c r="AJ53" i="28"/>
  <c r="L53" i="28" s="1"/>
  <c r="AM53" i="28"/>
  <c r="BL53" i="28"/>
  <c r="BM53" i="28"/>
  <c r="BN53" i="28"/>
  <c r="W53" i="28" s="1"/>
  <c r="CE53" i="28"/>
  <c r="CF53" i="28"/>
  <c r="AT53" i="28" s="1"/>
  <c r="CG53" i="28"/>
  <c r="AU53" i="28" s="1"/>
  <c r="L54" i="28"/>
  <c r="T54" i="28" s="1"/>
  <c r="AI54" i="28"/>
  <c r="AJ54" i="28"/>
  <c r="AL54" i="28"/>
  <c r="BL54" i="28"/>
  <c r="BM54" i="28"/>
  <c r="N54" i="28" s="1"/>
  <c r="BN54" i="28"/>
  <c r="S54" i="28" s="1"/>
  <c r="CE54" i="28"/>
  <c r="CF54" i="28"/>
  <c r="AT54" i="28" s="1"/>
  <c r="CG54" i="28"/>
  <c r="AU54" i="28" s="1"/>
  <c r="R55" i="28"/>
  <c r="AD55" i="28"/>
  <c r="AH55" i="28"/>
  <c r="AJ55" i="28"/>
  <c r="L55" i="28" s="1"/>
  <c r="AB55" i="28" s="1"/>
  <c r="AL55" i="28"/>
  <c r="AP55" i="28"/>
  <c r="BL55" i="28"/>
  <c r="BM55" i="28"/>
  <c r="V55" i="28" s="1"/>
  <c r="BN55" i="28"/>
  <c r="AI55" i="28" s="1"/>
  <c r="CE55" i="28"/>
  <c r="CF55" i="28"/>
  <c r="AX55" i="28" s="1"/>
  <c r="CG55" i="28"/>
  <c r="AY55" i="28" s="1"/>
  <c r="O56" i="28"/>
  <c r="T56" i="28"/>
  <c r="AB56" i="28"/>
  <c r="AQ56" i="28"/>
  <c r="AX56" i="28"/>
  <c r="AY56" i="28"/>
  <c r="BL56" i="28"/>
  <c r="BM56" i="28"/>
  <c r="BN56" i="28"/>
  <c r="AA56" i="28" s="1"/>
  <c r="CE56" i="28"/>
  <c r="CF56" i="28"/>
  <c r="AT56" i="28" s="1"/>
  <c r="CG56" i="28"/>
  <c r="AU56" i="28" s="1"/>
  <c r="S57" i="28"/>
  <c r="T57" i="28"/>
  <c r="AB57" i="28"/>
  <c r="BL57" i="28"/>
  <c r="BM57" i="28"/>
  <c r="AH57" i="28" s="1"/>
  <c r="BN57" i="28"/>
  <c r="AI57" i="28" s="1"/>
  <c r="CE57" i="28"/>
  <c r="CF57" i="28"/>
  <c r="AX57" i="28" s="1"/>
  <c r="CG57" i="28"/>
  <c r="AY57" i="28" s="1"/>
  <c r="AE58" i="28"/>
  <c r="AJ58" i="28"/>
  <c r="L58" i="28" s="1"/>
  <c r="AM58" i="28"/>
  <c r="BL58" i="28"/>
  <c r="BM58" i="28"/>
  <c r="Z58" i="28" s="1"/>
  <c r="BN58" i="28"/>
  <c r="O58" i="28" s="1"/>
  <c r="CE58" i="28"/>
  <c r="CF58" i="28"/>
  <c r="AT58" i="28" s="1"/>
  <c r="CG58" i="28"/>
  <c r="AU58" i="28" s="1"/>
  <c r="S59" i="28"/>
  <c r="AA59" i="28"/>
  <c r="AI59" i="28"/>
  <c r="AJ59" i="28"/>
  <c r="L59" i="28" s="1"/>
  <c r="AM59" i="28"/>
  <c r="AQ59" i="28"/>
  <c r="BL59" i="28"/>
  <c r="BM59" i="28"/>
  <c r="BN59" i="28"/>
  <c r="O59" i="28" s="1"/>
  <c r="CE59" i="28"/>
  <c r="CF59" i="28"/>
  <c r="AT59" i="28" s="1"/>
  <c r="CG59" i="28"/>
  <c r="AU59" i="28" s="1"/>
  <c r="R60" i="28"/>
  <c r="AH60" i="28"/>
  <c r="AJ60" i="28"/>
  <c r="L60" i="28" s="1"/>
  <c r="AL60" i="28"/>
  <c r="AQ60" i="28"/>
  <c r="BL60" i="28"/>
  <c r="BM60" i="28"/>
  <c r="N60" i="28" s="1"/>
  <c r="BN60" i="28"/>
  <c r="S60" i="28" s="1"/>
  <c r="CE60" i="28"/>
  <c r="CF60" i="28"/>
  <c r="AT60" i="28" s="1"/>
  <c r="CG60" i="28"/>
  <c r="AU60" i="28" s="1"/>
  <c r="AJ61" i="28"/>
  <c r="L61" i="28" s="1"/>
  <c r="AB61" i="28" s="1"/>
  <c r="BL61" i="28"/>
  <c r="BM61" i="28"/>
  <c r="BN61" i="28"/>
  <c r="AI61" i="28" s="1"/>
  <c r="CE61" i="28"/>
  <c r="CF61" i="28"/>
  <c r="AX61" i="28" s="1"/>
  <c r="CG61" i="28"/>
  <c r="AY61" i="28" s="1"/>
  <c r="AP62" i="28"/>
  <c r="AV62" i="28"/>
  <c r="BL62" i="28"/>
  <c r="BM62" i="28"/>
  <c r="BN62" i="28"/>
  <c r="AI62" i="28" s="1"/>
  <c r="CE62" i="28"/>
  <c r="CF62" i="28"/>
  <c r="AT62" i="28" s="1"/>
  <c r="CG62" i="28"/>
  <c r="AY62" i="28" s="1"/>
  <c r="AH63" i="28"/>
  <c r="AL63" i="28"/>
  <c r="AQ63" i="28"/>
  <c r="BL63" i="28"/>
  <c r="BM63" i="28"/>
  <c r="V63" i="28" s="1"/>
  <c r="BN63" i="28"/>
  <c r="AI63" i="28" s="1"/>
  <c r="CE63" i="28"/>
  <c r="CF63" i="28"/>
  <c r="CG63" i="28"/>
  <c r="AY63" i="28" s="1"/>
  <c r="N64" i="28"/>
  <c r="AB64" i="28"/>
  <c r="AF64" i="28"/>
  <c r="AP64" i="28"/>
  <c r="AY64" i="28"/>
  <c r="BL64" i="28"/>
  <c r="BM64" i="28"/>
  <c r="AD64" i="28" s="1"/>
  <c r="BN64" i="28"/>
  <c r="CE64" i="28"/>
  <c r="CF64" i="28"/>
  <c r="AT64" i="28" s="1"/>
  <c r="CG64" i="28"/>
  <c r="AU64" i="28" s="1"/>
  <c r="L33" i="28"/>
  <c r="P33" i="28"/>
  <c r="T33" i="28"/>
  <c r="X33" i="28"/>
  <c r="AB33" i="28"/>
  <c r="AF33" i="28"/>
  <c r="AJ33" i="28"/>
  <c r="AL33" i="28"/>
  <c r="AM33" i="28"/>
  <c r="AN33" i="28"/>
  <c r="AR33" i="28"/>
  <c r="AV33" i="28"/>
  <c r="AX33" i="28"/>
  <c r="BA33" i="28"/>
  <c r="BL33" i="28"/>
  <c r="BM33" i="28"/>
  <c r="AD33" i="28" s="1"/>
  <c r="BN33" i="28"/>
  <c r="S33" i="28" s="1"/>
  <c r="CE33" i="28"/>
  <c r="CF33" i="28"/>
  <c r="AT33" i="28" s="1"/>
  <c r="CG33" i="28"/>
  <c r="W34" i="28"/>
  <c r="AJ34" i="28"/>
  <c r="L34" i="28" s="1"/>
  <c r="AY34" i="28"/>
  <c r="BL34" i="28"/>
  <c r="BM34" i="28"/>
  <c r="Z34" i="28" s="1"/>
  <c r="BN34" i="28"/>
  <c r="AA34" i="28" s="1"/>
  <c r="CE34" i="28"/>
  <c r="CF34" i="28"/>
  <c r="AT34" i="28" s="1"/>
  <c r="CG34" i="28"/>
  <c r="AU34" i="28" s="1"/>
  <c r="N35" i="28"/>
  <c r="AT35" i="28"/>
  <c r="AX35" i="28"/>
  <c r="BA35" i="28"/>
  <c r="AJ35" i="28" s="1"/>
  <c r="L35" i="28" s="1"/>
  <c r="BL35" i="28"/>
  <c r="BM35" i="28"/>
  <c r="AP35" i="28" s="1"/>
  <c r="BN35" i="28"/>
  <c r="O35" i="28" s="1"/>
  <c r="CE35" i="28"/>
  <c r="CF35" i="28"/>
  <c r="CG35" i="28"/>
  <c r="AU35" i="28" s="1"/>
  <c r="V36" i="28"/>
  <c r="BA36" i="28"/>
  <c r="BL36" i="28"/>
  <c r="BM36" i="28"/>
  <c r="Z36" i="28" s="1"/>
  <c r="BN36" i="28"/>
  <c r="S36" i="28" s="1"/>
  <c r="CE36" i="28"/>
  <c r="CF36" i="28"/>
  <c r="AT36" i="28" s="1"/>
  <c r="CG36" i="28"/>
  <c r="P37" i="28"/>
  <c r="X37" i="28"/>
  <c r="X86" i="28" s="1"/>
  <c r="Z37" i="28"/>
  <c r="AF37" i="28"/>
  <c r="AF86" i="28" s="1"/>
  <c r="AN37" i="28"/>
  <c r="BA37" i="28"/>
  <c r="AJ37" i="28" s="1"/>
  <c r="BL37" i="28"/>
  <c r="BM37" i="28"/>
  <c r="AH37" i="28" s="1"/>
  <c r="BN37" i="28"/>
  <c r="CE37" i="28"/>
  <c r="CF37" i="28"/>
  <c r="AT37" i="28" s="1"/>
  <c r="CG37" i="28"/>
  <c r="AU37" i="28" s="1"/>
  <c r="N38" i="28"/>
  <c r="Z38" i="28"/>
  <c r="AD38" i="28"/>
  <c r="AH38" i="28"/>
  <c r="AL38" i="28"/>
  <c r="AP38" i="28"/>
  <c r="BL38" i="28"/>
  <c r="BM38" i="28"/>
  <c r="R38" i="28" s="1"/>
  <c r="BN38" i="28"/>
  <c r="W38" i="28" s="1"/>
  <c r="CE38" i="28"/>
  <c r="CF38" i="28"/>
  <c r="AT38" i="28" s="1"/>
  <c r="CG38" i="28"/>
  <c r="AU38" i="28" s="1"/>
  <c r="AJ39" i="28"/>
  <c r="L39" i="28" s="1"/>
  <c r="T39" i="28" s="1"/>
  <c r="BL39" i="28"/>
  <c r="BM39" i="28"/>
  <c r="BN39" i="28"/>
  <c r="O39" i="28" s="1"/>
  <c r="CE39" i="28"/>
  <c r="CF39" i="28"/>
  <c r="AT39" i="28" s="1"/>
  <c r="CG39" i="28"/>
  <c r="AU39" i="28" s="1"/>
  <c r="AJ40" i="28"/>
  <c r="L40" i="28" s="1"/>
  <c r="BL40" i="28"/>
  <c r="BM40" i="28"/>
  <c r="AH40" i="28" s="1"/>
  <c r="BN40" i="28"/>
  <c r="CE40" i="28"/>
  <c r="CF40" i="28"/>
  <c r="CG40" i="28"/>
  <c r="AU40" i="28" s="1"/>
  <c r="AJ41" i="28"/>
  <c r="L41" i="28" s="1"/>
  <c r="AB41" i="28" s="1"/>
  <c r="BL41" i="28"/>
  <c r="BM41" i="28"/>
  <c r="Z41" i="28" s="1"/>
  <c r="BN41" i="28"/>
  <c r="AA41" i="28" s="1"/>
  <c r="CE41" i="28"/>
  <c r="CF41" i="28"/>
  <c r="CG41" i="28"/>
  <c r="AY41" i="28" s="1"/>
  <c r="R42" i="28"/>
  <c r="AD42" i="28"/>
  <c r="AH42" i="28"/>
  <c r="AJ42" i="28"/>
  <c r="L42" i="28" s="1"/>
  <c r="AL42" i="28"/>
  <c r="AP42" i="28"/>
  <c r="BL42" i="28"/>
  <c r="BM42" i="28"/>
  <c r="N42" i="28" s="1"/>
  <c r="BN42" i="28"/>
  <c r="AA42" i="28" s="1"/>
  <c r="CE42" i="28"/>
  <c r="CF42" i="28"/>
  <c r="AT42" i="28" s="1"/>
  <c r="CG42" i="28"/>
  <c r="AU42" i="28" s="1"/>
  <c r="AJ43" i="28"/>
  <c r="L43" i="28" s="1"/>
  <c r="T43" i="28" s="1"/>
  <c r="AP43" i="28"/>
  <c r="AY43" i="28"/>
  <c r="BL43" i="28"/>
  <c r="BM43" i="28"/>
  <c r="BN43" i="28"/>
  <c r="O43" i="28" s="1"/>
  <c r="CE43" i="28"/>
  <c r="CF43" i="28"/>
  <c r="AT43" i="28" s="1"/>
  <c r="CG43" i="28"/>
  <c r="AU43" i="28" s="1"/>
  <c r="V44" i="28"/>
  <c r="Z44" i="28"/>
  <c r="AL44" i="28"/>
  <c r="AP44" i="28"/>
  <c r="BL44" i="28"/>
  <c r="BM44" i="28"/>
  <c r="N44" i="28" s="1"/>
  <c r="BN44" i="28"/>
  <c r="W44" i="28" s="1"/>
  <c r="CE44" i="28"/>
  <c r="CF44" i="28"/>
  <c r="AT44" i="28" s="1"/>
  <c r="CG44" i="28"/>
  <c r="AU44" i="28" s="1"/>
  <c r="AD45" i="28"/>
  <c r="AJ45" i="28"/>
  <c r="L45" i="28" s="1"/>
  <c r="T45" i="28" s="1"/>
  <c r="BL45" i="28"/>
  <c r="BM45" i="28"/>
  <c r="R45" i="28" s="1"/>
  <c r="BN45" i="28"/>
  <c r="CE45" i="28"/>
  <c r="CF45" i="28"/>
  <c r="AT45" i="28" s="1"/>
  <c r="CG45" i="28"/>
  <c r="AU45" i="28" s="1"/>
  <c r="AJ46" i="28"/>
  <c r="L46" i="28" s="1"/>
  <c r="AT46" i="28"/>
  <c r="BL46" i="28"/>
  <c r="BM46" i="28"/>
  <c r="AH46" i="28" s="1"/>
  <c r="BN46" i="28"/>
  <c r="AE46" i="28" s="1"/>
  <c r="CE46" i="28"/>
  <c r="CF46" i="28"/>
  <c r="AX46" i="28" s="1"/>
  <c r="CG46" i="28"/>
  <c r="L47" i="28"/>
  <c r="AB47" i="28" s="1"/>
  <c r="AJ47" i="28"/>
  <c r="BL47" i="28"/>
  <c r="BM47" i="28"/>
  <c r="Z47" i="28" s="1"/>
  <c r="BN47" i="28"/>
  <c r="AM47" i="28" s="1"/>
  <c r="CE47" i="28"/>
  <c r="CF47" i="28"/>
  <c r="AT47" i="28" s="1"/>
  <c r="CG47" i="28"/>
  <c r="AU47" i="28" s="1"/>
  <c r="N48" i="28"/>
  <c r="O48" i="28"/>
  <c r="R48" i="28"/>
  <c r="S48" i="28"/>
  <c r="V48" i="28"/>
  <c r="W48" i="28"/>
  <c r="Z48" i="28"/>
  <c r="AA48" i="28"/>
  <c r="AD48" i="28"/>
  <c r="AE48" i="28"/>
  <c r="AH48" i="28"/>
  <c r="AI48" i="28"/>
  <c r="AJ48" i="28"/>
  <c r="L48" i="28" s="1"/>
  <c r="AL48" i="28"/>
  <c r="AM48" i="28"/>
  <c r="AP48" i="28"/>
  <c r="AQ48" i="28"/>
  <c r="AV48" i="28"/>
  <c r="CE48" i="28"/>
  <c r="CF48" i="28"/>
  <c r="AT48" i="28" s="1"/>
  <c r="CG48" i="28"/>
  <c r="L17" i="28"/>
  <c r="P17" i="28"/>
  <c r="R17" i="28"/>
  <c r="AH17" i="28"/>
  <c r="AM17" i="28"/>
  <c r="AQ17" i="28"/>
  <c r="AX17" i="28"/>
  <c r="BL17" i="28"/>
  <c r="BM17" i="28"/>
  <c r="V17" i="28" s="1"/>
  <c r="BN17" i="28"/>
  <c r="S17" i="28" s="1"/>
  <c r="CE17" i="28"/>
  <c r="CF17" i="28"/>
  <c r="AT17" i="28" s="1"/>
  <c r="CG17" i="28"/>
  <c r="AU17" i="28" s="1"/>
  <c r="N18" i="28"/>
  <c r="T18" i="28"/>
  <c r="X18" i="28"/>
  <c r="AD18" i="28"/>
  <c r="AF18" i="28"/>
  <c r="AH18" i="28"/>
  <c r="AM18" i="28"/>
  <c r="AN18" i="28"/>
  <c r="AP18" i="28"/>
  <c r="BL18" i="28"/>
  <c r="BM18" i="28"/>
  <c r="R18" i="28" s="1"/>
  <c r="BN18" i="28"/>
  <c r="O18" i="28" s="1"/>
  <c r="CE18" i="28"/>
  <c r="CF18" i="28"/>
  <c r="AT18" i="28" s="1"/>
  <c r="CG18" i="28"/>
  <c r="AU18" i="28" s="1"/>
  <c r="S19" i="28"/>
  <c r="AA19" i="28"/>
  <c r="AB19" i="28"/>
  <c r="AE19" i="28"/>
  <c r="AF19" i="28"/>
  <c r="AI19" i="28"/>
  <c r="AM19" i="28"/>
  <c r="AN19" i="28"/>
  <c r="AQ19" i="28"/>
  <c r="BL19" i="28"/>
  <c r="BM19" i="28"/>
  <c r="Z19" i="28" s="1"/>
  <c r="BN19" i="28"/>
  <c r="O19" i="28" s="1"/>
  <c r="CE19" i="28"/>
  <c r="CF19" i="28"/>
  <c r="AT19" i="28" s="1"/>
  <c r="CG19" i="28"/>
  <c r="AU19" i="28" s="1"/>
  <c r="AJ20" i="28"/>
  <c r="AN20" i="28"/>
  <c r="BL20" i="28"/>
  <c r="BM20" i="28"/>
  <c r="Z20" i="28" s="1"/>
  <c r="BN20" i="28"/>
  <c r="AM20" i="28" s="1"/>
  <c r="CE20" i="28"/>
  <c r="CF20" i="28"/>
  <c r="AT20" i="28" s="1"/>
  <c r="CG20" i="28"/>
  <c r="AU20" i="28" s="1"/>
  <c r="O21" i="28"/>
  <c r="AU21" i="28"/>
  <c r="BL21" i="28"/>
  <c r="BM21" i="28"/>
  <c r="N21" i="28" s="1"/>
  <c r="BN21" i="28"/>
  <c r="S21" i="28" s="1"/>
  <c r="CE21" i="28"/>
  <c r="CF21" i="28"/>
  <c r="AT21" i="28" s="1"/>
  <c r="CG21" i="28"/>
  <c r="AY21" i="28" s="1"/>
  <c r="V22" i="28"/>
  <c r="AH22" i="28"/>
  <c r="AX22" i="28"/>
  <c r="BL22" i="28"/>
  <c r="BM22" i="28"/>
  <c r="N22" i="28" s="1"/>
  <c r="BN22" i="28"/>
  <c r="AQ22" i="28" s="1"/>
  <c r="CE22" i="28"/>
  <c r="CF22" i="28"/>
  <c r="AT22" i="28" s="1"/>
  <c r="CG22" i="28"/>
  <c r="AU22" i="28" s="1"/>
  <c r="O23" i="28"/>
  <c r="AJ23" i="28"/>
  <c r="L23" i="28" s="1"/>
  <c r="AB23" i="28" s="1"/>
  <c r="AR23" i="28"/>
  <c r="BL23" i="28"/>
  <c r="BM23" i="28"/>
  <c r="V23" i="28" s="1"/>
  <c r="BN23" i="28"/>
  <c r="AI23" i="28" s="1"/>
  <c r="CE23" i="28"/>
  <c r="CF23" i="28"/>
  <c r="AX23" i="28" s="1"/>
  <c r="CG23" i="28"/>
  <c r="AU23" i="28" s="1"/>
  <c r="L24" i="28"/>
  <c r="AB24" i="28" s="1"/>
  <c r="W24" i="28"/>
  <c r="AA24" i="28"/>
  <c r="AJ24" i="28"/>
  <c r="AM24" i="28"/>
  <c r="AQ24" i="28"/>
  <c r="BL24" i="28"/>
  <c r="BM24" i="28"/>
  <c r="Z24" i="28" s="1"/>
  <c r="BN24" i="28"/>
  <c r="O24" i="28" s="1"/>
  <c r="CE24" i="28"/>
  <c r="CF24" i="28"/>
  <c r="AT24" i="28" s="1"/>
  <c r="CG24" i="28"/>
  <c r="AU24" i="28" s="1"/>
  <c r="AT25" i="28"/>
  <c r="AY25" i="28"/>
  <c r="BL25" i="28"/>
  <c r="BM25" i="28"/>
  <c r="R25" i="28" s="1"/>
  <c r="BN25" i="28"/>
  <c r="O25" i="28" s="1"/>
  <c r="CE25" i="28"/>
  <c r="CF25" i="28"/>
  <c r="AX25" i="28" s="1"/>
  <c r="CG25" i="28"/>
  <c r="AU25" i="28" s="1"/>
  <c r="N26" i="28"/>
  <c r="R26" i="28"/>
  <c r="Z26" i="28"/>
  <c r="AD26" i="28"/>
  <c r="AH26" i="28"/>
  <c r="AL26" i="28"/>
  <c r="AP26" i="28"/>
  <c r="AY26" i="28"/>
  <c r="BL26" i="28"/>
  <c r="BM26" i="28"/>
  <c r="V26" i="28" s="1"/>
  <c r="BN26" i="28"/>
  <c r="CE26" i="28"/>
  <c r="CF26" i="28"/>
  <c r="AT26" i="28" s="1"/>
  <c r="CG26" i="28"/>
  <c r="AU26" i="28" s="1"/>
  <c r="V27" i="28"/>
  <c r="Z27" i="28"/>
  <c r="AL27" i="28"/>
  <c r="AP27" i="28"/>
  <c r="AX27" i="28"/>
  <c r="BL27" i="28"/>
  <c r="BM27" i="28"/>
  <c r="N27" i="28" s="1"/>
  <c r="BN27" i="28"/>
  <c r="W27" i="28" s="1"/>
  <c r="CE27" i="28"/>
  <c r="CF27" i="28"/>
  <c r="AT27" i="28" s="1"/>
  <c r="CG27" i="28"/>
  <c r="AU27" i="28" s="1"/>
  <c r="R28" i="28"/>
  <c r="AH28" i="28"/>
  <c r="AX28" i="28"/>
  <c r="BL28" i="28"/>
  <c r="BM28" i="28"/>
  <c r="V28" i="28" s="1"/>
  <c r="BN28" i="28"/>
  <c r="O28" i="28" s="1"/>
  <c r="CE28" i="28"/>
  <c r="CF28" i="28"/>
  <c r="AT28" i="28" s="1"/>
  <c r="CG28" i="28"/>
  <c r="AU28" i="28" s="1"/>
  <c r="N29" i="28"/>
  <c r="AD29" i="28"/>
  <c r="AT29" i="28"/>
  <c r="BL29" i="28"/>
  <c r="BM29" i="28"/>
  <c r="R29" i="28" s="1"/>
  <c r="BN29" i="28"/>
  <c r="AA29" i="28" s="1"/>
  <c r="CE29" i="28"/>
  <c r="CF29" i="28"/>
  <c r="AX29" i="28" s="1"/>
  <c r="CG29" i="28"/>
  <c r="AU29" i="28" s="1"/>
  <c r="L30" i="28"/>
  <c r="T30" i="28"/>
  <c r="AA30" i="28"/>
  <c r="AB30" i="28"/>
  <c r="AJ30" i="28"/>
  <c r="AR30" i="28"/>
  <c r="AV30" i="28"/>
  <c r="AY30" i="28"/>
  <c r="BL30" i="28"/>
  <c r="BM30" i="28"/>
  <c r="Z30" i="28" s="1"/>
  <c r="BN30" i="28"/>
  <c r="O30" i="28" s="1"/>
  <c r="CE30" i="28"/>
  <c r="CF30" i="28"/>
  <c r="CG30" i="28"/>
  <c r="AU30" i="28" s="1"/>
  <c r="N31" i="28"/>
  <c r="R31" i="28"/>
  <c r="Z31" i="28"/>
  <c r="AD31" i="28"/>
  <c r="AH31" i="28"/>
  <c r="AL31" i="28"/>
  <c r="AP31" i="28"/>
  <c r="AY31" i="28"/>
  <c r="BL31" i="28"/>
  <c r="BM31" i="28"/>
  <c r="V31" i="28" s="1"/>
  <c r="BN31" i="28"/>
  <c r="CE31" i="28"/>
  <c r="CF31" i="28"/>
  <c r="AT31" i="28" s="1"/>
  <c r="CG31" i="28"/>
  <c r="AU31" i="28" s="1"/>
  <c r="S32" i="28"/>
  <c r="W32" i="28"/>
  <c r="AA32" i="28"/>
  <c r="AI32" i="28"/>
  <c r="AJ32" i="28"/>
  <c r="L32" i="28" s="1"/>
  <c r="AM32" i="28"/>
  <c r="BL32" i="28"/>
  <c r="BM32" i="28"/>
  <c r="AH32" i="28" s="1"/>
  <c r="BN32" i="28"/>
  <c r="O32" i="28" s="1"/>
  <c r="CE32" i="28"/>
  <c r="CF32" i="28"/>
  <c r="AX32" i="28" s="1"/>
  <c r="CG32" i="28"/>
  <c r="AU32" i="28" s="1"/>
  <c r="L1" i="28"/>
  <c r="L7" i="28" s="1"/>
  <c r="P1" i="28"/>
  <c r="P9" i="28" s="1"/>
  <c r="T1" i="28"/>
  <c r="T8" i="28" s="1"/>
  <c r="X1" i="28"/>
  <c r="X8" i="28" s="1"/>
  <c r="AB1" i="28"/>
  <c r="AB9" i="28" s="1"/>
  <c r="AF1" i="28"/>
  <c r="AF16" i="28" s="1"/>
  <c r="AJ1" i="28"/>
  <c r="AJ14" i="28" s="1"/>
  <c r="AN1" i="28"/>
  <c r="AN9" i="28" s="1"/>
  <c r="AR1" i="28"/>
  <c r="AR7" i="28" s="1"/>
  <c r="AV1" i="28"/>
  <c r="AV9" i="28" s="1"/>
  <c r="P7" i="28"/>
  <c r="T7" i="28"/>
  <c r="AB7" i="28"/>
  <c r="AF7" i="28"/>
  <c r="AN7" i="28"/>
  <c r="AV7" i="28"/>
  <c r="AB8" i="28"/>
  <c r="AF8" i="28"/>
  <c r="AN8" i="28"/>
  <c r="AF9" i="28"/>
  <c r="L10" i="28"/>
  <c r="P10" i="28"/>
  <c r="T10" i="28"/>
  <c r="X10" i="28"/>
  <c r="AB10" i="28"/>
  <c r="AF10" i="28"/>
  <c r="AJ10" i="28"/>
  <c r="AN10" i="28"/>
  <c r="AR10" i="28"/>
  <c r="AV10" i="28"/>
  <c r="P11" i="28"/>
  <c r="T11" i="28"/>
  <c r="AB11" i="28"/>
  <c r="AF11" i="28"/>
  <c r="AN11" i="28"/>
  <c r="AV11" i="28"/>
  <c r="AB12" i="28"/>
  <c r="AF12" i="28"/>
  <c r="AN12" i="28"/>
  <c r="L13" i="28"/>
  <c r="T13" i="28"/>
  <c r="AB13" i="28"/>
  <c r="AF13" i="28"/>
  <c r="AR13" i="28"/>
  <c r="L14" i="28"/>
  <c r="P14" i="28"/>
  <c r="T14" i="28"/>
  <c r="AB14" i="28"/>
  <c r="AF14" i="28"/>
  <c r="AN14" i="28"/>
  <c r="AR14" i="28"/>
  <c r="AV14" i="28"/>
  <c r="L15" i="28"/>
  <c r="P15" i="28"/>
  <c r="AB15" i="28"/>
  <c r="AF15" i="28"/>
  <c r="AN15" i="28"/>
  <c r="AR15" i="28"/>
  <c r="AV15" i="28"/>
  <c r="T16" i="28"/>
  <c r="AB16" i="28"/>
  <c r="AN16" i="28"/>
  <c r="L31" i="25"/>
  <c r="H31" i="25" s="1"/>
  <c r="P31" i="25"/>
  <c r="H32" i="25"/>
  <c r="T32" i="25"/>
  <c r="X32" i="25"/>
  <c r="H33" i="25"/>
  <c r="AB33" i="25"/>
  <c r="AF33" i="25"/>
  <c r="L1" i="25"/>
  <c r="L7" i="25" s="1"/>
  <c r="P1" i="25"/>
  <c r="P7" i="25" s="1"/>
  <c r="T1" i="25"/>
  <c r="T8" i="25" s="1"/>
  <c r="X1" i="25"/>
  <c r="X8" i="25" s="1"/>
  <c r="AB1" i="25"/>
  <c r="AF1" i="25"/>
  <c r="AF10" i="25" s="1"/>
  <c r="AB7" i="25"/>
  <c r="L8" i="25"/>
  <c r="P8" i="25"/>
  <c r="AB8" i="25"/>
  <c r="L9" i="25"/>
  <c r="P9" i="25"/>
  <c r="X9" i="25"/>
  <c r="AB9" i="25"/>
  <c r="L10" i="25"/>
  <c r="P10" i="25"/>
  <c r="T10" i="25"/>
  <c r="X10" i="25"/>
  <c r="AB10" i="25"/>
  <c r="L11" i="25"/>
  <c r="X11" i="25"/>
  <c r="AB11" i="25"/>
  <c r="L12" i="25"/>
  <c r="P12" i="25"/>
  <c r="AB12" i="25"/>
  <c r="N13" i="25"/>
  <c r="O13" i="25"/>
  <c r="S13" i="25"/>
  <c r="AA13" i="25"/>
  <c r="AD13" i="25"/>
  <c r="AE13" i="25"/>
  <c r="AI13" i="25"/>
  <c r="AT13" i="25"/>
  <c r="AU13" i="25"/>
  <c r="V13" i="25" s="1"/>
  <c r="AV13" i="25"/>
  <c r="W13" i="25" s="1"/>
  <c r="N14" i="25"/>
  <c r="O14" i="25"/>
  <c r="R14" i="25"/>
  <c r="V14" i="25"/>
  <c r="AD14" i="25"/>
  <c r="AE14" i="25"/>
  <c r="AH14" i="25"/>
  <c r="AT14" i="25"/>
  <c r="AU14" i="25"/>
  <c r="Z14" i="25" s="1"/>
  <c r="AV14" i="25"/>
  <c r="W14" i="25" s="1"/>
  <c r="O15" i="25"/>
  <c r="S15" i="25"/>
  <c r="W15" i="25"/>
  <c r="AE15" i="25"/>
  <c r="AI15" i="25"/>
  <c r="AT15" i="25"/>
  <c r="AU15" i="25"/>
  <c r="Z15" i="25" s="1"/>
  <c r="AV15" i="25"/>
  <c r="AA15" i="25" s="1"/>
  <c r="R16" i="25"/>
  <c r="V16" i="25"/>
  <c r="Z16" i="25"/>
  <c r="AH16" i="25"/>
  <c r="AT16" i="25"/>
  <c r="AU16" i="25"/>
  <c r="N16" i="25" s="1"/>
  <c r="AV16" i="25"/>
  <c r="AA16" i="25" s="1"/>
  <c r="S17" i="25"/>
  <c r="V17" i="25"/>
  <c r="W17" i="25"/>
  <c r="AA17" i="25"/>
  <c r="AI17" i="25"/>
  <c r="AT17" i="25"/>
  <c r="AU17" i="25"/>
  <c r="N17" i="25" s="1"/>
  <c r="AV17" i="25"/>
  <c r="O17" i="25" s="1"/>
  <c r="N18" i="25"/>
  <c r="W18" i="25"/>
  <c r="AD18" i="25"/>
  <c r="AT18" i="25"/>
  <c r="AU18" i="25"/>
  <c r="R18" i="25" s="1"/>
  <c r="AV18" i="25"/>
  <c r="O18" i="25" s="1"/>
  <c r="O19" i="25"/>
  <c r="Z19" i="25"/>
  <c r="AE19" i="25"/>
  <c r="AT19" i="25"/>
  <c r="AU19" i="25"/>
  <c r="R19" i="25" s="1"/>
  <c r="AV19" i="25"/>
  <c r="S19" i="25" s="1"/>
  <c r="N20" i="25"/>
  <c r="R20" i="25"/>
  <c r="Z20" i="25"/>
  <c r="AA20" i="25"/>
  <c r="AD20" i="25"/>
  <c r="AH20" i="25"/>
  <c r="AT20" i="25"/>
  <c r="AU20" i="25"/>
  <c r="V20" i="25" s="1"/>
  <c r="AV20" i="25"/>
  <c r="S20" i="25" s="1"/>
  <c r="L21" i="25"/>
  <c r="P21" i="25"/>
  <c r="W21" i="25"/>
  <c r="AA21" i="25"/>
  <c r="AI21" i="25"/>
  <c r="AT21" i="25"/>
  <c r="AU21" i="25"/>
  <c r="R21" i="25" s="1"/>
  <c r="AV21" i="25"/>
  <c r="S21" i="25" s="1"/>
  <c r="L22" i="25"/>
  <c r="P22" i="25"/>
  <c r="T22" i="25"/>
  <c r="AA22" i="25"/>
  <c r="AE22" i="25"/>
  <c r="AT22" i="25"/>
  <c r="AU22" i="25"/>
  <c r="V22" i="25" s="1"/>
  <c r="AV22" i="25"/>
  <c r="W22" i="25" s="1"/>
  <c r="L23" i="25"/>
  <c r="N23" i="25"/>
  <c r="P23" i="25"/>
  <c r="S23" i="25"/>
  <c r="T23" i="25"/>
  <c r="V23" i="25"/>
  <c r="X23" i="25"/>
  <c r="AD23" i="25"/>
  <c r="AE23" i="25"/>
  <c r="AI23" i="25"/>
  <c r="AT23" i="25"/>
  <c r="AU23" i="25"/>
  <c r="Z23" i="25" s="1"/>
  <c r="AV23" i="25"/>
  <c r="O23" i="25" s="1"/>
  <c r="T25" i="25"/>
  <c r="T21" i="25" s="1"/>
  <c r="X25" i="25"/>
  <c r="X22" i="25" s="1"/>
  <c r="AB25" i="25"/>
  <c r="AB21" i="25" s="1"/>
  <c r="L27" i="25"/>
  <c r="P27" i="25"/>
  <c r="T27" i="25"/>
  <c r="X27" i="25"/>
  <c r="AB27" i="25"/>
  <c r="AF27" i="25"/>
  <c r="J105" i="24"/>
  <c r="AF50" i="24" s="1"/>
  <c r="J106" i="24"/>
  <c r="AB62" i="24" s="1"/>
  <c r="J107" i="24"/>
  <c r="BM81" i="24"/>
  <c r="BN81" i="24"/>
  <c r="BO81" i="24"/>
  <c r="AA81" i="24" s="1"/>
  <c r="CF81" i="24"/>
  <c r="CG81" i="24"/>
  <c r="AT81" i="24" s="1"/>
  <c r="CH81" i="24"/>
  <c r="AU81" i="24" s="1"/>
  <c r="AQ82" i="24"/>
  <c r="BA82" i="24"/>
  <c r="AJ82" i="24" s="1"/>
  <c r="L82" i="24" s="1"/>
  <c r="T82" i="24" s="1"/>
  <c r="AB82" i="24" s="1"/>
  <c r="BB82" i="24"/>
  <c r="AN82" i="24" s="1"/>
  <c r="P82" i="24" s="1"/>
  <c r="BM82" i="24"/>
  <c r="BN82" i="24"/>
  <c r="R82" i="24" s="1"/>
  <c r="BO82" i="24"/>
  <c r="S82" i="24" s="1"/>
  <c r="CF82" i="24"/>
  <c r="CG82" i="24"/>
  <c r="AT82" i="24" s="1"/>
  <c r="CH82" i="24"/>
  <c r="AU82" i="24" s="1"/>
  <c r="AQ83" i="24"/>
  <c r="BA83" i="24"/>
  <c r="AJ83" i="24" s="1"/>
  <c r="L83" i="24" s="1"/>
  <c r="T83" i="24" s="1"/>
  <c r="AB83" i="24" s="1"/>
  <c r="BB83" i="24"/>
  <c r="AN83" i="24" s="1"/>
  <c r="P83" i="24" s="1"/>
  <c r="X83" i="24" s="1"/>
  <c r="BM83" i="24"/>
  <c r="BN83" i="24"/>
  <c r="BO83" i="24"/>
  <c r="W83" i="24" s="1"/>
  <c r="CF83" i="24"/>
  <c r="CG83" i="24"/>
  <c r="AX83" i="24" s="1"/>
  <c r="CH83" i="24"/>
  <c r="AU83" i="24" s="1"/>
  <c r="BA84" i="24"/>
  <c r="AJ84" i="24" s="1"/>
  <c r="L84" i="24" s="1"/>
  <c r="T84" i="24" s="1"/>
  <c r="AB84" i="24" s="1"/>
  <c r="BB84" i="24"/>
  <c r="AN84" i="24" s="1"/>
  <c r="P84" i="24" s="1"/>
  <c r="BM84" i="24"/>
  <c r="BN84" i="24"/>
  <c r="R84" i="24" s="1"/>
  <c r="BO84" i="24"/>
  <c r="S84" i="24" s="1"/>
  <c r="CF84" i="24"/>
  <c r="CG84" i="24"/>
  <c r="AT84" i="24" s="1"/>
  <c r="CH84" i="24"/>
  <c r="AU84" i="24" s="1"/>
  <c r="AQ85" i="24"/>
  <c r="BA85" i="24"/>
  <c r="AJ85" i="24" s="1"/>
  <c r="L85" i="24" s="1"/>
  <c r="T85" i="24" s="1"/>
  <c r="AB85" i="24" s="1"/>
  <c r="BB85" i="24"/>
  <c r="AN85" i="24" s="1"/>
  <c r="P85" i="24" s="1"/>
  <c r="X85" i="24" s="1"/>
  <c r="BM85" i="24"/>
  <c r="BN85" i="24"/>
  <c r="BO85" i="24"/>
  <c r="W85" i="24" s="1"/>
  <c r="CF85" i="24"/>
  <c r="CG85" i="24"/>
  <c r="AX85" i="24" s="1"/>
  <c r="CH85" i="24"/>
  <c r="AU85" i="24" s="1"/>
  <c r="G96" i="24"/>
  <c r="V65" i="24"/>
  <c r="AA65" i="24"/>
  <c r="AJ65" i="24"/>
  <c r="L65" i="24" s="1"/>
  <c r="T65" i="24" s="1"/>
  <c r="AN65" i="24"/>
  <c r="P65" i="24" s="1"/>
  <c r="AP65" i="24"/>
  <c r="AY65" i="24"/>
  <c r="BM65" i="24"/>
  <c r="BN65" i="24"/>
  <c r="N65" i="24" s="1"/>
  <c r="BO65" i="24"/>
  <c r="W65" i="24" s="1"/>
  <c r="CF65" i="24"/>
  <c r="CG65" i="24"/>
  <c r="AT65" i="24" s="1"/>
  <c r="CH65" i="24"/>
  <c r="AU65" i="24" s="1"/>
  <c r="AI66" i="24"/>
  <c r="AJ66" i="24"/>
  <c r="L66" i="24" s="1"/>
  <c r="T66" i="24" s="1"/>
  <c r="AN66" i="24"/>
  <c r="P66" i="24" s="1"/>
  <c r="BM66" i="24"/>
  <c r="BN66" i="24"/>
  <c r="AD66" i="24" s="1"/>
  <c r="BO66" i="24"/>
  <c r="AE66" i="24" s="1"/>
  <c r="CF66" i="24"/>
  <c r="CG66" i="24"/>
  <c r="AT66" i="24" s="1"/>
  <c r="CH66" i="24"/>
  <c r="AU66" i="24" s="1"/>
  <c r="AA67" i="24"/>
  <c r="AJ67" i="24"/>
  <c r="L67" i="24" s="1"/>
  <c r="T67" i="24" s="1"/>
  <c r="AM67" i="24"/>
  <c r="AN67" i="24"/>
  <c r="P67" i="24" s="1"/>
  <c r="AQ67" i="24"/>
  <c r="BM67" i="24"/>
  <c r="BN67" i="24"/>
  <c r="AD67" i="24" s="1"/>
  <c r="BO67" i="24"/>
  <c r="S67" i="24" s="1"/>
  <c r="CF67" i="24"/>
  <c r="CG67" i="24"/>
  <c r="AT67" i="24" s="1"/>
  <c r="CH67" i="24"/>
  <c r="AU67" i="24" s="1"/>
  <c r="X68" i="24"/>
  <c r="AN68" i="24"/>
  <c r="AU68" i="24"/>
  <c r="AV68" i="24"/>
  <c r="BA68" i="24"/>
  <c r="AJ68" i="24" s="1"/>
  <c r="BB68" i="24"/>
  <c r="AF68" i="24" s="1"/>
  <c r="BM68" i="24"/>
  <c r="BN68" i="24"/>
  <c r="AL68" i="24" s="1"/>
  <c r="BO68" i="24"/>
  <c r="CF68" i="24"/>
  <c r="CG68" i="24"/>
  <c r="AX68" i="24" s="1"/>
  <c r="CH68" i="24"/>
  <c r="AY68" i="24" s="1"/>
  <c r="AM69" i="24"/>
  <c r="AX69" i="24"/>
  <c r="BM69" i="24"/>
  <c r="BN69" i="24"/>
  <c r="AP69" i="24" s="1"/>
  <c r="BO69" i="24"/>
  <c r="S69" i="24" s="1"/>
  <c r="CF69" i="24"/>
  <c r="CG69" i="24"/>
  <c r="AT69" i="24" s="1"/>
  <c r="CH69" i="24"/>
  <c r="AY69" i="24" s="1"/>
  <c r="AH70" i="24"/>
  <c r="AM70" i="24"/>
  <c r="BA70" i="24"/>
  <c r="BB70" i="24"/>
  <c r="BM70" i="24"/>
  <c r="BN70" i="24"/>
  <c r="N70" i="24" s="1"/>
  <c r="BO70" i="24"/>
  <c r="AI70" i="24" s="1"/>
  <c r="CF70" i="24"/>
  <c r="CG70" i="24"/>
  <c r="AT70" i="24" s="1"/>
  <c r="CH70" i="24"/>
  <c r="AY70" i="24" s="1"/>
  <c r="AA71" i="24"/>
  <c r="AI71" i="24"/>
  <c r="AL71" i="24"/>
  <c r="AM71" i="24"/>
  <c r="BM71" i="24"/>
  <c r="BN71" i="24"/>
  <c r="AD71" i="24" s="1"/>
  <c r="BO71" i="24"/>
  <c r="S71" i="24" s="1"/>
  <c r="CF71" i="24"/>
  <c r="CG71" i="24"/>
  <c r="AT71" i="24" s="1"/>
  <c r="CH71" i="24"/>
  <c r="AY71" i="24" s="1"/>
  <c r="AX72" i="24"/>
  <c r="BM72" i="24"/>
  <c r="BN72" i="24"/>
  <c r="N72" i="24" s="1"/>
  <c r="BO72" i="24"/>
  <c r="CF72" i="24"/>
  <c r="CG72" i="24"/>
  <c r="AT72" i="24" s="1"/>
  <c r="CH72" i="24"/>
  <c r="AU72" i="24" s="1"/>
  <c r="AH73" i="24"/>
  <c r="AL73" i="24"/>
  <c r="AM73" i="24"/>
  <c r="BM73" i="24"/>
  <c r="BN73" i="24"/>
  <c r="V73" i="24" s="1"/>
  <c r="BO73" i="24"/>
  <c r="S73" i="24" s="1"/>
  <c r="CF73" i="24"/>
  <c r="CG73" i="24"/>
  <c r="AX73" i="24" s="1"/>
  <c r="CH73" i="24"/>
  <c r="AU73" i="24" s="1"/>
  <c r="AR74" i="24"/>
  <c r="AU74" i="24"/>
  <c r="AX74" i="24"/>
  <c r="BM74" i="24"/>
  <c r="BN74" i="24"/>
  <c r="N74" i="24" s="1"/>
  <c r="BO74" i="24"/>
  <c r="W74" i="24" s="1"/>
  <c r="CF74" i="24"/>
  <c r="CG74" i="24"/>
  <c r="AT74" i="24" s="1"/>
  <c r="CH74" i="24"/>
  <c r="AY74" i="24" s="1"/>
  <c r="R75" i="24"/>
  <c r="AE75" i="24"/>
  <c r="AH75" i="24"/>
  <c r="AV75" i="24"/>
  <c r="BM75" i="24"/>
  <c r="BN75" i="24"/>
  <c r="V75" i="24" s="1"/>
  <c r="BO75" i="24"/>
  <c r="W75" i="24" s="1"/>
  <c r="CF75" i="24"/>
  <c r="CG75" i="24"/>
  <c r="AX75" i="24" s="1"/>
  <c r="CH75" i="24"/>
  <c r="BM76" i="24"/>
  <c r="BN76" i="24"/>
  <c r="BO76" i="24"/>
  <c r="O76" i="24" s="1"/>
  <c r="CF76" i="24"/>
  <c r="CG76" i="24"/>
  <c r="AT76" i="24" s="1"/>
  <c r="CH76" i="24"/>
  <c r="AU76" i="24" s="1"/>
  <c r="W77" i="24"/>
  <c r="AA77" i="24"/>
  <c r="AE77" i="24"/>
  <c r="AI77" i="24"/>
  <c r="AM77" i="24"/>
  <c r="BM77" i="24"/>
  <c r="BN77" i="24"/>
  <c r="V77" i="24" s="1"/>
  <c r="BO77" i="24"/>
  <c r="O77" i="24" s="1"/>
  <c r="CF77" i="24"/>
  <c r="CG77" i="24"/>
  <c r="AX77" i="24" s="1"/>
  <c r="CH77" i="24"/>
  <c r="AY77" i="24" s="1"/>
  <c r="S78" i="24"/>
  <c r="AA78" i="24"/>
  <c r="BM78" i="24"/>
  <c r="BN78" i="24"/>
  <c r="BO78" i="24"/>
  <c r="O78" i="24" s="1"/>
  <c r="CF78" i="24"/>
  <c r="CG78" i="24"/>
  <c r="AT78" i="24" s="1"/>
  <c r="CH78" i="24"/>
  <c r="AU78" i="24" s="1"/>
  <c r="AI79" i="24"/>
  <c r="BM79" i="24"/>
  <c r="BN79" i="24"/>
  <c r="BO79" i="24"/>
  <c r="O79" i="24" s="1"/>
  <c r="CF79" i="24"/>
  <c r="CG79" i="24"/>
  <c r="AX79" i="24" s="1"/>
  <c r="CH79" i="24"/>
  <c r="O80" i="24"/>
  <c r="AA80" i="24"/>
  <c r="AE80" i="24"/>
  <c r="AI80" i="24"/>
  <c r="BM80" i="24"/>
  <c r="BN80" i="24"/>
  <c r="BO80" i="24"/>
  <c r="W80" i="24" s="1"/>
  <c r="CF80" i="24"/>
  <c r="CG80" i="24"/>
  <c r="AT80" i="24" s="1"/>
  <c r="CH80" i="24"/>
  <c r="AY80" i="24" s="1"/>
  <c r="W49" i="24"/>
  <c r="AE49" i="24"/>
  <c r="AI49" i="24"/>
  <c r="AM49" i="24"/>
  <c r="BM49" i="24"/>
  <c r="BN49" i="24"/>
  <c r="AD49" i="24" s="1"/>
  <c r="BO49" i="24"/>
  <c r="O49" i="24" s="1"/>
  <c r="CF49" i="24"/>
  <c r="CG49" i="24"/>
  <c r="AX49" i="24" s="1"/>
  <c r="CH49" i="24"/>
  <c r="AY49" i="24" s="1"/>
  <c r="S50" i="24"/>
  <c r="AM50" i="24"/>
  <c r="BM50" i="24"/>
  <c r="BN50" i="24"/>
  <c r="Z50" i="24" s="1"/>
  <c r="BO50" i="24"/>
  <c r="W50" i="24" s="1"/>
  <c r="CF50" i="24"/>
  <c r="CG50" i="24"/>
  <c r="AT50" i="24" s="1"/>
  <c r="CH50" i="24"/>
  <c r="AA51" i="24"/>
  <c r="AE51" i="24"/>
  <c r="BM51" i="24"/>
  <c r="BN51" i="24"/>
  <c r="R51" i="24" s="1"/>
  <c r="BO51" i="24"/>
  <c r="O51" i="24" s="1"/>
  <c r="CF51" i="24"/>
  <c r="CG51" i="24"/>
  <c r="AX51" i="24" s="1"/>
  <c r="CH51" i="24"/>
  <c r="AU51" i="24" s="1"/>
  <c r="R52" i="24"/>
  <c r="AD52" i="24"/>
  <c r="AL52" i="24"/>
  <c r="AV52" i="24"/>
  <c r="BM52" i="24"/>
  <c r="BN52" i="24"/>
  <c r="N52" i="24" s="1"/>
  <c r="BO52" i="24"/>
  <c r="AM52" i="24" s="1"/>
  <c r="CF52" i="24"/>
  <c r="CG52" i="24"/>
  <c r="AX52" i="24" s="1"/>
  <c r="CH52" i="24"/>
  <c r="AU52" i="24" s="1"/>
  <c r="O53" i="24"/>
  <c r="AA53" i="24"/>
  <c r="AF53" i="24"/>
  <c r="AI53" i="24"/>
  <c r="AM53" i="24"/>
  <c r="BM53" i="24"/>
  <c r="BN53" i="24"/>
  <c r="BO53" i="24"/>
  <c r="S53" i="24" s="1"/>
  <c r="CF53" i="24"/>
  <c r="CG53" i="24"/>
  <c r="AT53" i="24" s="1"/>
  <c r="CH53" i="24"/>
  <c r="AU53" i="24" s="1"/>
  <c r="AB54" i="24"/>
  <c r="AD54" i="24"/>
  <c r="AF54" i="24"/>
  <c r="AV54" i="24"/>
  <c r="BM54" i="24"/>
  <c r="BN54" i="24"/>
  <c r="N54" i="24" s="1"/>
  <c r="BO54" i="24"/>
  <c r="S54" i="24" s="1"/>
  <c r="CF54" i="24"/>
  <c r="CG54" i="24"/>
  <c r="CH54" i="24"/>
  <c r="AU54" i="24" s="1"/>
  <c r="N55" i="24"/>
  <c r="R55" i="24"/>
  <c r="V55" i="24"/>
  <c r="Z55" i="24"/>
  <c r="AB55" i="24"/>
  <c r="AF55" i="24"/>
  <c r="AH55" i="24"/>
  <c r="AL55" i="24"/>
  <c r="AP55" i="24"/>
  <c r="AX55" i="24"/>
  <c r="AY55" i="24"/>
  <c r="BM55" i="24"/>
  <c r="BN55" i="24"/>
  <c r="AD55" i="24" s="1"/>
  <c r="BO55" i="24"/>
  <c r="W55" i="24" s="1"/>
  <c r="CF55" i="24"/>
  <c r="CG55" i="24"/>
  <c r="AT55" i="24" s="1"/>
  <c r="CH55" i="24"/>
  <c r="AU55" i="24" s="1"/>
  <c r="N56" i="24"/>
  <c r="R56" i="24"/>
  <c r="V56" i="24"/>
  <c r="AJ56" i="24"/>
  <c r="AN56" i="24"/>
  <c r="AP56" i="24"/>
  <c r="BM56" i="24"/>
  <c r="BN56" i="24"/>
  <c r="Z56" i="24" s="1"/>
  <c r="BO56" i="24"/>
  <c r="CF56" i="24"/>
  <c r="CG56" i="24"/>
  <c r="AX56" i="24" s="1"/>
  <c r="CH56" i="24"/>
  <c r="AU56" i="24" s="1"/>
  <c r="AJ57" i="24"/>
  <c r="AN57" i="24"/>
  <c r="AX57" i="24"/>
  <c r="AY57" i="24"/>
  <c r="BM57" i="24"/>
  <c r="BN57" i="24"/>
  <c r="AL57" i="24" s="1"/>
  <c r="BO57" i="24"/>
  <c r="W57" i="24" s="1"/>
  <c r="CF57" i="24"/>
  <c r="CG57" i="24"/>
  <c r="AT57" i="24" s="1"/>
  <c r="CH57" i="24"/>
  <c r="AU57" i="24" s="1"/>
  <c r="BM58" i="24"/>
  <c r="BN58" i="24"/>
  <c r="Z58" i="24" s="1"/>
  <c r="BO58" i="24"/>
  <c r="S58" i="24" s="1"/>
  <c r="CF58" i="24"/>
  <c r="CG58" i="24"/>
  <c r="AT58" i="24" s="1"/>
  <c r="CH58" i="24"/>
  <c r="AU58" i="24" s="1"/>
  <c r="L59" i="24"/>
  <c r="O59" i="24"/>
  <c r="P59" i="24"/>
  <c r="V59" i="24"/>
  <c r="W59" i="24"/>
  <c r="Z59" i="24"/>
  <c r="AP59" i="24"/>
  <c r="AV59" i="24"/>
  <c r="AY59" i="24"/>
  <c r="BM59" i="24"/>
  <c r="BN59" i="24"/>
  <c r="BO59" i="24"/>
  <c r="AA59" i="24" s="1"/>
  <c r="CF59" i="24"/>
  <c r="CG59" i="24"/>
  <c r="AX59" i="24" s="1"/>
  <c r="CH59" i="24"/>
  <c r="AU59" i="24" s="1"/>
  <c r="O60" i="24"/>
  <c r="T60" i="24"/>
  <c r="X60" i="24"/>
  <c r="X76" i="24" s="1"/>
  <c r="AU60" i="24"/>
  <c r="BM60" i="24"/>
  <c r="BN60" i="24"/>
  <c r="AH60" i="24" s="1"/>
  <c r="BO60" i="24"/>
  <c r="AE60" i="24" s="1"/>
  <c r="CF60" i="24"/>
  <c r="CG60" i="24"/>
  <c r="AT60" i="24" s="1"/>
  <c r="CH60" i="24"/>
  <c r="AY60" i="24" s="1"/>
  <c r="AY61" i="24"/>
  <c r="BM61" i="24"/>
  <c r="BN61" i="24"/>
  <c r="BO61" i="24"/>
  <c r="AE61" i="24" s="1"/>
  <c r="CF61" i="24"/>
  <c r="CG61" i="24"/>
  <c r="AT61" i="24" s="1"/>
  <c r="CH61" i="24"/>
  <c r="AU61" i="24" s="1"/>
  <c r="R62" i="24"/>
  <c r="S62" i="24"/>
  <c r="Z62" i="24"/>
  <c r="AA62" i="24"/>
  <c r="AI62" i="24"/>
  <c r="AL62" i="24"/>
  <c r="AM62" i="24"/>
  <c r="AQ62" i="24"/>
  <c r="BM62" i="24"/>
  <c r="BN62" i="24"/>
  <c r="V62" i="24" s="1"/>
  <c r="BO62" i="24"/>
  <c r="O62" i="24" s="1"/>
  <c r="CF62" i="24"/>
  <c r="CG62" i="24"/>
  <c r="AT62" i="24" s="1"/>
  <c r="CH62" i="24"/>
  <c r="O63" i="24"/>
  <c r="S63" i="24"/>
  <c r="W63" i="24"/>
  <c r="AB63" i="24"/>
  <c r="AF63" i="24"/>
  <c r="AF79" i="24" s="1"/>
  <c r="AM63" i="24"/>
  <c r="AQ63" i="24"/>
  <c r="BM63" i="24"/>
  <c r="BN63" i="24"/>
  <c r="BO63" i="24"/>
  <c r="AA63" i="24" s="1"/>
  <c r="CF63" i="24"/>
  <c r="CG63" i="24"/>
  <c r="AT63" i="24" s="1"/>
  <c r="CH63" i="24"/>
  <c r="AU63" i="24" s="1"/>
  <c r="O64" i="24"/>
  <c r="S64" i="24"/>
  <c r="T64" i="24"/>
  <c r="W64" i="24"/>
  <c r="X64" i="24"/>
  <c r="AA64" i="24"/>
  <c r="AB64" i="24"/>
  <c r="AD64" i="24"/>
  <c r="AF64" i="24"/>
  <c r="AI64" i="24"/>
  <c r="AJ64" i="24"/>
  <c r="AJ80" i="24" s="1"/>
  <c r="AM64" i="24"/>
  <c r="AN64" i="24"/>
  <c r="AQ64" i="24"/>
  <c r="AY64" i="24"/>
  <c r="BM64" i="24"/>
  <c r="BN64" i="24"/>
  <c r="AL64" i="24" s="1"/>
  <c r="BO64" i="24"/>
  <c r="AE64" i="24" s="1"/>
  <c r="CF64" i="24"/>
  <c r="CG64" i="24"/>
  <c r="AT64" i="24" s="1"/>
  <c r="CH64" i="24"/>
  <c r="AU64" i="24" s="1"/>
  <c r="S33" i="24"/>
  <c r="W33" i="24"/>
  <c r="AV33" i="24"/>
  <c r="BM33" i="24"/>
  <c r="BN33" i="24"/>
  <c r="R33" i="24" s="1"/>
  <c r="BO33" i="24"/>
  <c r="AA33" i="24" s="1"/>
  <c r="CF33" i="24"/>
  <c r="CG33" i="24"/>
  <c r="AT33" i="24" s="1"/>
  <c r="CH33" i="24"/>
  <c r="AY33" i="24" s="1"/>
  <c r="L34" i="24"/>
  <c r="R34" i="24"/>
  <c r="T34" i="24"/>
  <c r="AE34" i="24"/>
  <c r="AJ34" i="24"/>
  <c r="AL34" i="24"/>
  <c r="AN34" i="24"/>
  <c r="P34" i="24" s="1"/>
  <c r="BM34" i="24"/>
  <c r="BN34" i="24"/>
  <c r="N34" i="24" s="1"/>
  <c r="BO34" i="24"/>
  <c r="W34" i="24" s="1"/>
  <c r="CF34" i="24"/>
  <c r="CG34" i="24"/>
  <c r="AX34" i="24" s="1"/>
  <c r="CH34" i="24"/>
  <c r="AU34" i="24" s="1"/>
  <c r="R35" i="24"/>
  <c r="AJ35" i="24"/>
  <c r="L35" i="24" s="1"/>
  <c r="T35" i="24" s="1"/>
  <c r="AN35" i="24"/>
  <c r="P35" i="24" s="1"/>
  <c r="AB35" i="24" s="1"/>
  <c r="AP35" i="24"/>
  <c r="BM35" i="24"/>
  <c r="BN35" i="24"/>
  <c r="AD35" i="24" s="1"/>
  <c r="BO35" i="24"/>
  <c r="CF35" i="24"/>
  <c r="CG35" i="24"/>
  <c r="AT35" i="24" s="1"/>
  <c r="CH35" i="24"/>
  <c r="AU35" i="24" s="1"/>
  <c r="O36" i="24"/>
  <c r="P36" i="24"/>
  <c r="X36" i="24" s="1"/>
  <c r="AJ36" i="24"/>
  <c r="L36" i="24" s="1"/>
  <c r="T36" i="24" s="1"/>
  <c r="AN36" i="24"/>
  <c r="AX36" i="24"/>
  <c r="AY36" i="24"/>
  <c r="BM36" i="24"/>
  <c r="BN36" i="24"/>
  <c r="AD36" i="24" s="1"/>
  <c r="BO36" i="24"/>
  <c r="AA36" i="24" s="1"/>
  <c r="CF36" i="24"/>
  <c r="CG36" i="24"/>
  <c r="AT36" i="24" s="1"/>
  <c r="CH36" i="24"/>
  <c r="AU36" i="24" s="1"/>
  <c r="W37" i="24"/>
  <c r="AU37" i="24"/>
  <c r="BM37" i="24"/>
  <c r="BN37" i="24"/>
  <c r="AD37" i="24" s="1"/>
  <c r="BO37" i="24"/>
  <c r="S37" i="24" s="1"/>
  <c r="CF37" i="24"/>
  <c r="CG37" i="24"/>
  <c r="AT37" i="24" s="1"/>
  <c r="CH37" i="24"/>
  <c r="AY37" i="24" s="1"/>
  <c r="AT38" i="24"/>
  <c r="AY38" i="24"/>
  <c r="BM38" i="24"/>
  <c r="BN38" i="24"/>
  <c r="V38" i="24" s="1"/>
  <c r="BO38" i="24"/>
  <c r="AQ38" i="24" s="1"/>
  <c r="CF38" i="24"/>
  <c r="CG38" i="24"/>
  <c r="AX38" i="24" s="1"/>
  <c r="CH38" i="24"/>
  <c r="AU38" i="24" s="1"/>
  <c r="N39" i="24"/>
  <c r="W39" i="24"/>
  <c r="AB39" i="24"/>
  <c r="AJ39" i="24"/>
  <c r="L39" i="24" s="1"/>
  <c r="T39" i="24" s="1"/>
  <c r="AM39" i="24"/>
  <c r="AN39" i="24"/>
  <c r="P39" i="24" s="1"/>
  <c r="AF39" i="24" s="1"/>
  <c r="AP39" i="24"/>
  <c r="AU39" i="24"/>
  <c r="BM39" i="24"/>
  <c r="BN39" i="24"/>
  <c r="AD39" i="24" s="1"/>
  <c r="BO39" i="24"/>
  <c r="AE39" i="24" s="1"/>
  <c r="CF39" i="24"/>
  <c r="CG39" i="24"/>
  <c r="AX39" i="24" s="1"/>
  <c r="CH39" i="24"/>
  <c r="AY39" i="24" s="1"/>
  <c r="N40" i="24"/>
  <c r="O40" i="24"/>
  <c r="P40" i="24"/>
  <c r="X40" i="24" s="1"/>
  <c r="AA40" i="24"/>
  <c r="AE40" i="24"/>
  <c r="AF40" i="24"/>
  <c r="AH40" i="24"/>
  <c r="AJ40" i="24"/>
  <c r="L40" i="24" s="1"/>
  <c r="T40" i="24" s="1"/>
  <c r="AN40" i="24"/>
  <c r="AQ40" i="24"/>
  <c r="AY40" i="24"/>
  <c r="BM40" i="24"/>
  <c r="BN40" i="24"/>
  <c r="AD40" i="24" s="1"/>
  <c r="BO40" i="24"/>
  <c r="CF40" i="24"/>
  <c r="CG40" i="24"/>
  <c r="AT40" i="24" s="1"/>
  <c r="CH40" i="24"/>
  <c r="AU40" i="24" s="1"/>
  <c r="N41" i="24"/>
  <c r="O41" i="24"/>
  <c r="S41" i="24"/>
  <c r="AJ41" i="24"/>
  <c r="L41" i="24" s="1"/>
  <c r="T41" i="24" s="1"/>
  <c r="AM41" i="24"/>
  <c r="AN41" i="24"/>
  <c r="P41" i="24" s="1"/>
  <c r="AF41" i="24" s="1"/>
  <c r="BM41" i="24"/>
  <c r="BN41" i="24"/>
  <c r="Z41" i="24" s="1"/>
  <c r="BO41" i="24"/>
  <c r="AA41" i="24" s="1"/>
  <c r="CF41" i="24"/>
  <c r="CG41" i="24"/>
  <c r="AT41" i="24" s="1"/>
  <c r="CH41" i="24"/>
  <c r="Z42" i="24"/>
  <c r="AD42" i="24"/>
  <c r="AI42" i="24"/>
  <c r="AP42" i="24"/>
  <c r="BM42" i="24"/>
  <c r="BN42" i="24"/>
  <c r="V42" i="24" s="1"/>
  <c r="BO42" i="24"/>
  <c r="CF42" i="24"/>
  <c r="CG42" i="24"/>
  <c r="AT42" i="24" s="1"/>
  <c r="CH42" i="24"/>
  <c r="AU42" i="24" s="1"/>
  <c r="N43" i="24"/>
  <c r="W43" i="24"/>
  <c r="Z43" i="24"/>
  <c r="AD43" i="24"/>
  <c r="AE43" i="24"/>
  <c r="AH43" i="24"/>
  <c r="AI43" i="24"/>
  <c r="AP43" i="24"/>
  <c r="BA43" i="24"/>
  <c r="AJ43" i="24" s="1"/>
  <c r="L43" i="24" s="1"/>
  <c r="T43" i="24" s="1"/>
  <c r="BB43" i="24"/>
  <c r="AN43" i="24" s="1"/>
  <c r="P43" i="24" s="1"/>
  <c r="BM43" i="24"/>
  <c r="BN43" i="24"/>
  <c r="V43" i="24" s="1"/>
  <c r="BO43" i="24"/>
  <c r="S43" i="24" s="1"/>
  <c r="CF43" i="24"/>
  <c r="CG43" i="24"/>
  <c r="AX43" i="24" s="1"/>
  <c r="CH43" i="24"/>
  <c r="AY43" i="24" s="1"/>
  <c r="AI44" i="24"/>
  <c r="AT44" i="24"/>
  <c r="AX44" i="24"/>
  <c r="BA44" i="24"/>
  <c r="AJ44" i="24" s="1"/>
  <c r="L44" i="24" s="1"/>
  <c r="T44" i="24" s="1"/>
  <c r="BB44" i="24"/>
  <c r="AN44" i="24" s="1"/>
  <c r="P44" i="24" s="1"/>
  <c r="BM44" i="24"/>
  <c r="BN44" i="24"/>
  <c r="AL44" i="24" s="1"/>
  <c r="BO44" i="24"/>
  <c r="O44" i="24" s="1"/>
  <c r="CF44" i="24"/>
  <c r="CG44" i="24"/>
  <c r="CH44" i="24"/>
  <c r="AY44" i="24" s="1"/>
  <c r="L45" i="24"/>
  <c r="T45" i="24" s="1"/>
  <c r="N45" i="24"/>
  <c r="S45" i="24"/>
  <c r="W45" i="24"/>
  <c r="AB45" i="24"/>
  <c r="AE45" i="24"/>
  <c r="AJ45" i="24"/>
  <c r="AM45" i="24"/>
  <c r="AN45" i="24"/>
  <c r="P45" i="24" s="1"/>
  <c r="AF45" i="24" s="1"/>
  <c r="AT45" i="24"/>
  <c r="BM45" i="24"/>
  <c r="BN45" i="24"/>
  <c r="AP45" i="24" s="1"/>
  <c r="BO45" i="24"/>
  <c r="AI45" i="24" s="1"/>
  <c r="CF45" i="24"/>
  <c r="CG45" i="24"/>
  <c r="AX45" i="24" s="1"/>
  <c r="CH45" i="24"/>
  <c r="L46" i="24"/>
  <c r="O46" i="24"/>
  <c r="P46" i="24"/>
  <c r="AT46" i="24"/>
  <c r="AX46" i="24"/>
  <c r="BM46" i="24"/>
  <c r="BN46" i="24"/>
  <c r="BO46" i="24"/>
  <c r="S46" i="24" s="1"/>
  <c r="CF46" i="24"/>
  <c r="CG46" i="24"/>
  <c r="CH46" i="24"/>
  <c r="AY46" i="24" s="1"/>
  <c r="L47" i="24"/>
  <c r="T49" i="24" s="1"/>
  <c r="O47" i="24"/>
  <c r="P47" i="24"/>
  <c r="X49" i="24" s="1"/>
  <c r="S47" i="24"/>
  <c r="W47" i="24"/>
  <c r="AT47" i="24"/>
  <c r="AV47" i="24"/>
  <c r="AV74" i="24" s="1"/>
  <c r="BM47" i="24"/>
  <c r="BN47" i="24"/>
  <c r="BO47" i="24"/>
  <c r="AA47" i="24" s="1"/>
  <c r="CF47" i="24"/>
  <c r="CG47" i="24"/>
  <c r="AX47" i="24" s="1"/>
  <c r="CH47" i="24"/>
  <c r="AU47" i="24" s="1"/>
  <c r="T48" i="24"/>
  <c r="X48" i="24"/>
  <c r="AT48" i="24"/>
  <c r="AY48" i="24"/>
  <c r="BM48" i="24"/>
  <c r="BN48" i="24"/>
  <c r="AH48" i="24" s="1"/>
  <c r="BO48" i="24"/>
  <c r="W48" i="24" s="1"/>
  <c r="CF48" i="24"/>
  <c r="CG48" i="24"/>
  <c r="AX48" i="24" s="1"/>
  <c r="CH48" i="24"/>
  <c r="AU48" i="24" s="1"/>
  <c r="L17" i="24"/>
  <c r="P17" i="24"/>
  <c r="S17" i="24"/>
  <c r="AQ17" i="24"/>
  <c r="BM17" i="24"/>
  <c r="BN17" i="24"/>
  <c r="V17" i="24" s="1"/>
  <c r="BO17" i="24"/>
  <c r="AM17" i="24" s="1"/>
  <c r="CF17" i="24"/>
  <c r="CG17" i="24"/>
  <c r="AT17" i="24" s="1"/>
  <c r="CH17" i="24"/>
  <c r="AY17" i="24" s="1"/>
  <c r="O18" i="24"/>
  <c r="S18" i="24"/>
  <c r="T18" i="24"/>
  <c r="AB19" i="24" s="1"/>
  <c r="V18" i="24"/>
  <c r="X18" i="24"/>
  <c r="AE18" i="24"/>
  <c r="AI18" i="24"/>
  <c r="AM18" i="24"/>
  <c r="AQ18" i="24"/>
  <c r="AY18" i="24"/>
  <c r="BM18" i="24"/>
  <c r="BN18" i="24"/>
  <c r="BO18" i="24"/>
  <c r="W18" i="24" s="1"/>
  <c r="CF18" i="24"/>
  <c r="CG18" i="24"/>
  <c r="AT18" i="24" s="1"/>
  <c r="CH18" i="24"/>
  <c r="AU18" i="24" s="1"/>
  <c r="S19" i="24"/>
  <c r="W19" i="24"/>
  <c r="AA19" i="24"/>
  <c r="AD19" i="24"/>
  <c r="AF19" i="24"/>
  <c r="AI19" i="24"/>
  <c r="AQ19" i="24"/>
  <c r="AX19" i="24"/>
  <c r="BM19" i="24"/>
  <c r="BN19" i="24"/>
  <c r="V19" i="24" s="1"/>
  <c r="BO19" i="24"/>
  <c r="AE19" i="24" s="1"/>
  <c r="CF19" i="24"/>
  <c r="CG19" i="24"/>
  <c r="AT19" i="24" s="1"/>
  <c r="CH19" i="24"/>
  <c r="O20" i="24"/>
  <c r="S20" i="24"/>
  <c r="W20" i="24"/>
  <c r="AJ20" i="24"/>
  <c r="AN20" i="24"/>
  <c r="AQ20" i="24"/>
  <c r="BM20" i="24"/>
  <c r="BN20" i="24"/>
  <c r="AL20" i="24" s="1"/>
  <c r="BO20" i="24"/>
  <c r="AM20" i="24" s="1"/>
  <c r="CF20" i="24"/>
  <c r="CG20" i="24"/>
  <c r="AT20" i="24" s="1"/>
  <c r="CH20" i="24"/>
  <c r="AU20" i="24" s="1"/>
  <c r="O21" i="24"/>
  <c r="S21" i="24"/>
  <c r="AE21" i="24"/>
  <c r="AI21" i="24"/>
  <c r="AQ21" i="24"/>
  <c r="AY21" i="24"/>
  <c r="BM21" i="24"/>
  <c r="BN21" i="24"/>
  <c r="V21" i="24" s="1"/>
  <c r="BO21" i="24"/>
  <c r="W21" i="24" s="1"/>
  <c r="CF21" i="24"/>
  <c r="CG21" i="24"/>
  <c r="AT21" i="24" s="1"/>
  <c r="CH21" i="24"/>
  <c r="AU21" i="24" s="1"/>
  <c r="O22" i="24"/>
  <c r="S22" i="24"/>
  <c r="W22" i="24"/>
  <c r="AE22" i="24"/>
  <c r="AI22" i="24"/>
  <c r="AM22" i="24"/>
  <c r="AQ22" i="24"/>
  <c r="AX22" i="24"/>
  <c r="BM22" i="24"/>
  <c r="BN22" i="24"/>
  <c r="R22" i="24" s="1"/>
  <c r="BO22" i="24"/>
  <c r="AA22" i="24" s="1"/>
  <c r="CF22" i="24"/>
  <c r="CG22" i="24"/>
  <c r="AT22" i="24" s="1"/>
  <c r="CH22" i="24"/>
  <c r="AY22" i="24" s="1"/>
  <c r="O23" i="24"/>
  <c r="S23" i="24"/>
  <c r="W23" i="24"/>
  <c r="AF23" i="24"/>
  <c r="AI23" i="24"/>
  <c r="AJ23" i="24"/>
  <c r="L23" i="24" s="1"/>
  <c r="T23" i="24" s="1"/>
  <c r="AN23" i="24"/>
  <c r="P23" i="24" s="1"/>
  <c r="AQ23" i="24"/>
  <c r="AY23" i="24"/>
  <c r="BM23" i="24"/>
  <c r="BN23" i="24"/>
  <c r="BO23" i="24"/>
  <c r="AM23" i="24" s="1"/>
  <c r="CF23" i="24"/>
  <c r="CG23" i="24"/>
  <c r="AT23" i="24" s="1"/>
  <c r="CH23" i="24"/>
  <c r="AU23" i="24" s="1"/>
  <c r="L24" i="24"/>
  <c r="P24" i="24"/>
  <c r="T24" i="24"/>
  <c r="X24" i="24"/>
  <c r="AB24" i="24"/>
  <c r="AF24" i="24"/>
  <c r="AJ24" i="24"/>
  <c r="AL24" i="24"/>
  <c r="AN24" i="24"/>
  <c r="AY24" i="24"/>
  <c r="BM24" i="24"/>
  <c r="BN24" i="24"/>
  <c r="BO24" i="24"/>
  <c r="AE24" i="24" s="1"/>
  <c r="CF24" i="24"/>
  <c r="CG24" i="24"/>
  <c r="AT24" i="24" s="1"/>
  <c r="CH24" i="24"/>
  <c r="AU24" i="24" s="1"/>
  <c r="AA25" i="24"/>
  <c r="AE25" i="24"/>
  <c r="AJ25" i="24"/>
  <c r="L25" i="24" s="1"/>
  <c r="T25" i="24" s="1"/>
  <c r="AN25" i="24"/>
  <c r="P25" i="24" s="1"/>
  <c r="X25" i="24" s="1"/>
  <c r="AR25" i="24"/>
  <c r="AR26" i="24" s="1"/>
  <c r="AV25" i="24"/>
  <c r="BM25" i="24"/>
  <c r="BN25" i="24"/>
  <c r="R25" i="24" s="1"/>
  <c r="BO25" i="24"/>
  <c r="W25" i="24" s="1"/>
  <c r="CF25" i="24"/>
  <c r="CG25" i="24"/>
  <c r="AT25" i="24" s="1"/>
  <c r="CH25" i="24"/>
  <c r="S26" i="24"/>
  <c r="AA26" i="24"/>
  <c r="AJ26" i="24"/>
  <c r="L26" i="24" s="1"/>
  <c r="T26" i="24" s="1"/>
  <c r="AN26" i="24"/>
  <c r="P26" i="24" s="1"/>
  <c r="AF26" i="24" s="1"/>
  <c r="AQ26" i="24"/>
  <c r="BM26" i="24"/>
  <c r="BN26" i="24"/>
  <c r="V26" i="24" s="1"/>
  <c r="BO26" i="24"/>
  <c r="W26" i="24" s="1"/>
  <c r="CF26" i="24"/>
  <c r="CG26" i="24"/>
  <c r="AX26" i="24" s="1"/>
  <c r="CH26" i="24"/>
  <c r="AU26" i="24" s="1"/>
  <c r="AA27" i="24"/>
  <c r="AI27" i="24"/>
  <c r="AJ27" i="24"/>
  <c r="L27" i="24" s="1"/>
  <c r="T27" i="24" s="1"/>
  <c r="AL27" i="24"/>
  <c r="AM27" i="24"/>
  <c r="AN27" i="24"/>
  <c r="P27" i="24" s="1"/>
  <c r="BM27" i="24"/>
  <c r="BN27" i="24"/>
  <c r="V27" i="24" s="1"/>
  <c r="BO27" i="24"/>
  <c r="AE27" i="24" s="1"/>
  <c r="CF27" i="24"/>
  <c r="CG27" i="24"/>
  <c r="AT27" i="24" s="1"/>
  <c r="CH27" i="24"/>
  <c r="AU27" i="24" s="1"/>
  <c r="AI28" i="24"/>
  <c r="AJ28" i="24"/>
  <c r="L28" i="24" s="1"/>
  <c r="T28" i="24" s="1"/>
  <c r="AN28" i="24"/>
  <c r="P28" i="24" s="1"/>
  <c r="AX28" i="24"/>
  <c r="AY28" i="24"/>
  <c r="BM28" i="24"/>
  <c r="BN28" i="24"/>
  <c r="V28" i="24" s="1"/>
  <c r="BO28" i="24"/>
  <c r="AE28" i="24" s="1"/>
  <c r="CF28" i="24"/>
  <c r="CG28" i="24"/>
  <c r="AT28" i="24" s="1"/>
  <c r="CH28" i="24"/>
  <c r="AU28" i="24" s="1"/>
  <c r="N29" i="24"/>
  <c r="S29" i="24"/>
  <c r="V29" i="24"/>
  <c r="W29" i="24"/>
  <c r="AJ29" i="24"/>
  <c r="L29" i="24" s="1"/>
  <c r="T29" i="24" s="1"/>
  <c r="AN29" i="24"/>
  <c r="P29" i="24" s="1"/>
  <c r="AQ29" i="24"/>
  <c r="BM29" i="24"/>
  <c r="BN29" i="24"/>
  <c r="AD29" i="24" s="1"/>
  <c r="BO29" i="24"/>
  <c r="AM29" i="24" s="1"/>
  <c r="CF29" i="24"/>
  <c r="CG29" i="24"/>
  <c r="AT29" i="24" s="1"/>
  <c r="CH29" i="24"/>
  <c r="AU29" i="24" s="1"/>
  <c r="AA30" i="24"/>
  <c r="AJ30" i="24"/>
  <c r="L30" i="24" s="1"/>
  <c r="T30" i="24" s="1"/>
  <c r="AL30" i="24"/>
  <c r="AN30" i="24"/>
  <c r="P30" i="24" s="1"/>
  <c r="BM30" i="24"/>
  <c r="BN30" i="24"/>
  <c r="N30" i="24" s="1"/>
  <c r="BO30" i="24"/>
  <c r="AE30" i="24" s="1"/>
  <c r="CF30" i="24"/>
  <c r="CG30" i="24"/>
  <c r="AT30" i="24" s="1"/>
  <c r="CH30" i="24"/>
  <c r="AY30" i="24" s="1"/>
  <c r="AI31" i="24"/>
  <c r="AM31" i="24"/>
  <c r="BM31" i="24"/>
  <c r="BN31" i="24"/>
  <c r="BO31" i="24"/>
  <c r="AQ31" i="24" s="1"/>
  <c r="CF31" i="24"/>
  <c r="CG31" i="24"/>
  <c r="AT31" i="24" s="1"/>
  <c r="CH31" i="24"/>
  <c r="AY31" i="24" s="1"/>
  <c r="S32" i="24"/>
  <c r="AA32" i="24"/>
  <c r="AD32" i="24"/>
  <c r="AI32" i="24"/>
  <c r="AJ32" i="24"/>
  <c r="L32" i="24" s="1"/>
  <c r="T32" i="24" s="1"/>
  <c r="AB32" i="24" s="1"/>
  <c r="AM32" i="24"/>
  <c r="AN32" i="24"/>
  <c r="P32" i="24" s="1"/>
  <c r="AQ32" i="24"/>
  <c r="AY32" i="24"/>
  <c r="BM32" i="24"/>
  <c r="BN32" i="24"/>
  <c r="N32" i="24" s="1"/>
  <c r="BO32" i="24"/>
  <c r="AE32" i="24" s="1"/>
  <c r="CF32" i="24"/>
  <c r="CG32" i="24"/>
  <c r="AT32" i="24" s="1"/>
  <c r="CH32" i="24"/>
  <c r="AU32" i="24" s="1"/>
  <c r="L1" i="24"/>
  <c r="P1" i="24"/>
  <c r="P14" i="24" s="1"/>
  <c r="T1" i="24"/>
  <c r="T12" i="24" s="1"/>
  <c r="X1" i="24"/>
  <c r="X9" i="24" s="1"/>
  <c r="AB1" i="24"/>
  <c r="AF1" i="24"/>
  <c r="AF8" i="24" s="1"/>
  <c r="AJ1" i="24"/>
  <c r="AJ7" i="24" s="1"/>
  <c r="AN1" i="24"/>
  <c r="AN7" i="24" s="1"/>
  <c r="AR1" i="24"/>
  <c r="AR8" i="24" s="1"/>
  <c r="L7" i="24"/>
  <c r="T7" i="24"/>
  <c r="AB7" i="24"/>
  <c r="AR7" i="24"/>
  <c r="AV7" i="24"/>
  <c r="L8" i="24"/>
  <c r="T8" i="24"/>
  <c r="AB8" i="24"/>
  <c r="AJ8" i="24"/>
  <c r="AV8" i="24"/>
  <c r="L9" i="24"/>
  <c r="AB9" i="24"/>
  <c r="AJ9" i="24"/>
  <c r="AR9" i="24"/>
  <c r="AV9" i="24"/>
  <c r="L10" i="24"/>
  <c r="AB10" i="24"/>
  <c r="AR10" i="24"/>
  <c r="AV10" i="24"/>
  <c r="L11" i="24"/>
  <c r="AB11" i="24"/>
  <c r="AJ11" i="24"/>
  <c r="AN11" i="24"/>
  <c r="AR11" i="24"/>
  <c r="AV11" i="24"/>
  <c r="L12" i="24"/>
  <c r="AB12" i="24"/>
  <c r="AF12" i="24"/>
  <c r="AJ12" i="24"/>
  <c r="AR12" i="24"/>
  <c r="AV12" i="24"/>
  <c r="L13" i="24"/>
  <c r="T13" i="24"/>
  <c r="X13" i="24"/>
  <c r="AB13" i="24"/>
  <c r="AR13" i="24"/>
  <c r="AV13" i="24"/>
  <c r="L14" i="24"/>
  <c r="T14" i="24"/>
  <c r="AB14" i="24"/>
  <c r="AJ14" i="24"/>
  <c r="AR14" i="24"/>
  <c r="AV14" i="24"/>
  <c r="L15" i="24"/>
  <c r="AB15" i="24"/>
  <c r="AJ15" i="24"/>
  <c r="AN15" i="24"/>
  <c r="AR15" i="24"/>
  <c r="AV15" i="24"/>
  <c r="L16" i="24"/>
  <c r="AB16" i="24"/>
  <c r="AR16" i="24"/>
  <c r="AV16" i="24"/>
  <c r="AF101" i="23"/>
  <c r="AG101" i="23"/>
  <c r="AH101" i="23"/>
  <c r="AY101" i="23"/>
  <c r="AZ101" i="23"/>
  <c r="BA101" i="23"/>
  <c r="AF102" i="23"/>
  <c r="AG102" i="23"/>
  <c r="AH102" i="23"/>
  <c r="AY102" i="23"/>
  <c r="AZ102" i="23"/>
  <c r="BA102" i="23"/>
  <c r="AF103" i="23"/>
  <c r="AG103" i="23"/>
  <c r="AH103" i="23"/>
  <c r="AY103" i="23"/>
  <c r="AZ103" i="23"/>
  <c r="BA103" i="23"/>
  <c r="AF104" i="23"/>
  <c r="AG104" i="23"/>
  <c r="AH104" i="23"/>
  <c r="AY104" i="23"/>
  <c r="AZ104" i="23"/>
  <c r="BA104" i="23"/>
  <c r="AF105" i="23"/>
  <c r="AG105" i="23"/>
  <c r="AH105" i="23"/>
  <c r="AY105" i="23"/>
  <c r="AZ105" i="23"/>
  <c r="BA105" i="23"/>
  <c r="AF106" i="23"/>
  <c r="AG106" i="23"/>
  <c r="AH106" i="23"/>
  <c r="AY106" i="23"/>
  <c r="AZ106" i="23"/>
  <c r="BA106" i="23"/>
  <c r="AF107" i="23"/>
  <c r="AG107" i="23"/>
  <c r="AH107" i="23"/>
  <c r="AY107" i="23"/>
  <c r="AZ107" i="23"/>
  <c r="BA107" i="23"/>
  <c r="AF108" i="23"/>
  <c r="AG108" i="23"/>
  <c r="AH108" i="23"/>
  <c r="AY108" i="23"/>
  <c r="AZ108" i="23"/>
  <c r="BA108" i="23"/>
  <c r="AF109" i="23"/>
  <c r="AG109" i="23"/>
  <c r="AH109" i="23"/>
  <c r="AY109" i="23"/>
  <c r="AZ109" i="23"/>
  <c r="BA109" i="23"/>
  <c r="AF110" i="23"/>
  <c r="AG110" i="23"/>
  <c r="AH110" i="23"/>
  <c r="AY110" i="23"/>
  <c r="AZ110" i="23"/>
  <c r="BA110" i="23"/>
  <c r="AF111" i="23"/>
  <c r="AG111" i="23"/>
  <c r="AH111" i="23"/>
  <c r="AY111" i="23"/>
  <c r="AZ111" i="23"/>
  <c r="BA111" i="23"/>
  <c r="AF112" i="23"/>
  <c r="AG112" i="23"/>
  <c r="AH112" i="23"/>
  <c r="AY112" i="23"/>
  <c r="AZ112" i="23"/>
  <c r="BA112" i="23"/>
  <c r="AF113" i="23"/>
  <c r="AG113" i="23"/>
  <c r="AH113" i="23"/>
  <c r="AY113" i="23"/>
  <c r="AZ113" i="23"/>
  <c r="BA113" i="23"/>
  <c r="AF114" i="23"/>
  <c r="AG114" i="23"/>
  <c r="AH114" i="23"/>
  <c r="AY114" i="23"/>
  <c r="AZ114" i="23"/>
  <c r="BA114" i="23"/>
  <c r="AF115" i="23"/>
  <c r="AG115" i="23"/>
  <c r="AH115" i="23"/>
  <c r="AY115" i="23"/>
  <c r="AZ115" i="23"/>
  <c r="BA115" i="23"/>
  <c r="AF116" i="23"/>
  <c r="AG116" i="23"/>
  <c r="AH116" i="23"/>
  <c r="AY116" i="23"/>
  <c r="AZ116" i="23"/>
  <c r="BA116" i="23"/>
  <c r="AF117" i="23"/>
  <c r="AG117" i="23"/>
  <c r="AH117" i="23"/>
  <c r="AY117" i="23"/>
  <c r="AZ117" i="23"/>
  <c r="BA117" i="23"/>
  <c r="U118" i="23"/>
  <c r="V118" i="23"/>
  <c r="AF118" i="23"/>
  <c r="AG118" i="23"/>
  <c r="AH118" i="23"/>
  <c r="AY118" i="23"/>
  <c r="AZ118" i="23"/>
  <c r="BA118" i="23"/>
  <c r="AF119" i="23"/>
  <c r="AG119" i="23"/>
  <c r="AH119" i="23"/>
  <c r="AY119" i="23"/>
  <c r="AZ119" i="23"/>
  <c r="BA119" i="23"/>
  <c r="AF120" i="23"/>
  <c r="AG120" i="23"/>
  <c r="AH120" i="23"/>
  <c r="AY120" i="23"/>
  <c r="AZ120" i="23"/>
  <c r="BA120" i="23"/>
  <c r="AF121" i="23"/>
  <c r="AG121" i="23"/>
  <c r="AH121" i="23"/>
  <c r="AY121" i="23"/>
  <c r="AZ121" i="23"/>
  <c r="BA121" i="23"/>
  <c r="W122" i="23"/>
  <c r="AF122" i="23"/>
  <c r="AG122" i="23"/>
  <c r="AH122" i="23"/>
  <c r="AY122" i="23"/>
  <c r="AZ122" i="23"/>
  <c r="BA122" i="23"/>
  <c r="AF76" i="23"/>
  <c r="AG76" i="23"/>
  <c r="AH76" i="23"/>
  <c r="AY76" i="23"/>
  <c r="AZ76" i="23"/>
  <c r="BA76" i="23"/>
  <c r="AF77" i="23"/>
  <c r="AG77" i="23"/>
  <c r="AH77" i="23"/>
  <c r="AY77" i="23"/>
  <c r="AZ77" i="23"/>
  <c r="BA77" i="23"/>
  <c r="AF78" i="23"/>
  <c r="AG78" i="23"/>
  <c r="AH78" i="23"/>
  <c r="AY78" i="23"/>
  <c r="AZ78" i="23"/>
  <c r="BA78" i="23"/>
  <c r="AF79" i="23"/>
  <c r="AG79" i="23"/>
  <c r="AH79" i="23"/>
  <c r="AY79" i="23"/>
  <c r="AZ79" i="23"/>
  <c r="BA79" i="23"/>
  <c r="AF80" i="23"/>
  <c r="AG80" i="23"/>
  <c r="AH80" i="23"/>
  <c r="AY80" i="23"/>
  <c r="AZ80" i="23"/>
  <c r="BA80" i="23"/>
  <c r="AF81" i="23"/>
  <c r="AG81" i="23"/>
  <c r="AH81" i="23"/>
  <c r="AY81" i="23"/>
  <c r="AZ81" i="23"/>
  <c r="BA81" i="23"/>
  <c r="AF82" i="23"/>
  <c r="AG82" i="23"/>
  <c r="AH82" i="23"/>
  <c r="AY82" i="23"/>
  <c r="AZ82" i="23"/>
  <c r="BA82" i="23"/>
  <c r="AF83" i="23"/>
  <c r="AG83" i="23"/>
  <c r="AH83" i="23"/>
  <c r="AY83" i="23"/>
  <c r="AZ83" i="23"/>
  <c r="BA83" i="23"/>
  <c r="AF84" i="23"/>
  <c r="AG84" i="23"/>
  <c r="AH84" i="23"/>
  <c r="AY84" i="23"/>
  <c r="AZ84" i="23"/>
  <c r="BA84" i="23"/>
  <c r="AF85" i="23"/>
  <c r="AG85" i="23"/>
  <c r="AH85" i="23"/>
  <c r="AY85" i="23"/>
  <c r="AZ85" i="23"/>
  <c r="BA85" i="23"/>
  <c r="AF86" i="23"/>
  <c r="AG86" i="23"/>
  <c r="AH86" i="23"/>
  <c r="AY86" i="23"/>
  <c r="AZ86" i="23"/>
  <c r="BA86" i="23"/>
  <c r="AF87" i="23"/>
  <c r="AG87" i="23"/>
  <c r="AH87" i="23"/>
  <c r="AY87" i="23"/>
  <c r="AZ87" i="23"/>
  <c r="BA87" i="23"/>
  <c r="AF88" i="23"/>
  <c r="AG88" i="23"/>
  <c r="AH88" i="23"/>
  <c r="AY88" i="23"/>
  <c r="AZ88" i="23"/>
  <c r="BA88" i="23"/>
  <c r="AF89" i="23"/>
  <c r="AG89" i="23"/>
  <c r="AH89" i="23"/>
  <c r="AY89" i="23"/>
  <c r="AZ89" i="23"/>
  <c r="BA89" i="23"/>
  <c r="AF90" i="23"/>
  <c r="AG90" i="23"/>
  <c r="AH90" i="23"/>
  <c r="AY90" i="23"/>
  <c r="AZ90" i="23"/>
  <c r="BA90" i="23"/>
  <c r="AF91" i="23"/>
  <c r="AG91" i="23"/>
  <c r="AH91" i="23"/>
  <c r="AY91" i="23"/>
  <c r="AZ91" i="23"/>
  <c r="BA91" i="23"/>
  <c r="AF92" i="23"/>
  <c r="AG92" i="23"/>
  <c r="AH92" i="23"/>
  <c r="AY92" i="23"/>
  <c r="AZ92" i="23"/>
  <c r="BA92" i="23"/>
  <c r="AF93" i="23"/>
  <c r="AG93" i="23"/>
  <c r="AH93" i="23"/>
  <c r="AY93" i="23"/>
  <c r="AZ93" i="23"/>
  <c r="BA93" i="23"/>
  <c r="AF94" i="23"/>
  <c r="AG94" i="23"/>
  <c r="AH94" i="23"/>
  <c r="AY94" i="23"/>
  <c r="AZ94" i="23"/>
  <c r="BA94" i="23"/>
  <c r="AF95" i="23"/>
  <c r="AG95" i="23"/>
  <c r="AH95" i="23"/>
  <c r="AY95" i="23"/>
  <c r="AZ95" i="23"/>
  <c r="BA95" i="23"/>
  <c r="AF96" i="23"/>
  <c r="AG96" i="23"/>
  <c r="AH96" i="23"/>
  <c r="AY96" i="23"/>
  <c r="AZ96" i="23"/>
  <c r="BA96" i="23"/>
  <c r="AF97" i="23"/>
  <c r="AG97" i="23"/>
  <c r="AH97" i="23"/>
  <c r="AY97" i="23"/>
  <c r="AZ97" i="23"/>
  <c r="BA97" i="23"/>
  <c r="AF98" i="23"/>
  <c r="AG98" i="23"/>
  <c r="AH98" i="23"/>
  <c r="AY98" i="23"/>
  <c r="AZ98" i="23"/>
  <c r="BA98" i="23"/>
  <c r="AF99" i="23"/>
  <c r="AG99" i="23"/>
  <c r="AH99" i="23"/>
  <c r="AY99" i="23"/>
  <c r="AZ99" i="23"/>
  <c r="BA99" i="23"/>
  <c r="AF100" i="23"/>
  <c r="AG100" i="23"/>
  <c r="AH100" i="23"/>
  <c r="AY100" i="23"/>
  <c r="AZ100" i="23"/>
  <c r="BA100" i="23"/>
  <c r="AF51" i="23"/>
  <c r="AG51" i="23"/>
  <c r="AH51" i="23"/>
  <c r="AY51" i="23"/>
  <c r="AZ51" i="23"/>
  <c r="BA51" i="23"/>
  <c r="AF52" i="23"/>
  <c r="AG52" i="23"/>
  <c r="AH52" i="23"/>
  <c r="AY52" i="23"/>
  <c r="AZ52" i="23"/>
  <c r="BA52" i="23"/>
  <c r="AF53" i="23"/>
  <c r="AG53" i="23"/>
  <c r="AH53" i="23"/>
  <c r="AY53" i="23"/>
  <c r="AZ53" i="23"/>
  <c r="BA53" i="23"/>
  <c r="AF54" i="23"/>
  <c r="AG54" i="23"/>
  <c r="AH54" i="23"/>
  <c r="AY54" i="23"/>
  <c r="AZ54" i="23"/>
  <c r="BA54" i="23"/>
  <c r="AF55" i="23"/>
  <c r="AG55" i="23"/>
  <c r="AH55" i="23"/>
  <c r="AY55" i="23"/>
  <c r="AZ55" i="23"/>
  <c r="BA55" i="23"/>
  <c r="AF56" i="23"/>
  <c r="AG56" i="23"/>
  <c r="AH56" i="23"/>
  <c r="AY56" i="23"/>
  <c r="AZ56" i="23"/>
  <c r="BA56" i="23"/>
  <c r="AF57" i="23"/>
  <c r="AG57" i="23"/>
  <c r="AH57" i="23"/>
  <c r="AY57" i="23"/>
  <c r="AZ57" i="23"/>
  <c r="BA57" i="23"/>
  <c r="AF58" i="23"/>
  <c r="AG58" i="23"/>
  <c r="AH58" i="23"/>
  <c r="AY58" i="23"/>
  <c r="AZ58" i="23"/>
  <c r="BA58" i="23"/>
  <c r="AF59" i="23"/>
  <c r="AG59" i="23"/>
  <c r="AH59" i="23"/>
  <c r="AY59" i="23"/>
  <c r="AZ59" i="23"/>
  <c r="BA59" i="23"/>
  <c r="AF60" i="23"/>
  <c r="AG60" i="23"/>
  <c r="AH60" i="23"/>
  <c r="AY60" i="23"/>
  <c r="AZ60" i="23"/>
  <c r="BA60" i="23"/>
  <c r="AF61" i="23"/>
  <c r="AG61" i="23"/>
  <c r="AH61" i="23"/>
  <c r="AY61" i="23"/>
  <c r="AZ61" i="23"/>
  <c r="BA61" i="23"/>
  <c r="AF62" i="23"/>
  <c r="AG62" i="23"/>
  <c r="AH62" i="23"/>
  <c r="AY62" i="23"/>
  <c r="AZ62" i="23"/>
  <c r="BA62" i="23"/>
  <c r="AF63" i="23"/>
  <c r="AG63" i="23"/>
  <c r="AH63" i="23"/>
  <c r="AY63" i="23"/>
  <c r="AZ63" i="23"/>
  <c r="BA63" i="23"/>
  <c r="AF64" i="23"/>
  <c r="AG64" i="23"/>
  <c r="AH64" i="23"/>
  <c r="AY64" i="23"/>
  <c r="AZ64" i="23"/>
  <c r="BA64" i="23"/>
  <c r="AF65" i="23"/>
  <c r="AG65" i="23"/>
  <c r="AH65" i="23"/>
  <c r="AY65" i="23"/>
  <c r="AZ65" i="23"/>
  <c r="BA65" i="23"/>
  <c r="AF66" i="23"/>
  <c r="AG66" i="23"/>
  <c r="AH66" i="23"/>
  <c r="AY66" i="23"/>
  <c r="AZ66" i="23"/>
  <c r="BA66" i="23"/>
  <c r="AF67" i="23"/>
  <c r="AG67" i="23"/>
  <c r="AH67" i="23"/>
  <c r="AY67" i="23"/>
  <c r="AZ67" i="23"/>
  <c r="BA67" i="23"/>
  <c r="AF68" i="23"/>
  <c r="AG68" i="23"/>
  <c r="AH68" i="23"/>
  <c r="AY68" i="23"/>
  <c r="AZ68" i="23"/>
  <c r="BA68" i="23"/>
  <c r="AF69" i="23"/>
  <c r="AG69" i="23"/>
  <c r="AH69" i="23"/>
  <c r="AY69" i="23"/>
  <c r="AZ69" i="23"/>
  <c r="BA69" i="23"/>
  <c r="AF70" i="23"/>
  <c r="AG70" i="23"/>
  <c r="AH70" i="23"/>
  <c r="AY70" i="23"/>
  <c r="AZ70" i="23"/>
  <c r="BA70" i="23"/>
  <c r="AF71" i="23"/>
  <c r="AG71" i="23"/>
  <c r="AH71" i="23"/>
  <c r="AY71" i="23"/>
  <c r="AZ71" i="23"/>
  <c r="BA71" i="23"/>
  <c r="AF72" i="23"/>
  <c r="AG72" i="23"/>
  <c r="AH72" i="23"/>
  <c r="AY72" i="23"/>
  <c r="AZ72" i="23"/>
  <c r="BA72" i="23"/>
  <c r="AF73" i="23"/>
  <c r="AG73" i="23"/>
  <c r="AH73" i="23"/>
  <c r="AY73" i="23"/>
  <c r="AZ73" i="23"/>
  <c r="BA73" i="23"/>
  <c r="AF74" i="23"/>
  <c r="AG74" i="23"/>
  <c r="AH74" i="23"/>
  <c r="AY74" i="23"/>
  <c r="AZ74" i="23"/>
  <c r="BA74" i="23"/>
  <c r="AF75" i="23"/>
  <c r="AG75" i="23"/>
  <c r="AH75" i="23"/>
  <c r="AY75" i="23"/>
  <c r="AZ75" i="23"/>
  <c r="BA75" i="23"/>
  <c r="AF26" i="23"/>
  <c r="AG26" i="23"/>
  <c r="AH26" i="23"/>
  <c r="AY26" i="23"/>
  <c r="AZ26" i="23"/>
  <c r="BA26" i="23"/>
  <c r="AF27" i="23"/>
  <c r="AG27" i="23"/>
  <c r="AH27" i="23"/>
  <c r="AY27" i="23"/>
  <c r="AZ27" i="23"/>
  <c r="BA27" i="23"/>
  <c r="AF28" i="23"/>
  <c r="AG28" i="23"/>
  <c r="AH28" i="23"/>
  <c r="AY28" i="23"/>
  <c r="AZ28" i="23"/>
  <c r="BA28" i="23"/>
  <c r="AF29" i="23"/>
  <c r="AG29" i="23"/>
  <c r="AH29" i="23"/>
  <c r="AY29" i="23"/>
  <c r="AZ29" i="23"/>
  <c r="BA29" i="23"/>
  <c r="AF30" i="23"/>
  <c r="AG30" i="23"/>
  <c r="AH30" i="23"/>
  <c r="AY30" i="23"/>
  <c r="AZ30" i="23"/>
  <c r="BA30" i="23"/>
  <c r="AF31" i="23"/>
  <c r="AG31" i="23"/>
  <c r="AH31" i="23"/>
  <c r="AY31" i="23"/>
  <c r="AZ31" i="23"/>
  <c r="BA31" i="23"/>
  <c r="AF32" i="23"/>
  <c r="AG32" i="23"/>
  <c r="AH32" i="23"/>
  <c r="AY32" i="23"/>
  <c r="AZ32" i="23"/>
  <c r="BA32" i="23"/>
  <c r="AF33" i="23"/>
  <c r="AG33" i="23"/>
  <c r="AH33" i="23"/>
  <c r="AY33" i="23"/>
  <c r="AZ33" i="23"/>
  <c r="BA33" i="23"/>
  <c r="AF34" i="23"/>
  <c r="AG34" i="23"/>
  <c r="AH34" i="23"/>
  <c r="AY34" i="23"/>
  <c r="AZ34" i="23"/>
  <c r="BA34" i="23"/>
  <c r="AF35" i="23"/>
  <c r="AG35" i="23"/>
  <c r="AH35" i="23"/>
  <c r="AY35" i="23"/>
  <c r="AZ35" i="23"/>
  <c r="BA35" i="23"/>
  <c r="AF36" i="23"/>
  <c r="AG36" i="23"/>
  <c r="AH36" i="23"/>
  <c r="AY36" i="23"/>
  <c r="AZ36" i="23"/>
  <c r="BA36" i="23"/>
  <c r="AF37" i="23"/>
  <c r="AG37" i="23"/>
  <c r="AH37" i="23"/>
  <c r="AY37" i="23"/>
  <c r="AZ37" i="23"/>
  <c r="BA37" i="23"/>
  <c r="AF38" i="23"/>
  <c r="AG38" i="23"/>
  <c r="AH38" i="23"/>
  <c r="AY38" i="23"/>
  <c r="AZ38" i="23"/>
  <c r="BA38" i="23"/>
  <c r="AF39" i="23"/>
  <c r="AG39" i="23"/>
  <c r="AH39" i="23"/>
  <c r="AY39" i="23"/>
  <c r="AZ39" i="23"/>
  <c r="BA39" i="23"/>
  <c r="AF40" i="23"/>
  <c r="AG40" i="23"/>
  <c r="AH40" i="23"/>
  <c r="AY40" i="23"/>
  <c r="AZ40" i="23"/>
  <c r="BA40" i="23"/>
  <c r="AF41" i="23"/>
  <c r="AG41" i="23"/>
  <c r="AH41" i="23"/>
  <c r="AY41" i="23"/>
  <c r="AZ41" i="23"/>
  <c r="BA41" i="23"/>
  <c r="AF42" i="23"/>
  <c r="AG42" i="23"/>
  <c r="AH42" i="23"/>
  <c r="AY42" i="23"/>
  <c r="AZ42" i="23"/>
  <c r="BA42" i="23"/>
  <c r="AF43" i="23"/>
  <c r="AG43" i="23"/>
  <c r="AH43" i="23"/>
  <c r="AY43" i="23"/>
  <c r="AZ43" i="23"/>
  <c r="BA43" i="23"/>
  <c r="AF44" i="23"/>
  <c r="AG44" i="23"/>
  <c r="AH44" i="23"/>
  <c r="AY44" i="23"/>
  <c r="AZ44" i="23"/>
  <c r="BA44" i="23"/>
  <c r="AF45" i="23"/>
  <c r="AG45" i="23"/>
  <c r="AH45" i="23"/>
  <c r="AY45" i="23"/>
  <c r="AZ45" i="23"/>
  <c r="BA45" i="23"/>
  <c r="AF46" i="23"/>
  <c r="AG46" i="23"/>
  <c r="AH46" i="23"/>
  <c r="AY46" i="23"/>
  <c r="AZ46" i="23"/>
  <c r="BA46" i="23"/>
  <c r="AF47" i="23"/>
  <c r="AG47" i="23"/>
  <c r="AH47" i="23"/>
  <c r="AY47" i="23"/>
  <c r="AZ47" i="23"/>
  <c r="BA47" i="23"/>
  <c r="AF48" i="23"/>
  <c r="AG48" i="23"/>
  <c r="AH48" i="23"/>
  <c r="AY48" i="23"/>
  <c r="AZ48" i="23"/>
  <c r="BA48" i="23"/>
  <c r="AF49" i="23"/>
  <c r="AG49" i="23"/>
  <c r="AH49" i="23"/>
  <c r="AY49" i="23"/>
  <c r="AZ49" i="23"/>
  <c r="BA49" i="23"/>
  <c r="AF50" i="23"/>
  <c r="AG50" i="23"/>
  <c r="AH50" i="23"/>
  <c r="AY50" i="23"/>
  <c r="AZ50" i="23"/>
  <c r="BA50" i="23"/>
  <c r="AF7" i="23"/>
  <c r="AG7" i="23"/>
  <c r="AH7" i="23"/>
  <c r="AY7" i="23"/>
  <c r="AZ7" i="23"/>
  <c r="BA7" i="23"/>
  <c r="AF8" i="23"/>
  <c r="AG8" i="23"/>
  <c r="AH8" i="23"/>
  <c r="AY8" i="23"/>
  <c r="AZ8" i="23"/>
  <c r="U9" i="23"/>
  <c r="V9" i="23"/>
  <c r="AF9" i="23"/>
  <c r="AG9" i="23"/>
  <c r="AH9" i="23"/>
  <c r="AY9" i="23"/>
  <c r="AZ9" i="23"/>
  <c r="BA9" i="23"/>
  <c r="AF10" i="23"/>
  <c r="AG10" i="23"/>
  <c r="AH10" i="23"/>
  <c r="AY10" i="23"/>
  <c r="AZ10" i="23"/>
  <c r="BA10" i="23"/>
  <c r="AF11" i="23"/>
  <c r="AG11" i="23"/>
  <c r="AH11" i="23"/>
  <c r="AY11" i="23"/>
  <c r="AZ11" i="23"/>
  <c r="BA11" i="23"/>
  <c r="AF12" i="23"/>
  <c r="AG12" i="23"/>
  <c r="AH12" i="23"/>
  <c r="AY12" i="23"/>
  <c r="AZ12" i="23"/>
  <c r="BA12" i="23"/>
  <c r="AF13" i="23"/>
  <c r="AG13" i="23"/>
  <c r="AH13" i="23"/>
  <c r="AY13" i="23"/>
  <c r="AZ13" i="23"/>
  <c r="BA13" i="23"/>
  <c r="AF14" i="23"/>
  <c r="AG14" i="23"/>
  <c r="AH14" i="23"/>
  <c r="AY14" i="23"/>
  <c r="AZ14" i="23"/>
  <c r="BA14" i="23"/>
  <c r="AF15" i="23"/>
  <c r="AG15" i="23"/>
  <c r="AH15" i="23"/>
  <c r="AY15" i="23"/>
  <c r="AZ15" i="23"/>
  <c r="BA15" i="23"/>
  <c r="AF16" i="23"/>
  <c r="AG16" i="23"/>
  <c r="AH16" i="23"/>
  <c r="AY16" i="23"/>
  <c r="AZ16" i="23"/>
  <c r="BA16" i="23"/>
  <c r="AF17" i="23"/>
  <c r="AG17" i="23"/>
  <c r="AH17" i="23"/>
  <c r="AY17" i="23"/>
  <c r="AZ17" i="23"/>
  <c r="BA17" i="23"/>
  <c r="AF18" i="23"/>
  <c r="AG18" i="23"/>
  <c r="AH18" i="23"/>
  <c r="AY18" i="23"/>
  <c r="AZ18" i="23"/>
  <c r="BA18" i="23"/>
  <c r="AF19" i="23"/>
  <c r="AG19" i="23"/>
  <c r="AH19" i="23"/>
  <c r="AY19" i="23"/>
  <c r="AZ19" i="23"/>
  <c r="BA19" i="23"/>
  <c r="AF20" i="23"/>
  <c r="AG20" i="23"/>
  <c r="AH20" i="23"/>
  <c r="AY20" i="23"/>
  <c r="AZ20" i="23"/>
  <c r="BA20" i="23"/>
  <c r="AF21" i="23"/>
  <c r="AG21" i="23"/>
  <c r="AH21" i="23"/>
  <c r="AY21" i="23"/>
  <c r="AZ21" i="23"/>
  <c r="BA21" i="23"/>
  <c r="AF22" i="23"/>
  <c r="AG22" i="23"/>
  <c r="AH22" i="23"/>
  <c r="AY22" i="23"/>
  <c r="AZ22" i="23"/>
  <c r="BA22" i="23"/>
  <c r="AF23" i="23"/>
  <c r="AG23" i="23"/>
  <c r="AH23" i="23"/>
  <c r="AY23" i="23"/>
  <c r="AZ23" i="23"/>
  <c r="BA23" i="23"/>
  <c r="AF24" i="23"/>
  <c r="AG24" i="23"/>
  <c r="AH24" i="23"/>
  <c r="AY24" i="23"/>
  <c r="AZ24" i="23"/>
  <c r="BA24" i="23"/>
  <c r="AF25" i="23"/>
  <c r="AG25" i="23"/>
  <c r="AH25" i="23"/>
  <c r="AY25" i="23"/>
  <c r="AZ25" i="23"/>
  <c r="BA25" i="23"/>
  <c r="Z89" i="22"/>
  <c r="AA89" i="22"/>
  <c r="AB89" i="22"/>
  <c r="Z90" i="22"/>
  <c r="AA90" i="22"/>
  <c r="AB90" i="22"/>
  <c r="Z91" i="22"/>
  <c r="AA91" i="22"/>
  <c r="AB91" i="22"/>
  <c r="Z92" i="22"/>
  <c r="AA92" i="22"/>
  <c r="AB92" i="22"/>
  <c r="Z93" i="22"/>
  <c r="AA93" i="22"/>
  <c r="AB93" i="22"/>
  <c r="Z94" i="22"/>
  <c r="AA94" i="22"/>
  <c r="AB94" i="22"/>
  <c r="Z95" i="22"/>
  <c r="AA95" i="22"/>
  <c r="AB95" i="22"/>
  <c r="Z96" i="22"/>
  <c r="AA96" i="22"/>
  <c r="AB96" i="22"/>
  <c r="Z97" i="22"/>
  <c r="AA97" i="22"/>
  <c r="AB97" i="22"/>
  <c r="Z98" i="22"/>
  <c r="AA98" i="22"/>
  <c r="AB98" i="22"/>
  <c r="Z99" i="22"/>
  <c r="AA99" i="22"/>
  <c r="AB99" i="22"/>
  <c r="Z100" i="22"/>
  <c r="AA100" i="22"/>
  <c r="AB100" i="22"/>
  <c r="Z101" i="22"/>
  <c r="AA101" i="22"/>
  <c r="AB101" i="22"/>
  <c r="Z102" i="22"/>
  <c r="AA102" i="22"/>
  <c r="AB102" i="22"/>
  <c r="Z45" i="22"/>
  <c r="AA45" i="22"/>
  <c r="AB45" i="22"/>
  <c r="Z46" i="22"/>
  <c r="AA46" i="22"/>
  <c r="AB46" i="22"/>
  <c r="Z47" i="22"/>
  <c r="AA47" i="22"/>
  <c r="AB47" i="22"/>
  <c r="Z48" i="22"/>
  <c r="AA48" i="22"/>
  <c r="AB48" i="22"/>
  <c r="Z49" i="22"/>
  <c r="AA49" i="22"/>
  <c r="AB49" i="22"/>
  <c r="Z50" i="22"/>
  <c r="AA50" i="22"/>
  <c r="AB50" i="22"/>
  <c r="Z51" i="22"/>
  <c r="AA51" i="22"/>
  <c r="AB51" i="22"/>
  <c r="Z52" i="22"/>
  <c r="AA52" i="22"/>
  <c r="AB52" i="22"/>
  <c r="Z53" i="22"/>
  <c r="AA53" i="22"/>
  <c r="AB53" i="22"/>
  <c r="Z54" i="22"/>
  <c r="AA54" i="22"/>
  <c r="AB54" i="22"/>
  <c r="Z55" i="22"/>
  <c r="AA55" i="22"/>
  <c r="AB55" i="22"/>
  <c r="Z56" i="22"/>
  <c r="AA56" i="22"/>
  <c r="AB56" i="22"/>
  <c r="Z57" i="22"/>
  <c r="AA57" i="22"/>
  <c r="AB57" i="22"/>
  <c r="Z58" i="22"/>
  <c r="AA58" i="22"/>
  <c r="AB58" i="22"/>
  <c r="Z59" i="22"/>
  <c r="AA59" i="22"/>
  <c r="AB59" i="22"/>
  <c r="Z60" i="22"/>
  <c r="AA60" i="22"/>
  <c r="AB60" i="22"/>
  <c r="Z61" i="22"/>
  <c r="AA61" i="22"/>
  <c r="AB61" i="22"/>
  <c r="Z62" i="22"/>
  <c r="AA62" i="22"/>
  <c r="AB62" i="22"/>
  <c r="Z63" i="22"/>
  <c r="AA63" i="22"/>
  <c r="AB63" i="22"/>
  <c r="Z64" i="22"/>
  <c r="AA64" i="22"/>
  <c r="AB64" i="22"/>
  <c r="Z65" i="22"/>
  <c r="AA65" i="22"/>
  <c r="AB65" i="22"/>
  <c r="Z66" i="22"/>
  <c r="AA66" i="22"/>
  <c r="AB66" i="22"/>
  <c r="Z67" i="22"/>
  <c r="AA67" i="22"/>
  <c r="AB67" i="22"/>
  <c r="Z68" i="22"/>
  <c r="AA68" i="22"/>
  <c r="AB68" i="22"/>
  <c r="Z69" i="22"/>
  <c r="AA69" i="22"/>
  <c r="AB69" i="22"/>
  <c r="Z70" i="22"/>
  <c r="AA70" i="22"/>
  <c r="AB70" i="22"/>
  <c r="Z71" i="22"/>
  <c r="AA71" i="22"/>
  <c r="AB71" i="22"/>
  <c r="Z72" i="22"/>
  <c r="AA72" i="22"/>
  <c r="AB72" i="22"/>
  <c r="Z73" i="22"/>
  <c r="AA73" i="22"/>
  <c r="AB73" i="22"/>
  <c r="Z74" i="22"/>
  <c r="AA74" i="22"/>
  <c r="AB74" i="22"/>
  <c r="Z75" i="22"/>
  <c r="AA75" i="22"/>
  <c r="AB75" i="22"/>
  <c r="Z76" i="22"/>
  <c r="AA76" i="22"/>
  <c r="AB76" i="22"/>
  <c r="Z77" i="22"/>
  <c r="AA77" i="22"/>
  <c r="AB77" i="22"/>
  <c r="Z78" i="22"/>
  <c r="AA78" i="22"/>
  <c r="AB78" i="22"/>
  <c r="Z79" i="22"/>
  <c r="AA79" i="22"/>
  <c r="AB79" i="22"/>
  <c r="Z80" i="22"/>
  <c r="AA80" i="22"/>
  <c r="AB80" i="22"/>
  <c r="Z81" i="22"/>
  <c r="AA81" i="22"/>
  <c r="AB81" i="22"/>
  <c r="Z82" i="22"/>
  <c r="AA82" i="22"/>
  <c r="AB82" i="22"/>
  <c r="Z83" i="22"/>
  <c r="AA83" i="22"/>
  <c r="AB83" i="22"/>
  <c r="Z84" i="22"/>
  <c r="AA84" i="22"/>
  <c r="AB84" i="22"/>
  <c r="Z85" i="22"/>
  <c r="AA85" i="22"/>
  <c r="AB85" i="22"/>
  <c r="Z86" i="22"/>
  <c r="AA86" i="22"/>
  <c r="AB86" i="22"/>
  <c r="Z87" i="22"/>
  <c r="AA87" i="22"/>
  <c r="AB87" i="22"/>
  <c r="Z88" i="22"/>
  <c r="AA88" i="22"/>
  <c r="AB88" i="22"/>
  <c r="Z7" i="22"/>
  <c r="AA7" i="22"/>
  <c r="Z8" i="22"/>
  <c r="AA8" i="22"/>
  <c r="AB8" i="22"/>
  <c r="Z9" i="22"/>
  <c r="AA9" i="22"/>
  <c r="AB9" i="22"/>
  <c r="Z10" i="22"/>
  <c r="AA10" i="22"/>
  <c r="AB10" i="22"/>
  <c r="Z11" i="22"/>
  <c r="AA11" i="22"/>
  <c r="AB11" i="22"/>
  <c r="Z12" i="22"/>
  <c r="AA12" i="22"/>
  <c r="AB12" i="22"/>
  <c r="Z13" i="22"/>
  <c r="AA13" i="22"/>
  <c r="AB13" i="22"/>
  <c r="Z14" i="22"/>
  <c r="AA14" i="22"/>
  <c r="AB14" i="22"/>
  <c r="Z15" i="22"/>
  <c r="AA15" i="22"/>
  <c r="AB15" i="22"/>
  <c r="Z16" i="22"/>
  <c r="AA16" i="22"/>
  <c r="AB16" i="22"/>
  <c r="Z17" i="22"/>
  <c r="AA17" i="22"/>
  <c r="AB17" i="22"/>
  <c r="Z18" i="22"/>
  <c r="AA18" i="22"/>
  <c r="AB18" i="22"/>
  <c r="Z19" i="22"/>
  <c r="AA19" i="22"/>
  <c r="AB19" i="22"/>
  <c r="Z20" i="22"/>
  <c r="AA20" i="22"/>
  <c r="AB20" i="22"/>
  <c r="Z21" i="22"/>
  <c r="AA21" i="22"/>
  <c r="AB21" i="22"/>
  <c r="Z22" i="22"/>
  <c r="AA22" i="22"/>
  <c r="AB22" i="22"/>
  <c r="Z23" i="22"/>
  <c r="AA23" i="22"/>
  <c r="AB23" i="22"/>
  <c r="Z24" i="22"/>
  <c r="AA24" i="22"/>
  <c r="AB24" i="22"/>
  <c r="Z25" i="22"/>
  <c r="AA25" i="22"/>
  <c r="AB25" i="22"/>
  <c r="Z26" i="22"/>
  <c r="AA26" i="22"/>
  <c r="AB26" i="22"/>
  <c r="Z27" i="22"/>
  <c r="AA27" i="22"/>
  <c r="AB27" i="22"/>
  <c r="Z28" i="22"/>
  <c r="AA28" i="22"/>
  <c r="AB28" i="22"/>
  <c r="Z29" i="22"/>
  <c r="AA29" i="22"/>
  <c r="AB29" i="22"/>
  <c r="Z30" i="22"/>
  <c r="AA30" i="22"/>
  <c r="AB30" i="22"/>
  <c r="Z31" i="22"/>
  <c r="AA31" i="22"/>
  <c r="AB31" i="22"/>
  <c r="Z32" i="22"/>
  <c r="AA32" i="22"/>
  <c r="AB32" i="22"/>
  <c r="Z33" i="22"/>
  <c r="AA33" i="22"/>
  <c r="AB33" i="22"/>
  <c r="Z34" i="22"/>
  <c r="AA34" i="22"/>
  <c r="AB34" i="22"/>
  <c r="Z35" i="22"/>
  <c r="AA35" i="22"/>
  <c r="AB35" i="22"/>
  <c r="Z36" i="22"/>
  <c r="AA36" i="22"/>
  <c r="AB36" i="22"/>
  <c r="Z37" i="22"/>
  <c r="AA37" i="22"/>
  <c r="AB37" i="22"/>
  <c r="Z38" i="22"/>
  <c r="AA38" i="22"/>
  <c r="AB38" i="22"/>
  <c r="Z39" i="22"/>
  <c r="AA39" i="22"/>
  <c r="AB39" i="22"/>
  <c r="Z40" i="22"/>
  <c r="AA40" i="22"/>
  <c r="AB40" i="22"/>
  <c r="Z41" i="22"/>
  <c r="AA41" i="22"/>
  <c r="AB41" i="22"/>
  <c r="Z42" i="22"/>
  <c r="AA42" i="22"/>
  <c r="AB42" i="22"/>
  <c r="Z43" i="22"/>
  <c r="AA43" i="22"/>
  <c r="AB43" i="22"/>
  <c r="Z44" i="22"/>
  <c r="AA44" i="22"/>
  <c r="AB44" i="22"/>
  <c r="Z89" i="21"/>
  <c r="AA89" i="21"/>
  <c r="N89" i="21" s="1"/>
  <c r="AB89" i="21"/>
  <c r="O89" i="21" s="1"/>
  <c r="O90" i="21"/>
  <c r="Z90" i="21"/>
  <c r="AA90" i="21"/>
  <c r="N90" i="21" s="1"/>
  <c r="AB90" i="21"/>
  <c r="O91" i="21"/>
  <c r="Z91" i="21"/>
  <c r="AA91" i="21"/>
  <c r="N91" i="21" s="1"/>
  <c r="AB91" i="21"/>
  <c r="N92" i="21"/>
  <c r="Z92" i="21"/>
  <c r="AA92" i="21"/>
  <c r="AB92" i="21"/>
  <c r="O92" i="21" s="1"/>
  <c r="Z93" i="21"/>
  <c r="AA93" i="21"/>
  <c r="N93" i="21" s="1"/>
  <c r="AB93" i="21"/>
  <c r="O93" i="21" s="1"/>
  <c r="Z94" i="21"/>
  <c r="AA94" i="21"/>
  <c r="N94" i="21" s="1"/>
  <c r="AB94" i="21"/>
  <c r="O94" i="21" s="1"/>
  <c r="N95" i="21"/>
  <c r="O95" i="21"/>
  <c r="Z95" i="21"/>
  <c r="AA95" i="21"/>
  <c r="AB95" i="21"/>
  <c r="Z96" i="21"/>
  <c r="AA96" i="21"/>
  <c r="N96" i="21" s="1"/>
  <c r="AB96" i="21"/>
  <c r="O96" i="21" s="1"/>
  <c r="Z97" i="21"/>
  <c r="AA97" i="21"/>
  <c r="N97" i="21" s="1"/>
  <c r="AB97" i="21"/>
  <c r="O97" i="21" s="1"/>
  <c r="N98" i="21"/>
  <c r="O98" i="21"/>
  <c r="Z98" i="21"/>
  <c r="AA98" i="21"/>
  <c r="AB98" i="21"/>
  <c r="Z99" i="21"/>
  <c r="AA99" i="21"/>
  <c r="N99" i="21" s="1"/>
  <c r="AB99" i="21"/>
  <c r="O99" i="21" s="1"/>
  <c r="Z100" i="21"/>
  <c r="AA100" i="21"/>
  <c r="N100" i="21" s="1"/>
  <c r="AB100" i="21"/>
  <c r="O100" i="21" s="1"/>
  <c r="O101" i="21"/>
  <c r="Z101" i="21"/>
  <c r="AA101" i="21"/>
  <c r="N101" i="21" s="1"/>
  <c r="AB101" i="21"/>
  <c r="O102" i="21"/>
  <c r="Z102" i="21"/>
  <c r="AA102" i="21"/>
  <c r="N102" i="21" s="1"/>
  <c r="AB102" i="21"/>
  <c r="Z103" i="21"/>
  <c r="AA103" i="21"/>
  <c r="N103" i="21" s="1"/>
  <c r="AB103" i="21"/>
  <c r="O103" i="21" s="1"/>
  <c r="L104" i="21"/>
  <c r="N104" i="21"/>
  <c r="Z104" i="21"/>
  <c r="AA104" i="21"/>
  <c r="AB104" i="21"/>
  <c r="O104" i="21" s="1"/>
  <c r="N105" i="21"/>
  <c r="Z105" i="21"/>
  <c r="AA105" i="21"/>
  <c r="AB105" i="21"/>
  <c r="O105" i="21" s="1"/>
  <c r="Z106" i="21"/>
  <c r="AA106" i="21"/>
  <c r="N106" i="21" s="1"/>
  <c r="AB106" i="21"/>
  <c r="O106" i="21" s="1"/>
  <c r="Z107" i="21"/>
  <c r="AA107" i="21"/>
  <c r="N107" i="21" s="1"/>
  <c r="AB107" i="21"/>
  <c r="O107" i="21" s="1"/>
  <c r="N108" i="21"/>
  <c r="Z108" i="21"/>
  <c r="AA108" i="21"/>
  <c r="AB108" i="21"/>
  <c r="O108" i="21" s="1"/>
  <c r="N109" i="21"/>
  <c r="Z109" i="21"/>
  <c r="AA109" i="21"/>
  <c r="AB109" i="21"/>
  <c r="O109" i="21" s="1"/>
  <c r="Z110" i="21"/>
  <c r="AA110" i="21"/>
  <c r="N110" i="21" s="1"/>
  <c r="AB110" i="21"/>
  <c r="O110" i="21" s="1"/>
  <c r="Z111" i="21"/>
  <c r="AA111" i="21"/>
  <c r="N111" i="21" s="1"/>
  <c r="AB111" i="21"/>
  <c r="O111" i="21" s="1"/>
  <c r="N112" i="21"/>
  <c r="O112" i="21"/>
  <c r="Z112" i="21"/>
  <c r="AA112" i="21"/>
  <c r="AB112" i="21"/>
  <c r="O113" i="21"/>
  <c r="Z113" i="21"/>
  <c r="AA113" i="21"/>
  <c r="N113" i="21" s="1"/>
  <c r="AB113" i="21"/>
  <c r="Z114" i="21"/>
  <c r="AA114" i="21"/>
  <c r="N114" i="21" s="1"/>
  <c r="AB114" i="21"/>
  <c r="O114" i="21" s="1"/>
  <c r="O115" i="21"/>
  <c r="Z115" i="21"/>
  <c r="AA115" i="21"/>
  <c r="N115" i="21" s="1"/>
  <c r="AB115" i="21"/>
  <c r="O116" i="21"/>
  <c r="Z116" i="21"/>
  <c r="AA116" i="21"/>
  <c r="N116" i="21" s="1"/>
  <c r="AB116" i="21"/>
  <c r="Z117" i="21"/>
  <c r="AA117" i="21"/>
  <c r="N117" i="21" s="1"/>
  <c r="AB117" i="21"/>
  <c r="O117" i="21" s="1"/>
  <c r="Z118" i="21"/>
  <c r="AA118" i="21"/>
  <c r="N118" i="21" s="1"/>
  <c r="AB118" i="21"/>
  <c r="O118" i="21" s="1"/>
  <c r="O119" i="21"/>
  <c r="Z119" i="21"/>
  <c r="AA119" i="21"/>
  <c r="N119" i="21" s="1"/>
  <c r="AB119" i="21"/>
  <c r="Z120" i="21"/>
  <c r="AA120" i="21"/>
  <c r="N120" i="21" s="1"/>
  <c r="AB120" i="21"/>
  <c r="O120" i="21" s="1"/>
  <c r="O121" i="21"/>
  <c r="Z121" i="21"/>
  <c r="AA121" i="21"/>
  <c r="N121" i="21" s="1"/>
  <c r="AB121" i="21"/>
  <c r="Z122" i="21"/>
  <c r="AA122" i="21"/>
  <c r="N122" i="21" s="1"/>
  <c r="AB122" i="21"/>
  <c r="O122" i="21" s="1"/>
  <c r="Z123" i="21"/>
  <c r="AA123" i="21"/>
  <c r="N123" i="21" s="1"/>
  <c r="AB123" i="21"/>
  <c r="O123" i="21" s="1"/>
  <c r="O124" i="21"/>
  <c r="Z124" i="21"/>
  <c r="AA124" i="21"/>
  <c r="N124" i="21" s="1"/>
  <c r="AB124" i="21"/>
  <c r="Z125" i="21"/>
  <c r="AA125" i="21"/>
  <c r="N125" i="21" s="1"/>
  <c r="AB125" i="21"/>
  <c r="O125" i="21" s="1"/>
  <c r="Z45" i="21"/>
  <c r="AA45" i="21"/>
  <c r="N45" i="21" s="1"/>
  <c r="AB45" i="21"/>
  <c r="O45" i="21" s="1"/>
  <c r="O46" i="21"/>
  <c r="Z46" i="21"/>
  <c r="AA46" i="21"/>
  <c r="N46" i="21" s="1"/>
  <c r="AB46" i="21"/>
  <c r="O47" i="21"/>
  <c r="Z47" i="21"/>
  <c r="AA47" i="21"/>
  <c r="N47" i="21" s="1"/>
  <c r="AB47" i="21"/>
  <c r="N48" i="21"/>
  <c r="O48" i="21"/>
  <c r="Z48" i="21"/>
  <c r="AA48" i="21"/>
  <c r="AB48" i="21"/>
  <c r="O49" i="21"/>
  <c r="Z49" i="21"/>
  <c r="AA49" i="21"/>
  <c r="N49" i="21" s="1"/>
  <c r="AB49" i="21"/>
  <c r="N50" i="21"/>
  <c r="Z50" i="21"/>
  <c r="AA50" i="21"/>
  <c r="AB50" i="21"/>
  <c r="O50" i="21" s="1"/>
  <c r="Z51" i="21"/>
  <c r="AA51" i="21"/>
  <c r="N51" i="21" s="1"/>
  <c r="AB51" i="21"/>
  <c r="O51" i="21" s="1"/>
  <c r="O52" i="21"/>
  <c r="Z52" i="21"/>
  <c r="AA52" i="21"/>
  <c r="N52" i="21" s="1"/>
  <c r="AB52" i="21"/>
  <c r="Z53" i="21"/>
  <c r="AA53" i="21"/>
  <c r="N53" i="21" s="1"/>
  <c r="AB53" i="21"/>
  <c r="O53" i="21" s="1"/>
  <c r="O54" i="21"/>
  <c r="Z54" i="21"/>
  <c r="AA54" i="21"/>
  <c r="N54" i="21" s="1"/>
  <c r="AB54" i="21"/>
  <c r="Z55" i="21"/>
  <c r="AA55" i="21"/>
  <c r="N55" i="21" s="1"/>
  <c r="AB55" i="21"/>
  <c r="O55" i="21" s="1"/>
  <c r="O56" i="21"/>
  <c r="Z56" i="21"/>
  <c r="AA56" i="21"/>
  <c r="N56" i="21" s="1"/>
  <c r="AB56" i="21"/>
  <c r="N57" i="21"/>
  <c r="O57" i="21"/>
  <c r="Z57" i="21"/>
  <c r="AA57" i="21"/>
  <c r="AB57" i="21"/>
  <c r="Z58" i="21"/>
  <c r="AA58" i="21"/>
  <c r="N58" i="21" s="1"/>
  <c r="AB58" i="21"/>
  <c r="O58" i="21" s="1"/>
  <c r="O59" i="21"/>
  <c r="Z59" i="21"/>
  <c r="AA59" i="21"/>
  <c r="N59" i="21" s="1"/>
  <c r="AB59" i="21"/>
  <c r="N60" i="21"/>
  <c r="O60" i="21"/>
  <c r="Z60" i="21"/>
  <c r="AA60" i="21"/>
  <c r="AB60" i="21"/>
  <c r="N61" i="21"/>
  <c r="Z61" i="21"/>
  <c r="AA61" i="21"/>
  <c r="AB61" i="21"/>
  <c r="O61" i="21" s="1"/>
  <c r="N62" i="21"/>
  <c r="Z62" i="21"/>
  <c r="AA62" i="21"/>
  <c r="AB62" i="21"/>
  <c r="O62" i="21" s="1"/>
  <c r="O63" i="21"/>
  <c r="Z63" i="21"/>
  <c r="AA63" i="21"/>
  <c r="N63" i="21" s="1"/>
  <c r="AB63" i="21"/>
  <c r="N64" i="21"/>
  <c r="Z64" i="21"/>
  <c r="AA64" i="21"/>
  <c r="AB64" i="21"/>
  <c r="O64" i="21" s="1"/>
  <c r="N65" i="21"/>
  <c r="Z65" i="21"/>
  <c r="AA65" i="21"/>
  <c r="AB65" i="21"/>
  <c r="O65" i="21" s="1"/>
  <c r="Z66" i="21"/>
  <c r="AA66" i="21"/>
  <c r="N66" i="21" s="1"/>
  <c r="AB66" i="21"/>
  <c r="O66" i="21" s="1"/>
  <c r="Z67" i="21"/>
  <c r="AA67" i="21"/>
  <c r="N67" i="21" s="1"/>
  <c r="AB67" i="21"/>
  <c r="O67" i="21" s="1"/>
  <c r="N68" i="21"/>
  <c r="Z68" i="21"/>
  <c r="AA68" i="21"/>
  <c r="AB68" i="21"/>
  <c r="O68" i="21" s="1"/>
  <c r="Z69" i="21"/>
  <c r="AA69" i="21"/>
  <c r="N69" i="21" s="1"/>
  <c r="AB69" i="21"/>
  <c r="O69" i="21" s="1"/>
  <c r="Z70" i="21"/>
  <c r="AA70" i="21"/>
  <c r="N70" i="21" s="1"/>
  <c r="AB70" i="21"/>
  <c r="O70" i="21" s="1"/>
  <c r="Z71" i="21"/>
  <c r="AA71" i="21"/>
  <c r="N71" i="21" s="1"/>
  <c r="AB71" i="21"/>
  <c r="O71" i="21" s="1"/>
  <c r="Z72" i="21"/>
  <c r="AA72" i="21"/>
  <c r="N72" i="21" s="1"/>
  <c r="AB72" i="21"/>
  <c r="O72" i="21" s="1"/>
  <c r="Z73" i="21"/>
  <c r="AA73" i="21"/>
  <c r="N73" i="21" s="1"/>
  <c r="AB73" i="21"/>
  <c r="O73" i="21" s="1"/>
  <c r="O74" i="21"/>
  <c r="Z74" i="21"/>
  <c r="AA74" i="21"/>
  <c r="N74" i="21" s="1"/>
  <c r="AB74" i="21"/>
  <c r="O75" i="21"/>
  <c r="Z75" i="21"/>
  <c r="AA75" i="21"/>
  <c r="N75" i="21" s="1"/>
  <c r="AB75" i="21"/>
  <c r="N76" i="21"/>
  <c r="O76" i="21"/>
  <c r="Z76" i="21"/>
  <c r="AA76" i="21"/>
  <c r="AB76" i="21"/>
  <c r="Z77" i="21"/>
  <c r="AA77" i="21"/>
  <c r="N77" i="21" s="1"/>
  <c r="AB77" i="21"/>
  <c r="O77" i="21" s="1"/>
  <c r="O78" i="21"/>
  <c r="Z78" i="21"/>
  <c r="AA78" i="21"/>
  <c r="N78" i="21" s="1"/>
  <c r="AB78" i="21"/>
  <c r="N79" i="21"/>
  <c r="O79" i="21"/>
  <c r="Z79" i="21"/>
  <c r="AA79" i="21"/>
  <c r="AB79" i="21"/>
  <c r="N80" i="21"/>
  <c r="Z80" i="21"/>
  <c r="AA80" i="21"/>
  <c r="AB80" i="21"/>
  <c r="O80" i="21" s="1"/>
  <c r="N81" i="21"/>
  <c r="Z81" i="21"/>
  <c r="AA81" i="21"/>
  <c r="AB81" i="21"/>
  <c r="O81" i="21" s="1"/>
  <c r="O82" i="21"/>
  <c r="Z82" i="21"/>
  <c r="AA82" i="21"/>
  <c r="N82" i="21" s="1"/>
  <c r="AB82" i="21"/>
  <c r="N83" i="21"/>
  <c r="Z83" i="21"/>
  <c r="AA83" i="21"/>
  <c r="AB83" i="21"/>
  <c r="O83" i="21" s="1"/>
  <c r="O84" i="21"/>
  <c r="Z84" i="21"/>
  <c r="AA84" i="21"/>
  <c r="N84" i="21" s="1"/>
  <c r="AB84" i="21"/>
  <c r="O85" i="21"/>
  <c r="Z85" i="21"/>
  <c r="AA85" i="21"/>
  <c r="N85" i="21" s="1"/>
  <c r="AB85" i="21"/>
  <c r="L86" i="21"/>
  <c r="N86" i="21"/>
  <c r="Z86" i="21"/>
  <c r="AA86" i="21"/>
  <c r="AB86" i="21"/>
  <c r="O86" i="21" s="1"/>
  <c r="O87" i="21"/>
  <c r="Z87" i="21"/>
  <c r="AA87" i="21"/>
  <c r="N87" i="21" s="1"/>
  <c r="AB87" i="21"/>
  <c r="O88" i="21"/>
  <c r="Z88" i="21"/>
  <c r="AA88" i="21"/>
  <c r="N88" i="21" s="1"/>
  <c r="AB88" i="21"/>
  <c r="N8" i="21"/>
  <c r="Z8" i="21"/>
  <c r="AA8" i="21"/>
  <c r="AB8" i="21"/>
  <c r="O8" i="21" s="1"/>
  <c r="Z9" i="21"/>
  <c r="AA9" i="21"/>
  <c r="N9" i="21" s="1"/>
  <c r="AB9" i="21"/>
  <c r="O9" i="21" s="1"/>
  <c r="Z10" i="21"/>
  <c r="AA10" i="21"/>
  <c r="N10" i="21" s="1"/>
  <c r="AB10" i="21"/>
  <c r="O10" i="21" s="1"/>
  <c r="Z11" i="21"/>
  <c r="AA11" i="21"/>
  <c r="N11" i="21" s="1"/>
  <c r="AB11" i="21"/>
  <c r="O11" i="21" s="1"/>
  <c r="N12" i="21"/>
  <c r="O12" i="21"/>
  <c r="Z12" i="21"/>
  <c r="AA12" i="21"/>
  <c r="AB12" i="21"/>
  <c r="Z13" i="21"/>
  <c r="AA13" i="21"/>
  <c r="N13" i="21" s="1"/>
  <c r="AB13" i="21"/>
  <c r="O13" i="21" s="1"/>
  <c r="N14" i="21"/>
  <c r="Z14" i="21"/>
  <c r="AA14" i="21"/>
  <c r="AB14" i="21"/>
  <c r="O14" i="21" s="1"/>
  <c r="O15" i="21"/>
  <c r="Z15" i="21"/>
  <c r="AA15" i="21"/>
  <c r="N15" i="21" s="1"/>
  <c r="AB15" i="21"/>
  <c r="L16" i="21"/>
  <c r="N16" i="21"/>
  <c r="Z16" i="21"/>
  <c r="AA16" i="21"/>
  <c r="AB16" i="21"/>
  <c r="O16" i="21" s="1"/>
  <c r="Z17" i="21"/>
  <c r="AA17" i="21"/>
  <c r="N17" i="21" s="1"/>
  <c r="AB17" i="21"/>
  <c r="O17" i="21" s="1"/>
  <c r="O18" i="21"/>
  <c r="Z18" i="21"/>
  <c r="AA18" i="21"/>
  <c r="N18" i="21" s="1"/>
  <c r="AB18" i="21"/>
  <c r="N19" i="21"/>
  <c r="O19" i="21"/>
  <c r="Z19" i="21"/>
  <c r="AA19" i="21"/>
  <c r="AB19" i="21"/>
  <c r="N20" i="21"/>
  <c r="Z20" i="21"/>
  <c r="AA20" i="21"/>
  <c r="AB20" i="21"/>
  <c r="O20" i="21" s="1"/>
  <c r="Z21" i="21"/>
  <c r="AA21" i="21"/>
  <c r="N21" i="21" s="1"/>
  <c r="AB21" i="21"/>
  <c r="O21" i="21" s="1"/>
  <c r="Z22" i="21"/>
  <c r="AA22" i="21"/>
  <c r="N22" i="21" s="1"/>
  <c r="AB22" i="21"/>
  <c r="O22" i="21" s="1"/>
  <c r="O23" i="21"/>
  <c r="Z23" i="21"/>
  <c r="AA23" i="21"/>
  <c r="N23" i="21" s="1"/>
  <c r="AB23" i="21"/>
  <c r="N24" i="21"/>
  <c r="Z24" i="21"/>
  <c r="AA24" i="21"/>
  <c r="AB24" i="21"/>
  <c r="O24" i="21" s="1"/>
  <c r="Z25" i="21"/>
  <c r="AA25" i="21"/>
  <c r="N25" i="21" s="1"/>
  <c r="AB25" i="21"/>
  <c r="O25" i="21" s="1"/>
  <c r="Z26" i="21"/>
  <c r="AA26" i="21"/>
  <c r="N26" i="21" s="1"/>
  <c r="AB26" i="21"/>
  <c r="O26" i="21" s="1"/>
  <c r="O27" i="21"/>
  <c r="Z27" i="21"/>
  <c r="AA27" i="21"/>
  <c r="N27" i="21" s="1"/>
  <c r="AB27" i="21"/>
  <c r="N28" i="21"/>
  <c r="Z28" i="21"/>
  <c r="AA28" i="21"/>
  <c r="AB28" i="21"/>
  <c r="O28" i="21" s="1"/>
  <c r="Z29" i="21"/>
  <c r="AA29" i="21"/>
  <c r="N29" i="21" s="1"/>
  <c r="AB29" i="21"/>
  <c r="O29" i="21" s="1"/>
  <c r="Z30" i="21"/>
  <c r="AA30" i="21"/>
  <c r="N30" i="21" s="1"/>
  <c r="AB30" i="21"/>
  <c r="O30" i="21" s="1"/>
  <c r="Z31" i="21"/>
  <c r="AA31" i="21"/>
  <c r="N31" i="21" s="1"/>
  <c r="AB31" i="21"/>
  <c r="O31" i="21" s="1"/>
  <c r="Z32" i="21"/>
  <c r="AA32" i="21"/>
  <c r="N32" i="21" s="1"/>
  <c r="AB32" i="21"/>
  <c r="O32" i="21" s="1"/>
  <c r="Z33" i="21"/>
  <c r="AA33" i="21"/>
  <c r="N33" i="21" s="1"/>
  <c r="AB33" i="21"/>
  <c r="O33" i="21" s="1"/>
  <c r="Z34" i="21"/>
  <c r="AA34" i="21"/>
  <c r="N34" i="21" s="1"/>
  <c r="AB34" i="21"/>
  <c r="O34" i="21" s="1"/>
  <c r="Z35" i="21"/>
  <c r="AA35" i="21"/>
  <c r="N35" i="21" s="1"/>
  <c r="AB35" i="21"/>
  <c r="O35" i="21" s="1"/>
  <c r="Z36" i="21"/>
  <c r="AA36" i="21"/>
  <c r="N36" i="21" s="1"/>
  <c r="AB36" i="21"/>
  <c r="O36" i="21" s="1"/>
  <c r="O37" i="21"/>
  <c r="Z37" i="21"/>
  <c r="AA37" i="21"/>
  <c r="N37" i="21" s="1"/>
  <c r="AB37" i="21"/>
  <c r="N38" i="21"/>
  <c r="Z38" i="21"/>
  <c r="AA38" i="21"/>
  <c r="AB38" i="21"/>
  <c r="O38" i="21" s="1"/>
  <c r="Z39" i="21"/>
  <c r="AA39" i="21"/>
  <c r="N39" i="21" s="1"/>
  <c r="AB39" i="21"/>
  <c r="O39" i="21" s="1"/>
  <c r="N40" i="21"/>
  <c r="Z40" i="21"/>
  <c r="AA40" i="21"/>
  <c r="AB40" i="21"/>
  <c r="O40" i="21" s="1"/>
  <c r="L41" i="21"/>
  <c r="N41" i="21"/>
  <c r="Z41" i="21"/>
  <c r="AA41" i="21"/>
  <c r="AB41" i="21"/>
  <c r="O41" i="21" s="1"/>
  <c r="Z42" i="21"/>
  <c r="AA42" i="21"/>
  <c r="N42" i="21" s="1"/>
  <c r="AB42" i="21"/>
  <c r="O42" i="21" s="1"/>
  <c r="Z43" i="21"/>
  <c r="AA43" i="21"/>
  <c r="N43" i="21" s="1"/>
  <c r="AB43" i="21"/>
  <c r="O43" i="21" s="1"/>
  <c r="O44" i="21"/>
  <c r="Z44" i="21"/>
  <c r="AA44" i="21"/>
  <c r="N44" i="21" s="1"/>
  <c r="AB44" i="21"/>
  <c r="J71" i="20"/>
  <c r="J72" i="20"/>
  <c r="X40" i="20" s="1"/>
  <c r="J73" i="20"/>
  <c r="R34" i="20"/>
  <c r="AL34" i="20"/>
  <c r="AM34" i="20"/>
  <c r="AN34" i="20"/>
  <c r="O34" i="20" s="1"/>
  <c r="O35" i="20"/>
  <c r="W35" i="20"/>
  <c r="X35" i="20"/>
  <c r="AL35" i="20"/>
  <c r="AM35" i="20"/>
  <c r="AN35" i="20"/>
  <c r="AA35" i="20" s="1"/>
  <c r="O36" i="20"/>
  <c r="S36" i="20"/>
  <c r="AL36" i="20"/>
  <c r="AM36" i="20"/>
  <c r="V36" i="20" s="1"/>
  <c r="AN36" i="20"/>
  <c r="AA36" i="20" s="1"/>
  <c r="P37" i="20"/>
  <c r="Z37" i="20"/>
  <c r="AA37" i="20"/>
  <c r="AL37" i="20"/>
  <c r="AM37" i="20"/>
  <c r="N37" i="20" s="1"/>
  <c r="AN37" i="20"/>
  <c r="W37" i="20" s="1"/>
  <c r="T38" i="20"/>
  <c r="W38" i="20"/>
  <c r="Z38" i="20"/>
  <c r="AL38" i="20"/>
  <c r="AM38" i="20"/>
  <c r="R38" i="20" s="1"/>
  <c r="AN38" i="20"/>
  <c r="AA38" i="20" s="1"/>
  <c r="R39" i="20"/>
  <c r="S39" i="20"/>
  <c r="W39" i="20"/>
  <c r="X39" i="20"/>
  <c r="Z39" i="20"/>
  <c r="AA39" i="20"/>
  <c r="AL39" i="20"/>
  <c r="AM39" i="20"/>
  <c r="V39" i="20" s="1"/>
  <c r="AN39" i="20"/>
  <c r="O39" i="20" s="1"/>
  <c r="O40" i="20"/>
  <c r="R40" i="20"/>
  <c r="V40" i="20"/>
  <c r="Z40" i="20"/>
  <c r="AL40" i="20"/>
  <c r="AM40" i="20"/>
  <c r="N40" i="20" s="1"/>
  <c r="AN40" i="20"/>
  <c r="S41" i="20"/>
  <c r="X41" i="20"/>
  <c r="AL41" i="20"/>
  <c r="AM41" i="20"/>
  <c r="V41" i="20" s="1"/>
  <c r="AN41" i="20"/>
  <c r="O41" i="20" s="1"/>
  <c r="N42" i="20"/>
  <c r="O42" i="20"/>
  <c r="R42" i="20"/>
  <c r="V42" i="20"/>
  <c r="Z42" i="20"/>
  <c r="AA42" i="20"/>
  <c r="AL42" i="20"/>
  <c r="AM42" i="20"/>
  <c r="AN42" i="20"/>
  <c r="O43" i="20"/>
  <c r="S43" i="20"/>
  <c r="W43" i="20"/>
  <c r="AA43" i="20"/>
  <c r="AL43" i="20"/>
  <c r="AM43" i="20"/>
  <c r="N43" i="20" s="1"/>
  <c r="AN43" i="20"/>
  <c r="S44" i="20"/>
  <c r="T44" i="20"/>
  <c r="W44" i="20"/>
  <c r="AA44" i="20"/>
  <c r="AL44" i="20"/>
  <c r="AM44" i="20"/>
  <c r="R44" i="20" s="1"/>
  <c r="AN44" i="20"/>
  <c r="O44" i="20" s="1"/>
  <c r="P45" i="20"/>
  <c r="AL45" i="20"/>
  <c r="AM45" i="20"/>
  <c r="AN45" i="20"/>
  <c r="S45" i="20" s="1"/>
  <c r="L46" i="20"/>
  <c r="P46" i="20" s="1"/>
  <c r="N46" i="20"/>
  <c r="R46" i="20"/>
  <c r="V46" i="20"/>
  <c r="W46" i="20"/>
  <c r="X46" i="20"/>
  <c r="AL46" i="20"/>
  <c r="AM46" i="20"/>
  <c r="Z46" i="20" s="1"/>
  <c r="AN46" i="20"/>
  <c r="P47" i="20"/>
  <c r="T47" i="20"/>
  <c r="X47" i="20"/>
  <c r="AL47" i="20"/>
  <c r="AM47" i="20"/>
  <c r="AN47" i="20"/>
  <c r="S47" i="20" s="1"/>
  <c r="O48" i="20"/>
  <c r="P48" i="20"/>
  <c r="S48" i="20"/>
  <c r="T48" i="20"/>
  <c r="W48" i="20"/>
  <c r="X48" i="20"/>
  <c r="AA48" i="20"/>
  <c r="AL48" i="20"/>
  <c r="AM48" i="20"/>
  <c r="N48" i="20" s="1"/>
  <c r="AN48" i="20"/>
  <c r="L49" i="20"/>
  <c r="X49" i="20" s="1"/>
  <c r="N49" i="20"/>
  <c r="P49" i="20"/>
  <c r="S49" i="20"/>
  <c r="T49" i="20"/>
  <c r="W49" i="20"/>
  <c r="AL49" i="20"/>
  <c r="AM49" i="20"/>
  <c r="R49" i="20" s="1"/>
  <c r="AN49" i="20"/>
  <c r="O49" i="20" s="1"/>
  <c r="L50" i="20"/>
  <c r="P50" i="20" s="1"/>
  <c r="O50" i="20"/>
  <c r="S50" i="20"/>
  <c r="T50" i="20"/>
  <c r="V50" i="20"/>
  <c r="X50" i="20"/>
  <c r="Z50" i="20"/>
  <c r="AL50" i="20"/>
  <c r="AM50" i="20"/>
  <c r="N50" i="20" s="1"/>
  <c r="AN50" i="20"/>
  <c r="O51" i="20"/>
  <c r="W51" i="20"/>
  <c r="AL51" i="20"/>
  <c r="AM51" i="20"/>
  <c r="V51" i="20" s="1"/>
  <c r="AN51" i="20"/>
  <c r="S51" i="20" s="1"/>
  <c r="L52" i="20"/>
  <c r="X56" i="20" s="1"/>
  <c r="R52" i="20"/>
  <c r="X52" i="20"/>
  <c r="Z52" i="20"/>
  <c r="AL52" i="20"/>
  <c r="AM52" i="20"/>
  <c r="V52" i="20" s="1"/>
  <c r="AN52" i="20"/>
  <c r="O52" i="20" s="1"/>
  <c r="R53" i="20"/>
  <c r="S53" i="20"/>
  <c r="W53" i="20"/>
  <c r="AL53" i="20"/>
  <c r="AM53" i="20"/>
  <c r="AN53" i="20"/>
  <c r="AA53" i="20" s="1"/>
  <c r="R54" i="20"/>
  <c r="V54" i="20"/>
  <c r="Z54" i="20"/>
  <c r="AL54" i="20"/>
  <c r="AM54" i="20"/>
  <c r="N54" i="20" s="1"/>
  <c r="AN54" i="20"/>
  <c r="X55" i="20"/>
  <c r="AL55" i="20"/>
  <c r="AM55" i="20"/>
  <c r="AN55" i="20"/>
  <c r="S55" i="20" s="1"/>
  <c r="R56" i="20"/>
  <c r="AA56" i="20"/>
  <c r="AL56" i="20"/>
  <c r="AM56" i="20"/>
  <c r="V56" i="20" s="1"/>
  <c r="AN56" i="20"/>
  <c r="O56" i="20" s="1"/>
  <c r="R57" i="20"/>
  <c r="T57" i="20"/>
  <c r="W57" i="20"/>
  <c r="X57" i="20"/>
  <c r="AL57" i="20"/>
  <c r="AM57" i="20"/>
  <c r="AN57" i="20"/>
  <c r="AA57" i="20" s="1"/>
  <c r="L59" i="20"/>
  <c r="X59" i="20" s="1"/>
  <c r="P59" i="20"/>
  <c r="T59" i="20"/>
  <c r="L65" i="20"/>
  <c r="L44" i="20" s="1"/>
  <c r="P44" i="20" s="1"/>
  <c r="X44" i="20" s="1"/>
  <c r="L1" i="20"/>
  <c r="L7" i="20" s="1"/>
  <c r="P1" i="20"/>
  <c r="P8" i="20" s="1"/>
  <c r="T1" i="20"/>
  <c r="X1" i="20"/>
  <c r="X7" i="20"/>
  <c r="L8" i="20"/>
  <c r="T8" i="20"/>
  <c r="X8" i="20"/>
  <c r="L9" i="20"/>
  <c r="X9" i="20"/>
  <c r="L10" i="20"/>
  <c r="P10" i="20"/>
  <c r="T10" i="20"/>
  <c r="X10" i="20"/>
  <c r="O11" i="20"/>
  <c r="S11" i="20"/>
  <c r="W11" i="20"/>
  <c r="Z11" i="20"/>
  <c r="AL11" i="20"/>
  <c r="AM11" i="20"/>
  <c r="R11" i="20" s="1"/>
  <c r="AN11" i="20"/>
  <c r="AA11" i="20" s="1"/>
  <c r="N12" i="20"/>
  <c r="O12" i="20"/>
  <c r="P12" i="20"/>
  <c r="R12" i="20"/>
  <c r="T12" i="20"/>
  <c r="V12" i="20"/>
  <c r="W12" i="20"/>
  <c r="Z12" i="20"/>
  <c r="AA12" i="20"/>
  <c r="AL12" i="20"/>
  <c r="AM12" i="20"/>
  <c r="AN12" i="20"/>
  <c r="S12" i="20" s="1"/>
  <c r="O13" i="20"/>
  <c r="P13" i="20"/>
  <c r="S13" i="20"/>
  <c r="T13" i="20"/>
  <c r="X13" i="20"/>
  <c r="Z13" i="20"/>
  <c r="AL13" i="20"/>
  <c r="AM13" i="20"/>
  <c r="N13" i="20" s="1"/>
  <c r="AN13" i="20"/>
  <c r="N14" i="20"/>
  <c r="S14" i="20"/>
  <c r="T14" i="20"/>
  <c r="V14" i="20"/>
  <c r="W14" i="20"/>
  <c r="X14" i="20"/>
  <c r="Z14" i="20"/>
  <c r="AL14" i="20"/>
  <c r="AM14" i="20"/>
  <c r="R14" i="20" s="1"/>
  <c r="AN14" i="20"/>
  <c r="O14" i="20" s="1"/>
  <c r="N15" i="20"/>
  <c r="P15" i="20"/>
  <c r="R15" i="20"/>
  <c r="T15" i="20"/>
  <c r="V15" i="20"/>
  <c r="X15" i="20"/>
  <c r="Z15" i="20"/>
  <c r="AA15" i="20"/>
  <c r="AL15" i="20"/>
  <c r="AM15" i="20"/>
  <c r="AN15" i="20"/>
  <c r="N16" i="20"/>
  <c r="P16" i="20"/>
  <c r="T16" i="20"/>
  <c r="W16" i="20"/>
  <c r="X16" i="20"/>
  <c r="Z16" i="20"/>
  <c r="AA16" i="20"/>
  <c r="AL16" i="20"/>
  <c r="AM16" i="20"/>
  <c r="V16" i="20" s="1"/>
  <c r="AN16" i="20"/>
  <c r="O16" i="20" s="1"/>
  <c r="O17" i="20"/>
  <c r="P17" i="20"/>
  <c r="T17" i="20" s="1"/>
  <c r="S17" i="20"/>
  <c r="X17" i="20"/>
  <c r="Z17" i="20"/>
  <c r="AA17" i="20"/>
  <c r="AL17" i="20"/>
  <c r="AM17" i="20"/>
  <c r="N17" i="20" s="1"/>
  <c r="AN17" i="20"/>
  <c r="W17" i="20" s="1"/>
  <c r="P18" i="20"/>
  <c r="R18" i="20"/>
  <c r="S18" i="20"/>
  <c r="T18" i="20"/>
  <c r="X18" i="20"/>
  <c r="AL18" i="20"/>
  <c r="AM18" i="20"/>
  <c r="V18" i="20" s="1"/>
  <c r="AN18" i="20"/>
  <c r="W18" i="20" s="1"/>
  <c r="N19" i="20"/>
  <c r="P19" i="20"/>
  <c r="T19" i="20"/>
  <c r="V19" i="20"/>
  <c r="X19" i="20"/>
  <c r="Z19" i="20"/>
  <c r="AL19" i="20"/>
  <c r="AM19" i="20"/>
  <c r="R19" i="20" s="1"/>
  <c r="AN19" i="20"/>
  <c r="N20" i="20"/>
  <c r="O20" i="20"/>
  <c r="P20" i="20"/>
  <c r="T20" i="20" s="1"/>
  <c r="S20" i="20"/>
  <c r="W20" i="20"/>
  <c r="X20" i="20"/>
  <c r="AA20" i="20"/>
  <c r="AL20" i="20"/>
  <c r="AM20" i="20"/>
  <c r="Z20" i="20" s="1"/>
  <c r="AN20" i="20"/>
  <c r="O21" i="20"/>
  <c r="P21" i="20"/>
  <c r="T21" i="20" s="1"/>
  <c r="S21" i="20"/>
  <c r="Z21" i="20"/>
  <c r="AA21" i="20"/>
  <c r="AL21" i="20"/>
  <c r="AM21" i="20"/>
  <c r="R21" i="20" s="1"/>
  <c r="AN21" i="20"/>
  <c r="W21" i="20" s="1"/>
  <c r="P22" i="20"/>
  <c r="R22" i="20"/>
  <c r="S22" i="20"/>
  <c r="T22" i="20"/>
  <c r="X22" i="20"/>
  <c r="AL22" i="20"/>
  <c r="AM22" i="20"/>
  <c r="V22" i="20" s="1"/>
  <c r="AN22" i="20"/>
  <c r="W22" i="20" s="1"/>
  <c r="N23" i="20"/>
  <c r="P23" i="20"/>
  <c r="T23" i="20"/>
  <c r="V23" i="20"/>
  <c r="X23" i="20"/>
  <c r="Z23" i="20"/>
  <c r="AL23" i="20"/>
  <c r="AM23" i="20"/>
  <c r="R23" i="20" s="1"/>
  <c r="AN23" i="20"/>
  <c r="N24" i="20"/>
  <c r="O24" i="20"/>
  <c r="P24" i="20"/>
  <c r="T24" i="20" s="1"/>
  <c r="S24" i="20"/>
  <c r="W24" i="20"/>
  <c r="X24" i="20"/>
  <c r="AA24" i="20"/>
  <c r="AL24" i="20"/>
  <c r="AM24" i="20"/>
  <c r="Z24" i="20" s="1"/>
  <c r="AN24" i="20"/>
  <c r="O25" i="20"/>
  <c r="P25" i="20"/>
  <c r="T25" i="20" s="1"/>
  <c r="S25" i="20"/>
  <c r="Z25" i="20"/>
  <c r="AA25" i="20"/>
  <c r="AL25" i="20"/>
  <c r="AM25" i="20"/>
  <c r="R25" i="20" s="1"/>
  <c r="AN25" i="20"/>
  <c r="W25" i="20" s="1"/>
  <c r="P26" i="20"/>
  <c r="R26" i="20"/>
  <c r="S26" i="20"/>
  <c r="T26" i="20"/>
  <c r="X26" i="20"/>
  <c r="AL26" i="20"/>
  <c r="AM26" i="20"/>
  <c r="V26" i="20" s="1"/>
  <c r="AN26" i="20"/>
  <c r="W26" i="20" s="1"/>
  <c r="L27" i="20"/>
  <c r="P27" i="20" s="1"/>
  <c r="S27" i="20"/>
  <c r="AL27" i="20"/>
  <c r="AM27" i="20"/>
  <c r="AN27" i="20"/>
  <c r="W27" i="20" s="1"/>
  <c r="L28" i="20"/>
  <c r="L43" i="20" s="1"/>
  <c r="P43" i="20" s="1"/>
  <c r="N28" i="20"/>
  <c r="P28" i="20"/>
  <c r="T28" i="20"/>
  <c r="V28" i="20"/>
  <c r="X28" i="20"/>
  <c r="Z28" i="20"/>
  <c r="AL28" i="20"/>
  <c r="AM28" i="20"/>
  <c r="R28" i="20" s="1"/>
  <c r="AN28" i="20"/>
  <c r="N29" i="20"/>
  <c r="O29" i="20"/>
  <c r="P29" i="20"/>
  <c r="T29" i="20" s="1"/>
  <c r="S29" i="20"/>
  <c r="W29" i="20"/>
  <c r="X29" i="20"/>
  <c r="AA29" i="20"/>
  <c r="AL29" i="20"/>
  <c r="AM29" i="20"/>
  <c r="Z29" i="20" s="1"/>
  <c r="AN29" i="20"/>
  <c r="L30" i="20"/>
  <c r="X34" i="20" s="1"/>
  <c r="N30" i="20"/>
  <c r="O30" i="20"/>
  <c r="S30" i="20"/>
  <c r="T30" i="20"/>
  <c r="X30" i="20"/>
  <c r="Z30" i="20"/>
  <c r="AA30" i="20"/>
  <c r="AL30" i="20"/>
  <c r="AM30" i="20"/>
  <c r="R30" i="20" s="1"/>
  <c r="AN30" i="20"/>
  <c r="W30" i="20" s="1"/>
  <c r="N31" i="20"/>
  <c r="P31" i="20"/>
  <c r="R31" i="20"/>
  <c r="V31" i="20"/>
  <c r="Z31" i="20"/>
  <c r="AL31" i="20"/>
  <c r="AM31" i="20"/>
  <c r="AN31" i="20"/>
  <c r="N32" i="20"/>
  <c r="O32" i="20"/>
  <c r="P32" i="20"/>
  <c r="S32" i="20"/>
  <c r="T32" i="20"/>
  <c r="W32" i="20"/>
  <c r="X32" i="20"/>
  <c r="AA32" i="20"/>
  <c r="AL32" i="20"/>
  <c r="AM32" i="20"/>
  <c r="Z32" i="20" s="1"/>
  <c r="AN32" i="20"/>
  <c r="O33" i="20"/>
  <c r="P33" i="20"/>
  <c r="T33" i="20" s="1"/>
  <c r="S33" i="20"/>
  <c r="X33" i="20"/>
  <c r="Z33" i="20"/>
  <c r="AA33" i="20"/>
  <c r="AL33" i="20"/>
  <c r="AM33" i="20"/>
  <c r="R33" i="20" s="1"/>
  <c r="AN33" i="20"/>
  <c r="W33" i="20" s="1"/>
  <c r="L33" i="19"/>
  <c r="R33" i="19"/>
  <c r="V33" i="19"/>
  <c r="Z33" i="19"/>
  <c r="AM33" i="19"/>
  <c r="AN33" i="19"/>
  <c r="N33" i="19" s="1"/>
  <c r="AO33" i="19"/>
  <c r="O34" i="19"/>
  <c r="S34" i="19"/>
  <c r="Z34" i="19"/>
  <c r="AA34" i="19"/>
  <c r="AM34" i="19"/>
  <c r="AN34" i="19"/>
  <c r="N34" i="19" s="1"/>
  <c r="AO34" i="19"/>
  <c r="W34" i="19" s="1"/>
  <c r="N35" i="19"/>
  <c r="S35" i="19"/>
  <c r="V35" i="19"/>
  <c r="Z35" i="19"/>
  <c r="AM35" i="19"/>
  <c r="AN35" i="19"/>
  <c r="R35" i="19" s="1"/>
  <c r="AO35" i="19"/>
  <c r="O36" i="19"/>
  <c r="Z36" i="19"/>
  <c r="AA36" i="19"/>
  <c r="AM36" i="19"/>
  <c r="AN36" i="19"/>
  <c r="N36" i="19" s="1"/>
  <c r="AO36" i="19"/>
  <c r="S36" i="19" s="1"/>
  <c r="L1" i="19"/>
  <c r="P1" i="19"/>
  <c r="T1" i="19"/>
  <c r="X1" i="19"/>
  <c r="X10" i="19" s="1"/>
  <c r="L7" i="19"/>
  <c r="P7" i="19"/>
  <c r="T7" i="19"/>
  <c r="L8" i="19"/>
  <c r="P8" i="19"/>
  <c r="T8" i="19"/>
  <c r="X8" i="19"/>
  <c r="L9" i="19"/>
  <c r="P9" i="19"/>
  <c r="T9" i="19"/>
  <c r="L10" i="19"/>
  <c r="P10" i="19"/>
  <c r="T10" i="19"/>
  <c r="L11" i="19"/>
  <c r="O11" i="19"/>
  <c r="S11" i="19"/>
  <c r="Z11" i="19"/>
  <c r="AA11" i="19"/>
  <c r="AM11" i="19"/>
  <c r="AN11" i="19"/>
  <c r="N11" i="19" s="1"/>
  <c r="AO11" i="19"/>
  <c r="W11" i="19" s="1"/>
  <c r="L12" i="19"/>
  <c r="P12" i="19"/>
  <c r="T13" i="19" s="1"/>
  <c r="T12" i="19"/>
  <c r="AM12" i="19"/>
  <c r="AN12" i="19"/>
  <c r="R12" i="19" s="1"/>
  <c r="AO12" i="19"/>
  <c r="S12" i="19" s="1"/>
  <c r="L13" i="19"/>
  <c r="P13" i="19" s="1"/>
  <c r="N13" i="19"/>
  <c r="S13" i="19"/>
  <c r="V13" i="19"/>
  <c r="Z13" i="19"/>
  <c r="AM13" i="19"/>
  <c r="AN13" i="19"/>
  <c r="R13" i="19" s="1"/>
  <c r="AO13" i="19"/>
  <c r="N14" i="19"/>
  <c r="P14" i="19"/>
  <c r="T14" i="19"/>
  <c r="W14" i="19"/>
  <c r="Z14" i="19"/>
  <c r="AM14" i="19"/>
  <c r="AN14" i="19"/>
  <c r="R14" i="19" s="1"/>
  <c r="AO14" i="19"/>
  <c r="O14" i="19" s="1"/>
  <c r="O15" i="19"/>
  <c r="S15" i="19"/>
  <c r="X15" i="19"/>
  <c r="L15" i="19" s="1"/>
  <c r="Z15" i="19"/>
  <c r="AA15" i="19"/>
  <c r="AM15" i="19"/>
  <c r="AN15" i="19"/>
  <c r="R15" i="19" s="1"/>
  <c r="AO15" i="19"/>
  <c r="W15" i="19" s="1"/>
  <c r="L16" i="19"/>
  <c r="P16" i="19"/>
  <c r="R16" i="19"/>
  <c r="T16" i="19"/>
  <c r="X16" i="19"/>
  <c r="AA16" i="19"/>
  <c r="AM16" i="19"/>
  <c r="AN16" i="19"/>
  <c r="V16" i="19" s="1"/>
  <c r="AO16" i="19"/>
  <c r="S16" i="19" s="1"/>
  <c r="R17" i="19"/>
  <c r="S17" i="19"/>
  <c r="V17" i="19"/>
  <c r="X17" i="19"/>
  <c r="L17" i="19" s="1"/>
  <c r="AM17" i="19"/>
  <c r="AN17" i="19"/>
  <c r="N17" i="19" s="1"/>
  <c r="AO17" i="19"/>
  <c r="W17" i="19" s="1"/>
  <c r="L18" i="19"/>
  <c r="T18" i="19" s="1"/>
  <c r="S18" i="19"/>
  <c r="W18" i="19"/>
  <c r="X18" i="19"/>
  <c r="AM18" i="19"/>
  <c r="AN18" i="19"/>
  <c r="AO18" i="19"/>
  <c r="O18" i="19" s="1"/>
  <c r="N19" i="19"/>
  <c r="V19" i="19"/>
  <c r="X19" i="19"/>
  <c r="L19" i="19" s="1"/>
  <c r="Z19" i="19"/>
  <c r="AM19" i="19"/>
  <c r="AN19" i="19"/>
  <c r="R19" i="19" s="1"/>
  <c r="AO19" i="19"/>
  <c r="L20" i="19"/>
  <c r="P21" i="19" s="1"/>
  <c r="T22" i="19" s="1"/>
  <c r="O20" i="19"/>
  <c r="S20" i="19"/>
  <c r="Z20" i="19"/>
  <c r="AA20" i="19"/>
  <c r="AM20" i="19"/>
  <c r="AN20" i="19"/>
  <c r="N20" i="19" s="1"/>
  <c r="AO20" i="19"/>
  <c r="W20" i="19" s="1"/>
  <c r="T21" i="19"/>
  <c r="AM21" i="19"/>
  <c r="AN21" i="19"/>
  <c r="AO21" i="19"/>
  <c r="S21" i="19" s="1"/>
  <c r="N22" i="19"/>
  <c r="O22" i="19"/>
  <c r="P22" i="19"/>
  <c r="V22" i="19"/>
  <c r="W22" i="19"/>
  <c r="Z22" i="19"/>
  <c r="AA22" i="19"/>
  <c r="AM22" i="19"/>
  <c r="AN22" i="19"/>
  <c r="R22" i="19" s="1"/>
  <c r="AO22" i="19"/>
  <c r="S22" i="19" s="1"/>
  <c r="O23" i="19"/>
  <c r="P23" i="19"/>
  <c r="T23" i="19"/>
  <c r="AA23" i="19"/>
  <c r="AM23" i="19"/>
  <c r="AN23" i="19"/>
  <c r="R23" i="19" s="1"/>
  <c r="AO23" i="19"/>
  <c r="S23" i="19" s="1"/>
  <c r="L24" i="19"/>
  <c r="N24" i="19"/>
  <c r="S24" i="19"/>
  <c r="V24" i="19"/>
  <c r="W24" i="19"/>
  <c r="Z24" i="19"/>
  <c r="AA24" i="19"/>
  <c r="AM24" i="19"/>
  <c r="AN24" i="19"/>
  <c r="R24" i="19" s="1"/>
  <c r="AO24" i="19"/>
  <c r="O24" i="19" s="1"/>
  <c r="N25" i="19"/>
  <c r="P25" i="19"/>
  <c r="P34" i="19" s="1"/>
  <c r="R25" i="19"/>
  <c r="AA25" i="19"/>
  <c r="AM25" i="19"/>
  <c r="AN25" i="19"/>
  <c r="V25" i="19" s="1"/>
  <c r="AO25" i="19"/>
  <c r="O25" i="19" s="1"/>
  <c r="N26" i="19"/>
  <c r="O26" i="19"/>
  <c r="T26" i="19"/>
  <c r="V26" i="19"/>
  <c r="W26" i="19"/>
  <c r="Z26" i="19"/>
  <c r="AA26" i="19"/>
  <c r="AM26" i="19"/>
  <c r="AN26" i="19"/>
  <c r="R26" i="19" s="1"/>
  <c r="AO26" i="19"/>
  <c r="S26" i="19" s="1"/>
  <c r="N27" i="19"/>
  <c r="X27" i="19"/>
  <c r="X36" i="19" s="1"/>
  <c r="X31" i="19" s="1"/>
  <c r="AA27" i="19"/>
  <c r="AM27" i="19"/>
  <c r="AN27" i="19"/>
  <c r="R27" i="19" s="1"/>
  <c r="AO27" i="19"/>
  <c r="O27" i="19" s="1"/>
  <c r="R28" i="19"/>
  <c r="S28" i="19"/>
  <c r="AM28" i="19"/>
  <c r="AN28" i="19"/>
  <c r="V28" i="19" s="1"/>
  <c r="AO28" i="19"/>
  <c r="W28" i="19" s="1"/>
  <c r="S29" i="19"/>
  <c r="AM29" i="19"/>
  <c r="AN29" i="19"/>
  <c r="AO29" i="19"/>
  <c r="W29" i="19" s="1"/>
  <c r="N30" i="19"/>
  <c r="V30" i="19"/>
  <c r="X30" i="19"/>
  <c r="L30" i="19" s="1"/>
  <c r="Z30" i="19"/>
  <c r="AM30" i="19"/>
  <c r="AN30" i="19"/>
  <c r="R30" i="19" s="1"/>
  <c r="AO30" i="19"/>
  <c r="L31" i="19"/>
  <c r="N31" i="19"/>
  <c r="O31" i="19"/>
  <c r="R31" i="19"/>
  <c r="V31" i="19"/>
  <c r="W31" i="19"/>
  <c r="Z31" i="19"/>
  <c r="AA31" i="19"/>
  <c r="AM31" i="19"/>
  <c r="AN31" i="19"/>
  <c r="AO31" i="19"/>
  <c r="S31" i="19" s="1"/>
  <c r="L32" i="19"/>
  <c r="N32" i="19"/>
  <c r="O32" i="19"/>
  <c r="S32" i="19"/>
  <c r="W32" i="19"/>
  <c r="X32" i="19"/>
  <c r="Z32" i="19"/>
  <c r="AA32" i="19"/>
  <c r="AM32" i="19"/>
  <c r="AN32" i="19"/>
  <c r="R32" i="19" s="1"/>
  <c r="AO32" i="19"/>
  <c r="X34" i="18"/>
  <c r="AL34" i="18"/>
  <c r="AM34" i="18"/>
  <c r="R34" i="18" s="1"/>
  <c r="AN34" i="18"/>
  <c r="S34" i="18" s="1"/>
  <c r="L35" i="18"/>
  <c r="P35" i="18" s="1"/>
  <c r="AL35" i="18"/>
  <c r="AM35" i="18"/>
  <c r="V35" i="18" s="1"/>
  <c r="AN35" i="18"/>
  <c r="W35" i="18" s="1"/>
  <c r="L36" i="18"/>
  <c r="P36" i="18" s="1"/>
  <c r="S36" i="18"/>
  <c r="AL36" i="18"/>
  <c r="AM36" i="18"/>
  <c r="AN36" i="18"/>
  <c r="W36" i="18" s="1"/>
  <c r="P37" i="18"/>
  <c r="X37" i="18" s="1"/>
  <c r="V37" i="18"/>
  <c r="AL37" i="18"/>
  <c r="AM37" i="18"/>
  <c r="R37" i="18" s="1"/>
  <c r="AN37" i="18"/>
  <c r="N38" i="18"/>
  <c r="P38" i="18"/>
  <c r="T38" i="18" s="1"/>
  <c r="S38" i="18"/>
  <c r="X38" i="18"/>
  <c r="Z38" i="18"/>
  <c r="AL38" i="18"/>
  <c r="AM38" i="18"/>
  <c r="R38" i="18" s="1"/>
  <c r="AN38" i="18"/>
  <c r="W38" i="18" s="1"/>
  <c r="O39" i="18"/>
  <c r="P39" i="18"/>
  <c r="S39" i="18"/>
  <c r="T39" i="18"/>
  <c r="X39" i="18"/>
  <c r="AL39" i="18"/>
  <c r="AM39" i="18"/>
  <c r="R39" i="18" s="1"/>
  <c r="AN39" i="18"/>
  <c r="W39" i="18" s="1"/>
  <c r="P40" i="18"/>
  <c r="T40" i="18"/>
  <c r="X40" i="18"/>
  <c r="AL40" i="18"/>
  <c r="AM40" i="18"/>
  <c r="V40" i="18" s="1"/>
  <c r="AN40" i="18"/>
  <c r="W40" i="18" s="1"/>
  <c r="P41" i="18"/>
  <c r="T41" i="18"/>
  <c r="X41" i="18"/>
  <c r="AL41" i="18"/>
  <c r="AM41" i="18"/>
  <c r="R41" i="18" s="1"/>
  <c r="AN41" i="18"/>
  <c r="P42" i="18"/>
  <c r="T42" i="18"/>
  <c r="W42" i="18"/>
  <c r="X42" i="18"/>
  <c r="Z42" i="18"/>
  <c r="AL42" i="18"/>
  <c r="AM42" i="18"/>
  <c r="R42" i="18" s="1"/>
  <c r="AN42" i="18"/>
  <c r="AA42" i="18" s="1"/>
  <c r="L43" i="18"/>
  <c r="P43" i="18"/>
  <c r="T43" i="18" s="1"/>
  <c r="AL43" i="18"/>
  <c r="AM43" i="18"/>
  <c r="V43" i="18" s="1"/>
  <c r="AN43" i="18"/>
  <c r="S43" i="18" s="1"/>
  <c r="L44" i="18"/>
  <c r="X44" i="18"/>
  <c r="AL44" i="18"/>
  <c r="AM44" i="18"/>
  <c r="R44" i="18" s="1"/>
  <c r="AN44" i="18"/>
  <c r="S44" i="18" s="1"/>
  <c r="P45" i="18"/>
  <c r="T46" i="18" s="1"/>
  <c r="X47" i="18" s="1"/>
  <c r="AL45" i="18"/>
  <c r="AM45" i="18"/>
  <c r="R45" i="18" s="1"/>
  <c r="AN45" i="18"/>
  <c r="S45" i="18" s="1"/>
  <c r="O46" i="18"/>
  <c r="AL46" i="18"/>
  <c r="AM46" i="18"/>
  <c r="R46" i="18" s="1"/>
  <c r="AN46" i="18"/>
  <c r="S46" i="18" s="1"/>
  <c r="R47" i="18"/>
  <c r="T47" i="18"/>
  <c r="AL47" i="18"/>
  <c r="AM47" i="18"/>
  <c r="V47" i="18" s="1"/>
  <c r="AN47" i="18"/>
  <c r="S47" i="18" s="1"/>
  <c r="P48" i="18"/>
  <c r="T48" i="18" s="1"/>
  <c r="X48" i="18"/>
  <c r="Z48" i="18"/>
  <c r="AA48" i="18"/>
  <c r="AL48" i="18"/>
  <c r="AM48" i="18"/>
  <c r="V48" i="18" s="1"/>
  <c r="AN48" i="18"/>
  <c r="S48" i="18" s="1"/>
  <c r="P49" i="18"/>
  <c r="AL49" i="18"/>
  <c r="AM49" i="18"/>
  <c r="V49" i="18" s="1"/>
  <c r="AN49" i="18"/>
  <c r="S49" i="18" s="1"/>
  <c r="L50" i="18"/>
  <c r="P50" i="18" s="1"/>
  <c r="AL50" i="18"/>
  <c r="AM50" i="18"/>
  <c r="V50" i="18" s="1"/>
  <c r="AN50" i="18"/>
  <c r="W50" i="18" s="1"/>
  <c r="L51" i="18"/>
  <c r="P51" i="18" s="1"/>
  <c r="S51" i="18"/>
  <c r="AL51" i="18"/>
  <c r="AM51" i="18"/>
  <c r="AN51" i="18"/>
  <c r="W51" i="18" s="1"/>
  <c r="L52" i="18"/>
  <c r="P52" i="18" s="1"/>
  <c r="X52" i="18" s="1"/>
  <c r="T52" i="18"/>
  <c r="V52" i="18"/>
  <c r="Z52" i="18"/>
  <c r="AL52" i="18"/>
  <c r="AM52" i="18"/>
  <c r="R52" i="18" s="1"/>
  <c r="AN52" i="18"/>
  <c r="L53" i="18"/>
  <c r="P53" i="18" s="1"/>
  <c r="R53" i="18"/>
  <c r="V53" i="18"/>
  <c r="AL53" i="18"/>
  <c r="AM53" i="18"/>
  <c r="Z53" i="18" s="1"/>
  <c r="AN53" i="18"/>
  <c r="S53" i="18" s="1"/>
  <c r="P54" i="18"/>
  <c r="T54" i="18" s="1"/>
  <c r="AL54" i="18"/>
  <c r="AM54" i="18"/>
  <c r="V54" i="18" s="1"/>
  <c r="AN54" i="18"/>
  <c r="S54" i="18" s="1"/>
  <c r="L56" i="18"/>
  <c r="P56" i="18" s="1"/>
  <c r="L1" i="18"/>
  <c r="L7" i="18" s="1"/>
  <c r="P1" i="18"/>
  <c r="P10" i="18" s="1"/>
  <c r="T1" i="18"/>
  <c r="T7" i="18" s="1"/>
  <c r="X1" i="18"/>
  <c r="X9" i="18" s="1"/>
  <c r="P7" i="18"/>
  <c r="P8" i="18"/>
  <c r="X8" i="18"/>
  <c r="P9" i="18"/>
  <c r="T9" i="18"/>
  <c r="O11" i="18"/>
  <c r="P11" i="18"/>
  <c r="S11" i="18"/>
  <c r="AL11" i="18"/>
  <c r="AM11" i="18"/>
  <c r="R11" i="18" s="1"/>
  <c r="AN11" i="18"/>
  <c r="W11" i="18" s="1"/>
  <c r="W12" i="18"/>
  <c r="X12" i="18"/>
  <c r="Z12" i="18"/>
  <c r="AL12" i="18"/>
  <c r="AM12" i="18"/>
  <c r="R12" i="18" s="1"/>
  <c r="AN12" i="18"/>
  <c r="S12" i="18" s="1"/>
  <c r="P13" i="18"/>
  <c r="T13" i="18"/>
  <c r="AA13" i="18"/>
  <c r="AL13" i="18"/>
  <c r="AM13" i="18"/>
  <c r="R13" i="18" s="1"/>
  <c r="AN13" i="18"/>
  <c r="S13" i="18" s="1"/>
  <c r="T14" i="18"/>
  <c r="W14" i="18"/>
  <c r="AL14" i="18"/>
  <c r="AM14" i="18"/>
  <c r="R14" i="18" s="1"/>
  <c r="AN14" i="18"/>
  <c r="S14" i="18" s="1"/>
  <c r="N15" i="18"/>
  <c r="S15" i="18"/>
  <c r="AL15" i="18"/>
  <c r="AM15" i="18"/>
  <c r="AN15" i="18"/>
  <c r="W15" i="18" s="1"/>
  <c r="N16" i="18"/>
  <c r="P16" i="18"/>
  <c r="T16" i="18"/>
  <c r="X17" i="18" s="1"/>
  <c r="V16" i="18"/>
  <c r="AL16" i="18"/>
  <c r="AM16" i="18"/>
  <c r="R16" i="18" s="1"/>
  <c r="AN16" i="18"/>
  <c r="S16" i="18" s="1"/>
  <c r="P17" i="18"/>
  <c r="T17" i="18"/>
  <c r="Z17" i="18"/>
  <c r="AL17" i="18"/>
  <c r="AM17" i="18"/>
  <c r="V17" i="18" s="1"/>
  <c r="AN17" i="18"/>
  <c r="S17" i="18" s="1"/>
  <c r="T18" i="18"/>
  <c r="X18" i="18"/>
  <c r="AL18" i="18"/>
  <c r="AM18" i="18"/>
  <c r="R18" i="18" s="1"/>
  <c r="AN18" i="18"/>
  <c r="W18" i="18" s="1"/>
  <c r="P19" i="18"/>
  <c r="T19" i="18" s="1"/>
  <c r="AL19" i="18"/>
  <c r="AM19" i="18"/>
  <c r="R19" i="18" s="1"/>
  <c r="AN19" i="18"/>
  <c r="N20" i="18"/>
  <c r="P20" i="18"/>
  <c r="T20" i="18" s="1"/>
  <c r="S20" i="18"/>
  <c r="W20" i="18"/>
  <c r="X20" i="18"/>
  <c r="Z20" i="18"/>
  <c r="AA20" i="18"/>
  <c r="AL20" i="18"/>
  <c r="AM20" i="18"/>
  <c r="R20" i="18" s="1"/>
  <c r="AN20" i="18"/>
  <c r="O20" i="18" s="1"/>
  <c r="O21" i="18"/>
  <c r="P21" i="18"/>
  <c r="AA21" i="18"/>
  <c r="AL21" i="18"/>
  <c r="AM21" i="18"/>
  <c r="AN21" i="18"/>
  <c r="W21" i="18" s="1"/>
  <c r="P22" i="18"/>
  <c r="T22" i="18"/>
  <c r="X22" i="18"/>
  <c r="AL22" i="18"/>
  <c r="AM22" i="18"/>
  <c r="R22" i="18" s="1"/>
  <c r="AN22" i="18"/>
  <c r="P23" i="18"/>
  <c r="T23" i="18"/>
  <c r="X23" i="18"/>
  <c r="Z23" i="18"/>
  <c r="AL23" i="18"/>
  <c r="AM23" i="18"/>
  <c r="R23" i="18" s="1"/>
  <c r="AN23" i="18"/>
  <c r="W23" i="18" s="1"/>
  <c r="P24" i="18"/>
  <c r="T24" i="18" s="1"/>
  <c r="S24" i="18"/>
  <c r="W24" i="18"/>
  <c r="X24" i="18"/>
  <c r="Z24" i="18"/>
  <c r="AL24" i="18"/>
  <c r="AM24" i="18"/>
  <c r="R24" i="18" s="1"/>
  <c r="AN24" i="18"/>
  <c r="AA24" i="18" s="1"/>
  <c r="P25" i="18"/>
  <c r="R25" i="18"/>
  <c r="AL25" i="18"/>
  <c r="AM25" i="18"/>
  <c r="Z25" i="18" s="1"/>
  <c r="AN25" i="18"/>
  <c r="W25" i="18" s="1"/>
  <c r="P26" i="18"/>
  <c r="T26" i="18" s="1"/>
  <c r="R26" i="18"/>
  <c r="AL26" i="18"/>
  <c r="AM26" i="18"/>
  <c r="AN26" i="18"/>
  <c r="S26" i="18" s="1"/>
  <c r="O27" i="18"/>
  <c r="T27" i="18"/>
  <c r="W27" i="18"/>
  <c r="X27" i="18"/>
  <c r="Z27" i="18"/>
  <c r="AA27" i="18"/>
  <c r="AL27" i="18"/>
  <c r="AM27" i="18"/>
  <c r="N27" i="18" s="1"/>
  <c r="AN27" i="18"/>
  <c r="S27" i="18" s="1"/>
  <c r="P28" i="18"/>
  <c r="T29" i="18" s="1"/>
  <c r="AL28" i="18"/>
  <c r="AM28" i="18"/>
  <c r="Z28" i="18" s="1"/>
  <c r="AN28" i="18"/>
  <c r="O28" i="18" s="1"/>
  <c r="P29" i="18"/>
  <c r="V29" i="18"/>
  <c r="X29" i="18"/>
  <c r="Z29" i="18"/>
  <c r="AL29" i="18"/>
  <c r="AM29" i="18"/>
  <c r="AN29" i="18"/>
  <c r="AA29" i="18" s="1"/>
  <c r="P30" i="18"/>
  <c r="T30" i="18" s="1"/>
  <c r="R30" i="18"/>
  <c r="V30" i="18"/>
  <c r="W30" i="18"/>
  <c r="X30" i="18"/>
  <c r="Z30" i="18"/>
  <c r="AL30" i="18"/>
  <c r="AM30" i="18"/>
  <c r="N30" i="18" s="1"/>
  <c r="AN30" i="18"/>
  <c r="S30" i="18" s="1"/>
  <c r="N31" i="18"/>
  <c r="R31" i="18"/>
  <c r="V31" i="18"/>
  <c r="AL31" i="18"/>
  <c r="AM31" i="18"/>
  <c r="Z31" i="18" s="1"/>
  <c r="AN31" i="18"/>
  <c r="AA31" i="18" s="1"/>
  <c r="P32" i="18"/>
  <c r="W32" i="18"/>
  <c r="AA32" i="18"/>
  <c r="AL32" i="18"/>
  <c r="AM32" i="18"/>
  <c r="R32" i="18" s="1"/>
  <c r="AN32" i="18"/>
  <c r="S32" i="18" s="1"/>
  <c r="R33" i="18"/>
  <c r="T33" i="18"/>
  <c r="AL33" i="18"/>
  <c r="AM33" i="18"/>
  <c r="AN33" i="18"/>
  <c r="AA33" i="18" s="1"/>
  <c r="L1" i="17"/>
  <c r="P1" i="17"/>
  <c r="P9" i="17" s="1"/>
  <c r="T1" i="17"/>
  <c r="T7" i="17" s="1"/>
  <c r="X1" i="17"/>
  <c r="P7" i="17"/>
  <c r="X7" i="17"/>
  <c r="P8" i="17"/>
  <c r="T8" i="17"/>
  <c r="X8" i="17"/>
  <c r="T9" i="17"/>
  <c r="X9" i="17"/>
  <c r="T10" i="17"/>
  <c r="X10" i="17"/>
  <c r="S11" i="17"/>
  <c r="AL11" i="17"/>
  <c r="AM11" i="17"/>
  <c r="N11" i="17" s="1"/>
  <c r="AN11" i="17"/>
  <c r="AA11" i="17" s="1"/>
  <c r="O12" i="17"/>
  <c r="S12" i="17"/>
  <c r="AA12" i="17"/>
  <c r="AL12" i="17"/>
  <c r="AM12" i="17"/>
  <c r="V12" i="17" s="1"/>
  <c r="AN12" i="17"/>
  <c r="W12" i="17" s="1"/>
  <c r="N13" i="17"/>
  <c r="S13" i="17"/>
  <c r="V13" i="17"/>
  <c r="W13" i="17"/>
  <c r="Z13" i="17"/>
  <c r="AA13" i="17"/>
  <c r="AL13" i="17"/>
  <c r="AM13" i="17"/>
  <c r="R13" i="17" s="1"/>
  <c r="AN13" i="17"/>
  <c r="O13" i="17" s="1"/>
  <c r="O14" i="17"/>
  <c r="S14" i="17"/>
  <c r="W14" i="17"/>
  <c r="AL14" i="17"/>
  <c r="AM14" i="17"/>
  <c r="Z14" i="17" s="1"/>
  <c r="AN14" i="17"/>
  <c r="AA14" i="17" s="1"/>
  <c r="N15" i="17"/>
  <c r="R15" i="17"/>
  <c r="W15" i="17"/>
  <c r="Z15" i="17"/>
  <c r="AL15" i="17"/>
  <c r="AM15" i="17"/>
  <c r="V15" i="17" s="1"/>
  <c r="AN15" i="17"/>
  <c r="S15" i="17" s="1"/>
  <c r="R16" i="17"/>
  <c r="S16" i="17"/>
  <c r="V16" i="17"/>
  <c r="W16" i="17"/>
  <c r="Z16" i="17"/>
  <c r="AA16" i="17"/>
  <c r="AL16" i="17"/>
  <c r="AM16" i="17"/>
  <c r="N16" i="17" s="1"/>
  <c r="AN16" i="17"/>
  <c r="O16" i="17" s="1"/>
  <c r="N17" i="17"/>
  <c r="R17" i="17"/>
  <c r="V17" i="17"/>
  <c r="AL17" i="17"/>
  <c r="AM17" i="17"/>
  <c r="Z17" i="17" s="1"/>
  <c r="AN17" i="17"/>
  <c r="O18" i="17"/>
  <c r="W18" i="17"/>
  <c r="AA18" i="17"/>
  <c r="AL18" i="17"/>
  <c r="AM18" i="17"/>
  <c r="AN18" i="17"/>
  <c r="S18" i="17" s="1"/>
  <c r="P19" i="17"/>
  <c r="S19" i="17"/>
  <c r="AA19" i="17"/>
  <c r="AL19" i="17"/>
  <c r="AM19" i="17"/>
  <c r="Z19" i="17" s="1"/>
  <c r="AN19" i="17"/>
  <c r="W19" i="17" s="1"/>
  <c r="L20" i="17"/>
  <c r="R20" i="17"/>
  <c r="T20" i="17"/>
  <c r="V20" i="17"/>
  <c r="AL20" i="17"/>
  <c r="AM20" i="17"/>
  <c r="Z20" i="17" s="1"/>
  <c r="AN20" i="17"/>
  <c r="S20" i="17" s="1"/>
  <c r="N21" i="17"/>
  <c r="O21" i="17"/>
  <c r="T21" i="17"/>
  <c r="V21" i="17"/>
  <c r="AL21" i="17"/>
  <c r="AM21" i="17"/>
  <c r="R21" i="17" s="1"/>
  <c r="AN21" i="17"/>
  <c r="AA21" i="17" s="1"/>
  <c r="L29" i="17"/>
  <c r="L21" i="17" s="1"/>
  <c r="P29" i="17"/>
  <c r="T29" i="17"/>
  <c r="X29" i="17"/>
  <c r="X20" i="17" s="1"/>
  <c r="L31" i="17"/>
  <c r="H31" i="17" s="1"/>
  <c r="H32" i="17"/>
  <c r="L32" i="17"/>
  <c r="H33" i="17"/>
  <c r="L33" i="17"/>
  <c r="L99" i="15"/>
  <c r="AB99" i="15"/>
  <c r="AR99" i="15"/>
  <c r="J105" i="15"/>
  <c r="N85" i="15"/>
  <c r="R85" i="15" s="1"/>
  <c r="V85" i="15" s="1"/>
  <c r="Z85" i="15" s="1"/>
  <c r="AD85" i="15" s="1"/>
  <c r="AH85" i="15" s="1"/>
  <c r="AL85" i="15" s="1"/>
  <c r="AP85" i="15" s="1"/>
  <c r="AT85" i="15" s="1"/>
  <c r="AX85" i="15" s="1"/>
  <c r="BB85" i="15" s="1"/>
  <c r="BF85" i="15" s="1"/>
  <c r="BJ85" i="15" s="1"/>
  <c r="BN85" i="15" s="1"/>
  <c r="P85" i="15"/>
  <c r="T85" i="15" s="1"/>
  <c r="X85" i="15" s="1"/>
  <c r="AA85" i="15"/>
  <c r="AF85" i="15"/>
  <c r="AJ85" i="15"/>
  <c r="AN85" i="15" s="1"/>
  <c r="AR85" i="15" s="1"/>
  <c r="AV85" i="15" s="1"/>
  <c r="AZ85" i="15" s="1"/>
  <c r="BD85" i="15" s="1"/>
  <c r="BL85" i="15"/>
  <c r="CA85" i="15"/>
  <c r="CB85" i="15"/>
  <c r="CC85" i="15"/>
  <c r="CT85" i="15"/>
  <c r="CU85" i="15"/>
  <c r="CV85" i="15"/>
  <c r="BO85" i="15" s="1"/>
  <c r="N86" i="15"/>
  <c r="R86" i="15" s="1"/>
  <c r="V86" i="15" s="1"/>
  <c r="Z86" i="15" s="1"/>
  <c r="AD86" i="15" s="1"/>
  <c r="AH86" i="15" s="1"/>
  <c r="AL86" i="15" s="1"/>
  <c r="AP86" i="15" s="1"/>
  <c r="AT86" i="15" s="1"/>
  <c r="AX86" i="15" s="1"/>
  <c r="BB86" i="15" s="1"/>
  <c r="BF86" i="15" s="1"/>
  <c r="BJ86" i="15" s="1"/>
  <c r="BN86" i="15" s="1"/>
  <c r="P86" i="15"/>
  <c r="S86" i="15"/>
  <c r="T86" i="15"/>
  <c r="X86" i="15" s="1"/>
  <c r="W86" i="15"/>
  <c r="AE86" i="15"/>
  <c r="AF86" i="15"/>
  <c r="AI86" i="15"/>
  <c r="AJ86" i="15"/>
  <c r="AN86" i="15" s="1"/>
  <c r="AR86" i="15" s="1"/>
  <c r="AV86" i="15" s="1"/>
  <c r="AZ86" i="15" s="1"/>
  <c r="BD86" i="15" s="1"/>
  <c r="AQ86" i="15"/>
  <c r="AU86" i="15"/>
  <c r="AY86" i="15"/>
  <c r="BC86" i="15"/>
  <c r="BK86" i="15"/>
  <c r="BL86" i="15"/>
  <c r="BO86" i="15"/>
  <c r="CA86" i="15"/>
  <c r="CB86" i="15"/>
  <c r="CC86" i="15"/>
  <c r="O86" i="15" s="1"/>
  <c r="CT86" i="15"/>
  <c r="CU86" i="15"/>
  <c r="CV86" i="15"/>
  <c r="N87" i="15"/>
  <c r="R87" i="15" s="1"/>
  <c r="V87" i="15" s="1"/>
  <c r="Z87" i="15" s="1"/>
  <c r="AD87" i="15" s="1"/>
  <c r="AH87" i="15" s="1"/>
  <c r="AL87" i="15" s="1"/>
  <c r="AP87" i="15" s="1"/>
  <c r="AT87" i="15" s="1"/>
  <c r="AX87" i="15" s="1"/>
  <c r="BB87" i="15" s="1"/>
  <c r="BF87" i="15" s="1"/>
  <c r="BJ87" i="15" s="1"/>
  <c r="BN87" i="15" s="1"/>
  <c r="P87" i="15"/>
  <c r="T87" i="15" s="1"/>
  <c r="X87" i="15" s="1"/>
  <c r="AA87" i="15"/>
  <c r="AF87" i="15"/>
  <c r="AI87" i="15"/>
  <c r="AJ87" i="15"/>
  <c r="AN87" i="15"/>
  <c r="AR87" i="15" s="1"/>
  <c r="AV87" i="15" s="1"/>
  <c r="AZ87" i="15" s="1"/>
  <c r="BD87" i="15" s="1"/>
  <c r="BK87" i="15"/>
  <c r="BL87" i="15"/>
  <c r="BO87" i="15"/>
  <c r="CA87" i="15"/>
  <c r="CB87" i="15"/>
  <c r="CC87" i="15"/>
  <c r="BG87" i="15" s="1"/>
  <c r="CT87" i="15"/>
  <c r="CU87" i="15"/>
  <c r="CV87" i="15"/>
  <c r="P88" i="15"/>
  <c r="S88" i="15"/>
  <c r="T88" i="15"/>
  <c r="X88" i="15" s="1"/>
  <c r="AA88" i="15"/>
  <c r="AE88" i="15"/>
  <c r="AF88" i="15"/>
  <c r="AJ88" i="15" s="1"/>
  <c r="AM88" i="15"/>
  <c r="AN88" i="15"/>
  <c r="AR88" i="15" s="1"/>
  <c r="AV88" i="15" s="1"/>
  <c r="AZ88" i="15" s="1"/>
  <c r="BD88" i="15" s="1"/>
  <c r="AY88" i="15"/>
  <c r="BC88" i="15"/>
  <c r="BL88" i="15"/>
  <c r="CA88" i="15"/>
  <c r="CB88" i="15"/>
  <c r="N88" i="15" s="1"/>
  <c r="R88" i="15" s="1"/>
  <c r="V88" i="15" s="1"/>
  <c r="Z88" i="15" s="1"/>
  <c r="AD88" i="15" s="1"/>
  <c r="AH88" i="15" s="1"/>
  <c r="AL88" i="15" s="1"/>
  <c r="AP88" i="15" s="1"/>
  <c r="AT88" i="15" s="1"/>
  <c r="AX88" i="15" s="1"/>
  <c r="BB88" i="15" s="1"/>
  <c r="BF88" i="15" s="1"/>
  <c r="BJ88" i="15" s="1"/>
  <c r="BN88" i="15" s="1"/>
  <c r="CC88" i="15"/>
  <c r="CT88" i="15"/>
  <c r="CU88" i="15"/>
  <c r="CV88" i="15"/>
  <c r="N89" i="15"/>
  <c r="R89" i="15" s="1"/>
  <c r="V89" i="15" s="1"/>
  <c r="Z89" i="15" s="1"/>
  <c r="AD89" i="15" s="1"/>
  <c r="AH89" i="15" s="1"/>
  <c r="AL89" i="15" s="1"/>
  <c r="AP89" i="15" s="1"/>
  <c r="AT89" i="15" s="1"/>
  <c r="AX89" i="15" s="1"/>
  <c r="BB89" i="15" s="1"/>
  <c r="BF89" i="15" s="1"/>
  <c r="BJ89" i="15" s="1"/>
  <c r="BN89" i="15" s="1"/>
  <c r="P89" i="15"/>
  <c r="T89" i="15"/>
  <c r="X89" i="15"/>
  <c r="AF89" i="15"/>
  <c r="AJ89" i="15"/>
  <c r="AN89" i="15" s="1"/>
  <c r="AR89" i="15"/>
  <c r="AV89" i="15" s="1"/>
  <c r="AZ89" i="15" s="1"/>
  <c r="BD89" i="15" s="1"/>
  <c r="BO89" i="15"/>
  <c r="CA89" i="15"/>
  <c r="CB89" i="15"/>
  <c r="CC89" i="15"/>
  <c r="BC89" i="15" s="1"/>
  <c r="CT89" i="15"/>
  <c r="CU89" i="15"/>
  <c r="CV89" i="15"/>
  <c r="BK89" i="15" s="1"/>
  <c r="N90" i="15"/>
  <c r="R90" i="15" s="1"/>
  <c r="V90" i="15" s="1"/>
  <c r="Z90" i="15" s="1"/>
  <c r="AD90" i="15" s="1"/>
  <c r="AH90" i="15" s="1"/>
  <c r="AL90" i="15" s="1"/>
  <c r="AP90" i="15" s="1"/>
  <c r="AT90" i="15" s="1"/>
  <c r="AX90" i="15" s="1"/>
  <c r="BB90" i="15" s="1"/>
  <c r="BF90" i="15" s="1"/>
  <c r="BJ90" i="15" s="1"/>
  <c r="BN90" i="15" s="1"/>
  <c r="P90" i="15"/>
  <c r="S90" i="15"/>
  <c r="T90" i="15"/>
  <c r="X90" i="15" s="1"/>
  <c r="AF90" i="15"/>
  <c r="AJ90" i="15"/>
  <c r="AN90" i="15" s="1"/>
  <c r="AR90" i="15" s="1"/>
  <c r="AV90" i="15" s="1"/>
  <c r="AZ90" i="15" s="1"/>
  <c r="BD90" i="15" s="1"/>
  <c r="BL90" i="15"/>
  <c r="CA90" i="15"/>
  <c r="CB90" i="15"/>
  <c r="CC90" i="15"/>
  <c r="O90" i="15" s="1"/>
  <c r="CT90" i="15"/>
  <c r="CU90" i="15"/>
  <c r="CV90" i="15"/>
  <c r="BO90" i="15" s="1"/>
  <c r="N71" i="15"/>
  <c r="O71" i="15"/>
  <c r="R71" i="15"/>
  <c r="V71" i="15"/>
  <c r="Z71" i="15"/>
  <c r="AD71" i="15"/>
  <c r="AE71" i="15"/>
  <c r="AH71" i="15"/>
  <c r="AL71" i="15"/>
  <c r="AP71" i="15"/>
  <c r="AT71" i="15"/>
  <c r="AU71" i="15"/>
  <c r="AX71" i="15"/>
  <c r="BB71" i="15"/>
  <c r="BF71" i="15"/>
  <c r="BJ71" i="15"/>
  <c r="BN71" i="15"/>
  <c r="CA71" i="15"/>
  <c r="CB71" i="15"/>
  <c r="CC71" i="15"/>
  <c r="S71" i="15" s="1"/>
  <c r="CT71" i="15"/>
  <c r="CU71" i="15"/>
  <c r="CV71" i="15"/>
  <c r="BK71" i="15" s="1"/>
  <c r="L72" i="15"/>
  <c r="O72" i="15"/>
  <c r="W72" i="15"/>
  <c r="Z72" i="15"/>
  <c r="AB72" i="15"/>
  <c r="AD72" i="15"/>
  <c r="AL72" i="15"/>
  <c r="AM72" i="15"/>
  <c r="AR72" i="15"/>
  <c r="BD75" i="15" s="1"/>
  <c r="AY72" i="15"/>
  <c r="BB72" i="15"/>
  <c r="BG72" i="15"/>
  <c r="BO72" i="15"/>
  <c r="CA72" i="15"/>
  <c r="CB72" i="15"/>
  <c r="AP72" i="15" s="1"/>
  <c r="CC72" i="15"/>
  <c r="AA72" i="15" s="1"/>
  <c r="CT72" i="15"/>
  <c r="CU72" i="15"/>
  <c r="CV72" i="15"/>
  <c r="BK72" i="15" s="1"/>
  <c r="O73" i="15"/>
  <c r="P73" i="15"/>
  <c r="AF73" i="15"/>
  <c r="AI73" i="15"/>
  <c r="AQ73" i="15"/>
  <c r="BL73" i="15"/>
  <c r="CA73" i="15"/>
  <c r="CB73" i="15"/>
  <c r="CC73" i="15"/>
  <c r="AE73" i="15" s="1"/>
  <c r="CT73" i="15"/>
  <c r="CU73" i="15"/>
  <c r="CV73" i="15"/>
  <c r="BK73" i="15" s="1"/>
  <c r="S74" i="15"/>
  <c r="T74" i="15"/>
  <c r="V74" i="15"/>
  <c r="W74" i="15"/>
  <c r="Z74" i="15"/>
  <c r="AD74" i="15"/>
  <c r="AH74" i="15"/>
  <c r="AI74" i="15"/>
  <c r="AJ74" i="15"/>
  <c r="AL74" i="15"/>
  <c r="AM74" i="15"/>
  <c r="AU74" i="15"/>
  <c r="AX74" i="15"/>
  <c r="BB74" i="15"/>
  <c r="BF74" i="15"/>
  <c r="BJ74" i="15"/>
  <c r="BN74" i="15"/>
  <c r="CA74" i="15"/>
  <c r="CB74" i="15"/>
  <c r="N74" i="15" s="1"/>
  <c r="CC74" i="15"/>
  <c r="AY74" i="15" s="1"/>
  <c r="CT74" i="15"/>
  <c r="CU74" i="15"/>
  <c r="CV74" i="15"/>
  <c r="BK74" i="15" s="1"/>
  <c r="R75" i="15"/>
  <c r="X75" i="15"/>
  <c r="Z75" i="15"/>
  <c r="AM75" i="15"/>
  <c r="AN75" i="15"/>
  <c r="AT75" i="15"/>
  <c r="BB75" i="15"/>
  <c r="BK75" i="15"/>
  <c r="BL75" i="15"/>
  <c r="BN75" i="15"/>
  <c r="BO75" i="15"/>
  <c r="CA75" i="15"/>
  <c r="CB75" i="15"/>
  <c r="N75" i="15" s="1"/>
  <c r="CC75" i="15"/>
  <c r="BC75" i="15" s="1"/>
  <c r="CT75" i="15"/>
  <c r="CU75" i="15"/>
  <c r="CV75" i="15"/>
  <c r="P76" i="15"/>
  <c r="T76" i="15" s="1"/>
  <c r="S76" i="15"/>
  <c r="X76" i="15"/>
  <c r="AE76" i="15"/>
  <c r="AF76" i="15"/>
  <c r="AJ76" i="15"/>
  <c r="AN76" i="15" s="1"/>
  <c r="AR76" i="15" s="1"/>
  <c r="AV76" i="15" s="1"/>
  <c r="AZ76" i="15" s="1"/>
  <c r="BD76" i="15" s="1"/>
  <c r="AU76" i="15"/>
  <c r="BL76" i="15"/>
  <c r="CA76" i="15"/>
  <c r="CB76" i="15"/>
  <c r="N76" i="15" s="1"/>
  <c r="R76" i="15" s="1"/>
  <c r="V76" i="15" s="1"/>
  <c r="Z76" i="15" s="1"/>
  <c r="AD76" i="15" s="1"/>
  <c r="AH76" i="15" s="1"/>
  <c r="AL76" i="15" s="1"/>
  <c r="AP76" i="15" s="1"/>
  <c r="AT76" i="15" s="1"/>
  <c r="AX76" i="15" s="1"/>
  <c r="BB76" i="15" s="1"/>
  <c r="BF76" i="15" s="1"/>
  <c r="BJ76" i="15" s="1"/>
  <c r="BN76" i="15" s="1"/>
  <c r="CC76" i="15"/>
  <c r="O76" i="15" s="1"/>
  <c r="CT76" i="15"/>
  <c r="CU76" i="15"/>
  <c r="CV76" i="15"/>
  <c r="BK76" i="15" s="1"/>
  <c r="P77" i="15"/>
  <c r="R77" i="15"/>
  <c r="V77" i="15" s="1"/>
  <c r="Z77" i="15" s="1"/>
  <c r="AD77" i="15" s="1"/>
  <c r="AH77" i="15" s="1"/>
  <c r="AL77" i="15" s="1"/>
  <c r="AP77" i="15" s="1"/>
  <c r="AT77" i="15" s="1"/>
  <c r="AX77" i="15" s="1"/>
  <c r="BB77" i="15" s="1"/>
  <c r="BF77" i="15" s="1"/>
  <c r="BJ77" i="15" s="1"/>
  <c r="BN77" i="15" s="1"/>
  <c r="S77" i="15"/>
  <c r="T77" i="15"/>
  <c r="X77" i="15" s="1"/>
  <c r="W77" i="15"/>
  <c r="AE77" i="15"/>
  <c r="AF77" i="15"/>
  <c r="AJ77" i="15" s="1"/>
  <c r="AN77" i="15" s="1"/>
  <c r="AR77" i="15" s="1"/>
  <c r="AV77" i="15" s="1"/>
  <c r="AZ77" i="15" s="1"/>
  <c r="BD77" i="15" s="1"/>
  <c r="AI77" i="15"/>
  <c r="AY77" i="15"/>
  <c r="BC77" i="15"/>
  <c r="BK77" i="15"/>
  <c r="BL77" i="15"/>
  <c r="CA77" i="15"/>
  <c r="CB77" i="15"/>
  <c r="N77" i="15" s="1"/>
  <c r="CC77" i="15"/>
  <c r="AQ77" i="15" s="1"/>
  <c r="CT77" i="15"/>
  <c r="CU77" i="15"/>
  <c r="CV77" i="15"/>
  <c r="BO77" i="15" s="1"/>
  <c r="P78" i="15"/>
  <c r="T78" i="15" s="1"/>
  <c r="X78" i="15" s="1"/>
  <c r="V78" i="15"/>
  <c r="Z78" i="15" s="1"/>
  <c r="AD78" i="15" s="1"/>
  <c r="AH78" i="15" s="1"/>
  <c r="AL78" i="15" s="1"/>
  <c r="AP78" i="15" s="1"/>
  <c r="AT78" i="15" s="1"/>
  <c r="AX78" i="15" s="1"/>
  <c r="BB78" i="15" s="1"/>
  <c r="BF78" i="15" s="1"/>
  <c r="BJ78" i="15" s="1"/>
  <c r="BN78" i="15" s="1"/>
  <c r="W78" i="15"/>
  <c r="AA78" i="15"/>
  <c r="AF78" i="15"/>
  <c r="AI78" i="15"/>
  <c r="AJ78" i="15"/>
  <c r="AN78" i="15" s="1"/>
  <c r="AR78" i="15" s="1"/>
  <c r="AV78" i="15" s="1"/>
  <c r="AZ78" i="15" s="1"/>
  <c r="BD78" i="15" s="1"/>
  <c r="AM78" i="15"/>
  <c r="BC78" i="15"/>
  <c r="BL78" i="15"/>
  <c r="BO78" i="15"/>
  <c r="CA78" i="15"/>
  <c r="CB78" i="15"/>
  <c r="N78" i="15" s="1"/>
  <c r="R78" i="15" s="1"/>
  <c r="CC78" i="15"/>
  <c r="AU78" i="15" s="1"/>
  <c r="CT78" i="15"/>
  <c r="CU78" i="15"/>
  <c r="CV78" i="15"/>
  <c r="BK78" i="15" s="1"/>
  <c r="O79" i="15"/>
  <c r="P79" i="15"/>
  <c r="T79" i="15"/>
  <c r="X79" i="15" s="1"/>
  <c r="AF79" i="15"/>
  <c r="AJ79" i="15" s="1"/>
  <c r="AN79" i="15" s="1"/>
  <c r="AR79" i="15" s="1"/>
  <c r="AV79" i="15" s="1"/>
  <c r="AZ79" i="15" s="1"/>
  <c r="BD79" i="15" s="1"/>
  <c r="BG79" i="15"/>
  <c r="BL79" i="15"/>
  <c r="CA79" i="15"/>
  <c r="CB79" i="15"/>
  <c r="N79" i="15" s="1"/>
  <c r="R79" i="15" s="1"/>
  <c r="V79" i="15" s="1"/>
  <c r="Z79" i="15" s="1"/>
  <c r="AD79" i="15" s="1"/>
  <c r="AH79" i="15" s="1"/>
  <c r="AL79" i="15" s="1"/>
  <c r="AP79" i="15" s="1"/>
  <c r="AT79" i="15" s="1"/>
  <c r="AX79" i="15" s="1"/>
  <c r="BB79" i="15" s="1"/>
  <c r="BF79" i="15" s="1"/>
  <c r="BJ79" i="15" s="1"/>
  <c r="BN79" i="15" s="1"/>
  <c r="CC79" i="15"/>
  <c r="CT79" i="15"/>
  <c r="CU79" i="15"/>
  <c r="CV79" i="15"/>
  <c r="BK79" i="15" s="1"/>
  <c r="N80" i="15"/>
  <c r="R80" i="15" s="1"/>
  <c r="V80" i="15" s="1"/>
  <c r="Z80" i="15" s="1"/>
  <c r="AD80" i="15" s="1"/>
  <c r="AH80" i="15" s="1"/>
  <c r="AL80" i="15" s="1"/>
  <c r="AP80" i="15" s="1"/>
  <c r="AT80" i="15" s="1"/>
  <c r="AX80" i="15" s="1"/>
  <c r="BB80" i="15" s="1"/>
  <c r="BF80" i="15" s="1"/>
  <c r="BJ80" i="15" s="1"/>
  <c r="BN80" i="15" s="1"/>
  <c r="P80" i="15"/>
  <c r="S80" i="15"/>
  <c r="T80" i="15"/>
  <c r="W80" i="15"/>
  <c r="X80" i="15"/>
  <c r="AA80" i="15"/>
  <c r="AE80" i="15"/>
  <c r="AF80" i="15"/>
  <c r="AI80" i="15"/>
  <c r="AJ80" i="15"/>
  <c r="AN80" i="15" s="1"/>
  <c r="AR80" i="15" s="1"/>
  <c r="AV80" i="15" s="1"/>
  <c r="AM80" i="15"/>
  <c r="AQ80" i="15"/>
  <c r="AU80" i="15"/>
  <c r="AZ80" i="15"/>
  <c r="BD80" i="15" s="1"/>
  <c r="BC80" i="15"/>
  <c r="BL80" i="15"/>
  <c r="CA80" i="15"/>
  <c r="CB80" i="15"/>
  <c r="CC80" i="15"/>
  <c r="O80" i="15" s="1"/>
  <c r="CT80" i="15"/>
  <c r="CU80" i="15"/>
  <c r="CV80" i="15"/>
  <c r="P81" i="15"/>
  <c r="T81" i="15" s="1"/>
  <c r="W81" i="15"/>
  <c r="X81" i="15"/>
  <c r="AA81" i="15"/>
  <c r="AF81" i="15"/>
  <c r="AI81" i="15"/>
  <c r="AJ81" i="15"/>
  <c r="AM81" i="15"/>
  <c r="AN81" i="15"/>
  <c r="AR81" i="15" s="1"/>
  <c r="AV81" i="15" s="1"/>
  <c r="AZ81" i="15" s="1"/>
  <c r="AQ81" i="15"/>
  <c r="AU81" i="15"/>
  <c r="AY81" i="15"/>
  <c r="BD81" i="15"/>
  <c r="BK81" i="15"/>
  <c r="BL81" i="15"/>
  <c r="CA81" i="15"/>
  <c r="CB81" i="15"/>
  <c r="N81" i="15" s="1"/>
  <c r="R81" i="15" s="1"/>
  <c r="V81" i="15" s="1"/>
  <c r="Z81" i="15" s="1"/>
  <c r="AD81" i="15" s="1"/>
  <c r="AH81" i="15" s="1"/>
  <c r="AL81" i="15" s="1"/>
  <c r="AP81" i="15" s="1"/>
  <c r="AT81" i="15" s="1"/>
  <c r="AX81" i="15" s="1"/>
  <c r="BB81" i="15" s="1"/>
  <c r="BF81" i="15" s="1"/>
  <c r="BJ81" i="15" s="1"/>
  <c r="BN81" i="15" s="1"/>
  <c r="CC81" i="15"/>
  <c r="O81" i="15" s="1"/>
  <c r="CT81" i="15"/>
  <c r="CU81" i="15"/>
  <c r="CV81" i="15"/>
  <c r="BO81" i="15" s="1"/>
  <c r="P82" i="15"/>
  <c r="S82" i="15"/>
  <c r="T82" i="15"/>
  <c r="X82" i="15" s="1"/>
  <c r="AA82" i="15"/>
  <c r="AE82" i="15"/>
  <c r="AF82" i="15"/>
  <c r="AJ82" i="15" s="1"/>
  <c r="AM82" i="15"/>
  <c r="AN82" i="15"/>
  <c r="AR82" i="15" s="1"/>
  <c r="AV82" i="15" s="1"/>
  <c r="AZ82" i="15" s="1"/>
  <c r="BD82" i="15" s="1"/>
  <c r="AQ82" i="15"/>
  <c r="AU82" i="15"/>
  <c r="AY82" i="15"/>
  <c r="BC82" i="15"/>
  <c r="BK82" i="15"/>
  <c r="BL82" i="15"/>
  <c r="BO82" i="15"/>
  <c r="CA82" i="15"/>
  <c r="CB82" i="15"/>
  <c r="N82" i="15" s="1"/>
  <c r="R82" i="15" s="1"/>
  <c r="V82" i="15" s="1"/>
  <c r="Z82" i="15" s="1"/>
  <c r="AD82" i="15" s="1"/>
  <c r="AH82" i="15" s="1"/>
  <c r="AL82" i="15" s="1"/>
  <c r="AP82" i="15" s="1"/>
  <c r="AT82" i="15" s="1"/>
  <c r="AX82" i="15" s="1"/>
  <c r="BB82" i="15" s="1"/>
  <c r="BF82" i="15" s="1"/>
  <c r="BJ82" i="15" s="1"/>
  <c r="BN82" i="15" s="1"/>
  <c r="CC82" i="15"/>
  <c r="W82" i="15" s="1"/>
  <c r="CT82" i="15"/>
  <c r="CU82" i="15"/>
  <c r="CV82" i="15"/>
  <c r="P83" i="15"/>
  <c r="T83" i="15"/>
  <c r="X83" i="15"/>
  <c r="AF83" i="15"/>
  <c r="AJ83" i="15" s="1"/>
  <c r="AN83" i="15" s="1"/>
  <c r="AQ83" i="15"/>
  <c r="AR83" i="15"/>
  <c r="AV83" i="15" s="1"/>
  <c r="AZ83" i="15" s="1"/>
  <c r="BD83" i="15" s="1"/>
  <c r="AU83" i="15"/>
  <c r="BC83" i="15"/>
  <c r="BG83" i="15"/>
  <c r="BK83" i="15"/>
  <c r="BL83" i="15"/>
  <c r="BO83" i="15"/>
  <c r="CA83" i="15"/>
  <c r="CB83" i="15"/>
  <c r="N83" i="15" s="1"/>
  <c r="R83" i="15" s="1"/>
  <c r="V83" i="15" s="1"/>
  <c r="Z83" i="15" s="1"/>
  <c r="AD83" i="15" s="1"/>
  <c r="AH83" i="15" s="1"/>
  <c r="AL83" i="15" s="1"/>
  <c r="AP83" i="15" s="1"/>
  <c r="AT83" i="15" s="1"/>
  <c r="AX83" i="15" s="1"/>
  <c r="BB83" i="15" s="1"/>
  <c r="BF83" i="15" s="1"/>
  <c r="BJ83" i="15" s="1"/>
  <c r="BN83" i="15" s="1"/>
  <c r="CC83" i="15"/>
  <c r="CT83" i="15"/>
  <c r="CU83" i="15"/>
  <c r="CV83" i="15"/>
  <c r="P84" i="15"/>
  <c r="T84" i="15" s="1"/>
  <c r="X84" i="15" s="1"/>
  <c r="AF84" i="15"/>
  <c r="AJ84" i="15"/>
  <c r="AN84" i="15" s="1"/>
  <c r="AR84" i="15" s="1"/>
  <c r="AV84" i="15" s="1"/>
  <c r="AZ84" i="15" s="1"/>
  <c r="BD84" i="15" s="1"/>
  <c r="BL84" i="15"/>
  <c r="CA84" i="15"/>
  <c r="CB84" i="15"/>
  <c r="N84" i="15" s="1"/>
  <c r="R84" i="15" s="1"/>
  <c r="V84" i="15" s="1"/>
  <c r="Z84" i="15" s="1"/>
  <c r="AD84" i="15" s="1"/>
  <c r="AH84" i="15" s="1"/>
  <c r="AL84" i="15" s="1"/>
  <c r="AP84" i="15" s="1"/>
  <c r="AT84" i="15" s="1"/>
  <c r="AX84" i="15" s="1"/>
  <c r="BB84" i="15" s="1"/>
  <c r="BF84" i="15" s="1"/>
  <c r="BJ84" i="15" s="1"/>
  <c r="BN84" i="15" s="1"/>
  <c r="CC84" i="15"/>
  <c r="O84" i="15" s="1"/>
  <c r="CT84" i="15"/>
  <c r="CU84" i="15"/>
  <c r="CV84" i="15"/>
  <c r="BO84" i="15" s="1"/>
  <c r="AA57" i="15"/>
  <c r="AI57" i="15"/>
  <c r="BG57" i="15"/>
  <c r="BO57" i="15"/>
  <c r="CA57" i="15"/>
  <c r="CB57" i="15"/>
  <c r="N57" i="15" s="1"/>
  <c r="R57" i="15" s="1"/>
  <c r="V57" i="15" s="1"/>
  <c r="Z57" i="15" s="1"/>
  <c r="AD57" i="15" s="1"/>
  <c r="AH57" i="15" s="1"/>
  <c r="AL57" i="15" s="1"/>
  <c r="AP57" i="15" s="1"/>
  <c r="AT57" i="15" s="1"/>
  <c r="AX57" i="15" s="1"/>
  <c r="BB57" i="15" s="1"/>
  <c r="BF57" i="15" s="1"/>
  <c r="BJ57" i="15" s="1"/>
  <c r="BN57" i="15" s="1"/>
  <c r="CC57" i="15"/>
  <c r="S57" i="15" s="1"/>
  <c r="CT57" i="15"/>
  <c r="CU57" i="15"/>
  <c r="CV57" i="15"/>
  <c r="BK57" i="15" s="1"/>
  <c r="O58" i="15"/>
  <c r="R58" i="15"/>
  <c r="V58" i="15" s="1"/>
  <c r="Z58" i="15" s="1"/>
  <c r="AD58" i="15" s="1"/>
  <c r="AH58" i="15" s="1"/>
  <c r="AL58" i="15" s="1"/>
  <c r="AP58" i="15" s="1"/>
  <c r="AT58" i="15" s="1"/>
  <c r="AX58" i="15" s="1"/>
  <c r="BB58" i="15" s="1"/>
  <c r="BF58" i="15" s="1"/>
  <c r="BJ58" i="15" s="1"/>
  <c r="BN58" i="15" s="1"/>
  <c r="S58" i="15"/>
  <c r="W58" i="15"/>
  <c r="AA58" i="15"/>
  <c r="AE58" i="15"/>
  <c r="AI58" i="15"/>
  <c r="AM58" i="15"/>
  <c r="AQ58" i="15"/>
  <c r="AU58" i="15"/>
  <c r="AY58" i="15"/>
  <c r="BC58" i="15"/>
  <c r="BG58" i="15"/>
  <c r="BO58" i="15"/>
  <c r="CA58" i="15"/>
  <c r="CB58" i="15"/>
  <c r="N58" i="15" s="1"/>
  <c r="CC58" i="15"/>
  <c r="CT58" i="15"/>
  <c r="CU58" i="15"/>
  <c r="CV58" i="15"/>
  <c r="BK58" i="15" s="1"/>
  <c r="N59" i="15"/>
  <c r="R59" i="15" s="1"/>
  <c r="O59" i="15"/>
  <c r="P59" i="15"/>
  <c r="T59" i="15"/>
  <c r="W59" i="15"/>
  <c r="X59" i="15"/>
  <c r="X70" i="15" s="1"/>
  <c r="AB59" i="15"/>
  <c r="AF59" i="15"/>
  <c r="AI59" i="15"/>
  <c r="AJ59" i="15"/>
  <c r="AJ70" i="15" s="1"/>
  <c r="AN59" i="15"/>
  <c r="AV59" i="15"/>
  <c r="AZ59" i="15"/>
  <c r="BD59" i="15"/>
  <c r="BH59" i="15"/>
  <c r="BH70" i="15" s="1"/>
  <c r="BL59" i="15"/>
  <c r="CA59" i="15"/>
  <c r="CB59" i="15"/>
  <c r="CC59" i="15"/>
  <c r="AU59" i="15" s="1"/>
  <c r="CT59" i="15"/>
  <c r="CU59" i="15"/>
  <c r="CV59" i="15"/>
  <c r="BK59" i="15" s="1"/>
  <c r="O60" i="15"/>
  <c r="Q60" i="15"/>
  <c r="Q62" i="15" s="1"/>
  <c r="R60" i="15"/>
  <c r="R62" i="15" s="1"/>
  <c r="S60" i="15"/>
  <c r="T60" i="15"/>
  <c r="U60" i="15"/>
  <c r="V60" i="15"/>
  <c r="Z60" i="15" s="1"/>
  <c r="AD60" i="15" s="1"/>
  <c r="AH60" i="15" s="1"/>
  <c r="AL60" i="15" s="1"/>
  <c r="AP60" i="15" s="1"/>
  <c r="AT60" i="15" s="1"/>
  <c r="AX60" i="15" s="1"/>
  <c r="BB60" i="15" s="1"/>
  <c r="Y60" i="15"/>
  <c r="AA60" i="15"/>
  <c r="AC60" i="15"/>
  <c r="AG60" i="15"/>
  <c r="AI60" i="15"/>
  <c r="AJ60" i="15"/>
  <c r="AN61" i="15" s="1"/>
  <c r="AK60" i="15"/>
  <c r="AM60" i="15"/>
  <c r="AO60" i="15"/>
  <c r="AS60" i="15"/>
  <c r="AU60" i="15"/>
  <c r="AW60" i="15"/>
  <c r="BA60" i="15"/>
  <c r="BC60" i="15"/>
  <c r="BE60" i="15"/>
  <c r="BF60" i="15"/>
  <c r="BJ60" i="15" s="1"/>
  <c r="BN60" i="15" s="1"/>
  <c r="BG60" i="15"/>
  <c r="BI60" i="15"/>
  <c r="BM60" i="15"/>
  <c r="CA60" i="15"/>
  <c r="CB60" i="15"/>
  <c r="N60" i="15" s="1"/>
  <c r="CC60" i="15"/>
  <c r="AE60" i="15" s="1"/>
  <c r="CT60" i="15"/>
  <c r="CU60" i="15"/>
  <c r="CV60" i="15"/>
  <c r="BK60" i="15" s="1"/>
  <c r="N61" i="15"/>
  <c r="O61" i="15"/>
  <c r="P61" i="15"/>
  <c r="Q61" i="15"/>
  <c r="S61" i="15"/>
  <c r="T61" i="15"/>
  <c r="U61" i="15"/>
  <c r="X61" i="15"/>
  <c r="Y61" i="15"/>
  <c r="AA61" i="15"/>
  <c r="AB61" i="15"/>
  <c r="AC61" i="15"/>
  <c r="AE61" i="15"/>
  <c r="AF61" i="15"/>
  <c r="AG61" i="15"/>
  <c r="AI61" i="15"/>
  <c r="AJ61" i="15"/>
  <c r="AK61" i="15"/>
  <c r="AM61" i="15"/>
  <c r="AO61" i="15"/>
  <c r="AQ61" i="15"/>
  <c r="AS61" i="15"/>
  <c r="AU61" i="15"/>
  <c r="AV61" i="15"/>
  <c r="AW61" i="15"/>
  <c r="AZ61" i="15"/>
  <c r="BA61" i="15"/>
  <c r="BC61" i="15"/>
  <c r="BE61" i="15"/>
  <c r="BH61" i="15"/>
  <c r="BI61" i="15"/>
  <c r="BL61" i="15"/>
  <c r="BM61" i="15"/>
  <c r="CA61" i="15"/>
  <c r="CB61" i="15"/>
  <c r="CC61" i="15"/>
  <c r="CT61" i="15"/>
  <c r="CU61" i="15"/>
  <c r="CV61" i="15"/>
  <c r="P62" i="15"/>
  <c r="S62" i="15"/>
  <c r="T62" i="15"/>
  <c r="W62" i="15"/>
  <c r="X62" i="15"/>
  <c r="Y62" i="15"/>
  <c r="AA62" i="15"/>
  <c r="AE62" i="15"/>
  <c r="AF62" i="15"/>
  <c r="AJ62" i="15"/>
  <c r="AM62" i="15"/>
  <c r="AN62" i="15"/>
  <c r="AQ62" i="15"/>
  <c r="BC62" i="15"/>
  <c r="BD62" i="15"/>
  <c r="BG62" i="15"/>
  <c r="BH62" i="15"/>
  <c r="BL62" i="15"/>
  <c r="BO62" i="15"/>
  <c r="CA62" i="15"/>
  <c r="CB62" i="15"/>
  <c r="N62" i="15" s="1"/>
  <c r="CC62" i="15"/>
  <c r="O62" i="15" s="1"/>
  <c r="CT62" i="15"/>
  <c r="CU62" i="15"/>
  <c r="CV62" i="15"/>
  <c r="BK62" i="15" s="1"/>
  <c r="L63" i="15"/>
  <c r="N63" i="15"/>
  <c r="R63" i="15" s="1"/>
  <c r="V63" i="15" s="1"/>
  <c r="Z63" i="15" s="1"/>
  <c r="AD63" i="15" s="1"/>
  <c r="AH63" i="15" s="1"/>
  <c r="AL63" i="15" s="1"/>
  <c r="AP63" i="15" s="1"/>
  <c r="AT63" i="15" s="1"/>
  <c r="AX63" i="15" s="1"/>
  <c r="BB63" i="15" s="1"/>
  <c r="BF63" i="15" s="1"/>
  <c r="BJ63" i="15" s="1"/>
  <c r="BN63" i="15" s="1"/>
  <c r="O63" i="15"/>
  <c r="P63" i="15"/>
  <c r="T63" i="15" s="1"/>
  <c r="X63" i="15" s="1"/>
  <c r="AB63" i="15"/>
  <c r="AF63" i="15"/>
  <c r="AJ63" i="15"/>
  <c r="AN63" i="15"/>
  <c r="AR63" i="15"/>
  <c r="AV63" i="15" s="1"/>
  <c r="AZ63" i="15" s="1"/>
  <c r="BD63" i="15"/>
  <c r="BK63" i="15"/>
  <c r="BL63" i="15"/>
  <c r="BO63" i="15"/>
  <c r="CA63" i="15"/>
  <c r="CC63" i="15"/>
  <c r="AQ63" i="15" s="1"/>
  <c r="CT63" i="15"/>
  <c r="CV63" i="15"/>
  <c r="N64" i="15"/>
  <c r="R64" i="15" s="1"/>
  <c r="P64" i="15"/>
  <c r="T64" i="15" s="1"/>
  <c r="X64" i="15" s="1"/>
  <c r="S64" i="15"/>
  <c r="V64" i="15"/>
  <c r="Z64" i="15" s="1"/>
  <c r="AD64" i="15" s="1"/>
  <c r="AH64" i="15" s="1"/>
  <c r="AL64" i="15" s="1"/>
  <c r="AP64" i="15" s="1"/>
  <c r="AT64" i="15" s="1"/>
  <c r="AX64" i="15" s="1"/>
  <c r="BB64" i="15" s="1"/>
  <c r="BF64" i="15" s="1"/>
  <c r="BJ64" i="15" s="1"/>
  <c r="BN64" i="15" s="1"/>
  <c r="AA64" i="15"/>
  <c r="AE64" i="15"/>
  <c r="AF64" i="15"/>
  <c r="AJ64" i="15"/>
  <c r="AM64" i="15"/>
  <c r="AN64" i="15"/>
  <c r="AQ64" i="15"/>
  <c r="AV64" i="15"/>
  <c r="AY64" i="15"/>
  <c r="AZ64" i="15"/>
  <c r="BD64" i="15" s="1"/>
  <c r="BC64" i="15"/>
  <c r="BG64" i="15"/>
  <c r="BK64" i="15"/>
  <c r="BL64" i="15"/>
  <c r="BO64" i="15"/>
  <c r="CA64" i="15"/>
  <c r="CC64" i="15"/>
  <c r="W64" i="15" s="1"/>
  <c r="CT64" i="15"/>
  <c r="CV64" i="15"/>
  <c r="N65" i="15"/>
  <c r="R65" i="15" s="1"/>
  <c r="P65" i="15"/>
  <c r="T65" i="15" s="1"/>
  <c r="X65" i="15" s="1"/>
  <c r="S65" i="15"/>
  <c r="V65" i="15"/>
  <c r="Z65" i="15" s="1"/>
  <c r="AD65" i="15" s="1"/>
  <c r="AH65" i="15" s="1"/>
  <c r="AL65" i="15" s="1"/>
  <c r="AP65" i="15" s="1"/>
  <c r="AT65" i="15" s="1"/>
  <c r="AX65" i="15" s="1"/>
  <c r="BB65" i="15" s="1"/>
  <c r="BF65" i="15" s="1"/>
  <c r="BJ65" i="15" s="1"/>
  <c r="BN65" i="15" s="1"/>
  <c r="AF65" i="15"/>
  <c r="AJ65" i="15"/>
  <c r="AN65" i="15" s="1"/>
  <c r="AR65" i="15"/>
  <c r="AV65" i="15"/>
  <c r="AZ65" i="15" s="1"/>
  <c r="BD65" i="15" s="1"/>
  <c r="BK65" i="15"/>
  <c r="BL65" i="15"/>
  <c r="CA65" i="15"/>
  <c r="CC65" i="15"/>
  <c r="O65" i="15" s="1"/>
  <c r="CT65" i="15"/>
  <c r="CV65" i="15"/>
  <c r="BO65" i="15" s="1"/>
  <c r="N66" i="15"/>
  <c r="R66" i="15" s="1"/>
  <c r="V66" i="15" s="1"/>
  <c r="Z66" i="15" s="1"/>
  <c r="AD66" i="15" s="1"/>
  <c r="AH66" i="15" s="1"/>
  <c r="AL66" i="15" s="1"/>
  <c r="AP66" i="15" s="1"/>
  <c r="AT66" i="15" s="1"/>
  <c r="AX66" i="15" s="1"/>
  <c r="BB66" i="15" s="1"/>
  <c r="BF66" i="15" s="1"/>
  <c r="BJ66" i="15" s="1"/>
  <c r="BN66" i="15" s="1"/>
  <c r="O66" i="15"/>
  <c r="P66" i="15"/>
  <c r="T66" i="15"/>
  <c r="X66" i="15"/>
  <c r="AF66" i="15"/>
  <c r="AJ66" i="15" s="1"/>
  <c r="AN66" i="15" s="1"/>
  <c r="AI66" i="15"/>
  <c r="AQ66" i="15"/>
  <c r="AU66" i="15"/>
  <c r="AV66" i="15"/>
  <c r="AZ66" i="15"/>
  <c r="BD66" i="15" s="1"/>
  <c r="BG66" i="15"/>
  <c r="BL66" i="15"/>
  <c r="CA66" i="15"/>
  <c r="CC66" i="15"/>
  <c r="CT66" i="15"/>
  <c r="CV66" i="15"/>
  <c r="BK66" i="15" s="1"/>
  <c r="N67" i="15"/>
  <c r="O67" i="15"/>
  <c r="P67" i="15"/>
  <c r="R67" i="15"/>
  <c r="S67" i="15"/>
  <c r="T67" i="15"/>
  <c r="X67" i="15" s="1"/>
  <c r="V67" i="15"/>
  <c r="W67" i="15"/>
  <c r="Z67" i="15"/>
  <c r="AD67" i="15"/>
  <c r="AH67" i="15" s="1"/>
  <c r="AL67" i="15" s="1"/>
  <c r="AE67" i="15"/>
  <c r="AF67" i="15"/>
  <c r="AJ67" i="15" s="1"/>
  <c r="AI67" i="15"/>
  <c r="AN67" i="15"/>
  <c r="AP67" i="15"/>
  <c r="AT67" i="15" s="1"/>
  <c r="AX67" i="15" s="1"/>
  <c r="BB67" i="15" s="1"/>
  <c r="BF67" i="15" s="1"/>
  <c r="BJ67" i="15" s="1"/>
  <c r="BN67" i="15" s="1"/>
  <c r="AQ67" i="15"/>
  <c r="AR67" i="15"/>
  <c r="AV67" i="15"/>
  <c r="AZ67" i="15" s="1"/>
  <c r="BD67" i="15" s="1"/>
  <c r="AY67" i="15"/>
  <c r="BC67" i="15"/>
  <c r="BG67" i="15"/>
  <c r="BK67" i="15"/>
  <c r="BL67" i="15"/>
  <c r="BO67" i="15"/>
  <c r="CA67" i="15"/>
  <c r="CC67" i="15"/>
  <c r="AU67" i="15" s="1"/>
  <c r="CT67" i="15"/>
  <c r="CV67" i="15"/>
  <c r="N68" i="15"/>
  <c r="O68" i="15"/>
  <c r="P68" i="15"/>
  <c r="T68" i="15" s="1"/>
  <c r="R68" i="15"/>
  <c r="S68" i="15"/>
  <c r="V68" i="15"/>
  <c r="Z68" i="15" s="1"/>
  <c r="AD68" i="15" s="1"/>
  <c r="AH68" i="15" s="1"/>
  <c r="AL68" i="15" s="1"/>
  <c r="AP68" i="15" s="1"/>
  <c r="AT68" i="15" s="1"/>
  <c r="AX68" i="15" s="1"/>
  <c r="BB68" i="15" s="1"/>
  <c r="BF68" i="15" s="1"/>
  <c r="BJ68" i="15" s="1"/>
  <c r="BN68" i="15" s="1"/>
  <c r="X68" i="15"/>
  <c r="AA68" i="15"/>
  <c r="AE68" i="15"/>
  <c r="AF68" i="15"/>
  <c r="AJ68" i="15"/>
  <c r="AN68" i="15" s="1"/>
  <c r="AM68" i="15"/>
  <c r="AV68" i="15"/>
  <c r="AY68" i="15"/>
  <c r="AZ68" i="15"/>
  <c r="BD68" i="15" s="1"/>
  <c r="BG68" i="15"/>
  <c r="BL68" i="15"/>
  <c r="CA68" i="15"/>
  <c r="CC68" i="15"/>
  <c r="AQ68" i="15" s="1"/>
  <c r="CT68" i="15"/>
  <c r="CV68" i="15"/>
  <c r="BO68" i="15" s="1"/>
  <c r="L69" i="15"/>
  <c r="P69" i="15" s="1"/>
  <c r="N69" i="15"/>
  <c r="O69" i="15"/>
  <c r="R69" i="15"/>
  <c r="V69" i="15" s="1"/>
  <c r="Z69" i="15" s="1"/>
  <c r="AD69" i="15" s="1"/>
  <c r="AH69" i="15" s="1"/>
  <c r="AL69" i="15" s="1"/>
  <c r="AP69" i="15" s="1"/>
  <c r="AT69" i="15" s="1"/>
  <c r="AX69" i="15" s="1"/>
  <c r="BB69" i="15" s="1"/>
  <c r="BF69" i="15" s="1"/>
  <c r="BJ69" i="15" s="1"/>
  <c r="BN69" i="15" s="1"/>
  <c r="T69" i="15"/>
  <c r="X69" i="15" s="1"/>
  <c r="W69" i="15"/>
  <c r="AF69" i="15"/>
  <c r="AJ69" i="15" s="1"/>
  <c r="AN69" i="15" s="1"/>
  <c r="AI69" i="15"/>
  <c r="AR69" i="15"/>
  <c r="AU69" i="15"/>
  <c r="AV69" i="15"/>
  <c r="AZ69" i="15" s="1"/>
  <c r="BD69" i="15" s="1"/>
  <c r="BC69" i="15"/>
  <c r="BG69" i="15"/>
  <c r="BK69" i="15"/>
  <c r="BL69" i="15"/>
  <c r="BO69" i="15"/>
  <c r="CA69" i="15"/>
  <c r="CC69" i="15"/>
  <c r="CT69" i="15"/>
  <c r="CV69" i="15"/>
  <c r="L70" i="15"/>
  <c r="P70" i="15"/>
  <c r="T70" i="15"/>
  <c r="AB70" i="15"/>
  <c r="AN70" i="15"/>
  <c r="AR70" i="15"/>
  <c r="BK70" i="15"/>
  <c r="CA70" i="15"/>
  <c r="CB70" i="15"/>
  <c r="CC70" i="15"/>
  <c r="O70" i="15" s="1"/>
  <c r="CT70" i="15"/>
  <c r="CU70" i="15"/>
  <c r="CV70" i="15"/>
  <c r="BO70" i="15" s="1"/>
  <c r="S43" i="15"/>
  <c r="W43" i="15"/>
  <c r="AF43" i="15"/>
  <c r="AJ44" i="15" s="1"/>
  <c r="AN45" i="15" s="1"/>
  <c r="AI43" i="15"/>
  <c r="AM43" i="15"/>
  <c r="AQ43" i="15"/>
  <c r="AU43" i="15"/>
  <c r="AY43" i="15"/>
  <c r="BC43" i="15"/>
  <c r="BG43" i="15"/>
  <c r="BK43" i="15"/>
  <c r="CA43" i="15"/>
  <c r="CB43" i="15"/>
  <c r="N43" i="15" s="1"/>
  <c r="R43" i="15" s="1"/>
  <c r="V43" i="15" s="1"/>
  <c r="Z43" i="15" s="1"/>
  <c r="AD43" i="15" s="1"/>
  <c r="AH43" i="15" s="1"/>
  <c r="AL43" i="15" s="1"/>
  <c r="AP43" i="15" s="1"/>
  <c r="AT43" i="15" s="1"/>
  <c r="AX43" i="15" s="1"/>
  <c r="BB43" i="15" s="1"/>
  <c r="BF43" i="15" s="1"/>
  <c r="BJ43" i="15" s="1"/>
  <c r="BN43" i="15" s="1"/>
  <c r="CC43" i="15"/>
  <c r="AA43" i="15" s="1"/>
  <c r="CT43" i="15"/>
  <c r="CU43" i="15"/>
  <c r="CV43" i="15"/>
  <c r="BO43" i="15" s="1"/>
  <c r="N44" i="15"/>
  <c r="R44" i="15" s="1"/>
  <c r="V44" i="15" s="1"/>
  <c r="Z44" i="15" s="1"/>
  <c r="AD44" i="15" s="1"/>
  <c r="AH44" i="15" s="1"/>
  <c r="AL44" i="15" s="1"/>
  <c r="AP44" i="15" s="1"/>
  <c r="AT44" i="15" s="1"/>
  <c r="AX44" i="15" s="1"/>
  <c r="BB44" i="15" s="1"/>
  <c r="BF44" i="15" s="1"/>
  <c r="BJ44" i="15" s="1"/>
  <c r="BN44" i="15" s="1"/>
  <c r="S44" i="15"/>
  <c r="CA44" i="15"/>
  <c r="CB44" i="15"/>
  <c r="CC44" i="15"/>
  <c r="CT44" i="15"/>
  <c r="CU44" i="15"/>
  <c r="CV44" i="15"/>
  <c r="N45" i="15"/>
  <c r="R45" i="15"/>
  <c r="V45" i="15"/>
  <c r="W45" i="15"/>
  <c r="Z45" i="15"/>
  <c r="AD45" i="15" s="1"/>
  <c r="AH45" i="15"/>
  <c r="AL45" i="15" s="1"/>
  <c r="AP45" i="15" s="1"/>
  <c r="AT45" i="15" s="1"/>
  <c r="AM45" i="15"/>
  <c r="AQ45" i="15"/>
  <c r="AV45" i="15"/>
  <c r="AX45" i="15"/>
  <c r="BB45" i="15" s="1"/>
  <c r="BF45" i="15" s="1"/>
  <c r="BJ45" i="15" s="1"/>
  <c r="BN45" i="15" s="1"/>
  <c r="AY45" i="15"/>
  <c r="AZ45" i="15"/>
  <c r="BC45" i="15"/>
  <c r="BD45" i="15"/>
  <c r="BH45" i="15"/>
  <c r="BL45" i="15"/>
  <c r="CA45" i="15"/>
  <c r="CB45" i="15"/>
  <c r="CC45" i="15"/>
  <c r="CT45" i="15"/>
  <c r="CU45" i="15"/>
  <c r="CV45" i="15"/>
  <c r="BO45" i="15" s="1"/>
  <c r="V46" i="15"/>
  <c r="Z46" i="15" s="1"/>
  <c r="AD46" i="15"/>
  <c r="AH46" i="15" s="1"/>
  <c r="AL46" i="15" s="1"/>
  <c r="AP46" i="15" s="1"/>
  <c r="AT46" i="15" s="1"/>
  <c r="AX46" i="15" s="1"/>
  <c r="BB46" i="15" s="1"/>
  <c r="BF46" i="15" s="1"/>
  <c r="BJ46" i="15" s="1"/>
  <c r="BN46" i="15" s="1"/>
  <c r="CA46" i="15"/>
  <c r="CB46" i="15"/>
  <c r="N46" i="15" s="1"/>
  <c r="R46" i="15" s="1"/>
  <c r="CC46" i="15"/>
  <c r="CT46" i="15"/>
  <c r="CU46" i="15"/>
  <c r="CV46" i="15"/>
  <c r="BK46" i="15" s="1"/>
  <c r="N47" i="15"/>
  <c r="R47" i="15"/>
  <c r="V47" i="15" s="1"/>
  <c r="Z47" i="15" s="1"/>
  <c r="AD47" i="15" s="1"/>
  <c r="AH47" i="15" s="1"/>
  <c r="AL47" i="15"/>
  <c r="AP47" i="15" s="1"/>
  <c r="AT47" i="15" s="1"/>
  <c r="AX47" i="15" s="1"/>
  <c r="BB47" i="15" s="1"/>
  <c r="BF47" i="15" s="1"/>
  <c r="BJ47" i="15" s="1"/>
  <c r="BN47" i="15" s="1"/>
  <c r="AQ47" i="15"/>
  <c r="AV47" i="15"/>
  <c r="AZ47" i="15"/>
  <c r="BD47" i="15"/>
  <c r="BL47" i="15"/>
  <c r="BO47" i="15"/>
  <c r="CA47" i="15"/>
  <c r="CB47" i="15"/>
  <c r="CC47" i="15"/>
  <c r="W47" i="15" s="1"/>
  <c r="CT47" i="15"/>
  <c r="CU47" i="15"/>
  <c r="CV47" i="15"/>
  <c r="BK47" i="15" s="1"/>
  <c r="O48" i="15"/>
  <c r="R48" i="15"/>
  <c r="V48" i="15" s="1"/>
  <c r="Z48" i="15" s="1"/>
  <c r="AD48" i="15" s="1"/>
  <c r="AH48" i="15" s="1"/>
  <c r="AL48" i="15" s="1"/>
  <c r="AP48" i="15" s="1"/>
  <c r="AT48" i="15" s="1"/>
  <c r="AX48" i="15" s="1"/>
  <c r="BB48" i="15" s="1"/>
  <c r="BF48" i="15" s="1"/>
  <c r="BJ48" i="15" s="1"/>
  <c r="BN48" i="15" s="1"/>
  <c r="W48" i="15"/>
  <c r="AE48" i="15"/>
  <c r="AF48" i="15"/>
  <c r="AJ49" i="15" s="1"/>
  <c r="AN47" i="15" s="1"/>
  <c r="AU48" i="15"/>
  <c r="AZ48" i="15"/>
  <c r="BD49" i="15" s="1"/>
  <c r="BG48" i="15"/>
  <c r="BO48" i="15"/>
  <c r="CA48" i="15"/>
  <c r="CB48" i="15"/>
  <c r="N48" i="15" s="1"/>
  <c r="CC48" i="15"/>
  <c r="S48" i="15" s="1"/>
  <c r="CT48" i="15"/>
  <c r="CU48" i="15"/>
  <c r="CV48" i="15"/>
  <c r="BK48" i="15" s="1"/>
  <c r="O49" i="15"/>
  <c r="S49" i="15"/>
  <c r="W49" i="15"/>
  <c r="AE49" i="15"/>
  <c r="AI49" i="15"/>
  <c r="AM49" i="15"/>
  <c r="AQ49" i="15"/>
  <c r="AY49" i="15"/>
  <c r="BC49" i="15"/>
  <c r="BG49" i="15"/>
  <c r="BH49" i="15"/>
  <c r="BL49" i="15"/>
  <c r="CA49" i="15"/>
  <c r="CB49" i="15"/>
  <c r="N49" i="15" s="1"/>
  <c r="R49" i="15" s="1"/>
  <c r="V49" i="15" s="1"/>
  <c r="Z49" i="15" s="1"/>
  <c r="AD49" i="15" s="1"/>
  <c r="AH49" i="15" s="1"/>
  <c r="AL49" i="15" s="1"/>
  <c r="AP49" i="15" s="1"/>
  <c r="AT49" i="15" s="1"/>
  <c r="AX49" i="15" s="1"/>
  <c r="BB49" i="15" s="1"/>
  <c r="BF49" i="15" s="1"/>
  <c r="BJ49" i="15" s="1"/>
  <c r="BN49" i="15" s="1"/>
  <c r="CC49" i="15"/>
  <c r="AA49" i="15" s="1"/>
  <c r="CT49" i="15"/>
  <c r="CU49" i="15"/>
  <c r="CV49" i="15"/>
  <c r="N50" i="15"/>
  <c r="R50" i="15" s="1"/>
  <c r="V50" i="15" s="1"/>
  <c r="Z50" i="15" s="1"/>
  <c r="AD50" i="15" s="1"/>
  <c r="AH50" i="15" s="1"/>
  <c r="AL50" i="15" s="1"/>
  <c r="AP50" i="15" s="1"/>
  <c r="AT50" i="15" s="1"/>
  <c r="AX50" i="15" s="1"/>
  <c r="BB50" i="15" s="1"/>
  <c r="BF50" i="15" s="1"/>
  <c r="BJ50" i="15" s="1"/>
  <c r="BN50" i="15" s="1"/>
  <c r="P50" i="15"/>
  <c r="S50" i="15"/>
  <c r="T50" i="15"/>
  <c r="W50" i="15"/>
  <c r="X50" i="15"/>
  <c r="AA50" i="15"/>
  <c r="AE50" i="15"/>
  <c r="AI50" i="15"/>
  <c r="AM50" i="15"/>
  <c r="AQ50" i="15"/>
  <c r="AU50" i="15"/>
  <c r="AY50" i="15"/>
  <c r="BC50" i="15"/>
  <c r="BG50" i="15"/>
  <c r="BO50" i="15"/>
  <c r="CA50" i="15"/>
  <c r="CB50" i="15"/>
  <c r="CC50" i="15"/>
  <c r="O50" i="15" s="1"/>
  <c r="CT50" i="15"/>
  <c r="CU50" i="15"/>
  <c r="CV50" i="15"/>
  <c r="BK50" i="15" s="1"/>
  <c r="N51" i="15"/>
  <c r="P51" i="15"/>
  <c r="R51" i="15"/>
  <c r="V51" i="15" s="1"/>
  <c r="Z51" i="15" s="1"/>
  <c r="AD51" i="15" s="1"/>
  <c r="AH51" i="15" s="1"/>
  <c r="AL51" i="15" s="1"/>
  <c r="AP51" i="15" s="1"/>
  <c r="AT51" i="15" s="1"/>
  <c r="AX51" i="15" s="1"/>
  <c r="BB51" i="15" s="1"/>
  <c r="BF51" i="15" s="1"/>
  <c r="BJ51" i="15" s="1"/>
  <c r="BN51" i="15" s="1"/>
  <c r="T51" i="15"/>
  <c r="X51" i="15" s="1"/>
  <c r="AF51" i="15"/>
  <c r="AJ51" i="15" s="1"/>
  <c r="AN51" i="15" s="1"/>
  <c r="AV51" i="15"/>
  <c r="AZ51" i="15"/>
  <c r="BD51" i="15" s="1"/>
  <c r="BL51" i="15"/>
  <c r="BO51" i="15"/>
  <c r="CA51" i="15"/>
  <c r="CB51" i="15"/>
  <c r="CC51" i="15"/>
  <c r="AQ51" i="15" s="1"/>
  <c r="CT51" i="15"/>
  <c r="CU51" i="15"/>
  <c r="CV51" i="15"/>
  <c r="BK51" i="15" s="1"/>
  <c r="L52" i="15"/>
  <c r="O52" i="15"/>
  <c r="P52" i="15"/>
  <c r="S52" i="15"/>
  <c r="T52" i="15"/>
  <c r="X52" i="15" s="1"/>
  <c r="AB52" i="15"/>
  <c r="AE52" i="15"/>
  <c r="AF52" i="15"/>
  <c r="AI52" i="15"/>
  <c r="AJ52" i="15"/>
  <c r="AM52" i="15"/>
  <c r="AN52" i="15"/>
  <c r="AQ52" i="15"/>
  <c r="AU52" i="15"/>
  <c r="AV52" i="15"/>
  <c r="AY52" i="15"/>
  <c r="AZ52" i="15"/>
  <c r="BD52" i="15" s="1"/>
  <c r="BH52" i="15" s="1"/>
  <c r="BC52" i="15"/>
  <c r="BG52" i="15"/>
  <c r="BL52" i="15"/>
  <c r="CA52" i="15"/>
  <c r="CB52" i="15"/>
  <c r="N52" i="15" s="1"/>
  <c r="R52" i="15" s="1"/>
  <c r="V52" i="15" s="1"/>
  <c r="Z52" i="15" s="1"/>
  <c r="AD52" i="15" s="1"/>
  <c r="AH52" i="15" s="1"/>
  <c r="AL52" i="15" s="1"/>
  <c r="AP52" i="15" s="1"/>
  <c r="AT52" i="15" s="1"/>
  <c r="AX52" i="15" s="1"/>
  <c r="BB52" i="15" s="1"/>
  <c r="BF52" i="15" s="1"/>
  <c r="BJ52" i="15" s="1"/>
  <c r="BN52" i="15" s="1"/>
  <c r="CC52" i="15"/>
  <c r="W52" i="15" s="1"/>
  <c r="CT52" i="15"/>
  <c r="CU52" i="15"/>
  <c r="CV52" i="15"/>
  <c r="BO52" i="15" s="1"/>
  <c r="P53" i="15"/>
  <c r="T53" i="15" s="1"/>
  <c r="X53" i="15" s="1"/>
  <c r="S53" i="15"/>
  <c r="V53" i="15"/>
  <c r="Z53" i="15" s="1"/>
  <c r="AD53" i="15" s="1"/>
  <c r="AH53" i="15" s="1"/>
  <c r="AL53" i="15" s="1"/>
  <c r="AP53" i="15" s="1"/>
  <c r="AT53" i="15" s="1"/>
  <c r="AX53" i="15" s="1"/>
  <c r="BB53" i="15" s="1"/>
  <c r="BF53" i="15" s="1"/>
  <c r="BJ53" i="15" s="1"/>
  <c r="BN53" i="15" s="1"/>
  <c r="W53" i="15"/>
  <c r="AA53" i="15"/>
  <c r="AE53" i="15"/>
  <c r="AF53" i="15"/>
  <c r="AI53" i="15"/>
  <c r="AJ53" i="15"/>
  <c r="AN53" i="15" s="1"/>
  <c r="AM53" i="15"/>
  <c r="AQ53" i="15"/>
  <c r="AU53" i="15"/>
  <c r="AV53" i="15"/>
  <c r="AZ53" i="15" s="1"/>
  <c r="BD53" i="15" s="1"/>
  <c r="BH53" i="15" s="1"/>
  <c r="BL53" i="15" s="1"/>
  <c r="AY53" i="15"/>
  <c r="BC53" i="15"/>
  <c r="BG53" i="15"/>
  <c r="BK53" i="15"/>
  <c r="CA53" i="15"/>
  <c r="CB53" i="15"/>
  <c r="N53" i="15" s="1"/>
  <c r="R53" i="15" s="1"/>
  <c r="CC53" i="15"/>
  <c r="O53" i="15" s="1"/>
  <c r="CT53" i="15"/>
  <c r="CU53" i="15"/>
  <c r="CV53" i="15"/>
  <c r="BO53" i="15" s="1"/>
  <c r="P54" i="15"/>
  <c r="T54" i="15" s="1"/>
  <c r="X54" i="15" s="1"/>
  <c r="AF54" i="15"/>
  <c r="AI54" i="15"/>
  <c r="AJ54" i="15"/>
  <c r="AN54" i="15" s="1"/>
  <c r="AV54" i="15"/>
  <c r="AZ54" i="15" s="1"/>
  <c r="BD54" i="15" s="1"/>
  <c r="BH54" i="15" s="1"/>
  <c r="BL54" i="15" s="1"/>
  <c r="BG54" i="15"/>
  <c r="BK54" i="15"/>
  <c r="BO54" i="15"/>
  <c r="CA54" i="15"/>
  <c r="CB54" i="15"/>
  <c r="N54" i="15" s="1"/>
  <c r="R54" i="15" s="1"/>
  <c r="V54" i="15" s="1"/>
  <c r="Z54" i="15" s="1"/>
  <c r="AD54" i="15" s="1"/>
  <c r="AH54" i="15" s="1"/>
  <c r="AL54" i="15" s="1"/>
  <c r="AP54" i="15" s="1"/>
  <c r="AT54" i="15" s="1"/>
  <c r="AX54" i="15" s="1"/>
  <c r="BB54" i="15" s="1"/>
  <c r="BF54" i="15" s="1"/>
  <c r="BJ54" i="15" s="1"/>
  <c r="BN54" i="15" s="1"/>
  <c r="CC54" i="15"/>
  <c r="AY54" i="15" s="1"/>
  <c r="CT54" i="15"/>
  <c r="CU54" i="15"/>
  <c r="CV54" i="15"/>
  <c r="P55" i="15"/>
  <c r="T55" i="15" s="1"/>
  <c r="X55" i="15" s="1"/>
  <c r="AA55" i="15"/>
  <c r="AB55" i="15"/>
  <c r="AF55" i="15" s="1"/>
  <c r="AJ55" i="15" s="1"/>
  <c r="AN55" i="15" s="1"/>
  <c r="AR55" i="15"/>
  <c r="AV55" i="15"/>
  <c r="AZ55" i="15" s="1"/>
  <c r="BD55" i="15" s="1"/>
  <c r="BG55" i="15"/>
  <c r="BH55" i="15"/>
  <c r="BK55" i="15"/>
  <c r="BO55" i="15"/>
  <c r="CA55" i="15"/>
  <c r="CB55" i="15"/>
  <c r="N55" i="15" s="1"/>
  <c r="R55" i="15" s="1"/>
  <c r="V55" i="15" s="1"/>
  <c r="Z55" i="15" s="1"/>
  <c r="AD55" i="15" s="1"/>
  <c r="AH55" i="15" s="1"/>
  <c r="AL55" i="15" s="1"/>
  <c r="AP55" i="15" s="1"/>
  <c r="AT55" i="15" s="1"/>
  <c r="AX55" i="15" s="1"/>
  <c r="BB55" i="15" s="1"/>
  <c r="BF55" i="15" s="1"/>
  <c r="BJ55" i="15" s="1"/>
  <c r="BN55" i="15" s="1"/>
  <c r="CC55" i="15"/>
  <c r="AM55" i="15" s="1"/>
  <c r="CT55" i="15"/>
  <c r="CU55" i="15"/>
  <c r="CV55" i="15"/>
  <c r="L56" i="15"/>
  <c r="P56" i="15"/>
  <c r="T56" i="15" s="1"/>
  <c r="X56" i="15" s="1"/>
  <c r="AA56" i="15"/>
  <c r="AB56" i="15"/>
  <c r="AF56" i="15" s="1"/>
  <c r="AJ56" i="15" s="1"/>
  <c r="AN56" i="15" s="1"/>
  <c r="AR56" i="15"/>
  <c r="AV56" i="15"/>
  <c r="AZ56" i="15" s="1"/>
  <c r="BD56" i="15" s="1"/>
  <c r="BG56" i="15"/>
  <c r="BH56" i="15"/>
  <c r="CA56" i="15"/>
  <c r="CB56" i="15"/>
  <c r="N56" i="15" s="1"/>
  <c r="R56" i="15" s="1"/>
  <c r="V56" i="15" s="1"/>
  <c r="Z56" i="15" s="1"/>
  <c r="AD56" i="15" s="1"/>
  <c r="AH56" i="15" s="1"/>
  <c r="AL56" i="15" s="1"/>
  <c r="AP56" i="15" s="1"/>
  <c r="AT56" i="15" s="1"/>
  <c r="AX56" i="15" s="1"/>
  <c r="BB56" i="15" s="1"/>
  <c r="BF56" i="15" s="1"/>
  <c r="BJ56" i="15" s="1"/>
  <c r="BN56" i="15" s="1"/>
  <c r="CC56" i="15"/>
  <c r="AM56" i="15" s="1"/>
  <c r="CT56" i="15"/>
  <c r="CU56" i="15"/>
  <c r="CV56" i="15"/>
  <c r="BK56" i="15" s="1"/>
  <c r="P29" i="15"/>
  <c r="R29" i="15"/>
  <c r="V29" i="15" s="1"/>
  <c r="Z29" i="15" s="1"/>
  <c r="AD29" i="15" s="1"/>
  <c r="AH29" i="15" s="1"/>
  <c r="AL29" i="15" s="1"/>
  <c r="AP29" i="15" s="1"/>
  <c r="AT29" i="15" s="1"/>
  <c r="AX29" i="15" s="1"/>
  <c r="BB29" i="15" s="1"/>
  <c r="BF29" i="15" s="1"/>
  <c r="BJ29" i="15" s="1"/>
  <c r="BN29" i="15" s="1"/>
  <c r="S29" i="15"/>
  <c r="T29" i="15"/>
  <c r="X29" i="15" s="1"/>
  <c r="AE29" i="15"/>
  <c r="AF29" i="15"/>
  <c r="AJ29" i="15" s="1"/>
  <c r="AN29" i="15"/>
  <c r="AV29" i="15"/>
  <c r="AZ29" i="15"/>
  <c r="BD29" i="15" s="1"/>
  <c r="BL29" i="15"/>
  <c r="CA29" i="15"/>
  <c r="CB29" i="15"/>
  <c r="N29" i="15" s="1"/>
  <c r="CC29" i="15"/>
  <c r="AQ29" i="15" s="1"/>
  <c r="CT29" i="15"/>
  <c r="CU29" i="15"/>
  <c r="CV29" i="15"/>
  <c r="P30" i="15"/>
  <c r="T30" i="15" s="1"/>
  <c r="X30" i="15" s="1"/>
  <c r="W30" i="15"/>
  <c r="AF30" i="15"/>
  <c r="AI30" i="15"/>
  <c r="AJ30" i="15"/>
  <c r="AN30" i="15" s="1"/>
  <c r="AU30" i="15"/>
  <c r="AV30" i="15"/>
  <c r="AZ30" i="15" s="1"/>
  <c r="BD30" i="15" s="1"/>
  <c r="BL30" i="15"/>
  <c r="BL56" i="15" s="1"/>
  <c r="CA30" i="15"/>
  <c r="CB30" i="15"/>
  <c r="N30" i="15" s="1"/>
  <c r="R30" i="15" s="1"/>
  <c r="V30" i="15" s="1"/>
  <c r="Z30" i="15" s="1"/>
  <c r="AD30" i="15" s="1"/>
  <c r="AH30" i="15" s="1"/>
  <c r="AL30" i="15" s="1"/>
  <c r="AP30" i="15" s="1"/>
  <c r="AT30" i="15" s="1"/>
  <c r="AX30" i="15" s="1"/>
  <c r="BB30" i="15" s="1"/>
  <c r="BF30" i="15" s="1"/>
  <c r="BJ30" i="15" s="1"/>
  <c r="BN30" i="15" s="1"/>
  <c r="CC30" i="15"/>
  <c r="BG30" i="15" s="1"/>
  <c r="CT30" i="15"/>
  <c r="CU30" i="15"/>
  <c r="CV30" i="15"/>
  <c r="BK30" i="15" s="1"/>
  <c r="P31" i="15"/>
  <c r="R31" i="15"/>
  <c r="V31" i="15" s="1"/>
  <c r="Z31" i="15" s="1"/>
  <c r="AD31" i="15" s="1"/>
  <c r="AH31" i="15" s="1"/>
  <c r="AL31" i="15" s="1"/>
  <c r="AP31" i="15" s="1"/>
  <c r="AT31" i="15" s="1"/>
  <c r="AX31" i="15" s="1"/>
  <c r="BB31" i="15" s="1"/>
  <c r="BF31" i="15" s="1"/>
  <c r="BJ31" i="15" s="1"/>
  <c r="BN31" i="15" s="1"/>
  <c r="S31" i="15"/>
  <c r="T31" i="15"/>
  <c r="X31" i="15" s="1"/>
  <c r="AE31" i="15"/>
  <c r="AF31" i="15"/>
  <c r="AJ31" i="15" s="1"/>
  <c r="AN31" i="15"/>
  <c r="AV31" i="15"/>
  <c r="AZ31" i="15"/>
  <c r="BD31" i="15" s="1"/>
  <c r="BL31" i="15"/>
  <c r="CA31" i="15"/>
  <c r="CB31" i="15"/>
  <c r="N31" i="15" s="1"/>
  <c r="CC31" i="15"/>
  <c r="AQ31" i="15" s="1"/>
  <c r="CT31" i="15"/>
  <c r="CU31" i="15"/>
  <c r="CV31" i="15"/>
  <c r="P32" i="15"/>
  <c r="T32" i="15" s="1"/>
  <c r="X32" i="15" s="1"/>
  <c r="W32" i="15"/>
  <c r="AF32" i="15"/>
  <c r="AI32" i="15"/>
  <c r="AJ32" i="15"/>
  <c r="AN32" i="15" s="1"/>
  <c r="AU32" i="15"/>
  <c r="AV32" i="15"/>
  <c r="AZ32" i="15" s="1"/>
  <c r="BD32" i="15" s="1"/>
  <c r="BL32" i="15"/>
  <c r="CA32" i="15"/>
  <c r="CB32" i="15"/>
  <c r="N32" i="15" s="1"/>
  <c r="R32" i="15" s="1"/>
  <c r="V32" i="15" s="1"/>
  <c r="Z32" i="15" s="1"/>
  <c r="AD32" i="15" s="1"/>
  <c r="AH32" i="15" s="1"/>
  <c r="AL32" i="15" s="1"/>
  <c r="AP32" i="15" s="1"/>
  <c r="AT32" i="15" s="1"/>
  <c r="AX32" i="15" s="1"/>
  <c r="BB32" i="15" s="1"/>
  <c r="BF32" i="15" s="1"/>
  <c r="BJ32" i="15" s="1"/>
  <c r="BN32" i="15" s="1"/>
  <c r="CC32" i="15"/>
  <c r="BG32" i="15" s="1"/>
  <c r="CT32" i="15"/>
  <c r="CU32" i="15"/>
  <c r="CV32" i="15"/>
  <c r="BK32" i="15" s="1"/>
  <c r="P33" i="15"/>
  <c r="R33" i="15"/>
  <c r="V33" i="15" s="1"/>
  <c r="Z33" i="15" s="1"/>
  <c r="AD33" i="15" s="1"/>
  <c r="AH33" i="15" s="1"/>
  <c r="AL33" i="15" s="1"/>
  <c r="AP33" i="15" s="1"/>
  <c r="AT33" i="15" s="1"/>
  <c r="AX33" i="15" s="1"/>
  <c r="BB33" i="15" s="1"/>
  <c r="BF33" i="15" s="1"/>
  <c r="BJ33" i="15" s="1"/>
  <c r="BN33" i="15" s="1"/>
  <c r="S33" i="15"/>
  <c r="T33" i="15"/>
  <c r="X33" i="15" s="1"/>
  <c r="AE33" i="15"/>
  <c r="AF33" i="15"/>
  <c r="AJ33" i="15" s="1"/>
  <c r="AN33" i="15"/>
  <c r="AV33" i="15"/>
  <c r="AZ33" i="15"/>
  <c r="BD33" i="15" s="1"/>
  <c r="BL33" i="15"/>
  <c r="CA33" i="15"/>
  <c r="CB33" i="15"/>
  <c r="N33" i="15" s="1"/>
  <c r="CC33" i="15"/>
  <c r="AQ33" i="15" s="1"/>
  <c r="CT33" i="15"/>
  <c r="CU33" i="15"/>
  <c r="CV33" i="15"/>
  <c r="P34" i="15"/>
  <c r="T34" i="15" s="1"/>
  <c r="X34" i="15" s="1"/>
  <c r="W34" i="15"/>
  <c r="AF34" i="15"/>
  <c r="AI34" i="15"/>
  <c r="AJ34" i="15"/>
  <c r="AN34" i="15" s="1"/>
  <c r="AU34" i="15"/>
  <c r="AV34" i="15"/>
  <c r="AZ34" i="15" s="1"/>
  <c r="BD34" i="15" s="1"/>
  <c r="BL34" i="15"/>
  <c r="CA34" i="15"/>
  <c r="CB34" i="15"/>
  <c r="N34" i="15" s="1"/>
  <c r="R34" i="15" s="1"/>
  <c r="V34" i="15" s="1"/>
  <c r="Z34" i="15" s="1"/>
  <c r="AD34" i="15" s="1"/>
  <c r="AH34" i="15" s="1"/>
  <c r="AL34" i="15" s="1"/>
  <c r="AP34" i="15" s="1"/>
  <c r="AT34" i="15" s="1"/>
  <c r="AX34" i="15" s="1"/>
  <c r="BB34" i="15" s="1"/>
  <c r="BF34" i="15" s="1"/>
  <c r="BJ34" i="15" s="1"/>
  <c r="BN34" i="15" s="1"/>
  <c r="CC34" i="15"/>
  <c r="BG34" i="15" s="1"/>
  <c r="CT34" i="15"/>
  <c r="CU34" i="15"/>
  <c r="CV34" i="15"/>
  <c r="BK34" i="15" s="1"/>
  <c r="P35" i="15"/>
  <c r="R35" i="15"/>
  <c r="V35" i="15" s="1"/>
  <c r="Z35" i="15" s="1"/>
  <c r="AD35" i="15" s="1"/>
  <c r="AH35" i="15" s="1"/>
  <c r="AL35" i="15" s="1"/>
  <c r="AP35" i="15" s="1"/>
  <c r="AT35" i="15" s="1"/>
  <c r="AX35" i="15" s="1"/>
  <c r="BB35" i="15" s="1"/>
  <c r="BF35" i="15" s="1"/>
  <c r="BJ35" i="15" s="1"/>
  <c r="BN35" i="15" s="1"/>
  <c r="S35" i="15"/>
  <c r="T35" i="15"/>
  <c r="X35" i="15"/>
  <c r="AE35" i="15"/>
  <c r="AF35" i="15"/>
  <c r="AJ35" i="15" s="1"/>
  <c r="AI35" i="15"/>
  <c r="AN35" i="15"/>
  <c r="AU35" i="15"/>
  <c r="AV35" i="15"/>
  <c r="AZ35" i="15"/>
  <c r="BD35" i="15" s="1"/>
  <c r="BL35" i="15"/>
  <c r="CA35" i="15"/>
  <c r="CB35" i="15"/>
  <c r="N35" i="15" s="1"/>
  <c r="CC35" i="15"/>
  <c r="AQ35" i="15" s="1"/>
  <c r="CT35" i="15"/>
  <c r="CU35" i="15"/>
  <c r="CV35" i="15"/>
  <c r="N36" i="15"/>
  <c r="R36" i="15" s="1"/>
  <c r="V36" i="15" s="1"/>
  <c r="Z36" i="15" s="1"/>
  <c r="AD36" i="15" s="1"/>
  <c r="AH36" i="15" s="1"/>
  <c r="AL36" i="15" s="1"/>
  <c r="AP36" i="15" s="1"/>
  <c r="AT36" i="15" s="1"/>
  <c r="AX36" i="15" s="1"/>
  <c r="BB36" i="15" s="1"/>
  <c r="BF36" i="15" s="1"/>
  <c r="BJ36" i="15" s="1"/>
  <c r="BN36" i="15" s="1"/>
  <c r="T36" i="15"/>
  <c r="X36" i="15"/>
  <c r="AF36" i="15"/>
  <c r="AJ36" i="15"/>
  <c r="AN36" i="15" s="1"/>
  <c r="AV36" i="15"/>
  <c r="AZ36" i="15" s="1"/>
  <c r="BD36" i="15" s="1"/>
  <c r="BL36" i="15"/>
  <c r="CA36" i="15"/>
  <c r="CB36" i="15"/>
  <c r="CC36" i="15"/>
  <c r="CT36" i="15"/>
  <c r="CU36" i="15"/>
  <c r="CV36" i="15"/>
  <c r="BK36" i="15" s="1"/>
  <c r="AF37" i="15"/>
  <c r="AI37" i="15"/>
  <c r="AJ37" i="15"/>
  <c r="AN37" i="15" s="1"/>
  <c r="AU37" i="15"/>
  <c r="AV37" i="15"/>
  <c r="AZ37" i="15" s="1"/>
  <c r="BD37" i="15" s="1"/>
  <c r="BL37" i="15"/>
  <c r="CA37" i="15"/>
  <c r="CB37" i="15"/>
  <c r="N37" i="15" s="1"/>
  <c r="R37" i="15" s="1"/>
  <c r="V37" i="15" s="1"/>
  <c r="Z37" i="15" s="1"/>
  <c r="AD37" i="15" s="1"/>
  <c r="AH37" i="15" s="1"/>
  <c r="AL37" i="15" s="1"/>
  <c r="AP37" i="15" s="1"/>
  <c r="AT37" i="15" s="1"/>
  <c r="AX37" i="15" s="1"/>
  <c r="BB37" i="15" s="1"/>
  <c r="BF37" i="15" s="1"/>
  <c r="BJ37" i="15" s="1"/>
  <c r="BN37" i="15" s="1"/>
  <c r="CC37" i="15"/>
  <c r="W37" i="15" s="1"/>
  <c r="CT37" i="15"/>
  <c r="CU37" i="15"/>
  <c r="CV37" i="15"/>
  <c r="BK37" i="15" s="1"/>
  <c r="P38" i="15"/>
  <c r="R38" i="15"/>
  <c r="V38" i="15" s="1"/>
  <c r="Z38" i="15" s="1"/>
  <c r="AD38" i="15" s="1"/>
  <c r="AH38" i="15" s="1"/>
  <c r="AL38" i="15" s="1"/>
  <c r="AP38" i="15" s="1"/>
  <c r="AT38" i="15" s="1"/>
  <c r="AX38" i="15" s="1"/>
  <c r="BB38" i="15" s="1"/>
  <c r="BF38" i="15" s="1"/>
  <c r="BJ38" i="15" s="1"/>
  <c r="BN38" i="15" s="1"/>
  <c r="S38" i="15"/>
  <c r="T38" i="15"/>
  <c r="X38" i="15" s="1"/>
  <c r="W38" i="15"/>
  <c r="AE38" i="15"/>
  <c r="AF38" i="15"/>
  <c r="AJ38" i="15" s="1"/>
  <c r="AI38" i="15"/>
  <c r="AN38" i="15"/>
  <c r="AU38" i="15"/>
  <c r="BC38" i="15"/>
  <c r="BK38" i="15"/>
  <c r="BL38" i="15"/>
  <c r="CA38" i="15"/>
  <c r="CB38" i="15"/>
  <c r="N38" i="15" s="1"/>
  <c r="CC38" i="15"/>
  <c r="AQ38" i="15" s="1"/>
  <c r="CT38" i="15"/>
  <c r="CU38" i="15"/>
  <c r="CV38" i="15"/>
  <c r="BO38" i="15" s="1"/>
  <c r="P39" i="15"/>
  <c r="T39" i="15" s="1"/>
  <c r="X39" i="15" s="1"/>
  <c r="AA39" i="15"/>
  <c r="AF39" i="15"/>
  <c r="AJ39" i="15" s="1"/>
  <c r="AN39" i="15" s="1"/>
  <c r="AM39" i="15"/>
  <c r="AQ39" i="15"/>
  <c r="AV39" i="15"/>
  <c r="AY39" i="15"/>
  <c r="BD39" i="15"/>
  <c r="BL39" i="15"/>
  <c r="CA39" i="15"/>
  <c r="CB39" i="15"/>
  <c r="N39" i="15" s="1"/>
  <c r="R39" i="15" s="1"/>
  <c r="V39" i="15" s="1"/>
  <c r="Z39" i="15" s="1"/>
  <c r="AD39" i="15" s="1"/>
  <c r="AH39" i="15" s="1"/>
  <c r="AL39" i="15" s="1"/>
  <c r="AP39" i="15" s="1"/>
  <c r="AT39" i="15" s="1"/>
  <c r="AX39" i="15" s="1"/>
  <c r="BB39" i="15" s="1"/>
  <c r="BF39" i="15" s="1"/>
  <c r="BJ39" i="15" s="1"/>
  <c r="BN39" i="15" s="1"/>
  <c r="CC39" i="15"/>
  <c r="S39" i="15" s="1"/>
  <c r="CT39" i="15"/>
  <c r="CU39" i="15"/>
  <c r="CV39" i="15"/>
  <c r="P40" i="15"/>
  <c r="T40" i="15" s="1"/>
  <c r="X40" i="15" s="1"/>
  <c r="W40" i="15"/>
  <c r="AF40" i="15"/>
  <c r="AI40" i="15"/>
  <c r="AJ40" i="15"/>
  <c r="AN40" i="15" s="1"/>
  <c r="AU40" i="15"/>
  <c r="AV40" i="15"/>
  <c r="AZ40" i="15"/>
  <c r="BD40" i="15" s="1"/>
  <c r="BF40" i="15"/>
  <c r="BJ40" i="15" s="1"/>
  <c r="BN40" i="15" s="1"/>
  <c r="BL40" i="15"/>
  <c r="CA40" i="15"/>
  <c r="CB40" i="15"/>
  <c r="N40" i="15" s="1"/>
  <c r="R40" i="15" s="1"/>
  <c r="V40" i="15" s="1"/>
  <c r="Z40" i="15" s="1"/>
  <c r="AD40" i="15" s="1"/>
  <c r="AH40" i="15" s="1"/>
  <c r="AL40" i="15" s="1"/>
  <c r="AP40" i="15" s="1"/>
  <c r="AT40" i="15" s="1"/>
  <c r="AX40" i="15" s="1"/>
  <c r="BB40" i="15" s="1"/>
  <c r="CC40" i="15"/>
  <c r="BG40" i="15" s="1"/>
  <c r="CT40" i="15"/>
  <c r="CU40" i="15"/>
  <c r="CV40" i="15"/>
  <c r="BK40" i="15" s="1"/>
  <c r="S41" i="15"/>
  <c r="AA41" i="15"/>
  <c r="AI41" i="15"/>
  <c r="AQ41" i="15"/>
  <c r="AY41" i="15"/>
  <c r="BG41" i="15"/>
  <c r="BO41" i="15"/>
  <c r="CA41" i="15"/>
  <c r="CB41" i="15"/>
  <c r="N41" i="15" s="1"/>
  <c r="R41" i="15" s="1"/>
  <c r="V41" i="15" s="1"/>
  <c r="Z41" i="15" s="1"/>
  <c r="AD41" i="15" s="1"/>
  <c r="AH41" i="15" s="1"/>
  <c r="AL41" i="15" s="1"/>
  <c r="AP41" i="15" s="1"/>
  <c r="AT41" i="15" s="1"/>
  <c r="AX41" i="15" s="1"/>
  <c r="BB41" i="15" s="1"/>
  <c r="BF41" i="15" s="1"/>
  <c r="BJ41" i="15" s="1"/>
  <c r="BN41" i="15" s="1"/>
  <c r="CC41" i="15"/>
  <c r="W41" i="15" s="1"/>
  <c r="CT41" i="15"/>
  <c r="CU41" i="15"/>
  <c r="CV41" i="15"/>
  <c r="BK41" i="15" s="1"/>
  <c r="O42" i="15"/>
  <c r="S42" i="15"/>
  <c r="W42" i="15"/>
  <c r="AA42" i="15"/>
  <c r="AE42" i="15"/>
  <c r="AI42" i="15"/>
  <c r="AM42" i="15"/>
  <c r="AQ42" i="15"/>
  <c r="AU42" i="15"/>
  <c r="AY42" i="15"/>
  <c r="BC42" i="15"/>
  <c r="BG42" i="15"/>
  <c r="BH42" i="15"/>
  <c r="BK42" i="15"/>
  <c r="BL42" i="15"/>
  <c r="BO42" i="15"/>
  <c r="CA42" i="15"/>
  <c r="CB42" i="15"/>
  <c r="N42" i="15" s="1"/>
  <c r="R42" i="15" s="1"/>
  <c r="V42" i="15" s="1"/>
  <c r="Z42" i="15" s="1"/>
  <c r="AD42" i="15" s="1"/>
  <c r="AH42" i="15" s="1"/>
  <c r="AL42" i="15" s="1"/>
  <c r="AP42" i="15" s="1"/>
  <c r="AT42" i="15" s="1"/>
  <c r="AX42" i="15" s="1"/>
  <c r="BB42" i="15" s="1"/>
  <c r="BF42" i="15" s="1"/>
  <c r="BJ42" i="15" s="1"/>
  <c r="BN42" i="15" s="1"/>
  <c r="CC42" i="15"/>
  <c r="CT42" i="15"/>
  <c r="CU42" i="15"/>
  <c r="CV42" i="15"/>
  <c r="AB15" i="15"/>
  <c r="BL15" i="15"/>
  <c r="AB16" i="15"/>
  <c r="AB17" i="15"/>
  <c r="AB18" i="15"/>
  <c r="AB19" i="15"/>
  <c r="BL19" i="15"/>
  <c r="AB20" i="15"/>
  <c r="L21" i="15"/>
  <c r="L55" i="15" s="1"/>
  <c r="N21" i="15"/>
  <c r="O21" i="15"/>
  <c r="V21" i="15"/>
  <c r="V22" i="15" s="1"/>
  <c r="AD21" i="15"/>
  <c r="AD22" i="15" s="1"/>
  <c r="AE21" i="15"/>
  <c r="AL21" i="15"/>
  <c r="AT21" i="15"/>
  <c r="AT22" i="15" s="1"/>
  <c r="AU21" i="15"/>
  <c r="BB21" i="15"/>
  <c r="BJ21" i="15"/>
  <c r="BJ22" i="15" s="1"/>
  <c r="CA21" i="15"/>
  <c r="CB21" i="15"/>
  <c r="R21" i="15" s="1"/>
  <c r="R22" i="15" s="1"/>
  <c r="CC21" i="15"/>
  <c r="S21" i="15" s="1"/>
  <c r="CT21" i="15"/>
  <c r="CU21" i="15"/>
  <c r="CV21" i="15"/>
  <c r="BK21" i="15" s="1"/>
  <c r="P22" i="15"/>
  <c r="T23" i="15" s="1"/>
  <c r="X24" i="15" s="1"/>
  <c r="W22" i="15"/>
  <c r="AE22" i="15"/>
  <c r="AF22" i="15"/>
  <c r="AL22" i="15"/>
  <c r="AM22" i="15"/>
  <c r="BB22" i="15"/>
  <c r="BC22" i="15"/>
  <c r="BL22" i="15"/>
  <c r="BL55" i="15" s="1"/>
  <c r="BO22" i="15"/>
  <c r="CA22" i="15"/>
  <c r="CB22" i="15"/>
  <c r="N22" i="15" s="1"/>
  <c r="CC22" i="15"/>
  <c r="AA22" i="15" s="1"/>
  <c r="CT22" i="15"/>
  <c r="CU22" i="15"/>
  <c r="CV22" i="15"/>
  <c r="BK22" i="15" s="1"/>
  <c r="O23" i="15"/>
  <c r="R23" i="15"/>
  <c r="R24" i="15" s="1"/>
  <c r="V23" i="15"/>
  <c r="V24" i="15" s="1"/>
  <c r="AD23" i="15"/>
  <c r="AD24" i="15" s="1"/>
  <c r="AE23" i="15"/>
  <c r="AJ23" i="15"/>
  <c r="AN24" i="15" s="1"/>
  <c r="AQ23" i="15"/>
  <c r="AT23" i="15"/>
  <c r="AY23" i="15"/>
  <c r="BG23" i="15"/>
  <c r="BJ23" i="15"/>
  <c r="BJ24" i="15" s="1"/>
  <c r="BO23" i="15"/>
  <c r="CA23" i="15"/>
  <c r="CB23" i="15"/>
  <c r="AH23" i="15" s="1"/>
  <c r="AH24" i="15" s="1"/>
  <c r="CC23" i="15"/>
  <c r="S23" i="15" s="1"/>
  <c r="CT23" i="15"/>
  <c r="CU23" i="15"/>
  <c r="CV23" i="15"/>
  <c r="BK23" i="15" s="1"/>
  <c r="O24" i="15"/>
  <c r="W24" i="15"/>
  <c r="AB24" i="15"/>
  <c r="AF24" i="15"/>
  <c r="AI24" i="15"/>
  <c r="AJ24" i="15"/>
  <c r="AM24" i="15"/>
  <c r="AT24" i="15"/>
  <c r="AU24" i="15"/>
  <c r="AV24" i="15"/>
  <c r="AY24" i="15"/>
  <c r="AZ24" i="15"/>
  <c r="BD24" i="15"/>
  <c r="BK24" i="15"/>
  <c r="BL24" i="15"/>
  <c r="CA24" i="15"/>
  <c r="CB24" i="15"/>
  <c r="N24" i="15" s="1"/>
  <c r="CC24" i="15"/>
  <c r="BG24" i="15" s="1"/>
  <c r="CT24" i="15"/>
  <c r="CU24" i="15"/>
  <c r="CV24" i="15"/>
  <c r="BO24" i="15" s="1"/>
  <c r="P25" i="15"/>
  <c r="T25" i="15" s="1"/>
  <c r="X25" i="15" s="1"/>
  <c r="AA25" i="15"/>
  <c r="AF25" i="15"/>
  <c r="AJ25" i="15" s="1"/>
  <c r="AN25" i="15" s="1"/>
  <c r="AM25" i="15"/>
  <c r="AV25" i="15"/>
  <c r="AY25" i="15"/>
  <c r="AZ25" i="15"/>
  <c r="BD25" i="15" s="1"/>
  <c r="BK25" i="15"/>
  <c r="BL25" i="15"/>
  <c r="CA25" i="15"/>
  <c r="CB25" i="15"/>
  <c r="N25" i="15" s="1"/>
  <c r="R25" i="15" s="1"/>
  <c r="V25" i="15" s="1"/>
  <c r="Z25" i="15" s="1"/>
  <c r="AD25" i="15" s="1"/>
  <c r="AH25" i="15" s="1"/>
  <c r="AL25" i="15" s="1"/>
  <c r="AP25" i="15" s="1"/>
  <c r="AT25" i="15" s="1"/>
  <c r="AX25" i="15" s="1"/>
  <c r="BB25" i="15" s="1"/>
  <c r="BF25" i="15" s="1"/>
  <c r="BJ25" i="15" s="1"/>
  <c r="BN25" i="15" s="1"/>
  <c r="CC25" i="15"/>
  <c r="S25" i="15" s="1"/>
  <c r="CT25" i="15"/>
  <c r="CU25" i="15"/>
  <c r="CV25" i="15"/>
  <c r="BO25" i="15" s="1"/>
  <c r="P26" i="15"/>
  <c r="T26" i="15" s="1"/>
  <c r="X26" i="15" s="1"/>
  <c r="W26" i="15"/>
  <c r="AA26" i="15"/>
  <c r="AF26" i="15"/>
  <c r="AJ26" i="15" s="1"/>
  <c r="AN26" i="15" s="1"/>
  <c r="AI26" i="15"/>
  <c r="AM26" i="15"/>
  <c r="AU26" i="15"/>
  <c r="AV26" i="15"/>
  <c r="AZ26" i="15" s="1"/>
  <c r="AY26" i="15"/>
  <c r="BD26" i="15"/>
  <c r="BK26" i="15"/>
  <c r="BL26" i="15"/>
  <c r="CA26" i="15"/>
  <c r="CB26" i="15"/>
  <c r="N26" i="15" s="1"/>
  <c r="R26" i="15" s="1"/>
  <c r="V26" i="15" s="1"/>
  <c r="Z26" i="15" s="1"/>
  <c r="AD26" i="15" s="1"/>
  <c r="AH26" i="15" s="1"/>
  <c r="AL26" i="15" s="1"/>
  <c r="AP26" i="15" s="1"/>
  <c r="AT26" i="15" s="1"/>
  <c r="AX26" i="15" s="1"/>
  <c r="BB26" i="15" s="1"/>
  <c r="BF26" i="15" s="1"/>
  <c r="BJ26" i="15" s="1"/>
  <c r="BN26" i="15" s="1"/>
  <c r="CC26" i="15"/>
  <c r="BG26" i="15" s="1"/>
  <c r="CT26" i="15"/>
  <c r="CU26" i="15"/>
  <c r="CV26" i="15"/>
  <c r="BO26" i="15" s="1"/>
  <c r="P27" i="15"/>
  <c r="T27" i="15" s="1"/>
  <c r="X27" i="15" s="1"/>
  <c r="AA27" i="15"/>
  <c r="AF27" i="15"/>
  <c r="AJ27" i="15" s="1"/>
  <c r="AN27" i="15" s="1"/>
  <c r="AM27" i="15"/>
  <c r="AV27" i="15"/>
  <c r="AY27" i="15"/>
  <c r="AZ27" i="15"/>
  <c r="BD27" i="15" s="1"/>
  <c r="BK27" i="15"/>
  <c r="BL27" i="15"/>
  <c r="CA27" i="15"/>
  <c r="CB27" i="15"/>
  <c r="N27" i="15" s="1"/>
  <c r="R27" i="15" s="1"/>
  <c r="V27" i="15" s="1"/>
  <c r="Z27" i="15" s="1"/>
  <c r="AD27" i="15" s="1"/>
  <c r="AH27" i="15" s="1"/>
  <c r="AL27" i="15" s="1"/>
  <c r="AP27" i="15" s="1"/>
  <c r="AT27" i="15" s="1"/>
  <c r="AX27" i="15" s="1"/>
  <c r="BB27" i="15" s="1"/>
  <c r="BF27" i="15" s="1"/>
  <c r="BJ27" i="15" s="1"/>
  <c r="BN27" i="15" s="1"/>
  <c r="CC27" i="15"/>
  <c r="S27" i="15" s="1"/>
  <c r="CT27" i="15"/>
  <c r="CU27" i="15"/>
  <c r="CV27" i="15"/>
  <c r="BO27" i="15" s="1"/>
  <c r="P28" i="15"/>
  <c r="T28" i="15" s="1"/>
  <c r="X28" i="15" s="1"/>
  <c r="V28" i="15"/>
  <c r="Z28" i="15" s="1"/>
  <c r="AD28" i="15" s="1"/>
  <c r="AH28" i="15" s="1"/>
  <c r="AL28" i="15" s="1"/>
  <c r="AP28" i="15" s="1"/>
  <c r="AT28" i="15" s="1"/>
  <c r="AX28" i="15" s="1"/>
  <c r="BB28" i="15" s="1"/>
  <c r="BF28" i="15" s="1"/>
  <c r="BJ28" i="15" s="1"/>
  <c r="BN28" i="15" s="1"/>
  <c r="W28" i="15"/>
  <c r="AA28" i="15"/>
  <c r="AF28" i="15"/>
  <c r="AJ28" i="15" s="1"/>
  <c r="AN28" i="15" s="1"/>
  <c r="AI28" i="15"/>
  <c r="AM28" i="15"/>
  <c r="AU28" i="15"/>
  <c r="AV28" i="15"/>
  <c r="AY28" i="15"/>
  <c r="AZ28" i="15"/>
  <c r="BD28" i="15"/>
  <c r="BK28" i="15"/>
  <c r="BL28" i="15"/>
  <c r="CA28" i="15"/>
  <c r="CB28" i="15"/>
  <c r="N28" i="15" s="1"/>
  <c r="R28" i="15" s="1"/>
  <c r="CC28" i="15"/>
  <c r="BG28" i="15" s="1"/>
  <c r="CT28" i="15"/>
  <c r="CU28" i="15"/>
  <c r="CV28" i="15"/>
  <c r="BO28" i="15" s="1"/>
  <c r="L1" i="15"/>
  <c r="L15" i="15" s="1"/>
  <c r="P1" i="15"/>
  <c r="P16" i="15" s="1"/>
  <c r="T1" i="15"/>
  <c r="T13" i="15" s="1"/>
  <c r="X1" i="15"/>
  <c r="X10" i="15" s="1"/>
  <c r="AF1" i="15"/>
  <c r="AF18" i="15" s="1"/>
  <c r="AJ1" i="15"/>
  <c r="AJ18" i="15" s="1"/>
  <c r="AN1" i="15"/>
  <c r="AN15" i="15" s="1"/>
  <c r="AR1" i="15"/>
  <c r="AR15" i="15" s="1"/>
  <c r="AV1" i="15"/>
  <c r="AV16" i="15" s="1"/>
  <c r="AZ1" i="15"/>
  <c r="AZ16" i="15" s="1"/>
  <c r="BD1" i="15"/>
  <c r="BD18" i="15" s="1"/>
  <c r="BH1" i="15"/>
  <c r="BH14" i="15" s="1"/>
  <c r="BL1" i="15"/>
  <c r="BL18" i="15" s="1"/>
  <c r="L7" i="15"/>
  <c r="P7" i="15"/>
  <c r="AB7" i="15"/>
  <c r="AF7" i="15"/>
  <c r="AJ7" i="15"/>
  <c r="AR7" i="15"/>
  <c r="AV7" i="15"/>
  <c r="AZ7" i="15"/>
  <c r="BL7" i="15"/>
  <c r="L8" i="15"/>
  <c r="P8" i="15"/>
  <c r="AB8" i="15"/>
  <c r="AF8" i="15"/>
  <c r="AJ8" i="15"/>
  <c r="AN8" i="15"/>
  <c r="AR8" i="15"/>
  <c r="AV8" i="15"/>
  <c r="AZ8" i="15"/>
  <c r="BL8" i="15"/>
  <c r="L9" i="15"/>
  <c r="P9" i="15"/>
  <c r="T9" i="15"/>
  <c r="AB9" i="15"/>
  <c r="AF9" i="15"/>
  <c r="AJ9" i="15"/>
  <c r="AR9" i="15"/>
  <c r="AV9" i="15"/>
  <c r="AZ9" i="15"/>
  <c r="BL9" i="15"/>
  <c r="L10" i="15"/>
  <c r="P10" i="15"/>
  <c r="AB10" i="15"/>
  <c r="AF10" i="15"/>
  <c r="AJ10" i="15"/>
  <c r="AN10" i="15"/>
  <c r="AR10" i="15"/>
  <c r="AV10" i="15"/>
  <c r="AZ10" i="15"/>
  <c r="BH10" i="15"/>
  <c r="BL10" i="15"/>
  <c r="L11" i="15"/>
  <c r="P11" i="15"/>
  <c r="AB11" i="15"/>
  <c r="AF11" i="15"/>
  <c r="AJ11" i="15"/>
  <c r="AR11" i="15"/>
  <c r="AV11" i="15"/>
  <c r="AZ11" i="15"/>
  <c r="BL11" i="15"/>
  <c r="L12" i="15"/>
  <c r="P12" i="15"/>
  <c r="AB12" i="15"/>
  <c r="AF12" i="15"/>
  <c r="AJ12" i="15"/>
  <c r="AN12" i="15"/>
  <c r="AR12" i="15"/>
  <c r="AV12" i="15"/>
  <c r="AZ12" i="15"/>
  <c r="BL12" i="15"/>
  <c r="L13" i="15"/>
  <c r="P13" i="15"/>
  <c r="AB13" i="15"/>
  <c r="AF13" i="15"/>
  <c r="AJ13" i="15"/>
  <c r="AR13" i="15"/>
  <c r="AV13" i="15"/>
  <c r="AZ13" i="15"/>
  <c r="BL13" i="15"/>
  <c r="L14" i="15"/>
  <c r="P14" i="15"/>
  <c r="AB14" i="15"/>
  <c r="AF14" i="15"/>
  <c r="AJ14" i="15"/>
  <c r="AN14" i="15"/>
  <c r="AR14" i="15"/>
  <c r="AV14" i="15"/>
  <c r="AZ14" i="15"/>
  <c r="BL14" i="15"/>
  <c r="AS29" i="14"/>
  <c r="AT29" i="14"/>
  <c r="AU29" i="14"/>
  <c r="V30" i="14"/>
  <c r="Z30" i="14"/>
  <c r="AS30" i="14"/>
  <c r="AT30" i="14"/>
  <c r="N30" i="14" s="1"/>
  <c r="AU30" i="14"/>
  <c r="V31" i="14"/>
  <c r="W31" i="14"/>
  <c r="AS31" i="14"/>
  <c r="AT31" i="14"/>
  <c r="N31" i="14" s="1"/>
  <c r="AU31" i="14"/>
  <c r="O31" i="14" s="1"/>
  <c r="N32" i="14"/>
  <c r="V32" i="14"/>
  <c r="W32" i="14"/>
  <c r="AS32" i="14"/>
  <c r="AT32" i="14"/>
  <c r="Z32" i="14" s="1"/>
  <c r="AU32" i="14"/>
  <c r="O32" i="14" s="1"/>
  <c r="N33" i="14"/>
  <c r="O33" i="14"/>
  <c r="Z33" i="14"/>
  <c r="AS33" i="14"/>
  <c r="AT33" i="14"/>
  <c r="R33" i="14" s="1"/>
  <c r="AU33" i="14"/>
  <c r="AA33" i="14" s="1"/>
  <c r="O34" i="14"/>
  <c r="Z34" i="14"/>
  <c r="AA34" i="14"/>
  <c r="AS34" i="14"/>
  <c r="AT34" i="14"/>
  <c r="R34" i="14" s="1"/>
  <c r="AU34" i="14"/>
  <c r="S34" i="14" s="1"/>
  <c r="R35" i="14"/>
  <c r="V35" i="14"/>
  <c r="AA35" i="14"/>
  <c r="AS35" i="14"/>
  <c r="AT35" i="14"/>
  <c r="N35" i="14" s="1"/>
  <c r="AU35" i="14"/>
  <c r="S35" i="14" s="1"/>
  <c r="S36" i="14"/>
  <c r="W36" i="14"/>
  <c r="AS36" i="14"/>
  <c r="AT36" i="14"/>
  <c r="R36" i="14" s="1"/>
  <c r="AU36" i="14"/>
  <c r="O36" i="14" s="1"/>
  <c r="N37" i="14"/>
  <c r="S37" i="14"/>
  <c r="AF37" i="14"/>
  <c r="AS37" i="14"/>
  <c r="AT37" i="14"/>
  <c r="V37" i="14" s="1"/>
  <c r="AU37" i="14"/>
  <c r="W37" i="14" s="1"/>
  <c r="S38" i="14"/>
  <c r="W38" i="14"/>
  <c r="AS38" i="14"/>
  <c r="AT38" i="14"/>
  <c r="R38" i="14" s="1"/>
  <c r="AU38" i="14"/>
  <c r="O38" i="14" s="1"/>
  <c r="S39" i="14"/>
  <c r="AS39" i="14"/>
  <c r="AT39" i="14"/>
  <c r="AU39" i="14"/>
  <c r="V40" i="14"/>
  <c r="Z40" i="14"/>
  <c r="AS40" i="14"/>
  <c r="AT40" i="14"/>
  <c r="N40" i="14" s="1"/>
  <c r="AU40" i="14"/>
  <c r="V41" i="14"/>
  <c r="W41" i="14"/>
  <c r="AS41" i="14"/>
  <c r="AT41" i="14"/>
  <c r="N41" i="14" s="1"/>
  <c r="AU41" i="14"/>
  <c r="O41" i="14" s="1"/>
  <c r="N42" i="14"/>
  <c r="O42" i="14"/>
  <c r="P42" i="14"/>
  <c r="T42" i="14"/>
  <c r="X42" i="14"/>
  <c r="Z42" i="14"/>
  <c r="AS42" i="14"/>
  <c r="AT42" i="14"/>
  <c r="R42" i="14" s="1"/>
  <c r="AU42" i="14"/>
  <c r="AA42" i="14" s="1"/>
  <c r="P43" i="14"/>
  <c r="T43" i="14" s="1"/>
  <c r="X43" i="14" s="1"/>
  <c r="R43" i="14"/>
  <c r="AA43" i="14"/>
  <c r="AS43" i="14"/>
  <c r="AT43" i="14"/>
  <c r="V43" i="14" s="1"/>
  <c r="AU43" i="14"/>
  <c r="S43" i="14" s="1"/>
  <c r="R44" i="14"/>
  <c r="S44" i="14"/>
  <c r="AS44" i="14"/>
  <c r="AT44" i="14"/>
  <c r="AU44" i="14"/>
  <c r="W44" i="14" s="1"/>
  <c r="AS45" i="14"/>
  <c r="AT45" i="14"/>
  <c r="AU45" i="14"/>
  <c r="S45" i="14" s="1"/>
  <c r="V46" i="14"/>
  <c r="AS46" i="14"/>
  <c r="AT46" i="14"/>
  <c r="N46" i="14" s="1"/>
  <c r="AU46" i="14"/>
  <c r="L47" i="14"/>
  <c r="P47" i="14" s="1"/>
  <c r="T47" i="14" s="1"/>
  <c r="X47" i="14" s="1"/>
  <c r="V47" i="14"/>
  <c r="W47" i="14"/>
  <c r="AS47" i="14"/>
  <c r="AT47" i="14"/>
  <c r="N47" i="14" s="1"/>
  <c r="AU47" i="14"/>
  <c r="O47" i="14" s="1"/>
  <c r="N48" i="14"/>
  <c r="AF48" i="14"/>
  <c r="AS48" i="14"/>
  <c r="AT48" i="14"/>
  <c r="Z48" i="14" s="1"/>
  <c r="AU48" i="14"/>
  <c r="V49" i="14"/>
  <c r="AF49" i="14"/>
  <c r="AS49" i="14"/>
  <c r="AT49" i="14"/>
  <c r="AU49" i="14"/>
  <c r="V50" i="14"/>
  <c r="AS50" i="14"/>
  <c r="AT50" i="14"/>
  <c r="N50" i="14" s="1"/>
  <c r="AU50" i="14"/>
  <c r="V51" i="14"/>
  <c r="W51" i="14"/>
  <c r="AS51" i="14"/>
  <c r="AT51" i="14"/>
  <c r="N51" i="14" s="1"/>
  <c r="AU51" i="14"/>
  <c r="O51" i="14" s="1"/>
  <c r="N52" i="14"/>
  <c r="V52" i="14"/>
  <c r="W52" i="14"/>
  <c r="AS52" i="14"/>
  <c r="AT52" i="14"/>
  <c r="Z52" i="14" s="1"/>
  <c r="AU52" i="14"/>
  <c r="O52" i="14" s="1"/>
  <c r="AF53" i="14"/>
  <c r="AS53" i="14"/>
  <c r="AT53" i="14"/>
  <c r="R53" i="14" s="1"/>
  <c r="AU53" i="14"/>
  <c r="W53" i="14" s="1"/>
  <c r="W54" i="14"/>
  <c r="AS54" i="14"/>
  <c r="AT54" i="14"/>
  <c r="V54" i="14" s="1"/>
  <c r="AU54" i="14"/>
  <c r="S54" i="14" s="1"/>
  <c r="L1" i="14"/>
  <c r="L7" i="14" s="1"/>
  <c r="P1" i="14"/>
  <c r="P8" i="14" s="1"/>
  <c r="T1" i="14"/>
  <c r="X1" i="14"/>
  <c r="P7" i="14"/>
  <c r="T7" i="14"/>
  <c r="X7" i="14"/>
  <c r="L8" i="14"/>
  <c r="T8" i="14"/>
  <c r="X8" i="14"/>
  <c r="P9" i="14"/>
  <c r="T9" i="14"/>
  <c r="X9" i="14"/>
  <c r="L10" i="14"/>
  <c r="T10" i="14"/>
  <c r="X10" i="14"/>
  <c r="L11" i="14"/>
  <c r="N11" i="14"/>
  <c r="R11" i="14"/>
  <c r="S11" i="14"/>
  <c r="W11" i="14"/>
  <c r="AG11" i="14"/>
  <c r="AH11" i="14"/>
  <c r="AS11" i="14"/>
  <c r="AT11" i="14"/>
  <c r="V11" i="14" s="1"/>
  <c r="AU11" i="14"/>
  <c r="O11" i="14" s="1"/>
  <c r="N12" i="14"/>
  <c r="P12" i="14"/>
  <c r="R12" i="14"/>
  <c r="V12" i="14"/>
  <c r="Z12" i="14"/>
  <c r="AS12" i="14"/>
  <c r="AT12" i="14"/>
  <c r="AU12" i="14"/>
  <c r="S12" i="14" s="1"/>
  <c r="O13" i="14"/>
  <c r="T13" i="14"/>
  <c r="Z13" i="14"/>
  <c r="AS13" i="14"/>
  <c r="AT13" i="14"/>
  <c r="N13" i="14" s="1"/>
  <c r="AU13" i="14"/>
  <c r="AA13" i="14" s="1"/>
  <c r="N14" i="14"/>
  <c r="V14" i="14"/>
  <c r="X14" i="14"/>
  <c r="Z14" i="14"/>
  <c r="AS14" i="14"/>
  <c r="AT14" i="14"/>
  <c r="R14" i="14" s="1"/>
  <c r="AU14" i="14"/>
  <c r="W14" i="14" s="1"/>
  <c r="L15" i="14"/>
  <c r="L36" i="14" s="1"/>
  <c r="N15" i="14"/>
  <c r="P15" i="14"/>
  <c r="T15" i="14" s="1"/>
  <c r="X15" i="14" s="1"/>
  <c r="R15" i="14"/>
  <c r="V15" i="14"/>
  <c r="Z15" i="14"/>
  <c r="AC15" i="14"/>
  <c r="AG15" i="14"/>
  <c r="AH15" i="14"/>
  <c r="AS15" i="14"/>
  <c r="AT15" i="14"/>
  <c r="AU15" i="14"/>
  <c r="W15" i="14" s="1"/>
  <c r="L16" i="14"/>
  <c r="P16" i="14" s="1"/>
  <c r="T16" i="14" s="1"/>
  <c r="X16" i="14" s="1"/>
  <c r="S16" i="14"/>
  <c r="AG16" i="14"/>
  <c r="AH16" i="14"/>
  <c r="AS16" i="14"/>
  <c r="AT16" i="14"/>
  <c r="V16" i="14" s="1"/>
  <c r="AU16" i="14"/>
  <c r="W16" i="14" s="1"/>
  <c r="O17" i="14"/>
  <c r="P17" i="14"/>
  <c r="T17" i="14" s="1"/>
  <c r="X17" i="14" s="1"/>
  <c r="S17" i="14"/>
  <c r="W17" i="14"/>
  <c r="AA17" i="14"/>
  <c r="AS17" i="14"/>
  <c r="AT17" i="14"/>
  <c r="V17" i="14" s="1"/>
  <c r="AU17" i="14"/>
  <c r="N18" i="14"/>
  <c r="O18" i="14"/>
  <c r="P18" i="14"/>
  <c r="T18" i="14" s="1"/>
  <c r="X18" i="14" s="1"/>
  <c r="R18" i="14"/>
  <c r="S18" i="14"/>
  <c r="V18" i="14"/>
  <c r="W18" i="14"/>
  <c r="Z18" i="14"/>
  <c r="AA18" i="14"/>
  <c r="AS18" i="14"/>
  <c r="AT18" i="14"/>
  <c r="AU18" i="14"/>
  <c r="N19" i="14"/>
  <c r="P19" i="14"/>
  <c r="T19" i="14" s="1"/>
  <c r="X19" i="14" s="1"/>
  <c r="R19" i="14"/>
  <c r="V19" i="14"/>
  <c r="AA19" i="14"/>
  <c r="AS19" i="14"/>
  <c r="AT19" i="14"/>
  <c r="Z19" i="14" s="1"/>
  <c r="AU19" i="14"/>
  <c r="O19" i="14" s="1"/>
  <c r="P20" i="14"/>
  <c r="T20" i="14" s="1"/>
  <c r="X20" i="14" s="1"/>
  <c r="S20" i="14"/>
  <c r="AA20" i="14"/>
  <c r="AS20" i="14"/>
  <c r="AT20" i="14"/>
  <c r="R20" i="14" s="1"/>
  <c r="AU20" i="14"/>
  <c r="W20" i="14" s="1"/>
  <c r="O21" i="14"/>
  <c r="P21" i="14"/>
  <c r="T21" i="14" s="1"/>
  <c r="X21" i="14" s="1"/>
  <c r="S21" i="14"/>
  <c r="W21" i="14"/>
  <c r="AS21" i="14"/>
  <c r="AT21" i="14"/>
  <c r="V21" i="14" s="1"/>
  <c r="AU21" i="14"/>
  <c r="AA21" i="14" s="1"/>
  <c r="N22" i="14"/>
  <c r="O22" i="14"/>
  <c r="P22" i="14"/>
  <c r="T22" i="14" s="1"/>
  <c r="X22" i="14" s="1"/>
  <c r="R22" i="14"/>
  <c r="S22" i="14"/>
  <c r="V22" i="14"/>
  <c r="W22" i="14"/>
  <c r="Z22" i="14"/>
  <c r="AA22" i="14"/>
  <c r="AS22" i="14"/>
  <c r="AT22" i="14"/>
  <c r="AU22" i="14"/>
  <c r="L23" i="14"/>
  <c r="P23" i="14" s="1"/>
  <c r="T23" i="14" s="1"/>
  <c r="X23" i="14" s="1"/>
  <c r="O23" i="14"/>
  <c r="S23" i="14"/>
  <c r="W23" i="14"/>
  <c r="Z23" i="14"/>
  <c r="AA23" i="14"/>
  <c r="AS23" i="14"/>
  <c r="AT23" i="14"/>
  <c r="N23" i="14" s="1"/>
  <c r="AU23" i="14"/>
  <c r="L24" i="14"/>
  <c r="N24" i="14"/>
  <c r="P24" i="14"/>
  <c r="T24" i="14" s="1"/>
  <c r="X24" i="14" s="1"/>
  <c r="R24" i="14"/>
  <c r="V24" i="14"/>
  <c r="AA24" i="14"/>
  <c r="AS24" i="14"/>
  <c r="AT24" i="14"/>
  <c r="Z24" i="14" s="1"/>
  <c r="AU24" i="14"/>
  <c r="O24" i="14" s="1"/>
  <c r="L25" i="14"/>
  <c r="P25" i="14" s="1"/>
  <c r="T25" i="14" s="1"/>
  <c r="X25" i="14" s="1"/>
  <c r="O25" i="14"/>
  <c r="R25" i="14"/>
  <c r="S25" i="14"/>
  <c r="W25" i="14"/>
  <c r="Z25" i="14"/>
  <c r="AS25" i="14"/>
  <c r="AT25" i="14"/>
  <c r="V25" i="14" s="1"/>
  <c r="AU25" i="14"/>
  <c r="AA25" i="14" s="1"/>
  <c r="L26" i="14"/>
  <c r="P26" i="14"/>
  <c r="T26" i="14" s="1"/>
  <c r="X26" i="14" s="1"/>
  <c r="S26" i="14"/>
  <c r="AA26" i="14"/>
  <c r="AS26" i="14"/>
  <c r="AT26" i="14"/>
  <c r="R26" i="14" s="1"/>
  <c r="AU26" i="14"/>
  <c r="W26" i="14" s="1"/>
  <c r="L27" i="14"/>
  <c r="P27" i="14" s="1"/>
  <c r="T27" i="14" s="1"/>
  <c r="X27" i="14" s="1"/>
  <c r="N27" i="14"/>
  <c r="R27" i="14"/>
  <c r="V27" i="14"/>
  <c r="Z27" i="14"/>
  <c r="AS27" i="14"/>
  <c r="AT27" i="14"/>
  <c r="AU27" i="14"/>
  <c r="S27" i="14" s="1"/>
  <c r="O28" i="14"/>
  <c r="S28" i="14"/>
  <c r="W28" i="14"/>
  <c r="AS28" i="14"/>
  <c r="AT28" i="14"/>
  <c r="V28" i="14" s="1"/>
  <c r="AU28" i="14"/>
  <c r="AA28" i="14" s="1"/>
  <c r="B8" i="12"/>
  <c r="Z8" i="12"/>
  <c r="AA8" i="12"/>
  <c r="N8" i="12" s="1"/>
  <c r="AB8" i="12"/>
  <c r="O8" i="12" s="1"/>
  <c r="B9" i="12"/>
  <c r="Z9" i="12"/>
  <c r="AA9" i="12"/>
  <c r="N9" i="12" s="1"/>
  <c r="AB9" i="12"/>
  <c r="O9" i="12" s="1"/>
  <c r="B10" i="12"/>
  <c r="Z10" i="12"/>
  <c r="AA10" i="12"/>
  <c r="N10" i="12" s="1"/>
  <c r="AB10" i="12"/>
  <c r="O10" i="12" s="1"/>
  <c r="B11" i="12"/>
  <c r="Z11" i="12"/>
  <c r="AA11" i="12"/>
  <c r="N11" i="12" s="1"/>
  <c r="AB11" i="12"/>
  <c r="O11" i="12" s="1"/>
  <c r="Z12" i="12"/>
  <c r="AA12" i="12"/>
  <c r="N12" i="12" s="1"/>
  <c r="AB12" i="12"/>
  <c r="O12" i="12" s="1"/>
  <c r="Z13" i="12"/>
  <c r="AA13" i="12"/>
  <c r="N13" i="12" s="1"/>
  <c r="AB13" i="12"/>
  <c r="O13" i="12" s="1"/>
  <c r="Z14" i="12"/>
  <c r="AA14" i="12"/>
  <c r="N14" i="12" s="1"/>
  <c r="AB14" i="12"/>
  <c r="O14" i="12" s="1"/>
  <c r="L15" i="12"/>
  <c r="Z15" i="12"/>
  <c r="AA15" i="12"/>
  <c r="N15" i="12" s="1"/>
  <c r="AB15" i="12"/>
  <c r="O15" i="12" s="1"/>
  <c r="L16" i="12"/>
  <c r="Z16" i="12"/>
  <c r="AA16" i="12"/>
  <c r="N16" i="12" s="1"/>
  <c r="AB16" i="12"/>
  <c r="O16" i="12" s="1"/>
  <c r="Z17" i="12"/>
  <c r="AA17" i="12"/>
  <c r="N17" i="12" s="1"/>
  <c r="AB17" i="12"/>
  <c r="O17" i="12" s="1"/>
  <c r="B18" i="12"/>
  <c r="Z18" i="12"/>
  <c r="AA18" i="12"/>
  <c r="N18" i="12" s="1"/>
  <c r="AB18" i="12"/>
  <c r="O18" i="12" s="1"/>
  <c r="B19" i="12"/>
  <c r="Z19" i="12"/>
  <c r="AA19" i="12"/>
  <c r="N19" i="12" s="1"/>
  <c r="AB19" i="12"/>
  <c r="O19" i="12" s="1"/>
  <c r="Z20" i="12"/>
  <c r="AA20" i="12"/>
  <c r="N20" i="12" s="1"/>
  <c r="AB20" i="12"/>
  <c r="O20" i="12" s="1"/>
  <c r="Z21" i="12"/>
  <c r="AA21" i="12"/>
  <c r="N21" i="12" s="1"/>
  <c r="AB21" i="12"/>
  <c r="O21" i="12" s="1"/>
  <c r="Z22" i="12"/>
  <c r="AA22" i="12"/>
  <c r="N22" i="12" s="1"/>
  <c r="AB22" i="12"/>
  <c r="O22" i="12" s="1"/>
  <c r="Z23" i="12"/>
  <c r="AA23" i="12"/>
  <c r="N23" i="12" s="1"/>
  <c r="AB23" i="12"/>
  <c r="O23" i="12" s="1"/>
  <c r="Z24" i="12"/>
  <c r="AA24" i="12"/>
  <c r="N24" i="12" s="1"/>
  <c r="AB24" i="12"/>
  <c r="O24" i="12" s="1"/>
  <c r="Z25" i="12"/>
  <c r="AA25" i="12"/>
  <c r="N25" i="12" s="1"/>
  <c r="AB25" i="12"/>
  <c r="O25" i="12" s="1"/>
  <c r="Z26" i="12"/>
  <c r="AA26" i="12"/>
  <c r="N26" i="12" s="1"/>
  <c r="AB26" i="12"/>
  <c r="O26" i="12" s="1"/>
  <c r="Z27" i="12"/>
  <c r="AA27" i="12"/>
  <c r="N27" i="12" s="1"/>
  <c r="AB27" i="12"/>
  <c r="O27" i="12" s="1"/>
  <c r="Z28" i="12"/>
  <c r="AA28" i="12"/>
  <c r="N28" i="12" s="1"/>
  <c r="AB28" i="12"/>
  <c r="O28" i="12" s="1"/>
  <c r="Z29" i="12"/>
  <c r="AA29" i="12"/>
  <c r="N29" i="12" s="1"/>
  <c r="AB29" i="12"/>
  <c r="O29" i="12" s="1"/>
  <c r="Z30" i="12"/>
  <c r="AA30" i="12"/>
  <c r="N30" i="12" s="1"/>
  <c r="AB30" i="12"/>
  <c r="O30" i="12" s="1"/>
  <c r="Z31" i="12"/>
  <c r="AA31" i="12"/>
  <c r="N31" i="12" s="1"/>
  <c r="AB31" i="12"/>
  <c r="O31" i="12" s="1"/>
  <c r="Z32" i="12"/>
  <c r="AA32" i="12"/>
  <c r="N32" i="12" s="1"/>
  <c r="AB32" i="12"/>
  <c r="O32" i="12" s="1"/>
  <c r="Z33" i="12"/>
  <c r="AA33" i="12"/>
  <c r="N33" i="12" s="1"/>
  <c r="AB33" i="12"/>
  <c r="O33" i="12" s="1"/>
  <c r="Z34" i="12"/>
  <c r="AA34" i="12"/>
  <c r="N34" i="12" s="1"/>
  <c r="AB34" i="12"/>
  <c r="O34" i="12" s="1"/>
  <c r="Z35" i="12"/>
  <c r="AA35" i="12"/>
  <c r="N35" i="12" s="1"/>
  <c r="AB35" i="12"/>
  <c r="O35" i="12" s="1"/>
  <c r="Z36" i="12"/>
  <c r="AA36" i="12"/>
  <c r="N36" i="12" s="1"/>
  <c r="AB36" i="12"/>
  <c r="O36" i="12" s="1"/>
  <c r="Z37" i="12"/>
  <c r="AA37" i="12"/>
  <c r="N37" i="12" s="1"/>
  <c r="AB37" i="12"/>
  <c r="O37" i="12" s="1"/>
  <c r="B38" i="12"/>
  <c r="L38" i="12"/>
  <c r="O38" i="12"/>
  <c r="Z38" i="12"/>
  <c r="AA38" i="12"/>
  <c r="N38" i="12" s="1"/>
  <c r="AB38" i="12"/>
  <c r="L1" i="11"/>
  <c r="N8" i="11"/>
  <c r="Z8" i="11"/>
  <c r="AA8" i="11"/>
  <c r="AB8" i="11"/>
  <c r="O8" i="11" s="1"/>
  <c r="N9" i="11"/>
  <c r="O9" i="11"/>
  <c r="Z9" i="11"/>
  <c r="AA9" i="11"/>
  <c r="AB9" i="11"/>
  <c r="Z10" i="11"/>
  <c r="AA10" i="11"/>
  <c r="N10" i="11" s="1"/>
  <c r="AB10" i="11"/>
  <c r="O10" i="11" s="1"/>
  <c r="N11" i="11"/>
  <c r="O11" i="11"/>
  <c r="Z11" i="11"/>
  <c r="AA11" i="11"/>
  <c r="AB11" i="11"/>
  <c r="O12" i="11"/>
  <c r="Z12" i="11"/>
  <c r="AA12" i="11"/>
  <c r="N12" i="11" s="1"/>
  <c r="AB12" i="11"/>
  <c r="Z13" i="11"/>
  <c r="AA13" i="11"/>
  <c r="N13" i="11" s="1"/>
  <c r="AB13" i="11"/>
  <c r="O13" i="11" s="1"/>
  <c r="N14" i="11"/>
  <c r="O14" i="11"/>
  <c r="Z14" i="11"/>
  <c r="AA14" i="11"/>
  <c r="AB14" i="11"/>
  <c r="Z15" i="11"/>
  <c r="AA15" i="11"/>
  <c r="N15" i="11" s="1"/>
  <c r="AB15" i="11"/>
  <c r="O15" i="11" s="1"/>
  <c r="N16" i="11"/>
  <c r="Z16" i="11"/>
  <c r="AA16" i="11"/>
  <c r="AB16" i="11"/>
  <c r="O16" i="11" s="1"/>
  <c r="N17" i="11"/>
  <c r="O17" i="11"/>
  <c r="Z17" i="11"/>
  <c r="AA17" i="11"/>
  <c r="AB17" i="11"/>
  <c r="G23" i="11"/>
  <c r="G24" i="11" s="1"/>
  <c r="A24" i="7"/>
  <c r="M24" i="7"/>
  <c r="U24" i="7"/>
  <c r="Y24" i="7"/>
  <c r="AC24" i="7"/>
  <c r="AG24" i="7"/>
  <c r="AK24" i="7"/>
  <c r="AS24" i="7"/>
  <c r="AT24" i="7"/>
  <c r="AL24" i="7" s="1"/>
  <c r="BD24" i="7"/>
  <c r="BE24" i="7"/>
  <c r="AO24" i="7" s="1"/>
  <c r="N24" i="7" s="1"/>
  <c r="BF24" i="7"/>
  <c r="AP24" i="7" s="1"/>
  <c r="O24" i="7" s="1"/>
  <c r="A25" i="7"/>
  <c r="M25" i="7"/>
  <c r="U25" i="7"/>
  <c r="Y25" i="7"/>
  <c r="AC25" i="7"/>
  <c r="AG25" i="7"/>
  <c r="AK25" i="7"/>
  <c r="AP25" i="7"/>
  <c r="O25" i="7" s="1"/>
  <c r="AS25" i="7"/>
  <c r="AT25" i="7"/>
  <c r="AL25" i="7" s="1"/>
  <c r="BD25" i="7"/>
  <c r="BE25" i="7"/>
  <c r="AO25" i="7" s="1"/>
  <c r="N25" i="7" s="1"/>
  <c r="BF25" i="7"/>
  <c r="M26" i="7"/>
  <c r="T26" i="7"/>
  <c r="U26" i="7"/>
  <c r="Y26" i="7"/>
  <c r="AC26" i="7"/>
  <c r="AG26" i="7"/>
  <c r="AK26" i="7"/>
  <c r="AL26" i="7"/>
  <c r="AT26" i="7"/>
  <c r="BD26" i="7"/>
  <c r="BE26" i="7"/>
  <c r="AO26" i="7" s="1"/>
  <c r="N26" i="7" s="1"/>
  <c r="BF26" i="7"/>
  <c r="AP26" i="7" s="1"/>
  <c r="O26" i="7" s="1"/>
  <c r="M27" i="7"/>
  <c r="U27" i="7"/>
  <c r="Y27" i="7"/>
  <c r="AC27" i="7"/>
  <c r="AG27" i="7"/>
  <c r="AK27" i="7"/>
  <c r="AL27" i="7"/>
  <c r="AS27" i="7"/>
  <c r="AT27" i="7"/>
  <c r="BD27" i="7"/>
  <c r="BE27" i="7"/>
  <c r="AO27" i="7" s="1"/>
  <c r="N27" i="7" s="1"/>
  <c r="BF27" i="7"/>
  <c r="AP27" i="7" s="1"/>
  <c r="O27" i="7" s="1"/>
  <c r="M28" i="7"/>
  <c r="U28" i="7"/>
  <c r="Y28" i="7"/>
  <c r="Z28" i="7"/>
  <c r="AC28" i="7"/>
  <c r="AG28" i="7"/>
  <c r="AK28" i="7"/>
  <c r="AL28" i="7"/>
  <c r="AD28" i="7" s="1"/>
  <c r="AT28" i="7"/>
  <c r="BD28" i="7"/>
  <c r="BE28" i="7"/>
  <c r="AO28" i="7" s="1"/>
  <c r="N28" i="7" s="1"/>
  <c r="BF28" i="7"/>
  <c r="AP28" i="7" s="1"/>
  <c r="O28" i="7" s="1"/>
  <c r="M29" i="7"/>
  <c r="U29" i="7"/>
  <c r="Y29" i="7"/>
  <c r="AC29" i="7"/>
  <c r="AG29" i="7"/>
  <c r="AK29" i="7"/>
  <c r="AS29" i="7"/>
  <c r="AT29" i="7"/>
  <c r="AL29" i="7" s="1"/>
  <c r="BD29" i="7"/>
  <c r="BE29" i="7"/>
  <c r="AO29" i="7" s="1"/>
  <c r="N29" i="7" s="1"/>
  <c r="BF29" i="7"/>
  <c r="AP29" i="7" s="1"/>
  <c r="O29" i="7" s="1"/>
  <c r="M30" i="7"/>
  <c r="U30" i="7"/>
  <c r="Y30" i="7"/>
  <c r="AC30" i="7"/>
  <c r="AG30" i="7"/>
  <c r="AK30" i="7"/>
  <c r="AP30" i="7"/>
  <c r="O30" i="7" s="1"/>
  <c r="AS30" i="7"/>
  <c r="AT30" i="7"/>
  <c r="AL30" i="7" s="1"/>
  <c r="BD30" i="7"/>
  <c r="BE30" i="7"/>
  <c r="AO30" i="7" s="1"/>
  <c r="N30" i="7" s="1"/>
  <c r="BF30" i="7"/>
  <c r="M31" i="7"/>
  <c r="T34" i="7"/>
  <c r="U31" i="7"/>
  <c r="Y31" i="7"/>
  <c r="AC31" i="7"/>
  <c r="AG31" i="7"/>
  <c r="AK31" i="7"/>
  <c r="AS31" i="7"/>
  <c r="AT31" i="7"/>
  <c r="AL31" i="7" s="1"/>
  <c r="AD31" i="7" s="1"/>
  <c r="BD31" i="7"/>
  <c r="BE31" i="7"/>
  <c r="AO31" i="7" s="1"/>
  <c r="N31" i="7" s="1"/>
  <c r="BF31" i="7"/>
  <c r="AP31" i="7" s="1"/>
  <c r="O31" i="7" s="1"/>
  <c r="M32" i="7"/>
  <c r="P32" i="7"/>
  <c r="Q32" i="7"/>
  <c r="U32" i="7"/>
  <c r="Y32" i="7"/>
  <c r="AC32" i="7"/>
  <c r="AG32" i="7"/>
  <c r="AH32" i="7"/>
  <c r="AK32" i="7"/>
  <c r="AT32" i="7"/>
  <c r="AL32" i="7" s="1"/>
  <c r="V32" i="7" s="1"/>
  <c r="BD32" i="7"/>
  <c r="BE32" i="7"/>
  <c r="AO32" i="7" s="1"/>
  <c r="R32" i="7" s="1"/>
  <c r="BF32" i="7"/>
  <c r="AP32" i="7" s="1"/>
  <c r="L33" i="7"/>
  <c r="M33" i="7"/>
  <c r="Q33" i="7"/>
  <c r="U33" i="7"/>
  <c r="X33" i="7"/>
  <c r="Y33" i="7"/>
  <c r="AC33" i="7"/>
  <c r="AG33" i="7"/>
  <c r="AK33" i="7"/>
  <c r="AO33" i="7"/>
  <c r="AP33" i="7"/>
  <c r="AS33" i="7"/>
  <c r="AT33" i="7"/>
  <c r="AL33" i="7" s="1"/>
  <c r="BD33" i="7"/>
  <c r="BE33" i="7"/>
  <c r="BF33" i="7"/>
  <c r="L34" i="7"/>
  <c r="M34" i="7"/>
  <c r="P34" i="7"/>
  <c r="Q34" i="7"/>
  <c r="U34" i="7"/>
  <c r="Y34" i="7"/>
  <c r="AB34" i="7"/>
  <c r="AC34" i="7"/>
  <c r="AG34" i="7"/>
  <c r="AK34" i="7"/>
  <c r="AS34" i="7"/>
  <c r="AT34" i="7"/>
  <c r="AL34" i="7" s="1"/>
  <c r="BD34" i="7"/>
  <c r="BE34" i="7"/>
  <c r="AO34" i="7" s="1"/>
  <c r="BF34" i="7"/>
  <c r="AP34" i="7" s="1"/>
  <c r="M35" i="7"/>
  <c r="U35" i="7"/>
  <c r="Y35" i="7"/>
  <c r="AC35" i="7"/>
  <c r="AG35" i="7"/>
  <c r="AK35" i="7"/>
  <c r="AS35" i="7"/>
  <c r="AT35" i="7"/>
  <c r="AL35" i="7" s="1"/>
  <c r="AH35" i="7" s="1"/>
  <c r="BD35" i="7"/>
  <c r="BE35" i="7"/>
  <c r="AO35" i="7" s="1"/>
  <c r="N35" i="7" s="1"/>
  <c r="BF35" i="7"/>
  <c r="AP35" i="7" s="1"/>
  <c r="O35" i="7" s="1"/>
  <c r="M36" i="7"/>
  <c r="Q36" i="7"/>
  <c r="U36" i="7"/>
  <c r="X36" i="7"/>
  <c r="Y36" i="7"/>
  <c r="AC36" i="7"/>
  <c r="AG36" i="7"/>
  <c r="AK36" i="7"/>
  <c r="AO36" i="7"/>
  <c r="AS36" i="7"/>
  <c r="AT36" i="7"/>
  <c r="AL36" i="7" s="1"/>
  <c r="BD36" i="7"/>
  <c r="BE36" i="7"/>
  <c r="BF36" i="7"/>
  <c r="AP36" i="7" s="1"/>
  <c r="L37" i="7"/>
  <c r="M37" i="7"/>
  <c r="Q37" i="7"/>
  <c r="U37" i="7"/>
  <c r="V37" i="7"/>
  <c r="W37" i="7"/>
  <c r="Y37" i="7"/>
  <c r="Z37" i="7"/>
  <c r="AA37" i="7"/>
  <c r="AC37" i="7"/>
  <c r="AD37" i="7"/>
  <c r="AE37" i="7"/>
  <c r="AG37" i="7"/>
  <c r="AH37" i="7"/>
  <c r="AI37" i="7"/>
  <c r="AR37" i="7"/>
  <c r="AT37" i="7"/>
  <c r="BD37" i="7"/>
  <c r="BE37" i="7"/>
  <c r="AO37" i="7" s="1"/>
  <c r="BF37" i="7"/>
  <c r="AP37" i="7" s="1"/>
  <c r="L38" i="7"/>
  <c r="M38" i="7"/>
  <c r="Q38" i="7"/>
  <c r="U38" i="7"/>
  <c r="V38" i="7"/>
  <c r="W38" i="7"/>
  <c r="Y38" i="7"/>
  <c r="Z38" i="7"/>
  <c r="AA38" i="7"/>
  <c r="AC38" i="7"/>
  <c r="AD38" i="7"/>
  <c r="AE38" i="7"/>
  <c r="AG38" i="7"/>
  <c r="AH38" i="7"/>
  <c r="AI38" i="7"/>
  <c r="AT38" i="7"/>
  <c r="BD38" i="7"/>
  <c r="BE38" i="7"/>
  <c r="AO38" i="7" s="1"/>
  <c r="BF38" i="7"/>
  <c r="AP38" i="7" s="1"/>
  <c r="L39" i="7"/>
  <c r="M39" i="7"/>
  <c r="Q39" i="7"/>
  <c r="U39" i="7"/>
  <c r="V39" i="7"/>
  <c r="W39" i="7"/>
  <c r="Y39" i="7"/>
  <c r="Z39" i="7"/>
  <c r="AA39" i="7"/>
  <c r="AC39" i="7"/>
  <c r="AD39" i="7"/>
  <c r="AE39" i="7"/>
  <c r="AG39" i="7"/>
  <c r="AH39" i="7"/>
  <c r="AI39" i="7"/>
  <c r="AT39" i="7"/>
  <c r="BD39" i="7"/>
  <c r="BE39" i="7"/>
  <c r="AO39" i="7" s="1"/>
  <c r="BF39" i="7"/>
  <c r="AP39" i="7" s="1"/>
  <c r="O39" i="7" s="1"/>
  <c r="L40" i="7"/>
  <c r="M40" i="7"/>
  <c r="Q40" i="7"/>
  <c r="U40" i="7"/>
  <c r="V40" i="7"/>
  <c r="W40" i="7"/>
  <c r="Y40" i="7"/>
  <c r="Z40" i="7"/>
  <c r="AA40" i="7"/>
  <c r="AC40" i="7"/>
  <c r="AD40" i="7"/>
  <c r="AE40" i="7"/>
  <c r="AG40" i="7"/>
  <c r="AH40" i="7"/>
  <c r="AI40" i="7"/>
  <c r="AT40" i="7"/>
  <c r="BD40" i="7"/>
  <c r="BE40" i="7"/>
  <c r="AO40" i="7" s="1"/>
  <c r="N40" i="7" s="1"/>
  <c r="BF40" i="7"/>
  <c r="AP40" i="7" s="1"/>
  <c r="O40" i="7" s="1"/>
  <c r="M41" i="7"/>
  <c r="Q41" i="7"/>
  <c r="U41" i="7"/>
  <c r="V41" i="7"/>
  <c r="W41" i="7"/>
  <c r="Y41" i="7"/>
  <c r="Z41" i="7"/>
  <c r="AA41" i="7"/>
  <c r="AC41" i="7"/>
  <c r="AD41" i="7"/>
  <c r="AE41" i="7"/>
  <c r="AG41" i="7"/>
  <c r="AH41" i="7"/>
  <c r="AI41" i="7"/>
  <c r="AT41" i="7"/>
  <c r="BD41" i="7"/>
  <c r="BE41" i="7"/>
  <c r="AO41" i="7" s="1"/>
  <c r="N41" i="7" s="1"/>
  <c r="BF41" i="7"/>
  <c r="AP41" i="7" s="1"/>
  <c r="O41" i="7" s="1"/>
  <c r="M42" i="7"/>
  <c r="Q42" i="7"/>
  <c r="R42" i="7"/>
  <c r="U42" i="7"/>
  <c r="Y42" i="7"/>
  <c r="AC42" i="7"/>
  <c r="AG42" i="7"/>
  <c r="AJ42" i="7"/>
  <c r="AK42" i="7"/>
  <c r="AL42" i="7"/>
  <c r="AD42" i="7" s="1"/>
  <c r="AS42" i="7"/>
  <c r="AT42" i="7"/>
  <c r="BD42" i="7"/>
  <c r="BE42" i="7"/>
  <c r="AO42" i="7" s="1"/>
  <c r="N42" i="7" s="1"/>
  <c r="BF42" i="7"/>
  <c r="AP42" i="7" s="1"/>
  <c r="O42" i="7" s="1"/>
  <c r="M43" i="7"/>
  <c r="Q43" i="7"/>
  <c r="U43" i="7"/>
  <c r="V43" i="7"/>
  <c r="Y43" i="7"/>
  <c r="AC43" i="7"/>
  <c r="AG43" i="7"/>
  <c r="AH43" i="7"/>
  <c r="AJ43" i="7"/>
  <c r="AK43" i="7"/>
  <c r="AL43" i="7"/>
  <c r="Z43" i="7" s="1"/>
  <c r="AO43" i="7"/>
  <c r="AP43" i="7"/>
  <c r="O43" i="7" s="1"/>
  <c r="AS43" i="7"/>
  <c r="AT43" i="7"/>
  <c r="BD43" i="7"/>
  <c r="BE43" i="7"/>
  <c r="BF43" i="7"/>
  <c r="M44" i="7"/>
  <c r="Q44" i="7"/>
  <c r="U44" i="7"/>
  <c r="Y44" i="7"/>
  <c r="AC44" i="7"/>
  <c r="AG44" i="7"/>
  <c r="AK44" i="7"/>
  <c r="AO44" i="7"/>
  <c r="R44" i="7" s="1"/>
  <c r="AR44" i="7"/>
  <c r="AS44" i="7"/>
  <c r="AT44" i="7"/>
  <c r="AL44" i="7" s="1"/>
  <c r="V44" i="7" s="1"/>
  <c r="BD44" i="7"/>
  <c r="BE44" i="7"/>
  <c r="BF44" i="7"/>
  <c r="AP44" i="7" s="1"/>
  <c r="BD45" i="7"/>
  <c r="BF45" i="7"/>
  <c r="AM26" i="7" s="1"/>
  <c r="T1" i="7"/>
  <c r="X1" i="7"/>
  <c r="AB1" i="7"/>
  <c r="A8" i="7" s="1"/>
  <c r="A21" i="7" s="1"/>
  <c r="AF1" i="7"/>
  <c r="AJ1" i="7"/>
  <c r="Q2" i="7"/>
  <c r="U2" i="7" s="1"/>
  <c r="Y2" i="7" s="1"/>
  <c r="AC2" i="7" s="1"/>
  <c r="AG2" i="7" s="1"/>
  <c r="AK2" i="7" s="1"/>
  <c r="R2" i="7"/>
  <c r="V2" i="7" s="1"/>
  <c r="Z2" i="7" s="1"/>
  <c r="AD2" i="7" s="1"/>
  <c r="AH2" i="7" s="1"/>
  <c r="AL2" i="7" s="1"/>
  <c r="S2" i="7"/>
  <c r="W2" i="7" s="1"/>
  <c r="AA2" i="7" s="1"/>
  <c r="AE2" i="7" s="1"/>
  <c r="AI2" i="7" s="1"/>
  <c r="AM2" i="7" s="1"/>
  <c r="AG3" i="7"/>
  <c r="AK3" i="7" s="1"/>
  <c r="AH3" i="7"/>
  <c r="AL3" i="7" s="1"/>
  <c r="AI3" i="7"/>
  <c r="AM3" i="7" s="1"/>
  <c r="M4" i="7"/>
  <c r="N4" i="7"/>
  <c r="O4" i="7"/>
  <c r="Q4" i="7"/>
  <c r="R4" i="7"/>
  <c r="S4" i="7"/>
  <c r="U4" i="7"/>
  <c r="V4" i="7"/>
  <c r="W4" i="7"/>
  <c r="Y4" i="7"/>
  <c r="Z4" i="7"/>
  <c r="AA4" i="7"/>
  <c r="AC4" i="7"/>
  <c r="AG4" i="7" s="1"/>
  <c r="AK4" i="7" s="1"/>
  <c r="AD4" i="7"/>
  <c r="AH4" i="7" s="1"/>
  <c r="AL4" i="7" s="1"/>
  <c r="AE4" i="7"/>
  <c r="AI4" i="7"/>
  <c r="AM4" i="7" s="1"/>
  <c r="M5" i="7"/>
  <c r="N5" i="7"/>
  <c r="O5" i="7"/>
  <c r="Q5" i="7"/>
  <c r="R5" i="7"/>
  <c r="S5" i="7"/>
  <c r="U5" i="7"/>
  <c r="V5" i="7"/>
  <c r="W5" i="7"/>
  <c r="Y5" i="7"/>
  <c r="Z5" i="7"/>
  <c r="AA5" i="7"/>
  <c r="AC5" i="7"/>
  <c r="AG5" i="7" s="1"/>
  <c r="AK5" i="7" s="1"/>
  <c r="AD5" i="7"/>
  <c r="AH5" i="7" s="1"/>
  <c r="AL5" i="7" s="1"/>
  <c r="AE5" i="7"/>
  <c r="AI5" i="7" s="1"/>
  <c r="AM5" i="7"/>
  <c r="M6" i="7"/>
  <c r="N6" i="7"/>
  <c r="O6" i="7"/>
  <c r="Q6" i="7"/>
  <c r="R6" i="7"/>
  <c r="S6" i="7"/>
  <c r="U6" i="7"/>
  <c r="V6" i="7"/>
  <c r="W6" i="7"/>
  <c r="Y6" i="7"/>
  <c r="Z6" i="7"/>
  <c r="AA6" i="7"/>
  <c r="AC6" i="7"/>
  <c r="AD6" i="7"/>
  <c r="AE6" i="7"/>
  <c r="AI6" i="7" s="1"/>
  <c r="AM6" i="7" s="1"/>
  <c r="AG6" i="7"/>
  <c r="AK6" i="7" s="1"/>
  <c r="AH6" i="7"/>
  <c r="AL6" i="7" s="1"/>
  <c r="AT7" i="7"/>
  <c r="BD7" i="7"/>
  <c r="BE7" i="7"/>
  <c r="BF7" i="7"/>
  <c r="AT8" i="7"/>
  <c r="BD8" i="7"/>
  <c r="BE8" i="7"/>
  <c r="BF8" i="7"/>
  <c r="AT9" i="7"/>
  <c r="BD9" i="7"/>
  <c r="BE9" i="7"/>
  <c r="BF9" i="7"/>
  <c r="AT10" i="7"/>
  <c r="BD10" i="7"/>
  <c r="BE10" i="7"/>
  <c r="BF10" i="7"/>
  <c r="AT11" i="7"/>
  <c r="BD11" i="7"/>
  <c r="BE11" i="7"/>
  <c r="BF11" i="7"/>
  <c r="AT12" i="7"/>
  <c r="BD12" i="7"/>
  <c r="BE12" i="7"/>
  <c r="BF12" i="7"/>
  <c r="AT13" i="7"/>
  <c r="BD13" i="7"/>
  <c r="BE13" i="7"/>
  <c r="BF13" i="7"/>
  <c r="M14" i="7"/>
  <c r="Q14" i="7"/>
  <c r="U14" i="7"/>
  <c r="V14" i="7"/>
  <c r="W14" i="7"/>
  <c r="Y14" i="7"/>
  <c r="Z14" i="7"/>
  <c r="AA14" i="7"/>
  <c r="AC14" i="7"/>
  <c r="AD14" i="7"/>
  <c r="AE14" i="7"/>
  <c r="AG14" i="7"/>
  <c r="AH14" i="7"/>
  <c r="AI14" i="7"/>
  <c r="AT14" i="7"/>
  <c r="BD14" i="7"/>
  <c r="BE14" i="7"/>
  <c r="AO14" i="7" s="1"/>
  <c r="N14" i="7" s="1"/>
  <c r="BF14" i="7"/>
  <c r="AP14" i="7" s="1"/>
  <c r="O14" i="7" s="1"/>
  <c r="L15" i="7"/>
  <c r="L36" i="7" s="1"/>
  <c r="M15" i="7"/>
  <c r="Q15" i="7"/>
  <c r="U15" i="7"/>
  <c r="V15" i="7"/>
  <c r="W15" i="7"/>
  <c r="Y15" i="7"/>
  <c r="Z15" i="7"/>
  <c r="AA15" i="7"/>
  <c r="AC15" i="7"/>
  <c r="AD15" i="7"/>
  <c r="AE15" i="7"/>
  <c r="AG15" i="7"/>
  <c r="AH15" i="7"/>
  <c r="AI15" i="7"/>
  <c r="AO15" i="7"/>
  <c r="AT15" i="7"/>
  <c r="BD15" i="7"/>
  <c r="BE15" i="7"/>
  <c r="BF15" i="7"/>
  <c r="AP15" i="7" s="1"/>
  <c r="M16" i="7"/>
  <c r="T16" i="7"/>
  <c r="T36" i="7" s="1"/>
  <c r="U16" i="7"/>
  <c r="X16" i="7"/>
  <c r="Y16" i="7"/>
  <c r="AC16" i="7"/>
  <c r="AG16" i="7"/>
  <c r="AK16" i="7"/>
  <c r="AT16" i="7"/>
  <c r="AL16" i="7" s="1"/>
  <c r="V16" i="7" s="1"/>
  <c r="BD16" i="7"/>
  <c r="BE16" i="7"/>
  <c r="AO16" i="7" s="1"/>
  <c r="N16" i="7" s="1"/>
  <c r="BF16" i="7"/>
  <c r="AP16" i="7" s="1"/>
  <c r="O16" i="7" s="1"/>
  <c r="L17" i="7"/>
  <c r="M17" i="7"/>
  <c r="Q17" i="7"/>
  <c r="U17" i="7"/>
  <c r="V17" i="7"/>
  <c r="W17" i="7"/>
  <c r="Y17" i="7"/>
  <c r="Z17" i="7"/>
  <c r="AA17" i="7"/>
  <c r="AC17" i="7"/>
  <c r="AD17" i="7"/>
  <c r="AE17" i="7"/>
  <c r="AG17" i="7"/>
  <c r="AH17" i="7"/>
  <c r="AI17" i="7"/>
  <c r="AT17" i="7"/>
  <c r="BD17" i="7"/>
  <c r="BE17" i="7"/>
  <c r="AO17" i="7" s="1"/>
  <c r="N17" i="7" s="1"/>
  <c r="BF17" i="7"/>
  <c r="AP17" i="7" s="1"/>
  <c r="O17" i="7" s="1"/>
  <c r="L18" i="7"/>
  <c r="M18" i="7"/>
  <c r="Q18" i="7"/>
  <c r="T18" i="7"/>
  <c r="U18" i="7"/>
  <c r="X18" i="7"/>
  <c r="Y18" i="7"/>
  <c r="AC18" i="7"/>
  <c r="AG18" i="7"/>
  <c r="AK18" i="7"/>
  <c r="AS18" i="7"/>
  <c r="AT18" i="7"/>
  <c r="AL18" i="7" s="1"/>
  <c r="BD18" i="7"/>
  <c r="BE18" i="7"/>
  <c r="AO18" i="7" s="1"/>
  <c r="BF18" i="7"/>
  <c r="AP18" i="7" s="1"/>
  <c r="M19" i="7"/>
  <c r="N19" i="7"/>
  <c r="Q19" i="7"/>
  <c r="U19" i="7"/>
  <c r="Y19" i="7"/>
  <c r="AC19" i="7"/>
  <c r="AG19" i="7"/>
  <c r="AK19" i="7"/>
  <c r="AL19" i="7"/>
  <c r="AD19" i="7" s="1"/>
  <c r="AS19" i="7"/>
  <c r="AT19" i="7"/>
  <c r="BD19" i="7"/>
  <c r="BE19" i="7"/>
  <c r="AO19" i="7" s="1"/>
  <c r="R19" i="7" s="1"/>
  <c r="BF19" i="7"/>
  <c r="AP19" i="7" s="1"/>
  <c r="S19" i="7" s="1"/>
  <c r="M20" i="7"/>
  <c r="P20" i="7"/>
  <c r="P33" i="7" s="1"/>
  <c r="Q20" i="7"/>
  <c r="U20" i="7"/>
  <c r="V20" i="7"/>
  <c r="W20" i="7"/>
  <c r="Y20" i="7"/>
  <c r="Z20" i="7"/>
  <c r="AA20" i="7"/>
  <c r="AC20" i="7"/>
  <c r="AD20" i="7"/>
  <c r="AE20" i="7"/>
  <c r="AG20" i="7"/>
  <c r="AH20" i="7"/>
  <c r="AI20" i="7"/>
  <c r="AT20" i="7"/>
  <c r="BD20" i="7"/>
  <c r="BE20" i="7"/>
  <c r="AO20" i="7" s="1"/>
  <c r="N20" i="7" s="1"/>
  <c r="BF20" i="7"/>
  <c r="AP20" i="7" s="1"/>
  <c r="O20" i="7" s="1"/>
  <c r="M21" i="7"/>
  <c r="U21" i="7"/>
  <c r="Y21" i="7"/>
  <c r="AC21" i="7"/>
  <c r="AG21" i="7"/>
  <c r="AK21" i="7"/>
  <c r="AP21" i="7"/>
  <c r="O21" i="7" s="1"/>
  <c r="AS21" i="7"/>
  <c r="AM21" i="7" s="1"/>
  <c r="AT21" i="7"/>
  <c r="AL21" i="7" s="1"/>
  <c r="BD21" i="7"/>
  <c r="BE21" i="7"/>
  <c r="AO21" i="7" s="1"/>
  <c r="N21" i="7" s="1"/>
  <c r="BF21" i="7"/>
  <c r="A22" i="7"/>
  <c r="M22" i="7"/>
  <c r="U22" i="7"/>
  <c r="X34" i="7"/>
  <c r="Y22" i="7"/>
  <c r="AC22" i="7"/>
  <c r="AG22" i="7"/>
  <c r="AK22" i="7"/>
  <c r="AS22" i="7"/>
  <c r="AT22" i="7"/>
  <c r="AL22" i="7" s="1"/>
  <c r="BD22" i="7"/>
  <c r="BE22" i="7"/>
  <c r="AO22" i="7" s="1"/>
  <c r="N22" i="7" s="1"/>
  <c r="BF22" i="7"/>
  <c r="AP22" i="7" s="1"/>
  <c r="O22" i="7" s="1"/>
  <c r="A23" i="7"/>
  <c r="M23" i="7"/>
  <c r="U23" i="7"/>
  <c r="Y23" i="7"/>
  <c r="AC23" i="7"/>
  <c r="AG23" i="7"/>
  <c r="AK23" i="7"/>
  <c r="AS23" i="7"/>
  <c r="AT23" i="7"/>
  <c r="AL23" i="7" s="1"/>
  <c r="BD23" i="7"/>
  <c r="BE23" i="7"/>
  <c r="AO23" i="7" s="1"/>
  <c r="N23" i="7" s="1"/>
  <c r="BF23" i="7"/>
  <c r="AP23" i="7" s="1"/>
  <c r="O23" i="7" s="1"/>
  <c r="B8" i="5"/>
  <c r="Z8" i="5"/>
  <c r="AA8" i="5"/>
  <c r="N8" i="5" s="1"/>
  <c r="AB8" i="5"/>
  <c r="O8" i="5" s="1"/>
  <c r="B9" i="5"/>
  <c r="Z9" i="5"/>
  <c r="AA9" i="5"/>
  <c r="N9" i="5" s="1"/>
  <c r="AB9" i="5"/>
  <c r="O9" i="5" s="1"/>
  <c r="B10" i="5"/>
  <c r="Z10" i="5"/>
  <c r="AA10" i="5"/>
  <c r="N10" i="5" s="1"/>
  <c r="AB10" i="5"/>
  <c r="O10" i="5" s="1"/>
  <c r="B11" i="5"/>
  <c r="O11" i="5"/>
  <c r="Z11" i="5"/>
  <c r="AA11" i="5"/>
  <c r="N11" i="5" s="1"/>
  <c r="AB11" i="5"/>
  <c r="B12" i="5"/>
  <c r="O12" i="5"/>
  <c r="Z12" i="5"/>
  <c r="AA12" i="5"/>
  <c r="N12" i="5" s="1"/>
  <c r="AB12" i="5"/>
  <c r="B13" i="5"/>
  <c r="Z13" i="5"/>
  <c r="AA13" i="5"/>
  <c r="N13" i="5" s="1"/>
  <c r="AB13" i="5"/>
  <c r="O13" i="5" s="1"/>
  <c r="B14" i="5"/>
  <c r="Z14" i="5"/>
  <c r="AA14" i="5"/>
  <c r="N14" i="5" s="1"/>
  <c r="AB14" i="5"/>
  <c r="O14" i="5" s="1"/>
  <c r="B15" i="5"/>
  <c r="Z15" i="5"/>
  <c r="AA15" i="5"/>
  <c r="N15" i="5" s="1"/>
  <c r="AB15" i="5"/>
  <c r="O15" i="5" s="1"/>
  <c r="B16" i="5"/>
  <c r="L16" i="5"/>
  <c r="N16" i="5"/>
  <c r="Z16" i="5"/>
  <c r="AA16" i="5"/>
  <c r="AB16" i="5"/>
  <c r="O16" i="5" s="1"/>
  <c r="B17" i="5"/>
  <c r="O17" i="5"/>
  <c r="Z17" i="5"/>
  <c r="AA17" i="5"/>
  <c r="N17" i="5" s="1"/>
  <c r="AB17" i="5"/>
  <c r="B18" i="5"/>
  <c r="N18" i="5"/>
  <c r="O18" i="5"/>
  <c r="Z18" i="5"/>
  <c r="AA18" i="5"/>
  <c r="AB18" i="5"/>
  <c r="B19" i="5"/>
  <c r="L19" i="5"/>
  <c r="Z19" i="5"/>
  <c r="AA19" i="5"/>
  <c r="N19" i="5" s="1"/>
  <c r="AB19" i="5"/>
  <c r="O19" i="5" s="1"/>
  <c r="B20" i="5"/>
  <c r="Z20" i="5"/>
  <c r="AA20" i="5"/>
  <c r="N20" i="5" s="1"/>
  <c r="AB20" i="5"/>
  <c r="O20" i="5" s="1"/>
  <c r="B21" i="5"/>
  <c r="L21" i="5"/>
  <c r="L15" i="5" s="1"/>
  <c r="Z21" i="5"/>
  <c r="AA21" i="5"/>
  <c r="N21" i="5" s="1"/>
  <c r="AB21" i="5"/>
  <c r="O21" i="5" s="1"/>
  <c r="S13" i="84" l="1"/>
  <c r="AF12" i="84"/>
  <c r="S19" i="84"/>
  <c r="AF10" i="84"/>
  <c r="AF14" i="84"/>
  <c r="AF11" i="84"/>
  <c r="R18" i="84"/>
  <c r="N16" i="106"/>
  <c r="N10" i="106"/>
  <c r="R9" i="106"/>
  <c r="O30" i="44"/>
  <c r="R36" i="44"/>
  <c r="S32" i="44"/>
  <c r="R28" i="44"/>
  <c r="N17" i="44"/>
  <c r="W49" i="44"/>
  <c r="V47" i="44"/>
  <c r="W41" i="44"/>
  <c r="V39" i="44"/>
  <c r="N36" i="44"/>
  <c r="O32" i="44"/>
  <c r="N28" i="44"/>
  <c r="V24" i="44"/>
  <c r="V22" i="44"/>
  <c r="W18" i="44"/>
  <c r="V55" i="44"/>
  <c r="N51" i="44"/>
  <c r="S49" i="44"/>
  <c r="S47" i="44"/>
  <c r="W45" i="44"/>
  <c r="N43" i="44"/>
  <c r="S41" i="44"/>
  <c r="S39" i="44"/>
  <c r="W37" i="44"/>
  <c r="S24" i="44"/>
  <c r="O22" i="44"/>
  <c r="R20" i="44"/>
  <c r="V18" i="44"/>
  <c r="V14" i="44"/>
  <c r="S55" i="44"/>
  <c r="W53" i="44"/>
  <c r="O47" i="44"/>
  <c r="S45" i="44"/>
  <c r="O39" i="44"/>
  <c r="S37" i="44"/>
  <c r="R24" i="44"/>
  <c r="N22" i="44"/>
  <c r="N20" i="44"/>
  <c r="R18" i="44"/>
  <c r="O14" i="44"/>
  <c r="O55" i="44"/>
  <c r="S53" i="44"/>
  <c r="R45" i="44"/>
  <c r="R37" i="44"/>
  <c r="O24" i="44"/>
  <c r="N14" i="44"/>
  <c r="V50" i="44"/>
  <c r="V42" i="44"/>
  <c r="N33" i="44"/>
  <c r="S23" i="44"/>
  <c r="S19" i="44"/>
  <c r="N48" i="44"/>
  <c r="S44" i="44"/>
  <c r="N40" i="44"/>
  <c r="N23" i="44"/>
  <c r="V11" i="44"/>
  <c r="S52" i="44"/>
  <c r="O41" i="46"/>
  <c r="S38" i="46"/>
  <c r="R36" i="46"/>
  <c r="N26" i="46"/>
  <c r="O23" i="46"/>
  <c r="O11" i="46"/>
  <c r="S48" i="46"/>
  <c r="O36" i="46"/>
  <c r="R46" i="46"/>
  <c r="S30" i="46"/>
  <c r="N18" i="46"/>
  <c r="O15" i="46"/>
  <c r="R13" i="46"/>
  <c r="O28" i="46"/>
  <c r="R40" i="46"/>
  <c r="N35" i="46"/>
  <c r="O20" i="46"/>
  <c r="R17" i="46"/>
  <c r="N45" i="46"/>
  <c r="R37" i="46"/>
  <c r="N27" i="46"/>
  <c r="R14" i="46"/>
  <c r="R12" i="46"/>
  <c r="S49" i="46"/>
  <c r="S47" i="46"/>
  <c r="O39" i="46"/>
  <c r="S29" i="46"/>
  <c r="S24" i="46"/>
  <c r="O12" i="46"/>
  <c r="S34" i="46"/>
  <c r="R29" i="46"/>
  <c r="N34" i="46"/>
  <c r="O31" i="46"/>
  <c r="S21" i="46"/>
  <c r="S44" i="46"/>
  <c r="R41" i="46"/>
  <c r="R80" i="31"/>
  <c r="Y123" i="31"/>
  <c r="R63" i="31"/>
  <c r="X123" i="31"/>
  <c r="R83" i="31"/>
  <c r="W123" i="31"/>
  <c r="R81" i="31"/>
  <c r="R46" i="31"/>
  <c r="R15" i="31"/>
  <c r="DL7" i="90"/>
  <c r="DI7" i="90"/>
  <c r="AA30" i="33"/>
  <c r="AI30" i="33"/>
  <c r="O30" i="33"/>
  <c r="V32" i="33"/>
  <c r="R32" i="33"/>
  <c r="AP32" i="33"/>
  <c r="Z31" i="33"/>
  <c r="R31" i="33"/>
  <c r="V31" i="33"/>
  <c r="AH31" i="33"/>
  <c r="AP31" i="33"/>
  <c r="R41" i="33"/>
  <c r="V41" i="33"/>
  <c r="Z41" i="33"/>
  <c r="AL41" i="33"/>
  <c r="AT17" i="33"/>
  <c r="L8" i="33"/>
  <c r="L16" i="33"/>
  <c r="AD32" i="33"/>
  <c r="Z23" i="33"/>
  <c r="AP23" i="33"/>
  <c r="N23" i="33"/>
  <c r="V23" i="33"/>
  <c r="AA56" i="33"/>
  <c r="AQ56" i="33"/>
  <c r="AE56" i="33"/>
  <c r="O78" i="33"/>
  <c r="AM78" i="33"/>
  <c r="AQ78" i="33"/>
  <c r="S78" i="33"/>
  <c r="W78" i="33"/>
  <c r="AA78" i="33"/>
  <c r="W90" i="33"/>
  <c r="S90" i="33"/>
  <c r="AA90" i="33"/>
  <c r="AE90" i="33"/>
  <c r="AM90" i="33"/>
  <c r="R17" i="33"/>
  <c r="V17" i="33"/>
  <c r="AP17" i="33"/>
  <c r="AN9" i="33"/>
  <c r="AN8" i="33"/>
  <c r="AN10" i="33"/>
  <c r="AX34" i="33"/>
  <c r="AT34" i="33"/>
  <c r="X34" i="33"/>
  <c r="T34" i="33"/>
  <c r="AF34" i="33"/>
  <c r="AN34" i="33"/>
  <c r="N32" i="33"/>
  <c r="AY25" i="33"/>
  <c r="AU25" i="33"/>
  <c r="BM36" i="33"/>
  <c r="AA36" i="33" s="1"/>
  <c r="AT85" i="33"/>
  <c r="AX85" i="33"/>
  <c r="AL17" i="33"/>
  <c r="L15" i="33"/>
  <c r="CF33" i="33"/>
  <c r="AD31" i="33"/>
  <c r="AY27" i="33"/>
  <c r="AU27" i="33"/>
  <c r="AB73" i="33"/>
  <c r="L73" i="33"/>
  <c r="P73" i="33"/>
  <c r="X73" i="33"/>
  <c r="AY70" i="33"/>
  <c r="AU70" i="33"/>
  <c r="AF10" i="33"/>
  <c r="AF11" i="33"/>
  <c r="AF13" i="33"/>
  <c r="AX33" i="33"/>
  <c r="N31" i="33"/>
  <c r="L52" i="33"/>
  <c r="AF52" i="33"/>
  <c r="P52" i="33"/>
  <c r="AJ52" i="33"/>
  <c r="T52" i="33"/>
  <c r="AN52" i="33"/>
  <c r="Z76" i="33"/>
  <c r="V76" i="33"/>
  <c r="AP76" i="33"/>
  <c r="T74" i="33"/>
  <c r="AJ74" i="33"/>
  <c r="L74" i="33"/>
  <c r="AN74" i="33"/>
  <c r="P74" i="33"/>
  <c r="X74" i="33"/>
  <c r="P34" i="33"/>
  <c r="X47" i="33"/>
  <c r="L47" i="33"/>
  <c r="P47" i="33"/>
  <c r="T47" i="33"/>
  <c r="AF47" i="33"/>
  <c r="BM39" i="33"/>
  <c r="AT35" i="33"/>
  <c r="AX35" i="33"/>
  <c r="AI78" i="33"/>
  <c r="BM17" i="33"/>
  <c r="AA17" i="33" s="1"/>
  <c r="Z17" i="33"/>
  <c r="AN15" i="33"/>
  <c r="AN14" i="33"/>
  <c r="X9" i="33"/>
  <c r="X11" i="33"/>
  <c r="X12" i="33"/>
  <c r="CF34" i="33"/>
  <c r="L34" i="33"/>
  <c r="BM32" i="33"/>
  <c r="AY51" i="33"/>
  <c r="AU51" i="33"/>
  <c r="BM38" i="33"/>
  <c r="AU72" i="33"/>
  <c r="AX94" i="33"/>
  <c r="AT94" i="33"/>
  <c r="P86" i="33"/>
  <c r="X86" i="33"/>
  <c r="AJ86" i="33"/>
  <c r="Z33" i="33"/>
  <c r="AT62" i="33"/>
  <c r="AX62" i="33"/>
  <c r="AY61" i="33"/>
  <c r="AU61" i="33"/>
  <c r="AU53" i="33"/>
  <c r="AY53" i="33"/>
  <c r="W84" i="33"/>
  <c r="AA84" i="33"/>
  <c r="AE84" i="33"/>
  <c r="O84" i="33"/>
  <c r="S84" i="33"/>
  <c r="AB74" i="33"/>
  <c r="AF33" i="33"/>
  <c r="AN30" i="33"/>
  <c r="AN31" i="33" s="1"/>
  <c r="W29" i="33"/>
  <c r="AP27" i="33"/>
  <c r="V27" i="33"/>
  <c r="Z24" i="33"/>
  <c r="AE23" i="33"/>
  <c r="AT21" i="33"/>
  <c r="AM51" i="33"/>
  <c r="O51" i="33"/>
  <c r="AL49" i="33"/>
  <c r="L48" i="33"/>
  <c r="AY47" i="33"/>
  <c r="AI46" i="33"/>
  <c r="AP42" i="33"/>
  <c r="CF37" i="33"/>
  <c r="Z37" i="33"/>
  <c r="O68" i="33"/>
  <c r="AX66" i="33"/>
  <c r="AM65" i="33"/>
  <c r="AI62" i="33"/>
  <c r="N56" i="33"/>
  <c r="AY52" i="33"/>
  <c r="AN85" i="33"/>
  <c r="S85" i="33"/>
  <c r="AP84" i="33"/>
  <c r="R81" i="33"/>
  <c r="Z79" i="33"/>
  <c r="AH78" i="33"/>
  <c r="AE77" i="33"/>
  <c r="AT72" i="33"/>
  <c r="AP71" i="33"/>
  <c r="AP70" i="33"/>
  <c r="O69" i="33"/>
  <c r="AE94" i="33"/>
  <c r="AA92" i="33"/>
  <c r="R88" i="33"/>
  <c r="W87" i="33"/>
  <c r="V29" i="33"/>
  <c r="CF26" i="33"/>
  <c r="BM40" i="33"/>
  <c r="AA40" i="33" s="1"/>
  <c r="AP37" i="33"/>
  <c r="BM35" i="33"/>
  <c r="AQ35" i="33" s="1"/>
  <c r="N68" i="33"/>
  <c r="AL71" i="33"/>
  <c r="AI86" i="33"/>
  <c r="R29" i="33"/>
  <c r="AJ27" i="33"/>
  <c r="T26" i="33"/>
  <c r="BM24" i="33"/>
  <c r="AM24" i="33" s="1"/>
  <c r="N24" i="33"/>
  <c r="T23" i="33"/>
  <c r="BM19" i="33"/>
  <c r="AE51" i="33"/>
  <c r="AX43" i="33"/>
  <c r="AL42" i="33"/>
  <c r="N42" i="33"/>
  <c r="AL38" i="33"/>
  <c r="V37" i="33"/>
  <c r="CF36" i="33"/>
  <c r="AU36" i="33" s="1"/>
  <c r="CF35" i="33"/>
  <c r="AH64" i="33"/>
  <c r="AD62" i="33"/>
  <c r="CF57" i="33"/>
  <c r="AX56" i="33"/>
  <c r="AB55" i="33"/>
  <c r="AI85" i="33"/>
  <c r="O85" i="33"/>
  <c r="AQ82" i="33"/>
  <c r="AQ80" i="33"/>
  <c r="AY78" i="33"/>
  <c r="S77" i="33"/>
  <c r="AM72" i="33"/>
  <c r="AH70" i="33"/>
  <c r="AI95" i="33"/>
  <c r="AA94" i="33"/>
  <c r="R92" i="33"/>
  <c r="Z86" i="33"/>
  <c r="T33" i="33"/>
  <c r="BM31" i="33"/>
  <c r="AQ31" i="33" s="1"/>
  <c r="N29" i="33"/>
  <c r="AF28" i="33"/>
  <c r="AH27" i="33"/>
  <c r="N27" i="33"/>
  <c r="P26" i="33"/>
  <c r="AX25" i="33"/>
  <c r="CF24" i="33"/>
  <c r="AU24" i="33" s="1"/>
  <c r="Z22" i="33"/>
  <c r="R19" i="33"/>
  <c r="AD18" i="33"/>
  <c r="AI50" i="33"/>
  <c r="Z49" i="33"/>
  <c r="BM48" i="33"/>
  <c r="S46" i="33"/>
  <c r="AY45" i="33"/>
  <c r="V45" i="33"/>
  <c r="AP44" i="33"/>
  <c r="Z43" i="33"/>
  <c r="AY42" i="33"/>
  <c r="AY39" i="33"/>
  <c r="P35" i="33"/>
  <c r="AT67" i="33"/>
  <c r="W67" i="33"/>
  <c r="W65" i="33"/>
  <c r="AD64" i="33"/>
  <c r="AA62" i="33"/>
  <c r="V61" i="33"/>
  <c r="S60" i="33"/>
  <c r="AT58" i="33"/>
  <c r="AD57" i="33"/>
  <c r="Z56" i="33"/>
  <c r="AL52" i="33"/>
  <c r="S52" i="33"/>
  <c r="L85" i="33"/>
  <c r="AY84" i="33"/>
  <c r="AD84" i="33"/>
  <c r="BM83" i="33"/>
  <c r="AA83" i="33" s="1"/>
  <c r="AI82" i="33"/>
  <c r="AI81" i="33"/>
  <c r="AI80" i="33"/>
  <c r="O79" i="33"/>
  <c r="O77" i="33"/>
  <c r="AM75" i="33"/>
  <c r="S75" i="33"/>
  <c r="N74" i="33"/>
  <c r="BM73" i="33"/>
  <c r="AA73" i="33" s="1"/>
  <c r="AA72" i="33"/>
  <c r="AD71" i="33"/>
  <c r="AA70" i="33"/>
  <c r="S94" i="33"/>
  <c r="S91" i="33"/>
  <c r="L27" i="33"/>
  <c r="AP24" i="33"/>
  <c r="V49" i="33"/>
  <c r="CF48" i="33"/>
  <c r="AU48" i="33" s="1"/>
  <c r="AL44" i="33"/>
  <c r="AD42" i="33"/>
  <c r="AY38" i="33"/>
  <c r="AH37" i="33"/>
  <c r="R37" i="33"/>
  <c r="O65" i="33"/>
  <c r="Z57" i="33"/>
  <c r="AE85" i="33"/>
  <c r="AE82" i="33"/>
  <c r="AH81" i="33"/>
  <c r="AE80" i="33"/>
  <c r="R78" i="33"/>
  <c r="BM76" i="33"/>
  <c r="O75" i="33"/>
  <c r="AL74" i="33"/>
  <c r="Z71" i="33"/>
  <c r="Z70" i="33"/>
  <c r="R94" i="33"/>
  <c r="AL93" i="33"/>
  <c r="O86" i="33"/>
  <c r="AH29" i="33"/>
  <c r="AT23" i="33"/>
  <c r="AX22" i="33"/>
  <c r="AT19" i="33"/>
  <c r="N49" i="33"/>
  <c r="AD44" i="33"/>
  <c r="Z42" i="33"/>
  <c r="BM41" i="33"/>
  <c r="N37" i="33"/>
  <c r="AL36" i="33"/>
  <c r="AE68" i="33"/>
  <c r="S67" i="33"/>
  <c r="V66" i="33"/>
  <c r="N65" i="33"/>
  <c r="V64" i="33"/>
  <c r="AX63" i="33"/>
  <c r="R63" i="33"/>
  <c r="V62" i="33"/>
  <c r="W57" i="33"/>
  <c r="V56" i="33"/>
  <c r="O52" i="33"/>
  <c r="X85" i="33"/>
  <c r="Z84" i="33"/>
  <c r="AY83" i="33"/>
  <c r="AA82" i="33"/>
  <c r="AA80" i="33"/>
  <c r="AI75" i="33"/>
  <c r="S71" i="33"/>
  <c r="S70" i="33"/>
  <c r="AM69" i="33"/>
  <c r="S95" i="33"/>
  <c r="AE93" i="33"/>
  <c r="AM89" i="33"/>
  <c r="AE88" i="33"/>
  <c r="N86" i="33"/>
  <c r="AN33" i="33"/>
  <c r="T30" i="33"/>
  <c r="T31" i="33" s="1"/>
  <c r="S28" i="33"/>
  <c r="Z27" i="33"/>
  <c r="AT26" i="33"/>
  <c r="N25" i="33"/>
  <c r="AD24" i="33"/>
  <c r="O22" i="33"/>
  <c r="AP19" i="33"/>
  <c r="N18" i="33"/>
  <c r="S51" i="33"/>
  <c r="AT49" i="33"/>
  <c r="AM46" i="33"/>
  <c r="AM45" i="33"/>
  <c r="V44" i="33"/>
  <c r="AP43" i="33"/>
  <c r="AT42" i="33"/>
  <c r="AD38" i="33"/>
  <c r="AD37" i="33"/>
  <c r="AD68" i="33"/>
  <c r="AI67" i="33"/>
  <c r="R67" i="33"/>
  <c r="T66" i="33"/>
  <c r="AP64" i="33"/>
  <c r="R64" i="33"/>
  <c r="R62" i="33"/>
  <c r="AI59" i="33"/>
  <c r="AD58" i="33"/>
  <c r="S57" i="33"/>
  <c r="AL56" i="33"/>
  <c r="BM55" i="33"/>
  <c r="AA55" i="33" s="1"/>
  <c r="AP53" i="33"/>
  <c r="V53" i="33"/>
  <c r="AD52" i="33"/>
  <c r="W85" i="33"/>
  <c r="V84" i="33"/>
  <c r="AX83" i="33"/>
  <c r="S82" i="33"/>
  <c r="AY81" i="33"/>
  <c r="W81" i="33"/>
  <c r="S80" i="33"/>
  <c r="AY79" i="33"/>
  <c r="AE79" i="33"/>
  <c r="AQ77" i="33"/>
  <c r="P76" i="33"/>
  <c r="AY75" i="33"/>
  <c r="AH74" i="33"/>
  <c r="AT71" i="33"/>
  <c r="N71" i="33"/>
  <c r="R70" i="33"/>
  <c r="AE69" i="33"/>
  <c r="AM94" i="33"/>
  <c r="AA93" i="33"/>
  <c r="AM92" i="33"/>
  <c r="R90" i="33"/>
  <c r="AA89" i="33"/>
  <c r="AD88" i="33"/>
  <c r="CJ10" i="32"/>
  <c r="BD10" i="32"/>
  <c r="X10" i="32"/>
  <c r="CJ8" i="32"/>
  <c r="AN8" i="32"/>
  <c r="X7" i="32"/>
  <c r="X22" i="32"/>
  <c r="T21" i="32"/>
  <c r="AR20" i="32"/>
  <c r="CJ18" i="32"/>
  <c r="CF17" i="32"/>
  <c r="CN16" i="32"/>
  <c r="AB16" i="32"/>
  <c r="BH14" i="32"/>
  <c r="BH13" i="32"/>
  <c r="BX12" i="32"/>
  <c r="L12" i="32"/>
  <c r="CM33" i="32"/>
  <c r="AP33" i="32"/>
  <c r="AM32" i="32"/>
  <c r="CA31" i="32"/>
  <c r="BC31" i="32"/>
  <c r="N31" i="32"/>
  <c r="CM30" i="32"/>
  <c r="BJ30" i="32"/>
  <c r="AD30" i="32"/>
  <c r="BC29" i="32"/>
  <c r="AN28" i="32"/>
  <c r="AZ26" i="32"/>
  <c r="AR25" i="32"/>
  <c r="AZ23" i="32"/>
  <c r="CD44" i="32"/>
  <c r="AE44" i="32"/>
  <c r="CH43" i="32"/>
  <c r="BF43" i="32"/>
  <c r="AH43" i="32"/>
  <c r="BK42" i="32"/>
  <c r="BV40" i="32"/>
  <c r="CE39" i="32"/>
  <c r="BR38" i="32"/>
  <c r="AN20" i="32"/>
  <c r="BT18" i="32"/>
  <c r="CJ16" i="32"/>
  <c r="X16" i="32"/>
  <c r="BD14" i="32"/>
  <c r="AZ13" i="32"/>
  <c r="BT12" i="32"/>
  <c r="BZ31" i="32"/>
  <c r="CL30" i="32"/>
  <c r="BF30" i="32"/>
  <c r="Z30" i="32"/>
  <c r="X26" i="32"/>
  <c r="BO44" i="32"/>
  <c r="BN41" i="32"/>
  <c r="V41" i="32"/>
  <c r="AT41" i="32"/>
  <c r="BV41" i="32"/>
  <c r="BZ41" i="32"/>
  <c r="R41" i="32"/>
  <c r="N40" i="32"/>
  <c r="R40" i="32"/>
  <c r="AL40" i="32"/>
  <c r="BF40" i="32"/>
  <c r="CD40" i="32"/>
  <c r="Z40" i="32"/>
  <c r="AT40" i="32"/>
  <c r="AD40" i="32"/>
  <c r="AX40" i="32"/>
  <c r="BR40" i="32"/>
  <c r="X8" i="32"/>
  <c r="CJ22" i="32"/>
  <c r="CF21" i="32"/>
  <c r="AN14" i="32"/>
  <c r="Z33" i="32"/>
  <c r="CH30" i="32"/>
  <c r="BB30" i="32"/>
  <c r="T26" i="32"/>
  <c r="BK44" i="32"/>
  <c r="AX43" i="32"/>
  <c r="BR41" i="32"/>
  <c r="AP41" i="32"/>
  <c r="BD39" i="32"/>
  <c r="BX39" i="32" s="1"/>
  <c r="BD48" i="32"/>
  <c r="BX48" i="32" s="1"/>
  <c r="AJ48" i="32"/>
  <c r="X11" i="32"/>
  <c r="AN9" i="32"/>
  <c r="BT8" i="32"/>
  <c r="T8" i="32"/>
  <c r="BD7" i="32"/>
  <c r="BT22" i="32"/>
  <c r="CB21" i="32"/>
  <c r="CJ20" i="32"/>
  <c r="X20" i="32"/>
  <c r="BD18" i="32"/>
  <c r="AZ17" i="32"/>
  <c r="BT16" i="32"/>
  <c r="BL15" i="32"/>
  <c r="AB14" i="32"/>
  <c r="AB13" i="32"/>
  <c r="BD12" i="32"/>
  <c r="BG32" i="32"/>
  <c r="W32" i="32"/>
  <c r="CU31" i="32"/>
  <c r="AD31" i="32"/>
  <c r="CD30" i="32"/>
  <c r="AX30" i="32"/>
  <c r="V30" i="32"/>
  <c r="W29" i="32"/>
  <c r="AF27" i="32"/>
  <c r="CN25" i="32"/>
  <c r="L25" i="32"/>
  <c r="AY44" i="32"/>
  <c r="CA43" i="32"/>
  <c r="Z43" i="32"/>
  <c r="CU41" i="32"/>
  <c r="N41" i="32"/>
  <c r="CT40" i="32"/>
  <c r="BJ40" i="32"/>
  <c r="AH40" i="32"/>
  <c r="AL38" i="32"/>
  <c r="AZ48" i="32"/>
  <c r="BT48" i="32" s="1"/>
  <c r="AF48" i="32"/>
  <c r="BT11" i="32"/>
  <c r="T11" i="32"/>
  <c r="BT10" i="32"/>
  <c r="AN10" i="32"/>
  <c r="AZ7" i="32"/>
  <c r="BH22" i="32"/>
  <c r="BH21" i="32"/>
  <c r="BX20" i="32"/>
  <c r="L20" i="32"/>
  <c r="AN18" i="32"/>
  <c r="AV17" i="32"/>
  <c r="BH16" i="32"/>
  <c r="AF15" i="32"/>
  <c r="X14" i="32"/>
  <c r="T13" i="32"/>
  <c r="AR12" i="32"/>
  <c r="BV33" i="32"/>
  <c r="CA32" i="32"/>
  <c r="BC32" i="32"/>
  <c r="O32" i="32"/>
  <c r="CP31" i="32"/>
  <c r="BO31" i="32"/>
  <c r="AT31" i="32"/>
  <c r="AA31" i="32"/>
  <c r="BZ30" i="32"/>
  <c r="AT30" i="32"/>
  <c r="AB27" i="32"/>
  <c r="CB25" i="32"/>
  <c r="BT24" i="32"/>
  <c r="AX44" i="32"/>
  <c r="O44" i="32"/>
  <c r="CU43" i="32"/>
  <c r="BR43" i="32"/>
  <c r="AU43" i="32"/>
  <c r="CP41" i="32"/>
  <c r="CL40" i="32"/>
  <c r="AQ39" i="32"/>
  <c r="AY39" i="32"/>
  <c r="BO39" i="32"/>
  <c r="AE39" i="32"/>
  <c r="CT38" i="32"/>
  <c r="CP38" i="32"/>
  <c r="BD22" i="32"/>
  <c r="BT20" i="32"/>
  <c r="BD16" i="32"/>
  <c r="AN12" i="32"/>
  <c r="BV30" i="32"/>
  <c r="AP30" i="32"/>
  <c r="R30" i="32"/>
  <c r="CJ26" i="32"/>
  <c r="AN24" i="32"/>
  <c r="AU44" i="32"/>
  <c r="CA42" i="32"/>
  <c r="AM42" i="32"/>
  <c r="V40" i="32"/>
  <c r="BD11" i="32"/>
  <c r="CJ7" i="32"/>
  <c r="AN7" i="32"/>
  <c r="AN22" i="32"/>
  <c r="AJ19" i="32"/>
  <c r="X18" i="32"/>
  <c r="T17" i="32"/>
  <c r="CJ14" i="32"/>
  <c r="CF13" i="32"/>
  <c r="BF33" i="32"/>
  <c r="AU32" i="32"/>
  <c r="BJ31" i="32"/>
  <c r="V31" i="32"/>
  <c r="BR30" i="32"/>
  <c r="AL30" i="32"/>
  <c r="CF26" i="32"/>
  <c r="BH25" i="32"/>
  <c r="CN23" i="32"/>
  <c r="CL44" i="32"/>
  <c r="AM44" i="32"/>
  <c r="CL43" i="32"/>
  <c r="AN50" i="32"/>
  <c r="BH50" i="32"/>
  <c r="CB50" i="32" s="1"/>
  <c r="CH41" i="32"/>
  <c r="AD41" i="32"/>
  <c r="BB40" i="32"/>
  <c r="CP37" i="32"/>
  <c r="CT37" i="32"/>
  <c r="AF49" i="32"/>
  <c r="AZ49" i="32"/>
  <c r="BT49" i="32" s="1"/>
  <c r="AZ11" i="32"/>
  <c r="BT9" i="32"/>
  <c r="CF7" i="32"/>
  <c r="AB22" i="32"/>
  <c r="AB21" i="32"/>
  <c r="BD20" i="32"/>
  <c r="CN18" i="32"/>
  <c r="CN17" i="32"/>
  <c r="P17" i="32"/>
  <c r="AN16" i="32"/>
  <c r="BT14" i="32"/>
  <c r="CB13" i="32"/>
  <c r="CJ12" i="32"/>
  <c r="X12" i="32"/>
  <c r="CT33" i="32"/>
  <c r="AQ33" i="32"/>
  <c r="BR32" i="32"/>
  <c r="AP32" i="32"/>
  <c r="CE31" i="32"/>
  <c r="BG31" i="32"/>
  <c r="AM31" i="32"/>
  <c r="O31" i="32"/>
  <c r="CT30" i="32"/>
  <c r="BN30" i="32"/>
  <c r="AH30" i="32"/>
  <c r="BS29" i="32"/>
  <c r="BT28" i="32"/>
  <c r="BD26" i="32"/>
  <c r="AV25" i="32"/>
  <c r="CJ23" i="32"/>
  <c r="CE44" i="32"/>
  <c r="AI44" i="32"/>
  <c r="BH43" i="32"/>
  <c r="CB43" i="32" s="1"/>
  <c r="AL43" i="32"/>
  <c r="R43" i="32"/>
  <c r="BV42" i="32"/>
  <c r="BB41" i="32"/>
  <c r="BZ40" i="32"/>
  <c r="AD38" i="32"/>
  <c r="AP38" i="32"/>
  <c r="BV38" i="32"/>
  <c r="R38" i="32"/>
  <c r="AH38" i="32"/>
  <c r="BN38" i="32"/>
  <c r="V38" i="32"/>
  <c r="CH38" i="32"/>
  <c r="AX38" i="32"/>
  <c r="BO38" i="32"/>
  <c r="AI38" i="32"/>
  <c r="X37" i="32"/>
  <c r="CE36" i="32"/>
  <c r="AX36" i="32"/>
  <c r="AH36" i="32"/>
  <c r="BS35" i="32"/>
  <c r="AE35" i="32"/>
  <c r="BW34" i="32"/>
  <c r="AH34" i="32"/>
  <c r="CA55" i="32"/>
  <c r="AP55" i="32"/>
  <c r="CA54" i="32"/>
  <c r="S54" i="32"/>
  <c r="CD53" i="32"/>
  <c r="AT53" i="32"/>
  <c r="W53" i="32"/>
  <c r="CL52" i="32"/>
  <c r="AX52" i="32"/>
  <c r="BV49" i="32"/>
  <c r="CU48" i="32"/>
  <c r="BF48" i="32"/>
  <c r="AM48" i="32"/>
  <c r="W48" i="32"/>
  <c r="CE47" i="32"/>
  <c r="BB47" i="32"/>
  <c r="AA47" i="32"/>
  <c r="AN46" i="32"/>
  <c r="CI45" i="32"/>
  <c r="BF45" i="32"/>
  <c r="CU66" i="32"/>
  <c r="BW66" i="32"/>
  <c r="BG66" i="32"/>
  <c r="AM66" i="32"/>
  <c r="V66" i="32"/>
  <c r="BZ65" i="32"/>
  <c r="BB65" i="32"/>
  <c r="CE64" i="32"/>
  <c r="BK64" i="32"/>
  <c r="AT64" i="32"/>
  <c r="AA64" i="32"/>
  <c r="O64" i="32"/>
  <c r="CT63" i="32"/>
  <c r="BR63" i="32"/>
  <c r="AY63" i="32"/>
  <c r="AA63" i="32"/>
  <c r="CE62" i="32"/>
  <c r="BK62" i="32"/>
  <c r="W62" i="32"/>
  <c r="CI61" i="32"/>
  <c r="BO61" i="32"/>
  <c r="V61" i="32"/>
  <c r="CH60" i="32"/>
  <c r="BF60" i="32"/>
  <c r="CT59" i="32"/>
  <c r="BN59" i="32"/>
  <c r="AH59" i="32"/>
  <c r="CL58" i="32"/>
  <c r="BC58" i="32"/>
  <c r="BV57" i="32"/>
  <c r="AP57" i="32"/>
  <c r="R57" i="32"/>
  <c r="R56" i="32"/>
  <c r="BF77" i="32"/>
  <c r="CI75" i="32"/>
  <c r="BC75" i="32"/>
  <c r="O75" i="32"/>
  <c r="CL74" i="32"/>
  <c r="AM74" i="32"/>
  <c r="CT73" i="32"/>
  <c r="BK73" i="32"/>
  <c r="CE70" i="32"/>
  <c r="O69" i="32"/>
  <c r="AB68" i="32"/>
  <c r="AV68" i="32" s="1"/>
  <c r="BP68" i="32" s="1"/>
  <c r="AR68" i="32"/>
  <c r="BL68" i="32"/>
  <c r="CF68" i="32" s="1"/>
  <c r="CJ68" i="32" s="1"/>
  <c r="CE38" i="32"/>
  <c r="AY38" i="32"/>
  <c r="BK36" i="32"/>
  <c r="AU36" i="32"/>
  <c r="AE36" i="32"/>
  <c r="S36" i="32"/>
  <c r="BN35" i="32"/>
  <c r="W35" i="32"/>
  <c r="BV34" i="32"/>
  <c r="AD34" i="32"/>
  <c r="BS55" i="32"/>
  <c r="AA55" i="32"/>
  <c r="BW54" i="32"/>
  <c r="AU54" i="32"/>
  <c r="CA53" i="32"/>
  <c r="BK53" i="32"/>
  <c r="AQ53" i="32"/>
  <c r="CE52" i="32"/>
  <c r="AR52" i="32"/>
  <c r="R52" i="32"/>
  <c r="R51" i="32"/>
  <c r="BJ49" i="32"/>
  <c r="CM48" i="32"/>
  <c r="BW48" i="32"/>
  <c r="BC48" i="32"/>
  <c r="AL48" i="32"/>
  <c r="V48" i="32"/>
  <c r="CD47" i="32"/>
  <c r="AY47" i="32"/>
  <c r="CD45" i="32"/>
  <c r="AT45" i="32"/>
  <c r="CP66" i="32"/>
  <c r="BV66" i="32"/>
  <c r="BC66" i="32"/>
  <c r="AL66" i="32"/>
  <c r="BV65" i="32"/>
  <c r="AY65" i="32"/>
  <c r="W65" i="32"/>
  <c r="AR64" i="32"/>
  <c r="Z64" i="32"/>
  <c r="CQ63" i="32"/>
  <c r="BO63" i="32"/>
  <c r="BH62" i="32"/>
  <c r="CB62" i="32" s="1"/>
  <c r="V62" i="32"/>
  <c r="CH61" i="32"/>
  <c r="BK61" i="32"/>
  <c r="AL61" i="32"/>
  <c r="BC60" i="32"/>
  <c r="AD60" i="32"/>
  <c r="BJ59" i="32"/>
  <c r="AD59" i="32"/>
  <c r="CH58" i="32"/>
  <c r="AT58" i="32"/>
  <c r="R58" i="32"/>
  <c r="BR57" i="32"/>
  <c r="AE57" i="32"/>
  <c r="CM56" i="32"/>
  <c r="BF56" i="32"/>
  <c r="BB77" i="32"/>
  <c r="O77" i="32"/>
  <c r="CT76" i="32"/>
  <c r="BN76" i="32"/>
  <c r="CE75" i="32"/>
  <c r="AU75" i="32"/>
  <c r="CH74" i="32"/>
  <c r="AL74" i="32"/>
  <c r="CM73" i="32"/>
  <c r="O73" i="32"/>
  <c r="CT72" i="32"/>
  <c r="AH72" i="32"/>
  <c r="BO69" i="32"/>
  <c r="BZ37" i="32"/>
  <c r="CA36" i="32"/>
  <c r="R35" i="32"/>
  <c r="AY34" i="32"/>
  <c r="AA34" i="32"/>
  <c r="BO55" i="32"/>
  <c r="Z55" i="32"/>
  <c r="BS54" i="32"/>
  <c r="AM54" i="32"/>
  <c r="O54" i="32"/>
  <c r="BG53" i="32"/>
  <c r="AM53" i="32"/>
  <c r="S53" i="32"/>
  <c r="CL48" i="32"/>
  <c r="BB48" i="32"/>
  <c r="BW47" i="32"/>
  <c r="CA64" i="32"/>
  <c r="BG64" i="32"/>
  <c r="BN63" i="32"/>
  <c r="AP63" i="32"/>
  <c r="CA62" i="32"/>
  <c r="BG62" i="32"/>
  <c r="AM62" i="32"/>
  <c r="CE61" i="32"/>
  <c r="BW60" i="32"/>
  <c r="AB60" i="32"/>
  <c r="CI59" i="32"/>
  <c r="BC59" i="32"/>
  <c r="CE58" i="32"/>
  <c r="AP58" i="32"/>
  <c r="BN57" i="32"/>
  <c r="AD57" i="32"/>
  <c r="CU77" i="32"/>
  <c r="CD74" i="32"/>
  <c r="CI73" i="32"/>
  <c r="BC73" i="32"/>
  <c r="BJ71" i="32"/>
  <c r="O70" i="32"/>
  <c r="W70" i="32"/>
  <c r="AY70" i="32"/>
  <c r="S70" i="32"/>
  <c r="AH67" i="32"/>
  <c r="V67" i="32"/>
  <c r="AP67" i="32"/>
  <c r="BR67" i="32"/>
  <c r="AD67" i="32"/>
  <c r="BB67" i="32"/>
  <c r="BV67" i="32"/>
  <c r="AL67" i="32"/>
  <c r="N37" i="32"/>
  <c r="BW36" i="32"/>
  <c r="AA36" i="32"/>
  <c r="CM34" i="32"/>
  <c r="BO34" i="32"/>
  <c r="BN55" i="32"/>
  <c r="AH54" i="32"/>
  <c r="BW53" i="32"/>
  <c r="AM52" i="32"/>
  <c r="BR48" i="32"/>
  <c r="R48" i="32"/>
  <c r="BS47" i="32"/>
  <c r="R47" i="32"/>
  <c r="BR66" i="32"/>
  <c r="BR65" i="32"/>
  <c r="AP65" i="32"/>
  <c r="BW64" i="32"/>
  <c r="BF64" i="32"/>
  <c r="W64" i="32"/>
  <c r="BK63" i="32"/>
  <c r="AL63" i="32"/>
  <c r="BW62" i="32"/>
  <c r="BF62" i="32"/>
  <c r="AI62" i="32"/>
  <c r="S62" i="32"/>
  <c r="CD61" i="32"/>
  <c r="BG61" i="32"/>
  <c r="AH61" i="32"/>
  <c r="BR60" i="32"/>
  <c r="AR60" i="32"/>
  <c r="AV60" i="32" s="1"/>
  <c r="Z60" i="32"/>
  <c r="CE59" i="32"/>
  <c r="AY59" i="32"/>
  <c r="V59" i="32"/>
  <c r="CD58" i="32"/>
  <c r="AM58" i="32"/>
  <c r="O58" i="32"/>
  <c r="BJ57" i="32"/>
  <c r="Z57" i="32"/>
  <c r="CH56" i="32"/>
  <c r="AT56" i="32"/>
  <c r="AH77" i="32"/>
  <c r="BC76" i="32"/>
  <c r="BW75" i="32"/>
  <c r="BZ74" i="32"/>
  <c r="V74" i="32"/>
  <c r="CE73" i="32"/>
  <c r="AQ73" i="32"/>
  <c r="CH72" i="32"/>
  <c r="BO70" i="32"/>
  <c r="CM36" i="32"/>
  <c r="BG36" i="32"/>
  <c r="O36" i="32"/>
  <c r="CT35" i="32"/>
  <c r="AX35" i="32"/>
  <c r="S34" i="32"/>
  <c r="BK54" i="32"/>
  <c r="AE54" i="32"/>
  <c r="CM53" i="32"/>
  <c r="BS53" i="32"/>
  <c r="BC53" i="32"/>
  <c r="AE53" i="32"/>
  <c r="BO52" i="32"/>
  <c r="AF52" i="32"/>
  <c r="CM50" i="32"/>
  <c r="CH48" i="32"/>
  <c r="AX48" i="32"/>
  <c r="AH48" i="32"/>
  <c r="AP47" i="32"/>
  <c r="CL46" i="32"/>
  <c r="BR45" i="32"/>
  <c r="AH45" i="32"/>
  <c r="CH66" i="32"/>
  <c r="N66" i="32"/>
  <c r="CU65" i="32"/>
  <c r="BJ65" i="32"/>
  <c r="AM64" i="32"/>
  <c r="V64" i="32"/>
  <c r="BJ63" i="32"/>
  <c r="BS62" i="32"/>
  <c r="AH62" i="32"/>
  <c r="CA61" i="32"/>
  <c r="AF61" i="32"/>
  <c r="O61" i="32"/>
  <c r="AQ60" i="32"/>
  <c r="CD59" i="32"/>
  <c r="AX59" i="32"/>
  <c r="BW58" i="32"/>
  <c r="AD58" i="32"/>
  <c r="N58" i="32"/>
  <c r="CU57" i="32"/>
  <c r="AD77" i="32"/>
  <c r="W75" i="32"/>
  <c r="BV74" i="32"/>
  <c r="CA73" i="32"/>
  <c r="AA73" i="32"/>
  <c r="CD72" i="32"/>
  <c r="CH67" i="32"/>
  <c r="BG38" i="32"/>
  <c r="AA38" i="32"/>
  <c r="CI36" i="32"/>
  <c r="BS36" i="32"/>
  <c r="BF36" i="32"/>
  <c r="AM36" i="32"/>
  <c r="CI35" i="32"/>
  <c r="AU35" i="32"/>
  <c r="CH34" i="32"/>
  <c r="BJ34" i="32"/>
  <c r="AQ34" i="32"/>
  <c r="R34" i="32"/>
  <c r="CT55" i="32"/>
  <c r="CI53" i="32"/>
  <c r="BR53" i="32"/>
  <c r="BB53" i="32"/>
  <c r="AD53" i="32"/>
  <c r="O53" i="32"/>
  <c r="BN52" i="32"/>
  <c r="AD52" i="32"/>
  <c r="S49" i="32"/>
  <c r="CE48" i="32"/>
  <c r="BN48" i="32"/>
  <c r="AU48" i="32"/>
  <c r="O48" i="32"/>
  <c r="AM47" i="32"/>
  <c r="CU45" i="32"/>
  <c r="AF45" i="32"/>
  <c r="CE66" i="32"/>
  <c r="BN66" i="32"/>
  <c r="AT66" i="32"/>
  <c r="AA66" i="32"/>
  <c r="N65" i="32"/>
  <c r="CU64" i="32"/>
  <c r="BS64" i="32"/>
  <c r="BB64" i="32"/>
  <c r="AL64" i="32"/>
  <c r="CE63" i="32"/>
  <c r="BG63" i="32"/>
  <c r="AH63" i="32"/>
  <c r="CU62" i="32"/>
  <c r="BR62" i="32"/>
  <c r="AY62" i="32"/>
  <c r="AE62" i="32"/>
  <c r="O62" i="32"/>
  <c r="BW61" i="32"/>
  <c r="AD61" i="32"/>
  <c r="N61" i="32"/>
  <c r="W60" i="32"/>
  <c r="BZ59" i="32"/>
  <c r="AT59" i="32"/>
  <c r="R59" i="32"/>
  <c r="BS58" i="32"/>
  <c r="Z58" i="32"/>
  <c r="O76" i="32"/>
  <c r="BR74" i="32"/>
  <c r="BW73" i="32"/>
  <c r="AM69" i="32"/>
  <c r="S69" i="32"/>
  <c r="BW69" i="32"/>
  <c r="AU69" i="32"/>
  <c r="AY69" i="32"/>
  <c r="CA69" i="32"/>
  <c r="AI69" i="32"/>
  <c r="BG69" i="32"/>
  <c r="CM69" i="32"/>
  <c r="BD36" i="32"/>
  <c r="BX36" i="32" s="1"/>
  <c r="W36" i="32"/>
  <c r="CD35" i="32"/>
  <c r="CE34" i="32"/>
  <c r="CI55" i="32"/>
  <c r="BC55" i="32"/>
  <c r="O55" i="32"/>
  <c r="CM54" i="32"/>
  <c r="BG54" i="32"/>
  <c r="W54" i="32"/>
  <c r="BO53" i="32"/>
  <c r="AA53" i="32"/>
  <c r="AA52" i="32"/>
  <c r="AM50" i="32"/>
  <c r="CD48" i="32"/>
  <c r="CQ47" i="32"/>
  <c r="CD66" i="32"/>
  <c r="CL65" i="32"/>
  <c r="BF65" i="32"/>
  <c r="CM64" i="32"/>
  <c r="BO64" i="32"/>
  <c r="AY64" i="32"/>
  <c r="AI64" i="32"/>
  <c r="S64" i="32"/>
  <c r="BV63" i="32"/>
  <c r="CM62" i="32"/>
  <c r="BO62" i="32"/>
  <c r="AU62" i="32"/>
  <c r="AA62" i="32"/>
  <c r="AI76" i="32"/>
  <c r="CQ75" i="32"/>
  <c r="S75" i="32"/>
  <c r="BJ74" i="32"/>
  <c r="BS73" i="32"/>
  <c r="W73" i="32"/>
  <c r="CT70" i="32"/>
  <c r="AA69" i="32"/>
  <c r="BO36" i="32"/>
  <c r="AY36" i="32"/>
  <c r="AI36" i="32"/>
  <c r="AI34" i="32"/>
  <c r="CE53" i="32"/>
  <c r="AU53" i="32"/>
  <c r="AA50" i="32"/>
  <c r="Z48" i="32"/>
  <c r="BH47" i="32"/>
  <c r="CB47" i="32" s="1"/>
  <c r="V45" i="32"/>
  <c r="BZ66" i="32"/>
  <c r="AP66" i="32"/>
  <c r="CI64" i="32"/>
  <c r="AU64" i="32"/>
  <c r="AE64" i="32"/>
  <c r="AD63" i="32"/>
  <c r="CI62" i="32"/>
  <c r="AT62" i="32"/>
  <c r="CM61" i="32"/>
  <c r="BS61" i="32"/>
  <c r="AU61" i="32"/>
  <c r="CI60" i="32"/>
  <c r="AH60" i="32"/>
  <c r="BO59" i="32"/>
  <c r="AI59" i="32"/>
  <c r="N59" i="32"/>
  <c r="CP58" i="32"/>
  <c r="BF58" i="32"/>
  <c r="V58" i="32"/>
  <c r="AT57" i="32"/>
  <c r="S57" i="32"/>
  <c r="BZ77" i="32"/>
  <c r="BV76" i="32"/>
  <c r="AE76" i="32"/>
  <c r="CM75" i="32"/>
  <c r="BG75" i="32"/>
  <c r="BB74" i="32"/>
  <c r="N74" i="32"/>
  <c r="CU73" i="32"/>
  <c r="BO73" i="32"/>
  <c r="CE69" i="32"/>
  <c r="CP67" i="32"/>
  <c r="CT67" i="32"/>
  <c r="CL70" i="32"/>
  <c r="BN70" i="32"/>
  <c r="AL70" i="32"/>
  <c r="CL69" i="32"/>
  <c r="AQ68" i="32"/>
  <c r="V68" i="32"/>
  <c r="CE67" i="32"/>
  <c r="BK67" i="32"/>
  <c r="CD88" i="32"/>
  <c r="AU88" i="32"/>
  <c r="BV87" i="32"/>
  <c r="V87" i="32"/>
  <c r="BB86" i="32"/>
  <c r="AI85" i="32"/>
  <c r="CE84" i="32"/>
  <c r="BB84" i="32"/>
  <c r="AE84" i="32"/>
  <c r="CM83" i="32"/>
  <c r="BG83" i="32"/>
  <c r="CT82" i="32"/>
  <c r="BV81" i="32"/>
  <c r="AT81" i="32"/>
  <c r="CT80" i="32"/>
  <c r="AQ80" i="32"/>
  <c r="CL79" i="32"/>
  <c r="BN79" i="32"/>
  <c r="AA79" i="32"/>
  <c r="BS78" i="32"/>
  <c r="AE78" i="32"/>
  <c r="CT99" i="32"/>
  <c r="AA99" i="32"/>
  <c r="CA98" i="32"/>
  <c r="AU98" i="32"/>
  <c r="R98" i="32"/>
  <c r="CL97" i="32"/>
  <c r="AV97" i="32"/>
  <c r="Z97" i="32"/>
  <c r="BZ96" i="32"/>
  <c r="AI96" i="32"/>
  <c r="CE95" i="32"/>
  <c r="BB95" i="32"/>
  <c r="V95" i="32"/>
  <c r="BZ94" i="32"/>
  <c r="BB94" i="32"/>
  <c r="W94" i="32"/>
  <c r="CA93" i="32"/>
  <c r="V93" i="32"/>
  <c r="CD92" i="32"/>
  <c r="AL92" i="32"/>
  <c r="CU91" i="32"/>
  <c r="AU91" i="32"/>
  <c r="AD91" i="32"/>
  <c r="CQ90" i="32"/>
  <c r="AL90" i="32"/>
  <c r="CT89" i="32"/>
  <c r="BV89" i="32"/>
  <c r="AD89" i="32"/>
  <c r="AX106" i="32"/>
  <c r="Z106" i="32"/>
  <c r="CA105" i="32"/>
  <c r="S105" i="32"/>
  <c r="BZ104" i="32"/>
  <c r="AD104" i="32"/>
  <c r="BG101" i="32"/>
  <c r="O101" i="32"/>
  <c r="CU100" i="32"/>
  <c r="BO100" i="32"/>
  <c r="AQ100" i="32"/>
  <c r="S100" i="32"/>
  <c r="CE86" i="32"/>
  <c r="AY86" i="32"/>
  <c r="BW84" i="32"/>
  <c r="CI79" i="32"/>
  <c r="AA96" i="32"/>
  <c r="AT89" i="32"/>
  <c r="CL106" i="32"/>
  <c r="BB104" i="32"/>
  <c r="Z102" i="32"/>
  <c r="AU101" i="32"/>
  <c r="CM100" i="32"/>
  <c r="BN100" i="32"/>
  <c r="AL100" i="32"/>
  <c r="S88" i="32"/>
  <c r="AI87" i="32"/>
  <c r="BZ86" i="32"/>
  <c r="AP86" i="32"/>
  <c r="CA85" i="32"/>
  <c r="W85" i="32"/>
  <c r="BV84" i="32"/>
  <c r="AY84" i="32"/>
  <c r="CD83" i="32"/>
  <c r="AX83" i="32"/>
  <c r="AI80" i="32"/>
  <c r="CH79" i="32"/>
  <c r="BB79" i="32"/>
  <c r="O79" i="32"/>
  <c r="CM78" i="32"/>
  <c r="AA78" i="32"/>
  <c r="BW98" i="32"/>
  <c r="AQ98" i="32"/>
  <c r="BR97" i="32"/>
  <c r="BO96" i="32"/>
  <c r="Z96" i="32"/>
  <c r="CQ95" i="32"/>
  <c r="BW95" i="32"/>
  <c r="AU95" i="32"/>
  <c r="S95" i="32"/>
  <c r="CA92" i="32"/>
  <c r="AY92" i="32"/>
  <c r="AI92" i="32"/>
  <c r="CA91" i="32"/>
  <c r="BK91" i="32"/>
  <c r="BB90" i="32"/>
  <c r="Z90" i="32"/>
  <c r="CH89" i="32"/>
  <c r="BZ106" i="32"/>
  <c r="V106" i="32"/>
  <c r="O105" i="32"/>
  <c r="BV104" i="32"/>
  <c r="CI100" i="32"/>
  <c r="BK100" i="32"/>
  <c r="O100" i="32"/>
  <c r="BS88" i="32"/>
  <c r="CI87" i="32"/>
  <c r="BO87" i="32"/>
  <c r="AH87" i="32"/>
  <c r="BV86" i="32"/>
  <c r="R86" i="32"/>
  <c r="AA84" i="32"/>
  <c r="BJ81" i="32"/>
  <c r="AM81" i="32"/>
  <c r="CE79" i="32"/>
  <c r="AQ79" i="32"/>
  <c r="CL78" i="32"/>
  <c r="BC78" i="32"/>
  <c r="BG99" i="32"/>
  <c r="BN98" i="32"/>
  <c r="AH98" i="32"/>
  <c r="BP97" i="32"/>
  <c r="AL97" i="32"/>
  <c r="R97" i="32"/>
  <c r="BN96" i="32"/>
  <c r="CP95" i="32"/>
  <c r="BS95" i="32"/>
  <c r="AQ95" i="32"/>
  <c r="O95" i="32"/>
  <c r="BO94" i="32"/>
  <c r="AP94" i="32"/>
  <c r="CM93" i="32"/>
  <c r="BV92" i="32"/>
  <c r="AX92" i="32"/>
  <c r="AH92" i="32"/>
  <c r="BZ91" i="32"/>
  <c r="BG91" i="32"/>
  <c r="CI90" i="32"/>
  <c r="AX90" i="32"/>
  <c r="AP89" i="32"/>
  <c r="W89" i="32"/>
  <c r="BV106" i="32"/>
  <c r="AM106" i="32"/>
  <c r="CP104" i="32"/>
  <c r="BR104" i="32"/>
  <c r="AQ104" i="32"/>
  <c r="S104" i="32"/>
  <c r="BV103" i="32"/>
  <c r="CT102" i="32"/>
  <c r="CE100" i="32"/>
  <c r="BG100" i="32"/>
  <c r="AI100" i="32"/>
  <c r="BW71" i="32"/>
  <c r="AU71" i="32"/>
  <c r="BZ70" i="32"/>
  <c r="BZ69" i="32"/>
  <c r="V69" i="32"/>
  <c r="BW68" i="32"/>
  <c r="BC68" i="32"/>
  <c r="AD68" i="32"/>
  <c r="CQ67" i="32"/>
  <c r="BO88" i="32"/>
  <c r="O88" i="32"/>
  <c r="CA87" i="32"/>
  <c r="BN87" i="32"/>
  <c r="O87" i="32"/>
  <c r="BR86" i="32"/>
  <c r="AM86" i="32"/>
  <c r="BF85" i="32"/>
  <c r="CT84" i="32"/>
  <c r="BR84" i="32"/>
  <c r="AQ84" i="32"/>
  <c r="BS83" i="32"/>
  <c r="BK82" i="32"/>
  <c r="AL81" i="32"/>
  <c r="O81" i="32"/>
  <c r="BS80" i="32"/>
  <c r="W80" i="32"/>
  <c r="CD79" i="32"/>
  <c r="AP79" i="32"/>
  <c r="CI78" i="32"/>
  <c r="BB78" i="32"/>
  <c r="CT98" i="32"/>
  <c r="BK98" i="32"/>
  <c r="AE98" i="32"/>
  <c r="BJ97" i="32"/>
  <c r="CU96" i="32"/>
  <c r="BC96" i="32"/>
  <c r="BN94" i="32"/>
  <c r="CI93" i="32"/>
  <c r="BS93" i="32"/>
  <c r="AY93" i="32"/>
  <c r="AE93" i="32"/>
  <c r="N93" i="32"/>
  <c r="CU92" i="32"/>
  <c r="BR92" i="32"/>
  <c r="AU92" i="32"/>
  <c r="BC91" i="32"/>
  <c r="AM91" i="32"/>
  <c r="S91" i="32"/>
  <c r="CD90" i="32"/>
  <c r="AU90" i="32"/>
  <c r="CE89" i="32"/>
  <c r="BK89" i="32"/>
  <c r="BR106" i="32"/>
  <c r="AL106" i="32"/>
  <c r="R106" i="32"/>
  <c r="BG105" i="32"/>
  <c r="AE105" i="32"/>
  <c r="CM104" i="32"/>
  <c r="BN104" i="32"/>
  <c r="AP104" i="32"/>
  <c r="R104" i="32"/>
  <c r="BK103" i="32"/>
  <c r="BJ102" i="32"/>
  <c r="CI101" i="32"/>
  <c r="Z101" i="32"/>
  <c r="CD100" i="32"/>
  <c r="BC100" i="32"/>
  <c r="AE100" i="32"/>
  <c r="BS71" i="32"/>
  <c r="AQ71" i="32"/>
  <c r="O71" i="32"/>
  <c r="BV70" i="32"/>
  <c r="AX70" i="32"/>
  <c r="AT69" i="32"/>
  <c r="BO68" i="32"/>
  <c r="AA68" i="32"/>
  <c r="CM67" i="32"/>
  <c r="AY67" i="32"/>
  <c r="AA67" i="32"/>
  <c r="CM88" i="32"/>
  <c r="BG88" i="32"/>
  <c r="AE88" i="32"/>
  <c r="N88" i="32"/>
  <c r="CU87" i="32"/>
  <c r="BZ87" i="32"/>
  <c r="BK87" i="32"/>
  <c r="AD87" i="32"/>
  <c r="AH86" i="32"/>
  <c r="N86" i="32"/>
  <c r="CU85" i="32"/>
  <c r="CM84" i="32"/>
  <c r="BK84" i="32"/>
  <c r="AP84" i="32"/>
  <c r="V84" i="32"/>
  <c r="BR83" i="32"/>
  <c r="AM83" i="32"/>
  <c r="S83" i="32"/>
  <c r="CQ81" i="32"/>
  <c r="BF81" i="32"/>
  <c r="AD81" i="32"/>
  <c r="BG80" i="32"/>
  <c r="BW79" i="32"/>
  <c r="AM79" i="32"/>
  <c r="CH78" i="32"/>
  <c r="AU78" i="32"/>
  <c r="R78" i="32"/>
  <c r="CQ98" i="32"/>
  <c r="BJ98" i="32"/>
  <c r="AD98" i="32"/>
  <c r="AD97" i="32"/>
  <c r="CT96" i="32"/>
  <c r="CM95" i="32"/>
  <c r="BK95" i="32"/>
  <c r="AM95" i="32"/>
  <c r="BO92" i="32"/>
  <c r="AT92" i="32"/>
  <c r="W92" i="32"/>
  <c r="CM91" i="32"/>
  <c r="BW91" i="32"/>
  <c r="AT90" i="32"/>
  <c r="CD89" i="32"/>
  <c r="BJ89" i="32"/>
  <c r="AH106" i="32"/>
  <c r="CL104" i="32"/>
  <c r="AY102" i="32"/>
  <c r="CA100" i="32"/>
  <c r="BB100" i="32"/>
  <c r="BK86" i="32"/>
  <c r="AD86" i="32"/>
  <c r="BJ84" i="32"/>
  <c r="AL84" i="32"/>
  <c r="AL83" i="32"/>
  <c r="R83" i="32"/>
  <c r="BC80" i="32"/>
  <c r="BV79" i="32"/>
  <c r="AE79" i="32"/>
  <c r="BW78" i="32"/>
  <c r="AQ78" i="32"/>
  <c r="CM98" i="32"/>
  <c r="BG98" i="32"/>
  <c r="V98" i="32"/>
  <c r="BF97" i="32"/>
  <c r="AB97" i="32"/>
  <c r="CM96" i="32"/>
  <c r="AT96" i="32"/>
  <c r="AE95" i="32"/>
  <c r="CE93" i="32"/>
  <c r="BK93" i="32"/>
  <c r="AQ93" i="32"/>
  <c r="AA93" i="32"/>
  <c r="V92" i="32"/>
  <c r="CL91" i="32"/>
  <c r="BS91" i="32"/>
  <c r="BR90" i="32"/>
  <c r="AP90" i="32"/>
  <c r="CA89" i="32"/>
  <c r="BF89" i="32"/>
  <c r="AI89" i="32"/>
  <c r="R89" i="32"/>
  <c r="BN106" i="32"/>
  <c r="CI105" i="32"/>
  <c r="CH104" i="32"/>
  <c r="BJ104" i="32"/>
  <c r="N104" i="32"/>
  <c r="CU103" i="32"/>
  <c r="BW100" i="32"/>
  <c r="AU100" i="32"/>
  <c r="W100" i="32"/>
  <c r="BL67" i="32"/>
  <c r="CF67" i="32" s="1"/>
  <c r="CJ67" i="32" s="1"/>
  <c r="CE88" i="32"/>
  <c r="BW87" i="32"/>
  <c r="BC87" i="32"/>
  <c r="W87" i="32"/>
  <c r="CH86" i="32"/>
  <c r="BJ86" i="32"/>
  <c r="AA86" i="32"/>
  <c r="BG84" i="32"/>
  <c r="S84" i="32"/>
  <c r="CU82" i="32"/>
  <c r="CE81" i="32"/>
  <c r="AU80" i="32"/>
  <c r="BO79" i="32"/>
  <c r="AD79" i="32"/>
  <c r="BV78" i="32"/>
  <c r="AP78" i="32"/>
  <c r="CU99" i="32"/>
  <c r="CD98" i="32"/>
  <c r="AX98" i="32"/>
  <c r="S98" i="32"/>
  <c r="AX97" i="32"/>
  <c r="BG95" i="32"/>
  <c r="AA95" i="32"/>
  <c r="CH94" i="32"/>
  <c r="BC94" i="32"/>
  <c r="CD93" i="32"/>
  <c r="BG93" i="32"/>
  <c r="AP93" i="32"/>
  <c r="CE92" i="32"/>
  <c r="AM92" i="32"/>
  <c r="CI91" i="32"/>
  <c r="BO91" i="32"/>
  <c r="AY91" i="32"/>
  <c r="AE91" i="32"/>
  <c r="N91" i="32"/>
  <c r="N90" i="32"/>
  <c r="CU89" i="32"/>
  <c r="BW89" i="32"/>
  <c r="BB89" i="32"/>
  <c r="AE89" i="32"/>
  <c r="CT106" i="32"/>
  <c r="BG106" i="32"/>
  <c r="CA104" i="32"/>
  <c r="BG104" i="32"/>
  <c r="AE104" i="32"/>
  <c r="CP103" i="32"/>
  <c r="BS100" i="32"/>
  <c r="T34" i="29"/>
  <c r="P34" i="29"/>
  <c r="P89" i="29"/>
  <c r="T89" i="29"/>
  <c r="T43" i="29"/>
  <c r="P43" i="29"/>
  <c r="T92" i="29"/>
  <c r="P92" i="29"/>
  <c r="T96" i="29"/>
  <c r="P96" i="29"/>
  <c r="P40" i="29"/>
  <c r="T40" i="29"/>
  <c r="T39" i="29"/>
  <c r="P39" i="29"/>
  <c r="T100" i="29"/>
  <c r="P100" i="29"/>
  <c r="T28" i="29"/>
  <c r="P28" i="29"/>
  <c r="AE13" i="29"/>
  <c r="AH19" i="29"/>
  <c r="AH16" i="29"/>
  <c r="T10" i="29"/>
  <c r="L9" i="29"/>
  <c r="T7" i="29"/>
  <c r="V40" i="29"/>
  <c r="R39" i="29"/>
  <c r="S36" i="29"/>
  <c r="AH35" i="29"/>
  <c r="R26" i="29"/>
  <c r="AI25" i="29"/>
  <c r="O59" i="29"/>
  <c r="AA53" i="29"/>
  <c r="T50" i="29"/>
  <c r="T80" i="29" s="1"/>
  <c r="AI49" i="29"/>
  <c r="N46" i="29"/>
  <c r="S44" i="29"/>
  <c r="Z80" i="29"/>
  <c r="S77" i="29"/>
  <c r="S74" i="29"/>
  <c r="AI73" i="29"/>
  <c r="Z70" i="29"/>
  <c r="AA69" i="29"/>
  <c r="AA66" i="29"/>
  <c r="W98" i="29"/>
  <c r="R92" i="29"/>
  <c r="AI90" i="29"/>
  <c r="S89" i="29"/>
  <c r="AA83" i="29"/>
  <c r="R20" i="29"/>
  <c r="AH20" i="29"/>
  <c r="AA16" i="29"/>
  <c r="L7" i="29"/>
  <c r="O26" i="29"/>
  <c r="AH58" i="29"/>
  <c r="W79" i="29"/>
  <c r="AA78" i="29"/>
  <c r="Z73" i="29"/>
  <c r="Z69" i="29"/>
  <c r="AH62" i="29"/>
  <c r="AH88" i="29"/>
  <c r="W86" i="29"/>
  <c r="AA84" i="29"/>
  <c r="V83" i="29"/>
  <c r="T49" i="29"/>
  <c r="T79" i="29" s="1"/>
  <c r="AI101" i="29"/>
  <c r="AE15" i="29"/>
  <c r="AE20" i="29"/>
  <c r="AA15" i="29"/>
  <c r="AH14" i="29"/>
  <c r="AA13" i="29"/>
  <c r="L10" i="29"/>
  <c r="S40" i="29"/>
  <c r="AH37" i="29"/>
  <c r="Z35" i="29"/>
  <c r="AA30" i="29"/>
  <c r="R28" i="29"/>
  <c r="O23" i="29"/>
  <c r="V22" i="29"/>
  <c r="AA58" i="29"/>
  <c r="Z49" i="29"/>
  <c r="AH48" i="29"/>
  <c r="V45" i="29"/>
  <c r="R43" i="29"/>
  <c r="R80" i="29"/>
  <c r="V78" i="29"/>
  <c r="N77" i="29"/>
  <c r="O69" i="29"/>
  <c r="W68" i="29"/>
  <c r="W66" i="29"/>
  <c r="Z62" i="29"/>
  <c r="V94" i="29"/>
  <c r="W90" i="29"/>
  <c r="AA88" i="29"/>
  <c r="V86" i="29"/>
  <c r="S83" i="29"/>
  <c r="W82" i="29"/>
  <c r="W81" i="29"/>
  <c r="Z101" i="29"/>
  <c r="Z20" i="29"/>
  <c r="W16" i="29"/>
  <c r="V14" i="29"/>
  <c r="AH39" i="29"/>
  <c r="AA37" i="29"/>
  <c r="W32" i="29"/>
  <c r="V30" i="29"/>
  <c r="AH29" i="29"/>
  <c r="AI27" i="29"/>
  <c r="S22" i="29"/>
  <c r="AE56" i="29"/>
  <c r="O55" i="29"/>
  <c r="S53" i="29"/>
  <c r="AE51" i="29"/>
  <c r="N49" i="29"/>
  <c r="R45" i="29"/>
  <c r="AH44" i="29"/>
  <c r="AI41" i="29"/>
  <c r="R78" i="29"/>
  <c r="V73" i="29"/>
  <c r="S68" i="29"/>
  <c r="AI67" i="29"/>
  <c r="R66" i="29"/>
  <c r="AI64" i="29"/>
  <c r="S62" i="29"/>
  <c r="R81" i="29"/>
  <c r="V20" i="29"/>
  <c r="V19" i="29"/>
  <c r="S16" i="29"/>
  <c r="R14" i="29"/>
  <c r="L11" i="29"/>
  <c r="AH40" i="29"/>
  <c r="AA39" i="29"/>
  <c r="V35" i="29"/>
  <c r="AA34" i="29"/>
  <c r="V32" i="29"/>
  <c r="N30" i="29"/>
  <c r="AE29" i="29"/>
  <c r="AF26" i="29"/>
  <c r="Z25" i="29"/>
  <c r="N22" i="29"/>
  <c r="AI21" i="29"/>
  <c r="S58" i="29"/>
  <c r="N53" i="29"/>
  <c r="S48" i="29"/>
  <c r="W47" i="29"/>
  <c r="AE46" i="29"/>
  <c r="Z44" i="29"/>
  <c r="O78" i="29"/>
  <c r="AI77" i="29"/>
  <c r="V75" i="29"/>
  <c r="R73" i="29"/>
  <c r="V72" i="29"/>
  <c r="AI71" i="29"/>
  <c r="AH67" i="29"/>
  <c r="P66" i="29"/>
  <c r="R62" i="29"/>
  <c r="V61" i="29"/>
  <c r="AA96" i="29"/>
  <c r="Z93" i="29"/>
  <c r="R90" i="29"/>
  <c r="AH89" i="29"/>
  <c r="W88" i="29"/>
  <c r="Z85" i="29"/>
  <c r="O81" i="29"/>
  <c r="W101" i="29"/>
  <c r="R19" i="29"/>
  <c r="AI18" i="29"/>
  <c r="S35" i="29"/>
  <c r="W25" i="29"/>
  <c r="N78" i="29"/>
  <c r="T75" i="29"/>
  <c r="S97" i="29"/>
  <c r="AA92" i="29"/>
  <c r="Z89" i="29"/>
  <c r="R88" i="29"/>
  <c r="V101" i="29"/>
  <c r="S20" i="29"/>
  <c r="N19" i="29"/>
  <c r="N16" i="29"/>
  <c r="S14" i="29"/>
  <c r="N14" i="29"/>
  <c r="O37" i="29"/>
  <c r="W34" i="29"/>
  <c r="R32" i="29"/>
  <c r="R25" i="29"/>
  <c r="R100" i="29"/>
  <c r="P88" i="29"/>
  <c r="R101" i="29"/>
  <c r="T9" i="28"/>
  <c r="AM29" i="28"/>
  <c r="AQ28" i="28"/>
  <c r="S25" i="28"/>
  <c r="AY24" i="28"/>
  <c r="AM22" i="28"/>
  <c r="S22" i="28"/>
  <c r="V21" i="28"/>
  <c r="V45" i="28"/>
  <c r="R43" i="28"/>
  <c r="AH43" i="28"/>
  <c r="AL43" i="28"/>
  <c r="O40" i="28"/>
  <c r="AM40" i="28"/>
  <c r="S40" i="28"/>
  <c r="AA40" i="28"/>
  <c r="AI40" i="28"/>
  <c r="T52" i="28"/>
  <c r="AB52" i="28"/>
  <c r="T15" i="28"/>
  <c r="X14" i="28"/>
  <c r="L9" i="28"/>
  <c r="AE32" i="28"/>
  <c r="AI30" i="28"/>
  <c r="AI29" i="28"/>
  <c r="AM28" i="28"/>
  <c r="AE27" i="28"/>
  <c r="N25" i="28"/>
  <c r="AX24" i="28"/>
  <c r="V24" i="28"/>
  <c r="AY23" i="28"/>
  <c r="AL22" i="28"/>
  <c r="R22" i="28"/>
  <c r="AX21" i="28"/>
  <c r="R21" i="28"/>
  <c r="AY20" i="28"/>
  <c r="AH19" i="28"/>
  <c r="R19" i="28"/>
  <c r="AY17" i="28"/>
  <c r="AU48" i="28"/>
  <c r="AY48" i="28"/>
  <c r="AE29" i="28"/>
  <c r="AI28" i="28"/>
  <c r="AI22" i="28"/>
  <c r="O22" i="28"/>
  <c r="W47" i="28"/>
  <c r="AA47" i="28"/>
  <c r="AI47" i="28"/>
  <c r="AQ41" i="28"/>
  <c r="R39" i="28"/>
  <c r="AH39" i="28"/>
  <c r="AL39" i="28"/>
  <c r="V39" i="28"/>
  <c r="AT63" i="28"/>
  <c r="AX63" i="28"/>
  <c r="AB60" i="28"/>
  <c r="T60" i="28"/>
  <c r="AP21" i="28"/>
  <c r="AL20" i="28"/>
  <c r="AM46" i="28"/>
  <c r="AY32" i="28"/>
  <c r="W30" i="28"/>
  <c r="W29" i="28"/>
  <c r="AA28" i="28"/>
  <c r="O27" i="28"/>
  <c r="AM25" i="28"/>
  <c r="AH23" i="28"/>
  <c r="AE22" i="28"/>
  <c r="AL21" i="28"/>
  <c r="AX19" i="28"/>
  <c r="AU46" i="28"/>
  <c r="AY46" i="28"/>
  <c r="Z45" i="28"/>
  <c r="AH45" i="28"/>
  <c r="AP45" i="28"/>
  <c r="AE40" i="28"/>
  <c r="AP39" i="28"/>
  <c r="T12" i="28"/>
  <c r="AT32" i="28"/>
  <c r="V30" i="28"/>
  <c r="S29" i="28"/>
  <c r="W28" i="28"/>
  <c r="AI25" i="28"/>
  <c r="AI24" i="28"/>
  <c r="W23" i="28"/>
  <c r="AA22" i="28"/>
  <c r="AH21" i="28"/>
  <c r="W20" i="28"/>
  <c r="AY47" i="28"/>
  <c r="AI46" i="28"/>
  <c r="V43" i="28"/>
  <c r="AT41" i="28"/>
  <c r="AX41" i="28"/>
  <c r="W40" i="28"/>
  <c r="AA62" i="28"/>
  <c r="O62" i="28"/>
  <c r="S62" i="28"/>
  <c r="AE62" i="28"/>
  <c r="AR9" i="28"/>
  <c r="AQ30" i="28"/>
  <c r="AY29" i="28"/>
  <c r="O29" i="28"/>
  <c r="AY28" i="28"/>
  <c r="S28" i="28"/>
  <c r="AD25" i="28"/>
  <c r="AD24" i="28"/>
  <c r="T23" i="28"/>
  <c r="W22" i="28"/>
  <c r="AE21" i="28"/>
  <c r="W19" i="28"/>
  <c r="AL18" i="28"/>
  <c r="V18" i="28"/>
  <c r="Z18" i="28"/>
  <c r="AX47" i="28"/>
  <c r="AX40" i="28"/>
  <c r="AT40" i="28"/>
  <c r="Z39" i="28"/>
  <c r="T90" i="28"/>
  <c r="AB90" i="28"/>
  <c r="AM30" i="28"/>
  <c r="W25" i="28"/>
  <c r="Z21" i="28"/>
  <c r="V19" i="28"/>
  <c r="AQ47" i="28"/>
  <c r="O46" i="28"/>
  <c r="S46" i="28"/>
  <c r="W46" i="28"/>
  <c r="AA46" i="28"/>
  <c r="W41" i="28"/>
  <c r="AI41" i="28"/>
  <c r="AM41" i="28"/>
  <c r="V61" i="28"/>
  <c r="Z61" i="28"/>
  <c r="AH61" i="28"/>
  <c r="AL61" i="28"/>
  <c r="AP61" i="28"/>
  <c r="T117" i="28"/>
  <c r="AB117" i="28"/>
  <c r="AH36" i="28"/>
  <c r="R35" i="28"/>
  <c r="R33" i="28"/>
  <c r="AM63" i="28"/>
  <c r="AX59" i="28"/>
  <c r="AQ53" i="28"/>
  <c r="AX52" i="28"/>
  <c r="AE50" i="28"/>
  <c r="AH49" i="28"/>
  <c r="R49" i="28"/>
  <c r="R77" i="28"/>
  <c r="O70" i="28"/>
  <c r="AA94" i="28"/>
  <c r="AE92" i="28"/>
  <c r="AH91" i="28"/>
  <c r="Z89" i="28"/>
  <c r="AT87" i="28"/>
  <c r="AU86" i="28"/>
  <c r="AH83" i="28"/>
  <c r="O83" i="28"/>
  <c r="AA81" i="28"/>
  <c r="AD112" i="28"/>
  <c r="AD111" i="28"/>
  <c r="AH110" i="28"/>
  <c r="AH109" i="28"/>
  <c r="AH107" i="28"/>
  <c r="AI106" i="28"/>
  <c r="AL104" i="28"/>
  <c r="AL103" i="28"/>
  <c r="N103" i="28"/>
  <c r="W100" i="28"/>
  <c r="W99" i="28"/>
  <c r="O98" i="28"/>
  <c r="AD116" i="28"/>
  <c r="AD115" i="28"/>
  <c r="AH114" i="28"/>
  <c r="AH113" i="28"/>
  <c r="W50" i="28"/>
  <c r="AE91" i="28"/>
  <c r="S100" i="28"/>
  <c r="S99" i="28"/>
  <c r="R36" i="28"/>
  <c r="N33" i="28"/>
  <c r="AI60" i="28"/>
  <c r="AA58" i="28"/>
  <c r="N57" i="28"/>
  <c r="AH54" i="28"/>
  <c r="Z51" i="28"/>
  <c r="S50" i="28"/>
  <c r="AD49" i="28"/>
  <c r="R78" i="28"/>
  <c r="R72" i="28"/>
  <c r="R68" i="28"/>
  <c r="AA96" i="28"/>
  <c r="W95" i="28"/>
  <c r="S94" i="28"/>
  <c r="O93" i="28"/>
  <c r="Z92" i="28"/>
  <c r="AD91" i="28"/>
  <c r="V89" i="28"/>
  <c r="AM87" i="28"/>
  <c r="W81" i="28"/>
  <c r="W112" i="28"/>
  <c r="W111" i="28"/>
  <c r="AD107" i="28"/>
  <c r="AD104" i="28"/>
  <c r="AQ100" i="28"/>
  <c r="AM99" i="28"/>
  <c r="W116" i="28"/>
  <c r="W115" i="28"/>
  <c r="V37" i="28"/>
  <c r="AA63" i="28"/>
  <c r="W58" i="28"/>
  <c r="AP57" i="28"/>
  <c r="AD54" i="28"/>
  <c r="AI53" i="28"/>
  <c r="AQ49" i="28"/>
  <c r="AH77" i="28"/>
  <c r="AH75" i="28"/>
  <c r="AP71" i="28"/>
  <c r="AI70" i="28"/>
  <c r="AE66" i="28"/>
  <c r="W96" i="28"/>
  <c r="S95" i="28"/>
  <c r="AQ94" i="28"/>
  <c r="R94" i="28"/>
  <c r="N93" i="28"/>
  <c r="S92" i="28"/>
  <c r="Z91" i="28"/>
  <c r="AA90" i="28"/>
  <c r="S89" i="28"/>
  <c r="AE87" i="28"/>
  <c r="AP85" i="28"/>
  <c r="AL84" i="28"/>
  <c r="N84" i="28"/>
  <c r="Z83" i="28"/>
  <c r="V112" i="28"/>
  <c r="W110" i="28"/>
  <c r="W109" i="28"/>
  <c r="Z107" i="28"/>
  <c r="V106" i="28"/>
  <c r="AA104" i="28"/>
  <c r="AD103" i="28"/>
  <c r="S101" i="28"/>
  <c r="O100" i="28"/>
  <c r="AL99" i="28"/>
  <c r="AE98" i="28"/>
  <c r="V116" i="28"/>
  <c r="W114" i="28"/>
  <c r="W113" i="28"/>
  <c r="AA17" i="28"/>
  <c r="Z42" i="28"/>
  <c r="V41" i="28"/>
  <c r="AY40" i="28"/>
  <c r="V38" i="28"/>
  <c r="R37" i="28"/>
  <c r="AM35" i="28"/>
  <c r="W63" i="28"/>
  <c r="AX62" i="28"/>
  <c r="AD60" i="28"/>
  <c r="S58" i="28"/>
  <c r="AL57" i="28"/>
  <c r="AM56" i="28"/>
  <c r="Z54" i="28"/>
  <c r="AE53" i="28"/>
  <c r="AH52" i="28"/>
  <c r="AX51" i="28"/>
  <c r="R51" i="28"/>
  <c r="AX50" i="28"/>
  <c r="AP49" i="28"/>
  <c r="Z49" i="28"/>
  <c r="AD80" i="28"/>
  <c r="R73" i="28"/>
  <c r="AH71" i="28"/>
  <c r="AE70" i="28"/>
  <c r="AX68" i="28"/>
  <c r="AA66" i="28"/>
  <c r="S96" i="28"/>
  <c r="AM94" i="28"/>
  <c r="O94" i="28"/>
  <c r="AM93" i="28"/>
  <c r="AQ92" i="28"/>
  <c r="R92" i="28"/>
  <c r="AQ91" i="28"/>
  <c r="V91" i="28"/>
  <c r="AL89" i="28"/>
  <c r="AL88" i="28"/>
  <c r="AD87" i="28"/>
  <c r="W83" i="28"/>
  <c r="AM81" i="28"/>
  <c r="O81" i="28"/>
  <c r="AQ111" i="28"/>
  <c r="R111" i="28"/>
  <c r="V110" i="28"/>
  <c r="W108" i="28"/>
  <c r="V107" i="28"/>
  <c r="S106" i="28"/>
  <c r="Z104" i="28"/>
  <c r="Z103" i="28"/>
  <c r="AI100" i="28"/>
  <c r="AI99" i="28"/>
  <c r="W97" i="28"/>
  <c r="AA117" i="28"/>
  <c r="AY116" i="28"/>
  <c r="AQ115" i="28"/>
  <c r="R115" i="28"/>
  <c r="V114" i="28"/>
  <c r="W17" i="28"/>
  <c r="V47" i="28"/>
  <c r="V42" i="28"/>
  <c r="P86" i="28"/>
  <c r="AD35" i="28"/>
  <c r="S63" i="28"/>
  <c r="Z60" i="28"/>
  <c r="AE59" i="28"/>
  <c r="AE57" i="28"/>
  <c r="AI56" i="28"/>
  <c r="Z55" i="28"/>
  <c r="AX54" i="28"/>
  <c r="V54" i="28"/>
  <c r="AA53" i="28"/>
  <c r="AD52" i="28"/>
  <c r="AP51" i="28"/>
  <c r="AP50" i="28"/>
  <c r="AL49" i="28"/>
  <c r="V49" i="28"/>
  <c r="W80" i="28"/>
  <c r="AU78" i="28"/>
  <c r="AD77" i="28"/>
  <c r="AD75" i="28"/>
  <c r="AT74" i="28"/>
  <c r="AX72" i="28"/>
  <c r="R71" i="28"/>
  <c r="W70" i="28"/>
  <c r="N69" i="28"/>
  <c r="AP68" i="28"/>
  <c r="AA67" i="28"/>
  <c r="W66" i="28"/>
  <c r="W65" i="28"/>
  <c r="AT96" i="28"/>
  <c r="R96" i="28"/>
  <c r="AM95" i="28"/>
  <c r="AI94" i="28"/>
  <c r="AP92" i="28"/>
  <c r="O92" i="28"/>
  <c r="AP91" i="28"/>
  <c r="S91" i="28"/>
  <c r="AH88" i="28"/>
  <c r="Z87" i="28"/>
  <c r="AH86" i="28"/>
  <c r="AE85" i="28"/>
  <c r="AH84" i="28"/>
  <c r="S83" i="28"/>
  <c r="O82" i="28"/>
  <c r="AL81" i="28"/>
  <c r="N81" i="28"/>
  <c r="AL112" i="28"/>
  <c r="R112" i="28"/>
  <c r="AP111" i="28"/>
  <c r="O111" i="28"/>
  <c r="AY110" i="28"/>
  <c r="AQ109" i="28"/>
  <c r="R109" i="28"/>
  <c r="V108" i="28"/>
  <c r="AX107" i="28"/>
  <c r="R107" i="28"/>
  <c r="R106" i="28"/>
  <c r="AX105" i="28"/>
  <c r="V104" i="28"/>
  <c r="V103" i="28"/>
  <c r="S102" i="28"/>
  <c r="AH100" i="28"/>
  <c r="S97" i="28"/>
  <c r="AL116" i="28"/>
  <c r="R116" i="28"/>
  <c r="AP115" i="28"/>
  <c r="O115" i="28"/>
  <c r="AY114" i="28"/>
  <c r="AQ113" i="28"/>
  <c r="R113" i="28"/>
  <c r="AN86" i="28"/>
  <c r="N37" i="28"/>
  <c r="AX36" i="28"/>
  <c r="AA35" i="28"/>
  <c r="AP33" i="28"/>
  <c r="V33" i="28"/>
  <c r="R64" i="28"/>
  <c r="AU62" i="28"/>
  <c r="AX60" i="28"/>
  <c r="V60" i="28"/>
  <c r="AY58" i="28"/>
  <c r="AQ54" i="28"/>
  <c r="R54" i="28"/>
  <c r="AY53" i="28"/>
  <c r="AL51" i="28"/>
  <c r="R79" i="28"/>
  <c r="Z75" i="28"/>
  <c r="AP72" i="28"/>
  <c r="N71" i="28"/>
  <c r="AY70" i="28"/>
  <c r="V70" i="28"/>
  <c r="AL68" i="28"/>
  <c r="W67" i="28"/>
  <c r="AU66" i="28"/>
  <c r="S65" i="28"/>
  <c r="AQ96" i="28"/>
  <c r="AL95" i="28"/>
  <c r="AE94" i="28"/>
  <c r="AA93" i="28"/>
  <c r="AL91" i="28"/>
  <c r="R91" i="28"/>
  <c r="AX90" i="28"/>
  <c r="AI89" i="28"/>
  <c r="V88" i="28"/>
  <c r="AD85" i="28"/>
  <c r="AD84" i="28"/>
  <c r="AM83" i="28"/>
  <c r="R83" i="28"/>
  <c r="AI112" i="28"/>
  <c r="AL111" i="28"/>
  <c r="N111" i="28"/>
  <c r="AL110" i="28"/>
  <c r="R110" i="28"/>
  <c r="AP109" i="28"/>
  <c r="O109" i="28"/>
  <c r="AY108" i="28"/>
  <c r="S108" i="28"/>
  <c r="O107" i="28"/>
  <c r="AY106" i="28"/>
  <c r="N106" i="28"/>
  <c r="AM105" i="28"/>
  <c r="AQ104" i="28"/>
  <c r="AX103" i="28"/>
  <c r="AX101" i="28"/>
  <c r="AE100" i="28"/>
  <c r="AA99" i="28"/>
  <c r="AI116" i="28"/>
  <c r="AL115" i="28"/>
  <c r="N115" i="28"/>
  <c r="AL114" i="28"/>
  <c r="R114" i="28"/>
  <c r="AP113" i="28"/>
  <c r="O113" i="28"/>
  <c r="AL37" i="28"/>
  <c r="AL36" i="28"/>
  <c r="V35" i="28"/>
  <c r="V57" i="28"/>
  <c r="AU55" i="28"/>
  <c r="AX53" i="28"/>
  <c r="AI49" i="28"/>
  <c r="Z77" i="28"/>
  <c r="AY76" i="28"/>
  <c r="AT70" i="28"/>
  <c r="AY69" i="28"/>
  <c r="Z93" i="28"/>
  <c r="AM92" i="28"/>
  <c r="Z85" i="28"/>
  <c r="Z84" i="28"/>
  <c r="AL83" i="28"/>
  <c r="AY102" i="28"/>
  <c r="AA100" i="28"/>
  <c r="X65" i="24"/>
  <c r="AF65" i="24"/>
  <c r="X34" i="24"/>
  <c r="AF34" i="24"/>
  <c r="AF32" i="24"/>
  <c r="X32" i="24"/>
  <c r="AI24" i="24"/>
  <c r="N44" i="24"/>
  <c r="Z38" i="24"/>
  <c r="AA61" i="24"/>
  <c r="AD60" i="24"/>
  <c r="V58" i="24"/>
  <c r="AJ16" i="24"/>
  <c r="AJ10" i="24"/>
  <c r="AX32" i="24"/>
  <c r="Z32" i="24"/>
  <c r="AE31" i="24"/>
  <c r="AI30" i="24"/>
  <c r="AL29" i="24"/>
  <c r="O29" i="24"/>
  <c r="AD28" i="24"/>
  <c r="AI26" i="24"/>
  <c r="AQ25" i="24"/>
  <c r="AM21" i="24"/>
  <c r="AM19" i="24"/>
  <c r="O19" i="24"/>
  <c r="AX17" i="24"/>
  <c r="O17" i="24"/>
  <c r="S48" i="24"/>
  <c r="AY47" i="24"/>
  <c r="AH44" i="24"/>
  <c r="AU43" i="24"/>
  <c r="AH42" i="24"/>
  <c r="AI41" i="24"/>
  <c r="AX40" i="24"/>
  <c r="S39" i="24"/>
  <c r="S38" i="24"/>
  <c r="V37" i="24"/>
  <c r="AH36" i="24"/>
  <c r="AX33" i="24"/>
  <c r="O33" i="24"/>
  <c r="AI63" i="24"/>
  <c r="W62" i="24"/>
  <c r="W61" i="24"/>
  <c r="AA60" i="24"/>
  <c r="R58" i="24"/>
  <c r="AH57" i="24"/>
  <c r="AL56" i="24"/>
  <c r="AY54" i="24"/>
  <c r="AE53" i="24"/>
  <c r="AF52" i="24"/>
  <c r="W51" i="24"/>
  <c r="AQ50" i="24"/>
  <c r="O50" i="24"/>
  <c r="S80" i="24"/>
  <c r="AM79" i="24"/>
  <c r="S75" i="24"/>
  <c r="AD73" i="24"/>
  <c r="AE71" i="24"/>
  <c r="W70" i="24"/>
  <c r="AD68" i="24"/>
  <c r="AL67" i="24"/>
  <c r="S66" i="24"/>
  <c r="AQ65" i="24"/>
  <c r="Z65" i="24"/>
  <c r="AF85" i="24"/>
  <c r="AF83" i="24"/>
  <c r="T15" i="24"/>
  <c r="T9" i="24"/>
  <c r="AA31" i="24"/>
  <c r="AD26" i="24"/>
  <c r="S25" i="24"/>
  <c r="N17" i="24"/>
  <c r="O48" i="24"/>
  <c r="AD44" i="24"/>
  <c r="AT43" i="24"/>
  <c r="AD41" i="24"/>
  <c r="R38" i="24"/>
  <c r="O37" i="24"/>
  <c r="AF36" i="24"/>
  <c r="AH34" i="24"/>
  <c r="AN80" i="24"/>
  <c r="S61" i="24"/>
  <c r="AT59" i="24"/>
  <c r="AM58" i="24"/>
  <c r="O58" i="24"/>
  <c r="AD57" i="24"/>
  <c r="Z54" i="24"/>
  <c r="AB53" i="24"/>
  <c r="S51" i="24"/>
  <c r="R73" i="24"/>
  <c r="AP72" i="24"/>
  <c r="R70" i="24"/>
  <c r="Z68" i="24"/>
  <c r="AA85" i="24"/>
  <c r="T16" i="24"/>
  <c r="T10" i="24"/>
  <c r="W31" i="24"/>
  <c r="V30" i="24"/>
  <c r="AI29" i="24"/>
  <c r="AM25" i="24"/>
  <c r="AA24" i="24"/>
  <c r="AI20" i="24"/>
  <c r="AI17" i="24"/>
  <c r="Z44" i="24"/>
  <c r="AB41" i="24"/>
  <c r="AP40" i="24"/>
  <c r="Z40" i="24"/>
  <c r="N38" i="24"/>
  <c r="AM37" i="24"/>
  <c r="N37" i="24"/>
  <c r="AB36" i="24"/>
  <c r="AU33" i="24"/>
  <c r="AE63" i="24"/>
  <c r="AF62" i="24"/>
  <c r="AF78" i="24" s="1"/>
  <c r="O61" i="24"/>
  <c r="AQ60" i="24"/>
  <c r="W60" i="24"/>
  <c r="AL58" i="24"/>
  <c r="N58" i="24"/>
  <c r="Z57" i="24"/>
  <c r="AH56" i="24"/>
  <c r="V54" i="24"/>
  <c r="AB52" i="24"/>
  <c r="AL50" i="24"/>
  <c r="AE79" i="24"/>
  <c r="AM76" i="24"/>
  <c r="AH72" i="24"/>
  <c r="Z71" i="24"/>
  <c r="AH69" i="24"/>
  <c r="R65" i="24"/>
  <c r="AQ84" i="24"/>
  <c r="AM82" i="24"/>
  <c r="AA28" i="24"/>
  <c r="AJ13" i="24"/>
  <c r="S31" i="24"/>
  <c r="AU30" i="24"/>
  <c r="AQ28" i="24"/>
  <c r="S28" i="24"/>
  <c r="AY27" i="24"/>
  <c r="AT26" i="24"/>
  <c r="AL25" i="24"/>
  <c r="N25" i="24"/>
  <c r="AQ24" i="24"/>
  <c r="AA21" i="24"/>
  <c r="AE20" i="24"/>
  <c r="AE17" i="24"/>
  <c r="AI48" i="24"/>
  <c r="AM47" i="24"/>
  <c r="AM46" i="24"/>
  <c r="W44" i="24"/>
  <c r="AM43" i="24"/>
  <c r="R42" i="24"/>
  <c r="AX41" i="24"/>
  <c r="V40" i="24"/>
  <c r="AI39" i="24"/>
  <c r="AP38" i="24"/>
  <c r="AL37" i="24"/>
  <c r="AP36" i="24"/>
  <c r="Z36" i="24"/>
  <c r="AY34" i="24"/>
  <c r="AM33" i="24"/>
  <c r="AE62" i="24"/>
  <c r="AQ61" i="24"/>
  <c r="AM60" i="24"/>
  <c r="V60" i="24"/>
  <c r="AM59" i="24"/>
  <c r="AH58" i="24"/>
  <c r="AP57" i="24"/>
  <c r="V57" i="24"/>
  <c r="AD56" i="24"/>
  <c r="AQ54" i="24"/>
  <c r="AY53" i="24"/>
  <c r="W53" i="24"/>
  <c r="AA52" i="24"/>
  <c r="S49" i="24"/>
  <c r="AQ80" i="24"/>
  <c r="AA79" i="24"/>
  <c r="S77" i="24"/>
  <c r="AE76" i="24"/>
  <c r="AH74" i="24"/>
  <c r="AT73" i="24"/>
  <c r="Z72" i="24"/>
  <c r="AX71" i="24"/>
  <c r="R71" i="24"/>
  <c r="AD69" i="24"/>
  <c r="P68" i="24"/>
  <c r="P75" i="24" s="1"/>
  <c r="AY67" i="24"/>
  <c r="V67" i="24"/>
  <c r="AL65" i="24"/>
  <c r="AM84" i="24"/>
  <c r="AL82" i="24"/>
  <c r="AM81" i="24"/>
  <c r="T11" i="24"/>
  <c r="O32" i="24"/>
  <c r="AU31" i="24"/>
  <c r="O31" i="24"/>
  <c r="AQ30" i="24"/>
  <c r="S30" i="24"/>
  <c r="AA29" i="24"/>
  <c r="O28" i="24"/>
  <c r="AQ27" i="24"/>
  <c r="S27" i="24"/>
  <c r="AX25" i="24"/>
  <c r="AA23" i="24"/>
  <c r="AA20" i="24"/>
  <c r="AA18" i="24"/>
  <c r="AD17" i="24"/>
  <c r="AE48" i="24"/>
  <c r="AI47" i="24"/>
  <c r="AE46" i="24"/>
  <c r="AU44" i="24"/>
  <c r="S44" i="24"/>
  <c r="AL43" i="24"/>
  <c r="R43" i="24"/>
  <c r="N42" i="24"/>
  <c r="W41" i="24"/>
  <c r="AL40" i="24"/>
  <c r="R40" i="24"/>
  <c r="AH38" i="24"/>
  <c r="AH37" i="24"/>
  <c r="V36" i="24"/>
  <c r="AT34" i="24"/>
  <c r="Z34" i="24"/>
  <c r="AI33" i="24"/>
  <c r="AD62" i="24"/>
  <c r="AM61" i="24"/>
  <c r="AL60" i="24"/>
  <c r="AE59" i="24"/>
  <c r="AE58" i="24"/>
  <c r="R57" i="24"/>
  <c r="AY56" i="24"/>
  <c r="AL54" i="24"/>
  <c r="R54" i="24"/>
  <c r="AQ53" i="24"/>
  <c r="AY52" i="24"/>
  <c r="Z52" i="24"/>
  <c r="AM51" i="24"/>
  <c r="AE50" i="24"/>
  <c r="R49" i="24"/>
  <c r="AM80" i="24"/>
  <c r="W79" i="24"/>
  <c r="AQ78" i="24"/>
  <c r="W76" i="24"/>
  <c r="R74" i="24"/>
  <c r="AP73" i="24"/>
  <c r="R72" i="24"/>
  <c r="AP71" i="24"/>
  <c r="O71" i="24"/>
  <c r="R69" i="24"/>
  <c r="N68" i="24"/>
  <c r="AX67" i="24"/>
  <c r="R67" i="24"/>
  <c r="AX66" i="24"/>
  <c r="AL84" i="24"/>
  <c r="AA82" i="24"/>
  <c r="W81" i="24"/>
  <c r="AY29" i="24"/>
  <c r="AM28" i="24"/>
  <c r="AI25" i="24"/>
  <c r="S24" i="24"/>
  <c r="AY20" i="24"/>
  <c r="W17" i="24"/>
  <c r="AA48" i="24"/>
  <c r="AE47" i="24"/>
  <c r="W46" i="24"/>
  <c r="R44" i="24"/>
  <c r="AY42" i="24"/>
  <c r="AD38" i="24"/>
  <c r="AE37" i="24"/>
  <c r="AM36" i="24"/>
  <c r="R36" i="24"/>
  <c r="AP34" i="24"/>
  <c r="V34" i="24"/>
  <c r="AE33" i="24"/>
  <c r="AY63" i="24"/>
  <c r="AI61" i="24"/>
  <c r="AI60" i="24"/>
  <c r="S60" i="24"/>
  <c r="AD58" i="24"/>
  <c r="AM57" i="24"/>
  <c r="N57" i="24"/>
  <c r="AT56" i="24"/>
  <c r="AH54" i="24"/>
  <c r="AI51" i="24"/>
  <c r="AA50" i="24"/>
  <c r="S79" i="24"/>
  <c r="AM78" i="24"/>
  <c r="S76" i="24"/>
  <c r="AI75" i="24"/>
  <c r="AU70" i="24"/>
  <c r="AH65" i="24"/>
  <c r="AA84" i="24"/>
  <c r="AM44" i="24"/>
  <c r="AA38" i="24"/>
  <c r="AL36" i="24"/>
  <c r="R60" i="24"/>
  <c r="W58" i="24"/>
  <c r="AT85" i="24"/>
  <c r="AT83" i="24"/>
  <c r="O25" i="18"/>
  <c r="O53" i="18"/>
  <c r="N47" i="18"/>
  <c r="Z41" i="18"/>
  <c r="N37" i="18"/>
  <c r="AA34" i="18"/>
  <c r="O32" i="18"/>
  <c r="W29" i="18"/>
  <c r="V28" i="18"/>
  <c r="V23" i="18"/>
  <c r="V22" i="18"/>
  <c r="S21" i="18"/>
  <c r="AA17" i="18"/>
  <c r="O16" i="18"/>
  <c r="O14" i="18"/>
  <c r="O13" i="18"/>
  <c r="O12" i="18"/>
  <c r="X10" i="18"/>
  <c r="T8" i="18"/>
  <c r="AA54" i="18"/>
  <c r="N53" i="18"/>
  <c r="N52" i="18"/>
  <c r="AA49" i="18"/>
  <c r="AA47" i="18"/>
  <c r="AA45" i="18"/>
  <c r="AA43" i="18"/>
  <c r="S42" i="18"/>
  <c r="AA39" i="18"/>
  <c r="O38" i="18"/>
  <c r="O30" i="18"/>
  <c r="O24" i="18"/>
  <c r="Z19" i="18"/>
  <c r="N14" i="18"/>
  <c r="N12" i="18"/>
  <c r="T10" i="18"/>
  <c r="Z54" i="18"/>
  <c r="R49" i="18"/>
  <c r="R48" i="18"/>
  <c r="Z47" i="18"/>
  <c r="Z45" i="18"/>
  <c r="Z43" i="18"/>
  <c r="V41" i="18"/>
  <c r="Z39" i="18"/>
  <c r="S35" i="18"/>
  <c r="O34" i="18"/>
  <c r="AA30" i="18"/>
  <c r="N28" i="18"/>
  <c r="V27" i="18"/>
  <c r="X26" i="18"/>
  <c r="AA25" i="18"/>
  <c r="N24" i="18"/>
  <c r="X19" i="18"/>
  <c r="AA16" i="18"/>
  <c r="L8" i="18"/>
  <c r="X56" i="18"/>
  <c r="X54" i="18"/>
  <c r="AA53" i="18"/>
  <c r="S50" i="18"/>
  <c r="W47" i="18"/>
  <c r="W45" i="18"/>
  <c r="X43" i="18"/>
  <c r="O42" i="18"/>
  <c r="S40" i="18"/>
  <c r="AA38" i="18"/>
  <c r="R35" i="18"/>
  <c r="N34" i="18"/>
  <c r="N23" i="18"/>
  <c r="V19" i="18"/>
  <c r="R17" i="18"/>
  <c r="Z16" i="18"/>
  <c r="AA14" i="18"/>
  <c r="L10" i="18"/>
  <c r="X7" i="18"/>
  <c r="T56" i="18"/>
  <c r="R54" i="18"/>
  <c r="R50" i="18"/>
  <c r="O48" i="18"/>
  <c r="V45" i="18"/>
  <c r="O44" i="18"/>
  <c r="R43" i="18"/>
  <c r="N42" i="18"/>
  <c r="R40" i="18"/>
  <c r="W33" i="18"/>
  <c r="Z32" i="18"/>
  <c r="O29" i="18"/>
  <c r="R27" i="18"/>
  <c r="S25" i="18"/>
  <c r="S18" i="18"/>
  <c r="W16" i="18"/>
  <c r="Z14" i="18"/>
  <c r="AA12" i="18"/>
  <c r="W53" i="18"/>
  <c r="N48" i="18"/>
  <c r="N41" i="18"/>
  <c r="O17" i="18"/>
  <c r="O54" i="18"/>
  <c r="O45" i="18"/>
  <c r="O43" i="18"/>
  <c r="Z37" i="18"/>
  <c r="S33" i="18"/>
  <c r="V32" i="18"/>
  <c r="N19" i="18"/>
  <c r="N17" i="18"/>
  <c r="O15" i="18"/>
  <c r="V14" i="18"/>
  <c r="N54" i="18"/>
  <c r="O47" i="18"/>
  <c r="N45" i="18"/>
  <c r="N43" i="18"/>
  <c r="T37" i="18"/>
  <c r="AR20" i="15"/>
  <c r="L16" i="15"/>
  <c r="AN20" i="15"/>
  <c r="AZ17" i="15"/>
  <c r="AV17" i="15"/>
  <c r="AJ15" i="15"/>
  <c r="L20" i="15"/>
  <c r="AF15" i="15"/>
  <c r="P17" i="15"/>
  <c r="AJ19" i="15"/>
  <c r="AR16" i="15"/>
  <c r="AF19" i="15"/>
  <c r="AN16" i="15"/>
  <c r="AD22" i="7"/>
  <c r="Z22" i="7"/>
  <c r="V34" i="7"/>
  <c r="AD34" i="7"/>
  <c r="AH21" i="7"/>
  <c r="V21" i="7"/>
  <c r="Z21" i="7"/>
  <c r="AD21" i="7"/>
  <c r="R37" i="7"/>
  <c r="N37" i="7"/>
  <c r="N44" i="7"/>
  <c r="Z19" i="7"/>
  <c r="A7" i="7"/>
  <c r="BD46" i="90"/>
  <c r="AV46" i="90"/>
  <c r="CH39" i="90"/>
  <c r="BW39" i="90"/>
  <c r="BB39" i="90"/>
  <c r="AQ39" i="90"/>
  <c r="V39" i="90"/>
  <c r="BR38" i="90"/>
  <c r="BG38" i="90"/>
  <c r="AL38" i="90"/>
  <c r="AA38" i="90"/>
  <c r="CH37" i="90"/>
  <c r="BW37" i="90"/>
  <c r="BB37" i="90"/>
  <c r="AQ37" i="90"/>
  <c r="V37" i="90"/>
  <c r="BR36" i="90"/>
  <c r="BG36" i="90"/>
  <c r="AV36" i="90"/>
  <c r="AL36" i="90"/>
  <c r="AA36" i="90"/>
  <c r="CH35" i="90"/>
  <c r="BW35" i="90"/>
  <c r="BB35" i="90"/>
  <c r="AQ35" i="90"/>
  <c r="V35" i="90"/>
  <c r="BR34" i="90"/>
  <c r="BG34" i="90"/>
  <c r="AL34" i="90"/>
  <c r="AA34" i="90"/>
  <c r="CH33" i="90"/>
  <c r="BW33" i="90"/>
  <c r="BB33" i="90"/>
  <c r="AQ33" i="90"/>
  <c r="V33" i="90"/>
  <c r="BR32" i="90"/>
  <c r="BG32" i="90"/>
  <c r="AL32" i="90"/>
  <c r="AA32" i="90"/>
  <c r="CH31" i="90"/>
  <c r="BW31" i="90"/>
  <c r="BB31" i="90"/>
  <c r="AQ31" i="90"/>
  <c r="V31" i="90"/>
  <c r="BR30" i="90"/>
  <c r="BG30" i="90"/>
  <c r="Z30" i="90"/>
  <c r="N30" i="90"/>
  <c r="CD29" i="90"/>
  <c r="R29" i="90"/>
  <c r="CI28" i="90"/>
  <c r="S28" i="90"/>
  <c r="W52" i="90"/>
  <c r="AM52" i="90"/>
  <c r="BC52" i="90"/>
  <c r="BS52" i="90"/>
  <c r="CI52" i="90"/>
  <c r="AA52" i="90"/>
  <c r="AQ52" i="90"/>
  <c r="BG52" i="90"/>
  <c r="BW52" i="90"/>
  <c r="S52" i="90"/>
  <c r="AI52" i="90"/>
  <c r="AY52" i="90"/>
  <c r="BO52" i="90"/>
  <c r="CE52" i="90"/>
  <c r="T29" i="90"/>
  <c r="BF50" i="90"/>
  <c r="Z50" i="90"/>
  <c r="V49" i="90"/>
  <c r="AL49" i="90"/>
  <c r="BB49" i="90"/>
  <c r="BR49" i="90"/>
  <c r="CH49" i="90"/>
  <c r="Z49" i="90"/>
  <c r="AP49" i="90"/>
  <c r="BF49" i="90"/>
  <c r="BV49" i="90"/>
  <c r="R49" i="90"/>
  <c r="AH49" i="90"/>
  <c r="AX49" i="90"/>
  <c r="BN49" i="90"/>
  <c r="CD49" i="90"/>
  <c r="BJ49" i="90"/>
  <c r="BL40" i="90"/>
  <c r="BL82" i="90" s="1"/>
  <c r="BJ48" i="90"/>
  <c r="AD48" i="90"/>
  <c r="CF45" i="90"/>
  <c r="CF46" i="90" s="1"/>
  <c r="AP39" i="90"/>
  <c r="BF38" i="90"/>
  <c r="Z38" i="90"/>
  <c r="AP37" i="90"/>
  <c r="BF36" i="90"/>
  <c r="Z36" i="90"/>
  <c r="BV35" i="90"/>
  <c r="AP35" i="90"/>
  <c r="BF34" i="90"/>
  <c r="Z34" i="90"/>
  <c r="BV33" i="90"/>
  <c r="AP33" i="90"/>
  <c r="BF32" i="90"/>
  <c r="Z32" i="90"/>
  <c r="BF30" i="90"/>
  <c r="CH50" i="90"/>
  <c r="BB50" i="90"/>
  <c r="V50" i="90"/>
  <c r="CE39" i="90"/>
  <c r="BJ39" i="90"/>
  <c r="AY39" i="90"/>
  <c r="AD39" i="90"/>
  <c r="S39" i="90"/>
  <c r="BZ38" i="90"/>
  <c r="BO38" i="90"/>
  <c r="AT38" i="90"/>
  <c r="N38" i="90"/>
  <c r="CE37" i="90"/>
  <c r="BJ37" i="90"/>
  <c r="AY37" i="90"/>
  <c r="AD37" i="90"/>
  <c r="S37" i="90"/>
  <c r="BZ36" i="90"/>
  <c r="BO36" i="90"/>
  <c r="AT36" i="90"/>
  <c r="N36" i="90"/>
  <c r="CE35" i="90"/>
  <c r="BJ35" i="90"/>
  <c r="AY35" i="90"/>
  <c r="AD35" i="90"/>
  <c r="S35" i="90"/>
  <c r="BZ34" i="90"/>
  <c r="BO34" i="90"/>
  <c r="AT34" i="90"/>
  <c r="N34" i="90"/>
  <c r="CE33" i="90"/>
  <c r="BJ33" i="90"/>
  <c r="AY33" i="90"/>
  <c r="AD33" i="90"/>
  <c r="S33" i="90"/>
  <c r="BZ32" i="90"/>
  <c r="BO32" i="90"/>
  <c r="AT32" i="90"/>
  <c r="N32" i="90"/>
  <c r="CE31" i="90"/>
  <c r="BJ31" i="90"/>
  <c r="AY31" i="90"/>
  <c r="AD31" i="90"/>
  <c r="S31" i="90"/>
  <c r="BZ30" i="90"/>
  <c r="BO30" i="90"/>
  <c r="AT30" i="90"/>
  <c r="AH30" i="90"/>
  <c r="W30" i="90"/>
  <c r="W29" i="90"/>
  <c r="BC29" i="90"/>
  <c r="CI29" i="90"/>
  <c r="AA29" i="90"/>
  <c r="AE29" i="90"/>
  <c r="CA29" i="90"/>
  <c r="O29" i="90"/>
  <c r="BK52" i="90"/>
  <c r="AE52" i="90"/>
  <c r="W51" i="90"/>
  <c r="AM51" i="90"/>
  <c r="BC51" i="90"/>
  <c r="BS51" i="90"/>
  <c r="CI51" i="90"/>
  <c r="BW51" i="90"/>
  <c r="R48" i="90"/>
  <c r="BP41" i="90"/>
  <c r="BP46" i="90" s="1"/>
  <c r="BP90" i="90" s="1"/>
  <c r="CD39" i="90"/>
  <c r="BS39" i="90"/>
  <c r="AX39" i="90"/>
  <c r="AM39" i="90"/>
  <c r="R39" i="90"/>
  <c r="BN38" i="90"/>
  <c r="AH38" i="90"/>
  <c r="CD37" i="90"/>
  <c r="BS37" i="90"/>
  <c r="AX37" i="90"/>
  <c r="AM37" i="90"/>
  <c r="R37" i="90"/>
  <c r="BN36" i="90"/>
  <c r="AH36" i="90"/>
  <c r="CD35" i="90"/>
  <c r="BS35" i="90"/>
  <c r="AX35" i="90"/>
  <c r="AM35" i="90"/>
  <c r="R35" i="90"/>
  <c r="BN34" i="90"/>
  <c r="AH34" i="90"/>
  <c r="CD33" i="90"/>
  <c r="BS33" i="90"/>
  <c r="AX33" i="90"/>
  <c r="AM33" i="90"/>
  <c r="R33" i="90"/>
  <c r="BN32" i="90"/>
  <c r="AH32" i="90"/>
  <c r="CD31" i="90"/>
  <c r="BS31" i="90"/>
  <c r="AX31" i="90"/>
  <c r="AM31" i="90"/>
  <c r="R31" i="90"/>
  <c r="BN30" i="90"/>
  <c r="V30" i="90"/>
  <c r="AH29" i="90"/>
  <c r="BN29" i="90"/>
  <c r="AP29" i="90"/>
  <c r="BZ29" i="90"/>
  <c r="BB29" i="90"/>
  <c r="N29" i="90"/>
  <c r="CE28" i="90"/>
  <c r="BO28" i="90"/>
  <c r="BC28" i="90"/>
  <c r="AF74" i="90"/>
  <c r="AF46" i="90"/>
  <c r="BZ50" i="90"/>
  <c r="AT50" i="90"/>
  <c r="N50" i="90"/>
  <c r="CD48" i="90"/>
  <c r="AX48" i="90"/>
  <c r="N48" i="90"/>
  <c r="BR39" i="90"/>
  <c r="BG39" i="90"/>
  <c r="AL39" i="90"/>
  <c r="AA39" i="90"/>
  <c r="CH38" i="90"/>
  <c r="BB38" i="90"/>
  <c r="V38" i="90"/>
  <c r="BR37" i="90"/>
  <c r="BG37" i="90"/>
  <c r="AL37" i="90"/>
  <c r="AA37" i="90"/>
  <c r="CH36" i="90"/>
  <c r="BB36" i="90"/>
  <c r="V36" i="90"/>
  <c r="BR35" i="90"/>
  <c r="BG35" i="90"/>
  <c r="AL35" i="90"/>
  <c r="AA35" i="90"/>
  <c r="CH34" i="90"/>
  <c r="BB34" i="90"/>
  <c r="V34" i="90"/>
  <c r="BR33" i="90"/>
  <c r="BG33" i="90"/>
  <c r="AL33" i="90"/>
  <c r="AA33" i="90"/>
  <c r="CH32" i="90"/>
  <c r="BB32" i="90"/>
  <c r="V32" i="90"/>
  <c r="BR31" i="90"/>
  <c r="BG31" i="90"/>
  <c r="AL31" i="90"/>
  <c r="AA31" i="90"/>
  <c r="CH30" i="90"/>
  <c r="BB30" i="90"/>
  <c r="BV50" i="90"/>
  <c r="AP50" i="90"/>
  <c r="BZ48" i="90"/>
  <c r="BF39" i="90"/>
  <c r="Z39" i="90"/>
  <c r="BV38" i="90"/>
  <c r="AP38" i="90"/>
  <c r="BF37" i="90"/>
  <c r="Z37" i="90"/>
  <c r="BV36" i="90"/>
  <c r="AP36" i="90"/>
  <c r="BF35" i="90"/>
  <c r="Z35" i="90"/>
  <c r="BV34" i="90"/>
  <c r="AP34" i="90"/>
  <c r="BF33" i="90"/>
  <c r="Z33" i="90"/>
  <c r="O33" i="90"/>
  <c r="BV32" i="90"/>
  <c r="AP32" i="90"/>
  <c r="BF31" i="90"/>
  <c r="Z31" i="90"/>
  <c r="BV30" i="90"/>
  <c r="AP30" i="90"/>
  <c r="AD30" i="90"/>
  <c r="AM28" i="90"/>
  <c r="BS28" i="90"/>
  <c r="AE28" i="90"/>
  <c r="AQ28" i="90"/>
  <c r="BW28" i="90"/>
  <c r="O28" i="90"/>
  <c r="AU28" i="90"/>
  <c r="CA28" i="90"/>
  <c r="W28" i="90"/>
  <c r="BH81" i="90"/>
  <c r="BH90" i="90" s="1"/>
  <c r="AB73" i="90"/>
  <c r="AB46" i="90"/>
  <c r="AB90" i="90" s="1"/>
  <c r="BR50" i="90"/>
  <c r="BZ39" i="90"/>
  <c r="AT39" i="90"/>
  <c r="N39" i="90"/>
  <c r="BJ38" i="90"/>
  <c r="AD38" i="90"/>
  <c r="BZ37" i="90"/>
  <c r="AT37" i="90"/>
  <c r="N37" i="90"/>
  <c r="BJ36" i="90"/>
  <c r="AD36" i="90"/>
  <c r="BZ35" i="90"/>
  <c r="AT35" i="90"/>
  <c r="N35" i="90"/>
  <c r="BJ34" i="90"/>
  <c r="AD34" i="90"/>
  <c r="BZ33" i="90"/>
  <c r="AT33" i="90"/>
  <c r="N33" i="90"/>
  <c r="BJ32" i="90"/>
  <c r="AD32" i="90"/>
  <c r="AT31" i="90"/>
  <c r="N31" i="90"/>
  <c r="BJ30" i="90"/>
  <c r="BD80" i="90"/>
  <c r="X72" i="90"/>
  <c r="X46" i="90"/>
  <c r="X90" i="90" s="1"/>
  <c r="R50" i="90"/>
  <c r="AH50" i="90"/>
  <c r="AX50" i="90"/>
  <c r="BN50" i="90"/>
  <c r="CD50" i="90"/>
  <c r="V48" i="90"/>
  <c r="AL48" i="90"/>
  <c r="BB48" i="90"/>
  <c r="BR48" i="90"/>
  <c r="CH48" i="90"/>
  <c r="Z48" i="90"/>
  <c r="AP48" i="90"/>
  <c r="BF48" i="90"/>
  <c r="BV48" i="90"/>
  <c r="CI39" i="90"/>
  <c r="BN39" i="90"/>
  <c r="BC39" i="90"/>
  <c r="CD38" i="90"/>
  <c r="AX38" i="90"/>
  <c r="CI37" i="90"/>
  <c r="BN37" i="90"/>
  <c r="BC37" i="90"/>
  <c r="CD36" i="90"/>
  <c r="AX36" i="90"/>
  <c r="CI35" i="90"/>
  <c r="BN35" i="90"/>
  <c r="BC35" i="90"/>
  <c r="CD34" i="90"/>
  <c r="AX34" i="90"/>
  <c r="CI33" i="90"/>
  <c r="BN33" i="90"/>
  <c r="BC33" i="90"/>
  <c r="CD32" i="90"/>
  <c r="AX32" i="90"/>
  <c r="CI31" i="90"/>
  <c r="BN31" i="90"/>
  <c r="BC31" i="90"/>
  <c r="CD30" i="90"/>
  <c r="AX30" i="90"/>
  <c r="AL30" i="90"/>
  <c r="AJ46" i="90"/>
  <c r="AJ90" i="90" s="1"/>
  <c r="T46" i="90"/>
  <c r="AN76" i="90"/>
  <c r="AN46" i="90"/>
  <c r="AN90" i="90" s="1"/>
  <c r="BJ50" i="90"/>
  <c r="AD50" i="90"/>
  <c r="BN48" i="90"/>
  <c r="AH48" i="90"/>
  <c r="BF28" i="90"/>
  <c r="Z28" i="90"/>
  <c r="BV27" i="90"/>
  <c r="BK27" i="90"/>
  <c r="AZ79" i="90"/>
  <c r="AP27" i="90"/>
  <c r="AE27" i="90"/>
  <c r="T71" i="90"/>
  <c r="BZ51" i="90"/>
  <c r="BJ51" i="90"/>
  <c r="AT51" i="90"/>
  <c r="AD51" i="90"/>
  <c r="CI50" i="90"/>
  <c r="BS50" i="90"/>
  <c r="BC50" i="90"/>
  <c r="AM50" i="90"/>
  <c r="W50" i="90"/>
  <c r="BW48" i="90"/>
  <c r="BG48" i="90"/>
  <c r="AQ48" i="90"/>
  <c r="AA48" i="90"/>
  <c r="CH47" i="90"/>
  <c r="BR47" i="90"/>
  <c r="BB47" i="90"/>
  <c r="AI47" i="90"/>
  <c r="R47" i="90"/>
  <c r="CE46" i="90"/>
  <c r="BS46" i="90"/>
  <c r="BG46" i="90"/>
  <c r="AU46" i="90"/>
  <c r="V46" i="90"/>
  <c r="BJ45" i="90"/>
  <c r="AM44" i="90"/>
  <c r="BS44" i="90"/>
  <c r="W44" i="90"/>
  <c r="BC44" i="90"/>
  <c r="CI44" i="90"/>
  <c r="BZ44" i="90"/>
  <c r="AA44" i="90"/>
  <c r="BO43" i="90"/>
  <c r="BB43" i="90"/>
  <c r="O43" i="90"/>
  <c r="CE42" i="90"/>
  <c r="BR42" i="90"/>
  <c r="BF42" i="90"/>
  <c r="AE42" i="90"/>
  <c r="AU41" i="90"/>
  <c r="AI41" i="90"/>
  <c r="N40" i="90"/>
  <c r="R40" i="90"/>
  <c r="AX40" i="90"/>
  <c r="CD40" i="90"/>
  <c r="AH40" i="90"/>
  <c r="BN40" i="90"/>
  <c r="BK40" i="90"/>
  <c r="AY40" i="90"/>
  <c r="AL40" i="90"/>
  <c r="Z40" i="90"/>
  <c r="CH65" i="90"/>
  <c r="BN65" i="90"/>
  <c r="N65" i="90"/>
  <c r="CI64" i="90"/>
  <c r="BC64" i="90"/>
  <c r="BS63" i="90"/>
  <c r="AM63" i="90"/>
  <c r="W59" i="90"/>
  <c r="AM59" i="90"/>
  <c r="BC59" i="90"/>
  <c r="BS59" i="90"/>
  <c r="CI59" i="90"/>
  <c r="AA59" i="90"/>
  <c r="AQ59" i="90"/>
  <c r="BG59" i="90"/>
  <c r="BW59" i="90"/>
  <c r="O59" i="90"/>
  <c r="S59" i="90"/>
  <c r="AI59" i="90"/>
  <c r="AY59" i="90"/>
  <c r="BO59" i="90"/>
  <c r="CE59" i="90"/>
  <c r="BK59" i="90"/>
  <c r="CA49" i="90"/>
  <c r="BK49" i="90"/>
  <c r="AU49" i="90"/>
  <c r="AE49" i="90"/>
  <c r="O49" i="90"/>
  <c r="CH45" i="90"/>
  <c r="BV45" i="90"/>
  <c r="V45" i="90"/>
  <c r="R44" i="90"/>
  <c r="AX44" i="90"/>
  <c r="CD44" i="90"/>
  <c r="AH44" i="90"/>
  <c r="BN44" i="90"/>
  <c r="AL44" i="90"/>
  <c r="Z44" i="90"/>
  <c r="CA43" i="90"/>
  <c r="BG41" i="90"/>
  <c r="BW40" i="90"/>
  <c r="CH64" i="90"/>
  <c r="BB64" i="90"/>
  <c r="V64" i="90"/>
  <c r="CI60" i="90"/>
  <c r="BC60" i="90"/>
  <c r="W60" i="90"/>
  <c r="W43" i="90"/>
  <c r="BC43" i="90"/>
  <c r="CI43" i="90"/>
  <c r="AM43" i="90"/>
  <c r="BS43" i="90"/>
  <c r="BK43" i="90"/>
  <c r="AY43" i="90"/>
  <c r="CE41" i="90"/>
  <c r="AE41" i="90"/>
  <c r="S41" i="90"/>
  <c r="AA57" i="90"/>
  <c r="AU57" i="90"/>
  <c r="CE57" i="90"/>
  <c r="AE57" i="90"/>
  <c r="BO57" i="90"/>
  <c r="O57" i="90"/>
  <c r="AY57" i="90"/>
  <c r="CI57" i="90"/>
  <c r="AI57" i="90"/>
  <c r="BS57" i="90"/>
  <c r="S57" i="90"/>
  <c r="BC57" i="90"/>
  <c r="AM57" i="90"/>
  <c r="BW57" i="90"/>
  <c r="W57" i="90"/>
  <c r="BG57" i="90"/>
  <c r="CA57" i="90"/>
  <c r="AQ57" i="90"/>
  <c r="BK57" i="90"/>
  <c r="CB86" i="90"/>
  <c r="BR27" i="90"/>
  <c r="BG27" i="90"/>
  <c r="AV78" i="90"/>
  <c r="AL27" i="90"/>
  <c r="AA27" i="90"/>
  <c r="P70" i="90"/>
  <c r="BZ52" i="90"/>
  <c r="BJ52" i="90"/>
  <c r="AT52" i="90"/>
  <c r="AD52" i="90"/>
  <c r="BW49" i="90"/>
  <c r="BG49" i="90"/>
  <c r="AQ49" i="90"/>
  <c r="CA47" i="90"/>
  <c r="BK47" i="90"/>
  <c r="AU47" i="90"/>
  <c r="W46" i="90"/>
  <c r="BC46" i="90"/>
  <c r="CI46" i="90"/>
  <c r="CA46" i="90"/>
  <c r="BO46" i="90"/>
  <c r="BB46" i="90"/>
  <c r="AP46" i="90"/>
  <c r="P46" i="90"/>
  <c r="P90" i="90" s="1"/>
  <c r="BR45" i="90"/>
  <c r="BF45" i="90"/>
  <c r="CH44" i="90"/>
  <c r="BV44" i="90"/>
  <c r="V44" i="90"/>
  <c r="AH43" i="90"/>
  <c r="BN43" i="90"/>
  <c r="R43" i="90"/>
  <c r="AX43" i="90"/>
  <c r="CD43" i="90"/>
  <c r="BW43" i="90"/>
  <c r="BJ43" i="90"/>
  <c r="AM42" i="90"/>
  <c r="BS42" i="90"/>
  <c r="W42" i="90"/>
  <c r="BC42" i="90"/>
  <c r="CI42" i="90"/>
  <c r="BZ42" i="90"/>
  <c r="AA42" i="90"/>
  <c r="AQ41" i="90"/>
  <c r="BG40" i="90"/>
  <c r="AT40" i="90"/>
  <c r="BZ65" i="90"/>
  <c r="BZ64" i="90"/>
  <c r="AT64" i="90"/>
  <c r="CI63" i="90"/>
  <c r="BR61" i="90"/>
  <c r="CA60" i="90"/>
  <c r="AU60" i="90"/>
  <c r="AU59" i="90"/>
  <c r="CA27" i="90"/>
  <c r="BP83" i="90"/>
  <c r="BF27" i="90"/>
  <c r="AU27" i="90"/>
  <c r="AJ75" i="90"/>
  <c r="Z27" i="90"/>
  <c r="O27" i="90"/>
  <c r="CA50" i="90"/>
  <c r="BK50" i="90"/>
  <c r="AU50" i="90"/>
  <c r="AE50" i="90"/>
  <c r="O50" i="90"/>
  <c r="S48" i="90"/>
  <c r="V47" i="90"/>
  <c r="AL47" i="90"/>
  <c r="BZ47" i="90"/>
  <c r="BJ47" i="90"/>
  <c r="AT47" i="90"/>
  <c r="AA47" i="90"/>
  <c r="R46" i="90"/>
  <c r="AH46" i="90"/>
  <c r="BN46" i="90"/>
  <c r="BZ46" i="90"/>
  <c r="AZ46" i="90"/>
  <c r="AZ90" i="90" s="1"/>
  <c r="O46" i="90"/>
  <c r="AD45" i="90"/>
  <c r="AT44" i="90"/>
  <c r="BV43" i="90"/>
  <c r="AU43" i="90"/>
  <c r="AI43" i="90"/>
  <c r="V43" i="90"/>
  <c r="R42" i="90"/>
  <c r="AX42" i="90"/>
  <c r="CD42" i="90"/>
  <c r="AH42" i="90"/>
  <c r="BN42" i="90"/>
  <c r="BK42" i="90"/>
  <c r="AY42" i="90"/>
  <c r="AL42" i="90"/>
  <c r="Z42" i="90"/>
  <c r="CA41" i="90"/>
  <c r="BO41" i="90"/>
  <c r="CE40" i="90"/>
  <c r="AE40" i="90"/>
  <c r="S40" i="90"/>
  <c r="Z65" i="90"/>
  <c r="AP65" i="90"/>
  <c r="BF65" i="90"/>
  <c r="BV65" i="90"/>
  <c r="R65" i="90"/>
  <c r="AH65" i="90"/>
  <c r="AX65" i="90"/>
  <c r="BB65" i="90"/>
  <c r="S64" i="90"/>
  <c r="AI64" i="90"/>
  <c r="AY64" i="90"/>
  <c r="BO64" i="90"/>
  <c r="CE64" i="90"/>
  <c r="AA64" i="90"/>
  <c r="AQ64" i="90"/>
  <c r="BG64" i="90"/>
  <c r="BW64" i="90"/>
  <c r="BS64" i="90"/>
  <c r="AM64" i="90"/>
  <c r="BC63" i="90"/>
  <c r="W63" i="90"/>
  <c r="R61" i="90"/>
  <c r="AH61" i="90"/>
  <c r="AX61" i="90"/>
  <c r="BN61" i="90"/>
  <c r="CD61" i="90"/>
  <c r="Z61" i="90"/>
  <c r="AP61" i="90"/>
  <c r="BF61" i="90"/>
  <c r="BV61" i="90"/>
  <c r="BZ60" i="90"/>
  <c r="AT60" i="90"/>
  <c r="W41" i="90"/>
  <c r="BC41" i="90"/>
  <c r="CI41" i="90"/>
  <c r="AM41" i="90"/>
  <c r="BS41" i="90"/>
  <c r="AA41" i="90"/>
  <c r="Z64" i="90"/>
  <c r="AP64" i="90"/>
  <c r="BF64" i="90"/>
  <c r="BV64" i="90"/>
  <c r="R64" i="90"/>
  <c r="AH64" i="90"/>
  <c r="AX64" i="90"/>
  <c r="BN64" i="90"/>
  <c r="CD64" i="90"/>
  <c r="BR64" i="90"/>
  <c r="AL64" i="90"/>
  <c r="AA60" i="90"/>
  <c r="AQ60" i="90"/>
  <c r="BG60" i="90"/>
  <c r="BW60" i="90"/>
  <c r="S60" i="90"/>
  <c r="AI60" i="90"/>
  <c r="AY60" i="90"/>
  <c r="BO60" i="90"/>
  <c r="CE60" i="90"/>
  <c r="BS60" i="90"/>
  <c r="AM60" i="90"/>
  <c r="CD28" i="90"/>
  <c r="AX28" i="90"/>
  <c r="CI27" i="90"/>
  <c r="BN27" i="90"/>
  <c r="BC27" i="90"/>
  <c r="AR77" i="90"/>
  <c r="AR46" i="90"/>
  <c r="AR90" i="90" s="1"/>
  <c r="L27" i="90"/>
  <c r="BW50" i="90"/>
  <c r="BG50" i="90"/>
  <c r="AQ50" i="90"/>
  <c r="CA48" i="90"/>
  <c r="BK48" i="90"/>
  <c r="AU48" i="90"/>
  <c r="AE48" i="90"/>
  <c r="BX43" i="90"/>
  <c r="BX85" i="90" s="1"/>
  <c r="BV47" i="90"/>
  <c r="BF47" i="90"/>
  <c r="AP47" i="90"/>
  <c r="CH46" i="90"/>
  <c r="BV46" i="90"/>
  <c r="BJ46" i="90"/>
  <c r="AX46" i="90"/>
  <c r="AL46" i="90"/>
  <c r="Z46" i="90"/>
  <c r="W45" i="90"/>
  <c r="BC45" i="90"/>
  <c r="CI45" i="90"/>
  <c r="AM45" i="90"/>
  <c r="BS45" i="90"/>
  <c r="BZ45" i="90"/>
  <c r="AA45" i="90"/>
  <c r="CB44" i="90"/>
  <c r="CB46" i="90" s="1"/>
  <c r="CB90" i="90" s="1"/>
  <c r="AQ44" i="90"/>
  <c r="AD44" i="90"/>
  <c r="BR43" i="90"/>
  <c r="BF43" i="90"/>
  <c r="AE43" i="90"/>
  <c r="S43" i="90"/>
  <c r="CH42" i="90"/>
  <c r="BV42" i="90"/>
  <c r="AU42" i="90"/>
  <c r="AI42" i="90"/>
  <c r="V42" i="90"/>
  <c r="AH41" i="90"/>
  <c r="BN41" i="90"/>
  <c r="R41" i="90"/>
  <c r="AX41" i="90"/>
  <c r="CD41" i="90"/>
  <c r="BK41" i="90"/>
  <c r="AY41" i="90"/>
  <c r="AL41" i="90"/>
  <c r="Z41" i="90"/>
  <c r="CA40" i="90"/>
  <c r="BO40" i="90"/>
  <c r="BB40" i="90"/>
  <c r="AP40" i="90"/>
  <c r="BR65" i="90"/>
  <c r="AT65" i="90"/>
  <c r="V65" i="90"/>
  <c r="BK64" i="90"/>
  <c r="AE64" i="90"/>
  <c r="CA63" i="90"/>
  <c r="AU63" i="90"/>
  <c r="R60" i="90"/>
  <c r="AH60" i="90"/>
  <c r="AX60" i="90"/>
  <c r="BN60" i="90"/>
  <c r="CD60" i="90"/>
  <c r="Z60" i="90"/>
  <c r="AP60" i="90"/>
  <c r="BF60" i="90"/>
  <c r="BV60" i="90"/>
  <c r="BR60" i="90"/>
  <c r="AL60" i="90"/>
  <c r="AE59" i="90"/>
  <c r="AH45" i="90"/>
  <c r="BN45" i="90"/>
  <c r="R45" i="90"/>
  <c r="AX45" i="90"/>
  <c r="CD45" i="90"/>
  <c r="AL45" i="90"/>
  <c r="Z45" i="90"/>
  <c r="CE43" i="90"/>
  <c r="AQ43" i="90"/>
  <c r="BT42" i="90"/>
  <c r="BT84" i="90" s="1"/>
  <c r="BW41" i="90"/>
  <c r="AM40" i="90"/>
  <c r="BS40" i="90"/>
  <c r="W40" i="90"/>
  <c r="BC40" i="90"/>
  <c r="CI40" i="90"/>
  <c r="AA40" i="90"/>
  <c r="BJ64" i="90"/>
  <c r="AD64" i="90"/>
  <c r="S63" i="90"/>
  <c r="AI63" i="90"/>
  <c r="AY63" i="90"/>
  <c r="BO63" i="90"/>
  <c r="CE63" i="90"/>
  <c r="AA63" i="90"/>
  <c r="AQ63" i="90"/>
  <c r="BG63" i="90"/>
  <c r="BW63" i="90"/>
  <c r="BK60" i="90"/>
  <c r="AE60" i="90"/>
  <c r="CH62" i="90"/>
  <c r="BR62" i="90"/>
  <c r="BB62" i="90"/>
  <c r="AL62" i="90"/>
  <c r="V62" i="90"/>
  <c r="CA61" i="90"/>
  <c r="BK61" i="90"/>
  <c r="AU61" i="90"/>
  <c r="AE61" i="90"/>
  <c r="O61" i="90"/>
  <c r="BZ58" i="90"/>
  <c r="BJ58" i="90"/>
  <c r="AQ58" i="90"/>
  <c r="Z58" i="90"/>
  <c r="BZ56" i="90"/>
  <c r="BF56" i="90"/>
  <c r="N56" i="90"/>
  <c r="V54" i="90"/>
  <c r="AL54" i="90"/>
  <c r="BB54" i="90"/>
  <c r="BR54" i="90"/>
  <c r="CH54" i="90"/>
  <c r="BN54" i="90"/>
  <c r="AH54" i="90"/>
  <c r="AD77" i="90"/>
  <c r="O73" i="90"/>
  <c r="AU73" i="90"/>
  <c r="CA73" i="90"/>
  <c r="AM73" i="90"/>
  <c r="BS73" i="90"/>
  <c r="S73" i="90"/>
  <c r="AY73" i="90"/>
  <c r="CE73" i="90"/>
  <c r="AE73" i="90"/>
  <c r="BK73" i="90"/>
  <c r="W73" i="90"/>
  <c r="BC73" i="90"/>
  <c r="CI73" i="90"/>
  <c r="AI73" i="90"/>
  <c r="BO73" i="90"/>
  <c r="AA73" i="90"/>
  <c r="BV56" i="90"/>
  <c r="AD56" i="90"/>
  <c r="BJ77" i="90"/>
  <c r="AA74" i="90"/>
  <c r="BR63" i="90"/>
  <c r="BB63" i="90"/>
  <c r="AL63" i="90"/>
  <c r="V63" i="90"/>
  <c r="CA62" i="90"/>
  <c r="BK62" i="90"/>
  <c r="AU62" i="90"/>
  <c r="AE62" i="90"/>
  <c r="O62" i="90"/>
  <c r="BZ59" i="90"/>
  <c r="BJ59" i="90"/>
  <c r="AT59" i="90"/>
  <c r="AD59" i="90"/>
  <c r="N59" i="90"/>
  <c r="BR56" i="90"/>
  <c r="AX56" i="90"/>
  <c r="BZ55" i="90"/>
  <c r="AT55" i="90"/>
  <c r="O75" i="90"/>
  <c r="AU75" i="90"/>
  <c r="AM75" i="90"/>
  <c r="BS75" i="90"/>
  <c r="S75" i="90"/>
  <c r="AE75" i="90"/>
  <c r="BK75" i="90"/>
  <c r="W75" i="90"/>
  <c r="BC75" i="90"/>
  <c r="CI75" i="90"/>
  <c r="AI75" i="90"/>
  <c r="BO75" i="90"/>
  <c r="BG75" i="90"/>
  <c r="AQ74" i="90"/>
  <c r="CA65" i="90"/>
  <c r="BK65" i="90"/>
  <c r="AU65" i="90"/>
  <c r="AE65" i="90"/>
  <c r="BZ62" i="90"/>
  <c r="BJ62" i="90"/>
  <c r="AT62" i="90"/>
  <c r="AD62" i="90"/>
  <c r="CI61" i="90"/>
  <c r="BS61" i="90"/>
  <c r="BC61" i="90"/>
  <c r="AM61" i="90"/>
  <c r="CH58" i="90"/>
  <c r="BR58" i="90"/>
  <c r="BB58" i="90"/>
  <c r="AT56" i="90"/>
  <c r="Z56" i="90"/>
  <c r="AA55" i="90"/>
  <c r="AQ55" i="90"/>
  <c r="BG55" i="90"/>
  <c r="BW55" i="90"/>
  <c r="BS55" i="90"/>
  <c r="AM55" i="90"/>
  <c r="CD54" i="90"/>
  <c r="AX54" i="90"/>
  <c r="R54" i="90"/>
  <c r="W78" i="90"/>
  <c r="BC78" i="90"/>
  <c r="CI78" i="90"/>
  <c r="O78" i="90"/>
  <c r="AU78" i="90"/>
  <c r="CA78" i="90"/>
  <c r="AM78" i="90"/>
  <c r="BS78" i="90"/>
  <c r="S78" i="90"/>
  <c r="AY78" i="90"/>
  <c r="CE78" i="90"/>
  <c r="BW78" i="90"/>
  <c r="AQ78" i="90"/>
  <c r="AM77" i="90"/>
  <c r="BS77" i="90"/>
  <c r="AE77" i="90"/>
  <c r="BK77" i="90"/>
  <c r="W77" i="90"/>
  <c r="BC77" i="90"/>
  <c r="CI77" i="90"/>
  <c r="AI77" i="90"/>
  <c r="BO77" i="90"/>
  <c r="BG77" i="90"/>
  <c r="AQ77" i="90"/>
  <c r="W76" i="90"/>
  <c r="BC76" i="90"/>
  <c r="CI76" i="90"/>
  <c r="O76" i="90"/>
  <c r="AU76" i="90"/>
  <c r="CA76" i="90"/>
  <c r="AM76" i="90"/>
  <c r="BS76" i="90"/>
  <c r="S76" i="90"/>
  <c r="AY76" i="90"/>
  <c r="CE76" i="90"/>
  <c r="BW76" i="90"/>
  <c r="AQ76" i="90"/>
  <c r="AA76" i="90"/>
  <c r="Z75" i="90"/>
  <c r="BF75" i="90"/>
  <c r="R75" i="90"/>
  <c r="AX75" i="90"/>
  <c r="CD75" i="90"/>
  <c r="AD75" i="90"/>
  <c r="AP75" i="90"/>
  <c r="BV75" i="90"/>
  <c r="AH75" i="90"/>
  <c r="BN75" i="90"/>
  <c r="N75" i="90"/>
  <c r="AT75" i="90"/>
  <c r="BZ75" i="90"/>
  <c r="BW75" i="90"/>
  <c r="AL75" i="90"/>
  <c r="AQ73" i="90"/>
  <c r="V56" i="90"/>
  <c r="R55" i="90"/>
  <c r="AH55" i="90"/>
  <c r="AX55" i="90"/>
  <c r="BN55" i="90"/>
  <c r="CD55" i="90"/>
  <c r="V55" i="90"/>
  <c r="AL55" i="90"/>
  <c r="BB55" i="90"/>
  <c r="BR55" i="90"/>
  <c r="CH55" i="90"/>
  <c r="Z55" i="90"/>
  <c r="AP55" i="90"/>
  <c r="BF55" i="90"/>
  <c r="BV55" i="90"/>
  <c r="R77" i="90"/>
  <c r="AX77" i="90"/>
  <c r="CD77" i="90"/>
  <c r="AP77" i="90"/>
  <c r="BV77" i="90"/>
  <c r="AH77" i="90"/>
  <c r="BN77" i="90"/>
  <c r="N77" i="90"/>
  <c r="AT77" i="90"/>
  <c r="BZ77" i="90"/>
  <c r="BF77" i="90"/>
  <c r="AE74" i="90"/>
  <c r="BK74" i="90"/>
  <c r="W74" i="90"/>
  <c r="BC74" i="90"/>
  <c r="CI74" i="90"/>
  <c r="AI74" i="90"/>
  <c r="BO74" i="90"/>
  <c r="O74" i="90"/>
  <c r="AU74" i="90"/>
  <c r="CA74" i="90"/>
  <c r="AM74" i="90"/>
  <c r="BS74" i="90"/>
  <c r="S74" i="90"/>
  <c r="AY74" i="90"/>
  <c r="CE74" i="90"/>
  <c r="BW74" i="90"/>
  <c r="BJ56" i="90"/>
  <c r="AP56" i="90"/>
  <c r="AL77" i="90"/>
  <c r="V77" i="90"/>
  <c r="BG73" i="90"/>
  <c r="BZ63" i="90"/>
  <c r="BJ63" i="90"/>
  <c r="AT63" i="90"/>
  <c r="AD63" i="90"/>
  <c r="CI62" i="90"/>
  <c r="BS62" i="90"/>
  <c r="BC62" i="90"/>
  <c r="AM62" i="90"/>
  <c r="CH59" i="90"/>
  <c r="BR59" i="90"/>
  <c r="BB59" i="90"/>
  <c r="AL59" i="90"/>
  <c r="S58" i="90"/>
  <c r="AI58" i="90"/>
  <c r="AY58" i="90"/>
  <c r="CA58" i="90"/>
  <c r="BK58" i="90"/>
  <c r="AA58" i="90"/>
  <c r="CD56" i="90"/>
  <c r="AL56" i="90"/>
  <c r="BJ55" i="90"/>
  <c r="AD55" i="90"/>
  <c r="CH77" i="90"/>
  <c r="BR77" i="90"/>
  <c r="BB77" i="90"/>
  <c r="AY75" i="90"/>
  <c r="AA75" i="90"/>
  <c r="W72" i="90"/>
  <c r="BK72" i="90"/>
  <c r="S72" i="90"/>
  <c r="AE72" i="90"/>
  <c r="AQ72" i="90"/>
  <c r="BW72" i="90"/>
  <c r="BC72" i="90"/>
  <c r="CI72" i="90"/>
  <c r="AI72" i="90"/>
  <c r="BO72" i="90"/>
  <c r="AU72" i="90"/>
  <c r="CA72" i="90"/>
  <c r="O72" i="90"/>
  <c r="AA72" i="90"/>
  <c r="AM72" i="90"/>
  <c r="BS72" i="90"/>
  <c r="AY72" i="90"/>
  <c r="CE72" i="90"/>
  <c r="CA53" i="90"/>
  <c r="BK53" i="90"/>
  <c r="AU53" i="90"/>
  <c r="AE53" i="90"/>
  <c r="BJ78" i="90"/>
  <c r="AD78" i="90"/>
  <c r="BJ76" i="90"/>
  <c r="AD76" i="90"/>
  <c r="BJ74" i="90"/>
  <c r="AD74" i="90"/>
  <c r="BZ73" i="90"/>
  <c r="AT73" i="90"/>
  <c r="N73" i="90"/>
  <c r="BJ72" i="90"/>
  <c r="AH70" i="90"/>
  <c r="BN70" i="90"/>
  <c r="AL70" i="90"/>
  <c r="BR70" i="90"/>
  <c r="R70" i="90"/>
  <c r="AX70" i="90"/>
  <c r="CD70" i="90"/>
  <c r="BJ70" i="90"/>
  <c r="CE69" i="90"/>
  <c r="AA69" i="90"/>
  <c r="BF68" i="90"/>
  <c r="R66" i="90"/>
  <c r="AH66" i="90"/>
  <c r="AX66" i="90"/>
  <c r="BN66" i="90"/>
  <c r="CD66" i="90"/>
  <c r="Z66" i="90"/>
  <c r="AP66" i="90"/>
  <c r="BF66" i="90"/>
  <c r="BV66" i="90"/>
  <c r="BR66" i="90"/>
  <c r="AT66" i="90"/>
  <c r="S66" i="90"/>
  <c r="Z87" i="90"/>
  <c r="CA56" i="90"/>
  <c r="BK56" i="90"/>
  <c r="AU56" i="90"/>
  <c r="AE56" i="90"/>
  <c r="O56" i="90"/>
  <c r="CE54" i="90"/>
  <c r="BO54" i="90"/>
  <c r="AY54" i="90"/>
  <c r="AI54" i="90"/>
  <c r="S54" i="90"/>
  <c r="BZ53" i="90"/>
  <c r="BJ53" i="90"/>
  <c r="AT53" i="90"/>
  <c r="AD53" i="90"/>
  <c r="N53" i="90"/>
  <c r="CD78" i="90"/>
  <c r="AX78" i="90"/>
  <c r="R78" i="90"/>
  <c r="CD76" i="90"/>
  <c r="AX76" i="90"/>
  <c r="R76" i="90"/>
  <c r="CD74" i="90"/>
  <c r="AX74" i="90"/>
  <c r="R74" i="90"/>
  <c r="BN73" i="90"/>
  <c r="AH73" i="90"/>
  <c r="CD72" i="90"/>
  <c r="AX72" i="90"/>
  <c r="AU71" i="90"/>
  <c r="AI71" i="90"/>
  <c r="AT70" i="90"/>
  <c r="BO69" i="90"/>
  <c r="AH68" i="90"/>
  <c r="BN68" i="90"/>
  <c r="AL68" i="90"/>
  <c r="BR68" i="90"/>
  <c r="R68" i="90"/>
  <c r="AX68" i="90"/>
  <c r="CD68" i="90"/>
  <c r="BV68" i="90"/>
  <c r="V68" i="90"/>
  <c r="BO66" i="90"/>
  <c r="AQ66" i="90"/>
  <c r="O66" i="90"/>
  <c r="AM87" i="90"/>
  <c r="BS87" i="90"/>
  <c r="AE87" i="90"/>
  <c r="AQ87" i="90"/>
  <c r="BW87" i="90"/>
  <c r="W87" i="90"/>
  <c r="BC87" i="90"/>
  <c r="CI87" i="90"/>
  <c r="AI87" i="90"/>
  <c r="BO87" i="90"/>
  <c r="BG87" i="90"/>
  <c r="BG85" i="90"/>
  <c r="R87" i="90"/>
  <c r="AX87" i="90"/>
  <c r="CD87" i="90"/>
  <c r="AP87" i="90"/>
  <c r="V87" i="90"/>
  <c r="BB87" i="90"/>
  <c r="CH87" i="90"/>
  <c r="AH87" i="90"/>
  <c r="BN87" i="90"/>
  <c r="N87" i="90"/>
  <c r="AT87" i="90"/>
  <c r="BZ87" i="90"/>
  <c r="BF87" i="90"/>
  <c r="AL87" i="90"/>
  <c r="AM79" i="90"/>
  <c r="BS79" i="90"/>
  <c r="S79" i="90"/>
  <c r="AY79" i="90"/>
  <c r="CE79" i="90"/>
  <c r="AE79" i="90"/>
  <c r="BK79" i="90"/>
  <c r="AQ79" i="90"/>
  <c r="BW79" i="90"/>
  <c r="W79" i="90"/>
  <c r="BC79" i="90"/>
  <c r="CI79" i="90"/>
  <c r="AI79" i="90"/>
  <c r="BO79" i="90"/>
  <c r="O79" i="90"/>
  <c r="AU79" i="90"/>
  <c r="CA79" i="90"/>
  <c r="CA54" i="90"/>
  <c r="BK54" i="90"/>
  <c r="AU54" i="90"/>
  <c r="AE54" i="90"/>
  <c r="O54" i="90"/>
  <c r="BF78" i="90"/>
  <c r="Z78" i="90"/>
  <c r="BF76" i="90"/>
  <c r="Z76" i="90"/>
  <c r="BF74" i="90"/>
  <c r="Z74" i="90"/>
  <c r="BV73" i="90"/>
  <c r="AP73" i="90"/>
  <c r="BF72" i="90"/>
  <c r="BK69" i="90"/>
  <c r="CH68" i="90"/>
  <c r="CH66" i="90"/>
  <c r="BJ66" i="90"/>
  <c r="AI66" i="90"/>
  <c r="BR87" i="90"/>
  <c r="S87" i="90"/>
  <c r="AM83" i="90"/>
  <c r="BS83" i="90"/>
  <c r="S83" i="90"/>
  <c r="AY83" i="90"/>
  <c r="CE83" i="90"/>
  <c r="AE83" i="90"/>
  <c r="BK83" i="90"/>
  <c r="AQ83" i="90"/>
  <c r="BW83" i="90"/>
  <c r="W83" i="90"/>
  <c r="BC83" i="90"/>
  <c r="CI83" i="90"/>
  <c r="AI83" i="90"/>
  <c r="BO83" i="90"/>
  <c r="O83" i="90"/>
  <c r="AU83" i="90"/>
  <c r="CA83" i="90"/>
  <c r="AM81" i="90"/>
  <c r="BS81" i="90"/>
  <c r="S81" i="90"/>
  <c r="AY81" i="90"/>
  <c r="CE81" i="90"/>
  <c r="AE81" i="90"/>
  <c r="BK81" i="90"/>
  <c r="AQ81" i="90"/>
  <c r="BW81" i="90"/>
  <c r="W81" i="90"/>
  <c r="BC81" i="90"/>
  <c r="CI81" i="90"/>
  <c r="AI81" i="90"/>
  <c r="BO81" i="90"/>
  <c r="O81" i="90"/>
  <c r="AU81" i="90"/>
  <c r="CA81" i="90"/>
  <c r="BJ73" i="90"/>
  <c r="AD73" i="90"/>
  <c r="AM71" i="90"/>
  <c r="BS71" i="90"/>
  <c r="W71" i="90"/>
  <c r="BC71" i="90"/>
  <c r="CA71" i="90"/>
  <c r="BO71" i="90"/>
  <c r="AQ71" i="90"/>
  <c r="O71" i="90"/>
  <c r="AM69" i="90"/>
  <c r="BS69" i="90"/>
  <c r="AQ69" i="90"/>
  <c r="BW69" i="90"/>
  <c r="W69" i="90"/>
  <c r="BC69" i="90"/>
  <c r="CI69" i="90"/>
  <c r="AU69" i="90"/>
  <c r="S69" i="90"/>
  <c r="CE66" i="90"/>
  <c r="BG66" i="90"/>
  <c r="AE66" i="90"/>
  <c r="BZ57" i="90"/>
  <c r="BJ57" i="90"/>
  <c r="AT57" i="90"/>
  <c r="AD57" i="90"/>
  <c r="CI56" i="90"/>
  <c r="BS56" i="90"/>
  <c r="BC56" i="90"/>
  <c r="AM56" i="90"/>
  <c r="BW54" i="90"/>
  <c r="BG54" i="90"/>
  <c r="AQ54" i="90"/>
  <c r="CH53" i="90"/>
  <c r="BR53" i="90"/>
  <c r="BB53" i="90"/>
  <c r="AL53" i="90"/>
  <c r="BN78" i="90"/>
  <c r="BN76" i="90"/>
  <c r="BN74" i="90"/>
  <c r="CD73" i="90"/>
  <c r="AX73" i="90"/>
  <c r="R73" i="90"/>
  <c r="BN72" i="90"/>
  <c r="R71" i="90"/>
  <c r="AX71" i="90"/>
  <c r="CD71" i="90"/>
  <c r="V71" i="90"/>
  <c r="AH71" i="90"/>
  <c r="BZ71" i="90"/>
  <c r="BN71" i="90"/>
  <c r="BB71" i="90"/>
  <c r="AP71" i="90"/>
  <c r="N71" i="90"/>
  <c r="R69" i="90"/>
  <c r="AX69" i="90"/>
  <c r="CD69" i="90"/>
  <c r="V69" i="90"/>
  <c r="BB69" i="90"/>
  <c r="CH69" i="90"/>
  <c r="AH69" i="90"/>
  <c r="BN69" i="90"/>
  <c r="BV69" i="90"/>
  <c r="AT69" i="90"/>
  <c r="AE69" i="90"/>
  <c r="N68" i="90"/>
  <c r="BB66" i="90"/>
  <c r="AD66" i="90"/>
  <c r="CE87" i="90"/>
  <c r="AY87" i="90"/>
  <c r="AD87" i="90"/>
  <c r="O87" i="90"/>
  <c r="BG83" i="90"/>
  <c r="BG81" i="90"/>
  <c r="BG79" i="90"/>
  <c r="AA79" i="90"/>
  <c r="BF73" i="90"/>
  <c r="CI71" i="90"/>
  <c r="BW71" i="90"/>
  <c r="BK71" i="90"/>
  <c r="AY71" i="90"/>
  <c r="W66" i="90"/>
  <c r="AM66" i="90"/>
  <c r="BC66" i="90"/>
  <c r="BS66" i="90"/>
  <c r="CI66" i="90"/>
  <c r="BW66" i="90"/>
  <c r="AU66" i="90"/>
  <c r="BJ87" i="90"/>
  <c r="AM85" i="90"/>
  <c r="BS85" i="90"/>
  <c r="S85" i="90"/>
  <c r="AY85" i="90"/>
  <c r="CE85" i="90"/>
  <c r="AE85" i="90"/>
  <c r="BK85" i="90"/>
  <c r="AQ85" i="90"/>
  <c r="BW85" i="90"/>
  <c r="W85" i="90"/>
  <c r="BC85" i="90"/>
  <c r="CI85" i="90"/>
  <c r="AI85" i="90"/>
  <c r="BO85" i="90"/>
  <c r="O85" i="90"/>
  <c r="AU85" i="90"/>
  <c r="CA85" i="90"/>
  <c r="AA23" i="91"/>
  <c r="O23" i="91"/>
  <c r="S23" i="91"/>
  <c r="W23" i="91"/>
  <c r="BF85" i="90"/>
  <c r="Z85" i="90"/>
  <c r="BF83" i="90"/>
  <c r="Z83" i="90"/>
  <c r="BF81" i="90"/>
  <c r="Z81" i="90"/>
  <c r="BF79" i="90"/>
  <c r="Z79" i="90"/>
  <c r="BA7" i="91"/>
  <c r="BJ86" i="90"/>
  <c r="AD86" i="90"/>
  <c r="BZ85" i="90"/>
  <c r="AT85" i="90"/>
  <c r="N85" i="90"/>
  <c r="BJ84" i="90"/>
  <c r="AD84" i="90"/>
  <c r="BZ83" i="90"/>
  <c r="AT83" i="90"/>
  <c r="N83" i="90"/>
  <c r="BJ82" i="90"/>
  <c r="AD82" i="90"/>
  <c r="BZ81" i="90"/>
  <c r="AT81" i="90"/>
  <c r="N81" i="90"/>
  <c r="BJ80" i="90"/>
  <c r="AD80" i="90"/>
  <c r="BZ79" i="90"/>
  <c r="AT79" i="90"/>
  <c r="N79" i="90"/>
  <c r="AA24" i="91"/>
  <c r="AA20" i="91"/>
  <c r="N15" i="91"/>
  <c r="AA12" i="91"/>
  <c r="W12" i="91"/>
  <c r="O12" i="91"/>
  <c r="BS70" i="90"/>
  <c r="AM70" i="90"/>
  <c r="BS68" i="90"/>
  <c r="AM68" i="90"/>
  <c r="CA67" i="90"/>
  <c r="BK67" i="90"/>
  <c r="AU67" i="90"/>
  <c r="AE67" i="90"/>
  <c r="O67" i="90"/>
  <c r="CD86" i="90"/>
  <c r="BS86" i="90"/>
  <c r="AX86" i="90"/>
  <c r="AM86" i="90"/>
  <c r="R86" i="90"/>
  <c r="BN85" i="90"/>
  <c r="AH85" i="90"/>
  <c r="CD84" i="90"/>
  <c r="AX84" i="90"/>
  <c r="AM84" i="90"/>
  <c r="R84" i="90"/>
  <c r="BN83" i="90"/>
  <c r="AH83" i="90"/>
  <c r="CD82" i="90"/>
  <c r="AX82" i="90"/>
  <c r="R82" i="90"/>
  <c r="BN81" i="90"/>
  <c r="AH81" i="90"/>
  <c r="CD80" i="90"/>
  <c r="AX80" i="90"/>
  <c r="R80" i="90"/>
  <c r="BN79" i="90"/>
  <c r="AH79" i="90"/>
  <c r="V28" i="91"/>
  <c r="V20" i="91"/>
  <c r="T14" i="91"/>
  <c r="T16" i="91" s="1"/>
  <c r="X15" i="91"/>
  <c r="X16" i="91" s="1"/>
  <c r="R12" i="91"/>
  <c r="V12" i="91"/>
  <c r="N12" i="91"/>
  <c r="BG70" i="90"/>
  <c r="AA70" i="90"/>
  <c r="BG68" i="90"/>
  <c r="AA68" i="90"/>
  <c r="BZ67" i="90"/>
  <c r="BJ67" i="90"/>
  <c r="AT67" i="90"/>
  <c r="AD67" i="90"/>
  <c r="BR86" i="90"/>
  <c r="BG86" i="90"/>
  <c r="AL86" i="90"/>
  <c r="AA86" i="90"/>
  <c r="CH85" i="90"/>
  <c r="BB85" i="90"/>
  <c r="V85" i="90"/>
  <c r="BR84" i="90"/>
  <c r="BG84" i="90"/>
  <c r="AL84" i="90"/>
  <c r="AA84" i="90"/>
  <c r="CH83" i="90"/>
  <c r="BB83" i="90"/>
  <c r="V83" i="90"/>
  <c r="BR82" i="90"/>
  <c r="BG82" i="90"/>
  <c r="AL82" i="90"/>
  <c r="CH81" i="90"/>
  <c r="BB81" i="90"/>
  <c r="V81" i="90"/>
  <c r="BR80" i="90"/>
  <c r="BG80" i="90"/>
  <c r="AL80" i="90"/>
  <c r="CH79" i="90"/>
  <c r="BB79" i="90"/>
  <c r="V79" i="90"/>
  <c r="S28" i="91"/>
  <c r="O25" i="91"/>
  <c r="O17" i="91"/>
  <c r="S16" i="91"/>
  <c r="S14" i="91"/>
  <c r="O14" i="91"/>
  <c r="BF86" i="90"/>
  <c r="Z86" i="90"/>
  <c r="BV85" i="90"/>
  <c r="AP85" i="90"/>
  <c r="BF84" i="90"/>
  <c r="Z84" i="90"/>
  <c r="BV83" i="90"/>
  <c r="AP83" i="90"/>
  <c r="BF82" i="90"/>
  <c r="Z82" i="90"/>
  <c r="BV81" i="90"/>
  <c r="AP81" i="90"/>
  <c r="BF80" i="90"/>
  <c r="Z80" i="90"/>
  <c r="BV79" i="90"/>
  <c r="AP79" i="90"/>
  <c r="R28" i="91"/>
  <c r="N25" i="91"/>
  <c r="V25" i="91"/>
  <c r="V21" i="91"/>
  <c r="N21" i="91"/>
  <c r="N17" i="91"/>
  <c r="V17" i="91"/>
  <c r="O16" i="91"/>
  <c r="V15" i="91"/>
  <c r="W39" i="91"/>
  <c r="O39" i="91"/>
  <c r="AA39" i="91"/>
  <c r="S39" i="91"/>
  <c r="V37" i="91"/>
  <c r="Z37" i="91"/>
  <c r="N37" i="91"/>
  <c r="AT86" i="90"/>
  <c r="N86" i="90"/>
  <c r="BJ85" i="90"/>
  <c r="AD85" i="90"/>
  <c r="N84" i="90"/>
  <c r="BJ83" i="90"/>
  <c r="AD83" i="90"/>
  <c r="BJ81" i="90"/>
  <c r="AD81" i="90"/>
  <c r="BJ79" i="90"/>
  <c r="AD79" i="90"/>
  <c r="N28" i="91"/>
  <c r="W24" i="91"/>
  <c r="O24" i="91"/>
  <c r="O20" i="91"/>
  <c r="W20" i="91"/>
  <c r="V16" i="91"/>
  <c r="R16" i="91"/>
  <c r="N16" i="91"/>
  <c r="V38" i="91"/>
  <c r="N38" i="91"/>
  <c r="Z38" i="91"/>
  <c r="R38" i="91"/>
  <c r="W32" i="91"/>
  <c r="AA32" i="91"/>
  <c r="O32" i="91"/>
  <c r="CI70" i="90"/>
  <c r="BC70" i="90"/>
  <c r="CI68" i="90"/>
  <c r="BC68" i="90"/>
  <c r="CI67" i="90"/>
  <c r="BS67" i="90"/>
  <c r="BC67" i="90"/>
  <c r="AM67" i="90"/>
  <c r="BN86" i="90"/>
  <c r="BC86" i="90"/>
  <c r="CD85" i="90"/>
  <c r="AX85" i="90"/>
  <c r="BN84" i="90"/>
  <c r="CD83" i="90"/>
  <c r="AX83" i="90"/>
  <c r="BN82" i="90"/>
  <c r="CD81" i="90"/>
  <c r="AX81" i="90"/>
  <c r="BN80" i="90"/>
  <c r="CD79" i="90"/>
  <c r="AX79" i="90"/>
  <c r="L12" i="91"/>
  <c r="S13" i="91"/>
  <c r="W13" i="91"/>
  <c r="P13" i="91"/>
  <c r="T41" i="91"/>
  <c r="T9" i="91"/>
  <c r="V29" i="91"/>
  <c r="Z29" i="91"/>
  <c r="N29" i="91"/>
  <c r="Z36" i="91"/>
  <c r="S35" i="91"/>
  <c r="R32" i="91"/>
  <c r="AA31" i="91"/>
  <c r="AA15" i="91"/>
  <c r="N13" i="91"/>
  <c r="P9" i="91"/>
  <c r="V42" i="91"/>
  <c r="S40" i="91"/>
  <c r="R39" i="91"/>
  <c r="W36" i="91"/>
  <c r="AA34" i="91"/>
  <c r="V33" i="91"/>
  <c r="Z31" i="91"/>
  <c r="R27" i="91"/>
  <c r="AA26" i="91"/>
  <c r="Z23" i="91"/>
  <c r="S22" i="91"/>
  <c r="R19" i="91"/>
  <c r="AA18" i="91"/>
  <c r="V36" i="91"/>
  <c r="O35" i="91"/>
  <c r="S33" i="91"/>
  <c r="N32" i="91"/>
  <c r="W31" i="91"/>
  <c r="R30" i="91"/>
  <c r="S36" i="91"/>
  <c r="R33" i="91"/>
  <c r="R42" i="91"/>
  <c r="R36" i="91"/>
  <c r="S31" i="91"/>
  <c r="S20" i="75"/>
  <c r="AA20" i="75"/>
  <c r="W20" i="75"/>
  <c r="O20" i="75"/>
  <c r="AF14" i="75"/>
  <c r="AJ14" i="75"/>
  <c r="AN16" i="75" s="1"/>
  <c r="S12" i="77"/>
  <c r="AA12" i="77"/>
  <c r="O12" i="77"/>
  <c r="W12" i="77"/>
  <c r="T22" i="78"/>
  <c r="AB22" i="78"/>
  <c r="Q18" i="75"/>
  <c r="Y18" i="75"/>
  <c r="AH30" i="75"/>
  <c r="AT30" i="75"/>
  <c r="AL30" i="75"/>
  <c r="AX30" i="75"/>
  <c r="AD30" i="75"/>
  <c r="AP30" i="75"/>
  <c r="AR20" i="75"/>
  <c r="AN34" i="75"/>
  <c r="Q20" i="75"/>
  <c r="Y20" i="75"/>
  <c r="M20" i="75"/>
  <c r="W19" i="75"/>
  <c r="O19" i="75"/>
  <c r="AA17" i="75"/>
  <c r="S17" i="75"/>
  <c r="W17" i="75"/>
  <c r="AL26" i="75"/>
  <c r="AH26" i="75"/>
  <c r="AT26" i="75"/>
  <c r="AX26" i="75"/>
  <c r="AD26" i="75"/>
  <c r="AP26" i="75"/>
  <c r="X13" i="77"/>
  <c r="T23" i="77"/>
  <c r="R12" i="77"/>
  <c r="Z12" i="77"/>
  <c r="V12" i="77"/>
  <c r="N12" i="77"/>
  <c r="N20" i="78"/>
  <c r="Z20" i="78"/>
  <c r="V20" i="78"/>
  <c r="R20" i="78"/>
  <c r="AE33" i="75"/>
  <c r="AM33" i="75"/>
  <c r="AU33" i="75"/>
  <c r="AI33" i="75"/>
  <c r="AQ33" i="75"/>
  <c r="AY33" i="75"/>
  <c r="AA21" i="77"/>
  <c r="W21" i="77"/>
  <c r="O21" i="77"/>
  <c r="S21" i="77"/>
  <c r="Z21" i="75"/>
  <c r="AQ19" i="75"/>
  <c r="AY19" i="75"/>
  <c r="AI19" i="75"/>
  <c r="AM19" i="75"/>
  <c r="AU19" i="75"/>
  <c r="V19" i="75"/>
  <c r="N19" i="75"/>
  <c r="Z19" i="75"/>
  <c r="R19" i="75"/>
  <c r="AH18" i="75"/>
  <c r="AT18" i="75"/>
  <c r="AL18" i="75"/>
  <c r="AD18" i="75"/>
  <c r="AA26" i="75"/>
  <c r="W26" i="75"/>
  <c r="O26" i="75"/>
  <c r="AA14" i="76"/>
  <c r="O14" i="76"/>
  <c r="S14" i="76"/>
  <c r="O23" i="77"/>
  <c r="W23" i="77"/>
  <c r="AA23" i="77"/>
  <c r="X34" i="75"/>
  <c r="AB20" i="75"/>
  <c r="U18" i="75"/>
  <c r="AJ10" i="75"/>
  <c r="AN12" i="75" s="1"/>
  <c r="AR13" i="75" s="1"/>
  <c r="AV14" i="75" s="1"/>
  <c r="AF11" i="75"/>
  <c r="R33" i="75"/>
  <c r="Z33" i="75"/>
  <c r="U32" i="75"/>
  <c r="M32" i="75"/>
  <c r="Y32" i="75"/>
  <c r="Q32" i="75"/>
  <c r="O23" i="75"/>
  <c r="W23" i="75"/>
  <c r="AA23" i="75"/>
  <c r="O16" i="77"/>
  <c r="AA16" i="77"/>
  <c r="S16" i="77"/>
  <c r="V21" i="75"/>
  <c r="AA19" i="75"/>
  <c r="AX18" i="75"/>
  <c r="AJ11" i="75"/>
  <c r="AI35" i="75"/>
  <c r="AQ35" i="75"/>
  <c r="AY35" i="75"/>
  <c r="AE35" i="75"/>
  <c r="AM35" i="75"/>
  <c r="AU35" i="75"/>
  <c r="R35" i="75"/>
  <c r="Z35" i="75"/>
  <c r="O34" i="75"/>
  <c r="W34" i="75"/>
  <c r="L34" i="75"/>
  <c r="T34" i="75"/>
  <c r="P33" i="75"/>
  <c r="X33" i="75"/>
  <c r="AF33" i="75"/>
  <c r="AN33" i="75"/>
  <c r="AV33" i="75"/>
  <c r="P34" i="75"/>
  <c r="L33" i="75"/>
  <c r="T33" i="75"/>
  <c r="AB33" i="75"/>
  <c r="S26" i="75"/>
  <c r="AA19" i="77"/>
  <c r="O19" i="77"/>
  <c r="S19" i="77"/>
  <c r="W19" i="77"/>
  <c r="U20" i="75"/>
  <c r="Z17" i="75"/>
  <c r="O22" i="75"/>
  <c r="AA22" i="75"/>
  <c r="S22" i="75"/>
  <c r="W22" i="75"/>
  <c r="O19" i="76"/>
  <c r="AA19" i="76"/>
  <c r="S19" i="76"/>
  <c r="AQ20" i="75"/>
  <c r="AY20" i="75"/>
  <c r="AI20" i="75"/>
  <c r="AM20" i="75"/>
  <c r="AU20" i="75"/>
  <c r="M18" i="75"/>
  <c r="AV11" i="75"/>
  <c r="AV10" i="75"/>
  <c r="W31" i="75"/>
  <c r="O31" i="75"/>
  <c r="AA31" i="75"/>
  <c r="S31" i="75"/>
  <c r="N21" i="75"/>
  <c r="S19" i="75"/>
  <c r="S18" i="75"/>
  <c r="AA18" i="75"/>
  <c r="O18" i="75"/>
  <c r="AF10" i="75"/>
  <c r="V33" i="75"/>
  <c r="AI29" i="75"/>
  <c r="AU29" i="75"/>
  <c r="AM29" i="75"/>
  <c r="AY29" i="75"/>
  <c r="AE29" i="75"/>
  <c r="AQ29" i="75"/>
  <c r="R24" i="77"/>
  <c r="Z24" i="77"/>
  <c r="N24" i="77"/>
  <c r="V24" i="77"/>
  <c r="N24" i="78"/>
  <c r="V24" i="78"/>
  <c r="Z24" i="78"/>
  <c r="R24" i="78"/>
  <c r="AX21" i="75"/>
  <c r="AP21" i="75"/>
  <c r="AH21" i="75"/>
  <c r="M21" i="75"/>
  <c r="AY18" i="75"/>
  <c r="M17" i="75"/>
  <c r="AX34" i="75"/>
  <c r="AP34" i="75"/>
  <c r="Z34" i="75"/>
  <c r="R34" i="75"/>
  <c r="U33" i="75"/>
  <c r="AY31" i="75"/>
  <c r="AE30" i="75"/>
  <c r="AH28" i="75"/>
  <c r="AQ27" i="75"/>
  <c r="W24" i="75"/>
  <c r="O24" i="75"/>
  <c r="AT22" i="75"/>
  <c r="AH22" i="75"/>
  <c r="Z24" i="76"/>
  <c r="Z18" i="76"/>
  <c r="V18" i="76"/>
  <c r="O12" i="76"/>
  <c r="N20" i="77"/>
  <c r="Z15" i="77"/>
  <c r="V15" i="77"/>
  <c r="R23" i="78"/>
  <c r="S22" i="78"/>
  <c r="AA22" i="78"/>
  <c r="O22" i="78"/>
  <c r="W22" i="78"/>
  <c r="P22" i="78"/>
  <c r="V16" i="78"/>
  <c r="N16" i="78"/>
  <c r="V14" i="78"/>
  <c r="N14" i="78"/>
  <c r="Z14" i="78"/>
  <c r="R13" i="78"/>
  <c r="Z13" i="78"/>
  <c r="T23" i="78"/>
  <c r="R24" i="79"/>
  <c r="Z24" i="79"/>
  <c r="V24" i="79"/>
  <c r="N24" i="79"/>
  <c r="O22" i="79"/>
  <c r="AA22" i="79"/>
  <c r="S22" i="79"/>
  <c r="W19" i="79"/>
  <c r="W18" i="79"/>
  <c r="O18" i="79"/>
  <c r="S18" i="79"/>
  <c r="AA18" i="79"/>
  <c r="AP27" i="75"/>
  <c r="S27" i="75"/>
  <c r="N24" i="75"/>
  <c r="V21" i="76"/>
  <c r="N21" i="76"/>
  <c r="S13" i="76"/>
  <c r="AA13" i="76"/>
  <c r="N22" i="78"/>
  <c r="V21" i="78"/>
  <c r="N21" i="78"/>
  <c r="O20" i="78"/>
  <c r="AA20" i="78"/>
  <c r="S20" i="78"/>
  <c r="S12" i="79"/>
  <c r="AA12" i="79"/>
  <c r="W12" i="79"/>
  <c r="O12" i="79"/>
  <c r="AE21" i="75"/>
  <c r="U21" i="75"/>
  <c r="AU17" i="75"/>
  <c r="AM17" i="75"/>
  <c r="U17" i="75"/>
  <c r="AJ16" i="75"/>
  <c r="U35" i="75"/>
  <c r="AT32" i="75"/>
  <c r="N32" i="75"/>
  <c r="AL31" i="75"/>
  <c r="Q31" i="75"/>
  <c r="AM30" i="75"/>
  <c r="AD29" i="75"/>
  <c r="AP28" i="75"/>
  <c r="AE28" i="75"/>
  <c r="U28" i="75"/>
  <c r="AD27" i="75"/>
  <c r="AM26" i="75"/>
  <c r="AT25" i="75"/>
  <c r="AH25" i="75"/>
  <c r="AA24" i="75"/>
  <c r="AQ22" i="75"/>
  <c r="M22" i="75"/>
  <c r="Z21" i="76"/>
  <c r="N19" i="76"/>
  <c r="Z19" i="76"/>
  <c r="R19" i="76"/>
  <c r="R23" i="77"/>
  <c r="Z23" i="77"/>
  <c r="N23" i="77"/>
  <c r="N16" i="77"/>
  <c r="Z16" i="77"/>
  <c r="R16" i="77"/>
  <c r="S23" i="78"/>
  <c r="AA23" i="78"/>
  <c r="O23" i="78"/>
  <c r="W23" i="78"/>
  <c r="P23" i="78"/>
  <c r="Z21" i="78"/>
  <c r="S13" i="78"/>
  <c r="AA13" i="78"/>
  <c r="O13" i="78"/>
  <c r="W13" i="78"/>
  <c r="O16" i="79"/>
  <c r="AA16" i="79"/>
  <c r="S16" i="79"/>
  <c r="AU21" i="75"/>
  <c r="AT17" i="75"/>
  <c r="AL17" i="75"/>
  <c r="AR10" i="75"/>
  <c r="AV12" i="75" s="1"/>
  <c r="AU34" i="75"/>
  <c r="AM34" i="75"/>
  <c r="AX33" i="75"/>
  <c r="AP33" i="75"/>
  <c r="AU31" i="75"/>
  <c r="AD28" i="75"/>
  <c r="AY27" i="75"/>
  <c r="AM27" i="75"/>
  <c r="Y26" i="75"/>
  <c r="M26" i="75"/>
  <c r="AU22" i="75"/>
  <c r="AY22" i="75"/>
  <c r="L22" i="76"/>
  <c r="V20" i="76"/>
  <c r="AA17" i="76"/>
  <c r="W17" i="76"/>
  <c r="N17" i="76"/>
  <c r="R15" i="76"/>
  <c r="N21" i="77"/>
  <c r="W18" i="77"/>
  <c r="O18" i="77"/>
  <c r="V17" i="77"/>
  <c r="AA14" i="77"/>
  <c r="W14" i="77"/>
  <c r="N14" i="77"/>
  <c r="Z23" i="78"/>
  <c r="X22" i="78"/>
  <c r="R17" i="78"/>
  <c r="V17" i="78"/>
  <c r="Z17" i="78"/>
  <c r="N17" i="78"/>
  <c r="W15" i="78"/>
  <c r="O15" i="78"/>
  <c r="R14" i="78"/>
  <c r="O12" i="78"/>
  <c r="W12" i="78"/>
  <c r="O23" i="79"/>
  <c r="W23" i="79"/>
  <c r="AA23" i="79"/>
  <c r="O19" i="79"/>
  <c r="AA19" i="79"/>
  <c r="N14" i="79"/>
  <c r="R14" i="79"/>
  <c r="Z14" i="79"/>
  <c r="V34" i="75"/>
  <c r="Y31" i="75"/>
  <c r="AU30" i="75"/>
  <c r="AX28" i="75"/>
  <c r="AX27" i="75"/>
  <c r="AL27" i="75"/>
  <c r="AA27" i="75"/>
  <c r="AU26" i="75"/>
  <c r="AQ25" i="75"/>
  <c r="AE25" i="75"/>
  <c r="V24" i="75"/>
  <c r="AL22" i="75"/>
  <c r="AD22" i="75"/>
  <c r="R23" i="76"/>
  <c r="Z23" i="76"/>
  <c r="T23" i="76"/>
  <c r="Z17" i="76"/>
  <c r="V14" i="76"/>
  <c r="N14" i="76"/>
  <c r="V20" i="77"/>
  <c r="Z14" i="77"/>
  <c r="L23" i="78"/>
  <c r="AB23" i="78"/>
  <c r="N17" i="79"/>
  <c r="R17" i="79"/>
  <c r="V17" i="79"/>
  <c r="Z17" i="79"/>
  <c r="Z15" i="79"/>
  <c r="N15" i="79"/>
  <c r="R15" i="79"/>
  <c r="V15" i="79"/>
  <c r="U34" i="75"/>
  <c r="AP25" i="75"/>
  <c r="AD25" i="75"/>
  <c r="AM22" i="75"/>
  <c r="S22" i="76"/>
  <c r="AA22" i="76"/>
  <c r="R20" i="76"/>
  <c r="O18" i="76"/>
  <c r="AA18" i="76"/>
  <c r="S18" i="76"/>
  <c r="Z14" i="76"/>
  <c r="O13" i="76"/>
  <c r="V23" i="77"/>
  <c r="S20" i="77"/>
  <c r="W20" i="77"/>
  <c r="O20" i="77"/>
  <c r="AA18" i="77"/>
  <c r="R17" i="77"/>
  <c r="O15" i="77"/>
  <c r="AA15" i="77"/>
  <c r="S15" i="77"/>
  <c r="X23" i="78"/>
  <c r="R21" i="78"/>
  <c r="Z19" i="78"/>
  <c r="R19" i="78"/>
  <c r="S16" i="78"/>
  <c r="W16" i="78"/>
  <c r="AA16" i="78"/>
  <c r="AA15" i="78"/>
  <c r="V13" i="78"/>
  <c r="S12" i="78"/>
  <c r="W27" i="75"/>
  <c r="U26" i="75"/>
  <c r="O24" i="76"/>
  <c r="W24" i="76"/>
  <c r="S23" i="76"/>
  <c r="AA23" i="76"/>
  <c r="O23" i="76"/>
  <c r="W23" i="76"/>
  <c r="P22" i="76"/>
  <c r="X22" i="76"/>
  <c r="V17" i="76"/>
  <c r="N15" i="76"/>
  <c r="W13" i="76"/>
  <c r="V19" i="77"/>
  <c r="N19" i="77"/>
  <c r="R22" i="78"/>
  <c r="Z22" i="78"/>
  <c r="AA18" i="78"/>
  <c r="S18" i="78"/>
  <c r="N12" i="78"/>
  <c r="V12" i="78"/>
  <c r="R12" i="78"/>
  <c r="Z12" i="78"/>
  <c r="AA21" i="79"/>
  <c r="O21" i="79"/>
  <c r="S21" i="79"/>
  <c r="W21" i="79"/>
  <c r="S20" i="76"/>
  <c r="R18" i="77"/>
  <c r="S17" i="77"/>
  <c r="S21" i="78"/>
  <c r="W19" i="78"/>
  <c r="R15" i="78"/>
  <c r="S14" i="78"/>
  <c r="S24" i="79"/>
  <c r="N22" i="79"/>
  <c r="V22" i="79"/>
  <c r="S20" i="79"/>
  <c r="W20" i="79"/>
  <c r="V20" i="79"/>
  <c r="AA20" i="76"/>
  <c r="V16" i="76"/>
  <c r="W15" i="76"/>
  <c r="Z18" i="77"/>
  <c r="AA17" i="77"/>
  <c r="AA21" i="78"/>
  <c r="V18" i="78"/>
  <c r="W17" i="78"/>
  <c r="Z15" i="78"/>
  <c r="AA14" i="78"/>
  <c r="AA24" i="79"/>
  <c r="R23" i="79"/>
  <c r="Z23" i="79"/>
  <c r="R20" i="79"/>
  <c r="V18" i="79"/>
  <c r="Z18" i="79"/>
  <c r="N16" i="79"/>
  <c r="Z16" i="79"/>
  <c r="R16" i="79"/>
  <c r="S19" i="78"/>
  <c r="V19" i="79"/>
  <c r="N19" i="79"/>
  <c r="O14" i="79"/>
  <c r="V12" i="76"/>
  <c r="V22" i="77"/>
  <c r="V13" i="77"/>
  <c r="W24" i="78"/>
  <c r="Z22" i="79"/>
  <c r="O20" i="79"/>
  <c r="R12" i="79"/>
  <c r="Z12" i="79"/>
  <c r="AA19" i="78"/>
  <c r="AA20" i="79"/>
  <c r="Z19" i="79"/>
  <c r="W15" i="79"/>
  <c r="O15" i="79"/>
  <c r="AA15" i="79"/>
  <c r="S15" i="79"/>
  <c r="S13" i="79"/>
  <c r="AA13" i="79"/>
  <c r="W17" i="79"/>
  <c r="AA17" i="79"/>
  <c r="W14" i="79"/>
  <c r="N13" i="79"/>
  <c r="V13" i="79"/>
  <c r="R13" i="79"/>
  <c r="S14" i="84"/>
  <c r="S10" i="84"/>
  <c r="S17" i="84"/>
  <c r="S12" i="84"/>
  <c r="R17" i="84"/>
  <c r="S15" i="84"/>
  <c r="AF20" i="84"/>
  <c r="AF16" i="84"/>
  <c r="R19" i="84"/>
  <c r="S18" i="84"/>
  <c r="R12" i="84"/>
  <c r="R10" i="84"/>
  <c r="N20" i="106"/>
  <c r="N18" i="106"/>
  <c r="N15" i="106"/>
  <c r="N13" i="106"/>
  <c r="N11" i="106"/>
  <c r="N30" i="106"/>
  <c r="L28" i="106"/>
  <c r="R10" i="106"/>
  <c r="R29" i="106"/>
  <c r="L27" i="106"/>
  <c r="N27" i="106"/>
  <c r="R28" i="106"/>
  <c r="R31" i="106"/>
  <c r="R32" i="106"/>
  <c r="R33" i="106"/>
  <c r="R34" i="106"/>
  <c r="R35" i="106"/>
  <c r="R36" i="106"/>
  <c r="R37" i="106"/>
  <c r="R12" i="106"/>
  <c r="R17" i="106"/>
  <c r="R22" i="106"/>
  <c r="N26" i="106"/>
  <c r="N31" i="106"/>
  <c r="N32" i="106"/>
  <c r="N33" i="106"/>
  <c r="N34" i="106"/>
  <c r="N35" i="106"/>
  <c r="N36" i="106"/>
  <c r="N37" i="106"/>
  <c r="R14" i="106"/>
  <c r="R19" i="106"/>
  <c r="N23" i="106"/>
  <c r="R26" i="106"/>
  <c r="N9" i="106"/>
  <c r="R30" i="106"/>
  <c r="N28" i="106"/>
  <c r="N8" i="104"/>
  <c r="N15" i="104"/>
  <c r="N12" i="104"/>
  <c r="V19" i="97"/>
  <c r="N19" i="97"/>
  <c r="R19" i="97"/>
  <c r="Z19" i="97"/>
  <c r="AJ19" i="97"/>
  <c r="AJ18" i="97" s="1"/>
  <c r="AR17" i="97"/>
  <c r="AE17" i="97" s="1"/>
  <c r="AA13" i="97"/>
  <c r="S13" i="97"/>
  <c r="W13" i="97"/>
  <c r="W14" i="97"/>
  <c r="O14" i="97"/>
  <c r="AA14" i="97"/>
  <c r="S14" i="97"/>
  <c r="Z20" i="97"/>
  <c r="R20" i="97"/>
  <c r="AR18" i="97"/>
  <c r="AE18" i="97" s="1"/>
  <c r="Z18" i="97"/>
  <c r="R18" i="97"/>
  <c r="V15" i="97"/>
  <c r="N15" i="97"/>
  <c r="Z15" i="97"/>
  <c r="Z14" i="97"/>
  <c r="R14" i="97"/>
  <c r="N14" i="97"/>
  <c r="N12" i="97"/>
  <c r="V12" i="97"/>
  <c r="R12" i="97"/>
  <c r="Z12" i="97"/>
  <c r="S23" i="71"/>
  <c r="AA23" i="71"/>
  <c r="O23" i="71"/>
  <c r="W23" i="71"/>
  <c r="V20" i="71"/>
  <c r="N20" i="71"/>
  <c r="Z20" i="71"/>
  <c r="AR19" i="97"/>
  <c r="AE19" i="97" s="1"/>
  <c r="R23" i="71"/>
  <c r="Z23" i="71"/>
  <c r="N23" i="71"/>
  <c r="V23" i="71"/>
  <c r="AR17" i="71"/>
  <c r="AE17" i="71" s="1"/>
  <c r="AK19" i="71"/>
  <c r="AK18" i="71" s="1"/>
  <c r="O15" i="71"/>
  <c r="AA15" i="71"/>
  <c r="S15" i="71"/>
  <c r="W15" i="71"/>
  <c r="Z22" i="97"/>
  <c r="R22" i="97"/>
  <c r="N22" i="97"/>
  <c r="R20" i="71"/>
  <c r="AR19" i="71"/>
  <c r="AE19" i="71" s="1"/>
  <c r="R25" i="97"/>
  <c r="Z25" i="97"/>
  <c r="S23" i="97"/>
  <c r="AA23" i="97"/>
  <c r="O23" i="97"/>
  <c r="W23" i="97"/>
  <c r="V20" i="97"/>
  <c r="R15" i="97"/>
  <c r="V14" i="97"/>
  <c r="S24" i="97"/>
  <c r="AA24" i="97"/>
  <c r="O24" i="97"/>
  <c r="W24" i="97"/>
  <c r="N23" i="97"/>
  <c r="V23" i="97"/>
  <c r="R23" i="97"/>
  <c r="W22" i="97"/>
  <c r="O22" i="97"/>
  <c r="AA22" i="97"/>
  <c r="AA21" i="97"/>
  <c r="S21" i="97"/>
  <c r="O21" i="97"/>
  <c r="V17" i="97"/>
  <c r="N17" i="97"/>
  <c r="Z17" i="97"/>
  <c r="Z16" i="97"/>
  <c r="R16" i="97"/>
  <c r="N16" i="97"/>
  <c r="O12" i="97"/>
  <c r="W12" i="97"/>
  <c r="S12" i="97"/>
  <c r="AA12" i="97"/>
  <c r="R21" i="71"/>
  <c r="V21" i="71"/>
  <c r="N21" i="71"/>
  <c r="Z21" i="71"/>
  <c r="S20" i="71"/>
  <c r="W20" i="71"/>
  <c r="O20" i="71"/>
  <c r="AA20" i="71"/>
  <c r="Z17" i="71"/>
  <c r="R17" i="71"/>
  <c r="V17" i="71"/>
  <c r="Z15" i="71"/>
  <c r="R15" i="71"/>
  <c r="V15" i="71"/>
  <c r="O25" i="97"/>
  <c r="W25" i="97"/>
  <c r="S25" i="97"/>
  <c r="AA25" i="97"/>
  <c r="V21" i="97"/>
  <c r="N21" i="97"/>
  <c r="R21" i="97"/>
  <c r="V18" i="97"/>
  <c r="R19" i="71"/>
  <c r="V19" i="71"/>
  <c r="N19" i="71"/>
  <c r="Z19" i="71"/>
  <c r="N13" i="71"/>
  <c r="V13" i="71"/>
  <c r="R13" i="71"/>
  <c r="Z13" i="71"/>
  <c r="N25" i="97"/>
  <c r="W20" i="97"/>
  <c r="O20" i="97"/>
  <c r="S20" i="97"/>
  <c r="N20" i="97"/>
  <c r="W16" i="97"/>
  <c r="O16" i="97"/>
  <c r="AA16" i="97"/>
  <c r="S15" i="97"/>
  <c r="O15" i="97"/>
  <c r="AA15" i="97"/>
  <c r="N25" i="71"/>
  <c r="V25" i="71"/>
  <c r="R25" i="71"/>
  <c r="Z25" i="71"/>
  <c r="V13" i="97"/>
  <c r="AA25" i="71"/>
  <c r="S25" i="71"/>
  <c r="N22" i="71"/>
  <c r="O21" i="71"/>
  <c r="N18" i="71"/>
  <c r="N16" i="71"/>
  <c r="N14" i="71"/>
  <c r="AA13" i="71"/>
  <c r="S13" i="71"/>
  <c r="W22" i="71"/>
  <c r="W16" i="71"/>
  <c r="W14" i="71"/>
  <c r="W24" i="71"/>
  <c r="O24" i="71"/>
  <c r="V22" i="71"/>
  <c r="W21" i="71"/>
  <c r="AI18" i="71"/>
  <c r="AR18" i="71" s="1"/>
  <c r="AE18" i="71" s="1"/>
  <c r="V18" i="71"/>
  <c r="V16" i="71"/>
  <c r="V14" i="71"/>
  <c r="W12" i="71"/>
  <c r="O12" i="71"/>
  <c r="W25" i="71"/>
  <c r="S22" i="71"/>
  <c r="S16" i="71"/>
  <c r="S14" i="71"/>
  <c r="W13" i="71"/>
  <c r="AA24" i="71"/>
  <c r="AA12" i="71"/>
  <c r="O15" i="44"/>
  <c r="S15" i="44"/>
  <c r="N52" i="44"/>
  <c r="R52" i="44"/>
  <c r="S34" i="44"/>
  <c r="O34" i="44"/>
  <c r="R27" i="44"/>
  <c r="N27" i="44"/>
  <c r="N21" i="44"/>
  <c r="V21" i="44"/>
  <c r="N49" i="44"/>
  <c r="V49" i="44"/>
  <c r="O40" i="44"/>
  <c r="W40" i="44"/>
  <c r="O28" i="44"/>
  <c r="W28" i="44"/>
  <c r="O12" i="44"/>
  <c r="W12" i="44"/>
  <c r="V52" i="44"/>
  <c r="N44" i="44"/>
  <c r="R44" i="44"/>
  <c r="V32" i="44"/>
  <c r="S31" i="44"/>
  <c r="V27" i="44"/>
  <c r="N16" i="44"/>
  <c r="R16" i="44"/>
  <c r="W15" i="44"/>
  <c r="N41" i="44"/>
  <c r="V41" i="44"/>
  <c r="N10" i="46"/>
  <c r="R35" i="44"/>
  <c r="N35" i="44"/>
  <c r="W34" i="44"/>
  <c r="N29" i="44"/>
  <c r="V29" i="44"/>
  <c r="N13" i="44"/>
  <c r="V13" i="44"/>
  <c r="O51" i="44"/>
  <c r="S51" i="44"/>
  <c r="V44" i="44"/>
  <c r="S40" i="44"/>
  <c r="O35" i="46"/>
  <c r="O27" i="46"/>
  <c r="O19" i="46"/>
  <c r="N44" i="46"/>
  <c r="S42" i="46"/>
  <c r="O36" i="44"/>
  <c r="W36" i="44"/>
  <c r="R32" i="44"/>
  <c r="R21" i="44"/>
  <c r="R49" i="44"/>
  <c r="V35" i="44"/>
  <c r="S26" i="44"/>
  <c r="O26" i="44"/>
  <c r="R19" i="44"/>
  <c r="N19" i="44"/>
  <c r="O43" i="44"/>
  <c r="S43" i="44"/>
  <c r="R39" i="46"/>
  <c r="R31" i="46"/>
  <c r="R23" i="46"/>
  <c r="R15" i="46"/>
  <c r="O45" i="46"/>
  <c r="W23" i="44"/>
  <c r="O20" i="44"/>
  <c r="W20" i="44"/>
  <c r="W51" i="44"/>
  <c r="O48" i="44"/>
  <c r="W48" i="44"/>
  <c r="R49" i="46"/>
  <c r="V31" i="44"/>
  <c r="W30" i="44"/>
  <c r="V23" i="44"/>
  <c r="W22" i="44"/>
  <c r="O18" i="44"/>
  <c r="V15" i="44"/>
  <c r="W14" i="44"/>
  <c r="N11" i="44"/>
  <c r="O10" i="44"/>
  <c r="N55" i="44"/>
  <c r="O54" i="44"/>
  <c r="V51" i="44"/>
  <c r="W50" i="44"/>
  <c r="N47" i="44"/>
  <c r="O46" i="44"/>
  <c r="V43" i="44"/>
  <c r="W42" i="44"/>
  <c r="N39" i="44"/>
  <c r="O38" i="44"/>
  <c r="S33" i="46"/>
  <c r="R32" i="46"/>
  <c r="S25" i="46"/>
  <c r="R24" i="46"/>
  <c r="S17" i="46"/>
  <c r="R16" i="46"/>
  <c r="S9" i="46"/>
  <c r="R50" i="46"/>
  <c r="S43" i="46"/>
  <c r="R42" i="46"/>
  <c r="N53" i="44"/>
  <c r="O52" i="44"/>
  <c r="N45" i="44"/>
  <c r="O44" i="44"/>
  <c r="N37" i="44"/>
  <c r="AF25" i="25"/>
  <c r="AH23" i="25"/>
  <c r="W23" i="25"/>
  <c r="AD22" i="25"/>
  <c r="S22" i="25"/>
  <c r="Z21" i="25"/>
  <c r="O21" i="25"/>
  <c r="AE20" i="25"/>
  <c r="O20" i="25"/>
  <c r="AD19" i="25"/>
  <c r="N19" i="25"/>
  <c r="AA18" i="25"/>
  <c r="Z17" i="25"/>
  <c r="W16" i="25"/>
  <c r="V15" i="25"/>
  <c r="AI14" i="25"/>
  <c r="S14" i="25"/>
  <c r="AH13" i="25"/>
  <c r="R13" i="25"/>
  <c r="T9" i="25"/>
  <c r="AY36" i="28"/>
  <c r="AU36" i="28"/>
  <c r="O64" i="28"/>
  <c r="AQ64" i="28"/>
  <c r="AE64" i="28"/>
  <c r="S64" i="28"/>
  <c r="W64" i="28"/>
  <c r="AI64" i="28"/>
  <c r="AA64" i="28"/>
  <c r="AM64" i="28"/>
  <c r="AU57" i="28"/>
  <c r="AA42" i="29"/>
  <c r="S42" i="29"/>
  <c r="W42" i="29"/>
  <c r="O42" i="29"/>
  <c r="AB59" i="28"/>
  <c r="T59" i="28"/>
  <c r="AB22" i="25"/>
  <c r="R22" i="25"/>
  <c r="X21" i="25"/>
  <c r="N21" i="25"/>
  <c r="AA19" i="25"/>
  <c r="Z18" i="25"/>
  <c r="AF11" i="25"/>
  <c r="AF7" i="25"/>
  <c r="AT23" i="28"/>
  <c r="AY107" i="28"/>
  <c r="AU107" i="28"/>
  <c r="AH21" i="25"/>
  <c r="AI16" i="25"/>
  <c r="S16" i="25"/>
  <c r="AH15" i="25"/>
  <c r="R15" i="25"/>
  <c r="AB48" i="28"/>
  <c r="T48" i="28"/>
  <c r="W37" i="28"/>
  <c r="AI37" i="28"/>
  <c r="O37" i="28"/>
  <c r="AA37" i="28"/>
  <c r="AM37" i="28"/>
  <c r="S37" i="28"/>
  <c r="AE37" i="28"/>
  <c r="AB35" i="28"/>
  <c r="T35" i="28"/>
  <c r="AB34" i="28"/>
  <c r="T34" i="28"/>
  <c r="AP59" i="28"/>
  <c r="R59" i="28"/>
  <c r="AD59" i="28"/>
  <c r="AH59" i="28"/>
  <c r="V59" i="28"/>
  <c r="Z59" i="28"/>
  <c r="AL59" i="28"/>
  <c r="AB53" i="28"/>
  <c r="T53" i="28"/>
  <c r="AI68" i="28"/>
  <c r="W68" i="28"/>
  <c r="AM68" i="28"/>
  <c r="AQ68" i="28"/>
  <c r="O68" i="28"/>
  <c r="S68" i="28"/>
  <c r="AA68" i="28"/>
  <c r="P38" i="29"/>
  <c r="T38" i="29"/>
  <c r="AA26" i="28"/>
  <c r="AQ26" i="28"/>
  <c r="O26" i="28"/>
  <c r="AE26" i="28"/>
  <c r="S26" i="28"/>
  <c r="AI26" i="28"/>
  <c r="W26" i="28"/>
  <c r="AM26" i="28"/>
  <c r="BD75" i="32"/>
  <c r="BD73" i="32"/>
  <c r="BD76" i="32"/>
  <c r="BD72" i="32"/>
  <c r="BX77" i="32" s="1"/>
  <c r="Z22" i="25"/>
  <c r="O22" i="25"/>
  <c r="V21" i="25"/>
  <c r="W19" i="25"/>
  <c r="V18" i="25"/>
  <c r="AF12" i="25"/>
  <c r="AF8" i="25"/>
  <c r="X7" i="25"/>
  <c r="T46" i="28"/>
  <c r="AB46" i="28"/>
  <c r="AB45" i="28"/>
  <c r="N62" i="28"/>
  <c r="AD62" i="28"/>
  <c r="R62" i="28"/>
  <c r="AH62" i="28"/>
  <c r="V62" i="28"/>
  <c r="AL62" i="28"/>
  <c r="T61" i="28"/>
  <c r="T50" i="28"/>
  <c r="AB50" i="28"/>
  <c r="AJ100" i="28"/>
  <c r="AB65" i="28"/>
  <c r="AB96" i="28" s="1"/>
  <c r="AB67" i="28"/>
  <c r="AB98" i="28" s="1"/>
  <c r="AJ87" i="28"/>
  <c r="AB66" i="28"/>
  <c r="AB97" i="28" s="1"/>
  <c r="AB68" i="28"/>
  <c r="AB99" i="28" s="1"/>
  <c r="L62" i="28"/>
  <c r="T63" i="28"/>
  <c r="T19" i="29"/>
  <c r="P19" i="29"/>
  <c r="AY90" i="33"/>
  <c r="AU90" i="33"/>
  <c r="AB23" i="25"/>
  <c r="R23" i="25"/>
  <c r="AI22" i="25"/>
  <c r="N22" i="25"/>
  <c r="AE21" i="25"/>
  <c r="W20" i="25"/>
  <c r="V19" i="25"/>
  <c r="AI18" i="25"/>
  <c r="S18" i="25"/>
  <c r="AH17" i="25"/>
  <c r="R17" i="25"/>
  <c r="AE16" i="25"/>
  <c r="O16" i="25"/>
  <c r="AD15" i="25"/>
  <c r="N15" i="25"/>
  <c r="AA14" i="25"/>
  <c r="Z13" i="25"/>
  <c r="T11" i="25"/>
  <c r="T7" i="25"/>
  <c r="AX30" i="28"/>
  <c r="AT30" i="28"/>
  <c r="AQ45" i="28"/>
  <c r="S45" i="28"/>
  <c r="AE45" i="28"/>
  <c r="AI45" i="28"/>
  <c r="W45" i="28"/>
  <c r="AA45" i="28"/>
  <c r="AM45" i="28"/>
  <c r="AQ43" i="28"/>
  <c r="S43" i="28"/>
  <c r="AE43" i="28"/>
  <c r="AI43" i="28"/>
  <c r="W43" i="28"/>
  <c r="AA43" i="28"/>
  <c r="AM43" i="28"/>
  <c r="AB43" i="28"/>
  <c r="AY33" i="28"/>
  <c r="AU33" i="28"/>
  <c r="Z62" i="28"/>
  <c r="N59" i="28"/>
  <c r="AP53" i="28"/>
  <c r="R53" i="28"/>
  <c r="AD53" i="28"/>
  <c r="AH53" i="28"/>
  <c r="V53" i="28"/>
  <c r="N53" i="28"/>
  <c r="Z53" i="28"/>
  <c r="AL53" i="28"/>
  <c r="AA31" i="28"/>
  <c r="AQ31" i="28"/>
  <c r="O31" i="28"/>
  <c r="AE31" i="28"/>
  <c r="S31" i="28"/>
  <c r="AI31" i="28"/>
  <c r="W31" i="28"/>
  <c r="AM31" i="28"/>
  <c r="AX100" i="28"/>
  <c r="AT100" i="28"/>
  <c r="S14" i="34"/>
  <c r="W14" i="34"/>
  <c r="O14" i="34"/>
  <c r="AA23" i="25"/>
  <c r="AH22" i="25"/>
  <c r="AD21" i="25"/>
  <c r="AI19" i="25"/>
  <c r="AH18" i="25"/>
  <c r="AE17" i="25"/>
  <c r="AD16" i="25"/>
  <c r="X12" i="25"/>
  <c r="P11" i="25"/>
  <c r="AF9" i="25"/>
  <c r="AB42" i="28"/>
  <c r="T42" i="28"/>
  <c r="T40" i="28"/>
  <c r="AB40" i="28"/>
  <c r="AB39" i="28"/>
  <c r="AJ86" i="28"/>
  <c r="L86" i="28" s="1"/>
  <c r="L37" i="28"/>
  <c r="AU61" i="28"/>
  <c r="AB58" i="28"/>
  <c r="T58" i="28"/>
  <c r="N56" i="28"/>
  <c r="AP56" i="28"/>
  <c r="R56" i="28"/>
  <c r="AD56" i="28"/>
  <c r="AH56" i="28"/>
  <c r="V56" i="28"/>
  <c r="AL56" i="28"/>
  <c r="Z56" i="28"/>
  <c r="T55" i="28"/>
  <c r="AB51" i="28"/>
  <c r="T51" i="28"/>
  <c r="AT79" i="28"/>
  <c r="O76" i="33"/>
  <c r="AA76" i="33"/>
  <c r="AM76" i="33"/>
  <c r="S76" i="33"/>
  <c r="AE76" i="33"/>
  <c r="AQ76" i="33"/>
  <c r="W76" i="33"/>
  <c r="AI76" i="33"/>
  <c r="AI20" i="25"/>
  <c r="AH19" i="25"/>
  <c r="AE18" i="25"/>
  <c r="AD17" i="25"/>
  <c r="T12" i="25"/>
  <c r="AJ7" i="28"/>
  <c r="AJ11" i="28"/>
  <c r="AJ15" i="28"/>
  <c r="AJ8" i="28"/>
  <c r="AJ12" i="28"/>
  <c r="AJ16" i="28"/>
  <c r="AJ9" i="28"/>
  <c r="AJ13" i="28"/>
  <c r="T32" i="28"/>
  <c r="AB32" i="28"/>
  <c r="O45" i="28"/>
  <c r="AQ39" i="28"/>
  <c r="S39" i="28"/>
  <c r="AE39" i="28"/>
  <c r="AI39" i="28"/>
  <c r="W39" i="28"/>
  <c r="AA39" i="28"/>
  <c r="AM39" i="28"/>
  <c r="AQ37" i="28"/>
  <c r="AB95" i="28"/>
  <c r="AB87" i="28"/>
  <c r="AV16" i="28"/>
  <c r="P16" i="28"/>
  <c r="X15" i="28"/>
  <c r="AN13" i="28"/>
  <c r="AV12" i="28"/>
  <c r="P12" i="28"/>
  <c r="X11" i="28"/>
  <c r="AV8" i="28"/>
  <c r="P8" i="28"/>
  <c r="X7" i="28"/>
  <c r="AQ32" i="28"/>
  <c r="AD32" i="28"/>
  <c r="R32" i="28"/>
  <c r="AH30" i="28"/>
  <c r="AQ29" i="28"/>
  <c r="AE28" i="28"/>
  <c r="AY27" i="28"/>
  <c r="AI27" i="28"/>
  <c r="S27" i="28"/>
  <c r="AQ25" i="28"/>
  <c r="AA25" i="28"/>
  <c r="AH24" i="28"/>
  <c r="T24" i="28"/>
  <c r="AR85" i="28"/>
  <c r="AR86" i="28"/>
  <c r="AE23" i="28"/>
  <c r="S23" i="28"/>
  <c r="AP22" i="28"/>
  <c r="Z22" i="28"/>
  <c r="AD21" i="28"/>
  <c r="AX20" i="28"/>
  <c r="L85" i="28"/>
  <c r="V20" i="28"/>
  <c r="AP19" i="28"/>
  <c r="AD19" i="28"/>
  <c r="AY18" i="28"/>
  <c r="AE17" i="28"/>
  <c r="AX48" i="28"/>
  <c r="AH47" i="28"/>
  <c r="T47" i="28"/>
  <c r="AQ46" i="28"/>
  <c r="AD46" i="28"/>
  <c r="R46" i="28"/>
  <c r="N45" i="28"/>
  <c r="AY44" i="28"/>
  <c r="AI44" i="28"/>
  <c r="S44" i="28"/>
  <c r="N43" i="28"/>
  <c r="AY42" i="28"/>
  <c r="W42" i="28"/>
  <c r="AU41" i="28"/>
  <c r="AH41" i="28"/>
  <c r="T41" i="28"/>
  <c r="AQ40" i="28"/>
  <c r="AD40" i="28"/>
  <c r="R40" i="28"/>
  <c r="N39" i="28"/>
  <c r="AY38" i="28"/>
  <c r="AI38" i="28"/>
  <c r="S38" i="28"/>
  <c r="AP37" i="28"/>
  <c r="AE36" i="28"/>
  <c r="O36" i="28"/>
  <c r="AL35" i="28"/>
  <c r="Z35" i="28"/>
  <c r="AX34" i="28"/>
  <c r="AI34" i="28"/>
  <c r="V34" i="28"/>
  <c r="AA33" i="28"/>
  <c r="AU63" i="28"/>
  <c r="AE63" i="28"/>
  <c r="R63" i="28"/>
  <c r="AM62" i="28"/>
  <c r="W62" i="28"/>
  <c r="AT61" i="28"/>
  <c r="AE61" i="28"/>
  <c r="S61" i="28"/>
  <c r="AP60" i="28"/>
  <c r="O60" i="28"/>
  <c r="AX58" i="28"/>
  <c r="AI58" i="28"/>
  <c r="V58" i="28"/>
  <c r="AT57" i="28"/>
  <c r="AD57" i="28"/>
  <c r="R57" i="28"/>
  <c r="W56" i="28"/>
  <c r="AT55" i="28"/>
  <c r="AE55" i="28"/>
  <c r="S55" i="28"/>
  <c r="AP54" i="28"/>
  <c r="AB54" i="28"/>
  <c r="O54" i="28"/>
  <c r="AY52" i="28"/>
  <c r="AY51" i="28"/>
  <c r="W51" i="28"/>
  <c r="AU50" i="28"/>
  <c r="AT49" i="28"/>
  <c r="AA80" i="28"/>
  <c r="AP79" i="28"/>
  <c r="AP78" i="28"/>
  <c r="N78" i="28"/>
  <c r="AU77" i="28"/>
  <c r="AP76" i="28"/>
  <c r="V73" i="28"/>
  <c r="AP73" i="28"/>
  <c r="Z73" i="28"/>
  <c r="AD73" i="28"/>
  <c r="V66" i="28"/>
  <c r="AH66" i="28"/>
  <c r="Z66" i="28"/>
  <c r="AL66" i="28"/>
  <c r="N66" i="28"/>
  <c r="AP66" i="28"/>
  <c r="AD66" i="28"/>
  <c r="AB108" i="28"/>
  <c r="T108" i="28"/>
  <c r="AU103" i="28"/>
  <c r="N15" i="29"/>
  <c r="R15" i="29"/>
  <c r="AH15" i="29"/>
  <c r="V15" i="29"/>
  <c r="AI14" i="29"/>
  <c r="AE14" i="29"/>
  <c r="N13" i="29"/>
  <c r="R13" i="29"/>
  <c r="V13" i="29"/>
  <c r="P91" i="29"/>
  <c r="T91" i="29"/>
  <c r="AR16" i="28"/>
  <c r="L16" i="28"/>
  <c r="AR12" i="28"/>
  <c r="L12" i="28"/>
  <c r="AR8" i="28"/>
  <c r="L8" i="28"/>
  <c r="AP32" i="28"/>
  <c r="AE30" i="28"/>
  <c r="S30" i="28"/>
  <c r="AP29" i="28"/>
  <c r="Z29" i="28"/>
  <c r="AD28" i="28"/>
  <c r="N28" i="28"/>
  <c r="AH27" i="28"/>
  <c r="R27" i="28"/>
  <c r="AP25" i="28"/>
  <c r="Z25" i="28"/>
  <c r="AE24" i="28"/>
  <c r="S24" i="28"/>
  <c r="AQ23" i="28"/>
  <c r="AD23" i="28"/>
  <c r="R23" i="28"/>
  <c r="AQ21" i="28"/>
  <c r="AA21" i="28"/>
  <c r="AI20" i="28"/>
  <c r="S20" i="28"/>
  <c r="N19" i="28"/>
  <c r="AX18" i="28"/>
  <c r="AI18" i="28"/>
  <c r="W18" i="28"/>
  <c r="AD17" i="28"/>
  <c r="O17" i="28"/>
  <c r="AE47" i="28"/>
  <c r="S47" i="28"/>
  <c r="AP46" i="28"/>
  <c r="AL45" i="28"/>
  <c r="AX44" i="28"/>
  <c r="AH44" i="28"/>
  <c r="R44" i="28"/>
  <c r="Z43" i="28"/>
  <c r="AX42" i="28"/>
  <c r="AI42" i="28"/>
  <c r="AE41" i="28"/>
  <c r="S41" i="28"/>
  <c r="AP40" i="28"/>
  <c r="AX38" i="28"/>
  <c r="AD37" i="28"/>
  <c r="AD36" i="28"/>
  <c r="N36" i="28"/>
  <c r="AY35" i="28"/>
  <c r="W35" i="28"/>
  <c r="AH34" i="28"/>
  <c r="Z33" i="28"/>
  <c r="O33" i="28"/>
  <c r="AL64" i="28"/>
  <c r="Z64" i="28"/>
  <c r="AD63" i="28"/>
  <c r="O63" i="28"/>
  <c r="AQ61" i="28"/>
  <c r="AD61" i="28"/>
  <c r="R61" i="28"/>
  <c r="AM60" i="28"/>
  <c r="AA60" i="28"/>
  <c r="AY59" i="28"/>
  <c r="W59" i="28"/>
  <c r="AH58" i="28"/>
  <c r="AQ57" i="28"/>
  <c r="O57" i="28"/>
  <c r="AQ55" i="28"/>
  <c r="AM54" i="28"/>
  <c r="AA54" i="28"/>
  <c r="AI52" i="28"/>
  <c r="W52" i="28"/>
  <c r="AI51" i="28"/>
  <c r="Z50" i="28"/>
  <c r="AR92" i="28"/>
  <c r="AV71" i="28"/>
  <c r="AV92" i="28" s="1"/>
  <c r="Z80" i="28"/>
  <c r="AL79" i="28"/>
  <c r="AD74" i="28"/>
  <c r="AH74" i="28"/>
  <c r="R74" i="28"/>
  <c r="Z74" i="28"/>
  <c r="O69" i="28"/>
  <c r="AE69" i="28"/>
  <c r="S69" i="28"/>
  <c r="AI69" i="28"/>
  <c r="W69" i="28"/>
  <c r="AM69" i="28"/>
  <c r="AA69" i="28"/>
  <c r="N67" i="28"/>
  <c r="AP67" i="28"/>
  <c r="AD67" i="28"/>
  <c r="R67" i="28"/>
  <c r="V67" i="28"/>
  <c r="AH67" i="28"/>
  <c r="Z67" i="28"/>
  <c r="AP90" i="28"/>
  <c r="R90" i="28"/>
  <c r="AD90" i="28"/>
  <c r="AH90" i="28"/>
  <c r="V90" i="28"/>
  <c r="Z90" i="28"/>
  <c r="AL90" i="28"/>
  <c r="N90" i="28"/>
  <c r="AB82" i="28"/>
  <c r="T82" i="28"/>
  <c r="AP117" i="28"/>
  <c r="R117" i="28"/>
  <c r="AD117" i="28"/>
  <c r="AH117" i="28"/>
  <c r="V117" i="28"/>
  <c r="Z117" i="28"/>
  <c r="AL117" i="28"/>
  <c r="N117" i="28"/>
  <c r="N32" i="28"/>
  <c r="AD30" i="28"/>
  <c r="R30" i="28"/>
  <c r="R24" i="28"/>
  <c r="AP23" i="28"/>
  <c r="AH20" i="28"/>
  <c r="R20" i="28"/>
  <c r="N17" i="28"/>
  <c r="AD47" i="28"/>
  <c r="R47" i="28"/>
  <c r="N46" i="28"/>
  <c r="AY45" i="28"/>
  <c r="AE44" i="28"/>
  <c r="O44" i="28"/>
  <c r="AD41" i="28"/>
  <c r="R41" i="28"/>
  <c r="N40" i="28"/>
  <c r="AY39" i="28"/>
  <c r="AE38" i="28"/>
  <c r="O38" i="28"/>
  <c r="AQ36" i="28"/>
  <c r="AA36" i="28"/>
  <c r="AI35" i="28"/>
  <c r="AE34" i="28"/>
  <c r="S34" i="28"/>
  <c r="AI33" i="28"/>
  <c r="N63" i="28"/>
  <c r="O61" i="28"/>
  <c r="AA57" i="28"/>
  <c r="O55" i="28"/>
  <c r="AY88" i="28"/>
  <c r="AU88" i="28"/>
  <c r="AB83" i="28"/>
  <c r="T83" i="28"/>
  <c r="P35" i="29"/>
  <c r="T35" i="29"/>
  <c r="CT32" i="32"/>
  <c r="CP32" i="32"/>
  <c r="AR11" i="28"/>
  <c r="L11" i="28"/>
  <c r="AL32" i="28"/>
  <c r="Z32" i="28"/>
  <c r="AX31" i="28"/>
  <c r="AP30" i="28"/>
  <c r="AL29" i="28"/>
  <c r="V29" i="28"/>
  <c r="AP28" i="28"/>
  <c r="Z28" i="28"/>
  <c r="AD27" i="28"/>
  <c r="AX26" i="28"/>
  <c r="AL25" i="28"/>
  <c r="V25" i="28"/>
  <c r="AP24" i="28"/>
  <c r="AM23" i="28"/>
  <c r="AA23" i="28"/>
  <c r="N23" i="28"/>
  <c r="AY22" i="28"/>
  <c r="AM21" i="28"/>
  <c r="W21" i="28"/>
  <c r="AQ20" i="28"/>
  <c r="AE20" i="28"/>
  <c r="O20" i="28"/>
  <c r="AY19" i="28"/>
  <c r="AL19" i="28"/>
  <c r="AP17" i="28"/>
  <c r="Z17" i="28"/>
  <c r="AP47" i="28"/>
  <c r="O47" i="28"/>
  <c r="AL46" i="28"/>
  <c r="Z46" i="28"/>
  <c r="AX45" i="28"/>
  <c r="AD44" i="28"/>
  <c r="AX43" i="28"/>
  <c r="AE42" i="28"/>
  <c r="S42" i="28"/>
  <c r="AP41" i="28"/>
  <c r="O41" i="28"/>
  <c r="AL40" i="28"/>
  <c r="Z40" i="28"/>
  <c r="AX39" i="28"/>
  <c r="AY37" i="28"/>
  <c r="AP36" i="28"/>
  <c r="AH35" i="28"/>
  <c r="AQ34" i="28"/>
  <c r="AD34" i="28"/>
  <c r="R34" i="28"/>
  <c r="AH33" i="28"/>
  <c r="W33" i="28"/>
  <c r="AX64" i="28"/>
  <c r="AH64" i="28"/>
  <c r="V64" i="28"/>
  <c r="AP63" i="28"/>
  <c r="Z63" i="28"/>
  <c r="AM61" i="28"/>
  <c r="AA61" i="28"/>
  <c r="N61" i="28"/>
  <c r="AY60" i="28"/>
  <c r="W60" i="28"/>
  <c r="AQ58" i="28"/>
  <c r="AD58" i="28"/>
  <c r="R58" i="28"/>
  <c r="AM57" i="28"/>
  <c r="Z57" i="28"/>
  <c r="AE56" i="28"/>
  <c r="S56" i="28"/>
  <c r="AM55" i="28"/>
  <c r="AA55" i="28"/>
  <c r="N55" i="28"/>
  <c r="AY54" i="28"/>
  <c r="W54" i="28"/>
  <c r="AE52" i="28"/>
  <c r="AE51" i="28"/>
  <c r="S51" i="28"/>
  <c r="AA50" i="28"/>
  <c r="AM50" i="28"/>
  <c r="AQ50" i="28"/>
  <c r="AL50" i="28"/>
  <c r="W49" i="28"/>
  <c r="AA49" i="28"/>
  <c r="AM49" i="28"/>
  <c r="S80" i="28"/>
  <c r="AH79" i="28"/>
  <c r="AU74" i="28"/>
  <c r="N74" i="28"/>
  <c r="AU68" i="28"/>
  <c r="AU67" i="28"/>
  <c r="AT66" i="28"/>
  <c r="AF92" i="28"/>
  <c r="X92" i="28"/>
  <c r="P92" i="28"/>
  <c r="AB89" i="28"/>
  <c r="T89" i="28"/>
  <c r="AT98" i="28"/>
  <c r="T37" i="29"/>
  <c r="AI48" i="29"/>
  <c r="AE48" i="29"/>
  <c r="AI97" i="29"/>
  <c r="AE97" i="29"/>
  <c r="X13" i="28"/>
  <c r="X9" i="28"/>
  <c r="N30" i="28"/>
  <c r="AQ27" i="28"/>
  <c r="AA27" i="28"/>
  <c r="N24" i="28"/>
  <c r="AL23" i="28"/>
  <c r="Z23" i="28"/>
  <c r="AP20" i="28"/>
  <c r="AD20" i="28"/>
  <c r="N20" i="28"/>
  <c r="AQ18" i="28"/>
  <c r="AE18" i="28"/>
  <c r="S18" i="28"/>
  <c r="N47" i="28"/>
  <c r="AQ44" i="28"/>
  <c r="AA44" i="28"/>
  <c r="AQ42" i="28"/>
  <c r="N41" i="28"/>
  <c r="AQ38" i="28"/>
  <c r="AA38" i="28"/>
  <c r="AX37" i="28"/>
  <c r="AM36" i="28"/>
  <c r="W36" i="28"/>
  <c r="AE35" i="28"/>
  <c r="S35" i="28"/>
  <c r="AP34" i="28"/>
  <c r="O34" i="28"/>
  <c r="AQ33" i="28"/>
  <c r="AF87" i="28"/>
  <c r="AF95" i="28"/>
  <c r="AP58" i="28"/>
  <c r="W57" i="28"/>
  <c r="AQ52" i="28"/>
  <c r="S52" i="28"/>
  <c r="AQ51" i="28"/>
  <c r="N50" i="28"/>
  <c r="R50" i="28"/>
  <c r="AD50" i="28"/>
  <c r="AM80" i="28"/>
  <c r="O80" i="28"/>
  <c r="AD79" i="28"/>
  <c r="Z78" i="28"/>
  <c r="AD78" i="28"/>
  <c r="AB84" i="28"/>
  <c r="T84" i="28"/>
  <c r="Z105" i="28"/>
  <c r="AP105" i="28"/>
  <c r="N105" i="28"/>
  <c r="AD105" i="28"/>
  <c r="R105" i="28"/>
  <c r="AH105" i="28"/>
  <c r="V105" i="28"/>
  <c r="AL105" i="28"/>
  <c r="Z38" i="29"/>
  <c r="R38" i="29"/>
  <c r="AH38" i="29"/>
  <c r="V38" i="29"/>
  <c r="Z99" i="29"/>
  <c r="R99" i="29"/>
  <c r="AH99" i="29"/>
  <c r="V99" i="29"/>
  <c r="N99" i="29"/>
  <c r="V32" i="28"/>
  <c r="AL30" i="28"/>
  <c r="AH29" i="28"/>
  <c r="AL28" i="28"/>
  <c r="AH25" i="28"/>
  <c r="AL24" i="28"/>
  <c r="AI21" i="28"/>
  <c r="AA20" i="28"/>
  <c r="AL17" i="28"/>
  <c r="AL47" i="28"/>
  <c r="V46" i="28"/>
  <c r="O42" i="28"/>
  <c r="AL41" i="28"/>
  <c r="V40" i="28"/>
  <c r="AQ35" i="28"/>
  <c r="AM34" i="28"/>
  <c r="N34" i="28"/>
  <c r="AE33" i="28"/>
  <c r="W61" i="28"/>
  <c r="N58" i="28"/>
  <c r="W55" i="28"/>
  <c r="O51" i="28"/>
  <c r="R80" i="28"/>
  <c r="AH80" i="28"/>
  <c r="V80" i="28"/>
  <c r="AL80" i="28"/>
  <c r="AI80" i="28"/>
  <c r="N80" i="28"/>
  <c r="Z79" i="28"/>
  <c r="Z76" i="28"/>
  <c r="AD76" i="28"/>
  <c r="AH76" i="28"/>
  <c r="V76" i="28"/>
  <c r="AP82" i="28"/>
  <c r="R82" i="28"/>
  <c r="AD82" i="28"/>
  <c r="AH82" i="28"/>
  <c r="V82" i="28"/>
  <c r="N82" i="28"/>
  <c r="Z82" i="28"/>
  <c r="AL82" i="28"/>
  <c r="X16" i="28"/>
  <c r="AV13" i="28"/>
  <c r="P13" i="28"/>
  <c r="X12" i="28"/>
  <c r="AV86" i="28"/>
  <c r="AV85" i="28"/>
  <c r="AM27" i="28"/>
  <c r="AE25" i="28"/>
  <c r="AD22" i="28"/>
  <c r="AA18" i="28"/>
  <c r="AI17" i="28"/>
  <c r="AM44" i="28"/>
  <c r="AD43" i="28"/>
  <c r="AM42" i="28"/>
  <c r="AD39" i="28"/>
  <c r="AM38" i="28"/>
  <c r="AI36" i="28"/>
  <c r="AL34" i="28"/>
  <c r="AQ62" i="28"/>
  <c r="AE60" i="28"/>
  <c r="AL58" i="28"/>
  <c r="AE54" i="28"/>
  <c r="AM52" i="28"/>
  <c r="AM51" i="28"/>
  <c r="AH50" i="28"/>
  <c r="O50" i="28"/>
  <c r="V79" i="28"/>
  <c r="V78" i="28"/>
  <c r="R76" i="28"/>
  <c r="AL74" i="28"/>
  <c r="AH73" i="28"/>
  <c r="AB81" i="28"/>
  <c r="T81" i="28"/>
  <c r="AP101" i="28"/>
  <c r="N101" i="28"/>
  <c r="AD101" i="28"/>
  <c r="R101" i="28"/>
  <c r="AH101" i="28"/>
  <c r="V101" i="28"/>
  <c r="AL101" i="28"/>
  <c r="AA18" i="29"/>
  <c r="O18" i="29"/>
  <c r="S18" i="29"/>
  <c r="W18" i="29"/>
  <c r="Z69" i="28"/>
  <c r="AY65" i="28"/>
  <c r="AD96" i="28"/>
  <c r="AY95" i="28"/>
  <c r="AY93" i="28"/>
  <c r="AL93" i="28"/>
  <c r="AX92" i="28"/>
  <c r="AB91" i="28"/>
  <c r="O91" i="28"/>
  <c r="AX89" i="28"/>
  <c r="AE88" i="28"/>
  <c r="O88" i="28"/>
  <c r="R87" i="28"/>
  <c r="W86" i="28"/>
  <c r="AX85" i="28"/>
  <c r="AQ84" i="28"/>
  <c r="AY81" i="28"/>
  <c r="AX112" i="28"/>
  <c r="AA111" i="28"/>
  <c r="AX110" i="28"/>
  <c r="AA109" i="28"/>
  <c r="AX108" i="28"/>
  <c r="AX106" i="28"/>
  <c r="AX102" i="28"/>
  <c r="W101" i="28"/>
  <c r="AY99" i="28"/>
  <c r="AD98" i="28"/>
  <c r="AY97" i="28"/>
  <c r="AX116" i="28"/>
  <c r="AA115" i="28"/>
  <c r="AX114" i="28"/>
  <c r="AA113" i="28"/>
  <c r="AA19" i="29"/>
  <c r="AE16" i="29"/>
  <c r="W13" i="29"/>
  <c r="O39" i="29"/>
  <c r="W38" i="29"/>
  <c r="W31" i="29"/>
  <c r="AA31" i="29"/>
  <c r="T31" i="29"/>
  <c r="W29" i="29"/>
  <c r="AA29" i="29"/>
  <c r="T29" i="29"/>
  <c r="O49" i="29"/>
  <c r="S49" i="29"/>
  <c r="W49" i="29"/>
  <c r="R42" i="29"/>
  <c r="AH42" i="29"/>
  <c r="V42" i="29"/>
  <c r="T97" i="29"/>
  <c r="P97" i="29"/>
  <c r="Z29" i="32"/>
  <c r="AP29" i="32"/>
  <c r="BF29" i="32"/>
  <c r="BV29" i="32"/>
  <c r="CL29" i="32"/>
  <c r="R29" i="32"/>
  <c r="AD29" i="32"/>
  <c r="AT29" i="32"/>
  <c r="BJ29" i="32"/>
  <c r="BZ29" i="32"/>
  <c r="AH29" i="32"/>
  <c r="AX29" i="32"/>
  <c r="BN29" i="32"/>
  <c r="CD29" i="32"/>
  <c r="V29" i="32"/>
  <c r="BB29" i="32"/>
  <c r="N29" i="32"/>
  <c r="BR29" i="32"/>
  <c r="CH29" i="32"/>
  <c r="AL29" i="32"/>
  <c r="BH48" i="32"/>
  <c r="CB48" i="32" s="1"/>
  <c r="AN48" i="32"/>
  <c r="AY80" i="28"/>
  <c r="AX78" i="28"/>
  <c r="AP77" i="28"/>
  <c r="V77" i="28"/>
  <c r="AB75" i="28"/>
  <c r="T72" i="28"/>
  <c r="AL71" i="28"/>
  <c r="AH70" i="28"/>
  <c r="R70" i="28"/>
  <c r="AL69" i="28"/>
  <c r="N68" i="28"/>
  <c r="AX67" i="28"/>
  <c r="AX65" i="28"/>
  <c r="AH65" i="28"/>
  <c r="V65" i="28"/>
  <c r="AP96" i="28"/>
  <c r="N96" i="28"/>
  <c r="AX95" i="28"/>
  <c r="AH95" i="28"/>
  <c r="V95" i="28"/>
  <c r="AP94" i="28"/>
  <c r="Z94" i="28"/>
  <c r="N94" i="28"/>
  <c r="AX93" i="28"/>
  <c r="AI93" i="28"/>
  <c r="W93" i="28"/>
  <c r="AL92" i="28"/>
  <c r="AA92" i="28"/>
  <c r="AM91" i="28"/>
  <c r="AA91" i="28"/>
  <c r="AY90" i="28"/>
  <c r="W90" i="28"/>
  <c r="AH89" i="28"/>
  <c r="AD88" i="28"/>
  <c r="N88" i="28"/>
  <c r="AY87" i="28"/>
  <c r="AL87" i="28"/>
  <c r="AA87" i="28"/>
  <c r="AQ86" i="28"/>
  <c r="V86" i="28"/>
  <c r="AL85" i="28"/>
  <c r="AA85" i="28"/>
  <c r="AP84" i="28"/>
  <c r="AE84" i="28"/>
  <c r="AI83" i="28"/>
  <c r="N83" i="28"/>
  <c r="AY82" i="28"/>
  <c r="W82" i="28"/>
  <c r="AX81" i="28"/>
  <c r="AI81" i="28"/>
  <c r="V81" i="28"/>
  <c r="AE112" i="28"/>
  <c r="S112" i="28"/>
  <c r="AM111" i="28"/>
  <c r="Z111" i="28"/>
  <c r="AE110" i="28"/>
  <c r="S110" i="28"/>
  <c r="AM109" i="28"/>
  <c r="Z109" i="28"/>
  <c r="AH108" i="28"/>
  <c r="AQ107" i="28"/>
  <c r="AA107" i="28"/>
  <c r="AE106" i="28"/>
  <c r="O106" i="28"/>
  <c r="AY105" i="28"/>
  <c r="AI105" i="28"/>
  <c r="S105" i="28"/>
  <c r="AM104" i="28"/>
  <c r="W104" i="28"/>
  <c r="AQ103" i="28"/>
  <c r="AA103" i="28"/>
  <c r="AE102" i="28"/>
  <c r="O102" i="28"/>
  <c r="AY101" i="28"/>
  <c r="AP100" i="28"/>
  <c r="AD100" i="28"/>
  <c r="N100" i="28"/>
  <c r="AX99" i="28"/>
  <c r="AH99" i="28"/>
  <c r="V99" i="28"/>
  <c r="AP98" i="28"/>
  <c r="N98" i="28"/>
  <c r="AX97" i="28"/>
  <c r="AH97" i="28"/>
  <c r="V97" i="28"/>
  <c r="AY117" i="28"/>
  <c r="W117" i="28"/>
  <c r="AE116" i="28"/>
  <c r="S116" i="28"/>
  <c r="AM115" i="28"/>
  <c r="Z115" i="28"/>
  <c r="AE114" i="28"/>
  <c r="S114" i="28"/>
  <c r="AM113" i="28"/>
  <c r="Z113" i="28"/>
  <c r="AA20" i="29"/>
  <c r="O19" i="29"/>
  <c r="V18" i="29"/>
  <c r="Z17" i="29"/>
  <c r="O14" i="29"/>
  <c r="P11" i="29"/>
  <c r="P7" i="29"/>
  <c r="AA40" i="29"/>
  <c r="N39" i="29"/>
  <c r="N36" i="29"/>
  <c r="Z36" i="29"/>
  <c r="V36" i="29"/>
  <c r="S31" i="29"/>
  <c r="S29" i="29"/>
  <c r="P45" i="29"/>
  <c r="T45" i="29"/>
  <c r="AE44" i="29"/>
  <c r="P41" i="29"/>
  <c r="T41" i="29"/>
  <c r="AE80" i="29"/>
  <c r="Z79" i="29"/>
  <c r="N79" i="29"/>
  <c r="R79" i="29"/>
  <c r="AH79" i="29"/>
  <c r="AA76" i="29"/>
  <c r="O76" i="29"/>
  <c r="S76" i="29"/>
  <c r="P73" i="29"/>
  <c r="T73" i="29"/>
  <c r="AA71" i="29"/>
  <c r="S71" i="29"/>
  <c r="W71" i="29"/>
  <c r="P99" i="29"/>
  <c r="T99" i="29"/>
  <c r="AE93" i="29"/>
  <c r="Z82" i="29"/>
  <c r="N82" i="29"/>
  <c r="R82" i="29"/>
  <c r="AH82" i="29"/>
  <c r="V82" i="29"/>
  <c r="AH93" i="28"/>
  <c r="V93" i="28"/>
  <c r="AJ92" i="28"/>
  <c r="AQ88" i="28"/>
  <c r="AA88" i="28"/>
  <c r="O20" i="29"/>
  <c r="AA14" i="29"/>
  <c r="O40" i="29"/>
  <c r="Z60" i="29"/>
  <c r="N60" i="29"/>
  <c r="R60" i="29"/>
  <c r="AH60" i="29"/>
  <c r="AA57" i="29"/>
  <c r="O57" i="29"/>
  <c r="S57" i="29"/>
  <c r="N76" i="29"/>
  <c r="R76" i="29"/>
  <c r="AH76" i="29"/>
  <c r="V76" i="29"/>
  <c r="Z65" i="29"/>
  <c r="R65" i="29"/>
  <c r="AH65" i="29"/>
  <c r="V65" i="29"/>
  <c r="Z95" i="29"/>
  <c r="R95" i="29"/>
  <c r="AH95" i="29"/>
  <c r="V95" i="29"/>
  <c r="AA27" i="30"/>
  <c r="O27" i="30"/>
  <c r="AE27" i="30"/>
  <c r="S27" i="30"/>
  <c r="AI27" i="30"/>
  <c r="W27" i="30"/>
  <c r="BH42" i="32"/>
  <c r="CB42" i="32" s="1"/>
  <c r="AN42" i="32"/>
  <c r="AL77" i="28"/>
  <c r="AX76" i="28"/>
  <c r="AP75" i="28"/>
  <c r="V75" i="28"/>
  <c r="N72" i="28"/>
  <c r="AD71" i="28"/>
  <c r="AD70" i="28"/>
  <c r="N70" i="28"/>
  <c r="AX69" i="28"/>
  <c r="AE67" i="28"/>
  <c r="AE65" i="28"/>
  <c r="R65" i="28"/>
  <c r="AL96" i="28"/>
  <c r="Z96" i="28"/>
  <c r="AE95" i="28"/>
  <c r="R95" i="28"/>
  <c r="AL94" i="28"/>
  <c r="S93" i="28"/>
  <c r="AI92" i="28"/>
  <c r="N92" i="28"/>
  <c r="AY91" i="28"/>
  <c r="W91" i="28"/>
  <c r="AQ89" i="28"/>
  <c r="AD89" i="28"/>
  <c r="R89" i="28"/>
  <c r="AP88" i="28"/>
  <c r="AI87" i="28"/>
  <c r="N87" i="28"/>
  <c r="S86" i="28"/>
  <c r="AI85" i="28"/>
  <c r="N85" i="28"/>
  <c r="AM84" i="28"/>
  <c r="V83" i="28"/>
  <c r="AE81" i="28"/>
  <c r="S81" i="28"/>
  <c r="AQ112" i="28"/>
  <c r="O112" i="28"/>
  <c r="AY111" i="28"/>
  <c r="AI111" i="28"/>
  <c r="AQ110" i="28"/>
  <c r="O110" i="28"/>
  <c r="AY109" i="28"/>
  <c r="AI109" i="28"/>
  <c r="AQ108" i="28"/>
  <c r="AD108" i="28"/>
  <c r="R108" i="28"/>
  <c r="AM107" i="28"/>
  <c r="W107" i="28"/>
  <c r="AQ106" i="28"/>
  <c r="AA106" i="28"/>
  <c r="AE105" i="28"/>
  <c r="O105" i="28"/>
  <c r="AY104" i="28"/>
  <c r="AI104" i="28"/>
  <c r="S104" i="28"/>
  <c r="AM103" i="28"/>
  <c r="W103" i="28"/>
  <c r="AQ102" i="28"/>
  <c r="AA102" i="28"/>
  <c r="Z100" i="28"/>
  <c r="AE99" i="28"/>
  <c r="R99" i="28"/>
  <c r="AL98" i="28"/>
  <c r="Z98" i="28"/>
  <c r="AE97" i="28"/>
  <c r="R97" i="28"/>
  <c r="AQ116" i="28"/>
  <c r="O116" i="28"/>
  <c r="AY115" i="28"/>
  <c r="AI115" i="28"/>
  <c r="AQ114" i="28"/>
  <c r="O114" i="28"/>
  <c r="AY113" i="28"/>
  <c r="AI113" i="28"/>
  <c r="W19" i="29"/>
  <c r="AH18" i="29"/>
  <c r="R18" i="29"/>
  <c r="V17" i="29"/>
  <c r="Z16" i="29"/>
  <c r="S15" i="29"/>
  <c r="AH13" i="29"/>
  <c r="P12" i="29"/>
  <c r="AI39" i="29"/>
  <c r="S38" i="29"/>
  <c r="Z37" i="29"/>
  <c r="N37" i="29"/>
  <c r="AI36" i="29"/>
  <c r="R36" i="29"/>
  <c r="L69" i="29"/>
  <c r="X70" i="29"/>
  <c r="L70" i="29" s="1"/>
  <c r="L33" i="29"/>
  <c r="AA27" i="29"/>
  <c r="O27" i="29"/>
  <c r="S27" i="29"/>
  <c r="N57" i="29"/>
  <c r="R57" i="29"/>
  <c r="AH57" i="29"/>
  <c r="V57" i="29"/>
  <c r="AA52" i="29"/>
  <c r="O52" i="29"/>
  <c r="S52" i="29"/>
  <c r="P42" i="29"/>
  <c r="T42" i="29"/>
  <c r="AE62" i="29"/>
  <c r="T93" i="29"/>
  <c r="P93" i="29"/>
  <c r="W17" i="30"/>
  <c r="O17" i="30"/>
  <c r="AE17" i="30"/>
  <c r="AA17" i="30"/>
  <c r="AI17" i="30"/>
  <c r="R75" i="28"/>
  <c r="AL72" i="28"/>
  <c r="Z71" i="28"/>
  <c r="AQ70" i="28"/>
  <c r="AH69" i="28"/>
  <c r="AQ67" i="28"/>
  <c r="AQ65" i="28"/>
  <c r="AD65" i="28"/>
  <c r="AY96" i="28"/>
  <c r="AQ95" i="28"/>
  <c r="AD95" i="28"/>
  <c r="AY94" i="28"/>
  <c r="V94" i="28"/>
  <c r="AQ93" i="28"/>
  <c r="R93" i="28"/>
  <c r="AH92" i="28"/>
  <c r="AX91" i="28"/>
  <c r="AE90" i="28"/>
  <c r="S90" i="28"/>
  <c r="AP89" i="28"/>
  <c r="O89" i="28"/>
  <c r="AM88" i="28"/>
  <c r="W88" i="28"/>
  <c r="AH87" i="28"/>
  <c r="W87" i="28"/>
  <c r="AM86" i="28"/>
  <c r="AH85" i="28"/>
  <c r="W85" i="28"/>
  <c r="AA84" i="28"/>
  <c r="AP83" i="28"/>
  <c r="AE82" i="28"/>
  <c r="S82" i="28"/>
  <c r="AD81" i="28"/>
  <c r="R81" i="28"/>
  <c r="AP112" i="28"/>
  <c r="AA112" i="28"/>
  <c r="N112" i="28"/>
  <c r="AX111" i="28"/>
  <c r="AP110" i="28"/>
  <c r="AA110" i="28"/>
  <c r="N110" i="28"/>
  <c r="AX109" i="28"/>
  <c r="AP108" i="28"/>
  <c r="O108" i="28"/>
  <c r="AP106" i="28"/>
  <c r="AX104" i="28"/>
  <c r="AP102" i="28"/>
  <c r="AE101" i="28"/>
  <c r="O101" i="28"/>
  <c r="AY100" i="28"/>
  <c r="AL100" i="28"/>
  <c r="AQ99" i="28"/>
  <c r="AD99" i="28"/>
  <c r="AY98" i="28"/>
  <c r="AQ97" i="28"/>
  <c r="AD97" i="28"/>
  <c r="AE117" i="28"/>
  <c r="S117" i="28"/>
  <c r="AP116" i="28"/>
  <c r="AA116" i="28"/>
  <c r="N116" i="28"/>
  <c r="AX115" i="28"/>
  <c r="AP114" i="28"/>
  <c r="AA114" i="28"/>
  <c r="N114" i="28"/>
  <c r="AX113" i="28"/>
  <c r="AI17" i="29"/>
  <c r="W14" i="29"/>
  <c r="O13" i="29"/>
  <c r="P36" i="29"/>
  <c r="T36" i="29"/>
  <c r="O35" i="29"/>
  <c r="P32" i="29"/>
  <c r="T32" i="29"/>
  <c r="N27" i="29"/>
  <c r="R27" i="29"/>
  <c r="AH27" i="29"/>
  <c r="V27" i="29"/>
  <c r="N52" i="29"/>
  <c r="R52" i="29"/>
  <c r="AH52" i="29"/>
  <c r="V52" i="29"/>
  <c r="Z76" i="29"/>
  <c r="AA73" i="29"/>
  <c r="S73" i="29"/>
  <c r="W73" i="29"/>
  <c r="O73" i="29"/>
  <c r="P68" i="29"/>
  <c r="T68" i="29"/>
  <c r="P65" i="29"/>
  <c r="T65" i="29"/>
  <c r="AA63" i="29"/>
  <c r="O63" i="29"/>
  <c r="S63" i="29"/>
  <c r="W63" i="29"/>
  <c r="P95" i="29"/>
  <c r="T95" i="29"/>
  <c r="AE89" i="29"/>
  <c r="Z87" i="29"/>
  <c r="R87" i="29"/>
  <c r="AH87" i="29"/>
  <c r="V87" i="29"/>
  <c r="AE85" i="29"/>
  <c r="BL39" i="32"/>
  <c r="CF39" i="32" s="1"/>
  <c r="CJ39" i="32" s="1"/>
  <c r="AR39" i="32"/>
  <c r="AB39" i="32"/>
  <c r="AV39" i="32" s="1"/>
  <c r="BP39" i="32" s="1"/>
  <c r="AL75" i="28"/>
  <c r="AP70" i="28"/>
  <c r="AP65" i="28"/>
  <c r="AH96" i="28"/>
  <c r="AP95" i="28"/>
  <c r="AP93" i="28"/>
  <c r="AQ90" i="28"/>
  <c r="AM89" i="28"/>
  <c r="V87" i="28"/>
  <c r="AE111" i="28"/>
  <c r="AE109" i="28"/>
  <c r="AM108" i="28"/>
  <c r="AI107" i="28"/>
  <c r="AM106" i="28"/>
  <c r="AQ105" i="28"/>
  <c r="AE104" i="28"/>
  <c r="AI103" i="28"/>
  <c r="AM102" i="28"/>
  <c r="AQ101" i="28"/>
  <c r="AP99" i="28"/>
  <c r="AH98" i="28"/>
  <c r="AP97" i="28"/>
  <c r="AQ117" i="28"/>
  <c r="AE115" i="28"/>
  <c r="AE113" i="28"/>
  <c r="AH17" i="29"/>
  <c r="O15" i="29"/>
  <c r="AA38" i="29"/>
  <c r="AA35" i="29"/>
  <c r="AA33" i="29"/>
  <c r="S33" i="29"/>
  <c r="W33" i="29"/>
  <c r="O33" i="29"/>
  <c r="S21" i="29"/>
  <c r="W21" i="29"/>
  <c r="O21" i="29"/>
  <c r="V60" i="29"/>
  <c r="Z57" i="29"/>
  <c r="N42" i="29"/>
  <c r="W76" i="29"/>
  <c r="AE75" i="29"/>
  <c r="N65" i="29"/>
  <c r="N95" i="29"/>
  <c r="Z91" i="29"/>
  <c r="R91" i="29"/>
  <c r="AH91" i="29"/>
  <c r="V91" i="29"/>
  <c r="P101" i="29"/>
  <c r="T101" i="29"/>
  <c r="AI88" i="28"/>
  <c r="V37" i="29"/>
  <c r="R33" i="29"/>
  <c r="V33" i="29"/>
  <c r="N33" i="29"/>
  <c r="R21" i="29"/>
  <c r="AH21" i="29"/>
  <c r="V21" i="29"/>
  <c r="N21" i="29"/>
  <c r="W57" i="29"/>
  <c r="Z47" i="29"/>
  <c r="N47" i="29"/>
  <c r="R47" i="29"/>
  <c r="AH47" i="29"/>
  <c r="T74" i="29"/>
  <c r="P74" i="29"/>
  <c r="P87" i="29"/>
  <c r="T87" i="29"/>
  <c r="R35" i="29"/>
  <c r="Z34" i="29"/>
  <c r="O34" i="29"/>
  <c r="AH32" i="29"/>
  <c r="R31" i="29"/>
  <c r="Z30" i="29"/>
  <c r="R29" i="29"/>
  <c r="Z28" i="29"/>
  <c r="O28" i="29"/>
  <c r="N26" i="29"/>
  <c r="AH25" i="29"/>
  <c r="V25" i="29"/>
  <c r="Z24" i="29"/>
  <c r="N23" i="29"/>
  <c r="AH22" i="29"/>
  <c r="R22" i="29"/>
  <c r="AI60" i="29"/>
  <c r="Z59" i="29"/>
  <c r="R58" i="29"/>
  <c r="AA56" i="29"/>
  <c r="N56" i="29"/>
  <c r="AH55" i="29"/>
  <c r="S55" i="29"/>
  <c r="AA54" i="29"/>
  <c r="R53" i="29"/>
  <c r="AA51" i="29"/>
  <c r="N51" i="29"/>
  <c r="AH50" i="29"/>
  <c r="S50" i="29"/>
  <c r="O48" i="29"/>
  <c r="AI47" i="29"/>
  <c r="S47" i="29"/>
  <c r="AA46" i="29"/>
  <c r="L46" i="29"/>
  <c r="L76" i="29" s="1"/>
  <c r="AH45" i="29"/>
  <c r="R44" i="29"/>
  <c r="Z43" i="29"/>
  <c r="O43" i="29"/>
  <c r="AH41" i="29"/>
  <c r="O80" i="29"/>
  <c r="AI79" i="29"/>
  <c r="Z78" i="29"/>
  <c r="S75" i="29"/>
  <c r="AA74" i="29"/>
  <c r="N73" i="29"/>
  <c r="AI72" i="29"/>
  <c r="S72" i="29"/>
  <c r="N71" i="29"/>
  <c r="AI70" i="29"/>
  <c r="N70" i="29"/>
  <c r="AI69" i="29"/>
  <c r="N69" i="29"/>
  <c r="AI68" i="29"/>
  <c r="V68" i="29"/>
  <c r="S67" i="29"/>
  <c r="Z66" i="29"/>
  <c r="O66" i="29"/>
  <c r="W65" i="29"/>
  <c r="AH64" i="29"/>
  <c r="S64" i="29"/>
  <c r="O62" i="29"/>
  <c r="AI61" i="29"/>
  <c r="T61" i="29"/>
  <c r="Z100" i="29"/>
  <c r="O100" i="29"/>
  <c r="W99" i="29"/>
  <c r="AH98" i="29"/>
  <c r="T98" i="29"/>
  <c r="R97" i="29"/>
  <c r="Z96" i="29"/>
  <c r="O96" i="29"/>
  <c r="W95" i="29"/>
  <c r="AH94" i="29"/>
  <c r="T94" i="29"/>
  <c r="R93" i="29"/>
  <c r="Z92" i="29"/>
  <c r="O92" i="29"/>
  <c r="W91" i="29"/>
  <c r="AH90" i="29"/>
  <c r="T90" i="29"/>
  <c r="R89" i="29"/>
  <c r="Z88" i="29"/>
  <c r="O88" i="29"/>
  <c r="W87" i="29"/>
  <c r="AH86" i="29"/>
  <c r="T86" i="29"/>
  <c r="R85" i="29"/>
  <c r="Z84" i="29"/>
  <c r="R83" i="29"/>
  <c r="AA81" i="29"/>
  <c r="N81" i="29"/>
  <c r="AH101" i="29"/>
  <c r="O21" i="30"/>
  <c r="AE21" i="30"/>
  <c r="W21" i="30"/>
  <c r="O13" i="30"/>
  <c r="AE13" i="30"/>
  <c r="S13" i="30"/>
  <c r="AI13" i="30"/>
  <c r="W13" i="30"/>
  <c r="P9" i="30"/>
  <c r="P8" i="30"/>
  <c r="P12" i="30"/>
  <c r="P7" i="30"/>
  <c r="P11" i="30"/>
  <c r="R44" i="31"/>
  <c r="R30" i="31"/>
  <c r="R27" i="31"/>
  <c r="R72" i="31"/>
  <c r="R70" i="31"/>
  <c r="R67" i="31"/>
  <c r="R78" i="31"/>
  <c r="R111" i="31"/>
  <c r="R108" i="31"/>
  <c r="R106" i="31"/>
  <c r="BP19" i="32"/>
  <c r="CR15" i="32"/>
  <c r="CQ33" i="32"/>
  <c r="BG30" i="32"/>
  <c r="BP28" i="32"/>
  <c r="CU44" i="32"/>
  <c r="CQ44" i="32"/>
  <c r="AJ44" i="32"/>
  <c r="BD44" i="32"/>
  <c r="BX44" i="32" s="1"/>
  <c r="BO41" i="32"/>
  <c r="V39" i="32"/>
  <c r="BB39" i="32"/>
  <c r="CH39" i="32"/>
  <c r="AH39" i="32"/>
  <c r="BN39" i="32"/>
  <c r="Z39" i="32"/>
  <c r="BF39" i="32"/>
  <c r="CL39" i="32"/>
  <c r="AL39" i="32"/>
  <c r="BR39" i="32"/>
  <c r="R39" i="32"/>
  <c r="AX39" i="32"/>
  <c r="CD39" i="32"/>
  <c r="AD39" i="32"/>
  <c r="BJ39" i="32"/>
  <c r="N39" i="32"/>
  <c r="AP39" i="32"/>
  <c r="BH39" i="32"/>
  <c r="CB39" i="32" s="1"/>
  <c r="AN39" i="32"/>
  <c r="AD50" i="32"/>
  <c r="BJ50" i="32"/>
  <c r="AP50" i="32"/>
  <c r="BV50" i="32"/>
  <c r="V50" i="32"/>
  <c r="BB50" i="32"/>
  <c r="CH50" i="32"/>
  <c r="AH50" i="32"/>
  <c r="BN50" i="32"/>
  <c r="N50" i="32"/>
  <c r="AT50" i="32"/>
  <c r="BZ50" i="32"/>
  <c r="Z50" i="32"/>
  <c r="BF50" i="32"/>
  <c r="CL50" i="32"/>
  <c r="AL50" i="32"/>
  <c r="CD50" i="32"/>
  <c r="AX50" i="32"/>
  <c r="V75" i="32"/>
  <c r="BJ75" i="32"/>
  <c r="BV75" i="32"/>
  <c r="CL75" i="32"/>
  <c r="N75" i="32"/>
  <c r="BB75" i="32"/>
  <c r="BZ75" i="32"/>
  <c r="CD75" i="32"/>
  <c r="AP75" i="32"/>
  <c r="AT75" i="32"/>
  <c r="CH75" i="32"/>
  <c r="BN75" i="32"/>
  <c r="Z75" i="32"/>
  <c r="AX75" i="32"/>
  <c r="AD75" i="32"/>
  <c r="BR75" i="32"/>
  <c r="AL75" i="32"/>
  <c r="R75" i="32"/>
  <c r="BF75" i="32"/>
  <c r="AH75" i="32"/>
  <c r="N34" i="29"/>
  <c r="W30" i="29"/>
  <c r="N28" i="29"/>
  <c r="AA26" i="29"/>
  <c r="S25" i="29"/>
  <c r="W24" i="29"/>
  <c r="AA23" i="29"/>
  <c r="O22" i="29"/>
  <c r="S60" i="29"/>
  <c r="W59" i="29"/>
  <c r="O58" i="29"/>
  <c r="AI57" i="29"/>
  <c r="Z56" i="29"/>
  <c r="R55" i="29"/>
  <c r="Z54" i="29"/>
  <c r="O53" i="29"/>
  <c r="AI52" i="29"/>
  <c r="T52" i="29"/>
  <c r="T82" i="29" s="1"/>
  <c r="Z51" i="29"/>
  <c r="R50" i="29"/>
  <c r="V49" i="29"/>
  <c r="AA48" i="29"/>
  <c r="N48" i="29"/>
  <c r="Z46" i="29"/>
  <c r="S45" i="29"/>
  <c r="AA44" i="29"/>
  <c r="N43" i="29"/>
  <c r="AI42" i="29"/>
  <c r="S41" i="29"/>
  <c r="AA80" i="29"/>
  <c r="N80" i="29"/>
  <c r="S79" i="29"/>
  <c r="W78" i="29"/>
  <c r="O77" i="29"/>
  <c r="AI76" i="29"/>
  <c r="R75" i="29"/>
  <c r="Z74" i="29"/>
  <c r="O74" i="29"/>
  <c r="AH72" i="29"/>
  <c r="R72" i="29"/>
  <c r="AH70" i="29"/>
  <c r="W70" i="29"/>
  <c r="AH69" i="29"/>
  <c r="W69" i="29"/>
  <c r="AH68" i="29"/>
  <c r="R67" i="29"/>
  <c r="N66" i="29"/>
  <c r="AI65" i="29"/>
  <c r="R64" i="29"/>
  <c r="AA62" i="29"/>
  <c r="N62" i="29"/>
  <c r="AH61" i="29"/>
  <c r="S61" i="29"/>
  <c r="N100" i="29"/>
  <c r="AI99" i="29"/>
  <c r="S98" i="29"/>
  <c r="AA97" i="29"/>
  <c r="N96" i="29"/>
  <c r="AI95" i="29"/>
  <c r="S94" i="29"/>
  <c r="AA93" i="29"/>
  <c r="N92" i="29"/>
  <c r="AI91" i="29"/>
  <c r="S90" i="29"/>
  <c r="AA89" i="29"/>
  <c r="N88" i="29"/>
  <c r="AI87" i="29"/>
  <c r="S86" i="29"/>
  <c r="AA85" i="29"/>
  <c r="O83" i="29"/>
  <c r="AI82" i="29"/>
  <c r="Z81" i="29"/>
  <c r="S101" i="29"/>
  <c r="S21" i="30"/>
  <c r="AD19" i="30"/>
  <c r="L9" i="30"/>
  <c r="L7" i="30"/>
  <c r="L11" i="30"/>
  <c r="R22" i="31"/>
  <c r="R20" i="31"/>
  <c r="R19" i="31"/>
  <c r="R52" i="31"/>
  <c r="R90" i="31"/>
  <c r="R87" i="31"/>
  <c r="R85" i="31"/>
  <c r="BP15" i="32"/>
  <c r="X118" i="32"/>
  <c r="AR31" i="32"/>
  <c r="AF44" i="32"/>
  <c r="AZ44" i="32"/>
  <c r="BT44" i="32" s="1"/>
  <c r="AU40" i="32"/>
  <c r="BG40" i="32"/>
  <c r="O40" i="32"/>
  <c r="BS40" i="32"/>
  <c r="BK40" i="32"/>
  <c r="S40" i="32"/>
  <c r="AE40" i="32"/>
  <c r="BW40" i="32"/>
  <c r="AQ40" i="32"/>
  <c r="BC40" i="32"/>
  <c r="CI40" i="32"/>
  <c r="W40" i="32"/>
  <c r="AM40" i="32"/>
  <c r="CM40" i="32"/>
  <c r="AA40" i="32"/>
  <c r="CA40" i="32"/>
  <c r="BO40" i="32"/>
  <c r="CE40" i="32"/>
  <c r="R50" i="32"/>
  <c r="P47" i="29"/>
  <c r="P77" i="29" s="1"/>
  <c r="O44" i="29"/>
  <c r="N74" i="29"/>
  <c r="AF70" i="29"/>
  <c r="V70" i="29"/>
  <c r="V69" i="29"/>
  <c r="R61" i="29"/>
  <c r="O97" i="29"/>
  <c r="O93" i="29"/>
  <c r="O89" i="29"/>
  <c r="O85" i="29"/>
  <c r="S82" i="29"/>
  <c r="AH26" i="30"/>
  <c r="R26" i="30"/>
  <c r="Z26" i="30"/>
  <c r="S24" i="30"/>
  <c r="AI24" i="30"/>
  <c r="AA24" i="30"/>
  <c r="O24" i="30"/>
  <c r="S16" i="30"/>
  <c r="AI16" i="30"/>
  <c r="AA16" i="30"/>
  <c r="O16" i="30"/>
  <c r="R12" i="31"/>
  <c r="R48" i="31"/>
  <c r="R34" i="31"/>
  <c r="R31" i="31"/>
  <c r="R29" i="31"/>
  <c r="R56" i="31"/>
  <c r="R120" i="31"/>
  <c r="R117" i="31"/>
  <c r="R115" i="31"/>
  <c r="R114" i="31"/>
  <c r="R112" i="31"/>
  <c r="R110" i="31"/>
  <c r="R99" i="31"/>
  <c r="S30" i="32"/>
  <c r="AE30" i="32"/>
  <c r="AU30" i="32"/>
  <c r="BK30" i="32"/>
  <c r="CA30" i="32"/>
  <c r="AI30" i="32"/>
  <c r="AY30" i="32"/>
  <c r="BO30" i="32"/>
  <c r="CE30" i="32"/>
  <c r="W30" i="32"/>
  <c r="AM30" i="32"/>
  <c r="BC30" i="32"/>
  <c r="BS30" i="32"/>
  <c r="CI30" i="32"/>
  <c r="AA30" i="32"/>
  <c r="AJ28" i="32"/>
  <c r="AZ62" i="32"/>
  <c r="BT62" i="32" s="1"/>
  <c r="AF62" i="32"/>
  <c r="AA36" i="29"/>
  <c r="AI34" i="29"/>
  <c r="V34" i="29"/>
  <c r="AA32" i="29"/>
  <c r="AI30" i="29"/>
  <c r="S30" i="29"/>
  <c r="AI28" i="29"/>
  <c r="V28" i="29"/>
  <c r="W26" i="29"/>
  <c r="O25" i="29"/>
  <c r="AI24" i="29"/>
  <c r="S24" i="29"/>
  <c r="W23" i="29"/>
  <c r="AA22" i="29"/>
  <c r="O60" i="29"/>
  <c r="AI59" i="29"/>
  <c r="Z58" i="29"/>
  <c r="V56" i="29"/>
  <c r="N55" i="29"/>
  <c r="AI54" i="29"/>
  <c r="V54" i="29"/>
  <c r="V51" i="29"/>
  <c r="AA50" i="29"/>
  <c r="N50" i="29"/>
  <c r="AH49" i="29"/>
  <c r="O47" i="29"/>
  <c r="V46" i="29"/>
  <c r="AA45" i="29"/>
  <c r="AI43" i="29"/>
  <c r="V43" i="29"/>
  <c r="AA41" i="29"/>
  <c r="O79" i="29"/>
  <c r="AI78" i="29"/>
  <c r="Z75" i="29"/>
  <c r="N72" i="29"/>
  <c r="R68" i="29"/>
  <c r="Z67" i="29"/>
  <c r="O67" i="29"/>
  <c r="AI66" i="29"/>
  <c r="V66" i="29"/>
  <c r="S65" i="29"/>
  <c r="N64" i="29"/>
  <c r="AH63" i="29"/>
  <c r="O61" i="29"/>
  <c r="AI100" i="29"/>
  <c r="V100" i="29"/>
  <c r="S99" i="29"/>
  <c r="AA98" i="29"/>
  <c r="N97" i="29"/>
  <c r="AI96" i="29"/>
  <c r="V96" i="29"/>
  <c r="S95" i="29"/>
  <c r="AA94" i="29"/>
  <c r="N93" i="29"/>
  <c r="AI92" i="29"/>
  <c r="V92" i="29"/>
  <c r="S91" i="29"/>
  <c r="AA90" i="29"/>
  <c r="N89" i="29"/>
  <c r="S87" i="29"/>
  <c r="AA86" i="29"/>
  <c r="N85" i="29"/>
  <c r="V81" i="29"/>
  <c r="AA101" i="29"/>
  <c r="V24" i="30"/>
  <c r="N24" i="30"/>
  <c r="AD24" i="30"/>
  <c r="V19" i="30"/>
  <c r="V16" i="30"/>
  <c r="N16" i="30"/>
  <c r="AD16" i="30"/>
  <c r="R9" i="31"/>
  <c r="R60" i="31"/>
  <c r="R53" i="31"/>
  <c r="R51" i="31"/>
  <c r="R50" i="31"/>
  <c r="R49" i="31"/>
  <c r="R94" i="31"/>
  <c r="R93" i="31"/>
  <c r="R91" i="31"/>
  <c r="R89" i="31"/>
  <c r="R75" i="31"/>
  <c r="R97" i="31"/>
  <c r="R121" i="31"/>
  <c r="AJ15" i="32"/>
  <c r="BW30" i="32"/>
  <c r="AQ41" i="32"/>
  <c r="BC41" i="32"/>
  <c r="CI41" i="32"/>
  <c r="O41" i="32"/>
  <c r="BS41" i="32"/>
  <c r="AA41" i="32"/>
  <c r="AM41" i="32"/>
  <c r="AY41" i="32"/>
  <c r="CE41" i="32"/>
  <c r="CM41" i="32"/>
  <c r="W41" i="32"/>
  <c r="BG41" i="32"/>
  <c r="BW41" i="32"/>
  <c r="BK41" i="32"/>
  <c r="CA41" i="32"/>
  <c r="AE41" i="32"/>
  <c r="AU41" i="32"/>
  <c r="AI41" i="32"/>
  <c r="AY40" i="32"/>
  <c r="AT39" i="32"/>
  <c r="BH49" i="32"/>
  <c r="CB49" i="32" s="1"/>
  <c r="AN49" i="32"/>
  <c r="Z32" i="29"/>
  <c r="AH30" i="29"/>
  <c r="AH26" i="29"/>
  <c r="AH24" i="29"/>
  <c r="AH59" i="29"/>
  <c r="AH54" i="29"/>
  <c r="T51" i="29"/>
  <c r="T81" i="29" s="1"/>
  <c r="AH46" i="29"/>
  <c r="Z45" i="29"/>
  <c r="Z41" i="29"/>
  <c r="N75" i="29"/>
  <c r="V74" i="29"/>
  <c r="AA68" i="29"/>
  <c r="N61" i="29"/>
  <c r="Z98" i="29"/>
  <c r="Z94" i="29"/>
  <c r="Z90" i="29"/>
  <c r="X83" i="29"/>
  <c r="X71" i="29" s="1"/>
  <c r="L71" i="29" s="1"/>
  <c r="O82" i="29"/>
  <c r="AI81" i="29"/>
  <c r="V26" i="30"/>
  <c r="R25" i="30"/>
  <c r="AD25" i="30"/>
  <c r="N25" i="30"/>
  <c r="R23" i="30"/>
  <c r="AH23" i="30"/>
  <c r="Z23" i="30"/>
  <c r="AA20" i="30"/>
  <c r="S20" i="30"/>
  <c r="AI20" i="30"/>
  <c r="O20" i="30"/>
  <c r="R15" i="30"/>
  <c r="AH15" i="30"/>
  <c r="Z15" i="30"/>
  <c r="AF29" i="30"/>
  <c r="X25" i="30"/>
  <c r="R16" i="31"/>
  <c r="R13" i="31"/>
  <c r="R41" i="31"/>
  <c r="R38" i="31"/>
  <c r="R37" i="31"/>
  <c r="R35" i="31"/>
  <c r="R33" i="31"/>
  <c r="R64" i="31"/>
  <c r="R57" i="31"/>
  <c r="R118" i="31"/>
  <c r="R103" i="31"/>
  <c r="R100" i="31"/>
  <c r="BP23" i="32"/>
  <c r="BP27" i="32"/>
  <c r="BP14" i="32"/>
  <c r="BP18" i="32"/>
  <c r="BP22" i="32"/>
  <c r="BP9" i="32"/>
  <c r="BP26" i="32"/>
  <c r="BP13" i="32"/>
  <c r="BP17" i="32"/>
  <c r="BP21" i="32"/>
  <c r="BP8" i="32"/>
  <c r="BP25" i="32"/>
  <c r="BP12" i="32"/>
  <c r="BP16" i="32"/>
  <c r="BP20" i="32"/>
  <c r="BP7" i="32"/>
  <c r="BP11" i="32"/>
  <c r="AJ23" i="32"/>
  <c r="AJ27" i="32"/>
  <c r="AJ14" i="32"/>
  <c r="AJ18" i="32"/>
  <c r="AJ22" i="32"/>
  <c r="AJ9" i="32"/>
  <c r="AJ26" i="32"/>
  <c r="AJ13" i="32"/>
  <c r="AJ17" i="32"/>
  <c r="AJ21" i="32"/>
  <c r="AJ8" i="32"/>
  <c r="AJ25" i="32"/>
  <c r="AJ12" i="32"/>
  <c r="AJ16" i="32"/>
  <c r="AJ20" i="32"/>
  <c r="AJ7" i="32"/>
  <c r="AJ11" i="32"/>
  <c r="CQ32" i="32"/>
  <c r="AL42" i="32"/>
  <c r="BR42" i="32"/>
  <c r="V42" i="32"/>
  <c r="BB42" i="32"/>
  <c r="CH42" i="32"/>
  <c r="AH42" i="32"/>
  <c r="BN42" i="32"/>
  <c r="Z42" i="32"/>
  <c r="AP42" i="32"/>
  <c r="BZ42" i="32"/>
  <c r="AT42" i="32"/>
  <c r="BJ42" i="32"/>
  <c r="N42" i="32"/>
  <c r="AD42" i="32"/>
  <c r="CD42" i="32"/>
  <c r="AX42" i="32"/>
  <c r="R42" i="32"/>
  <c r="AN66" i="32"/>
  <c r="BH66" i="32"/>
  <c r="CB66" i="32" s="1"/>
  <c r="CT62" i="32"/>
  <c r="CP62" i="32"/>
  <c r="AH56" i="29"/>
  <c r="AB70" i="29"/>
  <c r="Z68" i="29"/>
  <c r="AA65" i="29"/>
  <c r="AA99" i="29"/>
  <c r="AA95" i="29"/>
  <c r="AA91" i="29"/>
  <c r="AA87" i="29"/>
  <c r="V25" i="30"/>
  <c r="AH24" i="30"/>
  <c r="N20" i="30"/>
  <c r="AD20" i="30"/>
  <c r="V20" i="30"/>
  <c r="AH16" i="30"/>
  <c r="AA13" i="30"/>
  <c r="AB7" i="30"/>
  <c r="AB11" i="30"/>
  <c r="AB9" i="30"/>
  <c r="R11" i="31"/>
  <c r="R45" i="31"/>
  <c r="R68" i="31"/>
  <c r="R61" i="31"/>
  <c r="R55" i="31"/>
  <c r="R96" i="31"/>
  <c r="R82" i="31"/>
  <c r="R76" i="31"/>
  <c r="R119" i="31"/>
  <c r="CR23" i="32"/>
  <c r="CR14" i="32"/>
  <c r="CR18" i="32"/>
  <c r="CR22" i="32"/>
  <c r="CR9" i="32"/>
  <c r="CR26" i="32"/>
  <c r="CR13" i="32"/>
  <c r="CR17" i="32"/>
  <c r="CR21" i="32"/>
  <c r="CR8" i="32"/>
  <c r="CR25" i="32"/>
  <c r="CR12" i="32"/>
  <c r="CR16" i="32"/>
  <c r="CR20" i="32"/>
  <c r="CR7" i="32"/>
  <c r="CR11" i="32"/>
  <c r="CR24" i="32"/>
  <c r="CR28" i="32"/>
  <c r="BL14" i="32"/>
  <c r="BL18" i="32"/>
  <c r="BL22" i="32"/>
  <c r="BL9" i="32"/>
  <c r="BL26" i="32"/>
  <c r="BL23" i="32"/>
  <c r="BL13" i="32"/>
  <c r="BL17" i="32"/>
  <c r="BL21" i="32"/>
  <c r="BL8" i="32"/>
  <c r="BL25" i="32"/>
  <c r="BL12" i="32"/>
  <c r="BL16" i="32"/>
  <c r="BL20" i="32"/>
  <c r="BL7" i="32"/>
  <c r="BL11" i="32"/>
  <c r="BL24" i="32"/>
  <c r="BL28" i="32"/>
  <c r="AF14" i="32"/>
  <c r="AF18" i="32"/>
  <c r="AF22" i="32"/>
  <c r="AF9" i="32"/>
  <c r="AF26" i="32"/>
  <c r="AF13" i="32"/>
  <c r="AF17" i="32"/>
  <c r="AF21" i="32"/>
  <c r="AF8" i="32"/>
  <c r="AF25" i="32"/>
  <c r="AF23" i="32"/>
  <c r="AF12" i="32"/>
  <c r="AF16" i="32"/>
  <c r="AF20" i="32"/>
  <c r="AF7" i="32"/>
  <c r="AF11" i="32"/>
  <c r="AF24" i="32"/>
  <c r="AF28" i="32"/>
  <c r="AQ30" i="32"/>
  <c r="BL27" i="32"/>
  <c r="CL42" i="32"/>
  <c r="BV39" i="32"/>
  <c r="BR50" i="32"/>
  <c r="Z19" i="30"/>
  <c r="R19" i="30"/>
  <c r="AH19" i="30"/>
  <c r="R101" i="31"/>
  <c r="R105" i="31"/>
  <c r="R109" i="31"/>
  <c r="R84" i="31"/>
  <c r="R88" i="31"/>
  <c r="R92" i="31"/>
  <c r="R95" i="31"/>
  <c r="R54" i="31"/>
  <c r="R69" i="31"/>
  <c r="R28" i="31"/>
  <c r="R32" i="31"/>
  <c r="R36" i="31"/>
  <c r="R39" i="31"/>
  <c r="R43" i="31"/>
  <c r="R98" i="31"/>
  <c r="R113" i="31"/>
  <c r="R116" i="31"/>
  <c r="R73" i="31"/>
  <c r="R77" i="31"/>
  <c r="R58" i="31"/>
  <c r="R62" i="31"/>
  <c r="R66" i="31"/>
  <c r="R25" i="31"/>
  <c r="R47" i="31"/>
  <c r="R10" i="31"/>
  <c r="R14" i="31"/>
  <c r="R18" i="31"/>
  <c r="R42" i="31"/>
  <c r="R40" i="31"/>
  <c r="R26" i="31"/>
  <c r="R71" i="31"/>
  <c r="R65" i="31"/>
  <c r="R59" i="31"/>
  <c r="R74" i="31"/>
  <c r="R107" i="31"/>
  <c r="R104" i="31"/>
  <c r="R102" i="31"/>
  <c r="BD32" i="32"/>
  <c r="BX33" i="32"/>
  <c r="AF31" i="32"/>
  <c r="BD43" i="32"/>
  <c r="BX43" i="32" s="1"/>
  <c r="AJ43" i="32"/>
  <c r="P50" i="32"/>
  <c r="BL42" i="32"/>
  <c r="CF42" i="32" s="1"/>
  <c r="CJ42" i="32" s="1"/>
  <c r="AR42" i="32"/>
  <c r="AB42" i="32"/>
  <c r="AV42" i="32" s="1"/>
  <c r="BP42" i="32" s="1"/>
  <c r="S51" i="32"/>
  <c r="AE51" i="32"/>
  <c r="AU51" i="32"/>
  <c r="BK51" i="32"/>
  <c r="CA51" i="32"/>
  <c r="W51" i="32"/>
  <c r="AI51" i="32"/>
  <c r="AY51" i="32"/>
  <c r="BO51" i="32"/>
  <c r="CE51" i="32"/>
  <c r="O51" i="32"/>
  <c r="AM51" i="32"/>
  <c r="BC51" i="32"/>
  <c r="BS51" i="32"/>
  <c r="CI51" i="32"/>
  <c r="BW51" i="32"/>
  <c r="AA51" i="32"/>
  <c r="CM51" i="32"/>
  <c r="AQ51" i="32"/>
  <c r="BD47" i="32"/>
  <c r="BX47" i="32" s="1"/>
  <c r="AJ47" i="32"/>
  <c r="AI25" i="30"/>
  <c r="AA23" i="30"/>
  <c r="Z22" i="30"/>
  <c r="AI19" i="30"/>
  <c r="S19" i="30"/>
  <c r="AH18" i="30"/>
  <c r="R18" i="30"/>
  <c r="AA15" i="30"/>
  <c r="Z14" i="30"/>
  <c r="X12" i="30"/>
  <c r="AF9" i="30"/>
  <c r="CF9" i="32"/>
  <c r="AZ9" i="32"/>
  <c r="T9" i="32"/>
  <c r="BX8" i="32"/>
  <c r="AR8" i="32"/>
  <c r="L8" i="32"/>
  <c r="CF22" i="32"/>
  <c r="AZ22" i="32"/>
  <c r="T22" i="32"/>
  <c r="BX21" i="32"/>
  <c r="AR21" i="32"/>
  <c r="L21" i="32"/>
  <c r="CN19" i="32"/>
  <c r="BH19" i="32"/>
  <c r="AB19" i="32"/>
  <c r="CF18" i="32"/>
  <c r="AZ18" i="32"/>
  <c r="T18" i="32"/>
  <c r="BX17" i="32"/>
  <c r="AR17" i="32"/>
  <c r="L17" i="32"/>
  <c r="CN15" i="32"/>
  <c r="BH15" i="32"/>
  <c r="AB15" i="32"/>
  <c r="CF14" i="32"/>
  <c r="AZ14" i="32"/>
  <c r="T14" i="32"/>
  <c r="BX13" i="32"/>
  <c r="AR13" i="32"/>
  <c r="L13" i="32"/>
  <c r="CD33" i="32"/>
  <c r="BS33" i="32"/>
  <c r="BC33" i="32"/>
  <c r="AM33" i="32"/>
  <c r="W33" i="32"/>
  <c r="CM32" i="32"/>
  <c r="BW32" i="32"/>
  <c r="BK32" i="32"/>
  <c r="AL32" i="32"/>
  <c r="V32" i="32"/>
  <c r="CL31" i="32"/>
  <c r="BV31" i="32"/>
  <c r="BF31" i="32"/>
  <c r="AH31" i="32"/>
  <c r="CU29" i="32"/>
  <c r="CE29" i="32"/>
  <c r="BO29" i="32"/>
  <c r="AY29" i="32"/>
  <c r="AI29" i="32"/>
  <c r="CJ27" i="32"/>
  <c r="BD27" i="32"/>
  <c r="X27" i="32"/>
  <c r="CB26" i="32"/>
  <c r="AV26" i="32"/>
  <c r="P26" i="32"/>
  <c r="BT25" i="32"/>
  <c r="AN25" i="32"/>
  <c r="CF23" i="32"/>
  <c r="AN23" i="32"/>
  <c r="BJ44" i="32"/>
  <c r="AT44" i="32"/>
  <c r="CM43" i="32"/>
  <c r="BG43" i="32"/>
  <c r="AQ43" i="32"/>
  <c r="AA43" i="32"/>
  <c r="O43" i="32"/>
  <c r="BS42" i="32"/>
  <c r="AZ42" i="32"/>
  <c r="BT42" i="32" s="1"/>
  <c r="S42" i="32"/>
  <c r="AQ37" i="32"/>
  <c r="BW37" i="32"/>
  <c r="W37" i="32"/>
  <c r="BC37" i="32"/>
  <c r="CI37" i="32"/>
  <c r="O37" i="32"/>
  <c r="AU37" i="32"/>
  <c r="CA37" i="32"/>
  <c r="AA37" i="32"/>
  <c r="BG37" i="32"/>
  <c r="CM37" i="32"/>
  <c r="AM37" i="32"/>
  <c r="BS37" i="32"/>
  <c r="CQ37" i="32"/>
  <c r="BK37" i="32"/>
  <c r="AI37" i="32"/>
  <c r="AZ36" i="32"/>
  <c r="BT36" i="32" s="1"/>
  <c r="AF36" i="32"/>
  <c r="CQ35" i="32"/>
  <c r="AD51" i="32"/>
  <c r="AT51" i="32"/>
  <c r="BJ51" i="32"/>
  <c r="BZ51" i="32"/>
  <c r="V51" i="32"/>
  <c r="AH51" i="32"/>
  <c r="AX51" i="32"/>
  <c r="BN51" i="32"/>
  <c r="CD51" i="32"/>
  <c r="N51" i="32"/>
  <c r="AL51" i="32"/>
  <c r="BB51" i="32"/>
  <c r="BR51" i="32"/>
  <c r="CH51" i="32"/>
  <c r="Z51" i="32"/>
  <c r="BF51" i="32"/>
  <c r="P98" i="32"/>
  <c r="AJ99" i="32" s="1"/>
  <c r="AJ52" i="32"/>
  <c r="AY49" i="32"/>
  <c r="CP48" i="32"/>
  <c r="CT48" i="32"/>
  <c r="AT46" i="32"/>
  <c r="N46" i="32"/>
  <c r="AE18" i="30"/>
  <c r="O18" i="30"/>
  <c r="T12" i="30"/>
  <c r="CB9" i="32"/>
  <c r="AV9" i="32"/>
  <c r="P9" i="32"/>
  <c r="CB22" i="32"/>
  <c r="AV22" i="32"/>
  <c r="P22" i="32"/>
  <c r="BT21" i="32"/>
  <c r="AN21" i="32"/>
  <c r="CJ19" i="32"/>
  <c r="BD19" i="32"/>
  <c r="X19" i="32"/>
  <c r="CB18" i="32"/>
  <c r="AV18" i="32"/>
  <c r="P18" i="32"/>
  <c r="BT17" i="32"/>
  <c r="AN17" i="32"/>
  <c r="CJ15" i="32"/>
  <c r="BD15" i="32"/>
  <c r="X15" i="32"/>
  <c r="CB14" i="32"/>
  <c r="AV14" i="32"/>
  <c r="P14" i="32"/>
  <c r="BT13" i="32"/>
  <c r="AN13" i="32"/>
  <c r="CB33" i="32"/>
  <c r="BR33" i="32"/>
  <c r="BB33" i="32"/>
  <c r="AL33" i="32"/>
  <c r="V33" i="32"/>
  <c r="AY32" i="32"/>
  <c r="AI32" i="32"/>
  <c r="S32" i="32"/>
  <c r="R31" i="32"/>
  <c r="CT29" i="32"/>
  <c r="T118" i="32"/>
  <c r="CN28" i="32"/>
  <c r="BH28" i="32"/>
  <c r="AB28" i="32"/>
  <c r="CF27" i="32"/>
  <c r="AZ27" i="32"/>
  <c r="T27" i="32"/>
  <c r="BX26" i="32"/>
  <c r="AR26" i="32"/>
  <c r="L26" i="32"/>
  <c r="CN24" i="32"/>
  <c r="BH24" i="32"/>
  <c r="AB24" i="32"/>
  <c r="BX23" i="32"/>
  <c r="AA44" i="32"/>
  <c r="BG44" i="32"/>
  <c r="CM44" i="32"/>
  <c r="AQ44" i="32"/>
  <c r="BW44" i="32"/>
  <c r="W44" i="32"/>
  <c r="BC44" i="32"/>
  <c r="CI44" i="32"/>
  <c r="BZ44" i="32"/>
  <c r="BH44" i="32"/>
  <c r="CB44" i="32" s="1"/>
  <c r="AP44" i="32"/>
  <c r="BW43" i="32"/>
  <c r="L50" i="32"/>
  <c r="AZ43" i="32"/>
  <c r="BT43" i="32" s="1"/>
  <c r="AY42" i="32"/>
  <c r="AI42" i="32"/>
  <c r="CU40" i="32"/>
  <c r="V37" i="32"/>
  <c r="BB37" i="32"/>
  <c r="CH37" i="32"/>
  <c r="AH37" i="32"/>
  <c r="BN37" i="32"/>
  <c r="Z37" i="32"/>
  <c r="BF37" i="32"/>
  <c r="CL37" i="32"/>
  <c r="AL37" i="32"/>
  <c r="BR37" i="32"/>
  <c r="R37" i="32"/>
  <c r="AX37" i="32"/>
  <c r="CD37" i="32"/>
  <c r="BJ37" i="32"/>
  <c r="V54" i="32"/>
  <c r="BJ54" i="32"/>
  <c r="BV54" i="32"/>
  <c r="CL54" i="32"/>
  <c r="AL54" i="32"/>
  <c r="N54" i="32"/>
  <c r="BB54" i="32"/>
  <c r="BZ54" i="32"/>
  <c r="Z54" i="32"/>
  <c r="AP54" i="32"/>
  <c r="BN54" i="32"/>
  <c r="CD54" i="32"/>
  <c r="R54" i="32"/>
  <c r="AD54" i="32"/>
  <c r="AT54" i="32"/>
  <c r="BF54" i="32"/>
  <c r="BR54" i="32"/>
  <c r="AZ46" i="32"/>
  <c r="BT46" i="32" s="1"/>
  <c r="AF46" i="32"/>
  <c r="W72" i="32"/>
  <c r="BK72" i="32"/>
  <c r="BW72" i="32"/>
  <c r="CM72" i="32"/>
  <c r="AM72" i="32"/>
  <c r="O72" i="32"/>
  <c r="BC72" i="32"/>
  <c r="CA72" i="32"/>
  <c r="CE72" i="32"/>
  <c r="AE72" i="32"/>
  <c r="BG72" i="32"/>
  <c r="CI72" i="32"/>
  <c r="AI72" i="32"/>
  <c r="S72" i="32"/>
  <c r="AQ72" i="32"/>
  <c r="BO72" i="32"/>
  <c r="AU72" i="32"/>
  <c r="BS72" i="32"/>
  <c r="AA72" i="32"/>
  <c r="AY72" i="32"/>
  <c r="BX22" i="32"/>
  <c r="AR22" i="32"/>
  <c r="L22" i="32"/>
  <c r="CF19" i="32"/>
  <c r="AZ19" i="32"/>
  <c r="T19" i="32"/>
  <c r="BX18" i="32"/>
  <c r="AR18" i="32"/>
  <c r="L18" i="32"/>
  <c r="CF15" i="32"/>
  <c r="AZ15" i="32"/>
  <c r="T15" i="32"/>
  <c r="BX14" i="32"/>
  <c r="AR14" i="32"/>
  <c r="L14" i="32"/>
  <c r="CL33" i="32"/>
  <c r="CA33" i="32"/>
  <c r="BO33" i="32"/>
  <c r="AY33" i="32"/>
  <c r="AI33" i="32"/>
  <c r="S33" i="32"/>
  <c r="CI32" i="32"/>
  <c r="BS32" i="32"/>
  <c r="AX32" i="32"/>
  <c r="AH32" i="32"/>
  <c r="R32" i="32"/>
  <c r="CH31" i="32"/>
  <c r="BR31" i="32"/>
  <c r="BB31" i="32"/>
  <c r="AP31" i="32"/>
  <c r="CU30" i="32"/>
  <c r="CA29" i="32"/>
  <c r="BK29" i="32"/>
  <c r="AU29" i="32"/>
  <c r="AE29" i="32"/>
  <c r="S29" i="32"/>
  <c r="CJ28" i="32"/>
  <c r="BD28" i="32"/>
  <c r="X28" i="32"/>
  <c r="CB27" i="32"/>
  <c r="AV27" i="32"/>
  <c r="P27" i="32"/>
  <c r="BT26" i="32"/>
  <c r="AN26" i="32"/>
  <c r="CJ24" i="32"/>
  <c r="BD24" i="32"/>
  <c r="X24" i="32"/>
  <c r="BT23" i="32"/>
  <c r="AB23" i="32"/>
  <c r="AL44" i="32"/>
  <c r="BR44" i="32"/>
  <c r="V44" i="32"/>
  <c r="BB44" i="32"/>
  <c r="CH44" i="32"/>
  <c r="AH44" i="32"/>
  <c r="BN44" i="32"/>
  <c r="BV44" i="32"/>
  <c r="BF44" i="32"/>
  <c r="BL44" i="32"/>
  <c r="CF44" i="32" s="1"/>
  <c r="CJ44" i="32" s="1"/>
  <c r="AR44" i="32"/>
  <c r="BS43" i="32"/>
  <c r="BC43" i="32"/>
  <c r="BL50" i="32"/>
  <c r="CF50" i="32" s="1"/>
  <c r="AR50" i="32"/>
  <c r="CE42" i="32"/>
  <c r="BO42" i="32"/>
  <c r="AE42" i="32"/>
  <c r="O42" i="32"/>
  <c r="AZ40" i="32"/>
  <c r="BT40" i="32" s="1"/>
  <c r="AF40" i="32"/>
  <c r="CQ39" i="32"/>
  <c r="AD37" i="32"/>
  <c r="CQ55" i="32"/>
  <c r="BH56" i="32"/>
  <c r="BH57" i="32"/>
  <c r="BH53" i="32"/>
  <c r="CB58" i="32" s="1"/>
  <c r="CE49" i="32"/>
  <c r="BD65" i="32"/>
  <c r="BX65" i="32" s="1"/>
  <c r="AJ65" i="32"/>
  <c r="CB19" i="32"/>
  <c r="AV19" i="32"/>
  <c r="P19" i="32"/>
  <c r="CB15" i="32"/>
  <c r="AV15" i="32"/>
  <c r="P15" i="32"/>
  <c r="BZ33" i="32"/>
  <c r="BN33" i="32"/>
  <c r="AX33" i="32"/>
  <c r="AH33" i="32"/>
  <c r="R33" i="32"/>
  <c r="CF28" i="32"/>
  <c r="AZ28" i="32"/>
  <c r="T28" i="32"/>
  <c r="BX27" i="32"/>
  <c r="AR27" i="32"/>
  <c r="L27" i="32"/>
  <c r="CF24" i="32"/>
  <c r="AZ24" i="32"/>
  <c r="T24" i="32"/>
  <c r="X23" i="32"/>
  <c r="AI43" i="32"/>
  <c r="BO43" i="32"/>
  <c r="S43" i="32"/>
  <c r="AY43" i="32"/>
  <c r="CE43" i="32"/>
  <c r="AE43" i="32"/>
  <c r="BK43" i="32"/>
  <c r="CI43" i="32"/>
  <c r="W43" i="32"/>
  <c r="BD38" i="32"/>
  <c r="BX38" i="32" s="1"/>
  <c r="AJ38" i="32"/>
  <c r="BL49" i="32"/>
  <c r="CF49" i="32" s="1"/>
  <c r="AR49" i="32"/>
  <c r="BL37" i="32"/>
  <c r="CF37" i="32" s="1"/>
  <c r="CJ37" i="32" s="1"/>
  <c r="CJ49" i="32" s="1"/>
  <c r="AR37" i="32"/>
  <c r="AB37" i="32"/>
  <c r="AB94" i="32"/>
  <c r="AV94" i="32" s="1"/>
  <c r="BP94" i="32" s="1"/>
  <c r="AB98" i="32"/>
  <c r="AV52" i="32"/>
  <c r="O46" i="32"/>
  <c r="AA46" i="32"/>
  <c r="BG46" i="32"/>
  <c r="CM46" i="32"/>
  <c r="AM46" i="32"/>
  <c r="BS46" i="32"/>
  <c r="AY46" i="32"/>
  <c r="CE46" i="32"/>
  <c r="S46" i="32"/>
  <c r="AE46" i="32"/>
  <c r="BK46" i="32"/>
  <c r="AQ46" i="32"/>
  <c r="BW46" i="32"/>
  <c r="W46" i="32"/>
  <c r="BC46" i="32"/>
  <c r="CI46" i="32"/>
  <c r="BO46" i="32"/>
  <c r="AI46" i="32"/>
  <c r="AI23" i="30"/>
  <c r="AH22" i="30"/>
  <c r="AI15" i="30"/>
  <c r="AH14" i="30"/>
  <c r="AF11" i="30"/>
  <c r="CF20" i="32"/>
  <c r="AZ20" i="32"/>
  <c r="T20" i="32"/>
  <c r="BX19" i="32"/>
  <c r="AR19" i="32"/>
  <c r="L19" i="32"/>
  <c r="CF16" i="32"/>
  <c r="AZ16" i="32"/>
  <c r="T16" i="32"/>
  <c r="BX15" i="32"/>
  <c r="AR15" i="32"/>
  <c r="L15" i="32"/>
  <c r="CF12" i="32"/>
  <c r="AZ12" i="32"/>
  <c r="T12" i="32"/>
  <c r="CI33" i="32"/>
  <c r="BK33" i="32"/>
  <c r="AU33" i="32"/>
  <c r="AE33" i="32"/>
  <c r="CE32" i="32"/>
  <c r="BF32" i="32"/>
  <c r="AT32" i="32"/>
  <c r="AD32" i="32"/>
  <c r="CD31" i="32"/>
  <c r="BN31" i="32"/>
  <c r="AX31" i="32"/>
  <c r="CM29" i="32"/>
  <c r="BW29" i="32"/>
  <c r="BG29" i="32"/>
  <c r="AQ29" i="32"/>
  <c r="AA29" i="32"/>
  <c r="CB28" i="32"/>
  <c r="AV28" i="32"/>
  <c r="P28" i="32"/>
  <c r="BT27" i="32"/>
  <c r="AN27" i="32"/>
  <c r="CJ25" i="32"/>
  <c r="BD25" i="32"/>
  <c r="X25" i="32"/>
  <c r="CB24" i="32"/>
  <c r="AV24" i="32"/>
  <c r="P24" i="32"/>
  <c r="BH23" i="32"/>
  <c r="T23" i="32"/>
  <c r="BS44" i="32"/>
  <c r="S44" i="32"/>
  <c r="AQ49" i="32"/>
  <c r="BW49" i="32"/>
  <c r="W49" i="32"/>
  <c r="BC49" i="32"/>
  <c r="CI49" i="32"/>
  <c r="AI49" i="32"/>
  <c r="BO49" i="32"/>
  <c r="O49" i="32"/>
  <c r="AU49" i="32"/>
  <c r="CA49" i="32"/>
  <c r="AA49" i="32"/>
  <c r="BG49" i="32"/>
  <c r="CM49" i="32"/>
  <c r="AM49" i="32"/>
  <c r="BS49" i="32"/>
  <c r="V46" i="32"/>
  <c r="AL46" i="32"/>
  <c r="BR46" i="32"/>
  <c r="AX46" i="32"/>
  <c r="CD46" i="32"/>
  <c r="R46" i="32"/>
  <c r="AD46" i="32"/>
  <c r="BJ46" i="32"/>
  <c r="AP46" i="32"/>
  <c r="BV46" i="32"/>
  <c r="BB46" i="32"/>
  <c r="CH46" i="32"/>
  <c r="AH46" i="32"/>
  <c r="BN46" i="32"/>
  <c r="Z46" i="32"/>
  <c r="CB11" i="32"/>
  <c r="AV11" i="32"/>
  <c r="P11" i="32"/>
  <c r="CB7" i="32"/>
  <c r="AV7" i="32"/>
  <c r="P7" i="32"/>
  <c r="CJ21" i="32"/>
  <c r="BD21" i="32"/>
  <c r="X21" i="32"/>
  <c r="CB20" i="32"/>
  <c r="AV20" i="32"/>
  <c r="P20" i="32"/>
  <c r="BT19" i="32"/>
  <c r="AN19" i="32"/>
  <c r="CJ17" i="32"/>
  <c r="BD17" i="32"/>
  <c r="X17" i="32"/>
  <c r="CB16" i="32"/>
  <c r="AV16" i="32"/>
  <c r="P16" i="32"/>
  <c r="BD13" i="32"/>
  <c r="CB12" i="32"/>
  <c r="AV12" i="32"/>
  <c r="P12" i="32"/>
  <c r="CH33" i="32"/>
  <c r="BJ33" i="32"/>
  <c r="AT33" i="32"/>
  <c r="AD33" i="32"/>
  <c r="BO32" i="32"/>
  <c r="AQ32" i="32"/>
  <c r="AL31" i="32"/>
  <c r="BX28" i="32"/>
  <c r="AR28" i="32"/>
  <c r="L28" i="32"/>
  <c r="L23" i="32"/>
  <c r="R44" i="32"/>
  <c r="AA42" i="32"/>
  <c r="BG42" i="32"/>
  <c r="CM42" i="32"/>
  <c r="AQ42" i="32"/>
  <c r="BW42" i="32"/>
  <c r="W42" i="32"/>
  <c r="BC42" i="32"/>
  <c r="CI42" i="32"/>
  <c r="CX49" i="32"/>
  <c r="P49" i="32" s="1"/>
  <c r="P37" i="32"/>
  <c r="P118" i="32" s="1"/>
  <c r="BV37" i="32"/>
  <c r="AT37" i="32"/>
  <c r="CH54" i="32"/>
  <c r="S50" i="32"/>
  <c r="AY50" i="32"/>
  <c r="CE50" i="32"/>
  <c r="AE50" i="32"/>
  <c r="BK50" i="32"/>
  <c r="AQ50" i="32"/>
  <c r="BW50" i="32"/>
  <c r="W50" i="32"/>
  <c r="BC50" i="32"/>
  <c r="CI50" i="32"/>
  <c r="AI50" i="32"/>
  <c r="BO50" i="32"/>
  <c r="O50" i="32"/>
  <c r="AU50" i="32"/>
  <c r="CA50" i="32"/>
  <c r="BS50" i="32"/>
  <c r="V49" i="32"/>
  <c r="BB49" i="32"/>
  <c r="CH49" i="32"/>
  <c r="AH49" i="32"/>
  <c r="BN49" i="32"/>
  <c r="N49" i="32"/>
  <c r="AT49" i="32"/>
  <c r="BZ49" i="32"/>
  <c r="Z49" i="32"/>
  <c r="BF49" i="32"/>
  <c r="CL49" i="32"/>
  <c r="AL49" i="32"/>
  <c r="BR49" i="32"/>
  <c r="R49" i="32"/>
  <c r="AX49" i="32"/>
  <c r="CD49" i="32"/>
  <c r="BK49" i="32"/>
  <c r="BF46" i="32"/>
  <c r="AB46" i="32"/>
  <c r="AV46" i="32" s="1"/>
  <c r="BP46" i="32" s="1"/>
  <c r="BL46" i="32"/>
  <c r="CF46" i="32" s="1"/>
  <c r="CJ46" i="32" s="1"/>
  <c r="CJ118" i="32" s="1"/>
  <c r="AR46" i="32"/>
  <c r="BH45" i="32"/>
  <c r="CB45" i="32" s="1"/>
  <c r="AN45" i="32"/>
  <c r="CT65" i="32"/>
  <c r="CP65" i="32"/>
  <c r="BP60" i="32"/>
  <c r="CF60" i="32"/>
  <c r="CJ60" i="32" s="1"/>
  <c r="BV43" i="32"/>
  <c r="AP43" i="32"/>
  <c r="BJ41" i="32"/>
  <c r="BN40" i="32"/>
  <c r="BS39" i="32"/>
  <c r="AM39" i="32"/>
  <c r="CL38" i="32"/>
  <c r="CA38" i="32"/>
  <c r="BF38" i="32"/>
  <c r="AU38" i="32"/>
  <c r="Z38" i="32"/>
  <c r="CL36" i="32"/>
  <c r="BZ36" i="32"/>
  <c r="BN36" i="32"/>
  <c r="BC36" i="32"/>
  <c r="BZ35" i="32"/>
  <c r="BJ35" i="32"/>
  <c r="AT35" i="32"/>
  <c r="AD35" i="32"/>
  <c r="N35" i="32"/>
  <c r="CT34" i="32"/>
  <c r="CD34" i="32"/>
  <c r="BN34" i="32"/>
  <c r="BC34" i="32"/>
  <c r="AP34" i="32"/>
  <c r="Z34" i="32"/>
  <c r="BZ55" i="32"/>
  <c r="BL55" i="32"/>
  <c r="BB55" i="32"/>
  <c r="AM55" i="32"/>
  <c r="N55" i="32"/>
  <c r="CU54" i="32"/>
  <c r="CE54" i="32"/>
  <c r="CL53" i="32"/>
  <c r="BV53" i="32"/>
  <c r="BJ53" i="32"/>
  <c r="AY53" i="32"/>
  <c r="V53" i="32"/>
  <c r="CA52" i="32"/>
  <c r="BK52" i="32"/>
  <c r="AL52" i="32"/>
  <c r="Z52" i="32"/>
  <c r="O52" i="32"/>
  <c r="BV48" i="32"/>
  <c r="BK48" i="32"/>
  <c r="AP48" i="32"/>
  <c r="BR47" i="32"/>
  <c r="BG47" i="32"/>
  <c r="AU47" i="32"/>
  <c r="Z47" i="32"/>
  <c r="O47" i="32"/>
  <c r="AQ45" i="32"/>
  <c r="AE45" i="32"/>
  <c r="S45" i="32"/>
  <c r="BO65" i="32"/>
  <c r="CA65" i="32"/>
  <c r="CM65" i="32"/>
  <c r="O65" i="32"/>
  <c r="CE65" i="32"/>
  <c r="BK65" i="32"/>
  <c r="BW65" i="32"/>
  <c r="AU65" i="32"/>
  <c r="AE65" i="32"/>
  <c r="CT64" i="32"/>
  <c r="AX64" i="32"/>
  <c r="BL61" i="32"/>
  <c r="CF61" i="32" s="1"/>
  <c r="AR61" i="32"/>
  <c r="CQ68" i="32"/>
  <c r="AF68" i="32"/>
  <c r="BJ43" i="32"/>
  <c r="AD43" i="32"/>
  <c r="CD41" i="32"/>
  <c r="AX41" i="32"/>
  <c r="AL41" i="32"/>
  <c r="Z41" i="32"/>
  <c r="CM39" i="32"/>
  <c r="BG39" i="32"/>
  <c r="AA39" i="32"/>
  <c r="BZ38" i="32"/>
  <c r="AT38" i="32"/>
  <c r="N38" i="32"/>
  <c r="BB36" i="32"/>
  <c r="AP36" i="32"/>
  <c r="CM35" i="32"/>
  <c r="BW35" i="32"/>
  <c r="BG35" i="32"/>
  <c r="AQ35" i="32"/>
  <c r="AA35" i="32"/>
  <c r="CA34" i="32"/>
  <c r="AM34" i="32"/>
  <c r="W34" i="32"/>
  <c r="CM55" i="32"/>
  <c r="BW55" i="32"/>
  <c r="BK55" i="32"/>
  <c r="AL55" i="32"/>
  <c r="W55" i="32"/>
  <c r="CT54" i="32"/>
  <c r="BO54" i="32"/>
  <c r="AQ54" i="32"/>
  <c r="AA54" i="32"/>
  <c r="AX53" i="32"/>
  <c r="AH53" i="32"/>
  <c r="BZ52" i="32"/>
  <c r="BJ52" i="32"/>
  <c r="AU52" i="32"/>
  <c r="N52" i="32"/>
  <c r="CU51" i="32"/>
  <c r="X98" i="32"/>
  <c r="AR99" i="32" s="1"/>
  <c r="X94" i="32"/>
  <c r="AR94" i="32" s="1"/>
  <c r="BL94" i="32" s="1"/>
  <c r="CF94" i="32" s="1"/>
  <c r="CU50" i="32"/>
  <c r="BJ48" i="32"/>
  <c r="AD48" i="32"/>
  <c r="CM47" i="32"/>
  <c r="CA47" i="32"/>
  <c r="BF47" i="32"/>
  <c r="AT47" i="32"/>
  <c r="AI47" i="32"/>
  <c r="N47" i="32"/>
  <c r="CU46" i="32"/>
  <c r="CP45" i="32"/>
  <c r="CA45" i="32"/>
  <c r="BO45" i="32"/>
  <c r="BC45" i="32"/>
  <c r="AP45" i="32"/>
  <c r="AD45" i="32"/>
  <c r="AD66" i="32"/>
  <c r="BJ66" i="32"/>
  <c r="AH66" i="32"/>
  <c r="Z66" i="32"/>
  <c r="BF66" i="32"/>
  <c r="CL66" i="32"/>
  <c r="R66" i="32"/>
  <c r="V65" i="32"/>
  <c r="AH65" i="32"/>
  <c r="Z65" i="32"/>
  <c r="AL65" i="32"/>
  <c r="AX65" i="32"/>
  <c r="R65" i="32"/>
  <c r="AD65" i="32"/>
  <c r="CH65" i="32"/>
  <c r="CD65" i="32"/>
  <c r="BL65" i="32"/>
  <c r="CF65" i="32" s="1"/>
  <c r="AT65" i="32"/>
  <c r="BJ64" i="32"/>
  <c r="AN63" i="32"/>
  <c r="N80" i="32"/>
  <c r="Z80" i="32"/>
  <c r="AL80" i="32"/>
  <c r="AX80" i="32"/>
  <c r="BJ80" i="32"/>
  <c r="BV80" i="32"/>
  <c r="R80" i="32"/>
  <c r="AD80" i="32"/>
  <c r="CH80" i="32"/>
  <c r="AP80" i="32"/>
  <c r="BB80" i="32"/>
  <c r="BN80" i="32"/>
  <c r="BZ80" i="32"/>
  <c r="CL80" i="32"/>
  <c r="V80" i="32"/>
  <c r="AH80" i="32"/>
  <c r="BF80" i="32"/>
  <c r="BR80" i="32"/>
  <c r="AT80" i="32"/>
  <c r="CD80" i="32"/>
  <c r="CT97" i="32"/>
  <c r="CP97" i="32"/>
  <c r="CA39" i="32"/>
  <c r="AU39" i="32"/>
  <c r="O39" i="32"/>
  <c r="CL35" i="32"/>
  <c r="BV35" i="32"/>
  <c r="BF35" i="32"/>
  <c r="AP35" i="32"/>
  <c r="Z35" i="32"/>
  <c r="BK34" i="32"/>
  <c r="CL55" i="32"/>
  <c r="BV55" i="32"/>
  <c r="BJ55" i="32"/>
  <c r="AY55" i="32"/>
  <c r="AI55" i="32"/>
  <c r="V55" i="32"/>
  <c r="CM52" i="32"/>
  <c r="BW52" i="32"/>
  <c r="BG52" i="32"/>
  <c r="AT52" i="32"/>
  <c r="AI52" i="32"/>
  <c r="W52" i="32"/>
  <c r="CT51" i="32"/>
  <c r="AZ100" i="32"/>
  <c r="BT106" i="32" s="1"/>
  <c r="AZ101" i="32"/>
  <c r="AZ103" i="32"/>
  <c r="AZ104" i="32"/>
  <c r="CT50" i="32"/>
  <c r="CL47" i="32"/>
  <c r="BZ47" i="32"/>
  <c r="BO47" i="32"/>
  <c r="AH47" i="32"/>
  <c r="W47" i="32"/>
  <c r="CT46" i="32"/>
  <c r="BZ45" i="32"/>
  <c r="BN45" i="32"/>
  <c r="BB45" i="32"/>
  <c r="AA45" i="32"/>
  <c r="AB66" i="32"/>
  <c r="AV66" i="32" s="1"/>
  <c r="BP66" i="32" s="1"/>
  <c r="CQ58" i="32"/>
  <c r="AH82" i="32"/>
  <c r="BN82" i="32"/>
  <c r="N82" i="32"/>
  <c r="AT82" i="32"/>
  <c r="BZ82" i="32"/>
  <c r="Z82" i="32"/>
  <c r="BF82" i="32"/>
  <c r="CL82" i="32"/>
  <c r="AL82" i="32"/>
  <c r="BR82" i="32"/>
  <c r="R82" i="32"/>
  <c r="AX82" i="32"/>
  <c r="CD82" i="32"/>
  <c r="AD82" i="32"/>
  <c r="BJ82" i="32"/>
  <c r="AP82" i="32"/>
  <c r="CH82" i="32"/>
  <c r="BB82" i="32"/>
  <c r="V82" i="32"/>
  <c r="CU78" i="32"/>
  <c r="CQ78" i="32"/>
  <c r="AX55" i="32"/>
  <c r="AH55" i="32"/>
  <c r="BL57" i="32"/>
  <c r="BL56" i="32"/>
  <c r="AH52" i="32"/>
  <c r="V52" i="32"/>
  <c r="CI47" i="32"/>
  <c r="BN47" i="32"/>
  <c r="BC47" i="32"/>
  <c r="AQ47" i="32"/>
  <c r="AF47" i="32"/>
  <c r="V47" i="32"/>
  <c r="AM45" i="32"/>
  <c r="AY45" i="32"/>
  <c r="CE45" i="32"/>
  <c r="CL45" i="32"/>
  <c r="BL45" i="32"/>
  <c r="CF45" i="32" s="1"/>
  <c r="AL45" i="32"/>
  <c r="Z45" i="32"/>
  <c r="BD66" i="32"/>
  <c r="BX66" i="32" s="1"/>
  <c r="CQ59" i="32"/>
  <c r="O74" i="32"/>
  <c r="BC74" i="32"/>
  <c r="CA74" i="32"/>
  <c r="CE74" i="32"/>
  <c r="BS74" i="32"/>
  <c r="CI74" i="32"/>
  <c r="AQ74" i="32"/>
  <c r="BK74" i="32"/>
  <c r="W74" i="32"/>
  <c r="AU74" i="32"/>
  <c r="AY74" i="32"/>
  <c r="BO74" i="32"/>
  <c r="CM74" i="32"/>
  <c r="AA74" i="32"/>
  <c r="AE74" i="32"/>
  <c r="AI74" i="32"/>
  <c r="BW74" i="32"/>
  <c r="CT71" i="32"/>
  <c r="CP71" i="32"/>
  <c r="AZ72" i="32"/>
  <c r="BT77" i="32" s="1"/>
  <c r="AZ76" i="32"/>
  <c r="AZ73" i="32"/>
  <c r="AZ75" i="32"/>
  <c r="CI39" i="32"/>
  <c r="BC39" i="32"/>
  <c r="W39" i="32"/>
  <c r="L37" i="32"/>
  <c r="L118" i="32" s="1"/>
  <c r="CH35" i="32"/>
  <c r="BR35" i="32"/>
  <c r="BB35" i="32"/>
  <c r="AL35" i="32"/>
  <c r="CH55" i="32"/>
  <c r="BR55" i="32"/>
  <c r="BG55" i="32"/>
  <c r="AU55" i="32"/>
  <c r="AE55" i="32"/>
  <c r="S55" i="32"/>
  <c r="CI52" i="32"/>
  <c r="BS52" i="32"/>
  <c r="BC52" i="32"/>
  <c r="AQ52" i="32"/>
  <c r="AZ102" i="32"/>
  <c r="BL102" i="32"/>
  <c r="BD102" i="32"/>
  <c r="BP102" i="32"/>
  <c r="BH102" i="32"/>
  <c r="BP74" i="32"/>
  <c r="AZ56" i="32"/>
  <c r="BH74" i="32"/>
  <c r="BL74" i="32"/>
  <c r="AZ57" i="32"/>
  <c r="AZ74" i="32"/>
  <c r="BD74" i="32"/>
  <c r="BH100" i="32"/>
  <c r="CB106" i="32" s="1"/>
  <c r="BH104" i="32"/>
  <c r="BH103" i="32"/>
  <c r="AE47" i="32"/>
  <c r="R45" i="32"/>
  <c r="BJ45" i="32"/>
  <c r="AX45" i="32"/>
  <c r="BH65" i="32"/>
  <c r="CB65" i="32" s="1"/>
  <c r="AN65" i="32"/>
  <c r="AZ64" i="32"/>
  <c r="BT64" i="32" s="1"/>
  <c r="AF64" i="32"/>
  <c r="BD63" i="32"/>
  <c r="BX63" i="32" s="1"/>
  <c r="AJ63" i="32"/>
  <c r="BS56" i="32"/>
  <c r="W56" i="32"/>
  <c r="BK56" i="32"/>
  <c r="BW56" i="32"/>
  <c r="O56" i="32"/>
  <c r="BC56" i="32"/>
  <c r="CA56" i="32"/>
  <c r="AE56" i="32"/>
  <c r="AI56" i="32"/>
  <c r="S56" i="32"/>
  <c r="AM56" i="32"/>
  <c r="BG56" i="32"/>
  <c r="AQ56" i="32"/>
  <c r="CE56" i="32"/>
  <c r="AU56" i="32"/>
  <c r="BO56" i="32"/>
  <c r="CI56" i="32"/>
  <c r="BR73" i="32"/>
  <c r="CH73" i="32"/>
  <c r="V73" i="32"/>
  <c r="BJ73" i="32"/>
  <c r="BV73" i="32"/>
  <c r="CL73" i="32"/>
  <c r="N73" i="32"/>
  <c r="BB73" i="32"/>
  <c r="BZ73" i="32"/>
  <c r="AT73" i="32"/>
  <c r="BN73" i="32"/>
  <c r="Z73" i="32"/>
  <c r="AX73" i="32"/>
  <c r="AD73" i="32"/>
  <c r="AH73" i="32"/>
  <c r="R73" i="32"/>
  <c r="AL73" i="32"/>
  <c r="BF73" i="32"/>
  <c r="AP73" i="32"/>
  <c r="BZ43" i="32"/>
  <c r="AT43" i="32"/>
  <c r="BW39" i="32"/>
  <c r="BJ38" i="32"/>
  <c r="CD36" i="32"/>
  <c r="CE35" i="32"/>
  <c r="BO35" i="32"/>
  <c r="AY35" i="32"/>
  <c r="AI35" i="32"/>
  <c r="CI34" i="32"/>
  <c r="BS34" i="32"/>
  <c r="BG34" i="32"/>
  <c r="AU34" i="32"/>
  <c r="AE34" i="32"/>
  <c r="BP55" i="32"/>
  <c r="BF55" i="32"/>
  <c r="AT55" i="32"/>
  <c r="AD55" i="32"/>
  <c r="AY54" i="32"/>
  <c r="AP53" i="32"/>
  <c r="CH52" i="32"/>
  <c r="BR52" i="32"/>
  <c r="BB52" i="32"/>
  <c r="AE52" i="32"/>
  <c r="BZ48" i="32"/>
  <c r="AT48" i="32"/>
  <c r="BV47" i="32"/>
  <c r="BK47" i="32"/>
  <c r="CH45" i="32"/>
  <c r="BV45" i="32"/>
  <c r="AU45" i="32"/>
  <c r="AI45" i="32"/>
  <c r="W45" i="32"/>
  <c r="N64" i="32"/>
  <c r="CD64" i="32"/>
  <c r="R64" i="32"/>
  <c r="AD64" i="32"/>
  <c r="CH64" i="32"/>
  <c r="BN64" i="32"/>
  <c r="BZ64" i="32"/>
  <c r="CL64" i="32"/>
  <c r="BR64" i="32"/>
  <c r="AA56" i="32"/>
  <c r="BG74" i="32"/>
  <c r="CW82" i="32"/>
  <c r="L82" i="32" s="1"/>
  <c r="AF82" i="32" s="1"/>
  <c r="AZ82" i="32" s="1"/>
  <c r="BT82" i="32" s="1"/>
  <c r="CQ79" i="32"/>
  <c r="CU79" i="32"/>
  <c r="CA66" i="32"/>
  <c r="AU66" i="32"/>
  <c r="BC64" i="32"/>
  <c r="CD63" i="32"/>
  <c r="BS63" i="32"/>
  <c r="AX63" i="32"/>
  <c r="AM63" i="32"/>
  <c r="AB63" i="32"/>
  <c r="AV63" i="32" s="1"/>
  <c r="BP63" i="32" s="1"/>
  <c r="R63" i="32"/>
  <c r="CL62" i="32"/>
  <c r="BZ62" i="32"/>
  <c r="BN62" i="32"/>
  <c r="BC62" i="32"/>
  <c r="BR61" i="32"/>
  <c r="BF61" i="32"/>
  <c r="AT61" i="32"/>
  <c r="AI61" i="32"/>
  <c r="W61" i="32"/>
  <c r="CT60" i="32"/>
  <c r="BV60" i="32"/>
  <c r="BK60" i="32"/>
  <c r="AP60" i="32"/>
  <c r="AE60" i="32"/>
  <c r="CA59" i="32"/>
  <c r="BK59" i="32"/>
  <c r="AU59" i="32"/>
  <c r="AE59" i="32"/>
  <c r="S59" i="32"/>
  <c r="CM58" i="32"/>
  <c r="BR58" i="32"/>
  <c r="BB58" i="32"/>
  <c r="AL58" i="32"/>
  <c r="W58" i="32"/>
  <c r="CT57" i="32"/>
  <c r="CD57" i="32"/>
  <c r="BO57" i="32"/>
  <c r="AQ57" i="32"/>
  <c r="AA57" i="32"/>
  <c r="AH56" i="32"/>
  <c r="AX56" i="32"/>
  <c r="AL56" i="32"/>
  <c r="Z56" i="32"/>
  <c r="AP56" i="32"/>
  <c r="BN56" i="32"/>
  <c r="CM77" i="32"/>
  <c r="BW77" i="32"/>
  <c r="Z77" i="32"/>
  <c r="CQ76" i="32"/>
  <c r="AA76" i="32"/>
  <c r="AL72" i="32"/>
  <c r="N72" i="32"/>
  <c r="BB72" i="32"/>
  <c r="BZ72" i="32"/>
  <c r="Z72" i="32"/>
  <c r="AP72" i="32"/>
  <c r="BN72" i="32"/>
  <c r="R72" i="32"/>
  <c r="AD72" i="32"/>
  <c r="AT72" i="32"/>
  <c r="BF72" i="32"/>
  <c r="AX72" i="32"/>
  <c r="V72" i="32"/>
  <c r="CP88" i="32"/>
  <c r="V85" i="32"/>
  <c r="CP83" i="32"/>
  <c r="N99" i="32"/>
  <c r="BJ99" i="32"/>
  <c r="BZ99" i="32"/>
  <c r="Z99" i="32"/>
  <c r="AL99" i="32"/>
  <c r="R99" i="32"/>
  <c r="BN99" i="32"/>
  <c r="CH99" i="32"/>
  <c r="AT99" i="32"/>
  <c r="AH99" i="32"/>
  <c r="AX99" i="32"/>
  <c r="BR99" i="32"/>
  <c r="CL99" i="32"/>
  <c r="V99" i="32"/>
  <c r="BB99" i="32"/>
  <c r="BV99" i="32"/>
  <c r="CQ93" i="32"/>
  <c r="BB62" i="32"/>
  <c r="AP62" i="32"/>
  <c r="CE60" i="32"/>
  <c r="AY60" i="32"/>
  <c r="S60" i="32"/>
  <c r="CA58" i="32"/>
  <c r="BO58" i="32"/>
  <c r="AY58" i="32"/>
  <c r="AI58" i="32"/>
  <c r="CA57" i="32"/>
  <c r="BC57" i="32"/>
  <c r="O57" i="32"/>
  <c r="CL77" i="32"/>
  <c r="AX77" i="32"/>
  <c r="BO76" i="32"/>
  <c r="AY76" i="32"/>
  <c r="CT74" i="32"/>
  <c r="Z71" i="32"/>
  <c r="AL71" i="32"/>
  <c r="AX71" i="32"/>
  <c r="BN71" i="32"/>
  <c r="CD71" i="32"/>
  <c r="R71" i="32"/>
  <c r="AD71" i="32"/>
  <c r="AP71" i="32"/>
  <c r="BB71" i="32"/>
  <c r="BR71" i="32"/>
  <c r="CH71" i="32"/>
  <c r="V71" i="32"/>
  <c r="AH71" i="32"/>
  <c r="BF71" i="32"/>
  <c r="BV71" i="32"/>
  <c r="CL71" i="32"/>
  <c r="BZ71" i="32"/>
  <c r="CR85" i="32"/>
  <c r="CR81" i="32" s="1"/>
  <c r="CN81" i="32"/>
  <c r="CL63" i="32"/>
  <c r="CA63" i="32"/>
  <c r="BF63" i="32"/>
  <c r="AU63" i="32"/>
  <c r="Z63" i="32"/>
  <c r="O63" i="32"/>
  <c r="CH62" i="32"/>
  <c r="AD62" i="32"/>
  <c r="R62" i="32"/>
  <c r="CL61" i="32"/>
  <c r="BZ61" i="32"/>
  <c r="BN61" i="32"/>
  <c r="BC61" i="32"/>
  <c r="AQ61" i="32"/>
  <c r="CD60" i="32"/>
  <c r="BS60" i="32"/>
  <c r="AX60" i="32"/>
  <c r="AM60" i="32"/>
  <c r="R60" i="32"/>
  <c r="CM59" i="32"/>
  <c r="BW59" i="32"/>
  <c r="BG59" i="32"/>
  <c r="AQ59" i="32"/>
  <c r="AA59" i="32"/>
  <c r="BZ58" i="32"/>
  <c r="BN58" i="32"/>
  <c r="AX58" i="32"/>
  <c r="AH58" i="32"/>
  <c r="BZ57" i="32"/>
  <c r="BB57" i="32"/>
  <c r="AM57" i="32"/>
  <c r="N57" i="32"/>
  <c r="CU56" i="32"/>
  <c r="BR77" i="32"/>
  <c r="AT77" i="32"/>
  <c r="AU76" i="32"/>
  <c r="AB69" i="32"/>
  <c r="AR69" i="32"/>
  <c r="CP93" i="32"/>
  <c r="CT93" i="32"/>
  <c r="BZ63" i="32"/>
  <c r="AT63" i="32"/>
  <c r="N63" i="32"/>
  <c r="BV62" i="32"/>
  <c r="BJ62" i="32"/>
  <c r="BB61" i="32"/>
  <c r="AP61" i="32"/>
  <c r="AE61" i="32"/>
  <c r="S61" i="32"/>
  <c r="CM60" i="32"/>
  <c r="BG60" i="32"/>
  <c r="AL60" i="32"/>
  <c r="AA60" i="32"/>
  <c r="CL59" i="32"/>
  <c r="BV59" i="32"/>
  <c r="BF59" i="32"/>
  <c r="AP59" i="32"/>
  <c r="Z59" i="32"/>
  <c r="O59" i="32"/>
  <c r="CI58" i="32"/>
  <c r="BK58" i="32"/>
  <c r="AU58" i="32"/>
  <c r="AE58" i="32"/>
  <c r="S58" i="32"/>
  <c r="CM57" i="32"/>
  <c r="BW57" i="32"/>
  <c r="BK57" i="32"/>
  <c r="AL57" i="32"/>
  <c r="W57" i="32"/>
  <c r="CT56" i="32"/>
  <c r="AM77" i="32"/>
  <c r="BC77" i="32"/>
  <c r="BS77" i="32"/>
  <c r="AA77" i="32"/>
  <c r="AQ77" i="32"/>
  <c r="BG77" i="32"/>
  <c r="S77" i="32"/>
  <c r="AE77" i="32"/>
  <c r="AU77" i="32"/>
  <c r="BK77" i="32"/>
  <c r="CI77" i="32"/>
  <c r="CH77" i="32"/>
  <c r="BO77" i="32"/>
  <c r="AP77" i="32"/>
  <c r="CQ71" i="32"/>
  <c r="AT71" i="32"/>
  <c r="CZ82" i="32"/>
  <c r="X82" i="32" s="1"/>
  <c r="AR82" i="32" s="1"/>
  <c r="BL82" i="32" s="1"/>
  <c r="CF82" i="32" s="1"/>
  <c r="BL69" i="32"/>
  <c r="CF69" i="32" s="1"/>
  <c r="CJ69" i="32" s="1"/>
  <c r="CJ82" i="32" s="1"/>
  <c r="AN67" i="32"/>
  <c r="CQ86" i="32"/>
  <c r="AU85" i="32"/>
  <c r="BG85" i="32"/>
  <c r="BS85" i="32"/>
  <c r="O85" i="32"/>
  <c r="CE85" i="32"/>
  <c r="AA85" i="32"/>
  <c r="AM85" i="32"/>
  <c r="AY85" i="32"/>
  <c r="BK85" i="32"/>
  <c r="BW85" i="32"/>
  <c r="S85" i="32"/>
  <c r="AE85" i="32"/>
  <c r="CI85" i="32"/>
  <c r="AQ85" i="32"/>
  <c r="BC85" i="32"/>
  <c r="CQ84" i="32"/>
  <c r="CT81" i="32"/>
  <c r="CP81" i="32"/>
  <c r="AD99" i="32"/>
  <c r="AX62" i="32"/>
  <c r="AL62" i="32"/>
  <c r="Z62" i="32"/>
  <c r="CA60" i="32"/>
  <c r="AU60" i="32"/>
  <c r="O60" i="32"/>
  <c r="AY57" i="32"/>
  <c r="AI57" i="32"/>
  <c r="N77" i="32"/>
  <c r="CD77" i="32"/>
  <c r="BV77" i="32"/>
  <c r="BN77" i="32"/>
  <c r="AL77" i="32"/>
  <c r="CE76" i="32"/>
  <c r="BS76" i="32"/>
  <c r="CI76" i="32"/>
  <c r="W76" i="32"/>
  <c r="BK76" i="32"/>
  <c r="BW76" i="32"/>
  <c r="CM76" i="32"/>
  <c r="CY82" i="32"/>
  <c r="T82" i="32" s="1"/>
  <c r="AN82" i="32" s="1"/>
  <c r="BH82" i="32" s="1"/>
  <c r="CB82" i="32" s="1"/>
  <c r="T69" i="32"/>
  <c r="N85" i="32"/>
  <c r="CD85" i="32"/>
  <c r="Z85" i="32"/>
  <c r="AL85" i="32"/>
  <c r="AX85" i="32"/>
  <c r="BJ85" i="32"/>
  <c r="BV85" i="32"/>
  <c r="R85" i="32"/>
  <c r="AD85" i="32"/>
  <c r="CH85" i="32"/>
  <c r="AP85" i="32"/>
  <c r="BB85" i="32"/>
  <c r="BN85" i="32"/>
  <c r="BZ85" i="32"/>
  <c r="CL85" i="32"/>
  <c r="CH63" i="32"/>
  <c r="BW63" i="32"/>
  <c r="BB63" i="32"/>
  <c r="CD62" i="32"/>
  <c r="BV61" i="32"/>
  <c r="AY61" i="32"/>
  <c r="AM61" i="32"/>
  <c r="BZ60" i="32"/>
  <c r="BO60" i="32"/>
  <c r="AT60" i="32"/>
  <c r="CH59" i="32"/>
  <c r="BR59" i="32"/>
  <c r="BB59" i="32"/>
  <c r="BG58" i="32"/>
  <c r="AQ58" i="32"/>
  <c r="CI57" i="32"/>
  <c r="AX57" i="32"/>
  <c r="BJ77" i="32"/>
  <c r="R77" i="32"/>
  <c r="CA76" i="32"/>
  <c r="BG76" i="32"/>
  <c r="AM76" i="32"/>
  <c r="S76" i="32"/>
  <c r="AB95" i="32"/>
  <c r="AV71" i="32"/>
  <c r="P69" i="32"/>
  <c r="CX82" i="32"/>
  <c r="P82" i="32" s="1"/>
  <c r="AJ82" i="32" s="1"/>
  <c r="BD82" i="32" s="1"/>
  <c r="BX82" i="32" s="1"/>
  <c r="CT86" i="32"/>
  <c r="CP86" i="32"/>
  <c r="BR85" i="32"/>
  <c r="AH85" i="32"/>
  <c r="W82" i="32"/>
  <c r="BC82" i="32"/>
  <c r="CI82" i="32"/>
  <c r="AI82" i="32"/>
  <c r="BO82" i="32"/>
  <c r="O82" i="32"/>
  <c r="AU82" i="32"/>
  <c r="CA82" i="32"/>
  <c r="AA82" i="32"/>
  <c r="BG82" i="32"/>
  <c r="CM82" i="32"/>
  <c r="AM82" i="32"/>
  <c r="BS82" i="32"/>
  <c r="S82" i="32"/>
  <c r="AY82" i="32"/>
  <c r="CE82" i="32"/>
  <c r="CU97" i="32"/>
  <c r="CQ97" i="32"/>
  <c r="AL76" i="32"/>
  <c r="CT75" i="32"/>
  <c r="BO75" i="32"/>
  <c r="AQ75" i="32"/>
  <c r="AA75" i="32"/>
  <c r="AX74" i="32"/>
  <c r="AH74" i="32"/>
  <c r="AM73" i="32"/>
  <c r="CU72" i="32"/>
  <c r="AR71" i="32"/>
  <c r="CA70" i="32"/>
  <c r="BK70" i="32"/>
  <c r="AU70" i="32"/>
  <c r="AE70" i="32"/>
  <c r="CI69" i="32"/>
  <c r="BN69" i="32"/>
  <c r="BC69" i="32"/>
  <c r="AH69" i="32"/>
  <c r="W69" i="32"/>
  <c r="L69" i="32"/>
  <c r="CT68" i="32"/>
  <c r="BV68" i="32"/>
  <c r="BK68" i="32"/>
  <c r="AP68" i="32"/>
  <c r="AE68" i="32"/>
  <c r="CD67" i="32"/>
  <c r="BS67" i="32"/>
  <c r="AX67" i="32"/>
  <c r="AM67" i="32"/>
  <c r="AB67" i="32"/>
  <c r="AV67" i="32" s="1"/>
  <c r="BP67" i="32" s="1"/>
  <c r="R67" i="32"/>
  <c r="BR88" i="32"/>
  <c r="BF88" i="32"/>
  <c r="AT88" i="32"/>
  <c r="AI88" i="32"/>
  <c r="W88" i="32"/>
  <c r="CH87" i="32"/>
  <c r="BB87" i="32"/>
  <c r="AP87" i="32"/>
  <c r="AE87" i="32"/>
  <c r="S87" i="32"/>
  <c r="CD86" i="32"/>
  <c r="BS86" i="32"/>
  <c r="AX86" i="32"/>
  <c r="AL86" i="32"/>
  <c r="Z86" i="32"/>
  <c r="O86" i="32"/>
  <c r="CD84" i="32"/>
  <c r="BS84" i="32"/>
  <c r="AX84" i="32"/>
  <c r="AM84" i="32"/>
  <c r="R84" i="32"/>
  <c r="CL83" i="32"/>
  <c r="CA83" i="32"/>
  <c r="BF83" i="32"/>
  <c r="AU83" i="32"/>
  <c r="Z83" i="32"/>
  <c r="O83" i="32"/>
  <c r="CD81" i="32"/>
  <c r="BS81" i="32"/>
  <c r="BG81" i="32"/>
  <c r="AU81" i="32"/>
  <c r="N81" i="32"/>
  <c r="CM80" i="32"/>
  <c r="CA80" i="32"/>
  <c r="BO80" i="32"/>
  <c r="Z79" i="32"/>
  <c r="BR78" i="32"/>
  <c r="AT78" i="32"/>
  <c r="Z78" i="32"/>
  <c r="BW99" i="32"/>
  <c r="BC99" i="32"/>
  <c r="BP96" i="32"/>
  <c r="AH88" i="32"/>
  <c r="V88" i="32"/>
  <c r="BG86" i="32"/>
  <c r="AU86" i="32"/>
  <c r="BZ83" i="32"/>
  <c r="AT83" i="32"/>
  <c r="N83" i="32"/>
  <c r="AI81" i="32"/>
  <c r="W81" i="32"/>
  <c r="AE97" i="32"/>
  <c r="BK97" i="32"/>
  <c r="AQ97" i="32"/>
  <c r="BW97" i="32"/>
  <c r="W97" i="32"/>
  <c r="BC97" i="32"/>
  <c r="CI97" i="32"/>
  <c r="AI97" i="32"/>
  <c r="BO97" i="32"/>
  <c r="AM97" i="32"/>
  <c r="CT77" i="32"/>
  <c r="AX76" i="32"/>
  <c r="AH76" i="32"/>
  <c r="AM75" i="32"/>
  <c r="CU74" i="32"/>
  <c r="BF74" i="32"/>
  <c r="AT74" i="32"/>
  <c r="AD74" i="32"/>
  <c r="R74" i="32"/>
  <c r="AY73" i="32"/>
  <c r="AI73" i="32"/>
  <c r="AE71" i="32"/>
  <c r="S71" i="32"/>
  <c r="CM70" i="32"/>
  <c r="BW70" i="32"/>
  <c r="BG70" i="32"/>
  <c r="AQ70" i="32"/>
  <c r="R70" i="32"/>
  <c r="CT69" i="32"/>
  <c r="BV69" i="32"/>
  <c r="BK69" i="32"/>
  <c r="AP69" i="32"/>
  <c r="AE69" i="32"/>
  <c r="CD68" i="32"/>
  <c r="BS68" i="32"/>
  <c r="AX68" i="32"/>
  <c r="AM68" i="32"/>
  <c r="R68" i="32"/>
  <c r="CL67" i="32"/>
  <c r="CA67" i="32"/>
  <c r="BF67" i="32"/>
  <c r="AU67" i="32"/>
  <c r="AJ67" i="32"/>
  <c r="Z67" i="32"/>
  <c r="O67" i="32"/>
  <c r="CL88" i="32"/>
  <c r="BZ88" i="32"/>
  <c r="BN88" i="32"/>
  <c r="BC88" i="32"/>
  <c r="AQ88" i="32"/>
  <c r="CE87" i="32"/>
  <c r="BJ87" i="32"/>
  <c r="AY87" i="32"/>
  <c r="AM87" i="32"/>
  <c r="AA87" i="32"/>
  <c r="CM86" i="32"/>
  <c r="CA86" i="32"/>
  <c r="BF86" i="32"/>
  <c r="AT86" i="32"/>
  <c r="AI86" i="32"/>
  <c r="W86" i="32"/>
  <c r="CL84" i="32"/>
  <c r="CA84" i="32"/>
  <c r="BF84" i="32"/>
  <c r="AU84" i="32"/>
  <c r="Z84" i="32"/>
  <c r="O84" i="32"/>
  <c r="CI83" i="32"/>
  <c r="BN83" i="32"/>
  <c r="BC83" i="32"/>
  <c r="AH83" i="32"/>
  <c r="W83" i="32"/>
  <c r="CM81" i="32"/>
  <c r="CA81" i="32"/>
  <c r="BO81" i="32"/>
  <c r="AH81" i="32"/>
  <c r="V81" i="32"/>
  <c r="CI80" i="32"/>
  <c r="AE80" i="32"/>
  <c r="S80" i="32"/>
  <c r="W79" i="32"/>
  <c r="AI79" i="32"/>
  <c r="AU79" i="32"/>
  <c r="BG79" i="32"/>
  <c r="BS79" i="32"/>
  <c r="CT79" i="32"/>
  <c r="AI78" i="32"/>
  <c r="AY78" i="32"/>
  <c r="BO78" i="32"/>
  <c r="CE78" i="32"/>
  <c r="W78" i="32"/>
  <c r="CM99" i="32"/>
  <c r="BS99" i="32"/>
  <c r="AY99" i="32"/>
  <c r="AI99" i="32"/>
  <c r="BG97" i="32"/>
  <c r="S97" i="32"/>
  <c r="AM96" i="32"/>
  <c r="BS96" i="32"/>
  <c r="S96" i="32"/>
  <c r="AY96" i="32"/>
  <c r="CE96" i="32"/>
  <c r="AE96" i="32"/>
  <c r="BK96" i="32"/>
  <c r="AQ96" i="32"/>
  <c r="BW96" i="32"/>
  <c r="W96" i="32"/>
  <c r="CI96" i="32"/>
  <c r="AH95" i="32"/>
  <c r="BN95" i="32"/>
  <c r="N95" i="32"/>
  <c r="AT95" i="32"/>
  <c r="BZ95" i="32"/>
  <c r="Z95" i="32"/>
  <c r="BF95" i="32"/>
  <c r="CL95" i="32"/>
  <c r="AL95" i="32"/>
  <c r="BR95" i="32"/>
  <c r="R95" i="32"/>
  <c r="AX95" i="32"/>
  <c r="CD95" i="32"/>
  <c r="BV95" i="32"/>
  <c r="CP94" i="32"/>
  <c r="CT94" i="32"/>
  <c r="AA70" i="32"/>
  <c r="BJ69" i="32"/>
  <c r="AD69" i="32"/>
  <c r="BR68" i="32"/>
  <c r="AL68" i="32"/>
  <c r="BZ67" i="32"/>
  <c r="AT67" i="32"/>
  <c r="N67" i="32"/>
  <c r="BB88" i="32"/>
  <c r="AP88" i="32"/>
  <c r="CD87" i="32"/>
  <c r="AX87" i="32"/>
  <c r="AL87" i="32"/>
  <c r="Z87" i="32"/>
  <c r="BO86" i="32"/>
  <c r="BZ84" i="32"/>
  <c r="BO84" i="32"/>
  <c r="AT84" i="32"/>
  <c r="AI84" i="32"/>
  <c r="N84" i="32"/>
  <c r="CU83" i="32"/>
  <c r="CH83" i="32"/>
  <c r="BW83" i="32"/>
  <c r="BB83" i="32"/>
  <c r="AQ83" i="32"/>
  <c r="V83" i="32"/>
  <c r="CL81" i="32"/>
  <c r="BZ81" i="32"/>
  <c r="BN81" i="32"/>
  <c r="BC81" i="32"/>
  <c r="AQ81" i="32"/>
  <c r="BW80" i="32"/>
  <c r="BK80" i="32"/>
  <c r="AT79" i="32"/>
  <c r="BF79" i="32"/>
  <c r="BR79" i="32"/>
  <c r="N79" i="32"/>
  <c r="CA79" i="32"/>
  <c r="AY79" i="32"/>
  <c r="AH79" i="32"/>
  <c r="S79" i="32"/>
  <c r="AH78" i="32"/>
  <c r="AX78" i="32"/>
  <c r="BN78" i="32"/>
  <c r="CD78" i="32"/>
  <c r="V78" i="32"/>
  <c r="CA78" i="32"/>
  <c r="BG78" i="32"/>
  <c r="AM78" i="32"/>
  <c r="CA97" i="32"/>
  <c r="R96" i="32"/>
  <c r="AX96" i="32"/>
  <c r="CD96" i="32"/>
  <c r="AD96" i="32"/>
  <c r="BJ96" i="32"/>
  <c r="AP96" i="32"/>
  <c r="BV96" i="32"/>
  <c r="V96" i="32"/>
  <c r="BB96" i="32"/>
  <c r="CH96" i="32"/>
  <c r="AH96" i="32"/>
  <c r="BG96" i="32"/>
  <c r="AL96" i="32"/>
  <c r="O96" i="32"/>
  <c r="AD95" i="32"/>
  <c r="CU94" i="32"/>
  <c r="BF76" i="32"/>
  <c r="AT76" i="32"/>
  <c r="AD76" i="32"/>
  <c r="AY75" i="32"/>
  <c r="BN74" i="32"/>
  <c r="AP74" i="32"/>
  <c r="BG73" i="32"/>
  <c r="AU73" i="32"/>
  <c r="AE73" i="32"/>
  <c r="AM71" i="32"/>
  <c r="CI70" i="32"/>
  <c r="BS70" i="32"/>
  <c r="BC70" i="32"/>
  <c r="AM70" i="32"/>
  <c r="CD69" i="32"/>
  <c r="BS69" i="32"/>
  <c r="AX69" i="32"/>
  <c r="CL68" i="32"/>
  <c r="CA68" i="32"/>
  <c r="BF68" i="32"/>
  <c r="AU68" i="32"/>
  <c r="Z68" i="32"/>
  <c r="CI67" i="32"/>
  <c r="BN67" i="32"/>
  <c r="BC67" i="32"/>
  <c r="CH88" i="32"/>
  <c r="BW88" i="32"/>
  <c r="AD88" i="32"/>
  <c r="R88" i="32"/>
  <c r="BR87" i="32"/>
  <c r="BG87" i="32"/>
  <c r="N87" i="32"/>
  <c r="CI86" i="32"/>
  <c r="BC86" i="32"/>
  <c r="AQ86" i="32"/>
  <c r="CI84" i="32"/>
  <c r="BN84" i="32"/>
  <c r="BC84" i="32"/>
  <c r="BV83" i="32"/>
  <c r="BK83" i="32"/>
  <c r="AP83" i="32"/>
  <c r="CI81" i="32"/>
  <c r="BB81" i="32"/>
  <c r="AE81" i="32"/>
  <c r="S81" i="32"/>
  <c r="AY80" i="32"/>
  <c r="AM80" i="32"/>
  <c r="AA80" i="32"/>
  <c r="CM79" i="32"/>
  <c r="BZ79" i="32"/>
  <c r="BK79" i="32"/>
  <c r="AX79" i="32"/>
  <c r="R79" i="32"/>
  <c r="BZ78" i="32"/>
  <c r="BF78" i="32"/>
  <c r="AL78" i="32"/>
  <c r="S78" i="32"/>
  <c r="CI99" i="32"/>
  <c r="BO99" i="32"/>
  <c r="AY97" i="32"/>
  <c r="CA96" i="32"/>
  <c r="BF96" i="32"/>
  <c r="N96" i="32"/>
  <c r="BZ68" i="32"/>
  <c r="AT68" i="32"/>
  <c r="BV88" i="32"/>
  <c r="BF87" i="32"/>
  <c r="BW86" i="32"/>
  <c r="AE86" i="32"/>
  <c r="BJ83" i="32"/>
  <c r="BW81" i="32"/>
  <c r="CE80" i="32"/>
  <c r="AU99" i="32"/>
  <c r="O99" i="32"/>
  <c r="BK99" i="32"/>
  <c r="CA99" i="32"/>
  <c r="AE99" i="32"/>
  <c r="BS97" i="32"/>
  <c r="O97" i="32"/>
  <c r="BK94" i="32"/>
  <c r="AE94" i="32"/>
  <c r="S94" i="32"/>
  <c r="CP92" i="32"/>
  <c r="AA90" i="32"/>
  <c r="AM90" i="32"/>
  <c r="AY90" i="32"/>
  <c r="BK90" i="32"/>
  <c r="BW90" i="32"/>
  <c r="AQ90" i="32"/>
  <c r="BC90" i="32"/>
  <c r="BO90" i="32"/>
  <c r="CA90" i="32"/>
  <c r="CM90" i="32"/>
  <c r="CE90" i="32"/>
  <c r="AX102" i="32"/>
  <c r="AU21" i="33"/>
  <c r="AY21" i="33"/>
  <c r="AE48" i="33"/>
  <c r="AQ48" i="33"/>
  <c r="AI48" i="33"/>
  <c r="O48" i="33"/>
  <c r="AA48" i="33"/>
  <c r="AM48" i="33"/>
  <c r="S48" i="33"/>
  <c r="W48" i="33"/>
  <c r="Z87" i="33"/>
  <c r="AP87" i="33"/>
  <c r="N87" i="33"/>
  <c r="AD87" i="33"/>
  <c r="R87" i="33"/>
  <c r="AH87" i="33"/>
  <c r="V87" i="33"/>
  <c r="AL87" i="33"/>
  <c r="CL98" i="32"/>
  <c r="BV98" i="32"/>
  <c r="BF98" i="32"/>
  <c r="AP98" i="32"/>
  <c r="AA98" i="32"/>
  <c r="BZ97" i="32"/>
  <c r="AT97" i="32"/>
  <c r="N97" i="32"/>
  <c r="CE94" i="32"/>
  <c r="BJ94" i="32"/>
  <c r="AY94" i="32"/>
  <c r="AD94" i="32"/>
  <c r="R94" i="32"/>
  <c r="BG90" i="32"/>
  <c r="S90" i="32"/>
  <c r="W105" i="32"/>
  <c r="AI105" i="32"/>
  <c r="BW105" i="32"/>
  <c r="CM105" i="32"/>
  <c r="AU105" i="32"/>
  <c r="BK105" i="32"/>
  <c r="AA105" i="32"/>
  <c r="AM105" i="32"/>
  <c r="AY105" i="32"/>
  <c r="BO105" i="32"/>
  <c r="CE105" i="32"/>
  <c r="CL102" i="32"/>
  <c r="BJ101" i="32"/>
  <c r="BV101" i="32"/>
  <c r="CL101" i="32"/>
  <c r="R101" i="32"/>
  <c r="AD101" i="32"/>
  <c r="AP101" i="32"/>
  <c r="BB101" i="32"/>
  <c r="BZ101" i="32"/>
  <c r="BN101" i="32"/>
  <c r="V101" i="32"/>
  <c r="AH101" i="32"/>
  <c r="CD101" i="32"/>
  <c r="AT101" i="32"/>
  <c r="BF101" i="32"/>
  <c r="AX101" i="32"/>
  <c r="CI98" i="32"/>
  <c r="BS98" i="32"/>
  <c r="BC98" i="32"/>
  <c r="AM98" i="32"/>
  <c r="Z98" i="32"/>
  <c r="O98" i="32"/>
  <c r="BN97" i="32"/>
  <c r="AH97" i="32"/>
  <c r="CD94" i="32"/>
  <c r="BS94" i="32"/>
  <c r="AX94" i="32"/>
  <c r="AM94" i="32"/>
  <c r="AT93" i="32"/>
  <c r="BF93" i="32"/>
  <c r="BR93" i="32"/>
  <c r="Z93" i="32"/>
  <c r="AL93" i="32"/>
  <c r="AX93" i="32"/>
  <c r="BZ93" i="32"/>
  <c r="AH93" i="32"/>
  <c r="BK92" i="32"/>
  <c r="BW92" i="32"/>
  <c r="AQ92" i="32"/>
  <c r="BC92" i="32"/>
  <c r="CM92" i="32"/>
  <c r="BG92" i="32"/>
  <c r="AE92" i="32"/>
  <c r="AT105" i="32"/>
  <c r="BJ105" i="32"/>
  <c r="N105" i="32"/>
  <c r="BZ105" i="32"/>
  <c r="CD105" i="32"/>
  <c r="R105" i="32"/>
  <c r="AD105" i="32"/>
  <c r="BB105" i="32"/>
  <c r="BS105" i="32"/>
  <c r="CI102" i="32"/>
  <c r="AE17" i="33"/>
  <c r="W17" i="33"/>
  <c r="AM17" i="33"/>
  <c r="AI17" i="33"/>
  <c r="O17" i="33"/>
  <c r="S17" i="33"/>
  <c r="AQ17" i="33"/>
  <c r="AF51" i="33"/>
  <c r="L51" i="33"/>
  <c r="AJ51" i="33"/>
  <c r="P51" i="33"/>
  <c r="T51" i="33"/>
  <c r="AN51" i="33"/>
  <c r="X51" i="33"/>
  <c r="CH98" i="32"/>
  <c r="BR98" i="32"/>
  <c r="BB98" i="32"/>
  <c r="AL98" i="32"/>
  <c r="CH97" i="32"/>
  <c r="BB97" i="32"/>
  <c r="V97" i="32"/>
  <c r="BO95" i="32"/>
  <c r="AI95" i="32"/>
  <c r="CM94" i="32"/>
  <c r="BR94" i="32"/>
  <c r="BG94" i="32"/>
  <c r="AL94" i="32"/>
  <c r="AA94" i="32"/>
  <c r="O94" i="32"/>
  <c r="CL93" i="32"/>
  <c r="R93" i="32"/>
  <c r="R92" i="32"/>
  <c r="AD92" i="32"/>
  <c r="CH92" i="32"/>
  <c r="BN92" i="32"/>
  <c r="BZ92" i="32"/>
  <c r="CL92" i="32"/>
  <c r="CI92" i="32"/>
  <c r="BF92" i="32"/>
  <c r="AP92" i="32"/>
  <c r="AA92" i="32"/>
  <c r="O92" i="32"/>
  <c r="AI90" i="32"/>
  <c r="O90" i="32"/>
  <c r="S106" i="32"/>
  <c r="AE106" i="32"/>
  <c r="BC106" i="32"/>
  <c r="BS106" i="32"/>
  <c r="AQ106" i="32"/>
  <c r="CE106" i="32"/>
  <c r="W106" i="32"/>
  <c r="AI106" i="32"/>
  <c r="BW106" i="32"/>
  <c r="AU106" i="32"/>
  <c r="BK106" i="32"/>
  <c r="CI106" i="32"/>
  <c r="BR105" i="32"/>
  <c r="AQ105" i="32"/>
  <c r="V105" i="32"/>
  <c r="AQ103" i="32"/>
  <c r="BC103" i="32"/>
  <c r="CA103" i="32"/>
  <c r="BO103" i="32"/>
  <c r="W103" i="32"/>
  <c r="AI103" i="32"/>
  <c r="CE103" i="32"/>
  <c r="AU103" i="32"/>
  <c r="BG103" i="32"/>
  <c r="O103" i="32"/>
  <c r="BS103" i="32"/>
  <c r="CI103" i="32"/>
  <c r="BW103" i="32"/>
  <c r="AY103" i="32"/>
  <c r="AA103" i="32"/>
  <c r="BV102" i="32"/>
  <c r="AM102" i="32"/>
  <c r="O102" i="32"/>
  <c r="AL101" i="32"/>
  <c r="N101" i="32"/>
  <c r="CE98" i="32"/>
  <c r="BO98" i="32"/>
  <c r="AY98" i="32"/>
  <c r="AI98" i="32"/>
  <c r="BV97" i="32"/>
  <c r="CI95" i="32"/>
  <c r="BC95" i="32"/>
  <c r="CL94" i="32"/>
  <c r="CA94" i="32"/>
  <c r="BF94" i="32"/>
  <c r="Z94" i="32"/>
  <c r="BJ93" i="32"/>
  <c r="BS92" i="32"/>
  <c r="Z92" i="32"/>
  <c r="N92" i="32"/>
  <c r="AE90" i="32"/>
  <c r="AP106" i="32"/>
  <c r="CD106" i="32"/>
  <c r="BF106" i="32"/>
  <c r="AT106" i="32"/>
  <c r="BJ106" i="32"/>
  <c r="CH106" i="32"/>
  <c r="N106" i="32"/>
  <c r="CA106" i="32"/>
  <c r="AY106" i="32"/>
  <c r="AD106" i="32"/>
  <c r="O106" i="32"/>
  <c r="CQ105" i="32"/>
  <c r="AP105" i="32"/>
  <c r="CH101" i="32"/>
  <c r="AU34" i="33"/>
  <c r="AY34" i="33"/>
  <c r="O43" i="33"/>
  <c r="AA43" i="33"/>
  <c r="AM43" i="33"/>
  <c r="AE43" i="33"/>
  <c r="AQ43" i="33"/>
  <c r="AI43" i="33"/>
  <c r="S43" i="33"/>
  <c r="W43" i="33"/>
  <c r="BK102" i="32"/>
  <c r="BW102" i="32"/>
  <c r="CM102" i="32"/>
  <c r="S102" i="32"/>
  <c r="AE102" i="32"/>
  <c r="AQ102" i="32"/>
  <c r="BC102" i="32"/>
  <c r="CA102" i="32"/>
  <c r="BO102" i="32"/>
  <c r="W102" i="32"/>
  <c r="AI102" i="32"/>
  <c r="CE102" i="32"/>
  <c r="AU102" i="32"/>
  <c r="BG102" i="32"/>
  <c r="T8" i="33"/>
  <c r="T12" i="33"/>
  <c r="T9" i="33"/>
  <c r="T13" i="33"/>
  <c r="T14" i="33"/>
  <c r="T15" i="33"/>
  <c r="T16" i="33"/>
  <c r="T10" i="33"/>
  <c r="T11" i="33"/>
  <c r="AI34" i="33"/>
  <c r="O34" i="33"/>
  <c r="AA34" i="33"/>
  <c r="AM34" i="33"/>
  <c r="S34" i="33"/>
  <c r="AQ34" i="33"/>
  <c r="W34" i="33"/>
  <c r="AE34" i="33"/>
  <c r="AE24" i="33"/>
  <c r="AQ24" i="33"/>
  <c r="W24" i="33"/>
  <c r="AI24" i="33"/>
  <c r="O24" i="33"/>
  <c r="AA24" i="33"/>
  <c r="S24" i="33"/>
  <c r="R20" i="33"/>
  <c r="AH20" i="33"/>
  <c r="Z20" i="33"/>
  <c r="N20" i="33"/>
  <c r="AL20" i="33"/>
  <c r="V20" i="33"/>
  <c r="AP20" i="33"/>
  <c r="AD20" i="33"/>
  <c r="O44" i="33"/>
  <c r="AE44" i="33"/>
  <c r="AQ44" i="33"/>
  <c r="S44" i="33"/>
  <c r="AI44" i="33"/>
  <c r="W44" i="33"/>
  <c r="AM44" i="33"/>
  <c r="AA44" i="33"/>
  <c r="P37" i="33"/>
  <c r="X38" i="33"/>
  <c r="X88" i="33" s="1"/>
  <c r="L37" i="33"/>
  <c r="AJ44" i="33"/>
  <c r="T38" i="33"/>
  <c r="T88" i="33" s="1"/>
  <c r="AN44" i="33"/>
  <c r="AN83" i="33" s="1"/>
  <c r="R102" i="32"/>
  <c r="AD102" i="32"/>
  <c r="AP102" i="32"/>
  <c r="BB102" i="32"/>
  <c r="BZ102" i="32"/>
  <c r="BN102" i="32"/>
  <c r="V102" i="32"/>
  <c r="AH102" i="32"/>
  <c r="CD102" i="32"/>
  <c r="AT102" i="32"/>
  <c r="BF102" i="32"/>
  <c r="N102" i="32"/>
  <c r="BR102" i="32"/>
  <c r="CH102" i="32"/>
  <c r="AA102" i="32"/>
  <c r="BV91" i="32"/>
  <c r="BJ91" i="32"/>
  <c r="AH90" i="32"/>
  <c r="V90" i="32"/>
  <c r="AX89" i="32"/>
  <c r="AL89" i="32"/>
  <c r="Z89" i="32"/>
  <c r="O89" i="32"/>
  <c r="AY104" i="32"/>
  <c r="AM104" i="32"/>
  <c r="AA104" i="32"/>
  <c r="AX103" i="32"/>
  <c r="AL103" i="32"/>
  <c r="Z103" i="32"/>
  <c r="CU101" i="32"/>
  <c r="CE101" i="32"/>
  <c r="AI101" i="32"/>
  <c r="W101" i="32"/>
  <c r="CT100" i="32"/>
  <c r="AX100" i="32"/>
  <c r="AY17" i="33"/>
  <c r="P8" i="33"/>
  <c r="P12" i="33"/>
  <c r="P9" i="33"/>
  <c r="P10" i="33"/>
  <c r="P14" i="33"/>
  <c r="N34" i="33"/>
  <c r="Z34" i="33"/>
  <c r="AL34" i="33"/>
  <c r="R34" i="33"/>
  <c r="AD34" i="33"/>
  <c r="CF31" i="33"/>
  <c r="W31" i="33"/>
  <c r="AI23" i="33"/>
  <c r="W23" i="33"/>
  <c r="AA23" i="33"/>
  <c r="AM23" i="33"/>
  <c r="O23" i="33"/>
  <c r="AQ23" i="33"/>
  <c r="O21" i="33"/>
  <c r="AA21" i="33"/>
  <c r="AE21" i="33"/>
  <c r="AI21" i="33"/>
  <c r="S21" i="33"/>
  <c r="AM21" i="33"/>
  <c r="W21" i="33"/>
  <c r="AP47" i="33"/>
  <c r="S64" i="33"/>
  <c r="AI64" i="33"/>
  <c r="AM64" i="33"/>
  <c r="AA64" i="33"/>
  <c r="O93" i="32"/>
  <c r="CE91" i="32"/>
  <c r="AX91" i="32"/>
  <c r="AL91" i="32"/>
  <c r="Z91" i="32"/>
  <c r="O91" i="32"/>
  <c r="CL90" i="32"/>
  <c r="BZ90" i="32"/>
  <c r="BN90" i="32"/>
  <c r="BR89" i="32"/>
  <c r="BG89" i="32"/>
  <c r="AU89" i="32"/>
  <c r="N89" i="32"/>
  <c r="CU106" i="32"/>
  <c r="CT105" i="32"/>
  <c r="CI104" i="32"/>
  <c r="BS104" i="32"/>
  <c r="AX104" i="32"/>
  <c r="AL104" i="32"/>
  <c r="Z104" i="32"/>
  <c r="O104" i="32"/>
  <c r="CH103" i="32"/>
  <c r="BR103" i="32"/>
  <c r="N103" i="32"/>
  <c r="CU102" i="32"/>
  <c r="CT101" i="32"/>
  <c r="BO101" i="32"/>
  <c r="BZ100" i="32"/>
  <c r="N100" i="32"/>
  <c r="L9" i="33"/>
  <c r="L13" i="33"/>
  <c r="L10" i="33"/>
  <c r="L14" i="33"/>
  <c r="AL33" i="33"/>
  <c r="CF32" i="33"/>
  <c r="S19" i="33"/>
  <c r="AA19" i="33"/>
  <c r="AM19" i="33"/>
  <c r="O19" i="33"/>
  <c r="W19" i="33"/>
  <c r="AQ19" i="33"/>
  <c r="AI47" i="33"/>
  <c r="O47" i="33"/>
  <c r="AM47" i="33"/>
  <c r="S47" i="33"/>
  <c r="AQ47" i="33"/>
  <c r="W47" i="33"/>
  <c r="AA47" i="33"/>
  <c r="AE47" i="33"/>
  <c r="W54" i="33"/>
  <c r="AI54" i="33"/>
  <c r="AA54" i="33"/>
  <c r="S54" i="33"/>
  <c r="AE54" i="33"/>
  <c r="AQ54" i="33"/>
  <c r="O54" i="33"/>
  <c r="AM54" i="33"/>
  <c r="CA101" i="32"/>
  <c r="BC101" i="32"/>
  <c r="AQ101" i="32"/>
  <c r="AT100" i="32"/>
  <c r="Z100" i="32"/>
  <c r="AQ32" i="33"/>
  <c r="W32" i="33"/>
  <c r="AI32" i="33"/>
  <c r="O32" i="33"/>
  <c r="AA32" i="33"/>
  <c r="T32" i="33"/>
  <c r="AF32" i="33"/>
  <c r="L32" i="33"/>
  <c r="X32" i="33"/>
  <c r="AJ32" i="33"/>
  <c r="P32" i="33"/>
  <c r="V28" i="33"/>
  <c r="AH28" i="33"/>
  <c r="N28" i="33"/>
  <c r="Z28" i="33"/>
  <c r="AL28" i="33"/>
  <c r="R28" i="33"/>
  <c r="AU26" i="33"/>
  <c r="AY26" i="33"/>
  <c r="AY24" i="33"/>
  <c r="AU19" i="33"/>
  <c r="AY19" i="33"/>
  <c r="N47" i="33"/>
  <c r="Z47" i="33"/>
  <c r="R47" i="33"/>
  <c r="AD47" i="33"/>
  <c r="V47" i="33"/>
  <c r="AH47" i="33"/>
  <c r="X83" i="33"/>
  <c r="AN67" i="33"/>
  <c r="T67" i="33"/>
  <c r="AF67" i="33"/>
  <c r="L67" i="33"/>
  <c r="X67" i="33"/>
  <c r="AJ67" i="33"/>
  <c r="P67" i="33"/>
  <c r="AH54" i="33"/>
  <c r="Z54" i="33"/>
  <c r="N54" i="33"/>
  <c r="AL54" i="33"/>
  <c r="R54" i="33"/>
  <c r="AP54" i="33"/>
  <c r="V54" i="33"/>
  <c r="AD54" i="33"/>
  <c r="AI93" i="32"/>
  <c r="BR91" i="32"/>
  <c r="BF91" i="32"/>
  <c r="AT91" i="32"/>
  <c r="AI91" i="32"/>
  <c r="CH90" i="32"/>
  <c r="AD90" i="32"/>
  <c r="R90" i="32"/>
  <c r="CL89" i="32"/>
  <c r="BZ89" i="32"/>
  <c r="BO89" i="32"/>
  <c r="AH89" i="32"/>
  <c r="V89" i="32"/>
  <c r="CE104" i="32"/>
  <c r="BF104" i="32"/>
  <c r="AT104" i="32"/>
  <c r="AI104" i="32"/>
  <c r="W104" i="32"/>
  <c r="CD103" i="32"/>
  <c r="AH103" i="32"/>
  <c r="V103" i="32"/>
  <c r="AE101" i="32"/>
  <c r="S101" i="32"/>
  <c r="P13" i="33"/>
  <c r="P11" i="33"/>
  <c r="V34" i="33"/>
  <c r="BM33" i="33"/>
  <c r="AU28" i="33"/>
  <c r="AY28" i="33"/>
  <c r="AD28" i="33"/>
  <c r="BM27" i="33"/>
  <c r="W26" i="33"/>
  <c r="AI26" i="33"/>
  <c r="O26" i="33"/>
  <c r="AA26" i="33"/>
  <c r="AM26" i="33"/>
  <c r="S26" i="33"/>
  <c r="AE26" i="33"/>
  <c r="T24" i="33"/>
  <c r="T25" i="33" s="1"/>
  <c r="AF24" i="33"/>
  <c r="AF25" i="33" s="1"/>
  <c r="L24" i="33"/>
  <c r="L25" i="33" s="1"/>
  <c r="X24" i="33"/>
  <c r="X25" i="33" s="1"/>
  <c r="AJ24" i="33"/>
  <c r="AJ25" i="33" s="1"/>
  <c r="P24" i="33"/>
  <c r="P25" i="33" s="1"/>
  <c r="CF22" i="33"/>
  <c r="AB67" i="33"/>
  <c r="AU57" i="33"/>
  <c r="AY57" i="33"/>
  <c r="AH91" i="32"/>
  <c r="BV90" i="32"/>
  <c r="CI89" i="32"/>
  <c r="BC89" i="32"/>
  <c r="CD104" i="32"/>
  <c r="AH104" i="32"/>
  <c r="CM101" i="32"/>
  <c r="BW101" i="32"/>
  <c r="BK101" i="32"/>
  <c r="BR100" i="32"/>
  <c r="P16" i="33"/>
  <c r="P15" i="33"/>
  <c r="L11" i="33"/>
  <c r="AN32" i="33"/>
  <c r="AL30" i="33"/>
  <c r="R30" i="33"/>
  <c r="AD30" i="33"/>
  <c r="AP30" i="33"/>
  <c r="V30" i="33"/>
  <c r="AH30" i="33"/>
  <c r="AU30" i="33"/>
  <c r="AU29" i="33"/>
  <c r="AY29" i="33"/>
  <c r="AH26" i="33"/>
  <c r="N26" i="33"/>
  <c r="Z26" i="33"/>
  <c r="AL26" i="33"/>
  <c r="R26" i="33"/>
  <c r="AD26" i="33"/>
  <c r="V26" i="33"/>
  <c r="BM25" i="33"/>
  <c r="AQ21" i="33"/>
  <c r="AU35" i="33"/>
  <c r="AY35" i="33"/>
  <c r="AY101" i="32"/>
  <c r="AM101" i="32"/>
  <c r="BJ100" i="32"/>
  <c r="BV100" i="32"/>
  <c r="CL100" i="32"/>
  <c r="R100" i="32"/>
  <c r="AD100" i="32"/>
  <c r="V100" i="32"/>
  <c r="AH100" i="32"/>
  <c r="CH100" i="32"/>
  <c r="AP100" i="32"/>
  <c r="R33" i="33"/>
  <c r="AD33" i="33"/>
  <c r="AP33" i="33"/>
  <c r="V33" i="33"/>
  <c r="AH33" i="33"/>
  <c r="AI31" i="33"/>
  <c r="O31" i="33"/>
  <c r="AA31" i="33"/>
  <c r="AM31" i="33"/>
  <c r="S31" i="33"/>
  <c r="AE31" i="33"/>
  <c r="AI29" i="33"/>
  <c r="O29" i="33"/>
  <c r="AA29" i="33"/>
  <c r="AM29" i="33"/>
  <c r="S29" i="33"/>
  <c r="AE29" i="33"/>
  <c r="AN25" i="33"/>
  <c r="S20" i="33"/>
  <c r="AI20" i="33"/>
  <c r="O20" i="33"/>
  <c r="AM20" i="33"/>
  <c r="W20" i="33"/>
  <c r="AA20" i="33"/>
  <c r="AQ20" i="33"/>
  <c r="T18" i="33"/>
  <c r="AF19" i="33"/>
  <c r="X18" i="33"/>
  <c r="P17" i="33"/>
  <c r="AN20" i="33"/>
  <c r="AB19" i="33"/>
  <c r="AT50" i="33"/>
  <c r="AM41" i="33"/>
  <c r="S41" i="33"/>
  <c r="AE41" i="33"/>
  <c r="AQ41" i="33"/>
  <c r="W41" i="33"/>
  <c r="AI41" i="33"/>
  <c r="AA41" i="33"/>
  <c r="O41" i="33"/>
  <c r="AX37" i="33"/>
  <c r="AT37" i="33"/>
  <c r="AF12" i="33"/>
  <c r="AF8" i="33"/>
  <c r="AL32" i="33"/>
  <c r="W30" i="33"/>
  <c r="AP29" i="33"/>
  <c r="T29" i="33"/>
  <c r="AM28" i="33"/>
  <c r="AB28" i="33"/>
  <c r="AN26" i="33"/>
  <c r="AH25" i="33"/>
  <c r="AL24" i="33"/>
  <c r="AD23" i="33"/>
  <c r="R23" i="33"/>
  <c r="N21" i="33"/>
  <c r="AD21" i="33"/>
  <c r="V21" i="33"/>
  <c r="BM18" i="33"/>
  <c r="AQ50" i="33"/>
  <c r="AY49" i="33"/>
  <c r="R48" i="33"/>
  <c r="AU46" i="33"/>
  <c r="BM42" i="33"/>
  <c r="AD40" i="33"/>
  <c r="AP40" i="33"/>
  <c r="V40" i="33"/>
  <c r="AH40" i="33"/>
  <c r="N40" i="33"/>
  <c r="Z40" i="33"/>
  <c r="AU68" i="33"/>
  <c r="AU65" i="33"/>
  <c r="AX59" i="33"/>
  <c r="AU56" i="33"/>
  <c r="AB34" i="33"/>
  <c r="AX32" i="33"/>
  <c r="Z32" i="33"/>
  <c r="AQ30" i="33"/>
  <c r="AN29" i="33"/>
  <c r="AD29" i="33"/>
  <c r="AA28" i="33"/>
  <c r="AB26" i="33"/>
  <c r="V25" i="33"/>
  <c r="AX24" i="33"/>
  <c r="AB23" i="33"/>
  <c r="AQ22" i="33"/>
  <c r="AA22" i="33"/>
  <c r="AT51" i="33"/>
  <c r="AX51" i="33"/>
  <c r="O50" i="33"/>
  <c r="AA50" i="33"/>
  <c r="S50" i="33"/>
  <c r="AE50" i="33"/>
  <c r="AM50" i="33"/>
  <c r="AL48" i="33"/>
  <c r="AE39" i="33"/>
  <c r="AQ39" i="33"/>
  <c r="W39" i="33"/>
  <c r="AI39" i="33"/>
  <c r="O39" i="33"/>
  <c r="AA39" i="33"/>
  <c r="W61" i="33"/>
  <c r="AI61" i="33"/>
  <c r="AQ61" i="33"/>
  <c r="AA61" i="33"/>
  <c r="AE61" i="33"/>
  <c r="O61" i="33"/>
  <c r="AU59" i="33"/>
  <c r="AE30" i="33"/>
  <c r="AB29" i="33"/>
  <c r="O28" i="33"/>
  <c r="AP25" i="33"/>
  <c r="AQ49" i="33"/>
  <c r="AH48" i="33"/>
  <c r="AP39" i="33"/>
  <c r="V39" i="33"/>
  <c r="AH39" i="33"/>
  <c r="N39" i="33"/>
  <c r="Z39" i="33"/>
  <c r="AL39" i="33"/>
  <c r="AD39" i="33"/>
  <c r="BM37" i="33"/>
  <c r="S36" i="33"/>
  <c r="AE36" i="33"/>
  <c r="AQ36" i="33"/>
  <c r="W36" i="33"/>
  <c r="AI36" i="33"/>
  <c r="O36" i="33"/>
  <c r="AN36" i="33"/>
  <c r="T36" i="33"/>
  <c r="AF36" i="33"/>
  <c r="AF71" i="33" s="1"/>
  <c r="L36" i="33"/>
  <c r="X36" i="33"/>
  <c r="AJ36" i="33"/>
  <c r="P36" i="33"/>
  <c r="AF63" i="33"/>
  <c r="AF62" i="33"/>
  <c r="AF59" i="33"/>
  <c r="AF61" i="33"/>
  <c r="AD60" i="33"/>
  <c r="R60" i="33"/>
  <c r="N60" i="33"/>
  <c r="AL60" i="33"/>
  <c r="V60" i="33"/>
  <c r="AP60" i="33"/>
  <c r="Z60" i="33"/>
  <c r="X71" i="33"/>
  <c r="S53" i="33"/>
  <c r="AE53" i="33"/>
  <c r="AQ53" i="33"/>
  <c r="W53" i="33"/>
  <c r="AI53" i="33"/>
  <c r="O53" i="33"/>
  <c r="AM53" i="33"/>
  <c r="AA53" i="33"/>
  <c r="AH17" i="33"/>
  <c r="AJ34" i="33"/>
  <c r="AH32" i="33"/>
  <c r="AL31" i="33"/>
  <c r="S30" i="33"/>
  <c r="AL29" i="33"/>
  <c r="P29" i="33"/>
  <c r="AI28" i="33"/>
  <c r="X28" i="33"/>
  <c r="AB27" i="33"/>
  <c r="AJ26" i="33"/>
  <c r="AD25" i="33"/>
  <c r="AH24" i="33"/>
  <c r="AL23" i="33"/>
  <c r="L23" i="33"/>
  <c r="AM22" i="33"/>
  <c r="AH21" i="33"/>
  <c r="AU37" i="33"/>
  <c r="AY37" i="33"/>
  <c r="AD36" i="33"/>
  <c r="AP36" i="33"/>
  <c r="V36" i="33"/>
  <c r="AH36" i="33"/>
  <c r="N36" i="33"/>
  <c r="Z36" i="33"/>
  <c r="AY36" i="33"/>
  <c r="W66" i="33"/>
  <c r="AI66" i="33"/>
  <c r="O66" i="33"/>
  <c r="AA66" i="33"/>
  <c r="AM66" i="33"/>
  <c r="S66" i="33"/>
  <c r="W64" i="33"/>
  <c r="AY100" i="32"/>
  <c r="AM100" i="32"/>
  <c r="AF14" i="33"/>
  <c r="AN13" i="33"/>
  <c r="AM30" i="33"/>
  <c r="W28" i="33"/>
  <c r="R25" i="33"/>
  <c r="AL22" i="33"/>
  <c r="V51" i="33"/>
  <c r="AH51" i="33"/>
  <c r="Z51" i="33"/>
  <c r="AL51" i="33"/>
  <c r="AJ50" i="33"/>
  <c r="P50" i="33"/>
  <c r="AN50" i="33"/>
  <c r="T50" i="33"/>
  <c r="AF50" i="33"/>
  <c r="L50" i="33"/>
  <c r="T48" i="33"/>
  <c r="AF48" i="33"/>
  <c r="X48" i="33"/>
  <c r="AJ48" i="33"/>
  <c r="AB48" i="33"/>
  <c r="AY43" i="33"/>
  <c r="S40" i="33"/>
  <c r="AE40" i="33"/>
  <c r="AQ40" i="33"/>
  <c r="W40" i="33"/>
  <c r="AI40" i="33"/>
  <c r="O40" i="33"/>
  <c r="AM40" i="33"/>
  <c r="AH66" i="33"/>
  <c r="N66" i="33"/>
  <c r="Z66" i="33"/>
  <c r="AL66" i="33"/>
  <c r="R66" i="33"/>
  <c r="AD66" i="33"/>
  <c r="S61" i="33"/>
  <c r="AQ55" i="33"/>
  <c r="W55" i="33"/>
  <c r="AI55" i="33"/>
  <c r="O55" i="33"/>
  <c r="S55" i="33"/>
  <c r="AE55" i="33"/>
  <c r="AM55" i="33"/>
  <c r="AV70" i="33"/>
  <c r="AV71" i="33"/>
  <c r="O49" i="33"/>
  <c r="AE49" i="33"/>
  <c r="W49" i="33"/>
  <c r="AM49" i="33"/>
  <c r="AI49" i="33"/>
  <c r="AP48" i="33"/>
  <c r="V48" i="33"/>
  <c r="N48" i="33"/>
  <c r="Z48" i="33"/>
  <c r="V46" i="33"/>
  <c r="AL46" i="33"/>
  <c r="AP46" i="33"/>
  <c r="N46" i="33"/>
  <c r="AD46" i="33"/>
  <c r="AH46" i="33"/>
  <c r="AQ38" i="33"/>
  <c r="W38" i="33"/>
  <c r="AI38" i="33"/>
  <c r="O38" i="33"/>
  <c r="AA38" i="33"/>
  <c r="AM38" i="33"/>
  <c r="AM36" i="33"/>
  <c r="W35" i="33"/>
  <c r="AI35" i="33"/>
  <c r="O35" i="33"/>
  <c r="AA35" i="33"/>
  <c r="AM35" i="33"/>
  <c r="S35" i="33"/>
  <c r="AE35" i="33"/>
  <c r="AU55" i="33"/>
  <c r="AY55" i="33"/>
  <c r="AP50" i="33"/>
  <c r="AN47" i="33"/>
  <c r="AQ46" i="33"/>
  <c r="AI45" i="33"/>
  <c r="S45" i="33"/>
  <c r="Z44" i="33"/>
  <c r="V43" i="33"/>
  <c r="AH42" i="33"/>
  <c r="AT41" i="33"/>
  <c r="N41" i="33"/>
  <c r="AU40" i="33"/>
  <c r="AX38" i="33"/>
  <c r="R38" i="33"/>
  <c r="AN35" i="33"/>
  <c r="AD35" i="33"/>
  <c r="AQ68" i="33"/>
  <c r="AA68" i="33"/>
  <c r="O67" i="33"/>
  <c r="AN66" i="33"/>
  <c r="AQ65" i="33"/>
  <c r="AA65" i="33"/>
  <c r="W63" i="33"/>
  <c r="S62" i="33"/>
  <c r="AM62" i="33"/>
  <c r="W62" i="33"/>
  <c r="V59" i="33"/>
  <c r="AI58" i="33"/>
  <c r="V57" i="33"/>
  <c r="AL57" i="33"/>
  <c r="N57" i="33"/>
  <c r="AH57" i="33"/>
  <c r="AF55" i="33"/>
  <c r="L55" i="33"/>
  <c r="X55" i="33"/>
  <c r="AJ55" i="33"/>
  <c r="AN55" i="33"/>
  <c r="T55" i="33"/>
  <c r="N85" i="33"/>
  <c r="Z85" i="33"/>
  <c r="AL85" i="33"/>
  <c r="R85" i="33"/>
  <c r="AD85" i="33"/>
  <c r="V85" i="33"/>
  <c r="R82" i="33"/>
  <c r="AH82" i="33"/>
  <c r="V82" i="33"/>
  <c r="AL82" i="33"/>
  <c r="Z82" i="33"/>
  <c r="AP82" i="33"/>
  <c r="N82" i="33"/>
  <c r="AD82" i="33"/>
  <c r="AM73" i="33"/>
  <c r="S73" i="33"/>
  <c r="AE73" i="33"/>
  <c r="AQ73" i="33"/>
  <c r="W73" i="33"/>
  <c r="AI73" i="33"/>
  <c r="O73" i="33"/>
  <c r="AB47" i="33"/>
  <c r="AA46" i="33"/>
  <c r="AH45" i="33"/>
  <c r="R45" i="33"/>
  <c r="AX44" i="33"/>
  <c r="AH41" i="33"/>
  <c r="T83" i="33"/>
  <c r="AB35" i="33"/>
  <c r="R35" i="33"/>
  <c r="AP68" i="33"/>
  <c r="Z68" i="33"/>
  <c r="AB66" i="33"/>
  <c r="AP65" i="33"/>
  <c r="Z65" i="33"/>
  <c r="AX64" i="33"/>
  <c r="AB62" i="33"/>
  <c r="AJ84" i="33"/>
  <c r="AB61" i="33"/>
  <c r="AB84" i="33" s="1"/>
  <c r="Z63" i="33"/>
  <c r="AL63" i="33"/>
  <c r="V63" i="33"/>
  <c r="AA59" i="33"/>
  <c r="AM59" i="33"/>
  <c r="AE59" i="33"/>
  <c r="S59" i="33"/>
  <c r="O56" i="33"/>
  <c r="AM56" i="33"/>
  <c r="S56" i="33"/>
  <c r="W56" i="33"/>
  <c r="AT55" i="33"/>
  <c r="AX55" i="33"/>
  <c r="V55" i="33"/>
  <c r="AH55" i="33"/>
  <c r="N55" i="33"/>
  <c r="Z55" i="33"/>
  <c r="AD55" i="33"/>
  <c r="R55" i="33"/>
  <c r="BM74" i="33"/>
  <c r="V72" i="33"/>
  <c r="Z72" i="33"/>
  <c r="R72" i="33"/>
  <c r="AH72" i="33"/>
  <c r="AL72" i="33"/>
  <c r="N72" i="33"/>
  <c r="AD72" i="33"/>
  <c r="AX69" i="33"/>
  <c r="AT69" i="33"/>
  <c r="AY88" i="33"/>
  <c r="AU88" i="33"/>
  <c r="R23" i="34"/>
  <c r="V23" i="34"/>
  <c r="N23" i="34"/>
  <c r="AL35" i="33"/>
  <c r="AU60" i="33"/>
  <c r="Z59" i="33"/>
  <c r="AL59" i="33"/>
  <c r="R59" i="33"/>
  <c r="AE83" i="33"/>
  <c r="AQ83" i="33"/>
  <c r="W83" i="33"/>
  <c r="AI83" i="33"/>
  <c r="O83" i="33"/>
  <c r="AM83" i="33"/>
  <c r="S83" i="33"/>
  <c r="AX92" i="33"/>
  <c r="AT92" i="33"/>
  <c r="AH19" i="33"/>
  <c r="V18" i="33"/>
  <c r="W51" i="33"/>
  <c r="AL50" i="33"/>
  <c r="AH49" i="33"/>
  <c r="AJ47" i="33"/>
  <c r="AD45" i="33"/>
  <c r="N45" i="33"/>
  <c r="R43" i="33"/>
  <c r="AP41" i="33"/>
  <c r="N38" i="33"/>
  <c r="AJ35" i="33"/>
  <c r="Z35" i="33"/>
  <c r="AL68" i="33"/>
  <c r="V68" i="33"/>
  <c r="AQ67" i="33"/>
  <c r="AJ66" i="33"/>
  <c r="AL65" i="33"/>
  <c r="V65" i="33"/>
  <c r="O64" i="33"/>
  <c r="AH63" i="33"/>
  <c r="O63" i="33"/>
  <c r="O62" i="33"/>
  <c r="AH59" i="33"/>
  <c r="N59" i="33"/>
  <c r="AX57" i="33"/>
  <c r="AT84" i="33"/>
  <c r="AX84" i="33"/>
  <c r="AP45" i="33"/>
  <c r="AH44" i="33"/>
  <c r="AD41" i="33"/>
  <c r="N35" i="33"/>
  <c r="AI68" i="33"/>
  <c r="AI65" i="33"/>
  <c r="AQ64" i="33"/>
  <c r="AE64" i="33"/>
  <c r="AY63" i="33"/>
  <c r="AE63" i="33"/>
  <c r="N63" i="33"/>
  <c r="AY62" i="33"/>
  <c r="AE62" i="33"/>
  <c r="AT61" i="33"/>
  <c r="AM60" i="33"/>
  <c r="AI56" i="33"/>
  <c r="T71" i="33"/>
  <c r="AL55" i="33"/>
  <c r="AP83" i="33"/>
  <c r="V83" i="33"/>
  <c r="AH83" i="33"/>
  <c r="N83" i="33"/>
  <c r="Z83" i="33"/>
  <c r="R83" i="33"/>
  <c r="AJ83" i="33"/>
  <c r="AH68" i="33"/>
  <c r="AH65" i="33"/>
  <c r="AD59" i="33"/>
  <c r="R73" i="33"/>
  <c r="AD73" i="33"/>
  <c r="AP73" i="33"/>
  <c r="V73" i="33"/>
  <c r="AH73" i="33"/>
  <c r="N73" i="33"/>
  <c r="Z73" i="33"/>
  <c r="AP61" i="33"/>
  <c r="AI60" i="33"/>
  <c r="W60" i="33"/>
  <c r="AM58" i="33"/>
  <c r="AQ57" i="33"/>
  <c r="AH56" i="33"/>
  <c r="AM52" i="33"/>
  <c r="AB52" i="33"/>
  <c r="R52" i="33"/>
  <c r="AQ85" i="33"/>
  <c r="AF85" i="33"/>
  <c r="AM84" i="33"/>
  <c r="R84" i="33"/>
  <c r="AX81" i="33"/>
  <c r="AL81" i="33"/>
  <c r="V81" i="33"/>
  <c r="AD80" i="33"/>
  <c r="N80" i="33"/>
  <c r="AX79" i="33"/>
  <c r="AL79" i="33"/>
  <c r="AA79" i="33"/>
  <c r="N79" i="33"/>
  <c r="AX78" i="33"/>
  <c r="AL78" i="33"/>
  <c r="V78" i="33"/>
  <c r="AD77" i="33"/>
  <c r="N77" i="33"/>
  <c r="AT76" i="33"/>
  <c r="AH76" i="33"/>
  <c r="L76" i="33"/>
  <c r="AX75" i="33"/>
  <c r="AL75" i="33"/>
  <c r="AA75" i="33"/>
  <c r="N75" i="33"/>
  <c r="AU74" i="33"/>
  <c r="Z74" i="33"/>
  <c r="AJ73" i="33"/>
  <c r="AN72" i="33"/>
  <c r="AB72" i="33"/>
  <c r="N91" i="33"/>
  <c r="AP91" i="33"/>
  <c r="AD91" i="33"/>
  <c r="R91" i="33"/>
  <c r="V91" i="33"/>
  <c r="AH91" i="33"/>
  <c r="N16" i="34"/>
  <c r="R16" i="34"/>
  <c r="V16" i="34"/>
  <c r="S26" i="35"/>
  <c r="W26" i="35"/>
  <c r="S21" i="36"/>
  <c r="W21" i="36"/>
  <c r="L72" i="33"/>
  <c r="N89" i="33"/>
  <c r="AP89" i="33"/>
  <c r="AD89" i="33"/>
  <c r="R89" i="33"/>
  <c r="V89" i="33"/>
  <c r="AH89" i="33"/>
  <c r="S33" i="35"/>
  <c r="W33" i="35"/>
  <c r="O33" i="35"/>
  <c r="N28" i="35"/>
  <c r="R28" i="35"/>
  <c r="V28" i="35"/>
  <c r="O19" i="35"/>
  <c r="S19" i="35"/>
  <c r="W19" i="35"/>
  <c r="S10" i="35"/>
  <c r="W10" i="35"/>
  <c r="R25" i="36"/>
  <c r="V25" i="36"/>
  <c r="N23" i="36"/>
  <c r="R23" i="36"/>
  <c r="V23" i="36"/>
  <c r="O14" i="36"/>
  <c r="S14" i="36"/>
  <c r="W14" i="36"/>
  <c r="AP80" i="33"/>
  <c r="Z80" i="33"/>
  <c r="AP77" i="33"/>
  <c r="Z77" i="33"/>
  <c r="AR70" i="33"/>
  <c r="X72" i="33"/>
  <c r="R69" i="33"/>
  <c r="AH69" i="33"/>
  <c r="V69" i="33"/>
  <c r="AL69" i="33"/>
  <c r="Z69" i="33"/>
  <c r="AP69" i="33"/>
  <c r="N95" i="33"/>
  <c r="AD95" i="33"/>
  <c r="AP95" i="33"/>
  <c r="R95" i="33"/>
  <c r="AH95" i="33"/>
  <c r="V95" i="33"/>
  <c r="AL95" i="33"/>
  <c r="S22" i="34"/>
  <c r="W22" i="34"/>
  <c r="R19" i="35"/>
  <c r="V19" i="35"/>
  <c r="N12" i="35"/>
  <c r="R12" i="35"/>
  <c r="V12" i="35"/>
  <c r="R14" i="36"/>
  <c r="V14" i="36"/>
  <c r="AP62" i="33"/>
  <c r="AE60" i="33"/>
  <c r="AD56" i="33"/>
  <c r="AX53" i="33"/>
  <c r="AI52" i="33"/>
  <c r="X52" i="33"/>
  <c r="N52" i="33"/>
  <c r="AM85" i="33"/>
  <c r="AI84" i="33"/>
  <c r="N84" i="33"/>
  <c r="AY82" i="33"/>
  <c r="AM82" i="33"/>
  <c r="AE81" i="33"/>
  <c r="AY80" i="33"/>
  <c r="AM80" i="33"/>
  <c r="AH79" i="33"/>
  <c r="AE78" i="33"/>
  <c r="AY77" i="33"/>
  <c r="AM77" i="33"/>
  <c r="AN76" i="33"/>
  <c r="AD76" i="33"/>
  <c r="AH75" i="33"/>
  <c r="AF74" i="33"/>
  <c r="V74" i="33"/>
  <c r="AF73" i="33"/>
  <c r="AI72" i="33"/>
  <c r="W72" i="33"/>
  <c r="AE71" i="33"/>
  <c r="N69" i="33"/>
  <c r="AL91" i="33"/>
  <c r="N24" i="34"/>
  <c r="R24" i="34"/>
  <c r="V24" i="34"/>
  <c r="O15" i="34"/>
  <c r="S15" i="34"/>
  <c r="W15" i="34"/>
  <c r="S31" i="35"/>
  <c r="W31" i="35"/>
  <c r="O31" i="35"/>
  <c r="AQ60" i="33"/>
  <c r="AE58" i="33"/>
  <c r="S58" i="33"/>
  <c r="AY54" i="33"/>
  <c r="AH52" i="33"/>
  <c r="W52" i="33"/>
  <c r="AY85" i="33"/>
  <c r="AD81" i="33"/>
  <c r="N81" i="33"/>
  <c r="AL80" i="33"/>
  <c r="V80" i="33"/>
  <c r="V79" i="33"/>
  <c r="AD78" i="33"/>
  <c r="N78" i="33"/>
  <c r="AL77" i="33"/>
  <c r="V77" i="33"/>
  <c r="R76" i="33"/>
  <c r="V75" i="33"/>
  <c r="AP74" i="33"/>
  <c r="T73" i="33"/>
  <c r="T72" i="33"/>
  <c r="AU69" i="33"/>
  <c r="AU95" i="33"/>
  <c r="AU92" i="33"/>
  <c r="AL89" i="33"/>
  <c r="AX86" i="33"/>
  <c r="R15" i="34"/>
  <c r="V15" i="34"/>
  <c r="O27" i="35"/>
  <c r="S27" i="35"/>
  <c r="W27" i="35"/>
  <c r="O26" i="35"/>
  <c r="N19" i="35"/>
  <c r="O22" i="36"/>
  <c r="S22" i="36"/>
  <c r="W22" i="36"/>
  <c r="N14" i="36"/>
  <c r="AQ52" i="33"/>
  <c r="AL76" i="33"/>
  <c r="AN73" i="33"/>
  <c r="AF72" i="33"/>
  <c r="S72" i="33"/>
  <c r="AM71" i="33"/>
  <c r="AQ71" i="33"/>
  <c r="W71" i="33"/>
  <c r="AA71" i="33"/>
  <c r="Z91" i="33"/>
  <c r="AU86" i="33"/>
  <c r="S30" i="34"/>
  <c r="W30" i="34"/>
  <c r="O22" i="34"/>
  <c r="R27" i="35"/>
  <c r="V27" i="35"/>
  <c r="S18" i="35"/>
  <c r="W18" i="35"/>
  <c r="O11" i="35"/>
  <c r="S11" i="35"/>
  <c r="W11" i="35"/>
  <c r="O10" i="35"/>
  <c r="R22" i="36"/>
  <c r="V22" i="36"/>
  <c r="O21" i="36"/>
  <c r="S13" i="36"/>
  <c r="W13" i="36"/>
  <c r="AQ58" i="33"/>
  <c r="AA58" i="33"/>
  <c r="AP81" i="33"/>
  <c r="AH80" i="33"/>
  <c r="AP79" i="33"/>
  <c r="AD79" i="33"/>
  <c r="AP78" i="33"/>
  <c r="AH77" i="33"/>
  <c r="AD75" i="33"/>
  <c r="AQ72" i="33"/>
  <c r="AE72" i="33"/>
  <c r="AT70" i="33"/>
  <c r="AX70" i="33"/>
  <c r="N93" i="33"/>
  <c r="AP93" i="33"/>
  <c r="AD93" i="33"/>
  <c r="R93" i="33"/>
  <c r="V93" i="33"/>
  <c r="AH93" i="33"/>
  <c r="AT90" i="33"/>
  <c r="Z89" i="33"/>
  <c r="AT88" i="33"/>
  <c r="L84" i="33"/>
  <c r="T84" i="33"/>
  <c r="S32" i="34"/>
  <c r="W32" i="34"/>
  <c r="O32" i="34"/>
  <c r="O23" i="34"/>
  <c r="S23" i="34"/>
  <c r="W23" i="34"/>
  <c r="N15" i="34"/>
  <c r="N20" i="35"/>
  <c r="R20" i="35"/>
  <c r="V20" i="35"/>
  <c r="R11" i="35"/>
  <c r="V11" i="35"/>
  <c r="N25" i="36"/>
  <c r="N15" i="36"/>
  <c r="R15" i="36"/>
  <c r="V15" i="36"/>
  <c r="AH71" i="33"/>
  <c r="AM70" i="33"/>
  <c r="W70" i="33"/>
  <c r="AQ69" i="33"/>
  <c r="AA69" i="33"/>
  <c r="W95" i="33"/>
  <c r="AQ94" i="33"/>
  <c r="AD94" i="33"/>
  <c r="O94" i="33"/>
  <c r="AY93" i="33"/>
  <c r="AI93" i="33"/>
  <c r="W93" i="33"/>
  <c r="AQ92" i="33"/>
  <c r="AD92" i="33"/>
  <c r="O92" i="33"/>
  <c r="AY91" i="33"/>
  <c r="AI91" i="33"/>
  <c r="W91" i="33"/>
  <c r="AQ90" i="33"/>
  <c r="AD90" i="33"/>
  <c r="O90" i="33"/>
  <c r="AY89" i="33"/>
  <c r="AI89" i="33"/>
  <c r="W89" i="33"/>
  <c r="AQ88" i="33"/>
  <c r="AA88" i="33"/>
  <c r="O88" i="33"/>
  <c r="AY87" i="33"/>
  <c r="AI87" i="33"/>
  <c r="S87" i="33"/>
  <c r="AH86" i="33"/>
  <c r="W86" i="33"/>
  <c r="L86" i="33"/>
  <c r="V25" i="34"/>
  <c r="W24" i="34"/>
  <c r="V17" i="34"/>
  <c r="W16" i="34"/>
  <c r="J61" i="34"/>
  <c r="G64" i="34" s="1"/>
  <c r="V29" i="35"/>
  <c r="W28" i="35"/>
  <c r="N25" i="35"/>
  <c r="O24" i="35"/>
  <c r="V21" i="35"/>
  <c r="W20" i="35"/>
  <c r="N17" i="35"/>
  <c r="O16" i="35"/>
  <c r="V13" i="35"/>
  <c r="W12" i="35"/>
  <c r="R26" i="36"/>
  <c r="W25" i="36"/>
  <c r="R24" i="36"/>
  <c r="W23" i="36"/>
  <c r="N20" i="36"/>
  <c r="O19" i="36"/>
  <c r="V16" i="36"/>
  <c r="W15" i="36"/>
  <c r="N12" i="36"/>
  <c r="O11" i="36"/>
  <c r="V71" i="33"/>
  <c r="AL70" i="33"/>
  <c r="V70" i="33"/>
  <c r="AX95" i="33"/>
  <c r="AP94" i="33"/>
  <c r="N94" i="33"/>
  <c r="AX93" i="33"/>
  <c r="AP92" i="33"/>
  <c r="N92" i="33"/>
  <c r="AX91" i="33"/>
  <c r="AP90" i="33"/>
  <c r="N90" i="33"/>
  <c r="AX89" i="33"/>
  <c r="AP88" i="33"/>
  <c r="Z88" i="33"/>
  <c r="N88" i="33"/>
  <c r="AX87" i="33"/>
  <c r="AQ86" i="33"/>
  <c r="AF86" i="33"/>
  <c r="V86" i="33"/>
  <c r="N32" i="34"/>
  <c r="S31" i="34"/>
  <c r="N28" i="34"/>
  <c r="O27" i="34"/>
  <c r="R26" i="34"/>
  <c r="S25" i="34"/>
  <c r="N20" i="34"/>
  <c r="O19" i="34"/>
  <c r="R18" i="34"/>
  <c r="S17" i="34"/>
  <c r="N12" i="34"/>
  <c r="O11" i="34"/>
  <c r="R10" i="34"/>
  <c r="N33" i="35"/>
  <c r="N31" i="35"/>
  <c r="N24" i="35"/>
  <c r="O23" i="35"/>
  <c r="N16" i="35"/>
  <c r="O15" i="35"/>
  <c r="R14" i="35"/>
  <c r="N19" i="36"/>
  <c r="O18" i="36"/>
  <c r="N11" i="36"/>
  <c r="O10" i="36"/>
  <c r="S89" i="33"/>
  <c r="AM88" i="33"/>
  <c r="AE87" i="33"/>
  <c r="AP86" i="33"/>
  <c r="AE86" i="33"/>
  <c r="T86" i="33"/>
  <c r="R25" i="34"/>
  <c r="R17" i="34"/>
  <c r="R16" i="36"/>
  <c r="AL94" i="33"/>
  <c r="Z94" i="33"/>
  <c r="AL92" i="33"/>
  <c r="Z92" i="33"/>
  <c r="AE91" i="33"/>
  <c r="AL90" i="33"/>
  <c r="Z90" i="33"/>
  <c r="AE89" i="33"/>
  <c r="AL88" i="33"/>
  <c r="W88" i="33"/>
  <c r="O87" i="33"/>
  <c r="AN86" i="33"/>
  <c r="AD86" i="33"/>
  <c r="S86" i="33"/>
  <c r="V30" i="34"/>
  <c r="V22" i="34"/>
  <c r="V14" i="34"/>
  <c r="N26" i="36"/>
  <c r="N24" i="36"/>
  <c r="AE70" i="33"/>
  <c r="AI69" i="33"/>
  <c r="AQ95" i="33"/>
  <c r="AE95" i="33"/>
  <c r="AI94" i="33"/>
  <c r="AQ93" i="33"/>
  <c r="AI92" i="33"/>
  <c r="AQ91" i="33"/>
  <c r="AI90" i="33"/>
  <c r="AQ89" i="33"/>
  <c r="V88" i="33"/>
  <c r="AQ87" i="33"/>
  <c r="AM86" i="33"/>
  <c r="AB86" i="33"/>
  <c r="R86" i="33"/>
  <c r="AD70" i="33"/>
  <c r="AH94" i="33"/>
  <c r="AH92" i="33"/>
  <c r="AH90" i="33"/>
  <c r="R28" i="14"/>
  <c r="AA27" i="14"/>
  <c r="Z26" i="14"/>
  <c r="O26" i="14"/>
  <c r="N25" i="14"/>
  <c r="W24" i="14"/>
  <c r="V23" i="14"/>
  <c r="R21" i="14"/>
  <c r="Z20" i="14"/>
  <c r="O20" i="14"/>
  <c r="W19" i="14"/>
  <c r="R17" i="14"/>
  <c r="R16" i="14"/>
  <c r="W13" i="14"/>
  <c r="AA11" i="14"/>
  <c r="L9" i="14"/>
  <c r="Z53" i="14"/>
  <c r="BO33" i="15"/>
  <c r="BK33" i="15"/>
  <c r="BO31" i="15"/>
  <c r="BK31" i="15"/>
  <c r="BO29" i="15"/>
  <c r="BK29" i="15"/>
  <c r="O27" i="14"/>
  <c r="N26" i="14"/>
  <c r="N20" i="14"/>
  <c r="AA16" i="14"/>
  <c r="S15" i="14"/>
  <c r="O14" i="14"/>
  <c r="V13" i="14"/>
  <c r="O12" i="14"/>
  <c r="Z11" i="14"/>
  <c r="O48" i="14"/>
  <c r="AA48" i="14"/>
  <c r="S48" i="14"/>
  <c r="W39" i="14"/>
  <c r="O39" i="14"/>
  <c r="AA39" i="14"/>
  <c r="BD14" i="15"/>
  <c r="X14" i="15"/>
  <c r="AF43" i="24"/>
  <c r="X43" i="24"/>
  <c r="AB43" i="24"/>
  <c r="Z28" i="14"/>
  <c r="Z21" i="14"/>
  <c r="Z17" i="14"/>
  <c r="Z16" i="14"/>
  <c r="O16" i="14"/>
  <c r="AA14" i="14"/>
  <c r="AA12" i="14"/>
  <c r="O49" i="14"/>
  <c r="AA49" i="14"/>
  <c r="S49" i="14"/>
  <c r="V44" i="14"/>
  <c r="N44" i="14"/>
  <c r="Z44" i="14"/>
  <c r="V39" i="14"/>
  <c r="N39" i="14"/>
  <c r="Z39" i="14"/>
  <c r="R39" i="14"/>
  <c r="W29" i="14"/>
  <c r="O29" i="14"/>
  <c r="AA29" i="14"/>
  <c r="O36" i="15"/>
  <c r="AA36" i="15"/>
  <c r="AM36" i="15"/>
  <c r="AY36" i="15"/>
  <c r="S36" i="15"/>
  <c r="AE36" i="15"/>
  <c r="AQ36" i="15"/>
  <c r="BC36" i="15"/>
  <c r="W36" i="15"/>
  <c r="AI36" i="15"/>
  <c r="AU36" i="15"/>
  <c r="AZ60" i="15"/>
  <c r="AV70" i="15"/>
  <c r="N28" i="14"/>
  <c r="W27" i="14"/>
  <c r="V26" i="14"/>
  <c r="S24" i="14"/>
  <c r="R23" i="14"/>
  <c r="N21" i="14"/>
  <c r="V20" i="14"/>
  <c r="S19" i="14"/>
  <c r="N17" i="14"/>
  <c r="N16" i="14"/>
  <c r="AA15" i="14"/>
  <c r="S13" i="14"/>
  <c r="P10" i="14"/>
  <c r="V53" i="14"/>
  <c r="N49" i="14"/>
  <c r="Z49" i="14"/>
  <c r="R49" i="14"/>
  <c r="W40" i="14"/>
  <c r="O40" i="14"/>
  <c r="AA40" i="14"/>
  <c r="S40" i="14"/>
  <c r="V29" i="14"/>
  <c r="N29" i="14"/>
  <c r="Z29" i="14"/>
  <c r="R29" i="14"/>
  <c r="BD10" i="15"/>
  <c r="O46" i="15"/>
  <c r="AE46" i="15"/>
  <c r="AU46" i="15"/>
  <c r="S46" i="15"/>
  <c r="AI46" i="15"/>
  <c r="AY46" i="15"/>
  <c r="AA46" i="15"/>
  <c r="BC46" i="15"/>
  <c r="AM46" i="15"/>
  <c r="BG46" i="15"/>
  <c r="AQ46" i="15"/>
  <c r="W46" i="15"/>
  <c r="V70" i="15"/>
  <c r="BB70" i="15"/>
  <c r="N70" i="15"/>
  <c r="AT70" i="15"/>
  <c r="AD70" i="15"/>
  <c r="R70" i="15"/>
  <c r="AH70" i="15"/>
  <c r="BJ70" i="15"/>
  <c r="AX70" i="15"/>
  <c r="AL70" i="15"/>
  <c r="BN70" i="15"/>
  <c r="Z70" i="15"/>
  <c r="AP70" i="15"/>
  <c r="BF70" i="15"/>
  <c r="N47" i="24"/>
  <c r="R47" i="24"/>
  <c r="AH47" i="24"/>
  <c r="V47" i="24"/>
  <c r="AP47" i="24"/>
  <c r="Z47" i="24"/>
  <c r="AD47" i="24"/>
  <c r="AL47" i="24"/>
  <c r="L37" i="14"/>
  <c r="AE49" i="14" s="1"/>
  <c r="L49" i="14" s="1"/>
  <c r="AC53" i="14"/>
  <c r="O15" i="14"/>
  <c r="R13" i="14"/>
  <c r="W12" i="14"/>
  <c r="O54" i="14"/>
  <c r="AA54" i="14"/>
  <c r="AA53" i="14"/>
  <c r="S53" i="14"/>
  <c r="O53" i="14"/>
  <c r="W45" i="14"/>
  <c r="O45" i="14"/>
  <c r="AA45" i="14"/>
  <c r="V36" i="14"/>
  <c r="N36" i="14"/>
  <c r="Z36" i="14"/>
  <c r="W30" i="14"/>
  <c r="O30" i="14"/>
  <c r="AA30" i="14"/>
  <c r="S30" i="14"/>
  <c r="BH18" i="15"/>
  <c r="BH17" i="15"/>
  <c r="BH9" i="15"/>
  <c r="BH13" i="15"/>
  <c r="BH16" i="15"/>
  <c r="BH20" i="15"/>
  <c r="BH8" i="15"/>
  <c r="BH12" i="15"/>
  <c r="BH15" i="15"/>
  <c r="BH19" i="15"/>
  <c r="BH7" i="15"/>
  <c r="BH11" i="15"/>
  <c r="X17" i="15"/>
  <c r="X9" i="15"/>
  <c r="X13" i="15"/>
  <c r="X16" i="15"/>
  <c r="X20" i="15"/>
  <c r="X8" i="15"/>
  <c r="X12" i="15"/>
  <c r="X15" i="15"/>
  <c r="X19" i="15"/>
  <c r="X7" i="15"/>
  <c r="X11" i="15"/>
  <c r="S14" i="14"/>
  <c r="AE53" i="14"/>
  <c r="L53" i="14" s="1"/>
  <c r="P53" i="14" s="1"/>
  <c r="T53" i="14" s="1"/>
  <c r="X53" i="14" s="1"/>
  <c r="V38" i="14"/>
  <c r="N38" i="14"/>
  <c r="Z38" i="14"/>
  <c r="N54" i="14"/>
  <c r="Z54" i="14"/>
  <c r="R54" i="14"/>
  <c r="N53" i="14"/>
  <c r="W50" i="14"/>
  <c r="O50" i="14"/>
  <c r="AA50" i="14"/>
  <c r="S50" i="14"/>
  <c r="V45" i="14"/>
  <c r="N45" i="14"/>
  <c r="Z45" i="14"/>
  <c r="R45" i="14"/>
  <c r="BD17" i="15"/>
  <c r="BD9" i="15"/>
  <c r="BD13" i="15"/>
  <c r="BD16" i="15"/>
  <c r="BD20" i="15"/>
  <c r="BD8" i="15"/>
  <c r="BD12" i="15"/>
  <c r="BD15" i="15"/>
  <c r="BD19" i="15"/>
  <c r="BD7" i="15"/>
  <c r="BD11" i="15"/>
  <c r="T17" i="15"/>
  <c r="T16" i="15"/>
  <c r="T20" i="15"/>
  <c r="T8" i="15"/>
  <c r="T12" i="15"/>
  <c r="T15" i="15"/>
  <c r="T19" i="15"/>
  <c r="T7" i="15"/>
  <c r="T11" i="15"/>
  <c r="T18" i="15"/>
  <c r="T10" i="15"/>
  <c r="T14" i="15"/>
  <c r="X18" i="15"/>
  <c r="BO35" i="15"/>
  <c r="BK35" i="15"/>
  <c r="W46" i="14"/>
  <c r="O46" i="14"/>
  <c r="AA46" i="14"/>
  <c r="S46" i="14"/>
  <c r="AE37" i="14"/>
  <c r="L34" i="14"/>
  <c r="P34" i="14" s="1"/>
  <c r="T34" i="14" s="1"/>
  <c r="X34" i="14" s="1"/>
  <c r="P36" i="14"/>
  <c r="T36" i="14" s="1"/>
  <c r="X36" i="14" s="1"/>
  <c r="W49" i="14"/>
  <c r="W48" i="14"/>
  <c r="S29" i="14"/>
  <c r="BO39" i="15"/>
  <c r="BK39" i="15"/>
  <c r="BG36" i="15"/>
  <c r="V48" i="14"/>
  <c r="AA44" i="14"/>
  <c r="Z43" i="14"/>
  <c r="O43" i="14"/>
  <c r="W42" i="14"/>
  <c r="AA38" i="14"/>
  <c r="R37" i="14"/>
  <c r="AA36" i="14"/>
  <c r="Z35" i="14"/>
  <c r="O35" i="14"/>
  <c r="N34" i="14"/>
  <c r="W33" i="14"/>
  <c r="BC28" i="15"/>
  <c r="AQ28" i="15"/>
  <c r="O27" i="15"/>
  <c r="BC26" i="15"/>
  <c r="AQ26" i="15"/>
  <c r="O25" i="15"/>
  <c r="BC24" i="15"/>
  <c r="AQ24" i="15"/>
  <c r="BF23" i="15"/>
  <c r="BF24" i="15" s="1"/>
  <c r="AP23" i="15"/>
  <c r="AP24" i="15" s="1"/>
  <c r="AA23" i="15"/>
  <c r="N23" i="15"/>
  <c r="AY22" i="15"/>
  <c r="AI22" i="15"/>
  <c r="BG21" i="15"/>
  <c r="AQ21" i="15"/>
  <c r="AA21" i="15"/>
  <c r="AJ20" i="15"/>
  <c r="AZ18" i="15"/>
  <c r="AR17" i="15"/>
  <c r="L17" i="15"/>
  <c r="AJ16" i="15"/>
  <c r="O39" i="15"/>
  <c r="AM38" i="15"/>
  <c r="AA38" i="15"/>
  <c r="S37" i="15"/>
  <c r="AY35" i="15"/>
  <c r="AM35" i="15"/>
  <c r="AA35" i="15"/>
  <c r="AY33" i="15"/>
  <c r="AM33" i="15"/>
  <c r="AA33" i="15"/>
  <c r="AY31" i="15"/>
  <c r="AM31" i="15"/>
  <c r="AA31" i="15"/>
  <c r="AY29" i="15"/>
  <c r="AM29" i="15"/>
  <c r="AA29" i="15"/>
  <c r="AU56" i="15"/>
  <c r="O56" i="15"/>
  <c r="AU55" i="15"/>
  <c r="O55" i="15"/>
  <c r="AU54" i="15"/>
  <c r="AY51" i="15"/>
  <c r="BO49" i="15"/>
  <c r="BK49" i="15"/>
  <c r="AI47" i="15"/>
  <c r="AA70" i="15"/>
  <c r="S51" i="14"/>
  <c r="R50" i="14"/>
  <c r="S47" i="14"/>
  <c r="R46" i="14"/>
  <c r="O44" i="14"/>
  <c r="N43" i="14"/>
  <c r="V42" i="14"/>
  <c r="S41" i="14"/>
  <c r="R40" i="14"/>
  <c r="AA37" i="14"/>
  <c r="W34" i="14"/>
  <c r="V33" i="14"/>
  <c r="S31" i="14"/>
  <c r="R30" i="14"/>
  <c r="AN13" i="15"/>
  <c r="AN9" i="15"/>
  <c r="AE28" i="15"/>
  <c r="S28" i="15"/>
  <c r="BG27" i="15"/>
  <c r="AE26" i="15"/>
  <c r="S26" i="15"/>
  <c r="BG25" i="15"/>
  <c r="AE24" i="15"/>
  <c r="S24" i="15"/>
  <c r="BC23" i="15"/>
  <c r="AM23" i="15"/>
  <c r="Z23" i="15"/>
  <c r="Z24" i="15" s="1"/>
  <c r="S22" i="15"/>
  <c r="BF21" i="15"/>
  <c r="BF22" i="15" s="1"/>
  <c r="AP21" i="15"/>
  <c r="AP22" i="15" s="1"/>
  <c r="Z21" i="15"/>
  <c r="Z22" i="15" s="1"/>
  <c r="BL20" i="15"/>
  <c r="AF20" i="15"/>
  <c r="AV18" i="15"/>
  <c r="P18" i="15"/>
  <c r="AN17" i="15"/>
  <c r="BL16" i="15"/>
  <c r="AF16" i="15"/>
  <c r="AU41" i="15"/>
  <c r="AE41" i="15"/>
  <c r="O41" i="15"/>
  <c r="BO40" i="15"/>
  <c r="BC40" i="15"/>
  <c r="AQ40" i="15"/>
  <c r="AY38" i="15"/>
  <c r="O38" i="15"/>
  <c r="BO37" i="15"/>
  <c r="BC37" i="15"/>
  <c r="AQ37" i="15"/>
  <c r="O35" i="15"/>
  <c r="BO34" i="15"/>
  <c r="BC34" i="15"/>
  <c r="AQ34" i="15"/>
  <c r="O33" i="15"/>
  <c r="BO32" i="15"/>
  <c r="BC32" i="15"/>
  <c r="AQ32" i="15"/>
  <c r="O31" i="15"/>
  <c r="BO30" i="15"/>
  <c r="BC30" i="15"/>
  <c r="AQ30" i="15"/>
  <c r="O29" i="15"/>
  <c r="BO56" i="15"/>
  <c r="AI56" i="15"/>
  <c r="AI55" i="15"/>
  <c r="O51" i="15"/>
  <c r="BC85" i="15"/>
  <c r="W85" i="15"/>
  <c r="AI85" i="15"/>
  <c r="O85" i="15"/>
  <c r="AQ85" i="15"/>
  <c r="BG85" i="15"/>
  <c r="AE85" i="15"/>
  <c r="AU85" i="15"/>
  <c r="S85" i="15"/>
  <c r="AY85" i="15"/>
  <c r="AM85" i="15"/>
  <c r="S52" i="14"/>
  <c r="R51" i="14"/>
  <c r="R47" i="14"/>
  <c r="W43" i="14"/>
  <c r="R41" i="14"/>
  <c r="Z37" i="14"/>
  <c r="O37" i="14"/>
  <c r="W35" i="14"/>
  <c r="V34" i="14"/>
  <c r="S32" i="14"/>
  <c r="R31" i="14"/>
  <c r="AU27" i="15"/>
  <c r="AI27" i="15"/>
  <c r="W27" i="15"/>
  <c r="AU25" i="15"/>
  <c r="AI25" i="15"/>
  <c r="W25" i="15"/>
  <c r="BB23" i="15"/>
  <c r="BB24" i="15" s="1"/>
  <c r="AL23" i="15"/>
  <c r="AL24" i="15" s="1"/>
  <c r="W23" i="15"/>
  <c r="AU22" i="15"/>
  <c r="BC21" i="15"/>
  <c r="AM21" i="15"/>
  <c r="W21" i="15"/>
  <c r="AZ19" i="15"/>
  <c r="AR18" i="15"/>
  <c r="L18" i="15"/>
  <c r="AJ17" i="15"/>
  <c r="AZ15" i="15"/>
  <c r="AE40" i="15"/>
  <c r="S40" i="15"/>
  <c r="BG39" i="15"/>
  <c r="AU39" i="15"/>
  <c r="AI39" i="15"/>
  <c r="W39" i="15"/>
  <c r="AE37" i="15"/>
  <c r="O37" i="15"/>
  <c r="BO36" i="15"/>
  <c r="BG35" i="15"/>
  <c r="AE34" i="15"/>
  <c r="S34" i="15"/>
  <c r="BG33" i="15"/>
  <c r="AE32" i="15"/>
  <c r="S32" i="15"/>
  <c r="BG31" i="15"/>
  <c r="AE30" i="15"/>
  <c r="S30" i="15"/>
  <c r="BG29" i="15"/>
  <c r="BC56" i="15"/>
  <c r="W56" i="15"/>
  <c r="BC55" i="15"/>
  <c r="W55" i="15"/>
  <c r="BC54" i="15"/>
  <c r="AQ54" i="15"/>
  <c r="BO44" i="15"/>
  <c r="BK44" i="15"/>
  <c r="R61" i="15"/>
  <c r="V59" i="15"/>
  <c r="AT73" i="15"/>
  <c r="R73" i="15"/>
  <c r="BJ73" i="15"/>
  <c r="AH73" i="15"/>
  <c r="V73" i="15"/>
  <c r="AX73" i="15"/>
  <c r="AL73" i="15"/>
  <c r="BN73" i="15"/>
  <c r="Z73" i="15"/>
  <c r="BB73" i="15"/>
  <c r="N73" i="15"/>
  <c r="AP73" i="15"/>
  <c r="AD73" i="15"/>
  <c r="BF73" i="15"/>
  <c r="R52" i="14"/>
  <c r="AA51" i="14"/>
  <c r="Z50" i="14"/>
  <c r="R48" i="14"/>
  <c r="AA47" i="14"/>
  <c r="Z46" i="14"/>
  <c r="S42" i="14"/>
  <c r="AA41" i="14"/>
  <c r="S33" i="14"/>
  <c r="R32" i="14"/>
  <c r="AA31" i="14"/>
  <c r="AV19" i="15"/>
  <c r="P19" i="15"/>
  <c r="AN18" i="15"/>
  <c r="BL17" i="15"/>
  <c r="AF17" i="15"/>
  <c r="AV15" i="15"/>
  <c r="P15" i="15"/>
  <c r="W35" i="15"/>
  <c r="AU33" i="15"/>
  <c r="AI33" i="15"/>
  <c r="W33" i="15"/>
  <c r="AU31" i="15"/>
  <c r="AI31" i="15"/>
  <c r="W31" i="15"/>
  <c r="AU29" i="15"/>
  <c r="AI29" i="15"/>
  <c r="W29" i="15"/>
  <c r="AQ56" i="15"/>
  <c r="AQ55" i="15"/>
  <c r="AA54" i="15"/>
  <c r="O54" i="15"/>
  <c r="AA51" i="15"/>
  <c r="BC70" i="15"/>
  <c r="AA52" i="14"/>
  <c r="Z51" i="14"/>
  <c r="Z47" i="14"/>
  <c r="Z41" i="14"/>
  <c r="AA32" i="14"/>
  <c r="Z31" i="14"/>
  <c r="O28" i="15"/>
  <c r="BC27" i="15"/>
  <c r="AQ27" i="15"/>
  <c r="O26" i="15"/>
  <c r="BC25" i="15"/>
  <c r="AQ25" i="15"/>
  <c r="AA24" i="15"/>
  <c r="BN23" i="15"/>
  <c r="BN24" i="15" s="1"/>
  <c r="AX23" i="15"/>
  <c r="AX24" i="15" s="1"/>
  <c r="AI23" i="15"/>
  <c r="BG22" i="15"/>
  <c r="AQ22" i="15"/>
  <c r="O22" i="15"/>
  <c r="BO21" i="15"/>
  <c r="AY21" i="15"/>
  <c r="AI21" i="15"/>
  <c r="AZ20" i="15"/>
  <c r="AR19" i="15"/>
  <c r="L19" i="15"/>
  <c r="AY40" i="15"/>
  <c r="AM40" i="15"/>
  <c r="AA40" i="15"/>
  <c r="AY37" i="15"/>
  <c r="AM37" i="15"/>
  <c r="AA37" i="15"/>
  <c r="AY34" i="15"/>
  <c r="AM34" i="15"/>
  <c r="AA34" i="15"/>
  <c r="AY32" i="15"/>
  <c r="AM32" i="15"/>
  <c r="AA32" i="15"/>
  <c r="AY30" i="15"/>
  <c r="AM30" i="15"/>
  <c r="AA30" i="15"/>
  <c r="AE56" i="15"/>
  <c r="AE55" i="15"/>
  <c r="AM54" i="15"/>
  <c r="AA47" i="15"/>
  <c r="O47" i="15"/>
  <c r="AE47" i="15"/>
  <c r="S47" i="15"/>
  <c r="AM47" i="15"/>
  <c r="BC47" i="15"/>
  <c r="AU47" i="15"/>
  <c r="BG47" i="15"/>
  <c r="AY47" i="15"/>
  <c r="AM63" i="15"/>
  <c r="AE63" i="15"/>
  <c r="S63" i="15"/>
  <c r="BG63" i="15"/>
  <c r="AU63" i="15"/>
  <c r="W63" i="15"/>
  <c r="AI63" i="15"/>
  <c r="AY63" i="15"/>
  <c r="AA63" i="15"/>
  <c r="BC63" i="15"/>
  <c r="AN11" i="15"/>
  <c r="AN7" i="15"/>
  <c r="AE27" i="15"/>
  <c r="AE25" i="15"/>
  <c r="AU23" i="15"/>
  <c r="BN21" i="15"/>
  <c r="BN22" i="15" s="1"/>
  <c r="AX21" i="15"/>
  <c r="AX22" i="15" s="1"/>
  <c r="AH21" i="15"/>
  <c r="AH22" i="15" s="1"/>
  <c r="AV20" i="15"/>
  <c r="P20" i="15"/>
  <c r="AN19" i="15"/>
  <c r="BC41" i="15"/>
  <c r="AM41" i="15"/>
  <c r="O40" i="15"/>
  <c r="BC39" i="15"/>
  <c r="AE39" i="15"/>
  <c r="BG38" i="15"/>
  <c r="BC35" i="15"/>
  <c r="O34" i="15"/>
  <c r="BC33" i="15"/>
  <c r="O32" i="15"/>
  <c r="BC31" i="15"/>
  <c r="O30" i="15"/>
  <c r="BC29" i="15"/>
  <c r="AY56" i="15"/>
  <c r="S56" i="15"/>
  <c r="AY55" i="15"/>
  <c r="S55" i="15"/>
  <c r="BK52" i="15"/>
  <c r="AY44" i="15"/>
  <c r="AM44" i="15"/>
  <c r="BC44" i="15"/>
  <c r="O44" i="15"/>
  <c r="AI44" i="15"/>
  <c r="BG44" i="15"/>
  <c r="W44" i="15"/>
  <c r="AQ44" i="15"/>
  <c r="AA44" i="15"/>
  <c r="AU44" i="15"/>
  <c r="AE44" i="15"/>
  <c r="BO61" i="15"/>
  <c r="BK61" i="15"/>
  <c r="BG37" i="15"/>
  <c r="S54" i="15"/>
  <c r="AE54" i="15"/>
  <c r="W54" i="15"/>
  <c r="S51" i="15"/>
  <c r="AE51" i="15"/>
  <c r="W51" i="15"/>
  <c r="AI51" i="15"/>
  <c r="AU51" i="15"/>
  <c r="BG51" i="15"/>
  <c r="BC51" i="15"/>
  <c r="AM51" i="15"/>
  <c r="AQ70" i="15"/>
  <c r="AI70" i="15"/>
  <c r="BG70" i="15"/>
  <c r="AE70" i="15"/>
  <c r="AU70" i="15"/>
  <c r="S70" i="15"/>
  <c r="W70" i="15"/>
  <c r="AY70" i="15"/>
  <c r="AM70" i="15"/>
  <c r="AQ48" i="15"/>
  <c r="AU65" i="15"/>
  <c r="BG59" i="15"/>
  <c r="AU84" i="15"/>
  <c r="W22" i="18"/>
  <c r="O22" i="18"/>
  <c r="AA22" i="18"/>
  <c r="S22" i="18"/>
  <c r="T43" i="20"/>
  <c r="X43" i="20"/>
  <c r="W23" i="20"/>
  <c r="O23" i="20"/>
  <c r="AA23" i="20"/>
  <c r="S23" i="20"/>
  <c r="R47" i="20"/>
  <c r="V47" i="20"/>
  <c r="Z47" i="20"/>
  <c r="N47" i="20"/>
  <c r="N35" i="20"/>
  <c r="R35" i="20"/>
  <c r="V35" i="20"/>
  <c r="Z35" i="20"/>
  <c r="BC48" i="15"/>
  <c r="AA48" i="15"/>
  <c r="BK68" i="15"/>
  <c r="BG65" i="15"/>
  <c r="AE65" i="15"/>
  <c r="V62" i="15"/>
  <c r="Z62" i="15" s="1"/>
  <c r="AD62" i="15" s="1"/>
  <c r="AH62" i="15" s="1"/>
  <c r="AL62" i="15" s="1"/>
  <c r="AP62" i="15" s="1"/>
  <c r="AT62" i="15" s="1"/>
  <c r="AX62" i="15" s="1"/>
  <c r="BB62" i="15" s="1"/>
  <c r="BF62" i="15" s="1"/>
  <c r="BJ62" i="15" s="1"/>
  <c r="BN62" i="15" s="1"/>
  <c r="BO60" i="15"/>
  <c r="S59" i="15"/>
  <c r="AQ59" i="15"/>
  <c r="BC59" i="15"/>
  <c r="BO88" i="15"/>
  <c r="BK88" i="15"/>
  <c r="W17" i="17"/>
  <c r="O17" i="17"/>
  <c r="S17" i="17"/>
  <c r="AA17" i="17"/>
  <c r="P15" i="19"/>
  <c r="L29" i="19"/>
  <c r="T15" i="19"/>
  <c r="L28" i="19"/>
  <c r="AA52" i="15"/>
  <c r="AU49" i="15"/>
  <c r="AM48" i="15"/>
  <c r="BK45" i="15"/>
  <c r="AA69" i="15"/>
  <c r="AM69" i="15"/>
  <c r="S69" i="15"/>
  <c r="AE69" i="15"/>
  <c r="AQ69" i="15"/>
  <c r="AA66" i="15"/>
  <c r="AM66" i="15"/>
  <c r="AY66" i="15"/>
  <c r="S66" i="15"/>
  <c r="AE66" i="15"/>
  <c r="BC66" i="15"/>
  <c r="W66" i="15"/>
  <c r="AY61" i="15"/>
  <c r="BG61" i="15"/>
  <c r="AF70" i="15"/>
  <c r="W61" i="15"/>
  <c r="AE59" i="15"/>
  <c r="AY57" i="15"/>
  <c r="BK84" i="15"/>
  <c r="S84" i="15"/>
  <c r="W83" i="15"/>
  <c r="AI83" i="15"/>
  <c r="AA83" i="15"/>
  <c r="AM83" i="15"/>
  <c r="AY83" i="15"/>
  <c r="S83" i="15"/>
  <c r="AE83" i="15"/>
  <c r="O83" i="15"/>
  <c r="AA79" i="15"/>
  <c r="AM79" i="15"/>
  <c r="AY79" i="15"/>
  <c r="S79" i="15"/>
  <c r="AE79" i="15"/>
  <c r="BC79" i="15"/>
  <c r="W79" i="15"/>
  <c r="AI79" i="15"/>
  <c r="AU79" i="15"/>
  <c r="AQ79" i="15"/>
  <c r="P19" i="19"/>
  <c r="T19" i="19"/>
  <c r="AQ65" i="15"/>
  <c r="W65" i="15"/>
  <c r="AI65" i="15"/>
  <c r="BC65" i="15"/>
  <c r="AA65" i="15"/>
  <c r="W57" i="15"/>
  <c r="AM57" i="15"/>
  <c r="BC57" i="15"/>
  <c r="O57" i="15"/>
  <c r="AE57" i="15"/>
  <c r="AU57" i="15"/>
  <c r="AQ57" i="15"/>
  <c r="BG84" i="15"/>
  <c r="V21" i="19"/>
  <c r="N21" i="19"/>
  <c r="Z21" i="19"/>
  <c r="R21" i="19"/>
  <c r="AY48" i="15"/>
  <c r="AI48" i="15"/>
  <c r="BO66" i="15"/>
  <c r="AM65" i="15"/>
  <c r="BO59" i="15"/>
  <c r="AM59" i="15"/>
  <c r="AA59" i="15"/>
  <c r="BO80" i="15"/>
  <c r="BK80" i="15"/>
  <c r="AA89" i="15"/>
  <c r="AM89" i="15"/>
  <c r="AY89" i="15"/>
  <c r="AQ89" i="15"/>
  <c r="O89" i="15"/>
  <c r="AE89" i="15"/>
  <c r="BG89" i="15"/>
  <c r="S89" i="15"/>
  <c r="AU89" i="15"/>
  <c r="AI89" i="15"/>
  <c r="W89" i="15"/>
  <c r="R18" i="17"/>
  <c r="N18" i="17"/>
  <c r="V18" i="17"/>
  <c r="Z18" i="17"/>
  <c r="L7" i="17"/>
  <c r="L9" i="17"/>
  <c r="L10" i="17"/>
  <c r="L8" i="17"/>
  <c r="P32" i="19"/>
  <c r="T32" i="19"/>
  <c r="P30" i="19"/>
  <c r="T30" i="19"/>
  <c r="O45" i="15"/>
  <c r="AE45" i="15"/>
  <c r="S45" i="15"/>
  <c r="AI45" i="15"/>
  <c r="BG45" i="15"/>
  <c r="AU45" i="15"/>
  <c r="AA45" i="15"/>
  <c r="AY69" i="15"/>
  <c r="AY65" i="15"/>
  <c r="BL70" i="15"/>
  <c r="AY59" i="15"/>
  <c r="AA84" i="15"/>
  <c r="AM84" i="15"/>
  <c r="AQ84" i="15"/>
  <c r="BC84" i="15"/>
  <c r="W84" i="15"/>
  <c r="AI84" i="15"/>
  <c r="AY84" i="15"/>
  <c r="AE84" i="15"/>
  <c r="BO46" i="15"/>
  <c r="AE43" i="15"/>
  <c r="O43" i="15"/>
  <c r="AU68" i="15"/>
  <c r="AI68" i="15"/>
  <c r="W68" i="15"/>
  <c r="AM67" i="15"/>
  <c r="AA67" i="15"/>
  <c r="O64" i="15"/>
  <c r="AY62" i="15"/>
  <c r="AQ60" i="15"/>
  <c r="W60" i="15"/>
  <c r="BG82" i="15"/>
  <c r="O82" i="15"/>
  <c r="BC81" i="15"/>
  <c r="AY80" i="15"/>
  <c r="AQ78" i="15"/>
  <c r="AM77" i="15"/>
  <c r="AA77" i="15"/>
  <c r="AI76" i="15"/>
  <c r="W76" i="15"/>
  <c r="AY75" i="15"/>
  <c r="AL75" i="15"/>
  <c r="W75" i="15"/>
  <c r="BG74" i="15"/>
  <c r="AT74" i="15"/>
  <c r="AE74" i="15"/>
  <c r="R74" i="15"/>
  <c r="BC73" i="15"/>
  <c r="AA73" i="15"/>
  <c r="BN72" i="15"/>
  <c r="AX72" i="15"/>
  <c r="AI72" i="15"/>
  <c r="V72" i="15"/>
  <c r="BG71" i="15"/>
  <c r="AQ71" i="15"/>
  <c r="AA71" i="15"/>
  <c r="BK90" i="15"/>
  <c r="BC87" i="15"/>
  <c r="AM87" i="15"/>
  <c r="Z21" i="17"/>
  <c r="V19" i="17"/>
  <c r="O15" i="17"/>
  <c r="R14" i="17"/>
  <c r="Z12" i="17"/>
  <c r="Z11" i="17"/>
  <c r="P10" i="17"/>
  <c r="O33" i="18"/>
  <c r="S31" i="18"/>
  <c r="S29" i="18"/>
  <c r="R28" i="18"/>
  <c r="W26" i="18"/>
  <c r="O26" i="18"/>
  <c r="AA26" i="18"/>
  <c r="T25" i="18"/>
  <c r="X25" i="18"/>
  <c r="N22" i="18"/>
  <c r="Z22" i="18"/>
  <c r="W35" i="19"/>
  <c r="AA35" i="19"/>
  <c r="O35" i="19"/>
  <c r="X45" i="20"/>
  <c r="T45" i="20"/>
  <c r="AE78" i="15"/>
  <c r="S78" i="15"/>
  <c r="BG77" i="15"/>
  <c r="O77" i="15"/>
  <c r="BO76" i="15"/>
  <c r="BC76" i="15"/>
  <c r="AX75" i="15"/>
  <c r="AI75" i="15"/>
  <c r="V75" i="15"/>
  <c r="AQ74" i="15"/>
  <c r="O74" i="15"/>
  <c r="BO73" i="15"/>
  <c r="AM73" i="15"/>
  <c r="AU72" i="15"/>
  <c r="AH72" i="15"/>
  <c r="S72" i="15"/>
  <c r="AU90" i="15"/>
  <c r="AE90" i="15"/>
  <c r="AY87" i="15"/>
  <c r="X21" i="17"/>
  <c r="O20" i="17"/>
  <c r="AA20" i="17"/>
  <c r="W11" i="17"/>
  <c r="Z33" i="18"/>
  <c r="N33" i="18"/>
  <c r="N29" i="18"/>
  <c r="R29" i="18"/>
  <c r="N26" i="18"/>
  <c r="Z26" i="18"/>
  <c r="R21" i="18"/>
  <c r="V21" i="18"/>
  <c r="N21" i="18"/>
  <c r="X53" i="18"/>
  <c r="T53" i="18"/>
  <c r="T35" i="19"/>
  <c r="T31" i="19"/>
  <c r="S31" i="20"/>
  <c r="W31" i="20"/>
  <c r="AA31" i="20"/>
  <c r="O31" i="20"/>
  <c r="V27" i="20"/>
  <c r="N27" i="20"/>
  <c r="Z27" i="20"/>
  <c r="R27" i="20"/>
  <c r="O54" i="20"/>
  <c r="S54" i="20"/>
  <c r="W54" i="20"/>
  <c r="AA54" i="20"/>
  <c r="BC68" i="15"/>
  <c r="AU64" i="15"/>
  <c r="AI64" i="15"/>
  <c r="AU62" i="15"/>
  <c r="AI62" i="15"/>
  <c r="AY60" i="15"/>
  <c r="AI82" i="15"/>
  <c r="AE81" i="15"/>
  <c r="S81" i="15"/>
  <c r="BG80" i="15"/>
  <c r="BO79" i="15"/>
  <c r="AY78" i="15"/>
  <c r="AU77" i="15"/>
  <c r="AQ76" i="15"/>
  <c r="BJ75" i="15"/>
  <c r="AU75" i="15"/>
  <c r="AH75" i="15"/>
  <c r="S75" i="15"/>
  <c r="BC74" i="15"/>
  <c r="AP74" i="15"/>
  <c r="AA74" i="15"/>
  <c r="AY73" i="15"/>
  <c r="W73" i="15"/>
  <c r="BJ72" i="15"/>
  <c r="AT72" i="15"/>
  <c r="AE72" i="15"/>
  <c r="R72" i="15"/>
  <c r="BC71" i="15"/>
  <c r="AM71" i="15"/>
  <c r="W71" i="15"/>
  <c r="BG90" i="15"/>
  <c r="AQ90" i="15"/>
  <c r="W88" i="15"/>
  <c r="AI88" i="15"/>
  <c r="AU88" i="15"/>
  <c r="BG88" i="15"/>
  <c r="AQ88" i="15"/>
  <c r="O88" i="15"/>
  <c r="W87" i="15"/>
  <c r="W21" i="17"/>
  <c r="N20" i="17"/>
  <c r="R19" i="17"/>
  <c r="N14" i="17"/>
  <c r="R12" i="17"/>
  <c r="V11" i="17"/>
  <c r="N32" i="18"/>
  <c r="O31" i="18"/>
  <c r="V25" i="18"/>
  <c r="N25" i="18"/>
  <c r="R15" i="18"/>
  <c r="V15" i="18"/>
  <c r="Z15" i="18"/>
  <c r="W52" i="18"/>
  <c r="O52" i="18"/>
  <c r="AA52" i="18"/>
  <c r="S52" i="18"/>
  <c r="T49" i="18"/>
  <c r="X49" i="18"/>
  <c r="W37" i="18"/>
  <c r="O37" i="18"/>
  <c r="AA37" i="18"/>
  <c r="S37" i="18"/>
  <c r="W13" i="19"/>
  <c r="O13" i="19"/>
  <c r="AA13" i="19"/>
  <c r="W19" i="20"/>
  <c r="O19" i="20"/>
  <c r="AA19" i="20"/>
  <c r="S19" i="20"/>
  <c r="BG75" i="15"/>
  <c r="AE75" i="15"/>
  <c r="BC90" i="15"/>
  <c r="W90" i="15"/>
  <c r="AI90" i="15"/>
  <c r="AA90" i="15"/>
  <c r="P21" i="17"/>
  <c r="P20" i="17"/>
  <c r="S28" i="18"/>
  <c r="W28" i="18"/>
  <c r="W19" i="18"/>
  <c r="O19" i="18"/>
  <c r="AA19" i="18"/>
  <c r="S19" i="18"/>
  <c r="V51" i="18"/>
  <c r="N51" i="18"/>
  <c r="Z51" i="18"/>
  <c r="R51" i="18"/>
  <c r="V36" i="18"/>
  <c r="N36" i="18"/>
  <c r="Z36" i="18"/>
  <c r="R36" i="18"/>
  <c r="W30" i="19"/>
  <c r="O30" i="19"/>
  <c r="AA30" i="19"/>
  <c r="S30" i="19"/>
  <c r="W19" i="19"/>
  <c r="O19" i="19"/>
  <c r="AA19" i="19"/>
  <c r="S19" i="19"/>
  <c r="BG78" i="15"/>
  <c r="O78" i="15"/>
  <c r="AY76" i="15"/>
  <c r="BF75" i="15"/>
  <c r="AQ75" i="15"/>
  <c r="AD75" i="15"/>
  <c r="O75" i="15"/>
  <c r="BO74" i="15"/>
  <c r="AZ74" i="15"/>
  <c r="AV73" i="15"/>
  <c r="S73" i="15"/>
  <c r="BF72" i="15"/>
  <c r="AQ72" i="15"/>
  <c r="N72" i="15"/>
  <c r="BO71" i="15"/>
  <c r="AY71" i="15"/>
  <c r="AI71" i="15"/>
  <c r="AU87" i="15"/>
  <c r="BK85" i="15"/>
  <c r="O19" i="17"/>
  <c r="AA15" i="17"/>
  <c r="N12" i="17"/>
  <c r="R11" i="17"/>
  <c r="V33" i="18"/>
  <c r="V26" i="18"/>
  <c r="Z21" i="18"/>
  <c r="T50" i="18"/>
  <c r="X50" i="18"/>
  <c r="W41" i="18"/>
  <c r="O41" i="18"/>
  <c r="AA41" i="18"/>
  <c r="S41" i="18"/>
  <c r="T35" i="18"/>
  <c r="X35" i="18"/>
  <c r="V29" i="19"/>
  <c r="N29" i="19"/>
  <c r="Z29" i="19"/>
  <c r="R29" i="19"/>
  <c r="V18" i="19"/>
  <c r="N18" i="19"/>
  <c r="Z18" i="19"/>
  <c r="R18" i="19"/>
  <c r="T27" i="20"/>
  <c r="X27" i="20"/>
  <c r="S34" i="20"/>
  <c r="W34" i="20"/>
  <c r="AA34" i="20"/>
  <c r="BG81" i="15"/>
  <c r="AM76" i="15"/>
  <c r="AA76" i="15"/>
  <c r="AP75" i="15"/>
  <c r="AA75" i="15"/>
  <c r="AU73" i="15"/>
  <c r="BC72" i="15"/>
  <c r="AM90" i="15"/>
  <c r="S21" i="17"/>
  <c r="W20" i="17"/>
  <c r="N19" i="17"/>
  <c r="O11" i="17"/>
  <c r="O23" i="18"/>
  <c r="AA23" i="18"/>
  <c r="S23" i="18"/>
  <c r="V18" i="18"/>
  <c r="N18" i="18"/>
  <c r="Z18" i="18"/>
  <c r="T17" i="19"/>
  <c r="P17" i="19"/>
  <c r="W40" i="20"/>
  <c r="AA40" i="20"/>
  <c r="S40" i="20"/>
  <c r="BG76" i="15"/>
  <c r="BG73" i="15"/>
  <c r="AY90" i="15"/>
  <c r="S87" i="15"/>
  <c r="AE87" i="15"/>
  <c r="AQ87" i="15"/>
  <c r="O87" i="15"/>
  <c r="V14" i="17"/>
  <c r="W31" i="18"/>
  <c r="AA28" i="18"/>
  <c r="T21" i="18"/>
  <c r="X21" i="18"/>
  <c r="T51" i="18"/>
  <c r="X51" i="18"/>
  <c r="T36" i="18"/>
  <c r="X36" i="18"/>
  <c r="X7" i="19"/>
  <c r="X9" i="19"/>
  <c r="S33" i="19"/>
  <c r="W33" i="19"/>
  <c r="AA33" i="19"/>
  <c r="O33" i="19"/>
  <c r="W28" i="20"/>
  <c r="O28" i="20"/>
  <c r="AA28" i="20"/>
  <c r="S28" i="20"/>
  <c r="N55" i="20"/>
  <c r="R55" i="20"/>
  <c r="V55" i="20"/>
  <c r="Z55" i="20"/>
  <c r="N45" i="20"/>
  <c r="R45" i="20"/>
  <c r="V45" i="20"/>
  <c r="Z45" i="20"/>
  <c r="AM86" i="15"/>
  <c r="AA86" i="15"/>
  <c r="L19" i="17"/>
  <c r="V24" i="18"/>
  <c r="V20" i="18"/>
  <c r="AA18" i="18"/>
  <c r="O18" i="18"/>
  <c r="W17" i="18"/>
  <c r="AA15" i="18"/>
  <c r="Z13" i="18"/>
  <c r="N13" i="18"/>
  <c r="V12" i="18"/>
  <c r="AA11" i="18"/>
  <c r="N11" i="18"/>
  <c r="L9" i="18"/>
  <c r="W54" i="18"/>
  <c r="AA50" i="18"/>
  <c r="Z49" i="18"/>
  <c r="O49" i="18"/>
  <c r="W48" i="18"/>
  <c r="AA46" i="18"/>
  <c r="N46" i="18"/>
  <c r="AA44" i="18"/>
  <c r="N44" i="18"/>
  <c r="W43" i="18"/>
  <c r="V42" i="18"/>
  <c r="AA40" i="18"/>
  <c r="N39" i="18"/>
  <c r="V38" i="18"/>
  <c r="AA35" i="18"/>
  <c r="Z34" i="18"/>
  <c r="V32" i="19"/>
  <c r="AA28" i="19"/>
  <c r="Z27" i="19"/>
  <c r="Z25" i="19"/>
  <c r="Z23" i="19"/>
  <c r="N23" i="19"/>
  <c r="AA17" i="19"/>
  <c r="Z16" i="19"/>
  <c r="O16" i="19"/>
  <c r="N15" i="19"/>
  <c r="V14" i="19"/>
  <c r="AA12" i="19"/>
  <c r="O12" i="19"/>
  <c r="N33" i="20"/>
  <c r="V32" i="20"/>
  <c r="V29" i="20"/>
  <c r="AA26" i="20"/>
  <c r="X25" i="20"/>
  <c r="N25" i="20"/>
  <c r="V24" i="20"/>
  <c r="AA22" i="20"/>
  <c r="X21" i="20"/>
  <c r="N21" i="20"/>
  <c r="V20" i="20"/>
  <c r="AA18" i="20"/>
  <c r="S16" i="20"/>
  <c r="V13" i="20"/>
  <c r="V11" i="20"/>
  <c r="P7" i="20"/>
  <c r="Z56" i="20"/>
  <c r="P53" i="20"/>
  <c r="T54" i="20" s="1"/>
  <c r="W52" i="20"/>
  <c r="AA51" i="20"/>
  <c r="L51" i="20"/>
  <c r="P51" i="20" s="1"/>
  <c r="AA49" i="20"/>
  <c r="V48" i="20"/>
  <c r="O47" i="20"/>
  <c r="O45" i="20"/>
  <c r="AA41" i="20"/>
  <c r="S38" i="20"/>
  <c r="Z36" i="20"/>
  <c r="V34" i="20"/>
  <c r="Z34" i="20"/>
  <c r="N34" i="20"/>
  <c r="AB29" i="24"/>
  <c r="X29" i="24"/>
  <c r="AF29" i="24"/>
  <c r="BG86" i="15"/>
  <c r="W13" i="18"/>
  <c r="Z11" i="18"/>
  <c r="AA51" i="18"/>
  <c r="Z50" i="18"/>
  <c r="O50" i="18"/>
  <c r="N49" i="18"/>
  <c r="Z46" i="18"/>
  <c r="Z44" i="18"/>
  <c r="Z40" i="18"/>
  <c r="O40" i="18"/>
  <c r="AA36" i="18"/>
  <c r="Z35" i="18"/>
  <c r="O35" i="18"/>
  <c r="AA29" i="19"/>
  <c r="Z28" i="19"/>
  <c r="O28" i="19"/>
  <c r="W25" i="19"/>
  <c r="W23" i="19"/>
  <c r="AA21" i="19"/>
  <c r="O21" i="19"/>
  <c r="V20" i="19"/>
  <c r="AA18" i="19"/>
  <c r="P18" i="19"/>
  <c r="Z17" i="19"/>
  <c r="O17" i="19"/>
  <c r="N16" i="19"/>
  <c r="Z12" i="19"/>
  <c r="N12" i="19"/>
  <c r="V11" i="19"/>
  <c r="W36" i="19"/>
  <c r="V34" i="19"/>
  <c r="AA27" i="20"/>
  <c r="Z26" i="20"/>
  <c r="O26" i="20"/>
  <c r="Z22" i="20"/>
  <c r="O22" i="20"/>
  <c r="Z18" i="20"/>
  <c r="O18" i="20"/>
  <c r="R16" i="20"/>
  <c r="P9" i="20"/>
  <c r="S57" i="20"/>
  <c r="O53" i="20"/>
  <c r="S52" i="20"/>
  <c r="Z51" i="20"/>
  <c r="W50" i="20"/>
  <c r="AA50" i="20"/>
  <c r="R50" i="20"/>
  <c r="AA47" i="20"/>
  <c r="T46" i="20"/>
  <c r="AA45" i="20"/>
  <c r="Z43" i="20"/>
  <c r="S42" i="20"/>
  <c r="W42" i="20"/>
  <c r="Z41" i="20"/>
  <c r="N39" i="20"/>
  <c r="V37" i="20"/>
  <c r="W36" i="20"/>
  <c r="V13" i="18"/>
  <c r="O51" i="18"/>
  <c r="N50" i="18"/>
  <c r="W49" i="18"/>
  <c r="W46" i="18"/>
  <c r="N40" i="18"/>
  <c r="V39" i="18"/>
  <c r="O36" i="18"/>
  <c r="N35" i="18"/>
  <c r="W34" i="18"/>
  <c r="O29" i="19"/>
  <c r="X28" i="19"/>
  <c r="N28" i="19"/>
  <c r="W27" i="19"/>
  <c r="V23" i="19"/>
  <c r="W16" i="19"/>
  <c r="V15" i="19"/>
  <c r="S14" i="19"/>
  <c r="W12" i="19"/>
  <c r="V36" i="19"/>
  <c r="V33" i="20"/>
  <c r="V30" i="20"/>
  <c r="O27" i="20"/>
  <c r="N26" i="20"/>
  <c r="V25" i="20"/>
  <c r="N22" i="20"/>
  <c r="V21" i="20"/>
  <c r="N18" i="20"/>
  <c r="V17" i="20"/>
  <c r="W56" i="20"/>
  <c r="V53" i="20"/>
  <c r="N53" i="20"/>
  <c r="O46" i="20"/>
  <c r="S46" i="20"/>
  <c r="V44" i="20"/>
  <c r="Z44" i="20"/>
  <c r="O38" i="20"/>
  <c r="R37" i="20"/>
  <c r="V11" i="18"/>
  <c r="V46" i="18"/>
  <c r="W44" i="18"/>
  <c r="V34" i="18"/>
  <c r="P31" i="19"/>
  <c r="X29" i="19"/>
  <c r="V27" i="19"/>
  <c r="S25" i="19"/>
  <c r="W21" i="19"/>
  <c r="R20" i="19"/>
  <c r="V12" i="19"/>
  <c r="R11" i="19"/>
  <c r="R34" i="19"/>
  <c r="R32" i="20"/>
  <c r="R29" i="20"/>
  <c r="R24" i="20"/>
  <c r="R20" i="20"/>
  <c r="W13" i="20"/>
  <c r="AA13" i="20"/>
  <c r="R13" i="20"/>
  <c r="N11" i="20"/>
  <c r="T7" i="20"/>
  <c r="T9" i="20"/>
  <c r="V57" i="20"/>
  <c r="N57" i="20"/>
  <c r="Z57" i="20"/>
  <c r="O57" i="20"/>
  <c r="S56" i="20"/>
  <c r="N52" i="20"/>
  <c r="R48" i="20"/>
  <c r="W45" i="20"/>
  <c r="N44" i="20"/>
  <c r="V43" i="20"/>
  <c r="W41" i="20"/>
  <c r="V38" i="20"/>
  <c r="N38" i="20"/>
  <c r="O37" i="20"/>
  <c r="S37" i="20"/>
  <c r="R36" i="20"/>
  <c r="V44" i="18"/>
  <c r="S27" i="19"/>
  <c r="R36" i="19"/>
  <c r="S15" i="20"/>
  <c r="W15" i="20"/>
  <c r="Z53" i="20"/>
  <c r="W47" i="20"/>
  <c r="AA14" i="19"/>
  <c r="L42" i="20"/>
  <c r="P42" i="20" s="1"/>
  <c r="R17" i="20"/>
  <c r="N56" i="20"/>
  <c r="AA52" i="20"/>
  <c r="Z48" i="20"/>
  <c r="AA46" i="20"/>
  <c r="R43" i="20"/>
  <c r="R41" i="20"/>
  <c r="N36" i="20"/>
  <c r="O15" i="20"/>
  <c r="W55" i="20"/>
  <c r="AA55" i="20"/>
  <c r="O55" i="20"/>
  <c r="N51" i="20"/>
  <c r="R51" i="20"/>
  <c r="V49" i="20"/>
  <c r="Z49" i="20"/>
  <c r="N41" i="20"/>
  <c r="AY19" i="24"/>
  <c r="AU19" i="24"/>
  <c r="S35" i="20"/>
  <c r="AB28" i="24"/>
  <c r="X28" i="24"/>
  <c r="AF28" i="24"/>
  <c r="AH23" i="24"/>
  <c r="N23" i="24"/>
  <c r="Z23" i="24"/>
  <c r="AL23" i="24"/>
  <c r="R23" i="24"/>
  <c r="AP23" i="24"/>
  <c r="V23" i="24"/>
  <c r="AD23" i="24"/>
  <c r="AA14" i="20"/>
  <c r="AB30" i="24"/>
  <c r="X30" i="24"/>
  <c r="AF30" i="24"/>
  <c r="AB27" i="24"/>
  <c r="X27" i="24"/>
  <c r="AF27" i="24"/>
  <c r="AV70" i="24"/>
  <c r="AV69" i="24"/>
  <c r="AV26" i="24"/>
  <c r="AF16" i="24"/>
  <c r="X10" i="24"/>
  <c r="X14" i="24"/>
  <c r="X7" i="24"/>
  <c r="X11" i="24"/>
  <c r="X15" i="24"/>
  <c r="X8" i="24"/>
  <c r="X12" i="24"/>
  <c r="X16" i="24"/>
  <c r="R32" i="24"/>
  <c r="AP32" i="24"/>
  <c r="AH32" i="24"/>
  <c r="AL32" i="24"/>
  <c r="V32" i="24"/>
  <c r="AH29" i="24"/>
  <c r="Z29" i="24"/>
  <c r="R29" i="24"/>
  <c r="AP29" i="24"/>
  <c r="Z28" i="24"/>
  <c r="R28" i="24"/>
  <c r="AP28" i="24"/>
  <c r="AH28" i="24"/>
  <c r="AL28" i="24"/>
  <c r="R27" i="24"/>
  <c r="AP27" i="24"/>
  <c r="AH27" i="24"/>
  <c r="Z27" i="24"/>
  <c r="AY26" i="24"/>
  <c r="AY25" i="24"/>
  <c r="AU25" i="24"/>
  <c r="Z46" i="24"/>
  <c r="AP46" i="24"/>
  <c r="N46" i="24"/>
  <c r="AH46" i="24"/>
  <c r="AL46" i="24"/>
  <c r="R46" i="24"/>
  <c r="V46" i="24"/>
  <c r="AD46" i="24"/>
  <c r="AF82" i="24"/>
  <c r="X82" i="24"/>
  <c r="V31" i="24"/>
  <c r="AL31" i="24"/>
  <c r="Z31" i="24"/>
  <c r="AP31" i="24"/>
  <c r="N31" i="24"/>
  <c r="AD31" i="24"/>
  <c r="R31" i="24"/>
  <c r="AH31" i="24"/>
  <c r="AP30" i="24"/>
  <c r="AH30" i="24"/>
  <c r="Z30" i="24"/>
  <c r="R30" i="24"/>
  <c r="N27" i="24"/>
  <c r="AU17" i="24"/>
  <c r="AY62" i="24"/>
  <c r="AU62" i="24"/>
  <c r="P7" i="24"/>
  <c r="P11" i="24"/>
  <c r="P15" i="24"/>
  <c r="P8" i="24"/>
  <c r="P12" i="24"/>
  <c r="P16" i="24"/>
  <c r="P9" i="24"/>
  <c r="P13" i="24"/>
  <c r="AP24" i="24"/>
  <c r="V24" i="24"/>
  <c r="AH24" i="24"/>
  <c r="N24" i="24"/>
  <c r="Z24" i="24"/>
  <c r="R24" i="24"/>
  <c r="N20" i="24"/>
  <c r="AD20" i="24"/>
  <c r="AP20" i="24"/>
  <c r="R20" i="24"/>
  <c r="AH20" i="24"/>
  <c r="V20" i="24"/>
  <c r="Z20" i="24"/>
  <c r="AY45" i="24"/>
  <c r="AU45" i="24"/>
  <c r="AF44" i="24"/>
  <c r="X44" i="24"/>
  <c r="AB44" i="24"/>
  <c r="AD30" i="24"/>
  <c r="N28" i="24"/>
  <c r="AD27" i="24"/>
  <c r="AD24" i="24"/>
  <c r="X23" i="24"/>
  <c r="AB23" i="24"/>
  <c r="O42" i="24"/>
  <c r="AE42" i="24"/>
  <c r="W42" i="24"/>
  <c r="AM42" i="24"/>
  <c r="AQ42" i="24"/>
  <c r="S42" i="24"/>
  <c r="AA42" i="24"/>
  <c r="P10" i="24"/>
  <c r="AN8" i="24"/>
  <c r="AN12" i="24"/>
  <c r="AN16" i="24"/>
  <c r="AN9" i="24"/>
  <c r="AN13" i="24"/>
  <c r="AN10" i="24"/>
  <c r="AN14" i="24"/>
  <c r="AB25" i="24"/>
  <c r="AF25" i="24"/>
  <c r="S35" i="24"/>
  <c r="AQ35" i="24"/>
  <c r="W35" i="24"/>
  <c r="AI35" i="24"/>
  <c r="O35" i="24"/>
  <c r="AA35" i="24"/>
  <c r="AE35" i="24"/>
  <c r="AM35" i="24"/>
  <c r="AU22" i="24"/>
  <c r="N18" i="24"/>
  <c r="Z18" i="24"/>
  <c r="AP18" i="24"/>
  <c r="R18" i="24"/>
  <c r="AD18" i="24"/>
  <c r="AH18" i="24"/>
  <c r="AL18" i="24"/>
  <c r="AF9" i="24"/>
  <c r="AF13" i="24"/>
  <c r="AF10" i="24"/>
  <c r="AF14" i="24"/>
  <c r="AF7" i="24"/>
  <c r="AF11" i="24"/>
  <c r="AF15" i="24"/>
  <c r="AH26" i="24"/>
  <c r="N26" i="24"/>
  <c r="Z26" i="24"/>
  <c r="R26" i="24"/>
  <c r="AP26" i="24"/>
  <c r="AL26" i="24"/>
  <c r="X26" i="24"/>
  <c r="AB26" i="24"/>
  <c r="AY41" i="24"/>
  <c r="AU41" i="24"/>
  <c r="W32" i="24"/>
  <c r="AX31" i="24"/>
  <c r="AM30" i="24"/>
  <c r="AE29" i="24"/>
  <c r="W28" i="24"/>
  <c r="AX27" i="24"/>
  <c r="O27" i="24"/>
  <c r="AE26" i="24"/>
  <c r="Z25" i="24"/>
  <c r="O25" i="24"/>
  <c r="AM24" i="24"/>
  <c r="AE23" i="24"/>
  <c r="AD22" i="24"/>
  <c r="N22" i="24"/>
  <c r="AX21" i="24"/>
  <c r="AH21" i="24"/>
  <c r="R21" i="24"/>
  <c r="R19" i="24"/>
  <c r="AA17" i="24"/>
  <c r="AD48" i="24"/>
  <c r="R48" i="24"/>
  <c r="X45" i="24"/>
  <c r="X41" i="24"/>
  <c r="AB40" i="24"/>
  <c r="AT39" i="24"/>
  <c r="Z37" i="24"/>
  <c r="AP37" i="24"/>
  <c r="Z61" i="24"/>
  <c r="AL61" i="24"/>
  <c r="N61" i="24"/>
  <c r="AP61" i="24"/>
  <c r="AD61" i="24"/>
  <c r="R61" i="24"/>
  <c r="V61" i="24"/>
  <c r="AH61" i="24"/>
  <c r="AE54" i="24"/>
  <c r="W54" i="24"/>
  <c r="AI54" i="24"/>
  <c r="AA54" i="24"/>
  <c r="AM54" i="24"/>
  <c r="O54" i="24"/>
  <c r="N76" i="24"/>
  <c r="Z76" i="24"/>
  <c r="AP76" i="24"/>
  <c r="R76" i="24"/>
  <c r="AD76" i="24"/>
  <c r="AH76" i="24"/>
  <c r="V76" i="24"/>
  <c r="AL76" i="24"/>
  <c r="AF84" i="24"/>
  <c r="X84" i="24"/>
  <c r="AB50" i="24"/>
  <c r="AB51" i="24"/>
  <c r="AF51" i="24"/>
  <c r="AB61" i="24"/>
  <c r="AF61" i="24"/>
  <c r="AF77" i="24" s="1"/>
  <c r="AY50" i="24"/>
  <c r="AU50" i="24"/>
  <c r="AY82" i="24"/>
  <c r="AX30" i="24"/>
  <c r="O30" i="24"/>
  <c r="W27" i="24"/>
  <c r="AM26" i="24"/>
  <c r="AR69" i="24"/>
  <c r="AR70" i="24"/>
  <c r="AH25" i="24"/>
  <c r="AX24" i="24"/>
  <c r="O24" i="24"/>
  <c r="AP22" i="24"/>
  <c r="Z22" i="24"/>
  <c r="AD21" i="24"/>
  <c r="N21" i="24"/>
  <c r="AX20" i="24"/>
  <c r="AP19" i="24"/>
  <c r="N19" i="24"/>
  <c r="AX18" i="24"/>
  <c r="AQ48" i="24"/>
  <c r="Z48" i="24"/>
  <c r="N48" i="24"/>
  <c r="AU46" i="24"/>
  <c r="AQ45" i="24"/>
  <c r="O45" i="24"/>
  <c r="AA45" i="24"/>
  <c r="AA44" i="24"/>
  <c r="AE44" i="24"/>
  <c r="AQ44" i="24"/>
  <c r="S40" i="24"/>
  <c r="W40" i="24"/>
  <c r="AI40" i="24"/>
  <c r="AM40" i="24"/>
  <c r="X39" i="24"/>
  <c r="AX37" i="24"/>
  <c r="Z63" i="24"/>
  <c r="AL63" i="24"/>
  <c r="N63" i="24"/>
  <c r="AP63" i="24"/>
  <c r="AD63" i="24"/>
  <c r="R63" i="24"/>
  <c r="V63" i="24"/>
  <c r="AH63" i="24"/>
  <c r="AX58" i="24"/>
  <c r="AY79" i="24"/>
  <c r="AU79" i="24"/>
  <c r="N78" i="24"/>
  <c r="AP78" i="24"/>
  <c r="AD78" i="24"/>
  <c r="R78" i="24"/>
  <c r="V78" i="24"/>
  <c r="AH78" i="24"/>
  <c r="Z78" i="24"/>
  <c r="AL78" i="24"/>
  <c r="AH83" i="24"/>
  <c r="N83" i="24"/>
  <c r="Z83" i="24"/>
  <c r="AL83" i="24"/>
  <c r="R83" i="24"/>
  <c r="AD83" i="24"/>
  <c r="AP83" i="24"/>
  <c r="V83" i="24"/>
  <c r="V25" i="24"/>
  <c r="Z17" i="24"/>
  <c r="AP17" i="24"/>
  <c r="AL17" i="24"/>
  <c r="AP48" i="24"/>
  <c r="V45" i="24"/>
  <c r="Z45" i="24"/>
  <c r="AL45" i="24"/>
  <c r="AX42" i="24"/>
  <c r="AL41" i="24"/>
  <c r="AP41" i="24"/>
  <c r="V41" i="24"/>
  <c r="R41" i="24"/>
  <c r="AF35" i="24"/>
  <c r="X35" i="24"/>
  <c r="AT52" i="24"/>
  <c r="S52" i="24"/>
  <c r="W30" i="24"/>
  <c r="AX29" i="24"/>
  <c r="O26" i="24"/>
  <c r="AP25" i="24"/>
  <c r="W24" i="24"/>
  <c r="AX23" i="24"/>
  <c r="AL22" i="24"/>
  <c r="V22" i="24"/>
  <c r="AP21" i="24"/>
  <c r="Z21" i="24"/>
  <c r="AL19" i="24"/>
  <c r="Z19" i="24"/>
  <c r="R17" i="24"/>
  <c r="AM48" i="24"/>
  <c r="AH45" i="24"/>
  <c r="R45" i="24"/>
  <c r="AQ43" i="24"/>
  <c r="O43" i="24"/>
  <c r="AA43" i="24"/>
  <c r="AH41" i="24"/>
  <c r="AQ39" i="24"/>
  <c r="O39" i="24"/>
  <c r="AA39" i="24"/>
  <c r="O38" i="24"/>
  <c r="AE38" i="24"/>
  <c r="W38" i="24"/>
  <c r="AM38" i="24"/>
  <c r="AI38" i="24"/>
  <c r="R37" i="24"/>
  <c r="R64" i="24"/>
  <c r="AP64" i="24"/>
  <c r="V64" i="24"/>
  <c r="AH64" i="24"/>
  <c r="N64" i="24"/>
  <c r="Z64" i="24"/>
  <c r="N59" i="24"/>
  <c r="AD59" i="24"/>
  <c r="R59" i="24"/>
  <c r="AH59" i="24"/>
  <c r="AL59" i="24"/>
  <c r="O56" i="24"/>
  <c r="AE56" i="24"/>
  <c r="AQ56" i="24"/>
  <c r="S56" i="24"/>
  <c r="AI56" i="24"/>
  <c r="W56" i="24"/>
  <c r="AM56" i="24"/>
  <c r="AA56" i="24"/>
  <c r="AD25" i="24"/>
  <c r="AH17" i="24"/>
  <c r="AL48" i="24"/>
  <c r="V48" i="24"/>
  <c r="V39" i="24"/>
  <c r="Z39" i="24"/>
  <c r="AL39" i="24"/>
  <c r="N53" i="24"/>
  <c r="Z53" i="24"/>
  <c r="AL53" i="24"/>
  <c r="AP53" i="24"/>
  <c r="AD53" i="24"/>
  <c r="R53" i="24"/>
  <c r="V53" i="24"/>
  <c r="AH53" i="24"/>
  <c r="W52" i="24"/>
  <c r="AI52" i="24"/>
  <c r="AQ52" i="24"/>
  <c r="AE52" i="24"/>
  <c r="O52" i="24"/>
  <c r="G98" i="24"/>
  <c r="G99" i="24" s="1"/>
  <c r="G100" i="24" s="1"/>
  <c r="G92" i="24"/>
  <c r="G93" i="24" s="1"/>
  <c r="G94" i="24" s="1"/>
  <c r="AH22" i="24"/>
  <c r="AL21" i="24"/>
  <c r="AH19" i="24"/>
  <c r="AD45" i="24"/>
  <c r="AH39" i="24"/>
  <c r="R39" i="24"/>
  <c r="AQ34" i="24"/>
  <c r="AI34" i="24"/>
  <c r="O34" i="24"/>
  <c r="AA34" i="24"/>
  <c r="AM34" i="24"/>
  <c r="S34" i="24"/>
  <c r="AT54" i="24"/>
  <c r="AX54" i="24"/>
  <c r="AT49" i="24"/>
  <c r="AQ46" i="24"/>
  <c r="AA46" i="24"/>
  <c r="V44" i="24"/>
  <c r="AQ41" i="24"/>
  <c r="AQ37" i="24"/>
  <c r="AA37" i="24"/>
  <c r="AI36" i="24"/>
  <c r="N36" i="24"/>
  <c r="AY35" i="24"/>
  <c r="AL35" i="24"/>
  <c r="AN69" i="24"/>
  <c r="P69" i="24" s="1"/>
  <c r="AN70" i="24"/>
  <c r="P70" i="24" s="1"/>
  <c r="AD34" i="24"/>
  <c r="AD33" i="24"/>
  <c r="N33" i="24"/>
  <c r="AX64" i="24"/>
  <c r="AX63" i="24"/>
  <c r="AP62" i="24"/>
  <c r="N62" i="24"/>
  <c r="AX61" i="24"/>
  <c r="AP60" i="24"/>
  <c r="Z60" i="24"/>
  <c r="N60" i="24"/>
  <c r="AI59" i="24"/>
  <c r="S59" i="24"/>
  <c r="AQ58" i="24"/>
  <c r="AA58" i="24"/>
  <c r="AI57" i="24"/>
  <c r="S57" i="24"/>
  <c r="AN74" i="24"/>
  <c r="P74" i="24" s="1"/>
  <c r="S55" i="24"/>
  <c r="AP54" i="24"/>
  <c r="AX53" i="24"/>
  <c r="AY51" i="24"/>
  <c r="O68" i="24"/>
  <c r="AA68" i="24"/>
  <c r="AM68" i="24"/>
  <c r="S68" i="24"/>
  <c r="AE68" i="24"/>
  <c r="AQ68" i="24"/>
  <c r="W68" i="24"/>
  <c r="AI68" i="24"/>
  <c r="AP44" i="24"/>
  <c r="AL42" i="24"/>
  <c r="AE41" i="24"/>
  <c r="AL38" i="24"/>
  <c r="W36" i="24"/>
  <c r="AX35" i="24"/>
  <c r="Z35" i="24"/>
  <c r="AB34" i="24"/>
  <c r="AQ33" i="24"/>
  <c r="AP58" i="24"/>
  <c r="AE55" i="24"/>
  <c r="Z51" i="24"/>
  <c r="N50" i="24"/>
  <c r="AP50" i="24"/>
  <c r="R50" i="24"/>
  <c r="V50" i="24"/>
  <c r="AH50" i="24"/>
  <c r="AD50" i="24"/>
  <c r="V79" i="24"/>
  <c r="AH79" i="24"/>
  <c r="Z79" i="24"/>
  <c r="AL79" i="24"/>
  <c r="N79" i="24"/>
  <c r="AP79" i="24"/>
  <c r="AD79" i="24"/>
  <c r="R79" i="24"/>
  <c r="AA72" i="24"/>
  <c r="AQ72" i="24"/>
  <c r="O72" i="24"/>
  <c r="AE72" i="24"/>
  <c r="S72" i="24"/>
  <c r="AI72" i="24"/>
  <c r="W72" i="24"/>
  <c r="AM72" i="24"/>
  <c r="Z81" i="24"/>
  <c r="AP81" i="24"/>
  <c r="N81" i="24"/>
  <c r="AD81" i="24"/>
  <c r="R81" i="24"/>
  <c r="AH81" i="24"/>
  <c r="V81" i="24"/>
  <c r="AL81" i="24"/>
  <c r="AQ36" i="24"/>
  <c r="N35" i="24"/>
  <c r="AP33" i="24"/>
  <c r="Z33" i="24"/>
  <c r="AQ57" i="24"/>
  <c r="AE57" i="24"/>
  <c r="O57" i="24"/>
  <c r="AQ55" i="24"/>
  <c r="O55" i="24"/>
  <c r="AT51" i="24"/>
  <c r="AH49" i="24"/>
  <c r="V49" i="24"/>
  <c r="AL49" i="24"/>
  <c r="N49" i="24"/>
  <c r="Z49" i="24"/>
  <c r="AP49" i="24"/>
  <c r="N80" i="24"/>
  <c r="AD80" i="24"/>
  <c r="AP80" i="24"/>
  <c r="R80" i="24"/>
  <c r="AH80" i="24"/>
  <c r="V80" i="24"/>
  <c r="AL80" i="24"/>
  <c r="Z80" i="24"/>
  <c r="AE36" i="24"/>
  <c r="AH35" i="24"/>
  <c r="AJ70" i="24"/>
  <c r="L70" i="24" s="1"/>
  <c r="T70" i="24" s="1"/>
  <c r="AB70" i="24" s="1"/>
  <c r="AJ69" i="24"/>
  <c r="L69" i="24" s="1"/>
  <c r="T69" i="24" s="1"/>
  <c r="AB69" i="24" s="1"/>
  <c r="AJ74" i="24"/>
  <c r="L74" i="24" s="1"/>
  <c r="T74" i="24" s="1"/>
  <c r="AB74" i="24" s="1"/>
  <c r="AU77" i="24"/>
  <c r="AP66" i="24"/>
  <c r="V66" i="24"/>
  <c r="AH66" i="24"/>
  <c r="N66" i="24"/>
  <c r="Z66" i="24"/>
  <c r="AL66" i="24"/>
  <c r="R66" i="24"/>
  <c r="AQ47" i="24"/>
  <c r="AI46" i="24"/>
  <c r="AI37" i="24"/>
  <c r="S36" i="24"/>
  <c r="V35" i="24"/>
  <c r="AL33" i="24"/>
  <c r="V33" i="24"/>
  <c r="AX62" i="24"/>
  <c r="AH62" i="24"/>
  <c r="AX60" i="24"/>
  <c r="AQ59" i="24"/>
  <c r="AY58" i="24"/>
  <c r="AI58" i="24"/>
  <c r="AA57" i="24"/>
  <c r="AM55" i="24"/>
  <c r="AA55" i="24"/>
  <c r="AL51" i="24"/>
  <c r="AU49" i="24"/>
  <c r="AU80" i="24"/>
  <c r="AH85" i="24"/>
  <c r="N85" i="24"/>
  <c r="Z85" i="24"/>
  <c r="AL85" i="24"/>
  <c r="R85" i="24"/>
  <c r="AD85" i="24"/>
  <c r="AP85" i="24"/>
  <c r="V85" i="24"/>
  <c r="AI74" i="24"/>
  <c r="O74" i="24"/>
  <c r="AA74" i="24"/>
  <c r="AM74" i="24"/>
  <c r="S74" i="24"/>
  <c r="AE74" i="24"/>
  <c r="AQ74" i="24"/>
  <c r="AY84" i="24"/>
  <c r="AH33" i="24"/>
  <c r="AI55" i="24"/>
  <c r="V51" i="24"/>
  <c r="AH51" i="24"/>
  <c r="N51" i="24"/>
  <c r="AP51" i="24"/>
  <c r="AD51" i="24"/>
  <c r="AY75" i="24"/>
  <c r="AU75" i="24"/>
  <c r="AB67" i="24"/>
  <c r="AF67" i="24"/>
  <c r="X67" i="24"/>
  <c r="AF66" i="24"/>
  <c r="X66" i="24"/>
  <c r="AB66" i="24"/>
  <c r="AT79" i="24"/>
  <c r="AT77" i="24"/>
  <c r="R77" i="24"/>
  <c r="V74" i="24"/>
  <c r="AY73" i="24"/>
  <c r="AA73" i="24"/>
  <c r="AU71" i="24"/>
  <c r="N71" i="24"/>
  <c r="AQ70" i="24"/>
  <c r="V70" i="24"/>
  <c r="AL69" i="24"/>
  <c r="AA69" i="24"/>
  <c r="AT68" i="24"/>
  <c r="AH68" i="24"/>
  <c r="L68" i="24"/>
  <c r="L75" i="24" s="1"/>
  <c r="Z67" i="24"/>
  <c r="O67" i="24"/>
  <c r="AM66" i="24"/>
  <c r="AE65" i="24"/>
  <c r="AE85" i="24"/>
  <c r="AX84" i="24"/>
  <c r="Z84" i="24"/>
  <c r="O84" i="24"/>
  <c r="AE83" i="24"/>
  <c r="AX82" i="24"/>
  <c r="Z82" i="24"/>
  <c r="O82" i="24"/>
  <c r="AQ51" i="24"/>
  <c r="AI50" i="24"/>
  <c r="AQ49" i="24"/>
  <c r="AA49" i="24"/>
  <c r="AQ79" i="24"/>
  <c r="AY78" i="24"/>
  <c r="AI78" i="24"/>
  <c r="W78" i="24"/>
  <c r="AQ77" i="24"/>
  <c r="AD77" i="24"/>
  <c r="AY76" i="24"/>
  <c r="AI76" i="24"/>
  <c r="AT75" i="24"/>
  <c r="AD75" i="24"/>
  <c r="O75" i="24"/>
  <c r="AP74" i="24"/>
  <c r="Z73" i="24"/>
  <c r="O73" i="24"/>
  <c r="AL72" i="24"/>
  <c r="V72" i="24"/>
  <c r="AH71" i="24"/>
  <c r="W71" i="24"/>
  <c r="AP70" i="24"/>
  <c r="AE70" i="24"/>
  <c r="AU69" i="24"/>
  <c r="Z69" i="24"/>
  <c r="O69" i="24"/>
  <c r="V68" i="24"/>
  <c r="AI67" i="24"/>
  <c r="N67" i="24"/>
  <c r="AY66" i="24"/>
  <c r="AA66" i="24"/>
  <c r="AD65" i="24"/>
  <c r="S65" i="24"/>
  <c r="S85" i="24"/>
  <c r="AI84" i="24"/>
  <c r="N84" i="24"/>
  <c r="S83" i="24"/>
  <c r="AI82" i="24"/>
  <c r="N82" i="24"/>
  <c r="AY81" i="24"/>
  <c r="AI81" i="24"/>
  <c r="S81" i="24"/>
  <c r="AH52" i="24"/>
  <c r="V52" i="24"/>
  <c r="AX50" i="24"/>
  <c r="AX80" i="24"/>
  <c r="AX78" i="24"/>
  <c r="AP77" i="24"/>
  <c r="N77" i="24"/>
  <c r="AX76" i="24"/>
  <c r="AQ75" i="24"/>
  <c r="AA75" i="24"/>
  <c r="N75" i="24"/>
  <c r="AD74" i="24"/>
  <c r="AI73" i="24"/>
  <c r="N73" i="24"/>
  <c r="AY72" i="24"/>
  <c r="AQ71" i="24"/>
  <c r="V71" i="24"/>
  <c r="AD70" i="24"/>
  <c r="S70" i="24"/>
  <c r="AI69" i="24"/>
  <c r="N69" i="24"/>
  <c r="AP68" i="24"/>
  <c r="T68" i="24"/>
  <c r="T76" i="24" s="1"/>
  <c r="AH67" i="24"/>
  <c r="W67" i="24"/>
  <c r="O66" i="24"/>
  <c r="AM65" i="24"/>
  <c r="AB65" i="24"/>
  <c r="AM85" i="24"/>
  <c r="AH84" i="24"/>
  <c r="W84" i="24"/>
  <c r="AM83" i="24"/>
  <c r="AH82" i="24"/>
  <c r="W82" i="24"/>
  <c r="AX81" i="24"/>
  <c r="AP75" i="24"/>
  <c r="Z75" i="24"/>
  <c r="W73" i="24"/>
  <c r="AX70" i="24"/>
  <c r="W69" i="24"/>
  <c r="AY85" i="24"/>
  <c r="V84" i="24"/>
  <c r="AY83" i="24"/>
  <c r="AA83" i="24"/>
  <c r="V82" i="24"/>
  <c r="AE81" i="24"/>
  <c r="O81" i="24"/>
  <c r="AE78" i="24"/>
  <c r="AL77" i="24"/>
  <c r="Z77" i="24"/>
  <c r="AM75" i="24"/>
  <c r="AL74" i="24"/>
  <c r="AQ73" i="24"/>
  <c r="AL70" i="24"/>
  <c r="AA70" i="24"/>
  <c r="AQ69" i="24"/>
  <c r="V69" i="24"/>
  <c r="AB68" i="24"/>
  <c r="AB78" i="24" s="1"/>
  <c r="R68" i="24"/>
  <c r="AP67" i="24"/>
  <c r="AE67" i="24"/>
  <c r="W66" i="24"/>
  <c r="AX65" i="24"/>
  <c r="O65" i="24"/>
  <c r="O85" i="24"/>
  <c r="AP84" i="24"/>
  <c r="AE84" i="24"/>
  <c r="O83" i="24"/>
  <c r="AP82" i="24"/>
  <c r="AE82" i="24"/>
  <c r="AQ76" i="24"/>
  <c r="AA76" i="24"/>
  <c r="AL75" i="24"/>
  <c r="Z74" i="24"/>
  <c r="AE73" i="24"/>
  <c r="AD72" i="24"/>
  <c r="Z70" i="24"/>
  <c r="O70" i="24"/>
  <c r="AE69" i="24"/>
  <c r="AQ66" i="24"/>
  <c r="AI65" i="24"/>
  <c r="AI85" i="24"/>
  <c r="AD84" i="24"/>
  <c r="AI83" i="24"/>
  <c r="AD82" i="24"/>
  <c r="AQ81" i="24"/>
  <c r="AP52" i="24"/>
  <c r="AH77" i="24"/>
  <c r="AH30" i="7"/>
  <c r="Z30" i="7"/>
  <c r="AD30" i="7"/>
  <c r="V30" i="7"/>
  <c r="R34" i="7"/>
  <c r="N34" i="7"/>
  <c r="N38" i="7"/>
  <c r="R38" i="7"/>
  <c r="R18" i="7"/>
  <c r="N18" i="7"/>
  <c r="S15" i="7"/>
  <c r="O15" i="7"/>
  <c r="L14" i="5"/>
  <c r="L13" i="5"/>
  <c r="L17" i="5"/>
  <c r="AE26" i="7"/>
  <c r="W26" i="7"/>
  <c r="AI26" i="7"/>
  <c r="AA26" i="7"/>
  <c r="L18" i="5"/>
  <c r="R33" i="7"/>
  <c r="N33" i="7"/>
  <c r="AD29" i="7"/>
  <c r="V29" i="7"/>
  <c r="AH29" i="7"/>
  <c r="Z29" i="7"/>
  <c r="AH23" i="7"/>
  <c r="Z23" i="7"/>
  <c r="AD23" i="7"/>
  <c r="T33" i="7"/>
  <c r="T35" i="7"/>
  <c r="S14" i="7"/>
  <c r="N43" i="7"/>
  <c r="R43" i="7"/>
  <c r="S41" i="7"/>
  <c r="O37" i="7"/>
  <c r="S37" i="7"/>
  <c r="N32" i="7"/>
  <c r="R15" i="7"/>
  <c r="N15" i="7"/>
  <c r="R14" i="7"/>
  <c r="AM43" i="7"/>
  <c r="R41" i="7"/>
  <c r="S39" i="7"/>
  <c r="Z36" i="7"/>
  <c r="AH36" i="7"/>
  <c r="V36" i="7"/>
  <c r="AD36" i="7"/>
  <c r="AM31" i="7"/>
  <c r="AH25" i="7"/>
  <c r="Z25" i="7"/>
  <c r="AD25" i="7"/>
  <c r="AD24" i="7"/>
  <c r="V24" i="7"/>
  <c r="Z24" i="7"/>
  <c r="V23" i="7"/>
  <c r="S20" i="7"/>
  <c r="AH44" i="7"/>
  <c r="Z44" i="7"/>
  <c r="AD44" i="7"/>
  <c r="N39" i="7"/>
  <c r="R39" i="7"/>
  <c r="Z35" i="7"/>
  <c r="AD35" i="7"/>
  <c r="V35" i="7"/>
  <c r="Z34" i="7"/>
  <c r="AH34" i="7"/>
  <c r="O32" i="7"/>
  <c r="S32" i="7"/>
  <c r="V25" i="7"/>
  <c r="R20" i="7"/>
  <c r="Z18" i="7"/>
  <c r="AH18" i="7"/>
  <c r="V18" i="7"/>
  <c r="AD18" i="7"/>
  <c r="S17" i="7"/>
  <c r="S36" i="7"/>
  <c r="O36" i="7"/>
  <c r="Z33" i="7"/>
  <c r="AH33" i="7"/>
  <c r="V33" i="7"/>
  <c r="AD33" i="7"/>
  <c r="AD27" i="7"/>
  <c r="V27" i="7"/>
  <c r="AH27" i="7"/>
  <c r="Z27" i="7"/>
  <c r="AD26" i="7"/>
  <c r="V26" i="7"/>
  <c r="AH26" i="7"/>
  <c r="Z26" i="7"/>
  <c r="R17" i="7"/>
  <c r="V42" i="7"/>
  <c r="AH42" i="7"/>
  <c r="Z42" i="7"/>
  <c r="S42" i="7"/>
  <c r="S40" i="7"/>
  <c r="R36" i="7"/>
  <c r="N36" i="7"/>
  <c r="AE21" i="7"/>
  <c r="W21" i="7"/>
  <c r="AI21" i="7"/>
  <c r="AA21" i="7"/>
  <c r="O19" i="7"/>
  <c r="S18" i="7"/>
  <c r="O18" i="7"/>
  <c r="AM27" i="7"/>
  <c r="AM34" i="7"/>
  <c r="AM42" i="7"/>
  <c r="AM28" i="7"/>
  <c r="AM19" i="7"/>
  <c r="AM22" i="7"/>
  <c r="AM24" i="7"/>
  <c r="AM29" i="7"/>
  <c r="AM35" i="7"/>
  <c r="AM16" i="7"/>
  <c r="AM32" i="7"/>
  <c r="AM30" i="7"/>
  <c r="AM44" i="7"/>
  <c r="AM23" i="7"/>
  <c r="AM25" i="7"/>
  <c r="AM33" i="7"/>
  <c r="AM36" i="7"/>
  <c r="AM45" i="7"/>
  <c r="AM18" i="7"/>
  <c r="O44" i="7"/>
  <c r="S44" i="7"/>
  <c r="R40" i="7"/>
  <c r="O38" i="7"/>
  <c r="S38" i="7"/>
  <c r="O34" i="7"/>
  <c r="S34" i="7"/>
  <c r="S33" i="7"/>
  <c r="O33" i="7"/>
  <c r="Z32" i="7"/>
  <c r="AD32" i="7"/>
  <c r="V31" i="7"/>
  <c r="AH31" i="7"/>
  <c r="Z31" i="7"/>
  <c r="AH24" i="7"/>
  <c r="AH22" i="7"/>
  <c r="AH19" i="7"/>
  <c r="AH16" i="7"/>
  <c r="Z16" i="7"/>
  <c r="AD43" i="7"/>
  <c r="S43" i="7"/>
  <c r="AH28" i="7"/>
  <c r="V19" i="7"/>
  <c r="V28" i="7"/>
  <c r="V22" i="7"/>
  <c r="AB33" i="7"/>
  <c r="AD16" i="7"/>
  <c r="AB71" i="33" l="1"/>
  <c r="AN71" i="33"/>
  <c r="AE19" i="33"/>
  <c r="AI19" i="33"/>
  <c r="S38" i="33"/>
  <c r="AE38" i="33"/>
  <c r="AM39" i="33"/>
  <c r="S39" i="33"/>
  <c r="L71" i="33"/>
  <c r="AY48" i="33"/>
  <c r="S32" i="33"/>
  <c r="AE32" i="33"/>
  <c r="AM32" i="33"/>
  <c r="AY33" i="33"/>
  <c r="AU33" i="33"/>
  <c r="AJ71" i="33"/>
  <c r="BH118" i="32"/>
  <c r="AN118" i="32"/>
  <c r="BL54" i="32"/>
  <c r="BL53" i="32"/>
  <c r="CF58" i="32" s="1"/>
  <c r="CJ58" i="32" s="1"/>
  <c r="AZ55" i="32"/>
  <c r="AZ53" i="32"/>
  <c r="BT58" i="32" s="1"/>
  <c r="BD55" i="32"/>
  <c r="BH55" i="32"/>
  <c r="AZ54" i="32"/>
  <c r="AB79" i="24"/>
  <c r="BT46" i="90"/>
  <c r="BT90" i="90" s="1"/>
  <c r="AV90" i="90"/>
  <c r="P40" i="91"/>
  <c r="P16" i="91"/>
  <c r="BX46" i="90"/>
  <c r="BX90" i="90" s="1"/>
  <c r="CF87" i="90"/>
  <c r="CF90" i="90" s="1"/>
  <c r="X42" i="91"/>
  <c r="AF90" i="90"/>
  <c r="BD90" i="90"/>
  <c r="L39" i="91"/>
  <c r="L16" i="91"/>
  <c r="L69" i="90"/>
  <c r="L46" i="90"/>
  <c r="T90" i="90"/>
  <c r="BL46" i="90"/>
  <c r="BL90" i="90" s="1"/>
  <c r="S16" i="84"/>
  <c r="S35" i="75"/>
  <c r="AA35" i="75"/>
  <c r="O35" i="75"/>
  <c r="W35" i="75"/>
  <c r="AB34" i="75"/>
  <c r="AF20" i="75"/>
  <c r="AF34" i="75" s="1"/>
  <c r="V26" i="75"/>
  <c r="N26" i="75"/>
  <c r="Z26" i="75"/>
  <c r="R26" i="75"/>
  <c r="S20" i="84"/>
  <c r="Z22" i="75"/>
  <c r="V22" i="75"/>
  <c r="N22" i="75"/>
  <c r="R22" i="75"/>
  <c r="O28" i="75"/>
  <c r="AA28" i="75"/>
  <c r="S28" i="75"/>
  <c r="W28" i="75"/>
  <c r="O33" i="75"/>
  <c r="W33" i="75"/>
  <c r="S33" i="75"/>
  <c r="AA33" i="75"/>
  <c r="N30" i="75"/>
  <c r="Z30" i="75"/>
  <c r="R30" i="75"/>
  <c r="V30" i="75"/>
  <c r="N29" i="75"/>
  <c r="Z29" i="75"/>
  <c r="R29" i="75"/>
  <c r="V29" i="75"/>
  <c r="R25" i="75"/>
  <c r="V25" i="75"/>
  <c r="Z25" i="75"/>
  <c r="N25" i="75"/>
  <c r="O25" i="75"/>
  <c r="S25" i="75"/>
  <c r="W25" i="75"/>
  <c r="AA25" i="75"/>
  <c r="N28" i="75"/>
  <c r="Z28" i="75"/>
  <c r="R28" i="75"/>
  <c r="V28" i="75"/>
  <c r="O29" i="75"/>
  <c r="AA29" i="75"/>
  <c r="S29" i="75"/>
  <c r="W29" i="75"/>
  <c r="X23" i="77"/>
  <c r="AB13" i="77"/>
  <c r="AB23" i="77" s="1"/>
  <c r="AR34" i="75"/>
  <c r="AV20" i="75"/>
  <c r="AV34" i="75" s="1"/>
  <c r="Z27" i="75"/>
  <c r="N27" i="75"/>
  <c r="R27" i="75"/>
  <c r="V27" i="75"/>
  <c r="AA21" i="75"/>
  <c r="S21" i="75"/>
  <c r="W21" i="75"/>
  <c r="O21" i="75"/>
  <c r="W30" i="75"/>
  <c r="O30" i="75"/>
  <c r="AA30" i="75"/>
  <c r="S30" i="75"/>
  <c r="R18" i="75"/>
  <c r="Z18" i="75"/>
  <c r="N18" i="75"/>
  <c r="V18" i="75"/>
  <c r="S17" i="97"/>
  <c r="O17" i="97"/>
  <c r="AA17" i="97"/>
  <c r="W17" i="97"/>
  <c r="O17" i="71"/>
  <c r="AA17" i="71"/>
  <c r="S17" i="71"/>
  <c r="W17" i="71"/>
  <c r="W18" i="97"/>
  <c r="O18" i="97"/>
  <c r="AA18" i="97"/>
  <c r="S18" i="97"/>
  <c r="AA18" i="71"/>
  <c r="S18" i="71"/>
  <c r="W18" i="71"/>
  <c r="O18" i="71"/>
  <c r="S19" i="71"/>
  <c r="W19" i="71"/>
  <c r="O19" i="71"/>
  <c r="AA19" i="71"/>
  <c r="AA19" i="97"/>
  <c r="S19" i="97"/>
  <c r="O19" i="97"/>
  <c r="W19" i="97"/>
  <c r="P71" i="29"/>
  <c r="T71" i="29"/>
  <c r="T85" i="28"/>
  <c r="AB85" i="28"/>
  <c r="AI18" i="33"/>
  <c r="AM18" i="33"/>
  <c r="S18" i="33"/>
  <c r="W18" i="33"/>
  <c r="AQ18" i="33"/>
  <c r="AA18" i="33"/>
  <c r="AE18" i="33"/>
  <c r="O18" i="33"/>
  <c r="BL101" i="32"/>
  <c r="BL100" i="32"/>
  <c r="CF106" i="32" s="1"/>
  <c r="BL103" i="32"/>
  <c r="BL104" i="32"/>
  <c r="P87" i="33"/>
  <c r="P83" i="33"/>
  <c r="AV95" i="32"/>
  <c r="BP76" i="32"/>
  <c r="BP72" i="32"/>
  <c r="BP73" i="32"/>
  <c r="BP75" i="32"/>
  <c r="BH69" i="32"/>
  <c r="CB69" i="32" s="1"/>
  <c r="AN69" i="32"/>
  <c r="AV99" i="32"/>
  <c r="BP53" i="32"/>
  <c r="BP54" i="32"/>
  <c r="BP57" i="32"/>
  <c r="BP56" i="32"/>
  <c r="BD100" i="32"/>
  <c r="BX106" i="32" s="1"/>
  <c r="BD104" i="32"/>
  <c r="BD103" i="32"/>
  <c r="BD101" i="32"/>
  <c r="P33" i="29"/>
  <c r="T33" i="29"/>
  <c r="AZ50" i="32"/>
  <c r="BT50" i="32" s="1"/>
  <c r="AF50" i="32"/>
  <c r="AY22" i="33"/>
  <c r="AU22" i="33"/>
  <c r="AZ32" i="32"/>
  <c r="AZ118" i="32" s="1"/>
  <c r="BT33" i="32"/>
  <c r="BT118" i="32" s="1"/>
  <c r="AF27" i="30"/>
  <c r="AF26" i="30"/>
  <c r="AF25" i="30"/>
  <c r="P70" i="29"/>
  <c r="T70" i="29"/>
  <c r="AF22" i="25"/>
  <c r="AF21" i="25"/>
  <c r="AF23" i="25"/>
  <c r="P69" i="29"/>
  <c r="T69" i="29"/>
  <c r="AF84" i="33"/>
  <c r="O37" i="33"/>
  <c r="AA37" i="33"/>
  <c r="AM37" i="33"/>
  <c r="S37" i="33"/>
  <c r="AE37" i="33"/>
  <c r="AQ37" i="33"/>
  <c r="AI37" i="33"/>
  <c r="W37" i="33"/>
  <c r="AM33" i="33"/>
  <c r="S33" i="33"/>
  <c r="AE33" i="33"/>
  <c r="AQ33" i="33"/>
  <c r="W33" i="33"/>
  <c r="AA33" i="33"/>
  <c r="AI33" i="33"/>
  <c r="O33" i="33"/>
  <c r="AU31" i="33"/>
  <c r="AY31" i="33"/>
  <c r="AN95" i="33"/>
  <c r="AF39" i="33"/>
  <c r="AF40" i="33"/>
  <c r="AF90" i="33" s="1"/>
  <c r="AF41" i="33"/>
  <c r="AF91" i="33" s="1"/>
  <c r="AF42" i="33"/>
  <c r="AF92" i="33" s="1"/>
  <c r="AF43" i="33"/>
  <c r="AF93" i="33" s="1"/>
  <c r="AF37" i="32"/>
  <c r="AF118" i="32" s="1"/>
  <c r="AZ37" i="32"/>
  <c r="BT37" i="32" s="1"/>
  <c r="AB118" i="32"/>
  <c r="AV37" i="32"/>
  <c r="AB49" i="32"/>
  <c r="AV49" i="32" s="1"/>
  <c r="BP49" i="32" s="1"/>
  <c r="L87" i="28"/>
  <c r="L93" i="28"/>
  <c r="AA25" i="33"/>
  <c r="AM25" i="33"/>
  <c r="S25" i="33"/>
  <c r="AE25" i="33"/>
  <c r="AQ25" i="33"/>
  <c r="W25" i="33"/>
  <c r="O25" i="33"/>
  <c r="AI25" i="33"/>
  <c r="AZ69" i="32"/>
  <c r="BT69" i="32" s="1"/>
  <c r="AF69" i="32"/>
  <c r="AJ37" i="32"/>
  <c r="AJ118" i="32" s="1"/>
  <c r="BD37" i="32"/>
  <c r="BX37" i="32" s="1"/>
  <c r="BX118" i="32" s="1"/>
  <c r="AR118" i="32"/>
  <c r="CF33" i="32"/>
  <c r="CF118" i="32" s="1"/>
  <c r="BL32" i="32"/>
  <c r="BL118" i="32" s="1"/>
  <c r="AB37" i="28"/>
  <c r="T37" i="28"/>
  <c r="T32" i="34"/>
  <c r="L32" i="34"/>
  <c r="P32" i="34"/>
  <c r="P71" i="33"/>
  <c r="AM74" i="33"/>
  <c r="S74" i="33"/>
  <c r="AE74" i="33"/>
  <c r="AQ74" i="33"/>
  <c r="W74" i="33"/>
  <c r="AI74" i="33"/>
  <c r="O74" i="33"/>
  <c r="AA74" i="33"/>
  <c r="AA42" i="33"/>
  <c r="AM42" i="33"/>
  <c r="S42" i="33"/>
  <c r="AQ42" i="33"/>
  <c r="W42" i="33"/>
  <c r="AE42" i="33"/>
  <c r="O42" i="33"/>
  <c r="AI42" i="33"/>
  <c r="AU32" i="33"/>
  <c r="AY32" i="33"/>
  <c r="AJ95" i="33"/>
  <c r="AB41" i="33"/>
  <c r="AB91" i="33" s="1"/>
  <c r="AB42" i="33"/>
  <c r="AB92" i="33" s="1"/>
  <c r="AB43" i="33"/>
  <c r="AB93" i="33" s="1"/>
  <c r="AB39" i="33"/>
  <c r="AB40" i="33"/>
  <c r="AB90" i="33" s="1"/>
  <c r="BD49" i="32"/>
  <c r="BX49" i="32" s="1"/>
  <c r="AJ49" i="32"/>
  <c r="L92" i="28"/>
  <c r="T92" i="28" s="1"/>
  <c r="AB92" i="28"/>
  <c r="L87" i="33"/>
  <c r="L83" i="33"/>
  <c r="BL72" i="32"/>
  <c r="CF77" i="32" s="1"/>
  <c r="CJ77" i="32" s="1"/>
  <c r="CJ95" i="32" s="1"/>
  <c r="BL75" i="32"/>
  <c r="BL73" i="32"/>
  <c r="BL76" i="32"/>
  <c r="AV69" i="32"/>
  <c r="AB82" i="32"/>
  <c r="CB118" i="32"/>
  <c r="BD50" i="32"/>
  <c r="BX50" i="32" s="1"/>
  <c r="AJ50" i="32"/>
  <c r="AF85" i="28"/>
  <c r="X85" i="28"/>
  <c r="P85" i="28"/>
  <c r="AB86" i="28"/>
  <c r="T86" i="28"/>
  <c r="T87" i="28"/>
  <c r="T94" i="28"/>
  <c r="O27" i="33"/>
  <c r="AA27" i="33"/>
  <c r="AM27" i="33"/>
  <c r="S27" i="33"/>
  <c r="AE27" i="33"/>
  <c r="AQ27" i="33"/>
  <c r="AI27" i="33"/>
  <c r="W27" i="33"/>
  <c r="AJ69" i="32"/>
  <c r="BD69" i="32"/>
  <c r="BX69" i="32" s="1"/>
  <c r="BD56" i="32"/>
  <c r="BD57" i="32"/>
  <c r="BD53" i="32"/>
  <c r="BX58" i="32" s="1"/>
  <c r="BD54" i="32"/>
  <c r="L30" i="14"/>
  <c r="P30" i="14" s="1"/>
  <c r="T30" i="14" s="1"/>
  <c r="X30" i="14" s="1"/>
  <c r="L40" i="14"/>
  <c r="P40" i="14" s="1"/>
  <c r="T40" i="14" s="1"/>
  <c r="X40" i="14" s="1"/>
  <c r="L46" i="14"/>
  <c r="P46" i="14" s="1"/>
  <c r="T46" i="14" s="1"/>
  <c r="X46" i="14" s="1"/>
  <c r="L50" i="14"/>
  <c r="P50" i="14" s="1"/>
  <c r="T50" i="14" s="1"/>
  <c r="X50" i="14" s="1"/>
  <c r="L29" i="14"/>
  <c r="P29" i="14" s="1"/>
  <c r="T29" i="14" s="1"/>
  <c r="X29" i="14" s="1"/>
  <c r="L39" i="14"/>
  <c r="P39" i="14" s="1"/>
  <c r="T39" i="14" s="1"/>
  <c r="X39" i="14" s="1"/>
  <c r="L45" i="14"/>
  <c r="P45" i="14" s="1"/>
  <c r="T45" i="14" s="1"/>
  <c r="X45" i="14" s="1"/>
  <c r="L38" i="14"/>
  <c r="P38" i="14" s="1"/>
  <c r="T38" i="14" s="1"/>
  <c r="X38" i="14" s="1"/>
  <c r="L44" i="14"/>
  <c r="P44" i="14" s="1"/>
  <c r="T44" i="14" s="1"/>
  <c r="X44" i="14" s="1"/>
  <c r="P49" i="14"/>
  <c r="T49" i="14" s="1"/>
  <c r="X49" i="14" s="1"/>
  <c r="L33" i="14"/>
  <c r="P33" i="14" s="1"/>
  <c r="T33" i="14" s="1"/>
  <c r="X33" i="14" s="1"/>
  <c r="L52" i="14"/>
  <c r="P52" i="14" s="1"/>
  <c r="T52" i="14" s="1"/>
  <c r="X52" i="14" s="1"/>
  <c r="L32" i="14"/>
  <c r="P32" i="14" s="1"/>
  <c r="T32" i="14" s="1"/>
  <c r="X32" i="14" s="1"/>
  <c r="L51" i="14"/>
  <c r="P51" i="14" s="1"/>
  <c r="T51" i="14" s="1"/>
  <c r="X51" i="14" s="1"/>
  <c r="L28" i="14"/>
  <c r="P28" i="14" s="1"/>
  <c r="T28" i="14" s="1"/>
  <c r="X28" i="14" s="1"/>
  <c r="L31" i="14"/>
  <c r="P31" i="14" s="1"/>
  <c r="T31" i="14" s="1"/>
  <c r="X31" i="14" s="1"/>
  <c r="L54" i="14"/>
  <c r="P54" i="14" s="1"/>
  <c r="T54" i="14" s="1"/>
  <c r="X54" i="14" s="1"/>
  <c r="L41" i="14"/>
  <c r="P41" i="14" s="1"/>
  <c r="T41" i="14" s="1"/>
  <c r="X41" i="14" s="1"/>
  <c r="AF69" i="24"/>
  <c r="X69" i="24"/>
  <c r="T29" i="19"/>
  <c r="T28" i="19"/>
  <c r="P29" i="19"/>
  <c r="P28" i="19"/>
  <c r="BA71" i="24"/>
  <c r="BB71" i="24"/>
  <c r="AB77" i="24"/>
  <c r="X51" i="20"/>
  <c r="T51" i="20"/>
  <c r="AE48" i="14"/>
  <c r="L48" i="14" s="1"/>
  <c r="P48" i="14" s="1"/>
  <c r="T48" i="14" s="1"/>
  <c r="X48" i="14" s="1"/>
  <c r="BD61" i="15"/>
  <c r="BD70" i="15" s="1"/>
  <c r="AZ70" i="15"/>
  <c r="X70" i="24"/>
  <c r="AF70" i="24"/>
  <c r="BB73" i="24"/>
  <c r="BA73" i="24"/>
  <c r="X74" i="24"/>
  <c r="AF74" i="24"/>
  <c r="L35" i="14"/>
  <c r="P35" i="14" s="1"/>
  <c r="T35" i="14" s="1"/>
  <c r="X35" i="14" s="1"/>
  <c r="P37" i="14"/>
  <c r="T37" i="14" s="1"/>
  <c r="X37" i="14" s="1"/>
  <c r="X42" i="20"/>
  <c r="T42" i="20"/>
  <c r="Z59" i="15"/>
  <c r="AD59" i="15" s="1"/>
  <c r="AH59" i="15" s="1"/>
  <c r="AL59" i="15" s="1"/>
  <c r="AP59" i="15" s="1"/>
  <c r="AT59" i="15" s="1"/>
  <c r="AX59" i="15" s="1"/>
  <c r="BB59" i="15" s="1"/>
  <c r="BF59" i="15" s="1"/>
  <c r="BJ59" i="15" s="1"/>
  <c r="BN59" i="15" s="1"/>
  <c r="V61" i="15"/>
  <c r="Z61" i="15" s="1"/>
  <c r="AD61" i="15" s="1"/>
  <c r="AH61" i="15" s="1"/>
  <c r="AL61" i="15" s="1"/>
  <c r="AP61" i="15" s="1"/>
  <c r="AT61" i="15" s="1"/>
  <c r="AX61" i="15" s="1"/>
  <c r="BB61" i="15" s="1"/>
  <c r="BF61" i="15" s="1"/>
  <c r="BJ61" i="15" s="1"/>
  <c r="BN61" i="15" s="1"/>
  <c r="AA35" i="7"/>
  <c r="AE35" i="7"/>
  <c r="AI35" i="7"/>
  <c r="W35" i="7"/>
  <c r="AE31" i="7"/>
  <c r="W31" i="7"/>
  <c r="AI31" i="7"/>
  <c r="AA31" i="7"/>
  <c r="W34" i="7"/>
  <c r="AE34" i="7"/>
  <c r="AA34" i="7"/>
  <c r="AI34" i="7"/>
  <c r="AA36" i="7"/>
  <c r="AI36" i="7"/>
  <c r="W36" i="7"/>
  <c r="AE36" i="7"/>
  <c r="AE27" i="7"/>
  <c r="W27" i="7"/>
  <c r="AI27" i="7"/>
  <c r="AA27" i="7"/>
  <c r="AA33" i="7"/>
  <c r="AI33" i="7"/>
  <c r="W33" i="7"/>
  <c r="AE33" i="7"/>
  <c r="AA29" i="7"/>
  <c r="AE29" i="7"/>
  <c r="W29" i="7"/>
  <c r="AI29" i="7"/>
  <c r="W16" i="7"/>
  <c r="AE16" i="7"/>
  <c r="AI16" i="7"/>
  <c r="AA16" i="7"/>
  <c r="W43" i="7"/>
  <c r="AI43" i="7"/>
  <c r="AA43" i="7"/>
  <c r="AE43" i="7"/>
  <c r="W25" i="7"/>
  <c r="AI25" i="7"/>
  <c r="AA25" i="7"/>
  <c r="AE25" i="7"/>
  <c r="AA24" i="7"/>
  <c r="AE24" i="7"/>
  <c r="W24" i="7"/>
  <c r="AI24" i="7"/>
  <c r="AI23" i="7"/>
  <c r="AA23" i="7"/>
  <c r="AE23" i="7"/>
  <c r="W23" i="7"/>
  <c r="AA22" i="7"/>
  <c r="AE22" i="7"/>
  <c r="W22" i="7"/>
  <c r="AI22" i="7"/>
  <c r="AI44" i="7"/>
  <c r="AA44" i="7"/>
  <c r="W44" i="7"/>
  <c r="AE44" i="7"/>
  <c r="AA19" i="7"/>
  <c r="AE19" i="7"/>
  <c r="W19" i="7"/>
  <c r="AI19" i="7"/>
  <c r="AJ34" i="7"/>
  <c r="W30" i="7"/>
  <c r="AI30" i="7"/>
  <c r="AA30" i="7"/>
  <c r="AE30" i="7"/>
  <c r="AA28" i="7"/>
  <c r="AE28" i="7"/>
  <c r="W28" i="7"/>
  <c r="AI28" i="7"/>
  <c r="AA18" i="7"/>
  <c r="AI18" i="7"/>
  <c r="W18" i="7"/>
  <c r="AE18" i="7"/>
  <c r="AI32" i="7"/>
  <c r="AA32" i="7"/>
  <c r="AE32" i="7"/>
  <c r="W32" i="7"/>
  <c r="AE42" i="7"/>
  <c r="W42" i="7"/>
  <c r="AI42" i="7"/>
  <c r="AA42" i="7"/>
  <c r="BP95" i="32" l="1"/>
  <c r="BD118" i="32"/>
  <c r="CJ106" i="32"/>
  <c r="CJ94" i="32"/>
  <c r="L90" i="90"/>
  <c r="AB89" i="33"/>
  <c r="AB83" i="33"/>
  <c r="AV82" i="32"/>
  <c r="BP69" i="32"/>
  <c r="BP82" i="32" s="1"/>
  <c r="BP37" i="32"/>
  <c r="BP118" i="32" s="1"/>
  <c r="AV118" i="32"/>
  <c r="AF89" i="33"/>
  <c r="AF83" i="33"/>
  <c r="BP100" i="32"/>
  <c r="BP104" i="32"/>
  <c r="BP103" i="32"/>
  <c r="BP101" i="32"/>
  <c r="T73" i="24"/>
  <c r="L73" i="24"/>
  <c r="AJ73" i="24"/>
  <c r="AB73" i="24"/>
  <c r="AN73" i="24"/>
  <c r="AF73" i="24"/>
  <c r="X73" i="24"/>
  <c r="P73" i="24"/>
  <c r="P71" i="24"/>
  <c r="AN71" i="24"/>
  <c r="AF71" i="24"/>
  <c r="X71" i="24"/>
  <c r="AB71" i="24"/>
  <c r="T71" i="24"/>
  <c r="L71" i="24"/>
  <c r="AJ71" i="24"/>
  <c r="AJ33" i="7"/>
  <c r="AF34" i="7" l="1"/>
  <c r="AF42" i="7"/>
  <c r="AF43" i="7"/>
  <c r="AF33" i="7"/>
  <c r="AB36" i="7" l="1"/>
  <c r="AJ36" i="7" l="1"/>
  <c r="AF36" i="7"/>
  <c r="P36" i="7" l="1"/>
  <c r="R50" i="38" l="1"/>
  <c r="R55" i="38" s="1"/>
  <c r="V45" i="38"/>
  <c r="V44" i="38"/>
  <c r="V43" i="38"/>
  <c r="R42" i="38"/>
  <c r="V37" i="38"/>
  <c r="J52" i="38"/>
  <c r="L52" i="38" s="1"/>
  <c r="M52" i="38" s="1"/>
  <c r="V36" i="38"/>
  <c r="H51" i="38"/>
  <c r="V35" i="38"/>
  <c r="F50" i="38"/>
  <c r="R34" i="38"/>
  <c r="R35" i="38" s="1"/>
  <c r="D49" i="38"/>
  <c r="L49" i="38" s="1"/>
  <c r="M49" i="38" s="1"/>
  <c r="R30" i="38"/>
  <c r="R29" i="38"/>
  <c r="R28" i="38"/>
  <c r="R27" i="38"/>
  <c r="J42" i="38"/>
  <c r="L42" i="38" s="1"/>
  <c r="M42" i="38" s="1"/>
  <c r="H41" i="38"/>
  <c r="L41" i="38" s="1"/>
  <c r="M41" i="38" s="1"/>
  <c r="F40" i="38"/>
  <c r="D39" i="38"/>
  <c r="Q22" i="38"/>
  <c r="Q21" i="38"/>
  <c r="Q20" i="38"/>
  <c r="Q19" i="38"/>
  <c r="R18" i="38"/>
  <c r="R21" i="38" s="1"/>
  <c r="K33" i="38"/>
  <c r="J32" i="38"/>
  <c r="L32" i="38" s="1"/>
  <c r="M32" i="38" s="1"/>
  <c r="L31" i="38"/>
  <c r="M31" i="38" s="1"/>
  <c r="L30" i="38"/>
  <c r="M30" i="38" s="1"/>
  <c r="D29" i="38"/>
  <c r="L29" i="38" s="1"/>
  <c r="M29" i="38" s="1"/>
  <c r="K23" i="38"/>
  <c r="I23" i="38"/>
  <c r="H23" i="38"/>
  <c r="G23" i="38"/>
  <c r="F23" i="38"/>
  <c r="I12" i="38"/>
  <c r="G12" i="38"/>
  <c r="J11" i="38" s="1"/>
  <c r="F12" i="38"/>
  <c r="E12" i="38"/>
  <c r="D12" i="38"/>
  <c r="B12" i="38"/>
  <c r="B8" i="38" s="1"/>
  <c r="C8" i="38" s="1"/>
  <c r="C11" i="38"/>
  <c r="J10" i="38"/>
  <c r="H8" i="38"/>
  <c r="H12" i="38" s="1"/>
  <c r="C7" i="38"/>
  <c r="B18" i="38" s="1"/>
  <c r="J8" i="38" l="1"/>
  <c r="B38" i="38"/>
  <c r="R46" i="38"/>
  <c r="B9" i="38"/>
  <c r="C9" i="38" s="1"/>
  <c r="M20" i="38" s="1"/>
  <c r="B10" i="38"/>
  <c r="R38" i="38"/>
  <c r="R51" i="38"/>
  <c r="R45" i="38"/>
  <c r="R22" i="38"/>
  <c r="R36" i="38"/>
  <c r="R43" i="38"/>
  <c r="R37" i="38"/>
  <c r="L18" i="38"/>
  <c r="D19" i="38"/>
  <c r="L38" i="38"/>
  <c r="L39" i="38"/>
  <c r="M39" i="38" s="1"/>
  <c r="L40" i="38"/>
  <c r="L51" i="38"/>
  <c r="M51" i="38" s="1"/>
  <c r="R19" i="38"/>
  <c r="R52" i="38"/>
  <c r="B7" i="38"/>
  <c r="R44" i="38"/>
  <c r="R53" i="38"/>
  <c r="J9" i="38"/>
  <c r="R20" i="38"/>
  <c r="R54" i="38"/>
  <c r="J7" i="38"/>
  <c r="B28" i="38"/>
  <c r="L50" i="38"/>
  <c r="M50" i="38" s="1"/>
  <c r="B48" i="38"/>
  <c r="C10" i="38" l="1"/>
  <c r="L28" i="38"/>
  <c r="L19" i="38"/>
  <c r="M19" i="38" s="1"/>
  <c r="J12" i="38"/>
  <c r="L48" i="38"/>
  <c r="M38" i="38"/>
  <c r="F39" i="38" s="1"/>
  <c r="L43" i="38"/>
  <c r="M18" i="38"/>
  <c r="B39" i="38" l="1"/>
  <c r="M21" i="38"/>
  <c r="M23" i="38" s="1"/>
  <c r="C12" i="38"/>
  <c r="H38" i="38"/>
  <c r="M43" i="38"/>
  <c r="J38" i="38"/>
  <c r="B42" i="38"/>
  <c r="H40" i="38"/>
  <c r="H42" i="38"/>
  <c r="B41" i="38"/>
  <c r="D40" i="38"/>
  <c r="J41" i="38"/>
  <c r="D41" i="38"/>
  <c r="B40" i="38"/>
  <c r="D42" i="38"/>
  <c r="F42" i="38"/>
  <c r="J40" i="38"/>
  <c r="D38" i="38"/>
  <c r="F41" i="38"/>
  <c r="F38" i="38"/>
  <c r="J39" i="38"/>
  <c r="M28" i="38"/>
  <c r="L33" i="38"/>
  <c r="D21" i="38"/>
  <c r="L53" i="38"/>
  <c r="M48" i="38"/>
  <c r="B22" i="38"/>
  <c r="D20" i="38"/>
  <c r="H39" i="38"/>
  <c r="N39" i="38" s="1"/>
  <c r="D18" i="38" l="1"/>
  <c r="D22" i="38"/>
  <c r="B19" i="38"/>
  <c r="B20" i="38"/>
  <c r="B21" i="38"/>
  <c r="N21" i="38" s="1"/>
  <c r="J22" i="38"/>
  <c r="F24" i="38"/>
  <c r="H24" i="38"/>
  <c r="B43" i="38"/>
  <c r="B44" i="38"/>
  <c r="C38" i="38"/>
  <c r="C39" i="38"/>
  <c r="D43" i="38"/>
  <c r="E40" i="38" s="1"/>
  <c r="N38" i="38"/>
  <c r="N41" i="38"/>
  <c r="C41" i="38"/>
  <c r="M53" i="38"/>
  <c r="F49" i="38"/>
  <c r="H49" i="38"/>
  <c r="B49" i="38"/>
  <c r="J49" i="38"/>
  <c r="D51" i="38"/>
  <c r="J48" i="38"/>
  <c r="H52" i="38"/>
  <c r="D48" i="38"/>
  <c r="F51" i="38"/>
  <c r="D50" i="38"/>
  <c r="D52" i="38"/>
  <c r="B50" i="38"/>
  <c r="H48" i="38"/>
  <c r="J50" i="38"/>
  <c r="F52" i="38"/>
  <c r="F48" i="38"/>
  <c r="B52" i="38"/>
  <c r="J51" i="38"/>
  <c r="B51" i="38"/>
  <c r="H50" i="38"/>
  <c r="N20" i="38"/>
  <c r="E42" i="38"/>
  <c r="N42" i="38"/>
  <c r="C42" i="38"/>
  <c r="N19" i="38"/>
  <c r="N40" i="38"/>
  <c r="C40" i="38"/>
  <c r="J43" i="38"/>
  <c r="K39" i="38" s="1"/>
  <c r="M33" i="38"/>
  <c r="F31" i="38"/>
  <c r="D28" i="38"/>
  <c r="D30" i="38"/>
  <c r="F28" i="38"/>
  <c r="J28" i="38"/>
  <c r="D32" i="38"/>
  <c r="H29" i="38"/>
  <c r="J29" i="38"/>
  <c r="D31" i="38"/>
  <c r="J30" i="38"/>
  <c r="H28" i="38"/>
  <c r="F32" i="38"/>
  <c r="H30" i="38"/>
  <c r="F29" i="38"/>
  <c r="J31" i="38"/>
  <c r="H32" i="38"/>
  <c r="B29" i="38"/>
  <c r="B31" i="38"/>
  <c r="B30" i="38"/>
  <c r="B32" i="38"/>
  <c r="E41" i="38"/>
  <c r="N18" i="38"/>
  <c r="F43" i="38"/>
  <c r="K41" i="38"/>
  <c r="H43" i="38"/>
  <c r="I38" i="38" s="1"/>
  <c r="I39" i="38" l="1"/>
  <c r="B23" i="38"/>
  <c r="N22" i="38"/>
  <c r="D23" i="38"/>
  <c r="E18" i="38" s="1"/>
  <c r="J33" i="38"/>
  <c r="J34" i="38" s="1"/>
  <c r="L22" i="38"/>
  <c r="L23" i="38" s="1"/>
  <c r="J23" i="38"/>
  <c r="J24" i="38" s="1"/>
  <c r="E38" i="38"/>
  <c r="I42" i="38"/>
  <c r="E20" i="38"/>
  <c r="N32" i="38"/>
  <c r="F33" i="38"/>
  <c r="J53" i="38"/>
  <c r="K40" i="38"/>
  <c r="E22" i="38"/>
  <c r="N30" i="38"/>
  <c r="H33" i="38"/>
  <c r="I29" i="38" s="1"/>
  <c r="H53" i="38"/>
  <c r="E21" i="38"/>
  <c r="B24" i="38"/>
  <c r="C18" i="38"/>
  <c r="C22" i="38"/>
  <c r="I50" i="38"/>
  <c r="N50" i="38"/>
  <c r="K49" i="38"/>
  <c r="N31" i="38"/>
  <c r="D33" i="38"/>
  <c r="E31" i="38" s="1"/>
  <c r="N28" i="38"/>
  <c r="N29" i="38"/>
  <c r="B33" i="38"/>
  <c r="C32" i="38" s="1"/>
  <c r="K38" i="38"/>
  <c r="C19" i="38"/>
  <c r="N51" i="38"/>
  <c r="N49" i="38"/>
  <c r="B53" i="38"/>
  <c r="C50" i="38" s="1"/>
  <c r="C21" i="38"/>
  <c r="D24" i="38"/>
  <c r="E19" i="38"/>
  <c r="H44" i="38"/>
  <c r="I41" i="38"/>
  <c r="J44" i="38"/>
  <c r="K42" i="38"/>
  <c r="K51" i="38"/>
  <c r="I49" i="38"/>
  <c r="N43" i="38"/>
  <c r="O42" i="38" s="1"/>
  <c r="I30" i="38"/>
  <c r="I52" i="38"/>
  <c r="F44" i="38"/>
  <c r="G40" i="38"/>
  <c r="G39" i="38"/>
  <c r="C20" i="38"/>
  <c r="N52" i="38"/>
  <c r="C52" i="38"/>
  <c r="I40" i="38"/>
  <c r="I43" i="38" s="1"/>
  <c r="D44" i="38"/>
  <c r="E39" i="38"/>
  <c r="G41" i="38"/>
  <c r="G38" i="38"/>
  <c r="N23" i="38"/>
  <c r="O18" i="38" s="1"/>
  <c r="G29" i="38"/>
  <c r="F53" i="38"/>
  <c r="G51" i="38" s="1"/>
  <c r="D53" i="38"/>
  <c r="E52" i="38" s="1"/>
  <c r="N48" i="38"/>
  <c r="G42" i="38"/>
  <c r="C43" i="38"/>
  <c r="I32" i="38" l="1"/>
  <c r="C49" i="38"/>
  <c r="G48" i="38"/>
  <c r="E28" i="38"/>
  <c r="C51" i="38"/>
  <c r="E32" i="38"/>
  <c r="E43" i="38"/>
  <c r="C30" i="38"/>
  <c r="G49" i="38"/>
  <c r="F34" i="38"/>
  <c r="G30" i="38"/>
  <c r="O43" i="38"/>
  <c r="N44" i="38"/>
  <c r="O39" i="38"/>
  <c r="N53" i="38"/>
  <c r="O48" i="38" s="1"/>
  <c r="O38" i="38"/>
  <c r="O41" i="38"/>
  <c r="K43" i="38"/>
  <c r="E51" i="38"/>
  <c r="G32" i="38"/>
  <c r="E48" i="38"/>
  <c r="O23" i="38"/>
  <c r="N24" i="38"/>
  <c r="G31" i="38"/>
  <c r="N33" i="38"/>
  <c r="O32" i="38" s="1"/>
  <c r="H54" i="38"/>
  <c r="I51" i="38"/>
  <c r="E49" i="38"/>
  <c r="D54" i="38"/>
  <c r="O21" i="38"/>
  <c r="E29" i="38"/>
  <c r="E33" i="38" s="1"/>
  <c r="D34" i="38"/>
  <c r="I48" i="38"/>
  <c r="O19" i="38"/>
  <c r="B34" i="38"/>
  <c r="C28" i="38"/>
  <c r="E30" i="38"/>
  <c r="E23" i="38"/>
  <c r="F54" i="38"/>
  <c r="G50" i="38"/>
  <c r="G43" i="38"/>
  <c r="O22" i="38"/>
  <c r="C29" i="38"/>
  <c r="C31" i="38"/>
  <c r="C23" i="38"/>
  <c r="H34" i="38"/>
  <c r="I31" i="38"/>
  <c r="J54" i="38"/>
  <c r="K52" i="38"/>
  <c r="O20" i="38"/>
  <c r="E50" i="38"/>
  <c r="I28" i="38"/>
  <c r="K48" i="38"/>
  <c r="O40" i="38"/>
  <c r="G52" i="38"/>
  <c r="B54" i="38"/>
  <c r="C48" i="38"/>
  <c r="K50" i="38"/>
  <c r="G28" i="38"/>
  <c r="O29" i="38" l="1"/>
  <c r="C53" i="38"/>
  <c r="O31" i="38"/>
  <c r="O30" i="38"/>
  <c r="G53" i="38"/>
  <c r="O50" i="38"/>
  <c r="O51" i="38"/>
  <c r="O52" i="38"/>
  <c r="O28" i="38"/>
  <c r="O49" i="38"/>
  <c r="K53" i="38"/>
  <c r="O53" i="38"/>
  <c r="N54" i="38"/>
  <c r="C33" i="38"/>
  <c r="G33" i="38"/>
  <c r="I33" i="38"/>
  <c r="I53" i="38"/>
  <c r="N34" i="38"/>
  <c r="O33" i="38"/>
  <c r="E53"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Götz Michael (goem)</author>
  </authors>
  <commentList>
    <comment ref="BA17" authorId="0" shapeId="0" xr:uid="{00000000-0006-0000-1700-000001000000}">
      <text>
        <r>
          <rPr>
            <sz val="9"/>
            <rFont val="Arial"/>
            <family val="2"/>
          </rPr>
          <t>Götz Michael (goem):
It is not realistic to assume that p-type monocrystalline PERC wafers are manufactured at the same wafer thickness as state-of-the-art n-type wafers used for TOPCon technology.
A wafer thickness of 140 µm, as reported by the ITRPV (2025), combined with a kerf loss of 50 µm, represents a realistic assumption for the production of p-type wafers.
Wafer mass at 140 µm: 0.326 kg/m²
Kerf loss mass at 50 µm: 0.116 kg/m²
Total CZ silicon input for p-type wafer production: 0.443 kg/m²</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René Itten</author>
  </authors>
  <commentList>
    <comment ref="A112" authorId="0" shapeId="0" xr:uid="{445E43F0-4BB2-4B7E-AA8D-4F3858612770}">
      <text>
        <r>
          <rPr>
            <sz val="9"/>
            <rFont val="Arial"/>
            <family val="2"/>
          </rPr>
          <t xml:space="preserve">René Itten:
phosphoryl chloride
</t>
        </r>
      </text>
    </comment>
    <comment ref="A114" authorId="0" shapeId="0" xr:uid="{509C64E5-4AC8-4413-B5AB-B171F78A66AE}">
      <text>
        <r>
          <rPr>
            <sz val="9"/>
            <rFont val="Arial"/>
            <family val="2"/>
          </rPr>
          <t xml:space="preserve">René Itten:
Silicon nitride
</t>
        </r>
      </text>
    </comment>
    <comment ref="A115" authorId="0" shapeId="0" xr:uid="{C804E492-E7A7-4861-8AF6-2CDC6FEEA8C5}">
      <text>
        <r>
          <rPr>
            <sz val="9"/>
            <rFont val="Arial"/>
            <family val="2"/>
          </rPr>
          <t xml:space="preserve">René Itten:
silicon dioxide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Götz Michael (goem)</author>
  </authors>
  <commentList>
    <comment ref="BA20" authorId="0" shapeId="0" xr:uid="{9610E0B3-2C94-4748-8507-F2F9ED5473D6}">
      <text>
        <r>
          <rPr>
            <sz val="9"/>
            <rFont val="Arial"/>
            <family val="2"/>
          </rPr>
          <t>Götz Michael (goem):
2.5 % cell loss due to breakage was assumed (same value as used in previous versions)</t>
        </r>
      </text>
    </comment>
    <comment ref="BA30" authorId="0" shapeId="0" xr:uid="{ABD3042F-14F0-4A4E-B418-58B21E2390E9}">
      <text>
        <r>
          <rPr>
            <sz val="9"/>
            <rFont val="Arial"/>
            <family val="2"/>
          </rPr>
          <t>Götz Michael (goem):
1 m2 x 0.0032 m x 2500 kg/m3</t>
        </r>
      </text>
    </comment>
  </commentList>
</comments>
</file>

<file path=xl/sharedStrings.xml><?xml version="1.0" encoding="utf-8"?>
<sst xmlns="http://schemas.openxmlformats.org/spreadsheetml/2006/main" count="36911" uniqueCount="3250">
  <si>
    <t>Material</t>
  </si>
  <si>
    <t>Photovoltaic module 
(framed / unframed)</t>
  </si>
  <si>
    <t>mono-Si, PERC
(glass-foil)</t>
  </si>
  <si>
    <t>mono-Si, TOPCon
(glass-glass)</t>
  </si>
  <si>
    <t>multi-Si</t>
  </si>
  <si>
    <t>Source</t>
  </si>
  <si>
    <t>IEA PVPS Task 12
2026</t>
  </si>
  <si>
    <t>IEA PVPS Task 12
2020</t>
  </si>
  <si>
    <t>Laminate/unframed</t>
  </si>
  <si>
    <t>Subtotal wafer / semiconductor</t>
  </si>
  <si>
    <t>Wafer / semiconductor</t>
  </si>
  <si>
    <t>single-Si wafer, TOPCon / PERC</t>
  </si>
  <si>
    <t>Subtotal metals</t>
  </si>
  <si>
    <t>Metals</t>
  </si>
  <si>
    <t>aluminium</t>
  </si>
  <si>
    <t>copper</t>
  </si>
  <si>
    <t>lead</t>
  </si>
  <si>
    <t>silver</t>
  </si>
  <si>
    <t>chromium steel</t>
  </si>
  <si>
    <t>tin</t>
  </si>
  <si>
    <t>soft solder</t>
  </si>
  <si>
    <t>Subtotal plastics</t>
  </si>
  <si>
    <t>Plastics</t>
  </si>
  <si>
    <t>ethylvinylacetate</t>
  </si>
  <si>
    <t>polyvinylfluoride film</t>
  </si>
  <si>
    <t>polyethylene terephthalate, PET</t>
  </si>
  <si>
    <t>polyethylene, HDPE</t>
  </si>
  <si>
    <t>polypropylene, granulate</t>
  </si>
  <si>
    <t>glass fibre reinforced plastic, polyamide</t>
  </si>
  <si>
    <t>silicone product</t>
  </si>
  <si>
    <t>Subtotal solar glass</t>
  </si>
  <si>
    <t>Solar glass</t>
  </si>
  <si>
    <t>flat glass</t>
  </si>
  <si>
    <t>solar glass</t>
  </si>
  <si>
    <t>Subtotal chemicals</t>
  </si>
  <si>
    <t>Chemicals</t>
  </si>
  <si>
    <t>chemicals, unspecified</t>
  </si>
  <si>
    <t>Panel frame / back rail</t>
  </si>
  <si>
    <t>Subtotal metals panel</t>
  </si>
  <si>
    <t>aluminium alloy // steel</t>
  </si>
  <si>
    <t>Total laminate/unframed</t>
  </si>
  <si>
    <t>Total panel/framed</t>
  </si>
  <si>
    <t>Total weight, framed module [kg/m2]</t>
  </si>
  <si>
    <t>Total weight, unframed module [kg/m2]</t>
  </si>
  <si>
    <t>Rated power [Wp/m2]</t>
  </si>
  <si>
    <t>Module efficiency [%]</t>
  </si>
  <si>
    <t>Module area for 10 kWp PV systems [m2]</t>
  </si>
  <si>
    <t>Module area for 250 kWp PV systems [m2]</t>
  </si>
  <si>
    <t>Module area for 10 MW PV systems [m2]</t>
  </si>
  <si>
    <t>CdTe
First Solar Series 6</t>
  </si>
  <si>
    <t>CdTe
First Solar Series 7</t>
  </si>
  <si>
    <t>EPD
NEPD-2993-1671</t>
  </si>
  <si>
    <t>EPD
NEPD-5039-4377</t>
  </si>
  <si>
    <t>Glass</t>
  </si>
  <si>
    <t>Aluminium frame</t>
  </si>
  <si>
    <t xml:space="preserve"> ---</t>
  </si>
  <si>
    <t>Galvanized steel backrail</t>
  </si>
  <si>
    <t>Encapsulant</t>
  </si>
  <si>
    <t>Frame ahdesive</t>
  </si>
  <si>
    <t>Thin film CdTe semiconductor</t>
  </si>
  <si>
    <t>Junction box</t>
  </si>
  <si>
    <t>Total weight [kg/module]</t>
  </si>
  <si>
    <t>Total weight [kg/m2 module]</t>
  </si>
  <si>
    <t>Module area [m2]</t>
  </si>
  <si>
    <t>Rated power [Wp/m2 module]</t>
  </si>
  <si>
    <t>IndexNumber</t>
  </si>
  <si>
    <t>Process:</t>
  </si>
  <si>
    <t>ID</t>
  </si>
  <si>
    <t>Index</t>
  </si>
  <si>
    <t>InputGroup</t>
  </si>
  <si>
    <t>OutputGroup</t>
  </si>
  <si>
    <t>Name</t>
  </si>
  <si>
    <t>Location</t>
  </si>
  <si>
    <t>Category</t>
  </si>
  <si>
    <t>SubCategory</t>
  </si>
  <si>
    <t>InfrastructureProcess</t>
  </si>
  <si>
    <t>Unit</t>
  </si>
  <si>
    <t>nitrogen trifluoride, at plant</t>
  </si>
  <si>
    <t>UncertaintyType</t>
  </si>
  <si>
    <t>StandardDeviation95%</t>
  </si>
  <si>
    <t>GeneralComment</t>
  </si>
  <si>
    <t>Remarks</t>
  </si>
  <si>
    <t>Rel</t>
  </si>
  <si>
    <t>Comp</t>
  </si>
  <si>
    <t>Temp</t>
  </si>
  <si>
    <t>Geo</t>
  </si>
  <si>
    <t>Tech</t>
  </si>
  <si>
    <t>Samp</t>
  </si>
  <si>
    <t>Code</t>
  </si>
  <si>
    <t>basic SDG^2</t>
  </si>
  <si>
    <t>Pedigree</t>
  </si>
  <si>
    <t>Total</t>
  </si>
  <si>
    <t>uncertainty code pedigree</t>
  </si>
  <si>
    <t>RER</t>
  </si>
  <si>
    <t>nA: not applicable: CV=1</t>
  </si>
  <si>
    <t>SDG^2</t>
  </si>
  <si>
    <t>kg</t>
  </si>
  <si>
    <t>product</t>
  </si>
  <si>
    <t>-</t>
  </si>
  <si>
    <t>fluorine, liquid, at plant</t>
  </si>
  <si>
    <t>stoichiometric calculation and 95% yield</t>
  </si>
  <si>
    <t>ammonia, liquid, at regional storehouse</t>
  </si>
  <si>
    <t>natural gas, burned in boiler condensing modulating 300kW</t>
  </si>
  <si>
    <t>CH</t>
  </si>
  <si>
    <t>MJ</t>
  </si>
  <si>
    <t>abatement system theoretical calculation</t>
  </si>
  <si>
    <t>na</t>
  </si>
  <si>
    <t>electricity, medium voltage, production ENTSO, at grid</t>
  </si>
  <si>
    <t>ENTSO</t>
  </si>
  <si>
    <t>kWh</t>
  </si>
  <si>
    <t>according to de Wild-Scholten (2007)</t>
  </si>
  <si>
    <t>chemical plant, organics</t>
  </si>
  <si>
    <t>unit</t>
  </si>
  <si>
    <t>estimation</t>
  </si>
  <si>
    <t>transport, freight, lorry, fleet average</t>
  </si>
  <si>
    <t>tkm</t>
  </si>
  <si>
    <t>standard distances</t>
  </si>
  <si>
    <t>transport, freight, rail</t>
  </si>
  <si>
    <t>treatment, effluent from NF3 production, to wastewater treatment, class 3</t>
  </si>
  <si>
    <t>m3</t>
  </si>
  <si>
    <t>due to water consumption</t>
  </si>
  <si>
    <t>Heat, waste</t>
  </si>
  <si>
    <t>air</t>
  </si>
  <si>
    <t>high population density</t>
  </si>
  <si>
    <t>due to electricity consumption</t>
  </si>
  <si>
    <t>Fluorine</t>
  </si>
  <si>
    <t>estimation 0.2%</t>
  </si>
  <si>
    <t>Ammonia</t>
  </si>
  <si>
    <t>Nitrogen fluoride</t>
  </si>
  <si>
    <t>1.2% according to environmental report Air Products</t>
  </si>
  <si>
    <t>Water, cooling, unspecified natural origin</t>
  </si>
  <si>
    <t>resource</t>
  </si>
  <si>
    <t>in water</t>
  </si>
  <si>
    <t>estimation with data from large chemical plant</t>
  </si>
  <si>
    <t>Water, unspecified natural origin</t>
  </si>
  <si>
    <t>Explanations</t>
  </si>
  <si>
    <t>Input-Group</t>
  </si>
  <si>
    <t>Output-Group</t>
  </si>
  <si>
    <t>Sub-Category</t>
  </si>
  <si>
    <t>Infrastructure-Process</t>
  </si>
  <si>
    <t>uncertaintyType</t>
  </si>
  <si>
    <t>Outputs</t>
  </si>
  <si>
    <t>Technosphere</t>
  </si>
  <si>
    <t>municipal waste incineration plant</t>
  </si>
  <si>
    <t>p</t>
  </si>
  <si>
    <t>burden from sludge incineration. Uncertainty calculated from wastewater composition and treatment model</t>
  </si>
  <si>
    <t>slag compartment</t>
  </si>
  <si>
    <t>residual material landfill facility</t>
  </si>
  <si>
    <t>electricity from waste, at municipal waste incineration plant</t>
  </si>
  <si>
    <t>heat from waste, at municipal waste incineration plant</t>
  </si>
  <si>
    <t>sodium hydroxide, 50% in H2O, production mix, at plant</t>
  </si>
  <si>
    <t>quicklime, milled, packed, at plant</t>
  </si>
  <si>
    <t>hydrochloric acid, 30% in H2O, at plant</t>
  </si>
  <si>
    <t>chemicals inorganic, at plant</t>
  </si>
  <si>
    <t>GLO</t>
  </si>
  <si>
    <t>cement, unspecified, at plant</t>
  </si>
  <si>
    <t>direct wastewater treatment plant burden plus burden from sludge incineration. Uncertainty calculated from wastewater composition and treatment model</t>
  </si>
  <si>
    <t>transport, freight, lorry 32-40 metric ton, fleet average</t>
  </si>
  <si>
    <t>natural gas, burned in industrial furnace 1MW</t>
  </si>
  <si>
    <t>titanium dioxide, production mix, at plant</t>
  </si>
  <si>
    <t>chromium oxide, flakes, at plant</t>
  </si>
  <si>
    <t>electricity, low voltage, at grid</t>
  </si>
  <si>
    <t>direct wastewater treatment plant burden. Uncertainty calculated from wastewater composition and treatment model</t>
  </si>
  <si>
    <t>light fuel oil, burned in boiler 100kW, non-modulating</t>
  </si>
  <si>
    <t>natural gas, burned in boiler modulating &gt;100kW</t>
  </si>
  <si>
    <t>slurry spreading, by vacuum tanker</t>
  </si>
  <si>
    <t>burden from sludge spreading. Uncertainty calculated from wastewater composition and treatment model</t>
  </si>
  <si>
    <t>sewer grid, class 3</t>
  </si>
  <si>
    <t>km</t>
  </si>
  <si>
    <t>uncertainty heeded in exchanges of the module</t>
  </si>
  <si>
    <t>wastewater treatment plant, class 3</t>
  </si>
  <si>
    <t>process-specific burdens, municipal waste incineration</t>
  </si>
  <si>
    <t>process-specific burdens, slag compartment</t>
  </si>
  <si>
    <t>process-specific burdens, residual material landfill</t>
  </si>
  <si>
    <t>disposal, cement, hydrated, 0% water, to residual material landfill</t>
  </si>
  <si>
    <t>disposal, plastics, mixture, 15.3% water, to municipal incineration</t>
  </si>
  <si>
    <t>disposal, paper, 11.2% water, to municipal incineration</t>
  </si>
  <si>
    <t>air, high population density</t>
  </si>
  <si>
    <t>Carbon monoxide, fossil</t>
  </si>
  <si>
    <t>emission from sludge incineration. Uncertainty calculated from wastewater composition and treatment model</t>
  </si>
  <si>
    <t>Methane, fossil</t>
  </si>
  <si>
    <t>Nitrogen oxides</t>
  </si>
  <si>
    <t>direct digester gas emission plus emission from sludge incineration. Uncertainty calculated from wastewater composition and treatment model</t>
  </si>
  <si>
    <t>direct digester gas emission plus emission from sludge incineration plus emission from sludge spreading. Uncertainty calculated from wastewater composition and treatment model</t>
  </si>
  <si>
    <t>Dinitrogen monoxide</t>
  </si>
  <si>
    <t>direct wastewater treatment plant emission plus direct digester gas emission plus emission from sludge incineration plus emission from sludge spreading. Uncertainty calculated from wastewater composition and treatment model</t>
  </si>
  <si>
    <t>Cyanide</t>
  </si>
  <si>
    <t>Calcium</t>
  </si>
  <si>
    <t>direct wastewater treatment plant emission plus emission from sludge incineration. Uncertainty calculated from wastewater composition and treatment model</t>
  </si>
  <si>
    <t>water, river</t>
  </si>
  <si>
    <t>Ammonium, ion</t>
  </si>
  <si>
    <t>water</t>
  </si>
  <si>
    <t>river</t>
  </si>
  <si>
    <t>direct wastewater treatment plant emission. Uncertainty calculated from wastewater composition and treatment model</t>
  </si>
  <si>
    <t>Nitrogen</t>
  </si>
  <si>
    <t>Nitrate</t>
  </si>
  <si>
    <t>sewer overload discharge plus direct wastewater treatment plant emission plus emission from sludge incineration. Uncertainty calculated from wastewater composition and treatment model</t>
  </si>
  <si>
    <t>Fluoride</t>
  </si>
  <si>
    <t>water, groundwater, long-term</t>
  </si>
  <si>
    <t>groundwater, long-term</t>
  </si>
  <si>
    <t>soil, agricultural</t>
  </si>
  <si>
    <t>soil</t>
  </si>
  <si>
    <t>agricultural</t>
  </si>
  <si>
    <t>emission from sludge spreading. Uncertainty calculated from wastewater composition and treatment model</t>
  </si>
  <si>
    <t>Krieger 2006</t>
  </si>
  <si>
    <t xml:space="preserve">Remark </t>
  </si>
  <si>
    <t>Fluorspar, 97%, at plant {GLO} U</t>
  </si>
  <si>
    <t>Hydrogen fluoride, at plant {GLO} U</t>
  </si>
  <si>
    <t>1,1-difluoroethane, HFC-152a, at plant {US} U</t>
  </si>
  <si>
    <t>Vinyl fluoride, at plant {US} U</t>
  </si>
  <si>
    <t>Polyvinylfluoride, at plant {US} U</t>
  </si>
  <si>
    <t>Polyvinylfluoride, dispersion, at plant {US} U</t>
  </si>
  <si>
    <t>Polyvinylfluoride film, at plant {US} U</t>
  </si>
  <si>
    <t>hydrogen fluoride</t>
  </si>
  <si>
    <t>Krieger</t>
  </si>
  <si>
    <t>US</t>
  </si>
  <si>
    <t>resource, in ground</t>
  </si>
  <si>
    <t>Fluorspar</t>
  </si>
  <si>
    <t>resources</t>
  </si>
  <si>
    <t>in ground</t>
  </si>
  <si>
    <t>Estimation, 5% loss</t>
  </si>
  <si>
    <t>technosphere</t>
  </si>
  <si>
    <t>Electricity, medium voltage, production ENTSO-E, at grid {ENTSO-E} U</t>
  </si>
  <si>
    <t>ENTSO-E</t>
  </si>
  <si>
    <t>Boustead 1979</t>
  </si>
  <si>
    <t>Electricity, medium voltage, at grid {US} U</t>
  </si>
  <si>
    <t>Rough estimation based on cumulative data, Krieger et al. 2006</t>
  </si>
  <si>
    <t>Heavy fuel oil, burned in industrial furnace 1MW, non-modulating {RER} U</t>
  </si>
  <si>
    <t>Natural gas, burned in industrial furnace 1MWth {CH} U</t>
  </si>
  <si>
    <t>Chemical plant, organics {RER} U</t>
  </si>
  <si>
    <t>Rough estimation</t>
  </si>
  <si>
    <t>Acetylene, at regional storehouse {CH} U</t>
  </si>
  <si>
    <t>Acetylen yield is 92.4%</t>
  </si>
  <si>
    <t>Acetic acid, 98% in H2O, at plant {RER} U</t>
  </si>
  <si>
    <t>Dimethylamine, at plant {RER} U</t>
  </si>
  <si>
    <t>Emitted, but amount not known</t>
  </si>
  <si>
    <t>Titanium dioxide, production mix, at plant {RER} U</t>
  </si>
  <si>
    <t>Lime, hydrated, packed, at plant {CH} U</t>
  </si>
  <si>
    <t>Zinc, primary, at regional storage {RER} U</t>
  </si>
  <si>
    <t>Sulphuric acid, liquid, at plant {RER} U</t>
  </si>
  <si>
    <t>Transport, freight, lorry, fleet average {RER} U</t>
  </si>
  <si>
    <t>CaF2: 100 km, standard distance</t>
  </si>
  <si>
    <t>Transport, freight, rail {RER} U</t>
  </si>
  <si>
    <t>standard distance 600km</t>
  </si>
  <si>
    <t>Transport, transoceanic freight ship {OCE} U</t>
  </si>
  <si>
    <t>OCE</t>
  </si>
  <si>
    <t>emission air, unspecified</t>
  </si>
  <si>
    <t>emissions to air</t>
  </si>
  <si>
    <t>unspecified</t>
  </si>
  <si>
    <t>Calculation</t>
  </si>
  <si>
    <t>Hydrogen fluoride</t>
  </si>
  <si>
    <t>Estimation</t>
  </si>
  <si>
    <t>Particulates, &lt; 2.5 um</t>
  </si>
  <si>
    <t>Literature</t>
  </si>
  <si>
    <t>Particulates, &gt; 2.5 um, and &lt; 10um</t>
  </si>
  <si>
    <t>Particulates, &gt; 10 um</t>
  </si>
  <si>
    <t>Sulfur dioxide</t>
  </si>
  <si>
    <t>HF production</t>
  </si>
  <si>
    <t>high. pop.</t>
  </si>
  <si>
    <t>Carbon dioxide, fossil</t>
  </si>
  <si>
    <t>Ethane, 1,1-difluoro-, HFC-152a</t>
  </si>
  <si>
    <t>polyvinylbutyral foil, at plant</t>
  </si>
  <si>
    <t>polyvinylbutyral, powder, at plant</t>
  </si>
  <si>
    <t>(1,3,2,1,1,1); 70% PVB</t>
  </si>
  <si>
    <t>70% PVB</t>
  </si>
  <si>
    <t>(1,3,2,1,1,1)</t>
  </si>
  <si>
    <t>triethylene glycol, at plant</t>
  </si>
  <si>
    <t>(1,3,2,1,3,1); 30% plasticizer</t>
  </si>
  <si>
    <t>30% plasticizer</t>
  </si>
  <si>
    <t>(1,3,2,1,3,1)</t>
  </si>
  <si>
    <t>extrusion, plastic film</t>
  </si>
  <si>
    <t xml:space="preserve">(1,4,2,3,1,1); </t>
  </si>
  <si>
    <t>(1,4,2,3,1,1)</t>
  </si>
  <si>
    <t>(4,5,na,na,na,na); standard distances</t>
  </si>
  <si>
    <t>(4,5,na,na,na,na)</t>
  </si>
  <si>
    <t>polyvinylalcohol, at plant</t>
  </si>
  <si>
    <t>(1,4,1,3,1,5); industry data</t>
  </si>
  <si>
    <t>industry data</t>
  </si>
  <si>
    <t>(1,4,1,3,1,5)</t>
  </si>
  <si>
    <t>1-butanol, propylene hydroformylation, at plant</t>
  </si>
  <si>
    <t>water, decarbonised, at plant</t>
  </si>
  <si>
    <t>(3,4,2,3,1,1); industry data</t>
  </si>
  <si>
    <t>(3,4,2,3,1,1)</t>
  </si>
  <si>
    <t>(4,5,na,na,na,na); estimation with data from large chemical plant</t>
  </si>
  <si>
    <t>treatment, sewage, unpolluted, to wastewater treatment, class 3</t>
  </si>
  <si>
    <t>(4,5,na,na,na,na); treatment of decarbonised water</t>
  </si>
  <si>
    <t>treatment of decarbonised water</t>
  </si>
  <si>
    <t>emission air, high population density</t>
  </si>
  <si>
    <t>(4,5,na,na,na,na); due to electricity consumption</t>
  </si>
  <si>
    <t>(4,5,na,na,na,na); from waste water treatment</t>
  </si>
  <si>
    <t>from waste water treatment</t>
  </si>
  <si>
    <t>resource, in water</t>
  </si>
  <si>
    <t>ZHAW-4408</t>
  </si>
  <si>
    <t>DOC, Dissolved Organic Carbon</t>
  </si>
  <si>
    <t>(4,5,na,na,na,na); estimated from mass balance and WWTP efficiency of 90%</t>
  </si>
  <si>
    <t>estimated from mass balance and WWTP efficiency of 90%</t>
  </si>
  <si>
    <t>COD, Chemical Oxygen Demand</t>
  </si>
  <si>
    <t>BOD5, Biological Oxygen Demand</t>
  </si>
  <si>
    <t>TOC, Total Organic Carbon</t>
  </si>
  <si>
    <t>Hydrocarbons, unspecified</t>
  </si>
  <si>
    <t>Chloride</t>
  </si>
  <si>
    <t>(4,5,na,na,na,na); estimation, due to use of HCl</t>
  </si>
  <si>
    <t>estimation, due to use of HCl</t>
  </si>
  <si>
    <t>vinyl acetate, at plant</t>
  </si>
  <si>
    <t>(2,2,2,3,4,5); industry data, estimation for PVAc</t>
  </si>
  <si>
    <t>industry data, estimation for PVAc</t>
  </si>
  <si>
    <t>(2,2,2,3,4,5)</t>
  </si>
  <si>
    <t>emulsion polymerisation, polyvinylchlorid</t>
  </si>
  <si>
    <t>(2,2,2,3,4,5); production of PVAc out of vinyl acetate</t>
  </si>
  <si>
    <t>production of PVAc out of vinyl acetate</t>
  </si>
  <si>
    <t>methanol, at regional storage</t>
  </si>
  <si>
    <t>methyl acetate, at plant</t>
  </si>
  <si>
    <t>Methanol</t>
  </si>
  <si>
    <t>yield</t>
  </si>
  <si>
    <t>Emulsion polymerisation, polyvinylchlorid {RER} U</t>
  </si>
  <si>
    <t>products</t>
  </si>
  <si>
    <t>Chemicals organic, at plant {GLO} U</t>
  </si>
  <si>
    <t>plastics europe (2006) polymerisation of vinyl chloride monomers</t>
  </si>
  <si>
    <t>Nitrogen, liquid, at plant {RER} U</t>
  </si>
  <si>
    <t>Compressed air, average installation, &gt;30kW, 8 bar gauge, at supply network {RER} U</t>
  </si>
  <si>
    <t>Tap water, at user {RER} U</t>
  </si>
  <si>
    <t>Steam, for chemical processes, at plant {RER} U</t>
  </si>
  <si>
    <t>transport</t>
  </si>
  <si>
    <t>Treatment, sewage, unpolluted, to wastewater treatment, class 3 {CH} U</t>
  </si>
  <si>
    <t>treatment of process water</t>
  </si>
  <si>
    <t>Water, cooling, unspecified natural origin/m3</t>
  </si>
  <si>
    <t>g/mol</t>
  </si>
  <si>
    <t>Volume per mol</t>
  </si>
  <si>
    <t>l/mol</t>
  </si>
  <si>
    <t>Air</t>
  </si>
  <si>
    <t>l/m3</t>
  </si>
  <si>
    <t>Volume nitrogen</t>
  </si>
  <si>
    <t>g/m3</t>
  </si>
  <si>
    <t>kg/m3</t>
  </si>
  <si>
    <t>silane, at plant</t>
  </si>
  <si>
    <t>MG-silicon, at plant {NO} U</t>
  </si>
  <si>
    <t>NO</t>
  </si>
  <si>
    <t>reliable source</t>
  </si>
  <si>
    <t>Natural gas, burned in boiler condensing modulating 300kW {CH} U</t>
  </si>
  <si>
    <t>Silicon tetrachloride, at plant {DE} U</t>
  </si>
  <si>
    <t>DE</t>
  </si>
  <si>
    <t>Hydrogen, liquid, at plant {RER} U</t>
  </si>
  <si>
    <t>Silicone plant {RER} U</t>
  </si>
  <si>
    <t>estimated over Althaus (2007) for average Si product</t>
  </si>
  <si>
    <t>emissions to water</t>
  </si>
  <si>
    <t>estimated over Althaus (2007), emissions for average Si product</t>
  </si>
  <si>
    <t>Copper</t>
  </si>
  <si>
    <t>Phosphate</t>
  </si>
  <si>
    <t>Sodium, ion</t>
  </si>
  <si>
    <t>Zinc</t>
  </si>
  <si>
    <t>Iron</t>
  </si>
  <si>
    <t>AOX, Adsorbable Organic Halogen as Cl</t>
  </si>
  <si>
    <t>Cadmium</t>
  </si>
  <si>
    <t>Chromium</t>
  </si>
  <si>
    <t>Lead</t>
  </si>
  <si>
    <t>Mercury</t>
  </si>
  <si>
    <t>Nickel</t>
  </si>
  <si>
    <t>Phosphorus</t>
  </si>
  <si>
    <t>Sulfate</t>
  </si>
  <si>
    <t>MG-silicon, at plant {CN} U</t>
  </si>
  <si>
    <t>MG-silicon, at plant {US} U</t>
  </si>
  <si>
    <t>MG-silicon, at plant {APAC} U</t>
  </si>
  <si>
    <t>MG-silicon</t>
  </si>
  <si>
    <t>Remarks, Literature</t>
  </si>
  <si>
    <t>Reliability</t>
  </si>
  <si>
    <t>Completeness</t>
  </si>
  <si>
    <t>Temporal Corr.</t>
  </si>
  <si>
    <t>Geographical Corr.</t>
  </si>
  <si>
    <t>Technological Corr.</t>
  </si>
  <si>
    <t>Sample Size</t>
  </si>
  <si>
    <t>Basic SDG^2</t>
  </si>
  <si>
    <t>Uncertainty Code Pedigree</t>
  </si>
  <si>
    <t>CN</t>
  </si>
  <si>
    <t>APAC</t>
  </si>
  <si>
    <t>a</t>
  </si>
  <si>
    <t>techno-sphere</t>
  </si>
  <si>
    <t>Electricity, medium voltage, at grid {NO} U</t>
  </si>
  <si>
    <t>10.8 to 12</t>
  </si>
  <si>
    <t>12.5 to 14</t>
  </si>
  <si>
    <t>de Wild-Scholten, M. &amp; de Wild, P. (2023). PV industry data collection; Saevarsdottir et al. (2021); Takla et al. (2013)</t>
  </si>
  <si>
    <t>Electricity, medium voltage, at grid {CN} U</t>
  </si>
  <si>
    <t>Electricity, medium voltage, at grid {MY} U</t>
  </si>
  <si>
    <t>MY</t>
  </si>
  <si>
    <t>Wood chips, production mix, wet, measured as dry mass, at forest road &amp; at sawmill {RER} U</t>
  </si>
  <si>
    <t>Literature, 1.35 kg</t>
  </si>
  <si>
    <t>Hard coal coke, at plant {RER} U</t>
  </si>
  <si>
    <t>Literature, coal</t>
  </si>
  <si>
    <t>Graphite, at plant {RER} U</t>
  </si>
  <si>
    <t>Literature, graphite electrodes</t>
  </si>
  <si>
    <t>Charcoal, at plant {GLO} U</t>
  </si>
  <si>
    <t>1.7 - 2.5</t>
  </si>
  <si>
    <t>Petroleum coke, at refinery {RER} U</t>
  </si>
  <si>
    <t>1.2 - 1.4</t>
  </si>
  <si>
    <t>Silica sand, at plant {DE} U</t>
  </si>
  <si>
    <t>2.9 - 3.9</t>
  </si>
  <si>
    <t>Oxygen, liquid, at plant {RER} U</t>
  </si>
  <si>
    <t>Disposal, slag from MG silicon prod., 0% water, to construction waste landfill {CH} U</t>
  </si>
  <si>
    <t>0.02-0.03</t>
  </si>
  <si>
    <t>Charcoal from Asia 15000km</t>
  </si>
  <si>
    <t>Standard distance 50km, 20km for sand</t>
  </si>
  <si>
    <t>Standard distance 100km</t>
  </si>
  <si>
    <t>emission air, low population density</t>
  </si>
  <si>
    <t>Calculation based on fuel and electricity use minus 25 MJ/kg</t>
  </si>
  <si>
    <t>Arsenic</t>
  </si>
  <si>
    <t>Literature, in dust</t>
  </si>
  <si>
    <t>Aluminium</t>
  </si>
  <si>
    <t>low. pop.</t>
  </si>
  <si>
    <t>Antimony</t>
  </si>
  <si>
    <t>Boron</t>
  </si>
  <si>
    <t>Carbon monoxide, biogenic</t>
  </si>
  <si>
    <t>Carbon dioxide, biogenic</t>
  </si>
  <si>
    <t>Calculation, biogenic fuels</t>
  </si>
  <si>
    <t>Calculation, fossil fuels</t>
  </si>
  <si>
    <t>Chlorine</t>
  </si>
  <si>
    <t>Hydrogen sulfide</t>
  </si>
  <si>
    <t>NMVOC, non-methane volatile organic compounds, unspecified origin</t>
  </si>
  <si>
    <t>Calculation based on environmental report</t>
  </si>
  <si>
    <t>0.0004-0.002</t>
  </si>
  <si>
    <t>Potassium</t>
  </si>
  <si>
    <t>Silicon</t>
  </si>
  <si>
    <t>Literature, SiO2 in dust</t>
  </si>
  <si>
    <t>Sodium</t>
  </si>
  <si>
    <t>Tin</t>
  </si>
  <si>
    <t>LCI full update 2026</t>
  </si>
  <si>
    <t>2021 value</t>
  </si>
  <si>
    <t>updated value</t>
  </si>
  <si>
    <t>source</t>
  </si>
  <si>
    <t>electricity consumption (kWh/kg)</t>
  </si>
  <si>
    <t>=A11</t>
  </si>
  <si>
    <t>Industry data (French Tender)</t>
  </si>
  <si>
    <t>Simulated data, Brailovsky (2026)</t>
  </si>
  <si>
    <t>Silicon, solar grade, modified Siemens process, at plant {RER} U</t>
  </si>
  <si>
    <t>Silicon, solar grade, modified Siemens process, at plant {CN} U</t>
  </si>
  <si>
    <t>Silicon, solar grade, modified Siemens process, at plant {US} U</t>
  </si>
  <si>
    <t>Silicon, solar grade, modified Siemens process, at plant {APAC} U</t>
  </si>
  <si>
    <t>Silicon, solar grade, FBR, at plant {RER}</t>
  </si>
  <si>
    <t>Silicon, solar grade, FBR, at plant {CN}</t>
  </si>
  <si>
    <t>Silicon, solar grade, FBR, at plant {US}</t>
  </si>
  <si>
    <t>Silicon, solar grade, FBR, at plant {APAC}</t>
  </si>
  <si>
    <t>Silicon, solar grade, recycled, at plant {RER}</t>
  </si>
  <si>
    <t>Silicon, solar grade, recycled, at plant {CN}</t>
  </si>
  <si>
    <t>Silicon, solar grade, recycled, at plant {US}</t>
  </si>
  <si>
    <t>Silicon, solar grade, recycled, at plant {APAC}</t>
  </si>
  <si>
    <t>Silicon, solar grade, Siemens process, simulated data, at plant {DE} U</t>
  </si>
  <si>
    <t>Silicon, solar grade, Siemens process, simulated data, at plant {CN} U</t>
  </si>
  <si>
    <t>Z-PV-120</t>
  </si>
  <si>
    <t>Z-PV-121</t>
  </si>
  <si>
    <t>Z-PV-122</t>
  </si>
  <si>
    <t>Z-PV-123</t>
  </si>
  <si>
    <t>Z-PV-124</t>
  </si>
  <si>
    <t>Z-PV-125</t>
  </si>
  <si>
    <t>Z-PV-126</t>
  </si>
  <si>
    <t>Z-PV-127</t>
  </si>
  <si>
    <t>Z-PV-144</t>
  </si>
  <si>
    <t>Z-PV-145</t>
  </si>
  <si>
    <t>Industry data (French tender), MG-Si &amp; filaments, NO iso RoW</t>
  </si>
  <si>
    <t>Brailovsky (2026), NO iso Multiple Regions</t>
  </si>
  <si>
    <t>Industry data (French tender), MG-Si &amp; filaments, CN iso RoW</t>
  </si>
  <si>
    <t>Brailovsky (2026), CN iso Multiple Regions</t>
  </si>
  <si>
    <t>Industry data (French tender), MG-Si &amp; filaments, US iso RoW</t>
  </si>
  <si>
    <t>Industry data (French tender), MG-Si &amp; filaments, APAC iso Row</t>
  </si>
  <si>
    <t>Hydrochloric acid, 30% in H2O, at plant {RER} U</t>
  </si>
  <si>
    <t>Industry data (French tender)</t>
  </si>
  <si>
    <t>Ammonia, liquid, at regional storehouse {RER} U</t>
  </si>
  <si>
    <t>Polyacrylonitrile production (PAN), by polymerisation {RER} U</t>
  </si>
  <si>
    <t>Industry data (French tender), proxy for polyacrylamide</t>
  </si>
  <si>
    <t>Aluminium sulphate, powder, at plant {RER} U</t>
  </si>
  <si>
    <t>Industry data (French tender), proxy for polyaluminium chloride</t>
  </si>
  <si>
    <t>Sodium hydroxide, 50% in H2O, production mix, at plant {RER} U</t>
  </si>
  <si>
    <t>Brailovsky (2026)</t>
  </si>
  <si>
    <t>Sodium chloride, powder, at plant {RER} U</t>
  </si>
  <si>
    <t>Hydrogen production, steam methane reforming of natural gas, 25 bar {CH} U</t>
  </si>
  <si>
    <t>Copper oxide, at plant {RER} U</t>
  </si>
  <si>
    <t>Chemicals inorganic, at plant {GLO} U</t>
  </si>
  <si>
    <t>Ethanol, 99.7% in H2O, from biomass, at distillation {RER} U</t>
  </si>
  <si>
    <t>Ethanol, 99.7% in H2O, from biomass, at distillation {CN} U</t>
  </si>
  <si>
    <t>Ethanol, 99.7% in H2O, from biomass, at distillation {US} U</t>
  </si>
  <si>
    <t>Water, deionised, water balance according to MoeK 2013, at plant {RER} U</t>
  </si>
  <si>
    <t>Industry data (French tender), RER iso RoW</t>
  </si>
  <si>
    <t>Water, completely softened, at plant {RER} U</t>
  </si>
  <si>
    <t>Water, deionised, water balance according to MoeK 2013, at plant {CN} U</t>
  </si>
  <si>
    <t>Industry data (French tender), CN iso RoW</t>
  </si>
  <si>
    <t>Water, deionised, water balance according to MoeK 2013, at plant {US} U</t>
  </si>
  <si>
    <t>Industry data (French tender), US iso RoW</t>
  </si>
  <si>
    <t>Water, deionised, water balance according to MoeK 2013, at plant {KR} U</t>
  </si>
  <si>
    <t>KR</t>
  </si>
  <si>
    <t>Industry data (French tender), KR iso RoW</t>
  </si>
  <si>
    <t>Tap water, water balance according to MoeK 2013, at user {RER} U</t>
  </si>
  <si>
    <t>Tap water, water balance according to MoeK 2013, at user {CN} U</t>
  </si>
  <si>
    <t>Tap water, water balance according to MoeK 2013, at user {US} U</t>
  </si>
  <si>
    <t>Tap water, water balance according to MoeK 2013, at user {MY} U</t>
  </si>
  <si>
    <t>packaging</t>
  </si>
  <si>
    <t>Polyethylene, HDPE, granulate, at plant {RER} U</t>
  </si>
  <si>
    <t>EUR-flat pallet {RER} U</t>
  </si>
  <si>
    <t>Industry data (French tender), converted to p (1p = 25kg)</t>
  </si>
  <si>
    <t>Packaging, corrugated board, mixed fibre, single wall, at plant {RER} U</t>
  </si>
  <si>
    <t>Kraft paper, unbleached, at plant {RER} U</t>
  </si>
  <si>
    <t>Transport distance MG-Si: 2000 km; Chemicals: 100 km; Disposal: 500km</t>
  </si>
  <si>
    <t>Transport distance MG-Si: 2000 km; Chemicals: 100 km</t>
  </si>
  <si>
    <t>Transport distance chemicals: 600 km</t>
  </si>
  <si>
    <t>energy</t>
  </si>
  <si>
    <t>Industry data (French tender), NO iso CN</t>
  </si>
  <si>
    <t>Brailovsky (2026), NO iso RER</t>
  </si>
  <si>
    <t>Industry data (French tender), ENTSO iso CN</t>
  </si>
  <si>
    <t>Brailovsky (2026), CN iso RER</t>
  </si>
  <si>
    <t>Industry data (French tender), US iso CN</t>
  </si>
  <si>
    <t>Industry data (French tender), VN iso CN</t>
  </si>
  <si>
    <t>District heat, at consumer, natural gas cogen 1MWth, allocation exergy {CH} U</t>
  </si>
  <si>
    <t>infrastruc-ture</t>
  </si>
  <si>
    <t>Industry data (French tender), converted to silicon factory modelled by Brailovsky (2026)</t>
  </si>
  <si>
    <t>Metal working machine, unspecified, at plant {RER} U</t>
  </si>
  <si>
    <t>disposal</t>
  </si>
  <si>
    <t>Disposal, municipal solid waste, 22.9% water, to municipal incineration {CH} U</t>
  </si>
  <si>
    <t>Industry data (French tender), incl. PAC</t>
  </si>
  <si>
    <t>Disposal, municipal solid waste, 22.9% water, to sanitary landfill {CH} U</t>
  </si>
  <si>
    <t>Disposal, hazardous waste, 25% water, to hazardous waste incineration {CH} U</t>
  </si>
  <si>
    <t>Industry data (French tender), incl. PAM</t>
  </si>
  <si>
    <t>Disposal, solvents mixture, 16.5% water, to hazardous waste incineration {CH} U</t>
  </si>
  <si>
    <t>Treatment, sewage, to wastewater treatment, class 2 {CH} U</t>
  </si>
  <si>
    <t>Industry data (French tender) or Calculation 90% of water input</t>
  </si>
  <si>
    <t>Water, DE</t>
  </si>
  <si>
    <t>Water, RER</t>
  </si>
  <si>
    <t>Assumption: 10% evaporation of process water; Frischknecht &amp; Büsser Knöpfel (2013); or calculation Water Input - Waste water</t>
  </si>
  <si>
    <t>Water, CN</t>
  </si>
  <si>
    <t>Water, US</t>
  </si>
  <si>
    <t>Water, MY</t>
  </si>
  <si>
    <t>emission water, river</t>
  </si>
  <si>
    <t>Environmental report 2002, average Si product</t>
  </si>
  <si>
    <t>Hydroxide</t>
  </si>
  <si>
    <t/>
  </si>
  <si>
    <t>Recycling input</t>
  </si>
  <si>
    <t>Silicon scrap (scrap input per kg of recycled silicon)</t>
  </si>
  <si>
    <t>=AR93</t>
  </si>
  <si>
    <t>input from production of Si-Brick production</t>
  </si>
  <si>
    <t>Industry data (French tender), input from production of Si-Brick</t>
  </si>
  <si>
    <t>Update 2026</t>
  </si>
  <si>
    <t>Conversion "building hall" to "Silicone plant"</t>
  </si>
  <si>
    <t>Input building hall ADEME</t>
  </si>
  <si>
    <t>m^2</t>
  </si>
  <si>
    <t>Area 1p silicone plant</t>
  </si>
  <si>
    <t>BAFU25 Dataset</t>
  </si>
  <si>
    <t xml:space="preserve">Brailovsky (2026) </t>
  </si>
  <si>
    <t>Input silicon factory</t>
  </si>
  <si>
    <t>calculated</t>
  </si>
  <si>
    <t>Market shares for electricity &amp; tap water calc.</t>
  </si>
  <si>
    <t>Source: IEA PVPS Trends 2025</t>
  </si>
  <si>
    <t>Relative global</t>
  </si>
  <si>
    <t>Relative APAC</t>
  </si>
  <si>
    <t>Malaysia</t>
  </si>
  <si>
    <t>Silicon, solar grade, production mix, photovoltaics, at regional storage {CN} U</t>
  </si>
  <si>
    <t>Silicon, solar grade, production mix, photovoltaics, at regional storage {APAC} U</t>
  </si>
  <si>
    <t>Silicon, solar grade, production mix, photovoltaics, at regional storage {US} U</t>
  </si>
  <si>
    <t>Silicon, solar grade, production mix, photovoltaics, at regional storage {RER} U</t>
  </si>
  <si>
    <t>Z-PV-156</t>
  </si>
  <si>
    <t>Z-PV-157</t>
  </si>
  <si>
    <t>Z-PV-158</t>
  </si>
  <si>
    <t>Z-PV-159</t>
  </si>
  <si>
    <t>Market share Chinese Polysilicon</t>
  </si>
  <si>
    <t>Market share APAC Polysilicon</t>
  </si>
  <si>
    <t>Market share US Polysilicon</t>
  </si>
  <si>
    <t>Market share European Polysilicon</t>
  </si>
  <si>
    <t>Transport distance CN-EU: 19994 km, CN-US: 20755 km, CN-APAC: 4584 km</t>
  </si>
  <si>
    <t>Standard distance 200km</t>
  </si>
  <si>
    <t>Standard distance 50km</t>
  </si>
  <si>
    <t>2026 Update</t>
  </si>
  <si>
    <t>Market Shares Siemens &amp; FBR Silicon in 2024 (ITRPV 2025)</t>
  </si>
  <si>
    <t>Siemens</t>
  </si>
  <si>
    <t>FBR</t>
  </si>
  <si>
    <t>Checksum</t>
  </si>
  <si>
    <t>Distance Shanghai (China) - Port Klang</t>
  </si>
  <si>
    <t>Distance Shanghai (China) - New York</t>
  </si>
  <si>
    <t>Distance Shanghai (China) - Rotterdam</t>
  </si>
  <si>
    <t>Distance Port Klang - New York</t>
  </si>
  <si>
    <t>Distance Port Klang - Rotterdam</t>
  </si>
  <si>
    <t>CZ single crystalline silicon ingot, photovoltaic, at plant {RER}</t>
  </si>
  <si>
    <t>CZ single crystalline silicon ingot, photovoltaic, at plant {CN}</t>
  </si>
  <si>
    <t>CZ single crystalline silicon ingot, photovoltaic, at plant {US}</t>
  </si>
  <si>
    <t>CZ single crystalline silicon ingot, photovoltaic, at plant {APAC}</t>
  </si>
  <si>
    <t>Z-PV-132</t>
  </si>
  <si>
    <t>Z-PV-133</t>
  </si>
  <si>
    <t>Z-PV-134</t>
  </si>
  <si>
    <t>Z-PV-135</t>
  </si>
  <si>
    <t>materials</t>
  </si>
  <si>
    <t>Argon, liquid, at plant {RER} U</t>
  </si>
  <si>
    <t>Nitric acid, 50% in H2O, at plant {RER} U</t>
  </si>
  <si>
    <t>Ceramic tiles, at regional storage {CH} U</t>
  </si>
  <si>
    <t>Phosphorus, white, liquid, at plant {RER} U</t>
  </si>
  <si>
    <t>electricity</t>
  </si>
  <si>
    <t>Industry data (French tender), ENTSO-E iso CN</t>
  </si>
  <si>
    <t>Industry data (French tender), KR iso CN</t>
  </si>
  <si>
    <t>Transport distance: 100km; silicon: 1000km; Disposal: 500km</t>
  </si>
  <si>
    <t>Z-PV-092</t>
  </si>
  <si>
    <t>infrastructure</t>
  </si>
  <si>
    <t>Silicon ingot factory, steel construction, simulated data {DE} U</t>
  </si>
  <si>
    <t>emission air</t>
  </si>
  <si>
    <t>Calculated: Tap water input - wastewater treated</t>
  </si>
  <si>
    <t>de Wild-Scholten (2014) Life Cycle Assessment of Photovoltaics Status 2011, Part 1 Data Collection (table 9)</t>
  </si>
  <si>
    <t>Extrapolation for sum parameter</t>
  </si>
  <si>
    <t>Recycling output</t>
  </si>
  <si>
    <t>Silicon scrap (used as input for silicon recycling)</t>
  </si>
  <si>
    <t>Closed loop recycling into product "Silicon, solar grade, recycled"</t>
  </si>
  <si>
    <t>Value</t>
  </si>
  <si>
    <t>Silicon, multi-Si, casted, at plant {CN} U</t>
  </si>
  <si>
    <t>Silicon, multi-Si, casted, at plant {US} U</t>
  </si>
  <si>
    <t>Silicon, multi-Si, casted, at plant {APAC} U</t>
  </si>
  <si>
    <t>Silicon, multi-Si, casted, at plant {RER} U</t>
  </si>
  <si>
    <t>silicon, multi-Si, casted, at plant</t>
  </si>
  <si>
    <t>Silicon, production mix, photovoltaics, at plant {CN} U</t>
  </si>
  <si>
    <t>Silicon, production mix, photovoltaics, at plant {US} U</t>
  </si>
  <si>
    <t>Silicon, production mix, photovoltaics, at plant {APAC} U</t>
  </si>
  <si>
    <t>Silicon, production mix, photovoltaics, at plant {GLO} U</t>
  </si>
  <si>
    <t>de Wild-Scholten (2014) Life Cycle Assessment of Photovoltaics Status 2011, Part 1 Data Collection (table 12)</t>
  </si>
  <si>
    <t>Helium, at plant {GLO} U</t>
  </si>
  <si>
    <t>ITRPV 2020, Fig. 6, p.9, 2020 value</t>
  </si>
  <si>
    <t>Electricity, medium voltage, at grid {KR} U</t>
  </si>
  <si>
    <t>Water, cooling, unspecified natural origin, CN</t>
  </si>
  <si>
    <t>Water, cooling, unspecified natural origin, US</t>
  </si>
  <si>
    <t>Water, cooling, unspecified natural origin, KR</t>
  </si>
  <si>
    <t>Water, cooling, unspecified natural origin, RER</t>
  </si>
  <si>
    <t>Transport distance: 100km; silicon: 1000km</t>
  </si>
  <si>
    <t>Standard distances 100km</t>
  </si>
  <si>
    <t>Calculation based on water withdrawal and water emissions</t>
  </si>
  <si>
    <t>Assumption: 5% evaporation of cooling water; Frischknecht &amp; Büsser Knöpfel (2013)</t>
  </si>
  <si>
    <t>Water, KR</t>
  </si>
  <si>
    <t>CZ single crystalline silicon brick, photovoltaic, at plant {RER}</t>
  </si>
  <si>
    <t>CZ single crystalline silicon brick, photovoltaic, at plant {CN}</t>
  </si>
  <si>
    <t>CZ single crystalline silicon brick, photovoltaic, at plant {US}</t>
  </si>
  <si>
    <t>CZ single crystalline silicon brick, photovoltaic, at plant {APAC}</t>
  </si>
  <si>
    <t>Z-PV-128</t>
  </si>
  <si>
    <t>Z-PV-129</t>
  </si>
  <si>
    <t>Z-PV-130</t>
  </si>
  <si>
    <t>Z-PV-131</t>
  </si>
  <si>
    <t>Diamond wire</t>
  </si>
  <si>
    <t>Nickel, 99.5%, at plant {GLO} U</t>
  </si>
  <si>
    <t>Steel, converter, low-alloyed, at plant {RER} U</t>
  </si>
  <si>
    <t>Wire drawing, steel {RER} U</t>
  </si>
  <si>
    <t>Polyurethane, rigid foam, at plant {RER} U</t>
  </si>
  <si>
    <t>Industry data (French tender), pallet + total plastic</t>
  </si>
  <si>
    <t>Industry data (French tender), ENTSO-E iso CN, incl. electricity for diamond wiring</t>
  </si>
  <si>
    <t>Industry data (French tender), incl. electricity for diamond wiring</t>
  </si>
  <si>
    <t>Industry data (French tender), US iso CN, incl. electricity for diamond wiring</t>
  </si>
  <si>
    <t>Industry data (French tender), KR iso CN, incl. electricity for diamond wiring</t>
  </si>
  <si>
    <t>Electricity, medium voltage, at grid {TH} U</t>
  </si>
  <si>
    <t>TH</t>
  </si>
  <si>
    <t>Industry data (French tender), TH iso RoW</t>
  </si>
  <si>
    <t>Z-PV-150</t>
  </si>
  <si>
    <t>Electricity, medium voltage, at grid {VN} U</t>
  </si>
  <si>
    <t>VN</t>
  </si>
  <si>
    <t>Industry data (French tender), MY iso RoW</t>
  </si>
  <si>
    <t>Tap water, water balance according to MoeK 2013, at user {TH} U</t>
  </si>
  <si>
    <t>Z-PV-026</t>
  </si>
  <si>
    <t>Tap water, water balance according to MoeK 2013, at user {VN} U</t>
  </si>
  <si>
    <t>Industry data (French tender), VN iso RoW</t>
  </si>
  <si>
    <t>Transport distance: 100km; ingots: 0km; Disposal: 500km</t>
  </si>
  <si>
    <t>Disposal, waste, silicon wafer production, 0% water, to underground deposit {DE} U</t>
  </si>
  <si>
    <t>Calculated: 90% of tap water</t>
  </si>
  <si>
    <t>Assumption: 10% evaporation of process water; Frischknecht &amp; Büsser Knöpfel (2013)</t>
  </si>
  <si>
    <t>Water, TH</t>
  </si>
  <si>
    <t>BB-512</t>
  </si>
  <si>
    <t>Water, VN</t>
  </si>
  <si>
    <t>scrap silicon, recovered for ingot production</t>
  </si>
  <si>
    <t>Cut-off modelling: no credit is granted for the generation of scrap silicon. In return, the scrap silicon enters the "Silicon, solar grade, recycled" process burden-free.</t>
  </si>
  <si>
    <t>=$AM59</t>
  </si>
  <si>
    <t>Conversion "building hall" to "Silicon factory"</t>
  </si>
  <si>
    <t>Area 1p silicon factory</t>
  </si>
  <si>
    <t>Thailand</t>
  </si>
  <si>
    <t>Vietnam</t>
  </si>
  <si>
    <t>Silicone plant, steel construction, simulated data {DE} U</t>
  </si>
  <si>
    <t>Gelbe Felder müssen ausgefüllt werden</t>
  </si>
  <si>
    <t>{=TRANSPOSE(L3:L4)}</t>
  </si>
  <si>
    <t>{=TRANSPOSE(L5:L6)}</t>
  </si>
  <si>
    <t>Backfilling</t>
  </si>
  <si>
    <t>Gravel, crushed, at mine {CH} U</t>
  </si>
  <si>
    <t>Brailovsky et al. (2024)</t>
  </si>
  <si>
    <t>Ceilings</t>
  </si>
  <si>
    <t>Aluminium alloy, AlMg3, at plant {RER} U</t>
  </si>
  <si>
    <t>Brailovsky et al. (2024) AlMg3 iso AlLi</t>
  </si>
  <si>
    <t>Polyurethane, rigid foam, market mix, at regional storage {CH} U</t>
  </si>
  <si>
    <t>Powder coating, steel {RER} U</t>
  </si>
  <si>
    <t>m2</t>
  </si>
  <si>
    <t>RER iso GLO, prod iso market</t>
  </si>
  <si>
    <t>Sheet rolling, aluminium {RER} U</t>
  </si>
  <si>
    <t>Sheet rolling, steel {RER} U</t>
  </si>
  <si>
    <t>Zinc coating, pieces {RER} U</t>
  </si>
  <si>
    <t>Civil works A4A5</t>
  </si>
  <si>
    <t>Flooring 2K, epoxy resin, industrial use, at plant {CH} U</t>
  </si>
  <si>
    <t>Brailovsky et al. (2024): CH iso RER; iso bisphenol A epoxy based vinyl ester resin; Assumption 200g/m^2</t>
  </si>
  <si>
    <t>Diesel, burned in building machine, average {CH} U</t>
  </si>
  <si>
    <t>Electricity, medium voltage, at grid {DE} U</t>
  </si>
  <si>
    <t>Excavation, skid-steer loader {RER} U</t>
  </si>
  <si>
    <t>Diesel, burned in building machine, with particle filter {GLO} U</t>
  </si>
  <si>
    <t>Brailovsky et al. (2024): From machine operation, diesel, &lt;18.64kW, energy density 45.5MJ/kg</t>
  </si>
  <si>
    <t>Brailovsky et al. (2024): From machine operation, diesel,  &gt;= 18.64 kW and &lt; 74.57 kW, energy density 45.5MJ/kg</t>
  </si>
  <si>
    <t>Brailovsky et al. (2024): From machine operation, diesel,  &gt;= 74.57 kW, energy density 45.5MJ/kg</t>
  </si>
  <si>
    <t>Transport, transoceanic container ship {OCE} U</t>
  </si>
  <si>
    <t>Doors &amp; Windows</t>
  </si>
  <si>
    <t>Door, inner, room, wood, wooden frame, at plant {CH} U</t>
  </si>
  <si>
    <t>Glazing, double (2-IV), U&lt;1.1 W/m2K, at plant {RER} U</t>
  </si>
  <si>
    <t>Window frame, plastic (PVC), U=1.1 W/m2K, at regional storage {CH} U</t>
  </si>
  <si>
    <t>Earthworks</t>
  </si>
  <si>
    <t>Transport, freight, rail, diesel, with particle filter {CH} U</t>
  </si>
  <si>
    <t>Insitu concrete A1-A3</t>
  </si>
  <si>
    <t>Concrete, normal, at plant {CH} U</t>
  </si>
  <si>
    <t>Brailovsky et al. (2024) CH iso RER</t>
  </si>
  <si>
    <t>Lean concrete, CEM III, B, 100% RC-M, at plant {CH} U</t>
  </si>
  <si>
    <t>Internal walls</t>
  </si>
  <si>
    <t>Brailovsky et al. (2024) DE iso Europe w/o Switzerland</t>
  </si>
  <si>
    <t>Glass wool mat, at plant {CH} U</t>
  </si>
  <si>
    <t>Gypsum plaster board, at regional storage {CH} U</t>
  </si>
  <si>
    <t>Brailovsky et al. (2024) CH iso GLO; Flächengewicht = 10kg/m2</t>
  </si>
  <si>
    <t>Heat, natural gas, at boiler condensing modulating 15kW {CH} U</t>
  </si>
  <si>
    <t>Masonry A1-A3</t>
  </si>
  <si>
    <t>Cement mortar, at plant {CH} U</t>
  </si>
  <si>
    <t>Light clay brick, at plant {DE} U</t>
  </si>
  <si>
    <t>Non structural components A4A5</t>
  </si>
  <si>
    <t>Alkyd paint, white, 60% in H2O, at plant {RER} U</t>
  </si>
  <si>
    <t>Potable water</t>
  </si>
  <si>
    <t>Water supply network {CH} U</t>
  </si>
  <si>
    <t>Process equipment A4A5</t>
  </si>
  <si>
    <t>Brailovsky et al. (2024) RER iso RoW</t>
  </si>
  <si>
    <t>Transport, barge {RER} U</t>
  </si>
  <si>
    <t>RebarFab_A1-A3</t>
  </si>
  <si>
    <t>Reinforcing steel, at regional storage {CH} U</t>
  </si>
  <si>
    <t>Roads</t>
  </si>
  <si>
    <t>Roads, company, internal {CH} U</t>
  </si>
  <si>
    <t>m2a</t>
  </si>
  <si>
    <t>Roofing A1-A3</t>
  </si>
  <si>
    <t>Brailovsky et al. (2024) DE iso RER</t>
  </si>
  <si>
    <t>Roofing A4A5</t>
  </si>
  <si>
    <t>Services A4A5</t>
  </si>
  <si>
    <t>Excavation, hydraulic digger (proj. 500) {RER} U</t>
  </si>
  <si>
    <t>Sewer Grid</t>
  </si>
  <si>
    <t>Residential sewer grid {CH} U</t>
  </si>
  <si>
    <t>Siding A1A3</t>
  </si>
  <si>
    <t>Siding A4A5</t>
  </si>
  <si>
    <t>Ssteel A1-A3</t>
  </si>
  <si>
    <t>Hot rolling, steel {RER} U</t>
  </si>
  <si>
    <t>Steel, electric, low-alloyed, at plant {CH} U</t>
  </si>
  <si>
    <t>Welding, arc, steel {RER} U</t>
  </si>
  <si>
    <t>m</t>
  </si>
  <si>
    <t>Ssteel A4A5</t>
  </si>
  <si>
    <t>Transportation EW</t>
  </si>
  <si>
    <t>Wooden floor</t>
  </si>
  <si>
    <t>Fibreboard, hard, at regional storage {CH} U</t>
  </si>
  <si>
    <t>Brailovsky et al. (2024) Density: 900 kg/m^3</t>
  </si>
  <si>
    <t>Paper, melamine impregnated, at plant {RER} U</t>
  </si>
  <si>
    <t>Disposal</t>
  </si>
  <si>
    <t>Disposal, polyurethane foam, as building waste {CH} U</t>
  </si>
  <si>
    <t>Brailovsky et al. (2024) from ceilings</t>
  </si>
  <si>
    <t>Brailovsky et al. (2024) from roofing A1-A3</t>
  </si>
  <si>
    <t>Brailovsky et al. (2024) from siding A1-A3</t>
  </si>
  <si>
    <t>Disposal, building, reinforcement steel, to sorting plant {CH} U</t>
  </si>
  <si>
    <t>Brailovsky et al. (2024) from Ssteel A1-A3</t>
  </si>
  <si>
    <t>Disposal, concrete, as building waste {CH} U</t>
  </si>
  <si>
    <t>Brailovsky et al. (2024) from civil works A4A5</t>
  </si>
  <si>
    <t>Disposal, excavation material, clean, 20% water, to excavation landfill {CH} U</t>
  </si>
  <si>
    <t>Brailovsky et al. (2024) from earthworks</t>
  </si>
  <si>
    <t>Disposal, building, concrete, not reinforced, to sorting plant {CH} U</t>
  </si>
  <si>
    <t>Brailovsky et al. (2024) from insitu concrete A1-A3</t>
  </si>
  <si>
    <t>Disposal, building, reinforced concrete, to sorting plant {CH} U</t>
  </si>
  <si>
    <t>Disposal, building, brick, to sorting plant {CH} U</t>
  </si>
  <si>
    <t>Brailovsky et al. (2024) from Masonry A1-A3</t>
  </si>
  <si>
    <t>resource, land</t>
  </si>
  <si>
    <t>Occupation, industrial area</t>
  </si>
  <si>
    <t>land</t>
  </si>
  <si>
    <t>Occupation, traffic area, road network</t>
  </si>
  <si>
    <t>Occupation, industrial area, vegetation</t>
  </si>
  <si>
    <t>Brailovsky et al. (2024) iso urban, green area</t>
  </si>
  <si>
    <t>Transformation, from pasture and meadow</t>
  </si>
  <si>
    <t>Brailovsky et al. (2024) iso from grassland, natural (non-use)</t>
  </si>
  <si>
    <t>Transformation, to industrial area, built up</t>
  </si>
  <si>
    <t>Transformation, to industrial area, vegetation</t>
  </si>
  <si>
    <t>Brailovsky et al. (2024) iso to urban, green area</t>
  </si>
  <si>
    <t>Transformation, to traffic area, road network</t>
  </si>
  <si>
    <t>Z-PV-093</t>
  </si>
  <si>
    <t>Ancillary building, wafer factory, steel, simulated data {DE} U</t>
  </si>
  <si>
    <t>Process equipment A1-A3</t>
  </si>
  <si>
    <t>Z-PV-089</t>
  </si>
  <si>
    <t>Wafer Factory {DE} U</t>
  </si>
  <si>
    <t>Wafer plant, steel construction, simulated data {DE} U</t>
  </si>
  <si>
    <t>Wafer factory {DE} U</t>
  </si>
  <si>
    <t>Wafer factory, steel construction, simulated data {DE} U</t>
  </si>
  <si>
    <t>Wacker Wasserburg</t>
  </si>
  <si>
    <t>de Wild 2007</t>
  </si>
  <si>
    <t>Building, hall {CH} U</t>
  </si>
  <si>
    <t>Environmental report</t>
  </si>
  <si>
    <t>Environmental report, pipelines for drinking water</t>
  </si>
  <si>
    <t>Rough estimation for equipment</t>
  </si>
  <si>
    <t>Brailovsky et al. (2024) Process equipment A1-A3</t>
  </si>
  <si>
    <t>25a occupation</t>
  </si>
  <si>
    <t>Transformation, from unknown</t>
  </si>
  <si>
    <t>share of area according to environmental report</t>
  </si>
  <si>
    <t>Z-PV-077</t>
  </si>
  <si>
    <t>Simulated Data, Brailovsky (2026)</t>
  </si>
  <si>
    <t>Single-Si wafer, photovoltaics, PERC, at plant {CN} U</t>
  </si>
  <si>
    <t>Single-Si wafer, photovoltaics, TOPCon, at plant {CN} U</t>
  </si>
  <si>
    <t>Single-Si wafer, photovoltaics, PERC, at plant {US} U</t>
  </si>
  <si>
    <t>Single-Si wafer, photovoltaics, TOPCon, at plant {US} U</t>
  </si>
  <si>
    <t>Single-Si wafer, photovoltaics, PERC, at plant {APAC} U</t>
  </si>
  <si>
    <t>Single-Si wafer, photovoltaics, TOPCon, at plant {APAC} U</t>
  </si>
  <si>
    <t>Single-Si wafer, photovoltaics, PERC, at plant {RER} U</t>
  </si>
  <si>
    <t>Single-Si wafer, photovoltaics, TOPCon, at plant {RER} U</t>
  </si>
  <si>
    <t>Single-Si wafer, photovoltaics, PERC/TOPCon, simulated data, at plant {DE} U</t>
  </si>
  <si>
    <t>Single-Si wafer, photovoltaics, PERC/TOPCon, simulated data, at plant {CN} U</t>
  </si>
  <si>
    <t>single-Si wafer, photovoltaics, PERC, at plant</t>
  </si>
  <si>
    <t>single-Si wafer, photovoltaics, TOPCon, at plant</t>
  </si>
  <si>
    <t>Z-PV-049</t>
  </si>
  <si>
    <t>Z-PV-048</t>
  </si>
  <si>
    <t>Z-PV-058</t>
  </si>
  <si>
    <t>Z-PV-057</t>
  </si>
  <si>
    <t>Z-PV-060</t>
  </si>
  <si>
    <t>Z-PV-059</t>
  </si>
  <si>
    <t>Z-PV-047</t>
  </si>
  <si>
    <t>Z-PV-046</t>
  </si>
  <si>
    <t>Z-PV-076</t>
  </si>
  <si>
    <t>NA</t>
  </si>
  <si>
    <t>Brailovsky (2026) GM 04</t>
  </si>
  <si>
    <t>diamond Wire</t>
  </si>
  <si>
    <t>Industry data (French tender): Diamond Wire</t>
  </si>
  <si>
    <t>Steel, low-alloyed, at plant {RER} U</t>
  </si>
  <si>
    <t>Brailovsky (2026)  GM 04; Diamond wire for bricking &amp; slicing added up</t>
  </si>
  <si>
    <t>Brailovsky (2026)  GM 04; iso steel, low-alloyed</t>
  </si>
  <si>
    <t>Industry data (French tender): Pulley/wheel for diamond wiring</t>
  </si>
  <si>
    <t>Brailovsky (2026)  GM 04; RER iso RoW, at plant iso market</t>
  </si>
  <si>
    <t>Epoxy resin, liquid, at plant {RER} U</t>
  </si>
  <si>
    <t>Industry data (French tender): Glue</t>
  </si>
  <si>
    <t>Acrylic binder, 34% in H2O, at plant {RER} U</t>
  </si>
  <si>
    <t>Brailovsky (2026)  GM 04; 34% iso 54%, RER iso RoW</t>
  </si>
  <si>
    <t>Acrylonitrile-butadiene-styrene copolymer, ABS, at plant {RER} U</t>
  </si>
  <si>
    <t>Industry data (French tender): Beam Plate for diamond wiring</t>
  </si>
  <si>
    <t>Brailovsky (2026)  GM 04; CH iso GLO</t>
  </si>
  <si>
    <t>Potassium hydroxide, at regional storage {RER} U</t>
  </si>
  <si>
    <t>Brailovsky (2026) GM 04; RER iso GLO</t>
  </si>
  <si>
    <t xml:space="preserve">Brailovsky (2026)  GM 04; in H2O iso without water, RER iso RoW, </t>
  </si>
  <si>
    <t>Industry data (French tender): Proxy for lactic acid</t>
  </si>
  <si>
    <t>Brailovsky (2026)  GM 04; RER iso GLO, at plant iso market; Proxy for lactic acid.</t>
  </si>
  <si>
    <t>Brailovsky (2026)  GM 04; RER iso GLO, "in H2O" iso "without water", at plant iso market</t>
  </si>
  <si>
    <t>Brailovsky (2026)  GM 04; GLO iso RoW, at plant iso market</t>
  </si>
  <si>
    <t>Hydrogen peroxide, 50% in H2O, at plant {RER} U</t>
  </si>
  <si>
    <t>Industry data (French tender): "in H2O" iso "without water"</t>
  </si>
  <si>
    <t>Brailovsky (2026) GM 04; RER iso RoW, "in H2O" iso "without water"</t>
  </si>
  <si>
    <t>Propylene glycol, liquid, at plant {RER} U</t>
  </si>
  <si>
    <t>Industry data (French tender): Cooling liquid for diamond wiring</t>
  </si>
  <si>
    <t>Alkylbenzene sulfonate, linear, petrochemical, at plant {RER} U</t>
  </si>
  <si>
    <t>Brailovsky (2026)  GM 04; RER iso GLO, at plant iso market</t>
  </si>
  <si>
    <t>Brailovsky (2026)  GM 04; RER iso GLO; at plant iso market</t>
  </si>
  <si>
    <t>Industry data (French tender): Pallet - plastic + Other plastic</t>
  </si>
  <si>
    <t>Industry data (French tender): Pallet - wood (25kg / unit)</t>
  </si>
  <si>
    <t>Industry data (French tender): Cardboard box</t>
  </si>
  <si>
    <t>Industry data (French tender): Diamond Wiring electricity</t>
  </si>
  <si>
    <t>Industry data (French tender): Other Electricity</t>
  </si>
  <si>
    <t>Brailovsky (2026)  GM 04</t>
  </si>
  <si>
    <t>Industry data (French tender) CN iso RoW</t>
  </si>
  <si>
    <t>Brailovsky (2026)  GM 04; at plant iso market</t>
  </si>
  <si>
    <t>Industry data (French tender) US iso RoW</t>
  </si>
  <si>
    <t>Industry data (French tender) MY iso RoW</t>
  </si>
  <si>
    <t>Industry data (French tender) TH iso RoW</t>
  </si>
  <si>
    <t>Industry data (French tender) VN iso RoW</t>
  </si>
  <si>
    <t>Industry data (French tender) RER iso RoW</t>
  </si>
  <si>
    <t>Modeled seperately in GM 08-RW PERC of Brailovsky (2026) --&gt; input to 174-623/4</t>
  </si>
  <si>
    <t>Treatment, wafer fabrication effluent, to wastewater treatment, class 2 {CH} U</t>
  </si>
  <si>
    <t>Brailovsky (2026)  GM 04; Conversion from l to m^3</t>
  </si>
  <si>
    <t>Transport distance: 100km; silicon: 200km; disposal: 500km, weight EUR-flat pallet 25kg</t>
  </si>
  <si>
    <t>Silicon transport excluded due to vertical integration, disposal transport included in x-module-mono_Si, Transport dist. 100km (Inputs), 500km (Waste)</t>
  </si>
  <si>
    <t>Transport distance: 200km</t>
  </si>
  <si>
    <t>Silicon transport excluded due to vertical integration,disposal transport included in x-module-mono_Si, Transport dist. 200km (Inputs)</t>
  </si>
  <si>
    <t>Industry data (French tender) converted to ancillary building modelled by Brailovsky (2026); contains metal working machine</t>
  </si>
  <si>
    <t>Brailovsky (2026) GM Ancillary Buildings Steel BS</t>
  </si>
  <si>
    <t>Brailovsky (2026) GM Ingot Factory Steel BS iso Timber BS</t>
  </si>
  <si>
    <t>Industry data (French tender) converted to wafer factory modelled by Brailovsky (2026); contains metal working machine</t>
  </si>
  <si>
    <t>Brailovsky (2026) GM Wafer Factory Steel BS iso Timber BS</t>
  </si>
  <si>
    <t>All electric energy consumed converted to heat</t>
  </si>
  <si>
    <t>Calculated: Water consumption - wastewater treated</t>
  </si>
  <si>
    <t>de Wild-Scholten (2014) Life Cycle Assessment of Photovoltaics Status 2011, Part 1 Data Collection (Table 19,25)</t>
  </si>
  <si>
    <t>Input Building Hall Industry data (French tender)</t>
  </si>
  <si>
    <t>Area 1p PV plant ancillary building</t>
  </si>
  <si>
    <t>Share PV plant ancillary building optimized fab</t>
  </si>
  <si>
    <t>Area PV plant ancillary building Industry data (French tender)</t>
  </si>
  <si>
    <t>Share PV plant ancillary building Industry data (French tender)</t>
  </si>
  <si>
    <t>Area 1p Wafer plant</t>
  </si>
  <si>
    <t>Area 1p Silicon factory (Ingot plant)</t>
  </si>
  <si>
    <t>Share Wafer plant optimized fab</t>
  </si>
  <si>
    <t>Area Wafer plant Industry data (French tender)</t>
  </si>
  <si>
    <t>Share Wafer plant Industry data (French tender)</t>
  </si>
  <si>
    <t>Single-Si wafer, photovoltaics, PERC, at regional storage {RER} U</t>
  </si>
  <si>
    <t>Single-Si wafer, photovoltaics, TOPCon, at regional storage {RER} U</t>
  </si>
  <si>
    <t>Single-Si wafer, photovoltaics, PERC, at regional storage {US} U</t>
  </si>
  <si>
    <t>Single-Si wafer, photovoltaics, TOPCon, at regional storage {US} U</t>
  </si>
  <si>
    <t>Single-Si wafer, photovoltaics, PERC, at regional storage {APAC} U</t>
  </si>
  <si>
    <t>Single-Si wafer, photovoltaics, TOPCon, at regional storage {APAC} U</t>
  </si>
  <si>
    <t>Z-PV-075</t>
  </si>
  <si>
    <t>Z-PV-003</t>
  </si>
  <si>
    <t>Z-PV-073</t>
  </si>
  <si>
    <t>Z-PV-004</t>
  </si>
  <si>
    <t>Z-PV-074</t>
  </si>
  <si>
    <t>Z-PV-005</t>
  </si>
  <si>
    <t>wafers</t>
  </si>
  <si>
    <t>Market share European wafers</t>
  </si>
  <si>
    <t>Market share Chinese wafers</t>
  </si>
  <si>
    <t>Market share US wafers</t>
  </si>
  <si>
    <t>Market share APAC wafers</t>
  </si>
  <si>
    <t>Wafer weight</t>
  </si>
  <si>
    <t>kg/m2</t>
  </si>
  <si>
    <t>Metallization paste, front side, at plant {RER} U</t>
  </si>
  <si>
    <t>Metallization paste, back side, at plant {RER} U</t>
  </si>
  <si>
    <t>Metallization paste, back side, aluminium, at plant {RER} U</t>
  </si>
  <si>
    <t>Silver, at regional storage {RER} U</t>
  </si>
  <si>
    <t>de Wild 2007, paste composition, 1% loss</t>
  </si>
  <si>
    <t>Lead, at regional storage {RER} U</t>
  </si>
  <si>
    <t>de Wild 2007, paste composition, 1% loss, bismuth inventoried as lead.</t>
  </si>
  <si>
    <t>Aluminium, primary, at plant {RER} U</t>
  </si>
  <si>
    <t>Estimation with data for solder production</t>
  </si>
  <si>
    <t>Standard distance 600km</t>
  </si>
  <si>
    <t>Solder production plant {RER} U</t>
  </si>
  <si>
    <t>Esimation</t>
  </si>
  <si>
    <t>total weight</t>
  </si>
  <si>
    <t>Losses</t>
  </si>
  <si>
    <t>Z-PV-090</t>
  </si>
  <si>
    <t>Photovoltaic cell factory {DE} U</t>
  </si>
  <si>
    <t>Cell factory, steel construction, simulated data {DE} U</t>
  </si>
  <si>
    <t>Production plant Gelsenkirchen</t>
  </si>
  <si>
    <t>Crystal Clear</t>
  </si>
  <si>
    <t>Reinforcing steel, at plant {RER} U</t>
  </si>
  <si>
    <t>Company information</t>
  </si>
  <si>
    <t>Brick, at plant {RER} U</t>
  </si>
  <si>
    <t>Rough estimation equipment</t>
  </si>
  <si>
    <t>Brailovsky et al. (2024) from process equipment A1-A3</t>
  </si>
  <si>
    <t>Standard distances</t>
  </si>
  <si>
    <t>Disposal, building, reinforced concrete, at sorting plant, to recycling {CH} U</t>
  </si>
  <si>
    <t>Occupation, industrial area, built up</t>
  </si>
  <si>
    <t>25a occupation, estimation for rapid changing technology</t>
  </si>
  <si>
    <t>averaged company information</t>
  </si>
  <si>
    <t>Photovoltaic cell, single-Si, TOPCon, LPCVD, at plant {CN} U</t>
  </si>
  <si>
    <t>Photovoltaic cell, single-Si, TOPCon, PECVD, at plant {CN} U</t>
  </si>
  <si>
    <t>Photovoltaic cell, single-Si, TOPCon, LPCVD, at plant {US} U</t>
  </si>
  <si>
    <t>Photovoltaic cell, single-Si, TOPCon, PECVD, at plant {US} U</t>
  </si>
  <si>
    <t>Photovoltaic cell, single-Si, TOPCon, LPCVD, at plant {APAC} U</t>
  </si>
  <si>
    <t>Photovoltaic cell, single-Si, TOPCon, PECVD, at plant {APAC} U</t>
  </si>
  <si>
    <t>Photovoltaic cell, single-Si, TOPCon, LPCVD, at plant {RER} U</t>
  </si>
  <si>
    <t>Photovoltaic cell, single-Si, TOPCon, PECVD, at plant {RER} U</t>
  </si>
  <si>
    <t>Photovoltaic cell, single-Si, TOPCon, simulated data, at plant {DE} U</t>
  </si>
  <si>
    <t>Photovoltaic cell, single-Si, TOPCon, simulated data, at plant {CN} U</t>
  </si>
  <si>
    <t>photovoltaic cell, single-Si, TOPCon, LPCVD, at plant</t>
  </si>
  <si>
    <t>photovoltaic cell, single-Si, TOPCon, PECVD, at plant</t>
  </si>
  <si>
    <t>Z-PV-114</t>
  </si>
  <si>
    <t>Z-PV-110</t>
  </si>
  <si>
    <t>Z-PV-116</t>
  </si>
  <si>
    <t>Z-PV-112</t>
  </si>
  <si>
    <t>Z-PV-117</t>
  </si>
  <si>
    <t>Z-PV-113</t>
  </si>
  <si>
    <t>Z-PV-115</t>
  </si>
  <si>
    <t>Z-PV-111</t>
  </si>
  <si>
    <t>Z-PV-146</t>
  </si>
  <si>
    <t>Z-PV-147</t>
  </si>
  <si>
    <t>Brailovsky (2026) GP 05</t>
  </si>
  <si>
    <t>Brailovsky (2026) GP 05 iso TOPCon Metallization paste Ag90%</t>
  </si>
  <si>
    <t>Brailovsky (2026) GP 05 iso activated carbon</t>
  </si>
  <si>
    <t>Polyethylene, LDPE, granulate, at plant {RER} U</t>
  </si>
  <si>
    <t>Polystyrene foam slab, at plant {RER} U</t>
  </si>
  <si>
    <t>Paper, recycling, with deinking, at plant {RER} U</t>
  </si>
  <si>
    <t>Brailovsky (2026) GP 05 proxy for tissue paper</t>
  </si>
  <si>
    <t>treatment</t>
  </si>
  <si>
    <t>Steel product manufacturing, average metal working {RER} U</t>
  </si>
  <si>
    <t>Manufacturing of steel screen for front- and backside printing</t>
  </si>
  <si>
    <t>Brailovsky (2026) GP 05 iso wire drawing; manufacturing of screen for grid printing</t>
  </si>
  <si>
    <t>Industry data (French tender) plastic pallet + plastic total</t>
  </si>
  <si>
    <t>Packaging film, LDPE, at plant {RER} U</t>
  </si>
  <si>
    <t>Industry data (French tender) 1p pallet = 25kg</t>
  </si>
  <si>
    <t>chemicals</t>
  </si>
  <si>
    <t>Brailovsky (2026) GP 05 Proxy for trimethylaluminium</t>
  </si>
  <si>
    <t>Industry data (French tender) TMA</t>
  </si>
  <si>
    <t>Brailovsky (2026) GP 06b Texturing additive</t>
  </si>
  <si>
    <t>Industry data (French tender) Additive</t>
  </si>
  <si>
    <t>Brailovsky (2026) GP 06b Polishing additive</t>
  </si>
  <si>
    <t>Trichloroborane, at plant {GLO} U</t>
  </si>
  <si>
    <t>Phosphoryl chloride, at plant {RER} U</t>
  </si>
  <si>
    <t>Phosphorous chloride, at plant {RER} U</t>
  </si>
  <si>
    <t>Industry data (French tender) in H2O iso without water</t>
  </si>
  <si>
    <t>Brailovsky (2026) GP 06b</t>
  </si>
  <si>
    <t>Lime, hydrated, loose, at plant {CH} U</t>
  </si>
  <si>
    <t>Sodium hydroxide, 50% in H2O, mercury cell, at plant {RER} U</t>
  </si>
  <si>
    <t>Phosphane, at plant {GLO} U</t>
  </si>
  <si>
    <t>Calcium chloride, CaCl2, at plant {RER} U</t>
  </si>
  <si>
    <t>gases</t>
  </si>
  <si>
    <t>Methane, 96 vol-%, from biogas, low pressure, at consumer {CH} U</t>
  </si>
  <si>
    <t>Brailovsky (2026) GP 05  H2-5.0 and proxy of PH3/H2 (1% PH3 4.0 in H2 5.0)</t>
  </si>
  <si>
    <t>silane, at plant {RER} U</t>
  </si>
  <si>
    <t>Industry data (French tender) proxy for nitrous oxide</t>
  </si>
  <si>
    <t>Brailovsky (2026) GP 05 Proxy for nitrous oxide</t>
  </si>
  <si>
    <t>Brailovsky (2026) GP 06b diluting water, CN iso GLO</t>
  </si>
  <si>
    <t>Tap water, water balance according to MoeK 2013, at user {KR} U</t>
  </si>
  <si>
    <t>Tap water, water balance according to MoeK 2013, at user {IN} U</t>
  </si>
  <si>
    <t>IN</t>
  </si>
  <si>
    <t>Tap water, water balance according to MoeK 2013, at user {DE} U</t>
  </si>
  <si>
    <t>Brailovsky (2026) GP 06b diluting water, DE iso GLO</t>
  </si>
  <si>
    <t>(2,2,1,1,1,3); Woodhouse et al. (2019): c-Si PV Manufacturing Costs 2018</t>
  </si>
  <si>
    <t>Brailovsky (2026) GP 05 / GP 06b CN iso DE</t>
  </si>
  <si>
    <t>Electricity, medium voltage, at grid {TW} U</t>
  </si>
  <si>
    <t>TW</t>
  </si>
  <si>
    <t>Electricity, medium voltage, at grid {IN} U</t>
  </si>
  <si>
    <t>Brailovsky (2026) GP 05 / GP 06b</t>
  </si>
  <si>
    <t>District heat, at consumer, natural gas in industrial furnace 1MW {CH} U</t>
  </si>
  <si>
    <t>Industry data (French tender) converted to cell factory modelled by Brailovsky (2026); contains metal working machine</t>
  </si>
  <si>
    <t>Transport distance: 100km; wafer: 200km; disposal: 500km, weight EUR-flat pallet 25kg</t>
  </si>
  <si>
    <t>Transport distance: 100km; weight EUR-flat pallet 25kg; no transport of wafer due to integrated production</t>
  </si>
  <si>
    <t>Treatment, PV cell production effluent, to wastewater treatment, class 3 {CH} U</t>
  </si>
  <si>
    <t>Calculation: 90% of tap water</t>
  </si>
  <si>
    <t>Treatment, sewage, to wastewater treatment, class 3 {CH} U</t>
  </si>
  <si>
    <t>Calculation based on electricity use</t>
  </si>
  <si>
    <t>Calculation based on electricity and heat use</t>
  </si>
  <si>
    <t>Brailovsky (2026) GP 06b CN iso DE</t>
  </si>
  <si>
    <t>Water, IN</t>
  </si>
  <si>
    <t>de Wild-Scholten (2014) Life Cycle Assessment of Photovoltaics Status 2011, Part 1 Data Collection (Table 30,31)</t>
  </si>
  <si>
    <t>Silver</t>
  </si>
  <si>
    <t>Hydrogen</t>
  </si>
  <si>
    <t>2-Propanol</t>
  </si>
  <si>
    <t>Acetaldehyde</t>
  </si>
  <si>
    <t>Ethane, 1,1,1,2-tetrafluoro-, HFC-134a</t>
  </si>
  <si>
    <t>LPCVD</t>
  </si>
  <si>
    <t>PECVD</t>
  </si>
  <si>
    <t>p PV plant ancillary building Industry data (French tender)</t>
  </si>
  <si>
    <t>Area 1p Cell plant</t>
  </si>
  <si>
    <t>Share Cell plant optimized fab</t>
  </si>
  <si>
    <t>Area Cell plant Industry data (French tender)</t>
  </si>
  <si>
    <t>p Cell plant Industry data (French tender)</t>
  </si>
  <si>
    <t>Korea</t>
  </si>
  <si>
    <t>Taiwan</t>
  </si>
  <si>
    <t>India</t>
  </si>
  <si>
    <t>2026 update (M10 wafers / cells; TOPCon)</t>
  </si>
  <si>
    <t>Z-PV-078</t>
  </si>
  <si>
    <t>Z-PV-079</t>
  </si>
  <si>
    <t>Industry data, de Wild-Scholten (2014)</t>
  </si>
  <si>
    <t>Photovoltaic cell, single-Si, PERC, at plant {CN} U</t>
  </si>
  <si>
    <t>Photovoltaic cell, single-Si, PERC, at plant {US} U</t>
  </si>
  <si>
    <t>Photovoltaic cell, single-Si, PERC, at plant {APAC} U</t>
  </si>
  <si>
    <t>Photovoltaic cell, single-Si, PERC, at plant {RER} U</t>
  </si>
  <si>
    <t>Photovoltaic cell, single-Si, PERC, simulated data, at plant {DE} U</t>
  </si>
  <si>
    <t>Photovoltaic cell, single-Si, PERC, simulated data, at plant {CN} U</t>
  </si>
  <si>
    <t>photovoltaic cell, single-Si, PERC, at plant</t>
  </si>
  <si>
    <t>Z-PV-051</t>
  </si>
  <si>
    <t>Z-PV-062</t>
  </si>
  <si>
    <t>Z-PV-064</t>
  </si>
  <si>
    <t>Z-PV-041</t>
  </si>
  <si>
    <t>Wafer input weight per m2 of cell provided by Gazbour, N. (2026)</t>
  </si>
  <si>
    <t>Brailovsky (2026) GM 05</t>
  </si>
  <si>
    <t>ITRPV 2024. Fig. 11</t>
  </si>
  <si>
    <t>Brailovsky (2026) GM 05; 90 % Ag, at plant iso market, RER iso RoW</t>
  </si>
  <si>
    <t>Brailovsky (2026) GM 05; 43 % Ag , at plant iso market, RER iso RoW</t>
  </si>
  <si>
    <t>ITRPV 2023. Fig. 13</t>
  </si>
  <si>
    <t>Brailovsky (2026) GM 05; 79 % Al, at plant iso market, RER iso RoW</t>
  </si>
  <si>
    <t>Brailovsky (2026) GM 05; iso activated carbon</t>
  </si>
  <si>
    <t>Brailovsky (2026) GM 05; at plant iso market</t>
  </si>
  <si>
    <t xml:space="preserve">Brailovsky (2026) GM 05; at plant iso market, US iso GLO </t>
  </si>
  <si>
    <t>Brailovsky (2026) GM 05; RER iso GLO, at plant iso market</t>
  </si>
  <si>
    <t>Brailovsky (2026) GM 05; Steel product manufacturing iso wire drawing; RER iso GLO</t>
  </si>
  <si>
    <t>Brailovsky (2026) GM 05; Proxy for Trimethylaluminium solar grade</t>
  </si>
  <si>
    <t>Brailovsky (2026)  GM 05</t>
  </si>
  <si>
    <t>Isopropanol, at plant {RER} U</t>
  </si>
  <si>
    <t>Solvents, organic, unspecified, at plant {GLO} U</t>
  </si>
  <si>
    <t>Brailovsky (2026) GM 05; in H2O iso without water</t>
  </si>
  <si>
    <t>Brailovsky (2026) GM 05; GLO iso RER</t>
  </si>
  <si>
    <t>Brailovsky (2026)  GM 05; in H2O iso without water</t>
  </si>
  <si>
    <t>Refrigerant R134a, at plant {RER} U</t>
  </si>
  <si>
    <t>Brailovsky (2026) GM 05; at regional storage iso production</t>
  </si>
  <si>
    <t>Brailovsky (2026) GM 05; CH iso RoW, at plant iso market, from MLD scenario</t>
  </si>
  <si>
    <t>GM 05; According to Brailovsky (2026), nitrous oxide is used as a process input. As there is no corresponding dataset in the UVEK database, the 'ammonia, liquid' dataset is used as a proxy.</t>
  </si>
  <si>
    <t>Brailovsky (2026), GM 06</t>
  </si>
  <si>
    <t>de Wild-Scholten, M. &amp; de Wild, P. (2023). PV industry data collection. Data on PERC cell production from 3 manufacturers.</t>
  </si>
  <si>
    <t>Brailovsky (2026), GM 05 + GM 06;at grid iso market</t>
  </si>
  <si>
    <t>Brailovsky (2026), GM 05 + GM 06; at grid iso market</t>
  </si>
  <si>
    <t>Brailovsky (2026) GM 05; iso "Heat, district or industrial, natural gas RER"</t>
  </si>
  <si>
    <t>Brailovsky (2026) Ancillary Buildings Steel BS</t>
  </si>
  <si>
    <t>Brailovsky (2026) GM Cell Factory Steel BS iso Timber BS</t>
  </si>
  <si>
    <t>Wafer transport avoided through vertical integration, Transport distances: 100km (Inputs), 500km (Waste disposal)</t>
  </si>
  <si>
    <t>Wafer transport avoided through vertical integration, Transport distances: 200km (Inputs)</t>
  </si>
  <si>
    <t>Brailovsky (2026); GM 06</t>
  </si>
  <si>
    <t>Disposal, hazardous waste, 0% water, to underground deposit {DE} U</t>
  </si>
  <si>
    <t>Disposal, waste, Si waferprod., inorg, 9.4% water, to residual material landfill {CH} U</t>
  </si>
  <si>
    <t>Brailovsky (2026) GM 05; iso DE</t>
  </si>
  <si>
    <t>Photovoltaic cell, single-Si, PERC, at regional storage {RER} U</t>
  </si>
  <si>
    <t>Photovoltaic cell, single-Si, TOPCon, at regional storage {RER} U</t>
  </si>
  <si>
    <t>Photovoltaic cell, single-Si, PERC, at regional storage {US} U</t>
  </si>
  <si>
    <t>Photovoltaic cell, single-Si, TOPCon, at regional storage {US} U</t>
  </si>
  <si>
    <t>Photovoltaic cell, single-Si, PERC, at regional storage {APAC} U</t>
  </si>
  <si>
    <t>Photovoltaic cell, single-Si, TOPCon, at regional storage {APAC} U</t>
  </si>
  <si>
    <t>Z-PV-082</t>
  </si>
  <si>
    <t>Z-PV-081</t>
  </si>
  <si>
    <t>Z-PV-084</t>
  </si>
  <si>
    <t>Z-PV-083</t>
  </si>
  <si>
    <t>Z-PV-278</t>
  </si>
  <si>
    <t>Z-PV-279</t>
  </si>
  <si>
    <t>cells</t>
  </si>
  <si>
    <t>Market share European cells</t>
  </si>
  <si>
    <t>Market share Chinese cells</t>
  </si>
  <si>
    <t>Market share US cells</t>
  </si>
  <si>
    <t>Market share APAC cells</t>
  </si>
  <si>
    <t>Transport distance CN-EU: 19994 km, CN-US: 20755 km, CN-APAC: 4584 km, APAC-EU: 15026 km, APAC-US: 18411 km</t>
  </si>
  <si>
    <t>Cell weight</t>
  </si>
  <si>
    <t>Distance Port Klang (Singapore) - Rotterdam</t>
  </si>
  <si>
    <t>Distance Port Klang (Singapore) - New York</t>
  </si>
  <si>
    <t>Distance Port Klang (Singapore) - Shanghai (China)</t>
  </si>
  <si>
    <t>Market share TOPCon cell technologies</t>
  </si>
  <si>
    <t>Z-PV-091</t>
  </si>
  <si>
    <t>Photovoltaic panel factory {GLO}</t>
  </si>
  <si>
    <t>Panel factory, steel construction, simulated data {DE} U</t>
  </si>
  <si>
    <t>Photovoltaic panel factory {GLO} U</t>
  </si>
  <si>
    <t>GSS Ostthüringen</t>
  </si>
  <si>
    <t>Solar-Fabrik</t>
  </si>
  <si>
    <t>First Solar</t>
  </si>
  <si>
    <t>Würth Solar, CIS</t>
  </si>
  <si>
    <t>rough assumption, 4t weight per laminator</t>
  </si>
  <si>
    <t>Environmental report, calculated</t>
  </si>
  <si>
    <t>Environmental report, weighted average for 5 companies</t>
  </si>
  <si>
    <t>Environmental report, weighted average for 3 companies</t>
  </si>
  <si>
    <t>Environmental report, weighted average for 2 companies</t>
  </si>
  <si>
    <t>production</t>
  </si>
  <si>
    <t>PV-panels</t>
  </si>
  <si>
    <t>life time</t>
  </si>
  <si>
    <t>Mono 60</t>
  </si>
  <si>
    <t>Mono 72</t>
  </si>
  <si>
    <t>Bi 72</t>
  </si>
  <si>
    <t>Brailovsky (2026), simulated data</t>
  </si>
  <si>
    <t>Photovoltaic panel, single-Si, TOPCon, monofacial, 60 cells, at plant {CN} U</t>
  </si>
  <si>
    <t>Photovoltaic panel, single-Si, TOPCon, monofacial, 72 cells, at plant {CN} U</t>
  </si>
  <si>
    <t>Photovoltaic panel, single-Si, TOPCon, bifacial, 60 cells, at plant {CN} U</t>
  </si>
  <si>
    <t>Photovoltaic panel, single-Si, TOPCon, bifacial, 72 cells, at plant {CN} U</t>
  </si>
  <si>
    <t>Photovoltaic laminate, single-Si, TOPCon, bifacial, 72 cells, at plant {CN} U</t>
  </si>
  <si>
    <t>Photovoltaic panel, single-Si, TOPCon, monofacial, 60 cells, at plant {US} U</t>
  </si>
  <si>
    <t>Photovoltaic panel, single-Si, TOPCon, monofacial, 72 cells, at plant {US} U</t>
  </si>
  <si>
    <t>Photovoltaic panel, single-Si, TOPCon, bifacial, 60 cells, at plant {US} U</t>
  </si>
  <si>
    <t>Photovoltaic panel, single-Si, TOPCon, bifacial, 72 cells, at plant {US} U</t>
  </si>
  <si>
    <t>Photovoltaic laminate, single-Si, TOPCon, bifacial, 72 cells, at plant {US} U</t>
  </si>
  <si>
    <t>Photovoltaic panel, single-Si, TOPCon, monofacial, 60 cells, at plant {APAC} U</t>
  </si>
  <si>
    <t>Photovoltaic panel, single-Si, TOPCon, monofacial, 72 cells, at plant {APAC} U</t>
  </si>
  <si>
    <t>Photovoltaic panel, single-Si, TOPCon, bifacial, 60 cells, at plant {APAC} U</t>
  </si>
  <si>
    <t>Photovoltaic panel, single-Si, TOPCon, bifacial, 72 cells, at plant {APAC} U</t>
  </si>
  <si>
    <t>Photovoltaic laminate, single-Si, TOPCon, bifacial, 72 cells, at plant {APAC} U</t>
  </si>
  <si>
    <t>Photovoltaic panel, single-Si, TOPCon, monofacial, 60 cells, at plant {RER} U</t>
  </si>
  <si>
    <t>Photovoltaic panel, single-Si, TOPCon, monofacial, 72 cells, at plant {RER} U</t>
  </si>
  <si>
    <t>Photovoltaic panel, single-Si, TOPCon, bifacial, 60 cells, at plant {RER} U</t>
  </si>
  <si>
    <t>Photovoltaic panel, single-Si, TOPCon, bifacial, 72 cells, at plant {RER} U</t>
  </si>
  <si>
    <t>Photovoltaic laminate, single-Si, TOPCon, bifacial, 72 cells, at plant {RER} U</t>
  </si>
  <si>
    <t>Photovoltaic panel, single-Si, TOPCon, simulated data, at plant {DE} U</t>
  </si>
  <si>
    <t>Photovoltaic panel, single-Si, TOPCon, simulated data, at plant {CN} U</t>
  </si>
  <si>
    <t>Module Mono 60</t>
  </si>
  <si>
    <t>Module Mono 72</t>
  </si>
  <si>
    <t>Module Bi 60</t>
  </si>
  <si>
    <t>Module Bi 72</t>
  </si>
  <si>
    <t>Z-PV-094</t>
  </si>
  <si>
    <t>Z-PV-098</t>
  </si>
  <si>
    <t>Z-PV-102</t>
  </si>
  <si>
    <t>Z-PV-106</t>
  </si>
  <si>
    <t>Z-PV-140</t>
  </si>
  <si>
    <t>Z-PV-095</t>
  </si>
  <si>
    <t>Z-PV-099</t>
  </si>
  <si>
    <t>Z-PV-103</t>
  </si>
  <si>
    <t>Z-PV-107</t>
  </si>
  <si>
    <t>Z-PV-141</t>
  </si>
  <si>
    <t>Z-PV-096</t>
  </si>
  <si>
    <t>Z-PV-100</t>
  </si>
  <si>
    <t>Z-PV-104</t>
  </si>
  <si>
    <t>Z-PV-108</t>
  </si>
  <si>
    <t>Z-PV-142</t>
  </si>
  <si>
    <t>Z-PV-097</t>
  </si>
  <si>
    <t>Z-PV-101</t>
  </si>
  <si>
    <t>Z-PV-105</t>
  </si>
  <si>
    <t>Z-PV-109</t>
  </si>
  <si>
    <t>Z-PV-143</t>
  </si>
  <si>
    <t>Z-PV-148</t>
  </si>
  <si>
    <t>Z-PV-149</t>
  </si>
  <si>
    <t>Industry data (French tender); Ratio PECVD/LPCVD acc. ITRPV (2025)</t>
  </si>
  <si>
    <t>Brailovsky (2026) GP 08</t>
  </si>
  <si>
    <t>Industry data (French tender) Aluminium frame</t>
  </si>
  <si>
    <t>Brailovsky (2026) GP 08; iso Aluminium frame</t>
  </si>
  <si>
    <t>Copper, at regional storage {RER} U</t>
  </si>
  <si>
    <t>Industry data (French tender) Junction Box total +Junction box connector + Interconnection Ribbons + String Ribbons</t>
  </si>
  <si>
    <t>Brailovsky (2026) GP 08; iso Copper Cathode</t>
  </si>
  <si>
    <t>Diode, glass-, through-hole mounting, at plant {GLO} U</t>
  </si>
  <si>
    <t>Industry data (French tender) junction box diode</t>
  </si>
  <si>
    <t>Silicone product, at plant {RER} U</t>
  </si>
  <si>
    <t>Tin, at regional storage {RER} U</t>
  </si>
  <si>
    <t>Solder, bar, Sn63Pb37, for electronics industry, at plant {GLO} U</t>
  </si>
  <si>
    <t>Industry data (French tender) Interconnection Ribbons + String Ribbons</t>
  </si>
  <si>
    <t>Solar glass, low-iron, at regional storage {RER} U</t>
  </si>
  <si>
    <t>Industry data (French tender) Glass</t>
  </si>
  <si>
    <t>Polypropylene, granulate, at plant {RER} U</t>
  </si>
  <si>
    <t>Industry data (French tender) Junction box plastic + Junction box connector + Strip</t>
  </si>
  <si>
    <t>Industry data (French tender) PET</t>
  </si>
  <si>
    <t>Ethylvinylacetate, foil, at plant {RER} U</t>
  </si>
  <si>
    <t>Industry data (French tender) Encapsulant</t>
  </si>
  <si>
    <t>Industry data (French tender) Fluoresin</t>
  </si>
  <si>
    <t>Treatment</t>
  </si>
  <si>
    <t>Extrusion, plastic film {RER} U</t>
  </si>
  <si>
    <t>Industry data (French tender) Junction box plastic + Junction box connector</t>
  </si>
  <si>
    <t>Wire drawing, copper {RER} U</t>
  </si>
  <si>
    <t>Industry data (French tender) Junction box connector + Interconnection Ribbons + String Ribbons</t>
  </si>
  <si>
    <t>Tempering, flat glass {RER} U</t>
  </si>
  <si>
    <t>Calculated to reflect input "tempered glass"</t>
  </si>
  <si>
    <t>auxiliaries</t>
  </si>
  <si>
    <t>Industry data (French tender) water</t>
  </si>
  <si>
    <t>Brailovsky (2026) GP 08 water completely softened; CN iso RoW</t>
  </si>
  <si>
    <t>Brailovsky (2026) GP 08 water completely softened; DE iso RoW</t>
  </si>
  <si>
    <t>Industry data (French tender) Ethanol, from biomass iso ethylene</t>
  </si>
  <si>
    <t>1-propanol, at plant {RER} U</t>
  </si>
  <si>
    <t>Adipic acid, at plant {RER} U</t>
  </si>
  <si>
    <t>Flux, wave soldering, at plant {GLO} U</t>
  </si>
  <si>
    <t>Industry data (French tender) Soldering flux</t>
  </si>
  <si>
    <t>Lubricating oil, at plant {RER} U</t>
  </si>
  <si>
    <t>Industry data (French tender) Packaging paper</t>
  </si>
  <si>
    <t>Industry data (French tender) Packaging plastic</t>
  </si>
  <si>
    <t>Brailovsky (2026) GP 08 Junction box plastic</t>
  </si>
  <si>
    <t>Corrugated board, mixed fibre, single wall, at plant {RER} U</t>
  </si>
  <si>
    <t>Industry data (French tender) Weight of 1p pallet = 25kg</t>
  </si>
  <si>
    <t>Brailovsky (2026) GP 08; CN iso DE</t>
  </si>
  <si>
    <t>Industry data (French tender) converted to panel factory modelled by Brailovsky (2026); contains metal working machine</t>
  </si>
  <si>
    <t>Calculation, Transport distances: 100km (materials), 500km (cells), 15km (disposal)</t>
  </si>
  <si>
    <t>Calculation, Transport distance: 600km</t>
  </si>
  <si>
    <t>Disposal, inert waste, 5% water, to construction waste landfill {CH} U</t>
  </si>
  <si>
    <t>Brailovsky (2026) GM 08-RW; wastes for production chain from SoG Silicon to Panel</t>
  </si>
  <si>
    <t>Disposal, plastics, mixture, 15.3% water, to municipal incineration {CH} U</t>
  </si>
  <si>
    <t>Disposal, glass, 0% water, to construction waste landfill {CH} U</t>
  </si>
  <si>
    <t>Disposal, used mineral oil, 10% water, to hazardous waste incineration {CH} U</t>
  </si>
  <si>
    <t>Disposal, wood untreated, 20% water, to sanitary landfill {CH} U</t>
  </si>
  <si>
    <t>Disposal, wood untreated, 20% water, to municipal incineration {CH} U</t>
  </si>
  <si>
    <t>Disposal, steel, 0% water, to municipal incineration {CH} U</t>
  </si>
  <si>
    <t>Disposal, aluminium, 0% water, to municipal incineration {CH} U</t>
  </si>
  <si>
    <t>Treatment, sewage, from residence, to wastewater treatment, class 2 {CH} U</t>
  </si>
  <si>
    <t>Industry data (French tender)  wastewater OR 90% of tap water</t>
  </si>
  <si>
    <t>emissions air</t>
  </si>
  <si>
    <t>Calculation, electricity use</t>
  </si>
  <si>
    <t>de Wild-Scholten (2014) Life Cycle Assessment of Photovoltaics Status 2011, Part 1 Data Collection (Table 37)</t>
  </si>
  <si>
    <t>Calculation: Tap water - wastewater treated OR 10% of tap water</t>
  </si>
  <si>
    <t>2026 update (Industry data (French tender) data)</t>
  </si>
  <si>
    <t>72 cell mono TOPCon</t>
  </si>
  <si>
    <t>m2 cell / m2 panel</t>
  </si>
  <si>
    <t>60 cell mono TOPCon</t>
  </si>
  <si>
    <t>72 cell bifacial TOPCon</t>
  </si>
  <si>
    <t>60 cell bifacial TOPCon</t>
  </si>
  <si>
    <t>cell weight TOPCon PECVD</t>
  </si>
  <si>
    <t>kg / m2 cell</t>
  </si>
  <si>
    <t>cell weight TOPCon LPCVD</t>
  </si>
  <si>
    <t>average cell weight TOPCon</t>
  </si>
  <si>
    <t>cell weight TOPCon, optimized fab.</t>
  </si>
  <si>
    <t>panel weight</t>
  </si>
  <si>
    <t>kg / m2 panel</t>
  </si>
  <si>
    <t>p ancillary building optimized fabrication</t>
  </si>
  <si>
    <t>Area 1p panel plant</t>
  </si>
  <si>
    <t>p Panel plant optimized fabrication</t>
  </si>
  <si>
    <t>Cambodia</t>
  </si>
  <si>
    <t>Share Panel plant optimized fab</t>
  </si>
  <si>
    <t>Area Panel plant Industry data (French tender)</t>
  </si>
  <si>
    <t>p Panel plant Industry data (French tender)</t>
  </si>
  <si>
    <t>Z-PV-001</t>
  </si>
  <si>
    <t>Z-PV-002</t>
  </si>
  <si>
    <t>Brailovsky (2026): simulated data</t>
  </si>
  <si>
    <t>Photovoltaic panel, single-Si, PERC, at plant {CN} U</t>
  </si>
  <si>
    <t>Photovoltaic laminate, single-Si, PERC, at plant {CN} U</t>
  </si>
  <si>
    <t>Photovoltaic panel, single-Si, PERC, at plant {US} U</t>
  </si>
  <si>
    <t>Photovoltaic laminate, single-Si, PERC, at plant {US} U</t>
  </si>
  <si>
    <t>Photovoltaic panel, single-Si, PERC, at plant {APAC} U</t>
  </si>
  <si>
    <t>Photovoltaic laminate, single-Si, PERC, at plant {APAC} U</t>
  </si>
  <si>
    <t>Photovoltaic panel, single-Si, PERC, at plant {RER} U</t>
  </si>
  <si>
    <t>Photovoltaic laminate, single-Si, PERC, at plant {RER} U</t>
  </si>
  <si>
    <t>Photovoltaic panel, single-Si, PERC, simulated data, at plant {DE} U</t>
  </si>
  <si>
    <t>Photovoltaic panel, single-Si, PERC, simulated data, at plant {CN} U</t>
  </si>
  <si>
    <t>photovoltaic panel, multi-Si, at plant</t>
  </si>
  <si>
    <t>Z-PV-053</t>
  </si>
  <si>
    <t>Z-PV-055</t>
  </si>
  <si>
    <t>Z-PV-066</t>
  </si>
  <si>
    <t>Z-PV-068</t>
  </si>
  <si>
    <t>Z-PV-070</t>
  </si>
  <si>
    <t>Z-PV-072</t>
  </si>
  <si>
    <t>Z-PV-045</t>
  </si>
  <si>
    <t>Z-PV-043</t>
  </si>
  <si>
    <t>Calculated for a PV module with 108 half-cut cells, M10 format (0.182 m * 0.182 m); cell breakage rate of 2.5 % according to de Wild-Scholten (2014) Life Cycle Assessment of Photovoltaics Status 2011, Part 1 Data Collection (Table 37)</t>
  </si>
  <si>
    <t>Brailovsky (2026) GM 08</t>
  </si>
  <si>
    <t>Calculation: 0.5 kg/m assumed Alluminium weight for 35 mm x 35 mm frame profile suitable for 3.2 mm glass module.</t>
  </si>
  <si>
    <t>Brailovsky (2026) GM 08; iso aluminium frame, RER iso GLO, personal information from Brailovsky</t>
  </si>
  <si>
    <t>Brailovsky (2026) GM 08; iso copper, cathode</t>
  </si>
  <si>
    <t>Diode, unspecified, at plant {GLO} U</t>
  </si>
  <si>
    <t>Brailovsky (2026) GM 08; at plant iso market</t>
  </si>
  <si>
    <t>Brailovsky (2026) GM 08; RER iso GLO</t>
  </si>
  <si>
    <t>3.2 mm glass thickness; industry standard in 2024.</t>
  </si>
  <si>
    <t>Brailovsky (2026) GM 08; RER iso GLO, tempering added seperately</t>
  </si>
  <si>
    <t>Glass fibre reinforced plastic, polyamide, injection moulding, at plant {RER} U</t>
  </si>
  <si>
    <t>Polyethylene terephthalate, granulate, amorphous, at plant {RER} U</t>
  </si>
  <si>
    <t>Brailovsky (2026) GM 08; at plant iso market, RER iso GLO</t>
  </si>
  <si>
    <t>Brailovsky (2026) GM 08; US iso GLO, at plant iso market</t>
  </si>
  <si>
    <t>Brailovsky (2026) GM 08; tap water iso water, cooling</t>
  </si>
  <si>
    <t>Brailovsky (2026) GM 08; RER iso GLO, at plant iso market</t>
  </si>
  <si>
    <t>Soap, at plant {RER} U</t>
  </si>
  <si>
    <t>de Wild-Scholten, M. &amp; de Wild, P. (2023). PV industry data collection. Data on PERC module production from 7 manufacturers.</t>
  </si>
  <si>
    <t>Brailovsky (2026) GM Panel Factory Steel BS iso Timber BS</t>
  </si>
  <si>
    <t>Standard distance 100km, cells 500km</t>
  </si>
  <si>
    <t>Cell transport acoided by vertical integration; assumed weight europallet 22kg; Distances: 100km (Inputs), 15km (Waste)</t>
  </si>
  <si>
    <t>Cell transport acoided by vertical integration; assumed weight europallet 22kg; Distances: 200km (Inputs)</t>
  </si>
  <si>
    <t>Alsema (personal communication) 2007, production waste</t>
  </si>
  <si>
    <t>Disposal, polyvinylfluoride, 0.2% water, to municipal incineration {CH} U</t>
  </si>
  <si>
    <t>Brailovsky (2026) GM 08-RW, CH iso DE</t>
  </si>
  <si>
    <t>Disposal, plastics, mixture, 15.3% water, to sanitary landfill {CH} U</t>
  </si>
  <si>
    <t>Brailovsky (2026) GM 08-RW; CH iso GLO, cables _andfilling</t>
  </si>
  <si>
    <t>Brailovsky (2026) GM 08; CH iso Europe w/o Switzerland</t>
  </si>
  <si>
    <t>Brailovsky (2026) GM 08-RW; CH iso Europe w/o Switzerland</t>
  </si>
  <si>
    <t>Brailovsky (2026) GM 08-RW; CH iso RoW</t>
  </si>
  <si>
    <t>Calculation, water use</t>
  </si>
  <si>
    <t>Brailovsky (2026) GM 08-RW</t>
  </si>
  <si>
    <t>Z-PV-119</t>
  </si>
  <si>
    <t>Photovoltaic laminate, single-Si, at regional storage {RER} U</t>
  </si>
  <si>
    <t>Photovoltaic panel, single-Si, monofacial, at regional storage {RER} U</t>
  </si>
  <si>
    <t>Photovoltaic panel, single-Si, bifacial, TOPCon, at regional storage {RER} U</t>
  </si>
  <si>
    <t>Z-PV-118</t>
  </si>
  <si>
    <t>Market share European modules</t>
  </si>
  <si>
    <t>Market share Chinese modules</t>
  </si>
  <si>
    <t>Market share APAC modules</t>
  </si>
  <si>
    <t>Transport distance CN-EU: 19994 km, APAC-EU: 15026 km</t>
  </si>
  <si>
    <t>Transport distance 943 km</t>
  </si>
  <si>
    <t>Module weight</t>
  </si>
  <si>
    <t>Technology world market shares, mono-Si cells (2024)</t>
  </si>
  <si>
    <t>%</t>
  </si>
  <si>
    <t>weighting factor (PERC &amp; TOPCon only)</t>
  </si>
  <si>
    <t>PERC</t>
  </si>
  <si>
    <t>average efficiency</t>
  </si>
  <si>
    <t>TOPCon</t>
  </si>
  <si>
    <t>other</t>
  </si>
  <si>
    <t xml:space="preserve"> --</t>
  </si>
  <si>
    <t>Assumed shares, 60 cells &amp; 72 cells</t>
  </si>
  <si>
    <t>proportion of real production during Industry data (French tender) studies (Info provided by Nouha Gazbour in E-Mail, 9.9.25)</t>
  </si>
  <si>
    <t>Bifacial</t>
  </si>
  <si>
    <t>60 cells</t>
  </si>
  <si>
    <t>72 cells</t>
  </si>
  <si>
    <t>Monofacial</t>
  </si>
  <si>
    <t>3 biggest European producers</t>
  </si>
  <si>
    <t>Distance from Rotterdam to specific country</t>
  </si>
  <si>
    <t>Share</t>
  </si>
  <si>
    <t>Share new</t>
  </si>
  <si>
    <t>Germany</t>
  </si>
  <si>
    <t>maps.google</t>
  </si>
  <si>
    <t>Italy</t>
  </si>
  <si>
    <t>Spain</t>
  </si>
  <si>
    <t>Average</t>
  </si>
  <si>
    <t>Photovoltaic laminate, single-Si, at regional storage {US} U</t>
  </si>
  <si>
    <t>Photovoltaic panel, single-Si, monofacial, at regional storage {US} U</t>
  </si>
  <si>
    <t>Photovoltaic panel, single-Si, bifacial, TOPCon, at regional storage {US} U</t>
  </si>
  <si>
    <t>Z-PV-136</t>
  </si>
  <si>
    <t>Z-PV-137</t>
  </si>
  <si>
    <t>Market share US modules</t>
  </si>
  <si>
    <t>Transport distance CN-US: 20755 km, APAC-US: 18411 km</t>
  </si>
  <si>
    <t>Photovoltaic laminate, single-Si, at regional storage {APAC} U</t>
  </si>
  <si>
    <t>Photovoltaic panel, single-Si, monofacial, at regional storage {APAC} U</t>
  </si>
  <si>
    <t>Photovoltaic panel, single-Si, bifacial, TOPCon, at regional storage {APAC} U</t>
  </si>
  <si>
    <t>Z-PV-138</t>
  </si>
  <si>
    <t>Z-PV-139</t>
  </si>
  <si>
    <t>Transport distance CN-APAC:  4584 km</t>
  </si>
  <si>
    <t>Shares in total c-Si PV Production 2024</t>
  </si>
  <si>
    <t>data sources: IEA PVPS T1-48:2025; Solar Power Europe Market Outlook 2025; MESIA Solar Outlook Report 2025</t>
  </si>
  <si>
    <t>Production 2024</t>
  </si>
  <si>
    <t>Polysilicon</t>
  </si>
  <si>
    <t>Wafers</t>
  </si>
  <si>
    <t>Cells</t>
  </si>
  <si>
    <t>Modules</t>
  </si>
  <si>
    <t>Installations c-Si</t>
  </si>
  <si>
    <t>Production Thin-film</t>
  </si>
  <si>
    <t>Installations Total</t>
  </si>
  <si>
    <t>t</t>
  </si>
  <si>
    <t>MW</t>
  </si>
  <si>
    <t>China</t>
  </si>
  <si>
    <t>Asia &amp; Pacific</t>
  </si>
  <si>
    <t>Americas</t>
  </si>
  <si>
    <t>Europe</t>
  </si>
  <si>
    <t>Middle East and Africa</t>
  </si>
  <si>
    <t>Silicon demand</t>
  </si>
  <si>
    <t>t/MW</t>
  </si>
  <si>
    <t>According to IEA PVPS Trends in PV Applications 2025</t>
  </si>
  <si>
    <t>Polysilicon Production 
2024</t>
  </si>
  <si>
    <t>MEA</t>
  </si>
  <si>
    <t>Domestic Use</t>
  </si>
  <si>
    <t>Export</t>
  </si>
  <si>
    <t>poly-Si</t>
  </si>
  <si>
    <t>market shares</t>
  </si>
  <si>
    <t>total</t>
  </si>
  <si>
    <t>Total demand</t>
  </si>
  <si>
    <t>wafer</t>
  </si>
  <si>
    <t>Wafer Production 
2024</t>
  </si>
  <si>
    <t>cell</t>
  </si>
  <si>
    <t>c-Si Cell Production 
2024</t>
  </si>
  <si>
    <t>modules</t>
  </si>
  <si>
    <t>Total production / demand</t>
  </si>
  <si>
    <t>c-Si Module Production 
2024</t>
  </si>
  <si>
    <t>installations</t>
  </si>
  <si>
    <t>Photovoltaic laminate, CdTe, First Solar Series 6, at plant {MY} U</t>
  </si>
  <si>
    <t>Photovoltaic laminate, CdTe, First Solar Series 6, at plant {US} U</t>
  </si>
  <si>
    <t>Photovoltaic laminate, CdTe, First Solar Series 6, at plant {VN} U</t>
  </si>
  <si>
    <t>Z-PV-088</t>
  </si>
  <si>
    <t>2020 data for First Solar in US, Malaysia and Vietnam</t>
  </si>
  <si>
    <t>Natural gas, burned in boiler modulating &gt;100kW {RER} U</t>
  </si>
  <si>
    <t>Photovoltaic panel factory CdTe {US} U</t>
  </si>
  <si>
    <t>Cadmium telluride, semiconductor-grade, at plant {US} U</t>
  </si>
  <si>
    <t>Flat glass, uncoated, at plant {RER} U</t>
  </si>
  <si>
    <t>Fthenakis, literature</t>
  </si>
  <si>
    <t>Chromium steel 18/8, at plant {RER} U</t>
  </si>
  <si>
    <t>2015 and 2017-2018 (estimated) data for First Solar in US and Malaysia</t>
  </si>
  <si>
    <t>Assumption</t>
  </si>
  <si>
    <t>2010 data for First Solar in Malaysia</t>
  </si>
  <si>
    <t>2015 and 2017-2018 (estimated) data for First Solar in US</t>
  </si>
  <si>
    <t>2015 and 2017-2018 (estimated) data for First Solar in Malaysia</t>
  </si>
  <si>
    <t>emissions air, high population density</t>
  </si>
  <si>
    <t>46% evaporation of tap water; Personal communication Parikhit Sinha, FirstSolar</t>
  </si>
  <si>
    <t>Difference of tap water supply and wastewater outflow</t>
  </si>
  <si>
    <t>Methane, trifluoro-, HFC-23</t>
  </si>
  <si>
    <t>Nitric acid</t>
  </si>
  <si>
    <t>emissions water, unspecified</t>
  </si>
  <si>
    <t>Suspended solids, unspecified</t>
  </si>
  <si>
    <t>Photovoltaic laminate, CdTe, First Solar Series 7, at plant {US} U</t>
  </si>
  <si>
    <t>Photovoltaic laminate, CdTe, First Solar Series 7, at plant {IN} U</t>
  </si>
  <si>
    <t>Z-PV-006</t>
  </si>
  <si>
    <t>Z-PV-007</t>
  </si>
  <si>
    <t xml:space="preserve"> 2022 data for First Solar in US</t>
  </si>
  <si>
    <t xml:space="preserve"> 2022 data for First Solar in India</t>
  </si>
  <si>
    <t xml:space="preserve"> 2022 data for First Solar in US and estimate for additional 2023 usage;  not applicable in India due to warm climate</t>
  </si>
  <si>
    <t xml:space="preserve"> Assumption</t>
  </si>
  <si>
    <t xml:space="preserve"> 2023 data for First Solar in US (tracker back-rail), India (fixed-tilt back-rail)</t>
  </si>
  <si>
    <t xml:space="preserve"> 2023 data for First Solar in US, India</t>
  </si>
  <si>
    <t xml:space="preserve"> Fthenakis, literature, sum up of several materials</t>
  </si>
  <si>
    <t xml:space="preserve"> Fthenakis, literature</t>
  </si>
  <si>
    <t xml:space="preserve"> 2022 data for First Solar; 60% reuse in India</t>
  </si>
  <si>
    <t xml:space="preserve"> 2022 data for First Solar in US; 50% average capacity utilization</t>
  </si>
  <si>
    <t xml:space="preserve"> 2022 data for First Solar in US; zero-liquid discharge in India</t>
  </si>
  <si>
    <t xml:space="preserve"> Calculation</t>
  </si>
  <si>
    <t xml:space="preserve"> 2020 data for First Solar in US)</t>
  </si>
  <si>
    <t xml:space="preserve"> 2022 data for First Solar in US)</t>
  </si>
  <si>
    <t>Photovoltaic laminate, CdTe, mix, at regional storage {RER} U</t>
  </si>
  <si>
    <t>CdTe module import from US</t>
  </si>
  <si>
    <t>CdTe module import from Malaysia</t>
  </si>
  <si>
    <t>CdTe module import from Vietnam</t>
  </si>
  <si>
    <t>Import of modules from the US 6469 km, from Malaysia 14783 km, and from Vietnam 18672 km to Rotterdam</t>
  </si>
  <si>
    <t>Average transport distance from Rotterdam to Europe is 943 km</t>
  </si>
  <si>
    <t>Prodcution 2024</t>
  </si>
  <si>
    <t>Source: calculated from E-Mail information by Abeer Ali Khan (24.11.2025) on production shares of Series and information on total production volume.</t>
  </si>
  <si>
    <t>Only S6 installed in Europe</t>
  </si>
  <si>
    <t>Country</t>
  </si>
  <si>
    <t>S6 (GW)</t>
  </si>
  <si>
    <t>S6 %</t>
  </si>
  <si>
    <t>S7 (GW)</t>
  </si>
  <si>
    <t>S7 %</t>
  </si>
  <si>
    <t>Total (GW)</t>
  </si>
  <si>
    <t>USA</t>
  </si>
  <si>
    <t>TOTAL</t>
  </si>
  <si>
    <t>Z-PV-151</t>
  </si>
  <si>
    <t>Photovoltaic laminate, CdTe, mix, at regional storage {US} U</t>
  </si>
  <si>
    <t>CdTe Series 6 (domestic production and imports)</t>
  </si>
  <si>
    <t>CdTe Series 7 (domestic production and imports)</t>
  </si>
  <si>
    <t>Assumption: 30 % of Series 6 and Series 7 modules imported from Southeast Asia</t>
  </si>
  <si>
    <t>Average transport distance of 500 km assumed</t>
  </si>
  <si>
    <t>Index Number</t>
  </si>
  <si>
    <t>Input Group</t>
  </si>
  <si>
    <t>Output Group</t>
  </si>
  <si>
    <t>Subcategory</t>
  </si>
  <si>
    <t>Infrastructure Process</t>
  </si>
  <si>
    <t>Photovoltaic panel, perovskite-Si-tandem, at plant {DE} U</t>
  </si>
  <si>
    <t>Uncertainty Type</t>
  </si>
  <si>
    <t>Standard Deviation 95%</t>
  </si>
  <si>
    <t>General Comment</t>
  </si>
  <si>
    <t>resources, in water</t>
  </si>
  <si>
    <t>Water, cooling, unspecified natural origin, DE</t>
  </si>
  <si>
    <t>(2,3,1,1,1,5); cooling water, from natural origin; de Wild-Scholten, M. 2017. Deliverable 3.1 Life Cycle Analysis of CHEOPS technologies and benchmarking: Screening. Available online.</t>
  </si>
  <si>
    <t>cooling water, from natural origin</t>
  </si>
  <si>
    <t>de Wild-Scholten, M. 2017. Deliverable 3.1 Life Cycle Analysis of CHEOPS technologies and benchmarking: Screening. Available online.</t>
  </si>
  <si>
    <t>(2,3,1,1,1,5)</t>
  </si>
  <si>
    <t>(2,3,1,1,1,5); Monocrystalline silicone solar cell without the grid, 156mm x 156mm; de Wild-Scholten, M. 2017. Deliverable 3.1 Life Cycle Analysis of CHEOPS technologies and benchmarking: Screening. Available online.</t>
  </si>
  <si>
    <t>Monocrystalline silicone solar cell without the grid, 156mm x 156mm</t>
  </si>
  <si>
    <t>(2,3,1,1,1,5); Factory; de Wild-Scholten, M. 2017. Deliverable 3.1 Life Cycle Analysis of CHEOPS technologies and benchmarking: Screening. Available online.</t>
  </si>
  <si>
    <t>Factory</t>
  </si>
  <si>
    <t>(2,3,1,1,1,5); electricity from external supply; de Wild-Scholten, M. 2017. Deliverable 3.1 Life Cycle Analysis of CHEOPS technologies and benchmarking: Screening. Available online.</t>
  </si>
  <si>
    <t>electricity from external supply</t>
  </si>
  <si>
    <t>(2,3,1,1,1,5); Lead iodide; de Wild-Scholten, M. 2017. Deliverable 3.1 Life Cycle Analysis of CHEOPS technologies and benchmarking: Screening. Available online.</t>
  </si>
  <si>
    <t>Lead iodide</t>
  </si>
  <si>
    <t>Methyl iodide {RER} U</t>
  </si>
  <si>
    <t>(2,3,1,1,1,5); Methyl iodide; de Wild-Scholten, M. 2017. Deliverable 3.1 Life Cycle Analysis of CHEOPS technologies and benchmarking: Screening. Available online.</t>
  </si>
  <si>
    <t>Methyl iodide</t>
  </si>
  <si>
    <t>Ethylene bromide, at plant {RER} U</t>
  </si>
  <si>
    <t>(2,3,1,1,1,5); Ethylene bromide; de Wild-Scholten, M. 2017. Deliverable 3.1 Life Cycle Analysis of CHEOPS technologies and benchmarking: Screening. Available online.</t>
  </si>
  <si>
    <t>Ethylene bromide</t>
  </si>
  <si>
    <t>(2,3,1,1,1,5); C60 fullerene; de Wild-Scholten, M. 2017. Deliverable 3.1 Life Cycle Analysis of CHEOPS technologies and benchmarking: Screening. Available online.</t>
  </si>
  <si>
    <t>C60 fullerene</t>
  </si>
  <si>
    <t>(2,3,1,1,1,5); Spiro-OMeTAD: 2,2’,7,7’-Tetrakis-(N,N-di-4-methoxyphenylamino)-9,9’-spirobifluorene; de Wild-Scholten, M. 2017. Deliverable 3.1 Life Cycle Analysis of CHEOPS technologies and benchmarking: Screening. Available online.</t>
  </si>
  <si>
    <t>Spiro-OMeTAD: 2,2’,7,7’-Tetrakis-(N,N-di-4-methoxyphenylamino)-9,9’-spirobifluorene</t>
  </si>
  <si>
    <t>(2,3,1,1,1,5); Solvent 1, organic, no halogen containing; de Wild-Scholten, M. 2017. Deliverable 3.1 Life Cycle Analysis of CHEOPS technologies and benchmarking: Screening. Available online.</t>
  </si>
  <si>
    <t>Solvent 1, organic, no halogen containing</t>
  </si>
  <si>
    <t>(2,3,1,1,1,5); Solvent 2, organic, halogen containing; de Wild-Scholten, M. 2017. Deliverable 3.1 Life Cycle Analysis of CHEOPS technologies and benchmarking: Screening. Available online.</t>
  </si>
  <si>
    <t>Solvent 2, organic, halogen containing</t>
  </si>
  <si>
    <t>Indium, at regional storage {RER} U</t>
  </si>
  <si>
    <t>(2,3,1,1,1,5); Indium Tin Oxide; de Wild-Scholten, M. 2017. Deliverable 3.1 Life Cycle Analysis of CHEOPS technologies and benchmarking: Screening. Available online.</t>
  </si>
  <si>
    <t>Indium Tin Oxide</t>
  </si>
  <si>
    <t>(2,3,1,1,1,5); Conductive Adhesive: NAMICS H9455: 85-95% Ag, &lt;5% resins (phenolyc/epoxy), &lt;5% additives, 5-10% ethylene glycol monophenyl ether (MSDS H9455-21); de Wild-Scholten, M. 2017. Deliverable 3.1 Life Cycle Analysis of CHEOPS technologies and benchmarking: Screening. Available online.</t>
  </si>
  <si>
    <t>Conductive Adhesive: NAMICS H9455: 85-95% Ag, &lt;5% resins (phenolyc/epoxy), &lt;5% additives, 5-10% ethylene glycol monophenyl ether (MSDS H9455-21)</t>
  </si>
  <si>
    <t>Phenolic resin, at plant {RER} U</t>
  </si>
  <si>
    <t>Diphenylether-compounds, at regional storehouse {RER} U</t>
  </si>
  <si>
    <t>(2,3,1,1,1,5); Silver paste; de Wild-Scholten, M. 2017. Deliverable 3.1 Life Cycle Analysis of CHEOPS technologies and benchmarking: Screening. Available online.</t>
  </si>
  <si>
    <t>Silver paste</t>
  </si>
  <si>
    <t>(2,3,1,1,1,5); Front glass; de Wild-Scholten, M. 2017. Deliverable 3.1 Life Cycle Analysis of CHEOPS technologies and benchmarking: Screening. Available online.</t>
  </si>
  <si>
    <t>Front glass</t>
  </si>
  <si>
    <t>(2,3,1,1,1,5); Tempering, flat glass; de Wild-Scholten, M. 2017. Deliverable 3.1 Life Cycle Analysis of CHEOPS technologies and benchmarking: Screening. Available online.</t>
  </si>
  <si>
    <t>Tempering, flat glass</t>
  </si>
  <si>
    <t>(2,3,1,1,1,5); Backside glass; de Wild-Scholten, M. 2017. Deliverable 3.1 Life Cycle Analysis of CHEOPS technologies and benchmarking: Screening. Available online.</t>
  </si>
  <si>
    <t>Backside glass</t>
  </si>
  <si>
    <t>(2,3,1,1,1,5); Ethylvinylacetate foil; de Wild-Scholten, M. 2017. Deliverable 3.1 Life Cycle Analysis of CHEOPS technologies and benchmarking: Screening. Available online.</t>
  </si>
  <si>
    <t>Ethylvinylacetate foil</t>
  </si>
  <si>
    <t>(2,3,1,1,1,5); String copper; de Wild-Scholten, M. 2017. Deliverable 3.1 Life Cycle Analysis of CHEOPS technologies and benchmarking: Screening. Available online.</t>
  </si>
  <si>
    <t>String copper</t>
  </si>
  <si>
    <t>(2,3,1,1,1,5); String tin; de Wild-Scholten, M. 2017. Deliverable 3.1 Life Cycle Analysis of CHEOPS technologies and benchmarking: Screening. Available online.</t>
  </si>
  <si>
    <t>String tin</t>
  </si>
  <si>
    <t>(2,3,1,1,1,5); String lead; de Wild-Scholten, M. 2017. Deliverable 3.1 Life Cycle Analysis of CHEOPS technologies and benchmarking: Screening. Available online.</t>
  </si>
  <si>
    <t>String lead</t>
  </si>
  <si>
    <t>(2,3,1,1,1,5); Soldering flux: propanol; de Wild-Scholten, M. 2017. Deliverable 3.1 Life Cycle Analysis of CHEOPS technologies and benchmarking: Screening. Available online.</t>
  </si>
  <si>
    <t>Soldering flux: propanol</t>
  </si>
  <si>
    <t>(2,3,1,1,1,5); Junction box; de Wild-Scholten, M. 2017. Deliverable 3.1 Life Cycle Analysis of CHEOPS technologies and benchmarking: Screening. Available online.</t>
  </si>
  <si>
    <t>(2,3,1,1,1,5); Bypass diode; de Wild-Scholten, M. 2017. Deliverable 3.1 Life Cycle Analysis of CHEOPS technologies and benchmarking: Screening. Available online.</t>
  </si>
  <si>
    <t>Bypass diode</t>
  </si>
  <si>
    <t>(2,3,1,1,1,5); Silicone; de Wild-Scholten, M. 2017. Deliverable 3.1 Life Cycle Analysis of CHEOPS technologies and benchmarking: Screening. Available online.</t>
  </si>
  <si>
    <t>Silicone</t>
  </si>
  <si>
    <t>(2,3,1,1,1,5); Module frame: aluminium; de Wild-Scholten, M. 2017. Deliverable 3.1 Life Cycle Analysis of CHEOPS technologies and benchmarking: Screening. Available online.</t>
  </si>
  <si>
    <t>Module frame: aluminium</t>
  </si>
  <si>
    <t>(2,3,1,1,1,5); Cardboard for packaging; de Wild-Scholten, M. 2017. Deliverable 3.1 Life Cycle Analysis of CHEOPS technologies and benchmarking: Screening. Available online.</t>
  </si>
  <si>
    <t>Cardboard for packaging</t>
  </si>
  <si>
    <t>(2,3,1,1,1,5); wooden pallet; de Wild-Scholten, M. 2017. Deliverable 3.1 Life Cycle Analysis of CHEOPS technologies and benchmarking: Screening. Available online.</t>
  </si>
  <si>
    <t>wooden pallet</t>
  </si>
  <si>
    <t>(2,3,1,1,1,5); Transport lorry; de Wild-Scholten, M. 2017. Deliverable 3.1 Life Cycle Analysis of CHEOPS technologies and benchmarking: Screening. Available online.</t>
  </si>
  <si>
    <t>Transport lorry</t>
  </si>
  <si>
    <t>(2,3,1,1,1,5); Transport ship; de Wild-Scholten, M. 2017. Deliverable 3.1 Life Cycle Analysis of CHEOPS technologies and benchmarking: Screening. Available online.</t>
  </si>
  <si>
    <t>Transport ship</t>
  </si>
  <si>
    <t>(2,3,1,1,1,5); EVA cutting loss; de Wild-Scholten, M. 2017. Deliverable 3.1 Life Cycle Analysis of CHEOPS technologies and benchmarking: Screening. Available online.</t>
  </si>
  <si>
    <t>EVA cutting loss</t>
  </si>
  <si>
    <t>(2,3,1,1,1,5); organic solvent (halogen free), halogen contatining solvent, PB + halogen contating solvent; de Wild-Scholten, M. 2017. Deliverable 3.1 Life Cycle Analysis of CHEOPS technologies and benchmarking: Screening. Available online.</t>
  </si>
  <si>
    <t>organic solvent (halogen free), halogen contatining solvent, PB + halogen contating solvent</t>
  </si>
  <si>
    <t>emission emissions to air, high. pop.</t>
  </si>
  <si>
    <t>(2,3,1,1,1,5); Lead to air; de Wild-Scholten, M. 2017. Deliverable 3.1 Life Cycle Analysis of CHEOPS technologies and benchmarking: Screening. Available online.</t>
  </si>
  <si>
    <t>Lead to air</t>
  </si>
  <si>
    <t>emission emissions to water, unspecified</t>
  </si>
  <si>
    <t>(2,3,1,1,1,5); Lead to water; de Wild-Scholten, M. 2017. Deliverable 3.1 Life Cycle Analysis of CHEOPS technologies and benchmarking: Screening. Available online.</t>
  </si>
  <si>
    <t>Lead to water</t>
  </si>
  <si>
    <t>Water</t>
  </si>
  <si>
    <t>(3,3,1,1,1,5); Cooling water emissions (5% of used cooling water); Estmated based Frischknecht and Büsser (2013)</t>
  </si>
  <si>
    <t>Cooling water emissions (5% of used cooling water)</t>
  </si>
  <si>
    <t>Estmated based Frischknecht and Büsser (2013)</t>
  </si>
  <si>
    <t>(3,3,1,1,1,5)</t>
  </si>
  <si>
    <t>ecoinvent 3.3 dataset for methyl iodide production RER</t>
  </si>
  <si>
    <t>Heat, unspecific, in chemical plant {RER} U</t>
  </si>
  <si>
    <t>Iodine {RER} U</t>
  </si>
  <si>
    <t>Methanol, at plant {GLO} U</t>
  </si>
  <si>
    <t>Iodide</t>
  </si>
  <si>
    <t>Iodine</t>
  </si>
  <si>
    <t xml:space="preserve">ecoinvent 3.3 dataset iodine production, RER </t>
  </si>
  <si>
    <t>Water, salt, sole</t>
  </si>
  <si>
    <t>Chlorine, liquid, production mix, at plant {RER} U</t>
  </si>
  <si>
    <t>ecoinvent 3.3 dataset for ethylene bromide production RER</t>
  </si>
  <si>
    <t>Bromine, at plant {RER} U</t>
  </si>
  <si>
    <t>Ethylene, average, at plant {RER} U</t>
  </si>
  <si>
    <t>Ethene</t>
  </si>
  <si>
    <t>Bromine</t>
  </si>
  <si>
    <t>Takeback and recycling, c-Si PV module {RER} U</t>
  </si>
  <si>
    <t>Weighted average Recyclers 1-4</t>
  </si>
  <si>
    <t>Weighted average of data from recyclers</t>
  </si>
  <si>
    <t>Transport, freight, lorry 3.5-7.5 metric ton, EURO 5 {RER} U</t>
  </si>
  <si>
    <t>Latunussa et al. 2016</t>
  </si>
  <si>
    <t>Avoided burden from recycling, c-Si PV module {RER} U</t>
  </si>
  <si>
    <t>Avoided primary glass production materials; Weighted average of data from recyclers</t>
  </si>
  <si>
    <t>Held and Ilg 2011; KBOB LCI data DQRv2:2015</t>
  </si>
  <si>
    <t>Held and Ilg 2011; KBOB LCI data DQRv2:2016</t>
  </si>
  <si>
    <t>Soda, powder, at plant {RER} U</t>
  </si>
  <si>
    <t>Limestone, milled, packed, at plant {CH} U</t>
  </si>
  <si>
    <t>Avoided primary copper production materials from junction box and cables; Recycling content of copper is 44 % according to KBOB-list; Weighted average of data from recyclers</t>
  </si>
  <si>
    <t>KBOB LCI data DQRv2:2016</t>
  </si>
  <si>
    <t>Copper, secondary, at refinery {RER} U</t>
  </si>
  <si>
    <t>Efforts for making secondary copper from scrap</t>
  </si>
  <si>
    <t>Avoided primary aluminium production materials from frame; Recycling content of AlMg3 alloy is 77 % according to KBOB-list; Weighted average of data from recyclers</t>
  </si>
  <si>
    <t>Aluminium, secondary, from old scrap, at plant {RER} U</t>
  </si>
  <si>
    <t>Efforts for making secondary aluminium from scrap</t>
  </si>
  <si>
    <t>Wp/m2</t>
  </si>
  <si>
    <t>Treatment, c-Si PV module {RER} U</t>
  </si>
  <si>
    <t>Glass cullets, recovered from c-Si PV module treatment {RER} U</t>
  </si>
  <si>
    <t>Aluminium scrap, recovered from c-Si PV module treatment {RER} U</t>
  </si>
  <si>
    <t>Copper scrap, recovered from c-Si PV module treatment {RER} U</t>
  </si>
  <si>
    <t>takeback and recycling, c-Si PV module</t>
  </si>
  <si>
    <t>Weighted average of data from recyclers; Economic allocation</t>
  </si>
  <si>
    <t>174-001-010</t>
  </si>
  <si>
    <t>PV PEF Pilot</t>
  </si>
  <si>
    <t>Takeback and recycling, CdTe PV module {DE} U</t>
  </si>
  <si>
    <t>CdTe PV module takeback + recycling</t>
  </si>
  <si>
    <t>Sinha et al. 2012</t>
  </si>
  <si>
    <t>Water, deionised, at plant {CH} U</t>
  </si>
  <si>
    <t>Sinha et al. 2012; Latanussa et al. 2016</t>
  </si>
  <si>
    <t>Avoided burden from recycling, CdTe PV module {DE} U</t>
  </si>
  <si>
    <t>Cadmium sludge, from zinc electrolysis, at plant {GLO} U</t>
  </si>
  <si>
    <t>Copper telluride cement, from copper production {GLO} U</t>
  </si>
  <si>
    <t>Treatment, CdTe PV module {DE} U</t>
  </si>
  <si>
    <t>Glass cullets, recovered from CdTe PV module treatment {DE} U</t>
  </si>
  <si>
    <t>Copper scrap, recovered from CdTe PV module treatment {DE} U</t>
  </si>
  <si>
    <t>Cadmium sludge, recovered from CdTe PV module treatment {DE} U</t>
  </si>
  <si>
    <t>Copper telluride cement, recovered from CdTe PV module treatment {DE} U</t>
  </si>
  <si>
    <t>takeback and recycling, CdTe PV module</t>
  </si>
  <si>
    <t>Facade construction, mounted, at building {RER} U</t>
  </si>
  <si>
    <t>Facade construction, integrated, at building {RER} U</t>
  </si>
  <si>
    <t>Flat roof construction, on roof {RER} U</t>
  </si>
  <si>
    <t>Slanted-roof construction, mounted, on roof {RER} U</t>
  </si>
  <si>
    <t>Slanted-roof construction, integrated, on roof {RER} U</t>
  </si>
  <si>
    <t>Open ground construction, on ground {RER} U</t>
  </si>
  <si>
    <t>Slanted-roof construction, mounted, on roof, Stade de Suisse {CH} U</t>
  </si>
  <si>
    <t>Aluminium, production mix, wrought alloy, at plant {RER} U</t>
  </si>
  <si>
    <t>(1,2,1,1,1,na); Literature and own estimations</t>
  </si>
  <si>
    <t>(3,4,3,1,3,5); Schwarz et al. 1992</t>
  </si>
  <si>
    <t>(1,2,1,1,1,na); Literature and own estimations, recycled PE</t>
  </si>
  <si>
    <t>Polystyrene, high impact, HIPS, at plant {RER} U</t>
  </si>
  <si>
    <t>Polyurethane, flexible foam, at plant {RER} U</t>
  </si>
  <si>
    <t>Synthetic rubber, at plant {RER} U</t>
  </si>
  <si>
    <t>steel</t>
  </si>
  <si>
    <t>(2,3,1,1,1,5); Literature and own estimations</t>
  </si>
  <si>
    <t>Gravel, unspecified, at mine {CH} U</t>
  </si>
  <si>
    <t>(3,4,3,1,3,5); not accounted</t>
  </si>
  <si>
    <t>(3,4,3,1,3,5); Fence foundation</t>
  </si>
  <si>
    <t>manufacturing</t>
  </si>
  <si>
    <t>Section bar extrusion, aluminium {RER} U</t>
  </si>
  <si>
    <t>(3,4,3,1,3,5); Estimation</t>
  </si>
  <si>
    <t>Section bar rolling, steel {RER} U</t>
  </si>
  <si>
    <t>(3,4,3,1,3,5); Brunschweiler 1993</t>
  </si>
  <si>
    <t>(3,4,3,1,3,5); Mesh wire fence</t>
  </si>
  <si>
    <t>Zinc coating, coils {RER} U</t>
  </si>
  <si>
    <t>(3,4,3,1,3,5); Fence</t>
  </si>
  <si>
    <t>(4,5,na,na,na,na); Standard distance 50km</t>
  </si>
  <si>
    <t>(4,5,na,na,na,na); Standard distances 200km, 600km</t>
  </si>
  <si>
    <t>Transport, freight, light commercial vehicle {RER} U</t>
  </si>
  <si>
    <t>(3,4,3,1,3,5); 100km to construction place</t>
  </si>
  <si>
    <t>Disposal, packaging cardboard, 19.6% water, to municipal incineration {CH} U</t>
  </si>
  <si>
    <t>(3,4,3,1,3,5); Calculated with use</t>
  </si>
  <si>
    <t>Disposal, building, polyethylene/polypropylene products, to final disposal {CH} U</t>
  </si>
  <si>
    <t>(3,4,3,1,3,5); Disposal of plastics parts at end of life</t>
  </si>
  <si>
    <t>Disposal, building, polystyrene isolation, flame-retardant, to final disposal {CH} U</t>
  </si>
  <si>
    <t>(3,4,3,1,3,5); Tucson Electric Power</t>
  </si>
  <si>
    <t>(1,3,2,3,3,5); Literature and own estimations</t>
  </si>
  <si>
    <t>(3,3,2,3,3,5); Literature and own estimations</t>
  </si>
  <si>
    <t>(3,3,2,3,3,5); Assumed life time: 30 a</t>
  </si>
  <si>
    <t>Rest</t>
  </si>
  <si>
    <t>fixed tilt</t>
  </si>
  <si>
    <t>1-axis tracker</t>
  </si>
  <si>
    <t>Open ground construction, utility scale, on ground {RER} U</t>
  </si>
  <si>
    <t>Open ground construction, 1-axis tracker, utility scale, on ground {RER} U</t>
  </si>
  <si>
    <t>Z-PV-239</t>
  </si>
  <si>
    <t>Z-PV-249</t>
  </si>
  <si>
    <t>energy use</t>
  </si>
  <si>
    <t xml:space="preserve"> na</t>
  </si>
  <si>
    <t xml:space="preserve">Electricity use in manufacturing of steel parts (0.373 kWh/m2). 
The electricity use of the electric tracker motor during 30 years (total: 3.2255 kWh/m2) needs to be included in the modelling of the installation (PV plant) dataset.
Electricity required for assembly and disassembly of the system needs to be included in the modeling of the installation (PV plant) dataset. </t>
  </si>
  <si>
    <t>based on datasheets, assembly manuals, own calculations</t>
  </si>
  <si>
    <t>Primary data from 1-axis tracker systems installed in Italy.</t>
  </si>
  <si>
    <t>Steel, electric, un- and low-alloyed, at plant {RER} U</t>
  </si>
  <si>
    <t>Electric motor, electric vehicle, at plant {RER} U</t>
  </si>
  <si>
    <t>estimated</t>
  </si>
  <si>
    <t>estimated value</t>
  </si>
  <si>
    <t>Electronics for control units {RER} U</t>
  </si>
  <si>
    <t>Ethylene vinyl acetate copolymer, at plant {RER} U</t>
  </si>
  <si>
    <t>Extrusion, plastic pipes {RER} U</t>
  </si>
  <si>
    <t>Standard distance 50 km</t>
  </si>
  <si>
    <t>Standard distance 600 km</t>
  </si>
  <si>
    <t>100 km to construction place</t>
  </si>
  <si>
    <t>100 km to construction site.</t>
  </si>
  <si>
    <t xml:space="preserve">Imported electrical and electronical components. </t>
  </si>
  <si>
    <t>Disposal of plastic parts at end of life</t>
  </si>
  <si>
    <t>Literature and own estimations; land use of PV system: 2 m2/m2 of module. Additional land use for buildings and roads: 0.25 m2/m2 of module</t>
  </si>
  <si>
    <t>information</t>
  </si>
  <si>
    <t>total weight, materials</t>
  </si>
  <si>
    <t>Sum from the inventory</t>
  </si>
  <si>
    <t>total weight, structure</t>
  </si>
  <si>
    <t>IT</t>
  </si>
  <si>
    <t>Mittelwert</t>
  </si>
  <si>
    <t>Gewicht_inkl_Ausreisser und "&lt;"</t>
  </si>
  <si>
    <t>mit installierter Leistung gewichtetes Gewicht</t>
  </si>
  <si>
    <t>Electric installation, photovoltaic plant, at plant {CH} U</t>
  </si>
  <si>
    <t>Literature, recycled after use</t>
  </si>
  <si>
    <t>Brass, at plant {CH} U</t>
  </si>
  <si>
    <t>Nylon 6, at plant {RER} U</t>
  </si>
  <si>
    <t>Literature incl. different plastics and Radox insulation</t>
  </si>
  <si>
    <t>Polyvinylchloride, bulk polymerised, at plant {RER} U</t>
  </si>
  <si>
    <t>Polycarbonate, at plant {RER} U</t>
  </si>
  <si>
    <t>Transport, freight, lorry 16-32 metric ton, fleet average, Betrieb {CH} U</t>
  </si>
  <si>
    <t>Standard distance 60km incl. disposal</t>
  </si>
  <si>
    <t>Transport, freight, rail, electricity with shunting, Betrieb {CH} U</t>
  </si>
  <si>
    <t>Standard distances 200km (metals 600km)</t>
  </si>
  <si>
    <t>Elektronikabfaelle</t>
  </si>
  <si>
    <t>Disposal, plastic, industr. electronics, 15.3% water, to municipal incineration {CH} U</t>
  </si>
  <si>
    <t>Disposal, building, electric wiring, to final disposal {CH} U</t>
  </si>
  <si>
    <t>Z-PV-238</t>
  </si>
  <si>
    <t>Electric installation, utility scale, open ground {RER} U</t>
  </si>
  <si>
    <t>Cu conductor DC+AC = 23748 kg / 44438 m². Based on manufacturer datasheets (see X-Process Z-PV-238 for length/quantity assumptions). Transformer Cu in Z-PV-276.</t>
  </si>
  <si>
    <t>Polyethylene, LLDPE, granulate, at plant {RER} U</t>
  </si>
  <si>
    <t>DC insulation+sheath (XLPO) = 0.1121 kg/m²; proxy LLDPE. Based on manufacturer datasheets.</t>
  </si>
  <si>
    <t>AC insulation (EPR) = 0.01674 kg/m²; proxy EPDM {RER} (incl. compounding). Based on manufacturer datasheets.</t>
  </si>
  <si>
    <t>AC outer sheath (halogen-free TPO) = 0.01966 kg/m²; proxy LLDPE. Based on manufacturer datasheets.</t>
  </si>
  <si>
    <t>Z-PV-276</t>
  </si>
  <si>
    <t>Transformer, oil-immersed, 2.5 MW, at plant {RER} U</t>
  </si>
  <si>
    <t xml:space="preserve">Transformer, oil-immersed, 2500 kVA, 20/0.4 kV; 4 units / 44438 m2 = 9.0013e-05 p/m2. </t>
  </si>
  <si>
    <t>Building, hall, steel construction {CH} U</t>
  </si>
  <si>
    <t>Trafo station buildings (4 × 10 m2 = 40 m2 / 44438 m2 = 9.0013e-04 m2/m2); proxy: building, hall, steel construction {CH}.</t>
  </si>
  <si>
    <t>Nylon 66, at plant {RER} U</t>
  </si>
  <si>
    <t>Cable ties PA66 UV-stabilised (OBO 565 7.6×200; 20 per table × 570 tables = 11400 pcs × 0.00287 kg/pc = 32.7 kg / 44438 m2 = 7.3586e-04 kg/m2).</t>
  </si>
  <si>
    <t>Wire drawing Cu = 0.5344 kg/m² (same total as Cu conductor). Based on manufacturer datasheets.</t>
  </si>
  <si>
    <t>Cable extrusion (DC + AC insulation + AC sheath) = 0.1485 kg/m². Based on manufacturer datasheets.</t>
  </si>
  <si>
    <t>Disposal, treatment of cables {GLO} U</t>
  </si>
  <si>
    <t>weight excl. transformer</t>
  </si>
  <si>
    <t>Z-PV-277</t>
  </si>
  <si>
    <t>Z-PV-274</t>
  </si>
  <si>
    <t>Z-PV-165</t>
  </si>
  <si>
    <t>Z-PV-162</t>
  </si>
  <si>
    <t>Inverter, 3 kW, at plant {RER} U</t>
  </si>
  <si>
    <t>Inverter, 5.5 kW, at plant {RER} U</t>
  </si>
  <si>
    <t>Inverter, 10 kW, average, at plant {GLO} U</t>
  </si>
  <si>
    <t>Inverter, 100 kW, average, at plant {GLO} U</t>
  </si>
  <si>
    <t>Electricity, medium voltage, production GLO, at grid {GLO} U</t>
  </si>
  <si>
    <t xml:space="preserve">(na,na,na,na,na,na,BU:1.05); ; </t>
  </si>
  <si>
    <t xml:space="preserve">(2,4,2,3,1,4,BU:1.05); Data from one leading manufacturer; </t>
  </si>
  <si>
    <t xml:space="preserve">(4,3,2,3,1,5,BU:1.05); Data extrapolated from 10 kW inverter based on inverter weight; </t>
  </si>
  <si>
    <t xml:space="preserve">(2,3,3,3,3,5,BU:1.05); Data from two European inverter manufacturers; </t>
  </si>
  <si>
    <t>individual components</t>
  </si>
  <si>
    <t>Aluminium, production mix, cast alloy, at plant {RER} U</t>
  </si>
  <si>
    <t xml:space="preserve">(3,4,2,3,1,4,BU:1.05); BoM of one inverter type (Andrea Danelli, RSE); recycled after use; </t>
  </si>
  <si>
    <t xml:space="preserve">(2,3,2,3,1,4,BU:1.05); BoM data from five manufacturers ; recycled after use; </t>
  </si>
  <si>
    <t xml:space="preserve">(2,3,3,3,3,5,BU:1.05); Data from three European inverter manufacturers ; recycled after use; </t>
  </si>
  <si>
    <t xml:space="preserve">(3,4,3,3,3,5,BU:1.05); Data from three European inverter manufacturers ; recycled after use; </t>
  </si>
  <si>
    <t>Aluminium hydroxide, at plant {RER} U</t>
  </si>
  <si>
    <t>(2,3,3,3,3,5,BU:1.05); Data from three European inverter manufacturers ; recycled after use; data on the production of three inverters by two European producers</t>
  </si>
  <si>
    <t xml:space="preserve">(3,4,3,3,4,5,BU:1.05); Data from three European inverter manufacturers ; recycled after use; </t>
  </si>
  <si>
    <t>Polyester resin, unsaturated, at plant {RER} U</t>
  </si>
  <si>
    <t>Epoxy resin insulator (Al2O3), at plant {RER} U</t>
  </si>
  <si>
    <t>Power supply unit, at plant {GLO} U</t>
  </si>
  <si>
    <t>LCD screen, at plant {GLO} U</t>
  </si>
  <si>
    <t>Printed wiring board, surface mounted, unspec., Pb free, at plant {GLO} U</t>
  </si>
  <si>
    <t>Fan, at plant {GLO} U</t>
  </si>
  <si>
    <t>Cable, three-conductor cable, at plant {GLO} U</t>
  </si>
  <si>
    <t xml:space="preserve">(na,na,na,na,na,BATMAN,BU:1.05); ; </t>
  </si>
  <si>
    <t>Cable, connector for computer, without plugs, at plant {GLO} U</t>
  </si>
  <si>
    <t>printed board assembly</t>
  </si>
  <si>
    <t>Printed wiring board, surface mount, lead-free surface, at plant {GLO} U</t>
  </si>
  <si>
    <t>Connector, clamp connection, at plant {GLO} U</t>
  </si>
  <si>
    <t>Inductor, ring core choke type, at plant {GLO} U</t>
  </si>
  <si>
    <t>Inductor, low value multilayer chip type, LMCI, at plant {GLO} U</t>
  </si>
  <si>
    <t>Inductor, miniature RF chip type, MRFI, at plant {GLO} U</t>
  </si>
  <si>
    <t>Integrated circuit, IC, logic type, at plant {GLO} U</t>
  </si>
  <si>
    <t>Integrated circuit, IC, memory type, at plant {GLO} U</t>
  </si>
  <si>
    <t>Insulated gate bipolar transistor, electric vehicle application {RER} U</t>
  </si>
  <si>
    <t xml:space="preserve">(3,4,2,3,1,4,BU:3); BoM of one inverter type (Andrea Danelli, RSE); recycled after use; </t>
  </si>
  <si>
    <t xml:space="preserve">(na,na,na,na,na,na,BU:3); ; </t>
  </si>
  <si>
    <t>Transistor, SMD type, surface mounting, at plant {GLO} U</t>
  </si>
  <si>
    <t>Diode, glass-, SMD type, surface mounting, at plant {GLO} U</t>
  </si>
  <si>
    <t>Light emitting diode, LED, at plant {GLO} U</t>
  </si>
  <si>
    <t>Capacitor, film, through-hole mounting, at plant {GLO} U</t>
  </si>
  <si>
    <t>Capacitor, electrolyte type, &gt; 2cm height, at plant {GLO} U</t>
  </si>
  <si>
    <t>Capacitor, electrolyte type, &lt; 2cm height, at plant {GLO} U</t>
  </si>
  <si>
    <t>Capacitor, SMD type, surface-mounting, at plant {GLO} U</t>
  </si>
  <si>
    <t>Resistor, metal film type, through-hole mounting, at plant {GLO} U</t>
  </si>
  <si>
    <t>Resistor, wirewound, through-hole mounting, at plant {GLO} U</t>
  </si>
  <si>
    <t>Resistor, SMD type, surface mounting, at plant {GLO} U</t>
  </si>
  <si>
    <t>Ferrite, at plant {GLO} U</t>
  </si>
  <si>
    <t>Transformer, low voltage use, at plant {GLO} U</t>
  </si>
  <si>
    <t>Switch, toggle type, at plant {GLO} U</t>
  </si>
  <si>
    <t>Plugs, inlet and outlet, for network cable, at plant {GLO} U</t>
  </si>
  <si>
    <t>Cable, ribbon cable, 20-pin, with plugs, at plant {GLO} U</t>
  </si>
  <si>
    <t>Electronic component, passive, unspecified, at plant {GLO} U</t>
  </si>
  <si>
    <t>Solder, paste, Sn63Pb37, for electronics industry, at plant {GLO} U</t>
  </si>
  <si>
    <t>processing</t>
  </si>
  <si>
    <t xml:space="preserve">(4,4,2,3,1,4,BU:1.05); Assumption based on BoM of one inverter type (Andrea Danelli, RSE); </t>
  </si>
  <si>
    <t xml:space="preserve">(4,3,2,3,1,4,BU:1.05); Assumption based on BoM of five manufacturers; </t>
  </si>
  <si>
    <t>(1,1,3,1,1,5,BU:1.05); Data from three European inverter manufacturers ; recycled after use; Applied  as well on the production data of an inverter of an European producer</t>
  </si>
  <si>
    <t>Casting, brass {CH} U</t>
  </si>
  <si>
    <t xml:space="preserve">(4,3,2,3,3,4,BU:1.05); ; </t>
  </si>
  <si>
    <t>Injection moulding {RER} U</t>
  </si>
  <si>
    <t>Production efforts, inductors {GLO} U</t>
  </si>
  <si>
    <t>Thermoforming, with calendering {RER} U</t>
  </si>
  <si>
    <t xml:space="preserve">(3,4,3,3,3,5,BU:1.05); data on the production of an inverter by a European producer; </t>
  </si>
  <si>
    <t>Chromium steel product manufacturing, average metal working {RER} U</t>
  </si>
  <si>
    <t>Aluminium product manufacturing, average metal working {RER} U</t>
  </si>
  <si>
    <t xml:space="preserve">(3,4,2,3,1,4,BU:1.05); Data extrapolated from 10 kW inverter based on inverter weight; </t>
  </si>
  <si>
    <t>Metal working factory {RER} U</t>
  </si>
  <si>
    <t xml:space="preserve">(4,3,3,3,1,4,BU:3); Data extrapolated from 10 kW inverter of report IEA-PVPS T12-19:2020 based on inverter weight; </t>
  </si>
  <si>
    <t xml:space="preserve">(1,1,3,1,1,5,BU:3); Calculation, based on annual production of electronic component production plant; taken from the ecoinvent v2.2 inverter dataset; </t>
  </si>
  <si>
    <t>Corrugated board, recycling fibre, double wall, at plant {RER} U</t>
  </si>
  <si>
    <t xml:space="preserve">(2,3,2,3,1,4,BU:1.05); Data from five manufacturers; </t>
  </si>
  <si>
    <t xml:space="preserve">(1,1,3,1,1,5,BU:1.05); data on the production of an inverter by a European producer; </t>
  </si>
  <si>
    <t>Folding boxboard, FBB, at plant {RER} U</t>
  </si>
  <si>
    <t xml:space="preserve">(2,3,2,3,1,4,BU:1.05); Data from five manufacturers; recycled after use; </t>
  </si>
  <si>
    <t>Paper, woodcontaining, LWC, at plant {RER} U</t>
  </si>
  <si>
    <t xml:space="preserve">(4,5,na,na,na,na,BU:2); Standard distance 60km incl. disposal; </t>
  </si>
  <si>
    <t xml:space="preserve">(4,5,na,na,na,na,BU:2); Standard distances 200km; </t>
  </si>
  <si>
    <t xml:space="preserve">(4,5,na,na,na,na,BU:2); Estimation: 18000km; </t>
  </si>
  <si>
    <t>emission emissions to air, unspecified</t>
  </si>
  <si>
    <t xml:space="preserve">(2,4,2,3,1,5,BU:1.05); Calculation; </t>
  </si>
  <si>
    <t xml:space="preserve">(2,3,1,1,1,5,BU:1.05); Calculation; </t>
  </si>
  <si>
    <t xml:space="preserve">(4,3,3,3,1,4,BU:1.05); Data extrapolated from 10 kW inverter of report IEA-PVPS T12-19:2020 based on inverter weight; </t>
  </si>
  <si>
    <t xml:space="preserve">(3,4,1,3,3,5,BU:1.05); data on the production of an inverter by a European producer; </t>
  </si>
  <si>
    <t xml:space="preserve">(3,4,4,3,1,5,BU:1.05); Calculated from tap water input; </t>
  </si>
  <si>
    <t xml:space="preserve">(3,3,4,3,1,5,BU:1.05); Calculated from tap water input; </t>
  </si>
  <si>
    <t xml:space="preserve">(2,3,1,5,1,5,BU:1.05); disposal of the packaging materials; </t>
  </si>
  <si>
    <t>Disposal, polyethylene, 0.4% water, to municipal incineration {CH} U</t>
  </si>
  <si>
    <t>Disposal, treatment of printed wiring boards {GLO} U</t>
  </si>
  <si>
    <t xml:space="preserve">(2,3,1,5,1,5,BU:1.05); Data from three European inverter manufacturers ; recycled after use; </t>
  </si>
  <si>
    <t>Steel, converter, unalloyed, at plant {RER} U</t>
  </si>
  <si>
    <t>GOES core, Si-alloying step. Base-steel fraction, own estimate. GOES modelled as 3% Si steel: base steel = 0.966 kg/kg GOES (= 1 - 0.034). Estimated.</t>
  </si>
  <si>
    <t>GOES core, Si-alloying step. Own estimate from 3% Si content: Si factor = 0.034 kg/kg GOES (0.03 Si / ~0.88 MG-silicon effectiveness). MG-silicon dataset used as proxy for ferrosilicon. Estimated.</t>
  </si>
  <si>
    <t>GOES core, hot rolling, 1 pass. Factor 1.000 kg/kg GOES.</t>
  </si>
  <si>
    <t>GOES core, cold rolling, 2 passes. Factor 2.000 kg/kg GOES.</t>
  </si>
  <si>
    <t>GOES core, annealing electricity (decarburisation, box annealing, heat flattening), ~1100 kWh/t. Own estimate from general industrial-furnace energy data. Estimated.</t>
  </si>
  <si>
    <t>Heat, natural gas, at industrial furnace 1MW {CH} U</t>
  </si>
  <si>
    <t>GOES core, heat for all annealing stages (decarburisation anneal, secondary recrystallisation / box anneal, stress-relief / heat flattening). Total specific heat demand ~4553 kJ/kg GOES, own estimate aggregated over stages from general batch-furnace energy data (typical reported range 3000-3500 kJ/kg for box-furnace annealing of cold-rolled grain-oriented strip). {CH} industrial furnace &gt;1 MW dataset used as geographical and scale proxy. Estimated.</t>
  </si>
  <si>
    <t>Transformer oil (mineral oil). Proxy: lubricating oil dataset. Based on manufacturer data.</t>
  </si>
  <si>
    <t>Al winding conductors, wrought alloy. Based on manufacturer data.</t>
  </si>
  <si>
    <t>Al winding, flat conductor rolling step. Based on manufacturer data.</t>
  </si>
  <si>
    <t>Al winding, general metalworking step. Based on manufacturer data.</t>
  </si>
  <si>
    <t>Structural steel (tank, frame, brackets). Residual mass. Source: manufacturer data.</t>
  </si>
  <si>
    <t>Conductor insulating paper. Al×0.115×0.48=34.11 kg.</t>
  </si>
  <si>
    <t>Fibreboard, hard, at plant {RER} U</t>
  </si>
  <si>
    <t>Transformer pressboard. Hard fibreboard (compressed cellulose) dataset used as proxy for pressboard. Estimated. Al×0.115×0.52=36.96 kg.</t>
  </si>
  <si>
    <t>Potting compound / adhesives.</t>
  </si>
  <si>
    <t>Copper (bushings, contacts).</t>
  </si>
  <si>
    <t>Stainless steel fittings.</t>
  </si>
  <si>
    <t>Sealing gaskets.</t>
  </si>
  <si>
    <t>External tank coating. Total×0.0024=13.61 kg.</t>
  </si>
  <si>
    <t>EoL transformer oil to hazardous waste incineration. = oil input mass (cut-off).</t>
  </si>
  <si>
    <t>Disposal, paper, 11.2% water, to municipal incineration {CH} U</t>
  </si>
  <si>
    <t>EoL insulating paper + pressboard to municipal incineration. 34.11+36.96 kg.</t>
  </si>
  <si>
    <t>EoL epoxy resin to municipal incineration. Plastics mixture used as proxy. Estimated.</t>
  </si>
  <si>
    <t>Disposal, organic floor covering as construction waste, to municipal waste incineration, synthetic rubber {CH} U</t>
  </si>
  <si>
    <t>EoL sealing gaskets to municipal incineration. Synthetic rubber flooring used as proxy. Estimated.</t>
  </si>
  <si>
    <t>Disposal, building, paint on metal, to final disposal {CH} U</t>
  </si>
  <si>
    <t>EoL tank coating to final disposal.</t>
  </si>
  <si>
    <t>Z-PV-245</t>
  </si>
  <si>
    <t>Z-PV-246</t>
  </si>
  <si>
    <t>Z-PV-160</t>
  </si>
  <si>
    <t>Z-PV-161</t>
  </si>
  <si>
    <t>10 kWp slanted-roof installation, single-Si, panel, mounted, on roof {GLO} U</t>
  </si>
  <si>
    <t>250 kWp slanted-roof installation, single-Si, panel, mounted, on roof {GLO} U</t>
  </si>
  <si>
    <t>250 kWp slanted-roof installation, single-Si, laminate, integrated, on roof {GLO} U</t>
  </si>
  <si>
    <t>250 kWp flat-roof installation, single-Si, panel, mounted, on roof {GLO} U</t>
  </si>
  <si>
    <t>10 MW ground-mounted installation, single-Si, panel, on open ground {GLO} U</t>
  </si>
  <si>
    <t>Z-PV-030</t>
  </si>
  <si>
    <t>10 kWp facade installation, single-Si, laminate, integrated, at building {CH} U</t>
  </si>
  <si>
    <t>Z-PV-031</t>
  </si>
  <si>
    <t>10 kWp facade installation, single-Si, panel, mounted, at building {CH} U</t>
  </si>
  <si>
    <t>Z-PV-033</t>
  </si>
  <si>
    <t>10 kWp flat roof installation, single-Si, panel, mounted, on roof {CH} U</t>
  </si>
  <si>
    <t>Z-PV-038</t>
  </si>
  <si>
    <t>10 kWp slanted-roof installation, single-Si, laminate, integrated, on roof {CH} U</t>
  </si>
  <si>
    <t>Z-PV-039</t>
  </si>
  <si>
    <t>10 kWp slanted-roof installation, single-Si, panel, mounted, on roof {CH} U</t>
  </si>
  <si>
    <t>Z-PV-262</t>
  </si>
  <si>
    <t>Weight [kg]</t>
  </si>
  <si>
    <t>Z-PV-154</t>
  </si>
  <si>
    <t>10 kWp slanted-roof installation, single-Si, TOPCon, optimized fab., mounted, on roof {CH} U</t>
  </si>
  <si>
    <t>Z-PV-244</t>
  </si>
  <si>
    <t>Electricity, low voltage, at grid {GLO} U</t>
  </si>
  <si>
    <t>Electricity use for installation of PV plant</t>
  </si>
  <si>
    <t>Electricity, low voltage, at grid {CH} U</t>
  </si>
  <si>
    <t>Electricity use for erection of PV plant</t>
  </si>
  <si>
    <t>Diesel use for installation of PV plant</t>
  </si>
  <si>
    <t>1 replacement during the lifetime of the PV system</t>
  </si>
  <si>
    <t>Electric installation, 280 kWp photovoltaic plant, at plant {CH} U</t>
  </si>
  <si>
    <t>calculation with m2 panel</t>
  </si>
  <si>
    <t>Calculation, 2% of modules repaired in the life time, 1% rejects</t>
  </si>
  <si>
    <t>recycling of PV modules at the end of life</t>
  </si>
  <si>
    <t>Transport, freight, lorry 7.5-16 metric ton, fleet average {RER} U</t>
  </si>
  <si>
    <t>transport of inverter, electric installation, mounting structure and module 100km to construction site</t>
  </si>
  <si>
    <t>calculated with electricity use</t>
  </si>
  <si>
    <t>weight panel</t>
  </si>
  <si>
    <t>Module efficiency</t>
  </si>
  <si>
    <t>Mass-Power-Relationship factor for scaling from 3 kW --&gt; 10 kW</t>
  </si>
  <si>
    <t xml:space="preserve">Scaling factor according to power-law relationship for generators as established by Caduff et al. (2010)
M = a*P^b with M = mass, P = power, a = normalizing constant and b = scaling factor. 
Currently, a = 4 and b = 0.68 is assumed. These values have been established to allow the estimation of inverter weights. The parameterisation was based on device weights reported in manufacturers' data sheets (Sungrow SG series, 5 kW to 125 kW). </t>
  </si>
  <si>
    <t xml:space="preserve"> -</t>
  </si>
  <si>
    <t>b</t>
  </si>
  <si>
    <t>P1</t>
  </si>
  <si>
    <t>kW</t>
  </si>
  <si>
    <t>P2</t>
  </si>
  <si>
    <t>average panel efficiency</t>
  </si>
  <si>
    <t>share of mono- and bifacial PV modules (2024)</t>
  </si>
  <si>
    <t>monofacial (glass-foil)</t>
  </si>
  <si>
    <t>bifacial (glass-glass)</t>
  </si>
  <si>
    <t>10 kWp facade installation, single-Si, laminate, integrated, at building {RER} U</t>
  </si>
  <si>
    <t>10 kWp facade installation, single-Si, panel, mounted, at building {RER} U</t>
  </si>
  <si>
    <t>10 kWp flat roof installation, single-Si, panel, mounted, on roof {RER} U</t>
  </si>
  <si>
    <t>10 kWp slanted-roof installation, single-Si, laminate, integrated, on roof {RER} U</t>
  </si>
  <si>
    <t>10 kWp slanted-roof installation, single-Si, panel, mounted, on roof {RER} U</t>
  </si>
  <si>
    <t>weight</t>
  </si>
  <si>
    <t>Z-PV-168</t>
  </si>
  <si>
    <t>Z-PV-169</t>
  </si>
  <si>
    <t>Z-PV-171</t>
  </si>
  <si>
    <t>Z-PV-176</t>
  </si>
  <si>
    <t>Z-PV-177</t>
  </si>
  <si>
    <t>Electricity, low voltage, production ENTSO, at grid {ENTSO-E} U</t>
  </si>
  <si>
    <t>Energy use for erection of plant</t>
  </si>
  <si>
    <t>1 replacement during the lifetime of the PV system; demand scaled linearly by power output</t>
  </si>
  <si>
    <t>cabling, lightning protection and fuse box</t>
  </si>
  <si>
    <t>10 kWp facade installation, single-Si, laminate, integrated, at building {US} U</t>
  </si>
  <si>
    <t>10 kWp facade installation, single-Si, panel, mounted, at building {US} U</t>
  </si>
  <si>
    <t>10 kWp flat roof installation, single-Si, panel, mounted, on roof {US} U</t>
  </si>
  <si>
    <t>10 kWp slanted-roof installation, single-Si, laminate, integrated, on roof {US} U</t>
  </si>
  <si>
    <t>10 kWp slanted-roof installation, single-Si, panel, mounted, on roof {US} U</t>
  </si>
  <si>
    <t>Z-PV-186</t>
  </si>
  <si>
    <t>Z-PV-187</t>
  </si>
  <si>
    <t>Z-PV-189</t>
  </si>
  <si>
    <t>Z-PV-194</t>
  </si>
  <si>
    <t>Z-PV-195</t>
  </si>
  <si>
    <t>Electricity, low voltage, at grid {US} U</t>
  </si>
  <si>
    <t>10 kWp facade installation, single-Si, laminate, integrated, at building {APAC} U</t>
  </si>
  <si>
    <t>10 kWp facade installation, single-Si, panel, mounted, at building {APAC} U</t>
  </si>
  <si>
    <t>10 kWp flat roof installation, single-Si, panel, mounted, on roof {APAC} U</t>
  </si>
  <si>
    <t>10 kWp slanted-roof installation, single-Si, laminate, integrated, on roof {APAC} U</t>
  </si>
  <si>
    <t>10 kWp slanted-roof installation, single-Si, panel, mounted, on roof {APAC} U</t>
  </si>
  <si>
    <t>Z-PV-204</t>
  </si>
  <si>
    <t>Z-PV-205</t>
  </si>
  <si>
    <t>Z-PV-207</t>
  </si>
  <si>
    <t>Z-PV-212</t>
  </si>
  <si>
    <t>Z-PV-213</t>
  </si>
  <si>
    <t>Electricity, low voltage, at grid {IN} U</t>
  </si>
  <si>
    <t>Energy use for erection plant</t>
  </si>
  <si>
    <t>10 kWp facade installation, single-Si, laminate, integrated, at building {CN} U</t>
  </si>
  <si>
    <t>10 kWp facade installation, single-Si, panel, mounted, at building {CN} U</t>
  </si>
  <si>
    <t>10 kWp flat roof installation, single-Si, panel, mounted, on roof {CN} U</t>
  </si>
  <si>
    <t>10 kWp slanted-roof installation, single-Si, laminate, integrated, on roof {CN} U</t>
  </si>
  <si>
    <t>10 kWp slanted-roof installation, single-Si, panel, mounted, on roof {CN} U</t>
  </si>
  <si>
    <t>Z-PV-222</t>
  </si>
  <si>
    <t>Z-PV-223</t>
  </si>
  <si>
    <t>Z-PV-225</t>
  </si>
  <si>
    <t>Z-PV-230</t>
  </si>
  <si>
    <t>Z-PV-231</t>
  </si>
  <si>
    <t>Electricity, low voltage, at grid {CN} U</t>
  </si>
  <si>
    <t>Z-PV-028</t>
  </si>
  <si>
    <t>Z-PV-029</t>
  </si>
  <si>
    <t>Z-PV-032</t>
  </si>
  <si>
    <t>Z-PV-036</t>
  </si>
  <si>
    <t>10 kWp facade installation, multi-Si, laminate, integrated, at building {CH} U</t>
  </si>
  <si>
    <t>10 kWp facade installation, multi-Si, panel, mounted, at building {CH} U</t>
  </si>
  <si>
    <t>10 kWp flat roof installation, multi-Si, panel, mounted, on roof {CH} U</t>
  </si>
  <si>
    <t>10 kWp slanted-roof installation, multi-Si, laminate, integrated, on roof {CH} U</t>
  </si>
  <si>
    <t>10 kWp slanted-roof installation, multi-Si, panel, mounted, on roof {CH} U</t>
  </si>
  <si>
    <t>10 kWp slanted-roof installation, multi-Si, panel, mounted, on roof {GLO} U</t>
  </si>
  <si>
    <t>250 kWp slanted-roof installation, multi-Si, panel, mounted, on roof {GLO} U</t>
  </si>
  <si>
    <t>250 kWp slanted-roof installation, multi-Si, laminate, integrated, on roof {GLO} U</t>
  </si>
  <si>
    <t>250 kWp flat-roof installation, multi-Si, panel, mounted, on roof {GLO} U</t>
  </si>
  <si>
    <t>10 MW ground-mounted installation, multi-Si, panel, on open ground {GLO} U</t>
  </si>
  <si>
    <t>Z-PV-037</t>
  </si>
  <si>
    <t>Z-PV-280</t>
  </si>
  <si>
    <t>Z-PV-247</t>
  </si>
  <si>
    <t>Z-PV-248</t>
  </si>
  <si>
    <t>Z-PV-240</t>
  </si>
  <si>
    <t>Z-PV-241</t>
  </si>
  <si>
    <t>Energy use for erection of PV plant</t>
  </si>
  <si>
    <t>Photovoltaic laminate, multi-Si, at regional storage {RER} U</t>
  </si>
  <si>
    <t>Photovoltaic panel, multi-Si, at regional storage {RER} U</t>
  </si>
  <si>
    <t>weight panel according to BOM</t>
  </si>
  <si>
    <t>10 kWp facade installation, multi-Si, laminate, integrated, at building {RER} U</t>
  </si>
  <si>
    <t>10 kWp facade installation, multi-Si, panel, mounted, at building {RER} U</t>
  </si>
  <si>
    <t>10 kWp flat roof installation, multi-Si, panel, mounted, on roof {RER} U</t>
  </si>
  <si>
    <t>10 kWp slanted-roof installation, multi-Si, laminate, integrated, on roof {RER} U</t>
  </si>
  <si>
    <t>10 kWp slanted-roof installation, multi-Si, panel, mounted, on roof {RER} U</t>
  </si>
  <si>
    <t>Z-PV-166</t>
  </si>
  <si>
    <t>Z-PV-167</t>
  </si>
  <si>
    <t>Z-PV-170</t>
  </si>
  <si>
    <t>Z-PV-174</t>
  </si>
  <si>
    <t>Z-PV-175</t>
  </si>
  <si>
    <t>10 kWp facade installation, multi-Si, laminate, integrated, at building {US} U</t>
  </si>
  <si>
    <t>10 kWp facade installation, multi-Si, panel, mounted, at building {US} U</t>
  </si>
  <si>
    <t>10 kWp flat roof installation, multi-Si, panel, mounted, on roof {US} U</t>
  </si>
  <si>
    <t>10 kWp slanted-roof installation, multi-Si, laminate, integrated, on roof {US} U</t>
  </si>
  <si>
    <t>10 kWp slanted-roof installation, multi-Si, panel, mounted, on roof {US} U</t>
  </si>
  <si>
    <t>Z-PV-184</t>
  </si>
  <si>
    <t>Z-PV-185</t>
  </si>
  <si>
    <t>Z-PV-188</t>
  </si>
  <si>
    <t>Z-PV-192</t>
  </si>
  <si>
    <t>Z-PV-193</t>
  </si>
  <si>
    <t>Energy use for erection of 3kWp plant</t>
  </si>
  <si>
    <t>Photovoltaic laminate, multi-Si, at regional storage {US} U</t>
  </si>
  <si>
    <t>Photovoltaic panel, multi-Si, at regional storage {US} U</t>
  </si>
  <si>
    <t>10 kWp facade installation, multi-Si, laminate, integrated, at building {APAC} U</t>
  </si>
  <si>
    <t>10 kWp facade installation, multi-Si, panel, mounted, at building {APAC} U</t>
  </si>
  <si>
    <t>10 kWp flat roof installation, multi-Si, panel, mounted, on roof {APAC} U</t>
  </si>
  <si>
    <t>10 kWp slanted-roof installation, multi-Si, laminate, integrated, on roof {APAC} U</t>
  </si>
  <si>
    <t>10 kWp slanted-roof installation, multi-Si, panel, mounted, on roof {APAC} U</t>
  </si>
  <si>
    <t>Panel Surface</t>
  </si>
  <si>
    <t>Z-PV-202</t>
  </si>
  <si>
    <t>Z-PV-203</t>
  </si>
  <si>
    <t>Z-PV-206</t>
  </si>
  <si>
    <t>Z-PV-210</t>
  </si>
  <si>
    <t>Z-PV-211</t>
  </si>
  <si>
    <t>Photovoltaic laminate, multi-Si, at regional storage {APAC} U</t>
  </si>
  <si>
    <t>Photovoltaic panel, multi-Si, at regional storage {APAC} U</t>
  </si>
  <si>
    <t>10 kWp facade installation, multi-Si, laminate, integrated, at building {CN} U</t>
  </si>
  <si>
    <t>10 kWp facade installation, multi-Si, panel, mounted, at building {CN} U</t>
  </si>
  <si>
    <t>10 kWp flat roof installation, multi-Si, panel, mounted, on roof {CN} U</t>
  </si>
  <si>
    <t>10 kWp slanted-roof installation, multi-Si, laminate, integrated, on roof {CN} U</t>
  </si>
  <si>
    <t>10 kWp slanted-roof installation, multi-Si, panel, mounted, on roof {CN} U</t>
  </si>
  <si>
    <t>Z-PV-220</t>
  </si>
  <si>
    <t>Z-PV-221</t>
  </si>
  <si>
    <t>Z-PV-224</t>
  </si>
  <si>
    <t>Z-PV-228</t>
  </si>
  <si>
    <t>Z-PV-229</t>
  </si>
  <si>
    <t>Photovoltaic laminate, multi-Si, at plant {CN} U</t>
  </si>
  <si>
    <t>Photovoltaic panel, multi-Si, at plant {CN} U</t>
  </si>
  <si>
    <t>Z-PV-034</t>
  </si>
  <si>
    <t>Z-PV-056</t>
  </si>
  <si>
    <t>Z-PV-152</t>
  </si>
  <si>
    <t>10 kWp slanted-roof installation, CdTe, laminate, integrated, on roof {CH} U</t>
  </si>
  <si>
    <t>10 kWp slanted-roof installation, CdTe, panel, mounted, on roof {CH} U</t>
  </si>
  <si>
    <t>10 kWp slanted-roof installation, CdTe, laminate, FS Series 7, mounted, on roof {CH} U</t>
  </si>
  <si>
    <t>10 kWp slanted-roof installation, CdTe, panel, mounted, on roof {GLO} U</t>
  </si>
  <si>
    <t>250 kWp flat-roof installation, CdTe, panel, mounted, on roof {GLO} U</t>
  </si>
  <si>
    <t>10 MW ground-mounted installation, CdTe, panel, on open ground {GLO} U</t>
  </si>
  <si>
    <t>Z-PV-035</t>
  </si>
  <si>
    <t>10 kWp slanted-roof installation, CIS, panel, mounted, on roof {CH} U</t>
  </si>
  <si>
    <t>Z-PV-087</t>
  </si>
  <si>
    <t>10 kWp slanted-roof installation, CIS, laminated, integrated, on roof {CH} U</t>
  </si>
  <si>
    <t>Z-PV-153</t>
  </si>
  <si>
    <t>Z-PV-242</t>
  </si>
  <si>
    <t>Z-PV-243</t>
  </si>
  <si>
    <t>New estimation with mean value of frame weights, correction for panel area</t>
  </si>
  <si>
    <t>transport of the PV modules to regional storage; standard distance: 500 km</t>
  </si>
  <si>
    <t>transport of the PV modules to regional storage; standard distance: 2000 km</t>
  </si>
  <si>
    <t>10 kWp slanted-roof installation, CdTe, laminate, integrated, on roof {RER} U</t>
  </si>
  <si>
    <t>10 kWp slanted-roof installation, CdTe, panel, mounted, on roof {RER} U</t>
  </si>
  <si>
    <t>Z-PV-172</t>
  </si>
  <si>
    <t>Z-PV-178</t>
  </si>
  <si>
    <t>(3,4,3,1,1,5); Energy use for erection of 3kWp plant</t>
  </si>
  <si>
    <t xml:space="preserve"> Energy use for foundation piling and wheel loader</t>
  </si>
  <si>
    <t>(3,4,3,1,1,5); Literature</t>
  </si>
  <si>
    <t>panel demand based on yield and efficiency</t>
  </si>
  <si>
    <t>Inverter, 500kW, at plant {RER} U</t>
  </si>
  <si>
    <t>panel demand based on yield and efficiency. 1% rejects considered</t>
  </si>
  <si>
    <t>recycling</t>
  </si>
  <si>
    <t>transport panel, electrical installation and mounting structure, 100km to construction place</t>
  </si>
  <si>
    <t>calculated with electricty use</t>
  </si>
  <si>
    <t>Effizienz</t>
  </si>
  <si>
    <t>National PV electricity mixes</t>
  </si>
  <si>
    <t>Input data</t>
  </si>
  <si>
    <t>not / not anymore included in IEA PVPS T1 - Trends in PV Applications 2025</t>
  </si>
  <si>
    <t>not updated in 2026 update</t>
  </si>
  <si>
    <t>Breyer &amp; Schmid (2010)</t>
  </si>
  <si>
    <t>yield rooftop</t>
  </si>
  <si>
    <t>yield facade</t>
  </si>
  <si>
    <t>yield centralized</t>
  </si>
  <si>
    <t>share centralized</t>
  </si>
  <si>
    <t>share small decentralized</t>
  </si>
  <si>
    <t>share large decentralized</t>
  </si>
  <si>
    <t>decentralized single-Si</t>
  </si>
  <si>
    <t>decentralized multi-Si</t>
  </si>
  <si>
    <t>decentralized CdTe</t>
  </si>
  <si>
    <t>decentralized CIS</t>
  </si>
  <si>
    <t>decentralized micro-Si</t>
  </si>
  <si>
    <t>centralized single-Si</t>
  </si>
  <si>
    <t>centralized multi-Si</t>
  </si>
  <si>
    <t>centralized CdTe</t>
  </si>
  <si>
    <t>centralized CIS</t>
  </si>
  <si>
    <t>centralized micro-Si</t>
  </si>
  <si>
    <t>slanted roof mounted</t>
  </si>
  <si>
    <t>slanted roof mounted &gt;50kWp</t>
  </si>
  <si>
    <t>slanted roof integrated</t>
  </si>
  <si>
    <t>slanted roof integrated &gt;50kWp</t>
  </si>
  <si>
    <t>flat roof mounted</t>
  </si>
  <si>
    <t>flat roof mounted &gt;50kWp</t>
  </si>
  <si>
    <t>facade mounted</t>
  </si>
  <si>
    <t>facade integrated</t>
  </si>
  <si>
    <t>Region</t>
  </si>
  <si>
    <t>Average Yield PVPS T1 2025</t>
  </si>
  <si>
    <t>Avg. Irradiation 
fixed optimally tilted
(pop-weighted)</t>
  </si>
  <si>
    <t>Avg. Yield
rooftop systems
PR = 0.75
(pop-weighted)</t>
  </si>
  <si>
    <t>Avg. Yield
utility systems
PR = 0.80
(pop-weighted)</t>
  </si>
  <si>
    <t>Average Yield
(pop-weighted)</t>
  </si>
  <si>
    <t>Yield based on National Data</t>
  </si>
  <si>
    <t>Yield based on National Data, degradation corrected</t>
  </si>
  <si>
    <t>Average yield</t>
  </si>
  <si>
    <t>Yield 
rooftop</t>
  </si>
  <si>
    <t>Yield 
façade</t>
  </si>
  <si>
    <t>Yield
centralized</t>
  </si>
  <si>
    <t>PV Cumulative Installed Capacity 2024</t>
  </si>
  <si>
    <t>Technology Breakdown (decentralized PV)</t>
  </si>
  <si>
    <t>Technology Breakdown (centralized PV)</t>
  </si>
  <si>
    <t>Mounting Type Breakdown (decentralized PV)</t>
  </si>
  <si>
    <t>Grid-Connected Decentralized</t>
  </si>
  <si>
    <t>Grid-Connected Centralized</t>
  </si>
  <si>
    <t>Total Grid-Connected</t>
  </si>
  <si>
    <t>Share of Centralized</t>
  </si>
  <si>
    <t>Share of Decentralized &lt;50kWp</t>
  </si>
  <si>
    <t>Share of Decentralized &gt;50kWp</t>
  </si>
  <si>
    <t>Single-Si</t>
  </si>
  <si>
    <t>Multi-Si</t>
  </si>
  <si>
    <t>CdTe</t>
  </si>
  <si>
    <t>CI(G)S</t>
  </si>
  <si>
    <t>micro-Si</t>
  </si>
  <si>
    <t>slanted roof, mounted</t>
  </si>
  <si>
    <t>slanted roof, integrated</t>
  </si>
  <si>
    <t>flat roof</t>
  </si>
  <si>
    <t>façade,
mounted</t>
  </si>
  <si>
    <t>façade,
integrated</t>
  </si>
  <si>
    <t>kWh/(kWp∙a)</t>
  </si>
  <si>
    <t>kWh/(m2a)</t>
  </si>
  <si>
    <t>MWp</t>
  </si>
  <si>
    <t>Australia</t>
  </si>
  <si>
    <t>AU</t>
  </si>
  <si>
    <t>Oceania</t>
  </si>
  <si>
    <t>Austria</t>
  </si>
  <si>
    <t>AT</t>
  </si>
  <si>
    <t>Belgium</t>
  </si>
  <si>
    <t>BE</t>
  </si>
  <si>
    <t>Brazil</t>
  </si>
  <si>
    <t>Canada</t>
  </si>
  <si>
    <t>CA</t>
  </si>
  <si>
    <t>America</t>
  </si>
  <si>
    <t>Chile</t>
  </si>
  <si>
    <t>CL</t>
  </si>
  <si>
    <t>Asia</t>
  </si>
  <si>
    <t>Czech Republic</t>
  </si>
  <si>
    <t>CZ</t>
  </si>
  <si>
    <t>Denmark</t>
  </si>
  <si>
    <t>DK</t>
  </si>
  <si>
    <t>Finland</t>
  </si>
  <si>
    <t>FI</t>
  </si>
  <si>
    <t>France</t>
  </si>
  <si>
    <t>FR</t>
  </si>
  <si>
    <t>Greece</t>
  </si>
  <si>
    <t>GR</t>
  </si>
  <si>
    <t>Hungary</t>
  </si>
  <si>
    <t>HU</t>
  </si>
  <si>
    <t>Ireland</t>
  </si>
  <si>
    <t>IE</t>
  </si>
  <si>
    <t>Israel</t>
  </si>
  <si>
    <t>IL</t>
  </si>
  <si>
    <t>Japan</t>
  </si>
  <si>
    <t>JP</t>
  </si>
  <si>
    <t>Luxembourg</t>
  </si>
  <si>
    <t>LU</t>
  </si>
  <si>
    <t>n.a.</t>
  </si>
  <si>
    <t>Mexico</t>
  </si>
  <si>
    <t>MX</t>
  </si>
  <si>
    <t>Morocco</t>
  </si>
  <si>
    <t>MA</t>
  </si>
  <si>
    <t>Africa</t>
  </si>
  <si>
    <t>Netherlands</t>
  </si>
  <si>
    <t>NL</t>
  </si>
  <si>
    <t>New Zealand</t>
  </si>
  <si>
    <t>NZ</t>
  </si>
  <si>
    <t>Norway</t>
  </si>
  <si>
    <t>Portugal</t>
  </si>
  <si>
    <t>PT</t>
  </si>
  <si>
    <t>South Africa</t>
  </si>
  <si>
    <t>ZA</t>
  </si>
  <si>
    <t>ES</t>
  </si>
  <si>
    <t>Sweden</t>
  </si>
  <si>
    <t>SE</t>
  </si>
  <si>
    <t>Switzerland</t>
  </si>
  <si>
    <t>Turkey</t>
  </si>
  <si>
    <t>TR</t>
  </si>
  <si>
    <t>United Kingdom</t>
  </si>
  <si>
    <t>GB</t>
  </si>
  <si>
    <t>World</t>
  </si>
  <si>
    <t>world</t>
  </si>
  <si>
    <t>Default Assumptions</t>
  </si>
  <si>
    <t>Average degradation over life time</t>
  </si>
  <si>
    <t>Yearly degradation</t>
  </si>
  <si>
    <t>%/a</t>
  </si>
  <si>
    <t>Lifetime</t>
  </si>
  <si>
    <t>exponential</t>
  </si>
  <si>
    <t>Shares of individual PV systems</t>
  </si>
  <si>
    <t>Façade</t>
  </si>
  <si>
    <t>Flat Roof</t>
  </si>
  <si>
    <t>Slanted Roof Thin-Film</t>
  </si>
  <si>
    <t>Slanted Roof c-Si &gt;50kWp</t>
  </si>
  <si>
    <t>Slanted Roof c-Si &lt;50kWp</t>
  </si>
  <si>
    <t>Centralized</t>
  </si>
  <si>
    <t>Check</t>
  </si>
  <si>
    <t>10 kWp facade installation, single-Si, laminate, integrated, at building</t>
  </si>
  <si>
    <t>10 kWp facade installation, single-Si, panel, mounted, at building</t>
  </si>
  <si>
    <t>10 kWp facade installation, multi-Si, laminate, integrated, at building</t>
  </si>
  <si>
    <t>10 kWp facade installation, multi-Si, panel, mounted, at building</t>
  </si>
  <si>
    <t>10 kWp flat roof installation, single-Si, panel, mounted, on roof</t>
  </si>
  <si>
    <t>250 kWp flat-roof installation, single-Si, panel, mounted, on roof</t>
  </si>
  <si>
    <t>10 kWp flat roof installation, multi-Si, panel, mounted, on roof</t>
  </si>
  <si>
    <t>250 kWp flat-roof installation, multi-Si, panel, mounted, on roof</t>
  </si>
  <si>
    <t>10 kWp slanted-roof installation, CdTe, laminate, integrated, on roof</t>
  </si>
  <si>
    <t>10 kWp slanted-roof installation, CdTe, panel, mounted, on roof</t>
  </si>
  <si>
    <t>250 kWp slanted-roof installation, single-Si, laminate, integrated, on roof</t>
  </si>
  <si>
    <t>250 kWp slanted-roof installation, single-Si, panel, mounted, on roof</t>
  </si>
  <si>
    <t>250 kWp slanted-roof installation, multi-Si, laminate, integrated, on roof</t>
  </si>
  <si>
    <t>250 kWp slanted-roof installation, multi-Si, panel, mounted, on roof</t>
  </si>
  <si>
    <t>10 kWp slanted-roof installation, single-Si, laminate, integrated, on roof</t>
  </si>
  <si>
    <t>10 kWp slanted-roof installation, single-Si, panel, mounted, on roof</t>
  </si>
  <si>
    <t>10 kWp slanted-roof installation, multi-Si, laminate, integrated, on roof</t>
  </si>
  <si>
    <t>10 kWp slanted-roof installation, multi-Si, panel, mounted, on roof</t>
  </si>
  <si>
    <t>10 MW ground-mounted installation, single-Si, panel, on open ground</t>
  </si>
  <si>
    <t>10 MW ground-mounted installation, multi-Si, panel, on open ground</t>
  </si>
  <si>
    <t>10 MW ground-mounted installation, CdTe, panel, on open ground</t>
  </si>
  <si>
    <t>Overview of LCIs of decentralized PV systems</t>
  </si>
  <si>
    <t>single-Si</t>
  </si>
  <si>
    <t>X</t>
  </si>
  <si>
    <t>Shares of decentralized PV systems for Switzerland (example)</t>
  </si>
  <si>
    <t>decentralized</t>
  </si>
  <si>
    <t>Electricity, production mix photovoltaic, at plant {CH} U</t>
  </si>
  <si>
    <t>Anteil</t>
  </si>
  <si>
    <t>Ertragstyp</t>
  </si>
  <si>
    <t>Ertrag</t>
  </si>
  <si>
    <t>Technologie</t>
  </si>
  <si>
    <t>Maximal-leistung</t>
  </si>
  <si>
    <t>Fläche</t>
  </si>
  <si>
    <t>Share in Total Capacity</t>
  </si>
  <si>
    <t>Yield</t>
  </si>
  <si>
    <t>kWh/kWp</t>
  </si>
  <si>
    <t>kWp</t>
  </si>
  <si>
    <t>resource, in air</t>
  </si>
  <si>
    <t>Energy, solar, converted</t>
  </si>
  <si>
    <t>in air</t>
  </si>
  <si>
    <t>Energy loss in the system</t>
  </si>
  <si>
    <t>Tap water, water balance according to MoeK 2013, at user {CH} U</t>
  </si>
  <si>
    <t>Estimation 20l/m2 panel</t>
  </si>
  <si>
    <t>mono-Si, mix</t>
  </si>
  <si>
    <t>Calculation with average annual yield (based on Swissolar statistics 2012-2016) and share of technologies. Lifetime: 30a, Average degradation over lifetime: 10.5%.</t>
  </si>
  <si>
    <t>Water, CH</t>
  </si>
  <si>
    <t>Assumption: 10% of water used is evaporated</t>
  </si>
  <si>
    <t>Electricity, PV, at 10 kWp slanted-roof, single-Si, panel, mounted, 1300 kWh/kWp {REF} U</t>
  </si>
  <si>
    <t>Electricity, PV, at 250 kWp flat-roof, single-Si, panel, mounted, 1300 kWh/kWp {REF} U</t>
  </si>
  <si>
    <t>Electricity, PV, at 10 MWp ground-mounted, single-Si, panel, mounted, 1300 kWh/kWp {REF} U</t>
  </si>
  <si>
    <t>Electricity, PV, at 10 kWp slanted-roof, single-Si, panel, mounted, 1000 kWh/kWp {REF} U</t>
  </si>
  <si>
    <t>Electricity, PV, at 250 kWp flat-roof, single-Si, panel, mounted, 1000 kWh/kWp {REF} U</t>
  </si>
  <si>
    <t>Electricity, PV, at 10 MWp ground-mounted, single-Si, panel, mounted, 1000 kWh/kWp {REF} U</t>
  </si>
  <si>
    <t>Electricity, PV, at 10 kWp slanted-roof, CdTe, panel, mounted, 1300 kWh/kWp {REF} U</t>
  </si>
  <si>
    <t>Electricity, PV, at 250 kWp flat-roof, CdTe, panel, mounted, 1300 kWh/kWp {REF} U</t>
  </si>
  <si>
    <t>Electricity, PV, at 10 MWp ground-mounted, CdTe, panel, mounted, 1300 kWh/kWp {REF} U</t>
  </si>
  <si>
    <t>Electricity, PV, at 10 kWp slanted-roof, CdTe, panel, mounted, 1000 kWh/kWp {REF} U</t>
  </si>
  <si>
    <t>Electricity, PV, at 250 kWp flat-roof, CdTe, panel, mounted, 1000 kWh/kWp {REF} U</t>
  </si>
  <si>
    <t>Electricity, PV, at 10 MWp ground-mounted, CdTe, panel, mounted, 1000 kWh/kWp {REF} U</t>
  </si>
  <si>
    <t>REF</t>
  </si>
  <si>
    <t>Z-PV-259</t>
  </si>
  <si>
    <t>Z-PV-260</t>
  </si>
  <si>
    <t>Z-PV-261</t>
  </si>
  <si>
    <t>Z-PV-263</t>
  </si>
  <si>
    <t>Z-PV-264</t>
  </si>
  <si>
    <t>Z-PV-265</t>
  </si>
  <si>
    <t>Z-PV-267</t>
  </si>
  <si>
    <t>Z-PV-268</t>
  </si>
  <si>
    <t>Z-PV-269</t>
  </si>
  <si>
    <t>Z-PV-270</t>
  </si>
  <si>
    <t>Z-PV-271</t>
  </si>
  <si>
    <t>Z-PV-272</t>
  </si>
  <si>
    <t>Electricity, production mix photovoltaic, at plant {AT} U</t>
  </si>
  <si>
    <t>Electricity, production mix photovoltaic, at plant {BE} U</t>
  </si>
  <si>
    <t>Electricity, production mix photovoltaic, at plant {CZ} U</t>
  </si>
  <si>
    <t>Electricity, production mix photovoltaic, at plant {DK} U</t>
  </si>
  <si>
    <t>Electricity, production mix photovoltaic, at plant {FI} U</t>
  </si>
  <si>
    <t>Electricity, production mix photovoltaic, at plant {FR} U</t>
  </si>
  <si>
    <t>Electricity, production mix photovoltaic, at plant {DE} U</t>
  </si>
  <si>
    <t>Electricity, production mix photovoltaic, at plant {GR} U</t>
  </si>
  <si>
    <t>Electricity, production mix photovoltaic, at plant {HU} U</t>
  </si>
  <si>
    <t>Electricity, production mix photovoltaic, at plant {IE} U</t>
  </si>
  <si>
    <t>Electricity, production mix photovoltaic, at plant {IT} U</t>
  </si>
  <si>
    <t>Electricity, production mix photovoltaic, at plant {LU} U</t>
  </si>
  <si>
    <t>Electricity, production mix photovoltaic, at plant {NL} U</t>
  </si>
  <si>
    <t>Electricity, production mix photovoltaic, at plant {NO} U</t>
  </si>
  <si>
    <t>Electricity, production mix photovoltaic, at plant {PT} U</t>
  </si>
  <si>
    <t>Electricity, production mix photovoltaic, at plant {ES} U</t>
  </si>
  <si>
    <t>Electricity, production mix photovoltaic, at plant {SE} U</t>
  </si>
  <si>
    <t>Electricity, production mix photovoltaic, at plant {GB} U</t>
  </si>
  <si>
    <t>Electricity, production mix photovoltaic, at plant {TR} U</t>
  </si>
  <si>
    <t>Check Spain</t>
  </si>
  <si>
    <t>Check DE</t>
  </si>
  <si>
    <t>Check IT</t>
  </si>
  <si>
    <t>Share in Total Capacity (DE)</t>
  </si>
  <si>
    <t>Yield (DE)</t>
  </si>
  <si>
    <t>Share in Total Capacity (IT)</t>
  </si>
  <si>
    <t>Yield (IT)</t>
  </si>
  <si>
    <t>(2,2,1,1,1,3); Energy loss in the system</t>
  </si>
  <si>
    <t>(2,2,1,1,1,3)</t>
  </si>
  <si>
    <t>Tap water, water balance according to MoeK 2013, at user {AT} U</t>
  </si>
  <si>
    <t>Tap water, water balance according to MoeK 2013, at user {BE} U</t>
  </si>
  <si>
    <t>Tap water, water balance according to MoeK 2013, at user {CZ} U</t>
  </si>
  <si>
    <t>Tap water, water balance according to MoeK 2013, at user {DK} U</t>
  </si>
  <si>
    <t>Tap water, water balance according to MoeK 2013, at user {FI} U</t>
  </si>
  <si>
    <t>Tap water, water balance according to MoeK 2013, at user {FR} U</t>
  </si>
  <si>
    <t>Tap water, water balance according to MoeK 2013, at user {GR} U</t>
  </si>
  <si>
    <t>Tap water, water balance according to MoeK 2013, at user {HU} U</t>
  </si>
  <si>
    <t>Tap water, water balance according to MoeK 2013, at user {IE} U</t>
  </si>
  <si>
    <t>Tap water, water balance according to MoeK 2013, at user {IT} U</t>
  </si>
  <si>
    <t>Tap water, water balance according to MoeK 2013, at user {LU} U</t>
  </si>
  <si>
    <t>Tap water, water balance according to MoeK 2013, at user {NL} U</t>
  </si>
  <si>
    <t>Tap water, water balance according to MoeK 2013, at user {NO} U</t>
  </si>
  <si>
    <t>Tap water, water balance according to MoeK 2013, at user {PT} U</t>
  </si>
  <si>
    <t>Tap water, water balance according to MoeK 2013, at user {ES} U</t>
  </si>
  <si>
    <t>Tap water, water balance according to MoeK 2013, at user {SE} U</t>
  </si>
  <si>
    <t>Tap water, water balance according to MoeK 2013, at user {GB} U</t>
  </si>
  <si>
    <t>Tap water, water balance according to MoeK 2013, at user {TR} U</t>
  </si>
  <si>
    <t>Calculation with average annual yield and share of technologies. Lifetime: 30a.</t>
  </si>
  <si>
    <t>Calculation with average annual output and share of technologies; Average degradation of 10.5% included</t>
  </si>
  <si>
    <t>Water, AT</t>
  </si>
  <si>
    <t>Water, BE</t>
  </si>
  <si>
    <t>Water, CZ</t>
  </si>
  <si>
    <t>Water, DK</t>
  </si>
  <si>
    <t>Water, FI</t>
  </si>
  <si>
    <t>Water, FR</t>
  </si>
  <si>
    <t>Water, GR</t>
  </si>
  <si>
    <t>Water, HU</t>
  </si>
  <si>
    <t>Water, IE</t>
  </si>
  <si>
    <t>Water, IT</t>
  </si>
  <si>
    <t>Water, LU</t>
  </si>
  <si>
    <t>Water, NL</t>
  </si>
  <si>
    <t>Water, NO</t>
  </si>
  <si>
    <t>Water, PT</t>
  </si>
  <si>
    <t>Water, ES</t>
  </si>
  <si>
    <t>Water, SE</t>
  </si>
  <si>
    <t>Water, GB</t>
  </si>
  <si>
    <t>Water, TR</t>
  </si>
  <si>
    <t>Electricity, production mix photovoltaic, at plant {US} U</t>
  </si>
  <si>
    <t>Electricity, production mix photovoltaic, at plant {CA} U</t>
  </si>
  <si>
    <t>Electricity, production mix photovoltaic, at plant {MX} U</t>
  </si>
  <si>
    <t>Electricity, production mix photovoltaic, at plant {CL} U</t>
  </si>
  <si>
    <t>Check USA</t>
  </si>
  <si>
    <t>Tap water, water balance according to MoeK 2013, at user {CA} U</t>
  </si>
  <si>
    <t>Tap water, water balance according to MoeK 2013, at user {MX} U</t>
  </si>
  <si>
    <t>Tap water, water balance according to MoeK 2013, at user {CL} U</t>
  </si>
  <si>
    <t>Z-PV-190</t>
  </si>
  <si>
    <t>10 kWp slanted-roof installation, CdTe, laminate, integrated, on roof {US} U</t>
  </si>
  <si>
    <t>Z-PV-196</t>
  </si>
  <si>
    <t>10 kWp slanted-roof installation, CdTe, panel, mounted, on roof {US} U</t>
  </si>
  <si>
    <t>Water, CA</t>
  </si>
  <si>
    <t>Water, MX</t>
  </si>
  <si>
    <t>Water, CL</t>
  </si>
  <si>
    <t>Electricity, production mix photovoltaic, at plant {JP} U</t>
  </si>
  <si>
    <t>Electricity, production mix photovoltaic, at plant {AU} U</t>
  </si>
  <si>
    <t>Electricity, production mix photovoltaic, at plant {KR} U</t>
  </si>
  <si>
    <t>Electricity, production mix photovoltaic, at plant {NZ} U</t>
  </si>
  <si>
    <t>Electricity, production mix photovoltaic, at plant {IL} U</t>
  </si>
  <si>
    <t>Electricity, production mix photovoltaic, at plant {MY} U</t>
  </si>
  <si>
    <t>Electricity, production mix photovoltaic, at plant {ZA} U</t>
  </si>
  <si>
    <t>Electricity, production mix photovoltaic, at plant {TH} U</t>
  </si>
  <si>
    <t>Check Japan</t>
  </si>
  <si>
    <t>Tap water, water balance according to MoeK 2013, at user {JP} U</t>
  </si>
  <si>
    <t>Tap water, water balance according to MoeK 2013, at user {AU} U</t>
  </si>
  <si>
    <t>Tap water, water balance according to MoeK 2013, at user {IL} U</t>
  </si>
  <si>
    <t>Tap water, water balance according to MoeK 2013, at user {NZ} U</t>
  </si>
  <si>
    <t>Tap water, water balance according to MoeK 2013, at user {ZA} U</t>
  </si>
  <si>
    <t>Z-PV-208</t>
  </si>
  <si>
    <t>10 kWp slanted-roof installation, CdTe, laminate, integrated, on roof {APAC} U</t>
  </si>
  <si>
    <t>Z-PV-214</t>
  </si>
  <si>
    <t>10 kWp slanted-roof installation, CdTe, panel, mounted, on roof {APAC} U</t>
  </si>
  <si>
    <t>Water, JP</t>
  </si>
  <si>
    <t>Water, AU</t>
  </si>
  <si>
    <t>Water, NZ</t>
  </si>
  <si>
    <t>Water, IL</t>
  </si>
  <si>
    <t>Water, ZA</t>
  </si>
  <si>
    <t>Electricity, production mix photovoltaic, at plant {CN} U</t>
  </si>
  <si>
    <t>Z-PV-226</t>
  </si>
  <si>
    <t>10 kWp slanted-roof installation, CdTe, laminate, integrated, on roof {CN} U</t>
  </si>
  <si>
    <t>Z-PV-232</t>
  </si>
  <si>
    <t>10 kWp slanted-roof installation, CdTe, panel, mounted, on roof {CN} U</t>
  </si>
  <si>
    <t>Type</t>
  </si>
  <si>
    <t>Field name, IndexNumber</t>
  </si>
  <si>
    <t>Z-PV-080</t>
  </si>
  <si>
    <t>ReferenceFunction</t>
  </si>
  <si>
    <t>Photovoltaic laminate, CIS, at plant {DE} U</t>
  </si>
  <si>
    <t>Photovoltaic panel, CIS, at plant {DE} U</t>
  </si>
  <si>
    <t>Photovoltaic laminate, CIS, at regional storage {DE} U</t>
  </si>
  <si>
    <t>Electric installation, 156 kWp photovoltaic plant, at plant {CH} U</t>
  </si>
  <si>
    <t>Electric installation, 93 kWp photovoltaic plant, at plant {CH} U</t>
  </si>
  <si>
    <t>Electric installation, 1.3 MWp photovoltaic plant, at plant {CH} U</t>
  </si>
  <si>
    <t>Electric installation, 560 kWp photovoltaic plant, at plant {CH} U</t>
  </si>
  <si>
    <t>Electric installation, 324 kWp photovoltaic plant, at plant {DE} U</t>
  </si>
  <si>
    <t>Electric installation, 450 kWp photovoltaic plant, at plant {DE} U</t>
  </si>
  <si>
    <t>Electric installation, 570 kWp photovoltaic plant, at plant {ES} U</t>
  </si>
  <si>
    <t>Inverter, 2.5 kW, average, at plant {RER} U</t>
  </si>
  <si>
    <t>Inverter, 5 kW,  average, at plant {RER} U</t>
  </si>
  <si>
    <t>xxx_Inverter, 10 kW, average, at plant {RER} U</t>
  </si>
  <si>
    <t>Inverter, 20 kW, average, at plant {RER} U</t>
  </si>
  <si>
    <t>Polyvinylbutyral foil, at plant {RER} U</t>
  </si>
  <si>
    <t>Polyvinylbutyral, powder, at plant {RER} U</t>
  </si>
  <si>
    <t>Polyvinylalcohol, at plant {RER} U</t>
  </si>
  <si>
    <t>Nitrogen trifluoride, at plant {RER} U</t>
  </si>
  <si>
    <t>Treatment, effluent from NF3 production, to wastewater treatment, class 3 {CH} U</t>
  </si>
  <si>
    <t>Multi-Si wafer, at plant {CN} U</t>
  </si>
  <si>
    <t>Multi-Si wafer, at plant {US} U</t>
  </si>
  <si>
    <t>Multi-Si wafer, at plant {APAC} U</t>
  </si>
  <si>
    <t>Multi-Si wafer, at plant {RER} U</t>
  </si>
  <si>
    <t>Multi-Si wafer, at regional storage {RER} U</t>
  </si>
  <si>
    <t>Multi-Si wafer, at regional storage {US} U</t>
  </si>
  <si>
    <t>Multi-Si wafer, at regional storage {APAC} U</t>
  </si>
  <si>
    <t>Photovoltaic cell, multi-Si, at plant {CN} U</t>
  </si>
  <si>
    <t>Photovoltaic cell, multi-Si, at plant {US} U</t>
  </si>
  <si>
    <t>Photovoltaic cell, multi-Si, at plant {APAC} U</t>
  </si>
  <si>
    <t>Photovoltaic cell, multi-Si, at plant {RER} U</t>
  </si>
  <si>
    <t>Photovoltaic cell, multi-Si, at regional storage {RER} U</t>
  </si>
  <si>
    <t>Photovoltaic cell, multi-Si, at regional storage {US} U</t>
  </si>
  <si>
    <t>Photovoltaic laminate, multi-Si, at plant {US} U</t>
  </si>
  <si>
    <t>Photovoltaic laminate, multi-Si, at plant {APAC} U</t>
  </si>
  <si>
    <t>Photovoltaic laminate, multi-Si, at plant {RER} U</t>
  </si>
  <si>
    <t>Photovoltaic panel, multi-Si, at plant {US} U</t>
  </si>
  <si>
    <t>Photovoltaic panel, multi-Si, at plant {APAC} U</t>
  </si>
  <si>
    <t>Photovoltaic panel, multi-Si, at plant {RER} U</t>
  </si>
  <si>
    <t>Geography</t>
  </si>
  <si>
    <t xml:space="preserve">InfrastructureProcess </t>
  </si>
  <si>
    <t>DataSetInformation</t>
  </si>
  <si>
    <t>Version</t>
  </si>
  <si>
    <t>2.2+</t>
  </si>
  <si>
    <t>energyValues</t>
  </si>
  <si>
    <t>LanguageCode</t>
  </si>
  <si>
    <t>en</t>
  </si>
  <si>
    <t>LocalLanguageCode</t>
  </si>
  <si>
    <t>de</t>
  </si>
  <si>
    <t>DataEntryBy</t>
  </si>
  <si>
    <t>Person</t>
  </si>
  <si>
    <t>QualityNetwork</t>
  </si>
  <si>
    <t>DataSetRelatesToProduct</t>
  </si>
  <si>
    <t>IncludedProcesses</t>
  </si>
  <si>
    <t>Gate to gate inventory for production of MG-silicon from silica sand including materials, energy use, wastes and air emissions. Emissions to water are not available.</t>
  </si>
  <si>
    <t>Gate to gate inventory for the virgin production of high purity polycrystalline silicon from MG-silicon using modified Siemens process. Emissions to water are roughly estimated.</t>
  </si>
  <si>
    <t>Gate to gate inventory for the virgin production of high purity polycrystalline silicon from MG-silicon using fluidized bed reactor (FBR).</t>
  </si>
  <si>
    <t xml:space="preserve">Inventory for the recycling of high purity polycrystalline silicon from silicon scraps from silicon brick production.  </t>
  </si>
  <si>
    <t>Gate to gate inventory for the virgin production of high purity polycrystalline silicon from MG-silicon using modified Siemens process. Simulation of integrated manufacturing with waste valorization and minimal liquid discharge.  Emissions to water are roughly estimated.</t>
  </si>
  <si>
    <t>Domestic production and imports of the purified silicon feedstock used for single-crystalline and multi-crystalline silicon wafer production in China. Transport of polysilicon from different world regions to regional storage.</t>
  </si>
  <si>
    <t>Domestic production and imports of the purified silicon feedstock used for single-crystalline and multi-crystalline silicon wafer production in Europe. Transport of polysilicon from different world regions to regional storage.</t>
  </si>
  <si>
    <t>Domestic production and imports of the purified silicon feedstock used for single-crystalline and multi-crystalline silicon wafer production in the US and other American countries. Transport of polysilicon from different world regions to regional storage.</t>
  </si>
  <si>
    <t>Domestic production and imports of the purified silicon feedstock used for single-crystalline and multi-crystalline silicon wafer production in Asia and Pacific. Transport of polysilicon from different world regions to regional storage.</t>
  </si>
  <si>
    <t>Gate to gate inventory for an improved Czochralski process. Melting of solar grade silicon in a silica pot, crystallisation to produce a monocrystalline ingot. Emissions to water roughly estimated. Process emissions to air are not known.</t>
  </si>
  <si>
    <t>Gate to gate inventory for cutting CZ single crystalline silicon ingots into bricks. Water emissions to air roughly estimated.</t>
  </si>
  <si>
    <t>Gate to gate inventory for the casting of solar-grade Si to produce multi-crystalline silicon.</t>
  </si>
  <si>
    <t>Diamond sawing and cleaning of wafers. The process data include electricity use, water and working material consumption. Production wastes to be treated and emissions to water are considered. Emissions of water to air are roughly estimated. No data on other process specific emissions to air.</t>
  </si>
  <si>
    <t>Cz ingot crystallization, cutting processes from ingot to wafers and their cleaning. The process data include electricity use, water and working material consumption. Production wastes are minimized through vertical integration of panel production and waste revalorization. Solid wastes are excluded from this process and summarized in panel process for the whole production chain. Emissions to water are considered. Emissions of water to air are roughly estimated. No data on other process specific emissions to air.</t>
  </si>
  <si>
    <t>Domestic production and imports of single-crystalline silicon wafers used in photovoltaic cell production in Europe. Transport from different world regions to regional storage.</t>
  </si>
  <si>
    <t>Domestic production and imports of single-crystalline silicon wafers used in photovoltaic cell production in the US and other American countries. Transport from different world regions to regional storage.</t>
  </si>
  <si>
    <t>Domestic production and imports of single-crystalline silicon wafers used in photovoltaic cell production in Asia and Pacific. Transport from different world regions to regional storage.</t>
  </si>
  <si>
    <t>Cleaning, damage etching, texture etching, covering of backside, phosphor dotation, phosphor glass etching, printing of contacts, cleaning and quality testing.</t>
  </si>
  <si>
    <t>Cleaning, damage etching, texture etching, covering of backside, phosphor dotation, phosphor glass etching, rear passivation, anti-reflective coating and printing of contacts. Production wastes are minimized through vertical integration of panel production and waste revalorization. Solid wastes are excluded from this process and summarized in panel process for the whole production chain.</t>
  </si>
  <si>
    <t>Cleaning, damage etching, texture etching, covering of backside, phosphor dotation, phosphor glass etching, rear passivation, anti-reflective coating, and printing of contacts. Production wastes are minimized through vertical integration of panel production and waste revalorization. Solid wastes are excluded from this process and summarized in panel process for the whole production chain.</t>
  </si>
  <si>
    <t>Domestic production and imports of single-crystalline silicon cells used in photovoltaic module production in Europe. Transport from different world regions to regional storage.</t>
  </si>
  <si>
    <t>Domestic production and imports of single-crystalline silicon cells used in photovoltaic module production in the US and other American countries. Transport from different world regions to regional storage.</t>
  </si>
  <si>
    <t>Domestic production and imports of single-crystalline silicon cells used in photovoltaic module production in the Asia and Pacific Region. Transport from different world regions to regional storage.</t>
  </si>
  <si>
    <t>Cleaning, damage etching, texture etching, rear-side tunnel oxide formation &amp; PECVD deposition of doped poly-Si, front side boron diffusion, front &amp; rear passivation, printing of contacts, cleaning and quality testing.</t>
  </si>
  <si>
    <t>Cleaning, damage etching, texture etching, rear-side tunnel oxide formation &amp; LPCVD deposition of doped poly-Si, front-side boron diffusion, front &amp; rear passivation, printing of contacts, cleaning and quality testing.</t>
  </si>
  <si>
    <t>Production of the cell matrix, cutting of foils and washing of glass, production of laminate and isolation. Data for direct air emissions (except heat waste, NVMOC, CO2 and water to air) and water emissions were not available.</t>
  </si>
  <si>
    <t>Production of the cell matrix: Glass loading, EVA lay up, cell string cross-binding, edge trimming &amp; framing, junction box installation, curing, packaging. Includes solid wastes for all upstream processes starting from wafer manufacturing.</t>
  </si>
  <si>
    <t xml:space="preserve">Production of the cell matrix: Glass loading, EVA lay up, cell string cross-binding, edge trimming &amp; framing, junction box installation, curing, packaging. </t>
  </si>
  <si>
    <t>Domestic production and imports of single-crystalline silicon laminates installed in Europe. Transport from different world regions to regional storage.</t>
  </si>
  <si>
    <t>Domestic production and imports of monofacial single-crystalline silicon panels installed in Europe. Transport from different world regions to regional storage.</t>
  </si>
  <si>
    <t>Domestic production and imports of bifacial single-crystalline silicon panels installed in Europe. Transport from different world regions to regional storage.</t>
  </si>
  <si>
    <t>Domestic production and imports of single-crystalline silicon laminates installed in the US and other American countries. Transport from different world regions to regional storage.</t>
  </si>
  <si>
    <t>Domestic production and imports of monofacial single-crystalline silicon panels installed in the US and other American countries. Transport from different world regions to regional storage.</t>
  </si>
  <si>
    <t>Domestic production and imports of bifacial single-crystalline silicon panels installed in the US and other American countries. Transport from different world regions to regional storage.</t>
  </si>
  <si>
    <t>Domestic production and imports of single-crystalline silicon panels installed in the APAC countries. Transport from different world regions to regional storage.</t>
  </si>
  <si>
    <t>Domestic production and imports of monofacial single-crystalline silicon panels installed in the APAC countries. Transport from different world regions to regional storage.</t>
  </si>
  <si>
    <t>Domestic production and imports of bifacial single-crystalline silicon panels installed in the APAC countries. Transport from different world regions to regional storage.</t>
  </si>
  <si>
    <t>Mineral extraction of calcium fluoride (fluorspar).</t>
  </si>
  <si>
    <t>Production of hydrogen fluoride from fluorspar and sulphuric acid.</t>
  </si>
  <si>
    <t>Pre-products, energy use, infrastructure, some air emissions and transports. No full information on all air and water emissions available.</t>
  </si>
  <si>
    <t>Materials, transports, machine use, electricity use, land use, water supply network and process equipment for construction of a new production plant, as well as waste management of main construction components.</t>
  </si>
  <si>
    <t>Materials and land use for a new production plant.</t>
  </si>
  <si>
    <t>Production of paste used in production of photovoltaic cells.</t>
  </si>
  <si>
    <t>Electricity use, materials, transport of materials, treatment of production wastes. Disposal after end of life. Process emissions not known (except Cd).</t>
  </si>
  <si>
    <t>This dataset includes the raw and auxiliary materials, electricity and water used to manufacture CdTe PV modules at First Solar in Malaysia. The transport of raw materials, the disposal of wastes, the infrastructure and pollutant emissions to air and water are also included.</t>
  </si>
  <si>
    <t>This dataset includes the raw and auxiliary materials, electricity and water used to manufacture CdTe PV modules at First Solar in USA. The transport of raw materials, the disposal of wastes, the infrastructure and pollutant emissions to air and water are also included.</t>
  </si>
  <si>
    <t>This dataset includes the raw and auxiliary materials, electricity and water used to manufacture CdTe PV modules at First Solar in Vietnam. The transport of raw materials, the disposal of wastes, the infrastructure and pollutant emissions to air and water are also included.</t>
  </si>
  <si>
    <t>Production mix for use in Europe. Transport of modules from overseas by ship and to regional storage by lorry.</t>
  </si>
  <si>
    <t>Production mix for use in US. Transport of modules to regional storage by lorry.</t>
  </si>
  <si>
    <t xml:space="preserve">Main production takes place in Japan and US. However LCI data is still from Germany. Hence an additional transport from US (14350 km) and from Japan (20730 km) to Rotterdam is included. The average transport distance from all non-Europe CIS production companies to Rotterdam is 14840 km. Transport from Rotterdam to the regional storage takes into account the three main producers of solar power in Europe (Italy, Germany and Spain). The transport distance is 940 km. </t>
  </si>
  <si>
    <t>This dataset includes the transport of used crystalline silicon photovoltaic modules to the recycling facility as well as their dismantling and recycling. The consumption of energy and the disposal of plastic components are also included. The takeback and recycling of the electric installation and the mounting structure are not included.</t>
  </si>
  <si>
    <t>This dataset includes the benefits for the avoided production of glass, aluminium and copper by the  recycling of crystalline silicon photovoltaic panels. The amount of recovered materials is calculated based on information from four European recyclers.</t>
  </si>
  <si>
    <t>This dataset includes the transport of used cadmium telluride photovoltaic modules to the recycling facility as well as their dismantling and recycling. The consumption of energy and auxiliary materials are also included. The disposal of plastic components is accounted for. The takeback and recycling of the electric installation and the mounting structure are not included.</t>
  </si>
  <si>
    <t>This dataset includes the benefits for the avoided production of glass, aluminium, copper and semiconductor by the  recycling of cadmium telluride photovoltaic panels.</t>
  </si>
  <si>
    <t>This dataset includes the transport of used crystalline silicon photovoltaic modules to the recycling facility as well as their dismantling and recycling. The consumption of energy and the disposal of waste material are also included. The takeback and recycling of the electric installation and the mounting structure are not included.</t>
  </si>
  <si>
    <t>Materials and packaging for the production and estimation for metal processing. Disposal of the product after use. Energy use for the construction process must be included in data of the PV-plant.</t>
  </si>
  <si>
    <t>Materials and packaging for the production of cabling, lightning protection and fuse box. Inverter is not included. Estimation for metal processing. Disposal of the product after use.</t>
  </si>
  <si>
    <t>Materials and packaging for the production of cabling and fuse box. Inverter is not included. Estimation for metal processing. Disposal of the product after use.</t>
  </si>
  <si>
    <t>Materials and packaging for the production of cabling and transformer station for a utility scale PV system. Inverters are not included. Disposal of the product after use.</t>
  </si>
  <si>
    <t>Materials, manufacturing energy (rolling, annealing, metalworking) and end-of-life treatment for one 2500 kVA oil-immersed distribution transformer. Cradle-to-gate; disposal included for the non-recyclable fraction only (cut-off), recoverable metals excluded.</t>
  </si>
  <si>
    <t>Materials, packaging and electricity use for the production of a 3 kW inverter. Disposal of the product after use (metals and the printed wiring board are assumed to be recycled).</t>
  </si>
  <si>
    <t>Materials, packaging and electricity use for the production of a 5.5 kW inverter. Disposal of the product after use (metals and the printed wiring board are assumed to be recycled).</t>
  </si>
  <si>
    <t>Materials, packaging and electricity use for the production of an average inverter. Disposal of the product after use (metals and the printed wiring board are assumed to be recycled).</t>
  </si>
  <si>
    <t>All components for the installation of a 10 kWp photovoltaic plant, energy use for the mounting, transport of materials and persons to the construction place. Disposal of components after end of life.</t>
  </si>
  <si>
    <t>All components for the installation of a 250 kWp photovoltaic plant, energy use for the mounting, transport of materials and persons to the construction place. Disposal of components after end of life.</t>
  </si>
  <si>
    <t>All components for the installation of a 10 MW photovoltaic plant (10 MWp DC, 7.5 MW AC), energy use for the mounting, transport of materials and persons to the construction place. Disposal of components after end of life.</t>
  </si>
  <si>
    <t>Included is polyvinylbutyral and a plasticizer which is commonly used in PVB sheets. Extrusion process and transports of raw materials are included as well.</t>
  </si>
  <si>
    <t>Included are raw materials and chemicals used for production, transport of materials to manufacturing plant, estimated emissions to air and water from production (incomplete), estimation of energy demand and infrastructure of the plant (approximation). Solid wastes omitted.</t>
  </si>
  <si>
    <t xml:space="preserve">Included are energy consumption and auxiliary materials. </t>
  </si>
  <si>
    <t>Included are raw materials and chemicals used for production, transport of materials to manufacturing plant, estimated emissions to air and water from production (incomplete), energy demand and infrastructure of the plant (approximation). Solid wastes omitted.</t>
  </si>
  <si>
    <t>Infrastructure materials for municipal wastewater treatment plant, transports, dismantling. Land use burdens.</t>
  </si>
  <si>
    <t>Included are raw materials, energy use, transport expenditures, infrastructure and emissions.</t>
  </si>
  <si>
    <t>Included are the manufacture of single-silicon PV cells in China, supply of raw materials for perovskite semiconductor, glass, aluminium frame, working and packaging materials as well as waste disposal, transport and emissions of lead to air and water.</t>
  </si>
  <si>
    <t>Diamond sawing and cleaning of wafers. The process data include electricity use, water and working material consumption. Production wastes to be treated and process-specific waterborne pollutants are considered. No data on other process specific air emissions.</t>
  </si>
  <si>
    <t>Domestic production and imports of multi-crystalline silicon wafers used in photovoltaic cell production in Europe. Transport from different world regions to regional storage.</t>
  </si>
  <si>
    <t>Domestic production and imports of multi-crystalline silicon wafers used in photovoltaic cell production in the US and other American countries. Transport from different world regions to regional storage.</t>
  </si>
  <si>
    <t>Domestic production and imports of multi-crystalline silicon wafers used in photovoltaic cell production in Asia and Pacific. Transport from different world regions to regional storage.</t>
  </si>
  <si>
    <t>Domestic production and imports of multi-crystalline silicon cells used in photovoltaic module production in Europe. Transport from different world regions to regional storage.</t>
  </si>
  <si>
    <t>Domestic production and imports of multi-crystalline silicon cells used in photovoltaic module production in the US and other American countries. Transport from different world regions to regional storage.</t>
  </si>
  <si>
    <t>Production of the cell matrix, cutting of foils and washing of glass, production of laminate and isolation. Data for direct air emissions (except NVMOC) and water emissions were not available.</t>
  </si>
  <si>
    <t>Production of the cell matrix, cutting of foils and washing of glass, production of laminate and isolation. Aluminium frame of the panel. Data for direct air emissions (except NVMOC) and water emissions were not available.</t>
  </si>
  <si>
    <t>Domestic production and imports of multi-crystalline silicon laminates installed in Europe. Transport from different world regions to regional storage.</t>
  </si>
  <si>
    <t>Domestic production and imports of multi-crystalline silicon panels installed in Europe. Transport from different world regions to regional storage.</t>
  </si>
  <si>
    <t>Domestic production and imports of multi-crystalline silicon laminates installed in the US and other American countries. Transport from different world regions to regional storage.</t>
  </si>
  <si>
    <t>Domestic production and imports of multi-crystalline silicon panels installed in the US and other American countries. Transport from different world regions to regional storage.</t>
  </si>
  <si>
    <t>Amount</t>
  </si>
  <si>
    <t>LocalName</t>
  </si>
  <si>
    <t>MG-Silizium, ab Werk</t>
  </si>
  <si>
    <t>Silizium, Solaranwendung, modifizierter Siemens Prozess, ab Werk</t>
  </si>
  <si>
    <t>Silizium, multi-Si, im Block, ab Werk</t>
  </si>
  <si>
    <t>Solarlaminat, single-Si, ab Regionallager</t>
  </si>
  <si>
    <t>Flussspat, 97%, ab Werk</t>
  </si>
  <si>
    <t>Fluorwasserstoff, ab Werk</t>
  </si>
  <si>
    <t>1,1-Difluorethan, HFC-152a, ab Werk</t>
  </si>
  <si>
    <t>Polyvinylfluorid, ab Werk</t>
  </si>
  <si>
    <t>Polyvinylfluorid, Dispersion, ab Werk</t>
  </si>
  <si>
    <t>Polyvinylfluorid-Folie, ab Werk</t>
  </si>
  <si>
    <t>Waferfabrik</t>
  </si>
  <si>
    <t>PV-Zellenfabrik</t>
  </si>
  <si>
    <t>Photovoltaik-Paneel Fabrik</t>
  </si>
  <si>
    <t>Photovoltaik Paneel Fabrik CdTe</t>
  </si>
  <si>
    <t>Metallisierungspaste, Vorderseite, ab Werk</t>
  </si>
  <si>
    <t>Metallisierungspaste, Rückseite, ab Werk</t>
  </si>
  <si>
    <t>Metallisierungspaste, Rückseite, Aluminium, ab Werk</t>
  </si>
  <si>
    <t>Solarlaminat, CIS, ab Werk</t>
  </si>
  <si>
    <t>Solarpaneel, CIS, ab Werk</t>
  </si>
  <si>
    <t>Solarlaminat, CdTe, First Solar Series 6, ab Werk</t>
  </si>
  <si>
    <t>Solarlaminat, CdTe, Mix, ab Regionallager</t>
  </si>
  <si>
    <t>Rücknahme und Recycling, c-Si PV Modul</t>
  </si>
  <si>
    <t>Gutschriften Recycling, c-Si PV Modul</t>
  </si>
  <si>
    <t>Rücknahme und Recycling, CdTe PV Modul</t>
  </si>
  <si>
    <t>Gutschriften Recycling, CdTe PV Modul</t>
  </si>
  <si>
    <t>Behandlung, c-Si PV Modul</t>
  </si>
  <si>
    <t>Altglas, zurückgewonnen aus Behandlung von c-Si PV Modul</t>
  </si>
  <si>
    <t>Aluminiumschrott, zurückgewonnen aus Behandlung von c-Si PV Modul</t>
  </si>
  <si>
    <t>Kupferschrott, zurückgewonnen aus Behandlung von c-Si PV Modul</t>
  </si>
  <si>
    <t>Behandlung, CdTe PV Modul</t>
  </si>
  <si>
    <t>Altglas, zurückgewonnen aus Behandlung von CdTe PV Modul</t>
  </si>
  <si>
    <t>Kupferschrott, zurückgewonnen aus Behandlung von CdTe PV Modul</t>
  </si>
  <si>
    <t>Cadmiumschlamm, zurückgewonnen aus Behandlung von CdTe PV Modul</t>
  </si>
  <si>
    <t>Kupfertelluridzementat, zurückgewonnen aus Behandlung von CdTe PV Modul</t>
  </si>
  <si>
    <t>Fassadenkonstruktion, aufgesetzt, an Gebäude</t>
  </si>
  <si>
    <t>Fassadenkonstruktion, integriert, an Gebäude</t>
  </si>
  <si>
    <t>Flachdachkonstruktion, auf Dach</t>
  </si>
  <si>
    <t>Schrägdachkonstruktion, aufgesetzt, auf Dach</t>
  </si>
  <si>
    <t>Schrägdachkonstruktion, integriert, auf Dach</t>
  </si>
  <si>
    <t>Freiflächenkonstruktion, am Boden</t>
  </si>
  <si>
    <t>Elektroinstallationen, Photovoltaikanlage, ab Werk</t>
  </si>
  <si>
    <t>Elektroinstallationen,  156 kWp Photovoltaikanlage, ab Werk</t>
  </si>
  <si>
    <t>Elektroinstallationen,  93 kWp Photovoltaikanlage, ab Werk</t>
  </si>
  <si>
    <t>Elektroinstallationen,  280 kWp Photovoltaikanlage, ab Werk</t>
  </si>
  <si>
    <t>Elektroinstallationen,  1.3 MWp Photovoltaikanlage, ab Werk</t>
  </si>
  <si>
    <t>Elektroinstallationen,  560 kWp Photovoltaikanlage, ab Werk</t>
  </si>
  <si>
    <t>Elektroinstallationen,  324 kWp Photovoltaikanlage, ab Werk</t>
  </si>
  <si>
    <t>Elektroinstallationen,  450 kWp Photovoltaikanlage, ab Werk</t>
  </si>
  <si>
    <t>Elektroinstallationen,  570 kWp Photovoltaikanlage, ab Werk</t>
  </si>
  <si>
    <t>Wechselrichter, 2500W, ab Werk</t>
  </si>
  <si>
    <t>Wechselrichter, 5 kW, Durchschnitt, ab Werk</t>
  </si>
  <si>
    <t>xxx_Wechselrichter, 10 kW, Durchschnitt, ab Werk</t>
  </si>
  <si>
    <t>Wechselrichter, 20 kW, Durchschnitt, ab Werk</t>
  </si>
  <si>
    <t>Strommix, Photovoltaik, ab Anlage</t>
  </si>
  <si>
    <t>Polyvinylbutyral-Folie, ab Werk</t>
  </si>
  <si>
    <t>Polyvinylbutyral-Pulver, ab Werk</t>
  </si>
  <si>
    <t>Polyvinylalkohol, ab Werk</t>
  </si>
  <si>
    <t>Emulsionspolymerisation, Polyvinylchlorid</t>
  </si>
  <si>
    <t>Stickstofftrifluorid, ab Werk</t>
  </si>
  <si>
    <t>Behandlung, Abwasser aus NF3 Produktion, in Abwasserreiningung, Gr.Kl. 3</t>
  </si>
  <si>
    <t>Silan, ab Werk</t>
  </si>
  <si>
    <t>Solarpaneel, Perovskit-Si-Tandem, ab Werk</t>
  </si>
  <si>
    <t>Wafer, multi-Si, ab Werk</t>
  </si>
  <si>
    <t>Wafer, multi-Si, ab Regionallager</t>
  </si>
  <si>
    <t>Solarzelle, multi-Si, ab Werk</t>
  </si>
  <si>
    <t>Solarzelle, multi-Si, ab Regionallager</t>
  </si>
  <si>
    <t>Solarlaminat, multi-Si, ab Werk</t>
  </si>
  <si>
    <t>Solarpaneel, multi-Si, ab Werk</t>
  </si>
  <si>
    <t>Solarlaminat, multi-Si, ab Regionallager</t>
  </si>
  <si>
    <t>Solarpaneel, multi-Si, ab Regionallager</t>
  </si>
  <si>
    <t>Synonyms</t>
  </si>
  <si>
    <t>metal grade silicon</t>
  </si>
  <si>
    <t>Czochralski process</t>
  </si>
  <si>
    <t>monocrystalline//single crystalline//silicon</t>
  </si>
  <si>
    <t>Solarmodul//PV-module//monocrystalline//silicon</t>
  </si>
  <si>
    <t>polycrystalline//multi-crystalline//silicon</t>
  </si>
  <si>
    <t>Solarmodul//PV-module//polycrystalline//multi-crystalline//silicon</t>
  </si>
  <si>
    <t>MG-silicon with a purity of 99%. Used for the production of aluminium compounds, silicones and semiconductors. For the use in semiconductors further purification is necessary.</t>
  </si>
  <si>
    <t>The modelling of the PV supply-chain LCI data sets is based on aggregated, anonymized data provided by ADEME, CEA, Mines ParisTech, and Certisolis (2025). These underlying data were originally compiled within the French PV tender process and represent industry information.</t>
  </si>
  <si>
    <t xml:space="preserve">Simulation of optimized, vertically integrated fabrication with minimal liquid discharge. </t>
  </si>
  <si>
    <t>Solar-grade silicon (about 99.9999999% = 9N purity) is mainly produced by the modified Siemens process. The share of solar-grade silicon produced in fluidised bed reactors (FBR) is ~10% according to ITRPV 2025.</t>
  </si>
  <si>
    <t>Solar-grade silicon (about 99.9999999% = 9N purity) is mainly produced by the modified Siemens process. The share of solar-grade silicon produced in fluidised bed reactors (FBR) is ~10% according to ITRPV 2025.  Imports of polysilicon are not taken into account since domestic production of polysilicon is sufficient to cover wafer production.</t>
  </si>
  <si>
    <t xml:space="preserve">Solar-grade silicon (about 99.9999999% = 9N purity) is mainly produced by the modified Siemens process. The share of solar-grade silicon produced in fluidised bed reactors (FBR) is ~10% according to ITRPV 2025. </t>
  </si>
  <si>
    <t xml:space="preserve">The modelling of the PV supply-chain LCI data sets is based on aggregated, anonymized data provided by ADEME, CEA, Mines ParisTech, and Certisolis (2025). These underlying data were originally compiled within the French PV tender process and represent industry information. Solar-grade silicon demand estimated at 1.13 kg/kg. Share of closed-loop recycled solar grade silicon is estimated at 43%. </t>
  </si>
  <si>
    <t xml:space="preserve">The modelling of the PV supply-chain LCI data sets is based on aggregated, anonymized data provided by ADEME, CEA, Mines ParisTech, and Certisolis (2025). These underlying data were originally compiled within the French PV tender process and represent industry information. </t>
  </si>
  <si>
    <t xml:space="preserve">Solar-grade silicon demand estimated at 1 kg/kg. Electricity demand updated for 2018. The remaining production efforts remain unchanged because recent data were not available. </t>
  </si>
  <si>
    <t>Simulation of optimized, vertically integrated fabrication with minimal liquid discharge.</t>
  </si>
  <si>
    <t>Shares of production in Europe (100 %) and imports (0 %).</t>
  </si>
  <si>
    <t>No c-Si wafer production reported for the US for the year 2024.</t>
  </si>
  <si>
    <t>Shares of production in APAC (40.8 %) and import from China (59.2 %).</t>
  </si>
  <si>
    <t>Production of photovoltaic cells (M10 format, 182 mm x 182 mm). Some inputs and emissions aggregated to protect sensitive data.</t>
  </si>
  <si>
    <t>Production of photovoltaic cells (M2 format, 156.75 mm x 156.75 mm). Optimized, vertically integrated fabrication with minimal liquid discharge.</t>
  </si>
  <si>
    <t>Shares of production in Europe (92 %) and imports from China (8 %).</t>
  </si>
  <si>
    <t>Shares of production in Europe (92 %) and imports from China (8 %). Assumed share of 50% for PECVD and LPCVD respectively.</t>
  </si>
  <si>
    <t>Shares of production in the US (23 %) and imports from China (77 %).</t>
  </si>
  <si>
    <t>Shares of production in the US (23 %) and imports from China (77 %). Assumed share of 50% for PECVD and LPCVD respectively.</t>
  </si>
  <si>
    <t>Shares of production in the APAC region (89 %) and imports from China (11 %).</t>
  </si>
  <si>
    <t>Shares of production in the APAC region (89 %) and imports from China (11 %). Assumed share of 50% for PECVD and LPCVD respectively.</t>
  </si>
  <si>
    <t xml:space="preserve">Unit process raw data for 1 m2 of PV laminate. Investigated for the production of solar laminates with 72 solar cells and an area of 2 m2. </t>
  </si>
  <si>
    <t>Simulation of optimized, vertically integrated fabrication with minimal liquid discharge. The PERC PV modules have an efficiency of 21.5% , 555 Wp  at Standard Testing Conditions (STC), 3.2 mm front solar glass and rear backsheet encapsulated with Ethylene-vinyl acetate (EVA).</t>
  </si>
  <si>
    <t>Simulation of optimized, vertically integrated fabrication with minimal liquid discharge.The PERC PV modules have an efficiency of 21.5% , 555 Wp  at Standard Testing Conditions (STC), 3.2 mm front solar glass and rear backsheet encapsulated with Ethylene-vinyl acetate (EVA).</t>
  </si>
  <si>
    <t>Simulation of optimized, vertically integrated fabrication with minimal liquid discharge. The TOPCon PV modules have an efficiency of 23.0%, 595 Wp STC, 2.0 mm front and rear glass sheets encapsulated with polyolefin elastomers (POE). Both with a length of 2278 mm and a width of 1134 mm, and an arrangement of 6x24=144 half M10 cells.</t>
  </si>
  <si>
    <t>Simulation of optimized, vertically integrated fabrication with minimal liquid discharge.The TOPCon PV modules have an efficiency of 23.0%, 595 Wp STC, 2.0 mm front and rear glass sheets encapsulated with polyolefin elastomers (POE). Both with a length of 2278 mm and a width of 1134 mm, and an arrangement of 6x24=144 half M10 cells.</t>
  </si>
  <si>
    <t>Shares of production in Europe (3 %) and imports from China (97 %). Shares of PERC (39 %) &amp; TOPcon (61 %) acc. ITRPV (2025)</t>
  </si>
  <si>
    <t>Shares of production in Europe (3 %) and imports from China (97 %). 
Shares of PERC (39 %) &amp; TOPcon (61 %) acc. ITRPV (2025). 
Shares of 60 cell (30 %) and 72 cell (70 %) panels according to data by Industry data (French tender)</t>
  </si>
  <si>
    <t>Shares of production in Europe (3 %) and imports from China (97 %). 
Only TOPCon panels considered. 
Shares of 60 cell (36 %) and 72 cell (64 %) panels according to data by Industry data (French tender)</t>
  </si>
  <si>
    <t>Shares of production in US (24 %) and imports from China (76 %).</t>
  </si>
  <si>
    <t>Shares of production in US (24 %) and imports from China (76 %). Shares of PERC (39 %) &amp; TOPcon (61 %) acc. ITRPV (2025). 
Shares of 60 cell (30%) and 72 cell (70 %) panels according to data by Industry data (French tender)</t>
  </si>
  <si>
    <t>Shares of production in US (24 %) and imports from China (76 %). Only TOPCon panels considered. 
Shares of 60 cell (36%) and 72 cell (64 %) panels according to data by Industry data (French tender).</t>
  </si>
  <si>
    <t>Shares of production in Asia and Pacific (100 %); no imports.</t>
  </si>
  <si>
    <t>Shares of production in Asia and Pacific (100 %); no imports. Shares of PERC (39 %) &amp; TOPcon (61 %) acc. ITRPV (2025). 
Shares of 60 cell (30 %) and 72 cell (70 %) panels according to data by Industry data (French tender).</t>
  </si>
  <si>
    <t>Shares of production in Asia and Pacific (100 %); no imports. Only TOPCon panels considered. 
Shares of 60 cell (36 %) and 72 cell (64 %) panels according to data by Industry data (French tender).</t>
  </si>
  <si>
    <t>Basic inventory based on old literature information.</t>
  </si>
  <si>
    <t>Basic inventory based on own assumptions.</t>
  </si>
  <si>
    <t>Basic inventory based on cumulative data.</t>
  </si>
  <si>
    <t>Simulated LCI for production plant of an optimized photovoltaic panel fabrication system.</t>
  </si>
  <si>
    <t>Simulated LCI for production plant of an optimized fabrication system with a capacity of 25'900 tons of Cz-ingots per year. Life time assumed to be 30 years.</t>
  </si>
  <si>
    <t>Plants of Wacker, DE in Wasserburg and Freiberg. Capacity of 1 million wafers per year. Life time assumed to be 25 years.</t>
  </si>
  <si>
    <t>Simulated LCI for production plant of an optimized fabrication system with a capacity of 24.6 million m2 wafers per year. Life time assumed to be 30 years.</t>
  </si>
  <si>
    <t>New plant of Shell Solar in Gelsenkirchen. Capacity of 10 million solar cells per year. Life time assumed to be 25 years.</t>
  </si>
  <si>
    <t>Simulated LCI for production plant of an optimized fabrication system with a capacity of 23.7 million m2 cells per year. Life time assumed to be 30 years.</t>
  </si>
  <si>
    <t>Capacity of 10'000 modules per year. Life time assumed to be 25 years.</t>
  </si>
  <si>
    <t>Simulated LCI for production plant of an optimized fabrication system with a capacity of 25.5 million m2 of panels or 5 GWp per year. Life time assumed to be 30 years.</t>
  </si>
  <si>
    <t>Chemical composition of typical pastes taken from Material Safety Data Sheets. Energy use and infrastructure estimated with data for solder production.</t>
  </si>
  <si>
    <t>Production of photovoltaic thin film laminates by thermal vaporization in vacuum. The modules produced at Würth Solar have a size of 1.2m by 0.6m. The weight is 12.6kg. The efficiency is 10.8%. The rated nominal power is about 78Wp per module.</t>
  </si>
  <si>
    <t>Production of photovoltaic thin film modules by thermal vaporization in vacuum. The modules produced at Würth Solar have a size of 1.2m by 0.6m. The weight is 12.6kg. The efficiency is 10.8%. The rated nominal power is about 78Wp per module.</t>
  </si>
  <si>
    <t xml:space="preserve">Production of photovoltaic thin film modules by vapour deposition. The modules produced at First Solar have an area of 2.47 m2 and a weight of 14.4 kg/m2. </t>
  </si>
  <si>
    <t xml:space="preserve">Production of photovoltaic thin film modules by vapour deposition. The modules produced at First Solar have an area of 2.47 m2 and a weight of 14.8 kg/m2. </t>
  </si>
  <si>
    <t xml:space="preserve">Production of photovoltaic thin film modules by vapour deposition. The modules produced at First Solar have an area of 2.8 m2 and a weight of 15 kg/m2. </t>
  </si>
  <si>
    <t xml:space="preserve">Production of photovoltaic thin film modules by vapour deposition. The modules produced at First Solar have an area of 2.8 m2 and a weight of 14.3 kg/m2. </t>
  </si>
  <si>
    <t>Estimation for photovoltaic CdTe modules used in Europe. Mix of First Solar modules produced in Malaysia (36 %), the US (26 %) and Vietnam (37 %).</t>
  </si>
  <si>
    <t>Estimation for photovoltaic CdTe modules used in the US and other north American countries. All modules produced domestically, no imports.</t>
  </si>
  <si>
    <t>Average production</t>
  </si>
  <si>
    <t>This dataset represents a weighted average of the recycling efforts of four recycling facilities in Europe. The average transport distance of waste c-Si PV panels is assumed to be 500 km.</t>
  </si>
  <si>
    <t>This dataset represents a weighted average of the amount of recovered materials of four recycling facilities in Europe. The benefits for recovery of waste glass are modelled based on information from Held and Ilg (2011) and KBOB LCI data DQRv2:2016. It is assumed that 90% of the glass and 100% of the metals are recovered.</t>
  </si>
  <si>
    <t>This dataset is based on information published in Sinha et al. (2011): End-of-Life CdTe PV Recycling with Semiconductor Refining.</t>
  </si>
  <si>
    <t>This dataset is based on information on the amount of recovered materials provided by Parikhit Sinha, First Solar. The benefits for recovery of waste glass are modelled based on information from Held and Ilg (2011) and KBOB LCI data DQRv2:2016. It is assumed that 90% of the glass and 100% of the metals are recovered.</t>
  </si>
  <si>
    <t>This dataset represents a weighted average of the recycling efforts of four recycling facilities in Europe. The average transport distance of waste c-Si PV panels is assumed to be 500 km. The treatment of c-Si PV modules yields glass cullets, aluminium scrap and copper scrap, which are considered as co-products. The efforts of PV module takeback and recycling are economically allocated to the treatment and the recovered materials.</t>
  </si>
  <si>
    <t>This dataset is based on information published in Sinha et al. (2012): End-of-Life CdTe PV Recycling with Semiconductor Refining. The treatment of CdTe PV modules yields glass cullets, copper scrap, cadmium sludge and copper telluride cement, which are considered as co-products. The efforts of PV module takeback and recycling are economically allocated to the treatment and the recovered materials.</t>
  </si>
  <si>
    <t>Production of the additional components necessary for the mounting of 1 m2 PV panel or laminate.</t>
  </si>
  <si>
    <t xml:space="preserve">Production of different components of the electric installation of a 3kWp photovoltaic plant. </t>
  </si>
  <si>
    <t xml:space="preserve">Production of different components of the electric installation for a 156 kWp photovoltaic plant. </t>
  </si>
  <si>
    <t xml:space="preserve">Production of different components of the electric installation for a 93 kWp photovoltaic plant. </t>
  </si>
  <si>
    <t xml:space="preserve">Production of different components of the electric installation for a 280 kWp photovoltaic plant. </t>
  </si>
  <si>
    <t xml:space="preserve">Production of different components of the electric installation for a 1.3 MWp photovoltaic plant. </t>
  </si>
  <si>
    <t xml:space="preserve">Production of different components of the electric installation for a 560 MWp photovoltaic plant. </t>
  </si>
  <si>
    <t xml:space="preserve">Production of different components of the electric installation for a 324 kWp photovoltaic plant. </t>
  </si>
  <si>
    <t xml:space="preserve">Production of different components of the electric installation for a 450 kWp photovoltaic plant. </t>
  </si>
  <si>
    <t xml:space="preserve">Production of different components of the electric installation for a 570 kWp photovoltaic plant. </t>
  </si>
  <si>
    <t xml:space="preserve">Production of different components of the electric installation for a utility scale photovoltaic plant. </t>
  </si>
  <si>
    <t>Production of one oil-immersed 2500 kVA (2.5 MW) distribution transformer, ONAN cooling, 20/0.4 kV, including materials, manufacturing energy and end-of-life treatment. Total modelled material mass 5681.20 kg per unit. Life cycle inventory based on Boutros et al. (2026), manufacturer data (Schneider Electric 2016) and other literature; background datasets from BAFU 2025.</t>
  </si>
  <si>
    <t>Production of a 3 kW inverter for photovoltaic plant. Total weight incl. packaging about  24.6 kg. Data based on disassembly and laboratory analysis of a 3 kW inverter produced in Europe. Analysis was performed at Ricerca Sistema Energetico (RSE).</t>
  </si>
  <si>
    <t>Production of a 5.5 kW inverter for photovoltaic plant. Total weight incl. packaging about  23.1 kg. Data based on disassembly and laboratory analysis of a 5.5 kW inverter produced in Europe and available on the market in 2026. Analysis was performed at Ricerca Sistema Energetico (RSE).</t>
  </si>
  <si>
    <t>Production of an average inverter (8-10 kW) for photovoltaic plant. Total weight incl. packaging about  28.1 kg. Average calculated with inventory data from two leading manufacturers and EPD data from three additional manufacturers</t>
  </si>
  <si>
    <t>Production of an average inverter (100 kW) for photovoltaic plant. Total weight incl. packaging about  129 kg. Average calculated with inventory data from one leading manufacturer and EPD data from four additional manufacturers</t>
  </si>
  <si>
    <t>Production of an average inverter (2.5 kW) for photovoltaic plant. Total weight about 11.2 kg. The printed wiring board weighs 0.3 kg and the printed wiring board assembly (total) 1.2 kg. Average calculated with data from three leading European manufacturers and extrapolated to the power scale of interest.</t>
  </si>
  <si>
    <t>Production of an average inverter ( 5 kW) for photovoltaic plant. Total weight about 18.0 kg. The printed wiring board weighs 0.5 kg and the printed wiring board assembly (total) 2.0 kg. Average calculated with data from three leading European manufacturers and extrapolated to the power scale of interest.</t>
  </si>
  <si>
    <t>Production of an average inverter (10 kW) for photovoltaic plant. Total weight about 28.9 kg. The printed wiring board weighs 0.8 kg and the printed wiring board assembly (total) 3.1 kg. Average calculated with data from three leading European manufacturers and extrapolated to the power scale of interest.</t>
  </si>
  <si>
    <t>Production of an average inverter (20 kW) for photovoltaic plant. Total weight about 46.2 kg. The printed wiring board weighs 1.4 kg and the printed wiring board assembly (total) 5.0 kg. Average calculated with data from three leading European manufacturers and extrapolated to the power scale of interest.</t>
  </si>
  <si>
    <t>Photovoltaic installation with a capacity of 10 kWp and a life time of 30 years installed in CH. Average module efficiency calculated based on ITRPV (2025). The share of rejected or replaced PV modules is estimated at 3 %. The inverter is assumed to be replaced once during the service life of the PV system.</t>
  </si>
  <si>
    <t>Photovoltaic installation with a capacity of 10 kWp and a life time of 30 years installed in CH. The efficiency of multi-Si PV modules is 18 % (Fraunhofer ISE Photovoltaics Report 2019). The share of rejected or replaced PV modules is estimated at 3%. The inverter is assumed to be replaced once during the service life of the PV system.</t>
  </si>
  <si>
    <t>Photovoltaic installation with a capacity of 250 kWp and a life time of 30 years installed in CH. Average module efficiency calculated based on ITRPV (2025). The share of rejected or replaced PV modules is estimated at 3 %. The inverter is assumed to be replaced once during the service life of the PV system.</t>
  </si>
  <si>
    <t>Photovoltaic installation with a capacity of 10 kWp and a life time of 30 years installed in Switzerland. The efficiency of CdTe PV modules is 18.4 % (average of First Solar Series 6 modules in 2022). The share of rejected or replaced PV modules is 1 % based on company information. The inverter is assumed to be replaced once during the service life of the PV system.</t>
  </si>
  <si>
    <t>Photovoltaic installation with a capacity of 10 kWp and a life time of 30 years installed in Switzerland. The efficiency of CdTe PV modules is 18.7 % (average of First Solar Series 7 modules in 2024). The share of rejected or replaced PV modules is 1 % based on company information. The inverter is assumed to be replaced once during the service life of the PV system.</t>
  </si>
  <si>
    <t>Annual output of grid-connected PV power plants differentiated for roof-top, facade and centralized power plants. Technology and installation type breakdown based on literature (IEA-PVPS Task 1 and Fraunhofer ISE reports) and expert estimates. Average yield based on national statistics.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</si>
  <si>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population-weighted average according to Breyer &amp; Schmid (2010), corrected by performance ratio as specified in IEA-PVPS Task 12 methodology guidelines. The lifetime of PV systems is estimated at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</si>
  <si>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for installed capacity and electricity generation of PV systems for 2014-2018.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</si>
  <si>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(DUKES Tab. 6.4) for installed capacity and electricity generation of PV systems for 2014-2018.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</si>
  <si>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for 2016-2019.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</si>
  <si>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from Haghdadi et al. (2016).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</si>
  <si>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for installed capacity and electricity generation of PV systems for 2016-2018. The lifetime of PV systems is estimated at 30 years and a linear degradation rate of 0.7% per year is assumed (10.5% on average over 30 years) based on the PEFCR PV electricity.</t>
  </si>
  <si>
    <t>Annual output of grid-connected PV power plants differentiated for roof-top, facade and centralized power plants. Technology and installation type breakdown based on literature (IEA-PVPS Task 1 and Fraunhofer ISE reports) and expert estimates. Average yield based on country-specific data for installed capacity and electricity generation of PV systems for 2015-2018. The lifetime of PV systems is estimated at 30 years and a linear degradation rate of 0.7% per year is assumed (10.5% on average over 30 years) based on the PEFCR PV electricity.</t>
  </si>
  <si>
    <t>The foil consists of 70% PVB and 30% plasticizer. Wastes are recycled internally.</t>
  </si>
  <si>
    <t>Material inputs are based on industrial data. Other inventory data are based on rough estimations.</t>
  </si>
  <si>
    <t>This process contains the auxiliaries and energy demand for the mentioned conversion process of plastics. The converted amount of plastics is NOT included into the dataset. To produce 1 kg of polymerised product 1.017 kg material is needed.</t>
  </si>
  <si>
    <t>Energy consumption is based on industrial data. Material consumption is calculated based on stochiometric formula. Emissions are based on rough assumptions.</t>
  </si>
  <si>
    <t xml:space="preserve">Wastewater purified in a medium size municipal wastewater treatment plant (capacity class 3), with an average capacity size of 24900 per-captia-equivalents PCE. _x000D_Wastewater contains (in kg/m3): NH4-N: 0.0104 (GSD=122.5%); F: 3.52 (GSD=122.5%); Ca: 14.11 (GSD=122.5%); </t>
  </si>
  <si>
    <t>Emissions are estimated with average silicon product.</t>
  </si>
  <si>
    <t>LCI of CHEOPS perovskite silicon tandem modules to be produced by OXPV in Germany. LCI published in de Wild-Scholten, M. 2017: Deliverable 3.1 Life Cycle Analysis of CHEOPS technologies and benchmarking: Screening. Published LCI embeddeed in UVEK LCI data DQRv2:2018. Changes to LCI: Transport calculated based on given distances in Tabel 2 of Wild-Scholten (2017). Panel area is 1.6m2.</t>
  </si>
  <si>
    <t>The reference flow for the life cycle inventory is 1 square metre of wafer surface. The multi-crystalline silicon ingots are sawn into square wafers with a size 156.75x156.75 mm2 (0.0246 m2), a thickness of 180 um and a weight of 419 g/m2. The sawing losses are 120 um (95 um kerf loss and 25 um additional losses such as pot scrap, ingot top, squaring, cropping etc.) or 280 g/m2. The diamond wire is modelled as a stainless steel wire because data on industrial diamond manufacture are missing. Water is used as a cutting fluid.</t>
  </si>
  <si>
    <t>Shares of production in Europe (81 %) and import from China (19 %).</t>
  </si>
  <si>
    <t>Imports of wafers are not taken into account since domestic wafer production is sufficient to cover cell production.</t>
  </si>
  <si>
    <t>Shares of production in APAC (73%) and import from China (27%).</t>
  </si>
  <si>
    <t>Production of photovoltaic cells (156.75x156.75 mm2). Some inputs and emissions aggregated to protect sensitive data.</t>
  </si>
  <si>
    <t>Shares of production in Europe (14%) and imports from China (24%) and Asia and Pacific (62%).</t>
  </si>
  <si>
    <t>Shares of production in the US (25%) and imports from China (9%) and Asia and Pacific (66%).</t>
  </si>
  <si>
    <t xml:space="preserve">Unit process raw data for 1 m2 of PV laminate. Investigated for the production of solar laminates with 60 solar cells and an area of 1.6m2. </t>
  </si>
  <si>
    <t>Shares of production in Europe (23%) and imports from China (72%) and Asia and Pacific (5%).</t>
  </si>
  <si>
    <t>Shares of production in US (29%) and imports from China (67%) and Asia and Pacific (4%).</t>
  </si>
  <si>
    <t xml:space="preserve">InfrastructureIncluded </t>
  </si>
  <si>
    <t>metals</t>
  </si>
  <si>
    <t>photovoltaic</t>
  </si>
  <si>
    <t>waste management</t>
  </si>
  <si>
    <t>Electricity by fuel</t>
  </si>
  <si>
    <t>electricity by fuel</t>
  </si>
  <si>
    <t>extraction</t>
  </si>
  <si>
    <t>refinement</t>
  </si>
  <si>
    <t>production of components</t>
  </si>
  <si>
    <t>inorganics</t>
  </si>
  <si>
    <t>organics</t>
  </si>
  <si>
    <t>Processing</t>
  </si>
  <si>
    <t>Photovoltaic\Infrastructure</t>
  </si>
  <si>
    <t>power plants</t>
  </si>
  <si>
    <t>others</t>
  </si>
  <si>
    <t>Organic</t>
  </si>
  <si>
    <t>wastewater treatment</t>
  </si>
  <si>
    <t>organic</t>
  </si>
  <si>
    <t>LocalCategory</t>
  </si>
  <si>
    <t>Metalle</t>
  </si>
  <si>
    <t>Photovoltaik</t>
  </si>
  <si>
    <t>Chemikalien</t>
  </si>
  <si>
    <t>Entsorgungssysteme</t>
  </si>
  <si>
    <t>Elektronik</t>
  </si>
  <si>
    <t>Elektrizität</t>
  </si>
  <si>
    <t>Kunststoffe</t>
  </si>
  <si>
    <t>LocalSubCategory</t>
  </si>
  <si>
    <t>Gewinnung</t>
  </si>
  <si>
    <t>Veredelung</t>
  </si>
  <si>
    <t>Herstellung Komponenten</t>
  </si>
  <si>
    <t>Anorganika</t>
  </si>
  <si>
    <t>Organisch</t>
  </si>
  <si>
    <t>Recycling</t>
  </si>
  <si>
    <t>Bauteile</t>
  </si>
  <si>
    <t>Kraftwerke</t>
  </si>
  <si>
    <t>Andere</t>
  </si>
  <si>
    <t>Verarbeitung</t>
  </si>
  <si>
    <t>Abwasserreinigung</t>
  </si>
  <si>
    <t>Formula</t>
  </si>
  <si>
    <t>Si</t>
  </si>
  <si>
    <t>StatisticalClassification</t>
  </si>
  <si>
    <t>CASNumber</t>
  </si>
  <si>
    <t>TimePeriod</t>
  </si>
  <si>
    <t>StartDate</t>
  </si>
  <si>
    <t>2022</t>
  </si>
  <si>
    <t>EndDate</t>
  </si>
  <si>
    <t>DataValidForEntirePeriod</t>
  </si>
  <si>
    <t>OtherPeriodText</t>
  </si>
  <si>
    <t>Date corresponds to latest electricity demand update. Other inputs from 1990 to 1992.</t>
  </si>
  <si>
    <t>Time of investigation</t>
  </si>
  <si>
    <t>Simulation of optimized production process in 2024. Base-data taken from older publications.</t>
  </si>
  <si>
    <t>Average module efficiency in 2024</t>
  </si>
  <si>
    <t>Data refer to 2014. Electricity demand updated for 2020.</t>
  </si>
  <si>
    <t>Data refer to 2024</t>
  </si>
  <si>
    <t xml:space="preserve">Data investigated in 2004. Demand of Single-Si wafer, electricity and metallisation paste updated for 2024. </t>
  </si>
  <si>
    <t>Date of data investigation.  Demand of electricity updated for 2023. Solar glass demand updated for 2024.</t>
  </si>
  <si>
    <t>Time of publications.</t>
  </si>
  <si>
    <t>Simulation of optimized production process plant in 2024.</t>
  </si>
  <si>
    <t>Date of publication.</t>
  </si>
  <si>
    <t>Date of literature publications</t>
  </si>
  <si>
    <t xml:space="preserve">Simulation of optimized production process plant in 2024. </t>
  </si>
  <si>
    <t>Data investigated in 2006.</t>
  </si>
  <si>
    <t>Data refer to 2007. Production in 2006 was ramped up.</t>
  </si>
  <si>
    <t>Data refer to production in 2020 to 2022.</t>
  </si>
  <si>
    <t>Data refer to production in 2023.</t>
  </si>
  <si>
    <t>Data refer to 2024.</t>
  </si>
  <si>
    <t>Date of data investigation. Actual weight of materials updated in 2008.</t>
  </si>
  <si>
    <t>Date of data investigation.</t>
  </si>
  <si>
    <t>Average module efficiency in 2024.</t>
  </si>
  <si>
    <t>Average module efficiency in 2022.</t>
  </si>
  <si>
    <t>Average yield based on IEA PVPS Trends in PV Applications Report.</t>
  </si>
  <si>
    <t>Time of publications</t>
  </si>
  <si>
    <t>Collection of data in 2014. Silicon demand, electricity consumption as well as diamond wire and water demand updated for 2018.</t>
  </si>
  <si>
    <t>Data refer to 2018</t>
  </si>
  <si>
    <t>Data investigated in 2014. Demand of electricity and metallisation paste updated for 2018.</t>
  </si>
  <si>
    <t>Date of data investigation. Demand of electricity updated for 2018.</t>
  </si>
  <si>
    <t>Date of data investigation. Demand of electricity updated for 2019.</t>
  </si>
  <si>
    <t>Text</t>
  </si>
  <si>
    <t>Generic production efforts with specific electricity mixes.</t>
  </si>
  <si>
    <t>Generic production efforts with specific electricity mixes and water provision.</t>
  </si>
  <si>
    <t>Data for DE</t>
  </si>
  <si>
    <t xml:space="preserve">Data for DE, extrapolated to Chinese production </t>
  </si>
  <si>
    <t>Regional supply mix calculated based on data for the worldwide production and consumption.</t>
  </si>
  <si>
    <t>Data for RER.</t>
  </si>
  <si>
    <t>Data for RER, extrapolated to Chinese production.</t>
  </si>
  <si>
    <t>Data for RER, extrapolated to US production.</t>
  </si>
  <si>
    <t>Data for RER, extrapolated to Asia and Pacific production.</t>
  </si>
  <si>
    <t>Data of production in Europe, extrapolated to Chinese production.</t>
  </si>
  <si>
    <t>Data of production in Europe, extrapolated to US production.</t>
  </si>
  <si>
    <t>Data of production in Europe, extrapolated to production in Asia and Pacific.</t>
  </si>
  <si>
    <t>Data of production in Europe.</t>
  </si>
  <si>
    <t>Production plants in Western Europe, extrapolated to Chinese production.</t>
  </si>
  <si>
    <t>Production plants in Western Europe, extrapolated to US production.</t>
  </si>
  <si>
    <t>Production plants in Western Europe, extrapolated to production in Asia and Pacific.</t>
  </si>
  <si>
    <t>Production plants in Western Europe.</t>
  </si>
  <si>
    <t xml:space="preserve">Main producers are China, South Africa and Mexico. Some data of calcium fluoride produced in Germany. </t>
  </si>
  <si>
    <t>Hydrogen fluoride is produced in different countries.</t>
  </si>
  <si>
    <t>Production plant of DuPont in the United States.</t>
  </si>
  <si>
    <t>Data for Cologne, DE</t>
  </si>
  <si>
    <t>Two plants in DE and literature data.</t>
  </si>
  <si>
    <t>Gelsenkirchen, DE.</t>
  </si>
  <si>
    <t>Different producers world wide</t>
  </si>
  <si>
    <t>Dat of production in Europe.</t>
  </si>
  <si>
    <t>Data from Würth Solar in Germany.</t>
  </si>
  <si>
    <t>Data from First Solar Malaysia.</t>
  </si>
  <si>
    <t>Data from First Solar US.</t>
  </si>
  <si>
    <t>Data from First Solar Vietnam.</t>
  </si>
  <si>
    <t>Data from First Solar US</t>
  </si>
  <si>
    <t>Data from First Solar India</t>
  </si>
  <si>
    <t>Production shares based on global figures, transport distances calculated for Europe.</t>
  </si>
  <si>
    <t>Production shares based on global figures, transport distances calculated for the Americas.</t>
  </si>
  <si>
    <t>Production in CH.</t>
  </si>
  <si>
    <t>Average European production (RER).</t>
  </si>
  <si>
    <t>Production in DE</t>
  </si>
  <si>
    <t>Global average</t>
  </si>
  <si>
    <t>Production in RER.</t>
  </si>
  <si>
    <t>Installation in CH.</t>
  </si>
  <si>
    <t>Installation in Europe.</t>
  </si>
  <si>
    <t>Installation in Switzerland.</t>
  </si>
  <si>
    <t>Operation in Switzerland.</t>
  </si>
  <si>
    <t>Specific to the technology mix encountered in Switzerland in 2000. Well applicable to modern treatment practices in Europe, North America or Japan.</t>
  </si>
  <si>
    <t>Data of production in Europe, extrapolated to production in Asia Pacific.</t>
  </si>
  <si>
    <t>Technology</t>
  </si>
  <si>
    <t>Waste heat is partly recovered and used for electricity generation and/or district heating.</t>
  </si>
  <si>
    <t xml:space="preserve">Production with Siemens process either from SiHCl3 or SiH4. Mix of electricity supply in accordance with actual conditions at considered production locations. </t>
  </si>
  <si>
    <t xml:space="preserve">Production with fluidized bed reactor process either from SiHCl3 or SiH4. Mix of electricity supply in accordance with actual conditions at considered production locations. </t>
  </si>
  <si>
    <t>Recycling of silicon scraps from brick production.</t>
  </si>
  <si>
    <t>Modified Siemens process</t>
  </si>
  <si>
    <t xml:space="preserve">Czochralski process for production of monocrystalline silicon blocks. </t>
  </si>
  <si>
    <t>Process for production of monocrystalline silicon bricks. Slicing of edges and sawing of bricks.</t>
  </si>
  <si>
    <t xml:space="preserve">Purified silicon is melted in cast in a graphite box. </t>
  </si>
  <si>
    <t>Purified silicon is melted in cast in a graphite box.</t>
  </si>
  <si>
    <t>Use of diamond wire saws.</t>
  </si>
  <si>
    <t>Use of diamond wire saws. Vertical process integration.  Minimal Liquid discharge.</t>
  </si>
  <si>
    <t>None</t>
  </si>
  <si>
    <t>Average production technology of photovoltaic cells from wafers.</t>
  </si>
  <si>
    <t>Vertical process integration.  Minimal Liquid discharge.</t>
  </si>
  <si>
    <t>Average production technology of photovoltaic cells from wafers using PECVD</t>
  </si>
  <si>
    <t>Average production technology of photovoltaic cells from wafers using LPCVD</t>
  </si>
  <si>
    <t>Average production technology.</t>
  </si>
  <si>
    <t>Open cast mining of resource. Separation by crushing, grinding and flotation.</t>
  </si>
  <si>
    <t>Endothermic reaction of CaF2 and H2SO4.</t>
  </si>
  <si>
    <t>Fluoropolymer chemistry.</t>
  </si>
  <si>
    <t>Ancillary building of plants for electronic and photovoltaics industry.</t>
  </si>
  <si>
    <t>Silicone plant for electronic and photovoltaics industry.</t>
  </si>
  <si>
    <t>Wafer manufacturing plant for electronic and photovoltaics industry.</t>
  </si>
  <si>
    <t>New plant on old industrial site.</t>
  </si>
  <si>
    <t>Photovoltaic cell manufacturing plant.</t>
  </si>
  <si>
    <t>Production plant in an industrial area.</t>
  </si>
  <si>
    <t>Photovoltaic panel manufacturing plant.</t>
  </si>
  <si>
    <t>Assumption that production technology is similar as for solders.</t>
  </si>
  <si>
    <t>Production technology of thin film CIS cells with thermal vaporization in vacuum.</t>
  </si>
  <si>
    <t>Production technology of thin film cells. Sublimation of the powders and condensation of the vapours on a glass substrate by vapour transport deposition (VTD).</t>
  </si>
  <si>
    <t>Modern technology.</t>
  </si>
  <si>
    <t>Industry data.</t>
  </si>
  <si>
    <t>Construction parts for a photovoltaic system.</t>
  </si>
  <si>
    <t>All electric installations for a photovoltaic system with a capacity of 3kWp. Including cables, counter, etc.</t>
  </si>
  <si>
    <t>Electric installation</t>
  </si>
  <si>
    <t>Oil-immersed distribution transformer, ONAN cooling class, 20/0.4 kV, 2500 kVA rated power.</t>
  </si>
  <si>
    <t>Inverter for a photovoltaic grid-connected system with a capacity of 3 kWp.</t>
  </si>
  <si>
    <t>Inverter for a photovoltaic grid-connected system with a capacity of 5.5 kWp.</t>
  </si>
  <si>
    <t>Inverter for a photovoltaic grid-connected system with a capacity of 8-10kWp.</t>
  </si>
  <si>
    <t>Inverter for a photovoltaic grid-connected system with a capacity of 100kWp.</t>
  </si>
  <si>
    <t>Inverter for a photovoltaic grid-connected system with a capacity of 2.5kWp.</t>
  </si>
  <si>
    <t>Inverter for a photovoltaic grid-connected system with a capacity of 5kWp.</t>
  </si>
  <si>
    <t>Inverter for a photovoltaic grid-connected system with a capacity of 10kWp.</t>
  </si>
  <si>
    <t>Inverter for a photovoltaic grid-connected system with a capacity of 20kWp.</t>
  </si>
  <si>
    <t>Current technology for mounting of panels or laminates, electric installations and other components.</t>
  </si>
  <si>
    <t>Electricity production with grid-connected photovoltaic power plants.</t>
  </si>
  <si>
    <t>Extrusion of PVB and plasticizer to sheets.</t>
  </si>
  <si>
    <t>The synthesis of PVB starts from polyvinyl alcohol (acetalization). The acetalization is carried out either in water or in alcohols (methanol or ethanol) and is catalyzed with acids (sulfuric or hydrochloric acid). After the reaction the PVB is obtained as a precipitate. Filtering and washing steps as well as final drying are typically carried out after the chemical reaction.</t>
  </si>
  <si>
    <t>Polymerisation of vinyl esters or ethers, with a following saponification or transesterification process</t>
  </si>
  <si>
    <t>Polymerisation takes place in water.</t>
  </si>
  <si>
    <t>NF3 is produced from elementary fluorine.</t>
  </si>
  <si>
    <t>Three stage wastewater treatment (mechanical, biological, chemical) including sludge digestion (fermentation) according to the average technology in Switzerland</t>
  </si>
  <si>
    <t>unknown</t>
  </si>
  <si>
    <t>Company data</t>
  </si>
  <si>
    <t>Representativeness</t>
  </si>
  <si>
    <t>Percent</t>
  </si>
  <si>
    <t>ProductionVolume</t>
  </si>
  <si>
    <t>1'000'000t world wide production in 2000.</t>
  </si>
  <si>
    <t>1'000'000t worldwide in 2000. Most of European plants are located in NO.</t>
  </si>
  <si>
    <t>Data represents 260GW production capacity.</t>
  </si>
  <si>
    <t>Data represents 98GW production capacity.</t>
  </si>
  <si>
    <t>Data represents 213 GW production capacity.</t>
  </si>
  <si>
    <t>Simulation based model, small actual production volume using this technology.</t>
  </si>
  <si>
    <t>Approximately 1.9 Mio t globally in 2024</t>
  </si>
  <si>
    <t>Data represents 200GW production capacity.</t>
  </si>
  <si>
    <t>Approximately 105000 MW for total c-Si in 2018</t>
  </si>
  <si>
    <t>Data represents 808 GW production capacity.</t>
  </si>
  <si>
    <t>Approximately 804,000 MW globally in 2024</t>
  </si>
  <si>
    <t>Approximately 751000 MW globally in 2024 (PERC + TOPcon)</t>
  </si>
  <si>
    <t>Approximtely 751,000 MW globally in 2024 (PERC + TOPCon)</t>
  </si>
  <si>
    <t>Data represents 45 GW production capacity</t>
  </si>
  <si>
    <t>Data represents 52 GW production capactiy</t>
  </si>
  <si>
    <t>Approximately 729,000 MW globally in 2024 (PERC + TOPCon; Laminate + Panels)</t>
  </si>
  <si>
    <t>Approximately 729,000 MW globally in 2024 (PERC + TOPCon; Laminate + Panels; monofacial + bifacial; 72 + 60 cells)</t>
  </si>
  <si>
    <t>Data represents 42 GW production capactiy</t>
  </si>
  <si>
    <t>Data represents 82 GW production capactiy</t>
  </si>
  <si>
    <t>A few million tonnes per year.</t>
  </si>
  <si>
    <t>About 53'000 metric tonnes in the US.</t>
  </si>
  <si>
    <t>Not known</t>
  </si>
  <si>
    <t>25'900 tons of Cz-ingots per year in the factory. No actual production, as production process is simulated.</t>
  </si>
  <si>
    <t>1 million wafers per year in the factories. 25 years life time.</t>
  </si>
  <si>
    <t>24.6 million m2 wafers per year in the factory. No actual production, as production process is simulated.</t>
  </si>
  <si>
    <t>10 million cells/a in the factory. Total worldwide production ca 170 million</t>
  </si>
  <si>
    <t>23.7 million m2 cells per year in the factory. No actual production, as production process is simulated.</t>
  </si>
  <si>
    <t>1500 MWP in 2005</t>
  </si>
  <si>
    <t>25.5 million m2 of panels or 5 GWp per year in the factory. No actual production, as production process is simulated.</t>
  </si>
  <si>
    <t>not known</t>
  </si>
  <si>
    <t>14.8 MW planned for 2007</t>
  </si>
  <si>
    <t>9610 MW total production by First Solar in 2024.</t>
  </si>
  <si>
    <t>5890 MW total production by First Solar in 2024.</t>
  </si>
  <si>
    <t>15500 MW total global production by First Solar in 2024.</t>
  </si>
  <si>
    <t>15500 MW total global production by First Solar in 2024. 5000 MW installation in the US in 2023.</t>
  </si>
  <si>
    <t>Not known.</t>
  </si>
  <si>
    <t>Total installed capacity in 2018: 2200 MWp in CH.</t>
  </si>
  <si>
    <t xml:space="preserve">  </t>
  </si>
  <si>
    <t>Unknown.</t>
  </si>
  <si>
    <t>World production of PVB in 1990 was 80'000t</t>
  </si>
  <si>
    <t>World production PVA 650'000t</t>
  </si>
  <si>
    <t>4000 t in 2007</t>
  </si>
  <si>
    <t>Approximately 99000 MW for total c-Si in 2018</t>
  </si>
  <si>
    <t>SamplingProcedure</t>
  </si>
  <si>
    <t xml:space="preserve">Publication of plant specific data in a European survey.  </t>
  </si>
  <si>
    <t>Aggregated data provided by ADEME, CEA, Mines ParisTech, and Certisolis (2025) originally compiled within the French PV tender process.</t>
  </si>
  <si>
    <t>Simulated data</t>
  </si>
  <si>
    <t>Estimation from market intelligence publications</t>
  </si>
  <si>
    <t>Literature data.</t>
  </si>
  <si>
    <t>Data collected from 5 specific processes and companies (4 multi-Si + 1 single-Si processing company). Aggregated data for 2024 update provided by ADEME, CEA, Mines ParisTech, and Certisolis (2025) originally compiled within the French PV tender process.</t>
  </si>
  <si>
    <t>Environmental reports, direct contacts with factory representatives and publication of plant data.</t>
  </si>
  <si>
    <t>Literature and own estimations.</t>
  </si>
  <si>
    <t>Own estimations.</t>
  </si>
  <si>
    <t>Publication of cumulative data.</t>
  </si>
  <si>
    <t>Simulation of optimized production plant.</t>
  </si>
  <si>
    <t>Information on webpage.</t>
  </si>
  <si>
    <t>Environmental report and literature.</t>
  </si>
  <si>
    <t>Chemical composition of typical pastes taken from Material Safety Data Sheets.</t>
  </si>
  <si>
    <t>Literature data based on producer information.</t>
  </si>
  <si>
    <t>Producer information</t>
  </si>
  <si>
    <t>Data survey at recycling companies in Europe.</t>
  </si>
  <si>
    <t>Detailed analysis of materials for one product in a diploma thesis.</t>
  </si>
  <si>
    <t>Data from manufacturers</t>
  </si>
  <si>
    <t>Based on manufacturer data. Rammed open ground fixed-tilt mounting system.</t>
  </si>
  <si>
    <t>Data from &gt;10'000 single-axis (1P) tracker units installed in Italy (distributed-generation market), first semester 2023. Unpublished primary data provided by Andrea Danelli, RSE (Ricerca sul Sistema Energetico, Milan).</t>
  </si>
  <si>
    <t>Hypothetical 10 MWp ground-mounted PV system (10 MWp DC, 7.5 MVA AC); 22 240 modules (450 Wp, 1.998 m²/module); 80 string inverters; 4 × 2.5 MVA (2500 kVA) transformer stations (slightly oversized relative to the 7.5 MVA AC sizing at installation level); covered ground area 69 600 m² (300 × 232 m). Functional unit: 1 m² module area (44 438 m² total). Cradle-to-gate; electrical BoS only (inverters not included). Cable assumptions: DC cable 222 300 m (Lapp H1Z2Z2-K 1×6 mm²); AC cable 12 000 m (FG16M16-flex 1×95 mm²). Transformer stations: 4 units, buildings 4 × 10 m² = 40 m². Cable ties: 20 per table × 570 tables. All cable lengths and component quantities based on manufacturer datasheets.</t>
  </si>
  <si>
    <t>Modelling based on data from literature, manufacturer datasheets and the work of Boutros et al. (2026).</t>
  </si>
  <si>
    <t>Disassembly and laboratory analysis of parts.</t>
  </si>
  <si>
    <t>Survey at inverter manufacturers &amp; aggregation with public EPDs.</t>
  </si>
  <si>
    <t>Survey at inverter manufacturers.</t>
  </si>
  <si>
    <t>Publication for efficiency, mounting systems and own estimations for other components.</t>
  </si>
  <si>
    <t>Statistical data for CH.</t>
  </si>
  <si>
    <t>Statistical data and model calculations</t>
  </si>
  <si>
    <t>Literature and industry data.</t>
  </si>
  <si>
    <t>Company and literature data.</t>
  </si>
  <si>
    <t xml:space="preserve">Data collection by factory representatives. Environmental report and LCA studies. </t>
  </si>
  <si>
    <t>Survey among market intelligence companies</t>
  </si>
  <si>
    <t>Data collected from 5 specific processes and companies (4 multi-Si + 1 single-Si processing company).</t>
  </si>
  <si>
    <t>Extrapolations</t>
  </si>
  <si>
    <t>Air emissions of different pollutants are extrapolated from environmental reports. Extrapolation of European LCI inventory data by changing the consumed electricity mix to the Chinese electricity mix.</t>
  </si>
  <si>
    <t>Air emissions of different pollutants are extrapolated from environmental reports. Extrapolation of European LCI inventory data by changing the consumed electricity mix to the US electricity mix.</t>
  </si>
  <si>
    <t>Air emissions of different pollutants are extrapolated from environmental reports. Extrapolation of European LCI inventory data by changing the consumed electricity mix to the South Korean electricity mix.</t>
  </si>
  <si>
    <t>Air emissions of different pollutants are extrapolated from environmental reports.</t>
  </si>
  <si>
    <t>Emissions to water are estimated with figures investigated for MG-silicon purification to EG-silicon with a similar type of process.</t>
  </si>
  <si>
    <t>Extrapolation of European LCI data by changing the electricity mix.</t>
  </si>
  <si>
    <t>none</t>
  </si>
  <si>
    <t>Silicon, electricity and tap water inputs adapted to chinese production.</t>
  </si>
  <si>
    <t>Data 2005 calculated from data 2004 by multiplying amounts of materials by solar cell area factor of 156*156/(125*125) = 1.56; energy scaled linearly with cell side length. Extrapolation of European LCI inventory data by adjusting the electricity mix.</t>
  </si>
  <si>
    <t>Data 2005 calculated from data 2004 by multiplying amounts of materials by solar cell area factor of 156*156/(125*125) = 1.56; energy scaled linearly with cell side length.</t>
  </si>
  <si>
    <t>Wafer, electricity and tap water inputs adapted to chinese production.</t>
  </si>
  <si>
    <t>Assumption for laminate production with data for panels. Materials for frames neglected. Extrapolation of European LCI inventory data by adjusting the electricity mix.</t>
  </si>
  <si>
    <t xml:space="preserve">Assumption for laminate production with data for panels. Materials for frames neglected. </t>
  </si>
  <si>
    <t xml:space="preserve">Assumption for laminate production with data for 72 cell panels. Materials for frames omitted. </t>
  </si>
  <si>
    <t>Extrapolation of European LCI inventory data by adjusting the electricity mix.</t>
  </si>
  <si>
    <t>Cell, electricity and tap water inputs adapted to chinese production.</t>
  </si>
  <si>
    <t>Own assumptions for desaggregation of published cumulative data on energy use.</t>
  </si>
  <si>
    <t>Desaggregation of published cumulative results for global warming potential and cumulative energy demand.</t>
  </si>
  <si>
    <t>DE data used for Europe.</t>
  </si>
  <si>
    <t>Other data investigated with information from solder production.</t>
  </si>
  <si>
    <t>Data for coating materials derived from own assumptions.</t>
  </si>
  <si>
    <t>Some generic datasets from ecoinvent have been used.</t>
  </si>
  <si>
    <t>From one product to the whole market. Correction factor applied to correct for today average weight per m2.</t>
  </si>
  <si>
    <t xml:space="preserve">From several products to the whole market. </t>
  </si>
  <si>
    <t>scaled from a small PV power plant over cabling length and fuse box weight</t>
  </si>
  <si>
    <t>GOES core modelled as 3% Si steel (base steel plus MG-silicon as ferrosilicon proxy); rolling, annealing energy and structural-steel residual are own estimates. Hard fibreboard used as pressboard proxy; {CH} datasets used as geographical/scale proxies for annealing heat and disposal (no dedicated GOES, ferrosilicon or pressboard datasets in BAFU 2025).</t>
  </si>
  <si>
    <t xml:space="preserve">Assembly inputs (energy use, solder bar &amp; paste, nitrogen and water use) and amounts of packaging materials are extrapolated from 10 kW inverter dataset. </t>
  </si>
  <si>
    <t>Data for inverters of different output power converted to a common output of 10kW using a power law. Extrapolation to 2.5kW with the same function.</t>
  </si>
  <si>
    <t>Data for inverters of different output power converted to a common output of 10kW using a power law. Extrapolation to 5kW with the same function.</t>
  </si>
  <si>
    <t>Data for inverters of different output power converted to a common output of 10kW using a power law.</t>
  </si>
  <si>
    <t>Data for inverters of different output power converted to a common output of 10kW using a power law. Extrapolation to 20kW with the same function.</t>
  </si>
  <si>
    <t>Estimations for lifetime of PV modules (30a) and inverters (15a) as well as for transport distances.</t>
  </si>
  <si>
    <t>Water demand estimated at 20 L per m2 PV module over life time of the system.</t>
  </si>
  <si>
    <t>Use of PV technology data investigated for other countries (Switzerland). Correction of average yield with Swiss data.</t>
  </si>
  <si>
    <t>Generic data for energy consumption are applied.</t>
  </si>
  <si>
    <t>Production of polyvinylacetate is estimated with vinyl acetate and PVC polymerisation</t>
  </si>
  <si>
    <t>wastewater compositions from literature and/or estimates</t>
  </si>
  <si>
    <t>Rough assumption for the use of heat in the process. Extrapolation of European LCI inventory data by adjusting the electricity mix.</t>
  </si>
  <si>
    <t>UncertaintyAdjustments</t>
  </si>
  <si>
    <t>DataGenerator</t>
  </si>
  <si>
    <t>AndPublication</t>
  </si>
  <si>
    <t>DataPublishedIn</t>
  </si>
  <si>
    <t>ReferenceToPublishedSource</t>
  </si>
  <si>
    <t>Copyright</t>
  </si>
  <si>
    <t>AccessRestrictedTo</t>
  </si>
  <si>
    <t>CompanyCode</t>
  </si>
  <si>
    <t>CountryCode</t>
  </si>
  <si>
    <t>PageNumbers</t>
  </si>
  <si>
    <t>ProofReading</t>
  </si>
  <si>
    <t>Validator</t>
  </si>
  <si>
    <t>Details</t>
  </si>
  <si>
    <t>OtherDetails</t>
  </si>
  <si>
    <t>Annual output, rooftop (kWh/kWp)</t>
  </si>
  <si>
    <t>Annual output, façade (kWh/kWp)</t>
  </si>
  <si>
    <t>Annual output, centralised (kWh/kWp)</t>
  </si>
  <si>
    <t>Field name</t>
  </si>
  <si>
    <t>Sources</t>
  </si>
  <si>
    <t>Number</t>
  </si>
  <si>
    <t>SourceType</t>
  </si>
  <si>
    <t>Report</t>
  </si>
  <si>
    <t>www.esu-services.ch</t>
  </si>
  <si>
    <t>FirstAuthor</t>
  </si>
  <si>
    <t>Frischknecht R.,</t>
  </si>
  <si>
    <t>Itten R.,</t>
  </si>
  <si>
    <t>Jungbluth, N.</t>
  </si>
  <si>
    <t>Stolz P.,</t>
  </si>
  <si>
    <t xml:space="preserve">Stolz P., </t>
  </si>
  <si>
    <t>Goetz M.</t>
  </si>
  <si>
    <t>AdditionalAuthors</t>
  </si>
  <si>
    <t>Stolz P., Sinha P., de Wild-Scholten M.</t>
  </si>
  <si>
    <t>Stucki M., Fluri K., Frischknecht R., Buesser S.</t>
  </si>
  <si>
    <t>Frischknecht R., Wyss F., de Wild-Scholten M.</t>
  </si>
  <si>
    <t>Frischknecht R.</t>
  </si>
  <si>
    <t>Deuber R., Gazbour N., Brailovsky P.H., Nold S., Marchand-Lasserre M., Frischknecht  R., Khan A.A., Bovo, G., Stucki M.</t>
  </si>
  <si>
    <t>Year</t>
  </si>
  <si>
    <t>Title</t>
  </si>
  <si>
    <t>Life Cycle Inventories and Life Cycle Assessments of Photovoltaic Systems</t>
  </si>
  <si>
    <t>LCI of global PV supply chain</t>
  </si>
  <si>
    <t>Life Cycle Inventories of Photovoltaics</t>
  </si>
  <si>
    <t>PEF screening report of electricity from photovoltaic panels in the context of the EU Product Environmental Footprint Category Rules (PEFCR) Pilots</t>
  </si>
  <si>
    <t>Life cycle inventories of national photovoltaic electricity mixes</t>
  </si>
  <si>
    <t>Life Cycle Inventories of Photovoltaic Systems</t>
  </si>
  <si>
    <t>NameOfEditors</t>
  </si>
  <si>
    <t>Bauer C.</t>
  </si>
  <si>
    <t>Heath G., Drahi E.</t>
  </si>
  <si>
    <t>TitleOfAnthology</t>
  </si>
  <si>
    <t>Project report</t>
  </si>
  <si>
    <t>IEA PVPS Task 12 Report</t>
  </si>
  <si>
    <t>PlaceOfPublication</t>
  </si>
  <si>
    <t>Paris, FR</t>
  </si>
  <si>
    <t>Uster, CH</t>
  </si>
  <si>
    <t>Publisher</t>
  </si>
  <si>
    <t>IEA PVPS Task 12</t>
  </si>
  <si>
    <t>treeze Ltd.</t>
  </si>
  <si>
    <t>ESU-services ltd.</t>
  </si>
  <si>
    <t>International Energy Agency IEA</t>
  </si>
  <si>
    <t>Journal</t>
  </si>
  <si>
    <t>VolumeNo</t>
  </si>
  <si>
    <t>IssueNo</t>
  </si>
  <si>
    <t>Persons</t>
  </si>
  <si>
    <t>Rolf Frischknecht</t>
  </si>
  <si>
    <t>Philippe Stolz</t>
  </si>
  <si>
    <t>Reto Deuber</t>
  </si>
  <si>
    <t>Matthias Stucki</t>
  </si>
  <si>
    <t>Michael Götz</t>
  </si>
  <si>
    <t>Address</t>
  </si>
  <si>
    <t>Kanzleistrasse 4, 8610 Uster</t>
  </si>
  <si>
    <t xml:space="preserve">ZHAW, IUNR, Grüental, 8820 Wädenswil </t>
  </si>
  <si>
    <t>Telephone</t>
  </si>
  <si>
    <t>0041 44 940 61 91</t>
  </si>
  <si>
    <t>0041 44 940 61 93</t>
  </si>
  <si>
    <t>0041 58 934 52 70</t>
  </si>
  <si>
    <t>0041 58 934 57 19</t>
  </si>
  <si>
    <t>0041 58 934 54 87</t>
  </si>
  <si>
    <t>Telefax</t>
  </si>
  <si>
    <t>0041 44 940 61 94</t>
  </si>
  <si>
    <t>Email</t>
  </si>
  <si>
    <t>frischknecht@treeze.ch</t>
  </si>
  <si>
    <t>stolz@treeze.ch</t>
  </si>
  <si>
    <t>deub@zhaw.ch</t>
  </si>
  <si>
    <t>matthias.stucki@zhaw.ch</t>
  </si>
  <si>
    <t>goem@zhaw.ch</t>
  </si>
  <si>
    <t xml:space="preserve">CompanyCode </t>
  </si>
  <si>
    <t>treeze</t>
  </si>
  <si>
    <t>TREEZE</t>
  </si>
  <si>
    <t>ZHAW</t>
  </si>
  <si>
    <t>(2,4,1,1,1,3); ; Sinha et al. 2012</t>
  </si>
  <si>
    <t>(2,4,1,1,1,3)</t>
  </si>
  <si>
    <t>(4,5,na,na,na,na); Assumed transport distance to collection point: 100 km; Sinha et al. 2012; Latanussa et al. 2016</t>
  </si>
  <si>
    <t>Assumed transport distance to collection point: 100 km</t>
  </si>
  <si>
    <t>(4,5,na,na,na,na); Assumed transport distance to recycling site: 400 km; Sinha et al. 2012; Latanussa et al. 2016</t>
  </si>
  <si>
    <t>Assumed transport distance to recycling site: 400 km</t>
  </si>
  <si>
    <t>(2,4,1,1,1,3,BU:1.05); Avoided primary glass production materials; Held and Ilg 2011; KBOB LCI data DQRv2:2016</t>
  </si>
  <si>
    <t>(2,4,1,1,1,3,BU:1.05)</t>
  </si>
  <si>
    <t>(2,4,1,1,1,3,BU:1.05); Avoided primary copper production materials from junction box; Recycling content of copper is 44 % according to KBOB-list; Personal communication Parikhit Sinha, 06.10.2014; KBOB LCI data DQRv2:2016</t>
  </si>
  <si>
    <t>(2,4,1,1,1,3,BU:1.05); Efforts for making secondary copper from scrap; Personal communication Parikhit Sinha, 06.10.2014</t>
  </si>
  <si>
    <t>(2,4,1,1,1,3,BU:1.05); Avoided unrefined semiconductor materials; Sinha et al. 2012</t>
  </si>
  <si>
    <t>(2,4,1,1,1,3,BU:1.05); ; Sinha et al. 2012</t>
  </si>
  <si>
    <t>(4,5,na,na,na,na,BU:2); Assumed transport distance to collection point: 100 km; Sinha et al. 2012; Latanussa et al. 2016</t>
  </si>
  <si>
    <t>(4,5,na,na,na,na,BU:2)</t>
  </si>
  <si>
    <t>(4,5,na,na,na,na,BU:2); Assumed transport distance to recycling site: 400 km; Sinha et al. 2012; Latanussa et al. 2016</t>
  </si>
  <si>
    <t>(2,4,1,1,1,3,BU:5); ; Sinha et al. 2012</t>
  </si>
  <si>
    <t>(2,4,1,1,1,3,BU:5)</t>
  </si>
  <si>
    <t>(2,4,1,1,1,3,BU:3); ; Sinha et al. 2012</t>
  </si>
  <si>
    <t>(2,4,1,1,1,3,BU:3)</t>
  </si>
  <si>
    <t>(1,1,1,1,1,1)</t>
  </si>
  <si>
    <t>(2,1,3,1,1,5); Literature, recycled after use</t>
  </si>
  <si>
    <t>(2,1,3,1,1,5)</t>
  </si>
  <si>
    <t>(2,1,3,1,1,5); Assumption</t>
  </si>
  <si>
    <t>(2,1,3,1,1,5); Literature</t>
  </si>
  <si>
    <t>(2,1,3,1,1,5); Literature incl. different plastics and Radox insulation</t>
  </si>
  <si>
    <t>(4,5,na,na,na,na); Standard distance 60km incl. disposal</t>
  </si>
  <si>
    <t>(4,5,na,na,na,na); Standard distances 200km (metals 600km)</t>
  </si>
  <si>
    <t>(2,1,3,1,1,5); Estimation</t>
  </si>
  <si>
    <t>(2,2,1,1,1,3); Estimation 20l/m2 panel</t>
  </si>
  <si>
    <t>(3,2,1,1,1,3); Calculation with average annual yield (based on Swissolar statistics 2012-2016) and share of technologies. Lifetime: 30a, Average degradation over lifetime: 10.5%.</t>
  </si>
  <si>
    <t>(3,2,1,1,1,3)</t>
  </si>
  <si>
    <t>(1,na,na,na,na,na); Calculation</t>
  </si>
  <si>
    <t>(1,na,na,na,na,na)</t>
  </si>
  <si>
    <t>(2,2,1,1,1,3); Assumption: 10% of water used is evaporated</t>
  </si>
  <si>
    <t>(3,2,1,1,1,3); de Wild 2007, paste composition, 1% loss</t>
  </si>
  <si>
    <t>(3,2,1,1,1,3); de Wild 2007, paste composition, 1% loss, bismuth inventoried as lead.</t>
  </si>
  <si>
    <t>(3,na,2,1,4,na); Estimation with data for solder production</t>
  </si>
  <si>
    <t>(3,na,2,1,4,na)</t>
  </si>
  <si>
    <t>(4,5,na,na,na,na); Standard distance 100km</t>
  </si>
  <si>
    <t>(4,5,na,na,na,na); Standard distance 600km</t>
  </si>
  <si>
    <t>(4,5,na,na,na,na); Esimation</t>
  </si>
  <si>
    <t>(3,4,3,3,1,5); Calculation</t>
  </si>
  <si>
    <t>(3,4,3,3,1,5)</t>
  </si>
  <si>
    <t>(4,1,1,1,1,5); CdTe Series 6 (domestic production and imports)</t>
  </si>
  <si>
    <t>(4,1,1,1,1,5)</t>
  </si>
  <si>
    <t>(4,1,1,1,1,5); CdTe Series 7 (domestic production and imports)</t>
  </si>
  <si>
    <t>(4,5,na,na,na,na); Assumption: 30 % of Series 6 and Series 7 modules imported from Southeast Asia</t>
  </si>
  <si>
    <t>(4,5,na,na,na,na); Average transport distance of 500 km assumed</t>
  </si>
  <si>
    <t>(4,5,3,1,1,5); ; ecoinvent 3.3 dataset for methyl iodide production RER</t>
  </si>
  <si>
    <t>(4,5,3,1,1,5)</t>
  </si>
  <si>
    <t>(4,5,5,5,5,5); ; ecoinvent 3.3 dataset for methyl iodide production RER</t>
  </si>
  <si>
    <t>(4,5,5,5,5,5)</t>
  </si>
  <si>
    <t>(4,4,5,2,4,5); ; ecoinvent 3.3 dataset for methyl iodide production RER</t>
  </si>
  <si>
    <t>(4,4,5,2,4,5)</t>
  </si>
  <si>
    <t xml:space="preserve">(4,5,3,1,1,5); ; ecoinvent 3.3 dataset iodine production, RER </t>
  </si>
  <si>
    <t xml:space="preserve">(1,1,3,1,1,5); ; ecoinvent 3.3 dataset iodine production, RER </t>
  </si>
  <si>
    <t>(1,1,3,1,1,5)</t>
  </si>
  <si>
    <t xml:space="preserve">(4,5,5,5,5,5); ; ecoinvent 3.3 dataset iodine production, RER </t>
  </si>
  <si>
    <t xml:space="preserve">(1,2,5,1,1,5); ; ecoinvent 3.3 dataset iodine production, RER </t>
  </si>
  <si>
    <t>(1,2,5,1,1,5)</t>
  </si>
  <si>
    <t xml:space="preserve">(4,4,4,5,4,5); ; ecoinvent 3.3 dataset iodine production, RER </t>
  </si>
  <si>
    <t>(4,4,4,5,4,5)</t>
  </si>
  <si>
    <t>(4,5,3,1,1,5); ; ecoinvent 3.3 dataset for ethylene bromide production RER</t>
  </si>
  <si>
    <t>(4,5,5,5,5,5); ; ecoinvent 3.3 dataset for ethylene bromide production RER</t>
  </si>
  <si>
    <t>(4,4,5,2,4,5); ; ecoinvent 3.3 dataset for ethylene bromide production RER</t>
  </si>
  <si>
    <t xml:space="preserve">(2,3,1,1,3,4); Weighted average of data from recyclers; </t>
  </si>
  <si>
    <t>(2,3,1,1,3,4)</t>
  </si>
  <si>
    <t>(4,5,na,na,na,na); Assumed transport distance to collection point: 100 km; Latunussa et al. 2016</t>
  </si>
  <si>
    <t>(4,5,na,na,na,na); Assumed transport distance to recycling site: 400 km; Latunussa et al. 2016</t>
  </si>
  <si>
    <t>(2,3,1,1,3,4); Avoided primary glass production materials; Weighted average of data from recyclers; Held and Ilg 2011; KBOB LCI data DQRv2:2015</t>
  </si>
  <si>
    <t>(2,4,1,1,1,3); Avoided primary glass production materials; Weighted average of data from recyclers; Held and Ilg 2011; KBOB LCI data DQRv2:2016</t>
  </si>
  <si>
    <t>(2,4,1,1,1,3); Avoided primary copper production materials from junction box and cables; Recycling content of copper is 44 % according to KBOB-list; Weighted average of data from recyclers; KBOB LCI data DQRv2:2016</t>
  </si>
  <si>
    <t xml:space="preserve">(2,4,1,1,1,3); Efforts for making secondary copper from scrap; </t>
  </si>
  <si>
    <t>(2,4,1,1,1,3); Avoided primary aluminium production materials from frame; Recycling content of AlMg3 alloy is 77 % according to KBOB-list; Weighted average of data from recyclers; KBOB LCI data DQRv2:2016</t>
  </si>
  <si>
    <t xml:space="preserve">(2,4,1,1,1,3); Efforts for making secondary aluminium from scrap; </t>
  </si>
  <si>
    <t xml:space="preserve">(2,3,1,1,3,4); Weighted average of data from recyclers; Economic allocation; </t>
  </si>
  <si>
    <t>(4,5,na,na,na,na); Assumed transport distance to collection point: 100 km; Economic allocation; Latunussa et al. 2016</t>
  </si>
  <si>
    <t>Assumed transport distance to collection point: 100 km; Economic allocation</t>
  </si>
  <si>
    <t>(4,5,na,na,na,na); Assumed transport distance to recycling site: 400 km; Economic allocation; Latunussa et al. 2016</t>
  </si>
  <si>
    <t>Assumed transport distance to recycling site: 400 km; Economic allocation</t>
  </si>
  <si>
    <t>(3,4,3,1,1,5); Energy use for erection plant</t>
  </si>
  <si>
    <t>(3,4,3,1,1,5)</t>
  </si>
  <si>
    <t>(2,4,1,1,1,na); 1 replacement during the lifetime of the PV system; demand scaled linearly by power output</t>
  </si>
  <si>
    <t>(2,4,1,1,1,na)</t>
  </si>
  <si>
    <t>(3,1,1,1,1,na); calculation with m2 panel</t>
  </si>
  <si>
    <t>(3,1,1,1,1,na)</t>
  </si>
  <si>
    <t>(3,4,3,1,1,5); Calculation, 2% of modules repaired in the life time, 1% rejects</t>
  </si>
  <si>
    <t>(3,4,3,1,1,5); recycling of PV modules at the end of life</t>
  </si>
  <si>
    <t>(3,4,3,1,1,5); transport of inverter, electric installation, mounting structure and module 100km to construction site</t>
  </si>
  <si>
    <t>(3,4,3,1,1,5); calculated with electricity use</t>
  </si>
  <si>
    <t>(3,4,3,1,1,5); Energy use for erection of plant</t>
  </si>
  <si>
    <t>(0,0,0,0,0,0); Energy use for erection of PV plant</t>
  </si>
  <si>
    <t>(0,0,0,0,0,0)</t>
  </si>
  <si>
    <t>(0,0,0,0,0,0); Diesel use for installation of PV plant</t>
  </si>
  <si>
    <t>(2,4,1,1,1,na); 1 replacement during the lifetime of the PV system</t>
  </si>
  <si>
    <t>(3,1,1,1,1,na); New estimation with mean value of frame weights, correction for panel area</t>
  </si>
  <si>
    <t>(3,4,3,1,1,5); transport of the PV modules to regional storage; standard distance: 500 km</t>
  </si>
  <si>
    <t>(3,4,3,1,1,5); transport of the PV modules to regional storage; standard distance: 2000 km</t>
  </si>
  <si>
    <t>(2,2,1,1,1,3); Calculation with average annual yield and share of technologies. Lifetime: 30a.</t>
  </si>
  <si>
    <t>(3,4,1,3,1,5); Brailovsky et al. (2024)</t>
  </si>
  <si>
    <t>(3,4,1,3,1,5); Brailovsky et al. (2024) AlMg3 iso AlLi</t>
  </si>
  <si>
    <t>(3,4,1,3,1,5); RER iso GLO, prod iso market</t>
  </si>
  <si>
    <t>(3,4,1,3,1,5); Brailovsky et al. (2024): CH iso RER; iso bisphenol A epoxy based vinyl ester resin; Assumption 200g/m^2</t>
  </si>
  <si>
    <t>(3,4,1,3,1,5); Brailovsky et al. (2024): From machine operation, diesel, &lt;18.64kW, energy density 45.5MJ/kg</t>
  </si>
  <si>
    <t>(3,4,1,3,1,5); Brailovsky et al. (2024): From machine operation, diesel,  &gt;= 18.64 kW and &lt; 74.57 kW, energy density 45.5MJ/kg</t>
  </si>
  <si>
    <t>(3,4,1,3,1,5); Brailovsky et al. (2024): From machine operation, diesel,  &gt;= 74.57 kW, energy density 45.5MJ/kg</t>
  </si>
  <si>
    <t>(3,4,1,3,1,5); Brailovsky et al. (2024) CH iso RER</t>
  </si>
  <si>
    <t>(3,4,1,3,1,5); Brailovsky et al. (2024) DE iso Europe w/o Switzerland</t>
  </si>
  <si>
    <t>(3,4,1,3,1,5); Brailovsky et al. (2024) CH iso GLO; Flächengewicht = 10kg/m2</t>
  </si>
  <si>
    <t>(3,4,1,3,1,5); Brailovsky et al. (2024) RER iso RoW</t>
  </si>
  <si>
    <t>(3,4,1,3,1,5); Brailovsky et al. (2024) DE iso RER</t>
  </si>
  <si>
    <t>(3,4,1,3,1,5); Brailovsky et al. (2024) Density: 900 kg/m^3</t>
  </si>
  <si>
    <t>(3,4,1,3,1,5); Brailovsky et al. (2024) from ceilings</t>
  </si>
  <si>
    <t>(3,4,1,3,1,5); Brailovsky et al. (2024) from roofing A1-A3</t>
  </si>
  <si>
    <t>(3,4,1,3,1,5); Brailovsky et al. (2024) from siding A1-A3</t>
  </si>
  <si>
    <t>(3,4,1,3,1,5); Brailovsky et al. (2024) from Ssteel A1-A3</t>
  </si>
  <si>
    <t>(3,4,1,3,1,5); Brailovsky et al. (2024) from civil works A4A5</t>
  </si>
  <si>
    <t>(3,4,1,3,1,5); Brailovsky et al. (2024) from earthworks</t>
  </si>
  <si>
    <t>(3,4,1,3,1,5); Brailovsky et al. (2024) from insitu concrete A1-A3</t>
  </si>
  <si>
    <t>(3,4,1,3,1,5); Brailovsky et al. (2024) iso from grassland, natural (non-use)</t>
  </si>
  <si>
    <t>(3,4,1,3,1,5); Environmental report</t>
  </si>
  <si>
    <t xml:space="preserve">(1,1,1,1,1,1); </t>
  </si>
  <si>
    <t>(3,4,1,3,1,5); Environmental report, pipelines for drinking water</t>
  </si>
  <si>
    <t>(2,4,1,3,1,5); Brailovsky et al. (2024)</t>
  </si>
  <si>
    <t>(3,4,1,3,1,5); Rough estimation for equipment</t>
  </si>
  <si>
    <t>(2,4,1,3,4,5); Brailovsky et al. (2024) Process equipment A1-A3</t>
  </si>
  <si>
    <t xml:space="preserve">(3,4,1,3,1,5); </t>
  </si>
  <si>
    <t>(2,4,1,3,3,5); Brailovsky et al. (2024) AlMg3 iso AlLi</t>
  </si>
  <si>
    <t>(2,4,1,3,1,5); RER iso GLO, prod iso market</t>
  </si>
  <si>
    <t>(2,4,1,3,3,5); Brailovsky et al. (2024): CH iso RER; iso bisphenol A epoxy based vinyl ester resin; Assumption 200g/m^2</t>
  </si>
  <si>
    <t>(2,4,1,3,1,5); Brailovsky et al. (2024): From machine operation, diesel, &lt;18.64kW, energy density 45.5MJ/kg</t>
  </si>
  <si>
    <t>(2,4,1,3,1,5); Brailovsky et al. (2024): From machine operation, diesel,  &gt;= 18.64 kW and &lt; 74.57 kW, energy density 45.5MJ/kg</t>
  </si>
  <si>
    <t>(2,4,1,3,1,5); Brailovsky et al. (2024): From machine operation, diesel,  &gt;= 74.57 kW, energy density 45.5MJ/kg</t>
  </si>
  <si>
    <t>(2,4,1,3,1,5); Brailovsky et al. (2024) CH iso RER</t>
  </si>
  <si>
    <t>(2,4,1,3,1,5); Brailovsky et al. (2024) DE iso Europe w/o Switzerland</t>
  </si>
  <si>
    <t>(2,4,1,3,1,5); Brailovsky et al. (2024) CH iso GLO; Flächengewicht = 10kg/m2</t>
  </si>
  <si>
    <t>(2,4,1,3,1,5); Brailovsky et al. (2024) RER iso RoW</t>
  </si>
  <si>
    <t>(2,4,1,3,1,5); Brailovsky et al. (2024) DE iso RER</t>
  </si>
  <si>
    <t>(2,4,1,3,1,5); Brailovsky et al. (2024) Density: 900 kg/m^3</t>
  </si>
  <si>
    <t>(2,4,1,3,1,5); Brailovsky et al. (2024) from ceilings</t>
  </si>
  <si>
    <t>(2,4,1,3,1,5); Brailovsky et al. (2024) from roofing A1-A3</t>
  </si>
  <si>
    <t>(2,4,1,3,1,5); Brailovsky et al. (2024) from siding A1-A3</t>
  </si>
  <si>
    <t>(2,4,1,3,1,5); Brailovsky et al. (2024) from Ssteel A1-A3</t>
  </si>
  <si>
    <t>(2,4,1,3,1,5); Brailovsky et al. (2024) from civil works A4A5</t>
  </si>
  <si>
    <t>(2,4,1,3,1,5); Brailovsky et al. (2024) from earthworks</t>
  </si>
  <si>
    <t>(2,4,1,3,1,5); Brailovsky et al. (2024) from insitu concrete A1-A3</t>
  </si>
  <si>
    <t>(3,4,1,3,1,5); 25a occupation</t>
  </si>
  <si>
    <t>(1,1,1,1,1,5); Brailovsky et al. (2024)</t>
  </si>
  <si>
    <t>(2,4,1,3,1,5); Brailovsky et al. (2024) iso from grassland, natural (non-use)</t>
  </si>
  <si>
    <t>(3,4,1,3,1,5); share of area according to environmental report</t>
  </si>
  <si>
    <t>(2,4,1,3,1,5); Brailovsky et al. (2024) iso to urban, green area</t>
  </si>
  <si>
    <t>(3,4,1,3,1,5); Company information</t>
  </si>
  <si>
    <t>(3,4,1,3,1,5)</t>
  </si>
  <si>
    <t>(3,4,1,3,1,5); Rough estimation equipment</t>
  </si>
  <si>
    <t>(2,4,1,3,4,5); Brailovsky et al. (2024) from process equipment A1-A3</t>
  </si>
  <si>
    <t>(2,4,1,3,4,5)</t>
  </si>
  <si>
    <t>(2,4,1,3,1,5)</t>
  </si>
  <si>
    <t>(2,4,1,1,3,5); Brailovsky et al. (2024) AlMg3 iso AlLi</t>
  </si>
  <si>
    <t>(2,4,1,1,3,5)</t>
  </si>
  <si>
    <t>(2,4,1,3,3,5)</t>
  </si>
  <si>
    <t>(3,4,1,3,1,5); Standard distances</t>
  </si>
  <si>
    <t>(3,4,1,3,1,5); Estimation</t>
  </si>
  <si>
    <t>(3,4,1,3,1,5); 25a occupation, estimation for rapid changing technology</t>
  </si>
  <si>
    <t>(3,4,1,3,1,5); averaged company information</t>
  </si>
  <si>
    <t>(3,4,1,3,1,5); rough assumption, 4t weight per laminator</t>
  </si>
  <si>
    <t>(3,4,1,3,1,5); Environmental report, calculated</t>
  </si>
  <si>
    <t>(3,4,1,3,1,5); Environmental report, weighted average for 5 companies</t>
  </si>
  <si>
    <t>(3,4,1,3,1,5); Environmental report, weighted average for 3 companies</t>
  </si>
  <si>
    <t>(3,4,1,3,1,5); Environmental report, weighted average for 2 companies</t>
  </si>
  <si>
    <t>(1,1,1,1,1,3,BU:1.05); Energy use for erection of plant</t>
  </si>
  <si>
    <t>(1,1,1,1,1,3,BU:2);  Energy use for foundation piling and wheel loader</t>
  </si>
  <si>
    <t>(1,1,1,1,1,3,BU:3); Literature</t>
  </si>
  <si>
    <t>(1,1,1,1,1,3,BU:3); panel demand based on yield and efficiency</t>
  </si>
  <si>
    <t>(1,1,1,1,1,3,BU:3); 1 replacement during the lifetime of the PV system; demand scaled linearly by power output</t>
  </si>
  <si>
    <t>(1,4,1,3,1,3,BU:3); panel demand based on yield and efficiency. 1% rejects considered</t>
  </si>
  <si>
    <t>(4,5,na,na,na,na,BU:1.05); recycling of PV modules at the end of life</t>
  </si>
  <si>
    <t>(4,5,na,na,na,na,BU:2); transport panel, electrical installation and mounting structure, 100km to construction place</t>
  </si>
  <si>
    <t>(1,1,1,1,1,3,BU:1.05); calculated with electricty use</t>
  </si>
  <si>
    <t>Data of production in Europe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</si>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</sst>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 #,##0.00_ ;_ * \-#,##0.00_ ;_ * &quot;-&quot;??_ ;_ @_ "/>
    <numFmt numFmtId="164" formatCode="0.000"/>
    <numFmt numFmtId="165" formatCode="0.0"/>
    <numFmt numFmtId="166" formatCode="0.0%"/>
    <numFmt numFmtId="167" formatCode="0.00000"/>
    <numFmt numFmtId="168" formatCode="0.0000"/>
    <numFmt numFmtId="169" formatCode="0.000000"/>
    <numFmt numFmtId="170" formatCode="[=0]&quot;&quot;;General"/>
    <numFmt numFmtId="171" formatCode="0.00000000000000"/>
    <numFmt numFmtId="172" formatCode="0.00E+0;[=0]&quot;-&quot;;0.00E+0"/>
    <numFmt numFmtId="173" formatCode="0.00E+0;[=0]&quot;0&quot;;0.00E+0"/>
    <numFmt numFmtId="174" formatCode="_ [$€-2]\ * #,##0.00_ ;_ [$€-2]\ * \-#,##0.00_ ;_ [$€-2]\ * &quot;-&quot;??_ "/>
    <numFmt numFmtId="175" formatCode="_ * #,##0.0_ ;_ * \-#,##0.0_ ;_ * &quot;-&quot;??_ ;_ @_ "/>
    <numFmt numFmtId="176" formatCode="0.0000E+0;[=0]&quot;0&quot;;0.0000E+0"/>
    <numFmt numFmtId="177" formatCode="#,##0.0"/>
    <numFmt numFmtId="178" formatCode="0.00000E+0;[=0]&quot;0&quot;;0.00000E+0"/>
    <numFmt numFmtId="179" formatCode="_ * #,##0.000_ ;_ * \-#,##0.000_ ;_ * &quot;-&quot;??_ ;_ @_ "/>
    <numFmt numFmtId="180" formatCode="#,##0.0&quot; dt&quot;;[Red]#,##0.0&quot; dt&quot;"/>
    <numFmt numFmtId="181" formatCode="#,##0&quot; kg&quot;;[Red]#,##0&quot; kg&quot;"/>
    <numFmt numFmtId="182" formatCode="#,##0&quot; Liter&quot;;[Red]#,##0&quot; Liter&quot;"/>
    <numFmt numFmtId="183" formatCode="#,##0&quot; m2&quot;;[Red]#,##0&quot; m2&quot;"/>
    <numFmt numFmtId="184" formatCode="#,##0&quot; m2a&quot;;[Red]#,##0&quot; m2a&quot;"/>
    <numFmt numFmtId="185" formatCode="#,##0.0&quot; m3&quot;;[Red]#,##0.0&quot; m3&quot;"/>
    <numFmt numFmtId="186" formatCode="0.00E+0;[=0]&quot;0&quot;;General"/>
    <numFmt numFmtId="187" formatCode="0.00%;[=0]&quot;0&quot;;General"/>
    <numFmt numFmtId="188" formatCode="0.0%;[=0]&quot;0%&quot;;0.0%"/>
    <numFmt numFmtId="189" formatCode="#,##0.0&quot; ZKh&quot;;[Red]#,##0.0&quot; ZKh&quot;"/>
    <numFmt numFmtId="190" formatCode="#,##0.00&quot; dt&quot;;[Red]#,##0.00&quot; dt&quot;"/>
    <numFmt numFmtId="191" formatCode="#,##0.00&quot; kg&quot;;[Red]#,##0.00&quot; kg&quot;"/>
    <numFmt numFmtId="192" formatCode="0.000E+0;[=0]&quot;0&quot;;0.000E+0"/>
  </numFmts>
  <fonts count="71">
    <font>
      <sz val="9"/>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Helvetica"/>
      <family val="2"/>
    </font>
    <font>
      <u/>
      <sz val="10"/>
      <color indexed="12"/>
      <name val="Arial"/>
      <family val="2"/>
    </font>
    <font>
      <sz val="9"/>
      <name val="Arial"/>
      <family val="2"/>
    </font>
    <font>
      <sz val="9"/>
      <name val="Times New Roman"/>
      <family val="1"/>
    </font>
    <font>
      <b/>
      <sz val="9"/>
      <name val="Times New Roman"/>
      <family val="1"/>
    </font>
    <font>
      <sz val="9"/>
      <name val="Helv"/>
    </font>
    <font>
      <b/>
      <sz val="12"/>
      <name val="Times New Roman"/>
      <family val="1"/>
    </font>
    <font>
      <sz val="10"/>
      <name val="Helv"/>
    </font>
    <font>
      <sz val="9"/>
      <name val="Helvetica"/>
      <family val="2"/>
    </font>
    <font>
      <sz val="8"/>
      <name val="Helvetica"/>
      <family val="2"/>
    </font>
    <font>
      <sz val="10"/>
      <name val="MS Sans Serif"/>
      <family val="2"/>
    </font>
    <font>
      <i/>
      <sz val="9"/>
      <name val="Helvetica"/>
      <family val="2"/>
    </font>
    <font>
      <b/>
      <sz val="9"/>
      <name val="Helvetica"/>
      <family val="2"/>
    </font>
    <font>
      <sz val="9"/>
      <color indexed="63"/>
      <name val="Helvetica"/>
      <family val="2"/>
    </font>
    <font>
      <sz val="9"/>
      <color indexed="63"/>
      <name val="Helvetica"/>
      <family val="2"/>
    </font>
    <font>
      <b/>
      <sz val="9"/>
      <color indexed="63"/>
      <name val="Helvetica"/>
      <family val="2"/>
    </font>
    <font>
      <b/>
      <sz val="9"/>
      <name val="Arial"/>
      <family val="2"/>
    </font>
    <font>
      <sz val="10"/>
      <name val="Arial Narrow"/>
      <family val="2"/>
    </font>
    <font>
      <sz val="9"/>
      <name val="Arial Narrow"/>
      <family val="2"/>
    </font>
    <font>
      <sz val="9"/>
      <name val="Arial"/>
      <family val="2"/>
    </font>
    <font>
      <i/>
      <sz val="9"/>
      <name val="Arial"/>
      <family val="2"/>
    </font>
    <font>
      <sz val="7"/>
      <name val="Helvetica"/>
      <family val="2"/>
    </font>
    <font>
      <sz val="10"/>
      <name val="Geneva"/>
    </font>
    <font>
      <sz val="10"/>
      <name val="Trebuchet MS"/>
      <family val="2"/>
    </font>
    <font>
      <sz val="10"/>
      <name val="Helvetica"/>
      <family val="2"/>
    </font>
    <font>
      <sz val="8"/>
      <name val="Arial"/>
      <family val="2"/>
    </font>
    <font>
      <sz val="9"/>
      <name val="Arial"/>
      <family val="2"/>
    </font>
    <font>
      <sz val="10"/>
      <color indexed="8"/>
      <name val="Arial"/>
      <family val="2"/>
    </font>
    <font>
      <b/>
      <sz val="11"/>
      <color theme="1"/>
      <name val="Calibri"/>
      <family val="2"/>
      <scheme val="minor"/>
    </font>
    <font>
      <u/>
      <sz val="11"/>
      <color theme="10"/>
      <name val="Calibri"/>
      <family val="2"/>
      <scheme val="minor"/>
    </font>
    <font>
      <sz val="9"/>
      <name val="Calibri"/>
      <family val="2"/>
    </font>
    <font>
      <sz val="9"/>
      <name val="Helvetica"/>
    </font>
    <font>
      <sz val="9"/>
      <color indexed="63"/>
      <name val="Helvetica"/>
    </font>
    <font>
      <sz val="9"/>
      <color rgb="FFFF0000"/>
      <name val="Helvetica"/>
      <family val="2"/>
    </font>
    <font>
      <sz val="10"/>
      <name val="Helvetica"/>
    </font>
    <font>
      <i/>
      <sz val="9"/>
      <name val="Helvetica"/>
    </font>
    <font>
      <b/>
      <sz val="9"/>
      <name val="Helvetica"/>
    </font>
    <font>
      <b/>
      <sz val="9"/>
      <color indexed="63"/>
      <name val="Helvetica"/>
    </font>
    <font>
      <b/>
      <sz val="14"/>
      <color theme="1"/>
      <name val="Calibri"/>
      <family val="2"/>
      <scheme val="minor"/>
    </font>
    <font>
      <b/>
      <i/>
      <sz val="11"/>
      <color theme="1"/>
      <name val="Calibri"/>
      <family val="2"/>
      <scheme val="minor"/>
    </font>
    <font>
      <sz val="11"/>
      <color theme="1"/>
      <name val="Calibri"/>
      <family val="2"/>
      <charset val="128"/>
      <scheme val="minor"/>
    </font>
    <font>
      <sz val="9"/>
      <color theme="1"/>
      <name val="Calibri"/>
      <family val="2"/>
      <scheme val="minor"/>
    </font>
    <font>
      <sz val="10"/>
      <color theme="1"/>
      <name val="Calibri"/>
      <family val="2"/>
      <scheme val="minor"/>
    </font>
    <font>
      <sz val="9"/>
      <color theme="3" tint="-0.249977111117893"/>
      <name val="Helvetica"/>
      <family val="2"/>
    </font>
    <font>
      <b/>
      <sz val="11"/>
      <name val="Calibri"/>
      <family val="2"/>
      <scheme val="minor"/>
    </font>
    <font>
      <sz val="7"/>
      <name val="Helv"/>
      <family val="2"/>
    </font>
    <font>
      <sz val="9"/>
      <name val="Helv"/>
      <family val="2"/>
    </font>
    <font>
      <sz val="11"/>
      <color theme="1"/>
      <name val="Calibri"/>
      <family val="2"/>
      <scheme val="major"/>
    </font>
    <font>
      <sz val="11"/>
      <name val="Calibri"/>
      <family val="2"/>
      <scheme val="major"/>
    </font>
    <font>
      <i/>
      <sz val="11"/>
      <color theme="1"/>
      <name val="Calibri"/>
      <family val="2"/>
      <scheme val="minor"/>
    </font>
    <font>
      <i/>
      <sz val="8"/>
      <name val="Arial"/>
      <family val="2"/>
    </font>
    <font>
      <sz val="8"/>
      <color theme="1"/>
      <name val="Calibri"/>
      <family val="2"/>
      <scheme val="minor"/>
    </font>
    <font>
      <b/>
      <sz val="11"/>
      <name val="Calibri"/>
      <family val="2"/>
      <scheme val="major"/>
    </font>
    <font>
      <sz val="10"/>
      <name val="Arial"/>
      <family val="2"/>
    </font>
    <font>
      <sz val="9"/>
      <color rgb="FF333333"/>
      <name val="Helvetica"/>
    </font>
    <font>
      <b/>
      <sz val="9"/>
      <color rgb="FF333333"/>
      <name val="Helvetica"/>
    </font>
    <font>
      <sz val="9"/>
      <color rgb="FFFF0000"/>
      <name val="Helvetica"/>
    </font>
    <font>
      <sz val="9"/>
      <color theme="1"/>
      <name val="Helvetica"/>
    </font>
    <font>
      <sz val="9"/>
      <color theme="2" tint="-0.499984740745262"/>
      <name val="Helvetica"/>
      <family val="2"/>
    </font>
    <font>
      <b/>
      <sz val="30"/>
      <color rgb="FFFF0000"/>
      <name val="Calibri"/>
      <family val="2"/>
      <scheme val="minor"/>
    </font>
    <font>
      <sz val="9"/>
      <color theme="8"/>
      <name val="Helvetica"/>
    </font>
    <font>
      <sz val="9"/>
      <color theme="8" tint="-0.249977111117893"/>
      <name val="Helvetica"/>
    </font>
    <font>
      <b/>
      <sz val="9"/>
      <color rgb="FFFF0000"/>
      <name val="Helvetica"/>
    </font>
    <font>
      <b/>
      <sz val="8"/>
      <name val="Arial"/>
      <family val="2"/>
    </font>
    <font>
      <u/>
      <sz val="10"/>
      <color indexed="12"/>
      <name val="Helvetica"/>
      <family val="2"/>
    </font>
  </fonts>
  <fills count="39">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15"/>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9.9978637043366805E-2"/>
        <bgColor indexed="64"/>
      </patternFill>
    </fill>
    <fill>
      <patternFill patternType="solid">
        <fgColor theme="9" tint="0.39997558519241921"/>
        <bgColor indexed="64"/>
      </patternFill>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
      <patternFill patternType="solid">
        <fgColor theme="1" tint="0.89999084444715716"/>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rgb="FFF5F4F3"/>
        <bgColor rgb="FF000000"/>
      </patternFill>
    </fill>
    <fill>
      <patternFill patternType="solid">
        <fgColor rgb="FFDFDCD9"/>
        <bgColor rgb="FF000000"/>
      </patternFill>
    </fill>
    <fill>
      <patternFill patternType="solid">
        <fgColor rgb="FFFAE3D1"/>
        <bgColor rgb="FF000000"/>
      </patternFill>
    </fill>
    <fill>
      <patternFill patternType="solid">
        <fgColor rgb="FFBDB7B0"/>
        <bgColor rgb="FF000000"/>
      </patternFill>
    </fill>
    <fill>
      <patternFill patternType="solid">
        <fgColor rgb="FFFF0000"/>
        <bgColor indexed="64"/>
      </patternFill>
    </fill>
    <fill>
      <patternFill patternType="solid">
        <fgColor theme="8" tint="0.79998168889431442"/>
        <bgColor indexed="64"/>
      </patternFill>
    </fill>
    <fill>
      <patternFill patternType="solid">
        <fgColor theme="4"/>
        <bgColor indexed="64"/>
      </patternFill>
    </fill>
    <fill>
      <patternFill patternType="solid">
        <fgColor theme="5" tint="0.59999389629810485"/>
        <bgColor indexed="64"/>
      </patternFill>
    </fill>
    <fill>
      <patternFill patternType="solid">
        <fgColor theme="9"/>
        <bgColor indexed="64"/>
      </patternFill>
    </fill>
    <fill>
      <patternFill patternType="solid">
        <fgColor rgb="FFF5F4F3"/>
        <bgColor indexed="64"/>
      </patternFill>
    </fill>
    <fill>
      <patternFill patternType="solid">
        <fgColor rgb="FFFAE1C7"/>
        <bgColor indexed="64"/>
      </patternFill>
    </fill>
    <fill>
      <patternFill patternType="solid">
        <fgColor rgb="FFCFEDF8"/>
        <bgColor indexed="64"/>
      </patternFill>
    </fill>
    <fill>
      <patternFill patternType="solid">
        <fgColor rgb="FFDFDCD9"/>
        <bgColor indexed="64"/>
      </patternFill>
    </fill>
    <fill>
      <patternFill patternType="solid">
        <fgColor rgb="FFE4ECEF"/>
        <bgColor indexed="64"/>
      </patternFill>
    </fill>
    <fill>
      <patternFill patternType="solid">
        <fgColor rgb="FFBCCFD8"/>
        <bgColor indexed="64"/>
      </patternFill>
    </fill>
    <fill>
      <patternFill patternType="solid">
        <fgColor rgb="FFBDB7B0"/>
        <bgColor indexed="64"/>
      </patternFill>
    </fill>
    <fill>
      <patternFill patternType="solid">
        <fgColor theme="3"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88">
    <xf numFmtId="0" fontId="0" fillId="0" borderId="0">
      <alignment vertical="center"/>
    </xf>
    <xf numFmtId="49" fontId="9" fillId="0" borderId="1">
      <alignment horizontal="left" vertical="center" indent="2"/>
    </xf>
    <xf numFmtId="49" fontId="9" fillId="0" borderId="2">
      <alignment horizontal="left" vertical="center" indent="5"/>
    </xf>
    <xf numFmtId="0" fontId="14" fillId="2" borderId="0">
      <alignment horizontal="left" vertical="center"/>
    </xf>
    <xf numFmtId="4" fontId="10" fillId="0" borderId="3">
      <alignment horizontal="right" vertical="center"/>
    </xf>
    <xf numFmtId="0" fontId="27" fillId="0" borderId="0">
      <alignment vertical="center"/>
    </xf>
    <xf numFmtId="180" fontId="11" fillId="0" borderId="0"/>
    <xf numFmtId="0" fontId="14" fillId="3" borderId="0">
      <alignment horizontal="center" vertical="center" wrapText="1"/>
    </xf>
    <xf numFmtId="172" fontId="14" fillId="4" borderId="0">
      <alignment horizontal="center" vertical="center"/>
    </xf>
    <xf numFmtId="172" fontId="14" fillId="4" borderId="0">
      <alignment horizontal="center" vertical="center"/>
    </xf>
    <xf numFmtId="174" fontId="32" fillId="0" borderId="0">
      <alignment vertical="center"/>
    </xf>
    <xf numFmtId="0" fontId="12" fillId="0" borderId="0"/>
    <xf numFmtId="0" fontId="7" fillId="0" borderId="0">
      <alignment vertical="top"/>
      <protection locked="0"/>
    </xf>
    <xf numFmtId="181" fontId="11" fillId="0" borderId="0"/>
    <xf numFmtId="43" fontId="59" fillId="0" borderId="0"/>
    <xf numFmtId="182" fontId="13" fillId="0" borderId="0"/>
    <xf numFmtId="0" fontId="14" fillId="4" borderId="0">
      <alignment horizontal="left" vertical="center"/>
    </xf>
    <xf numFmtId="183" fontId="13" fillId="0" borderId="0"/>
    <xf numFmtId="184" fontId="11" fillId="0" borderId="0"/>
    <xf numFmtId="185" fontId="13" fillId="0" borderId="0"/>
    <xf numFmtId="186" fontId="32" fillId="0" borderId="0">
      <alignment vertical="center" wrapText="1"/>
    </xf>
    <xf numFmtId="186" fontId="11" fillId="0" borderId="0">
      <alignment wrapText="1"/>
    </xf>
    <xf numFmtId="187" fontId="11" fillId="0" borderId="0"/>
    <xf numFmtId="186" fontId="11" fillId="0" borderId="0"/>
    <xf numFmtId="4" fontId="9" fillId="0" borderId="1">
      <alignment horizontal="right" vertical="center"/>
    </xf>
    <xf numFmtId="49" fontId="10" fillId="0" borderId="1">
      <alignment horizontal="left" vertical="center"/>
    </xf>
    <xf numFmtId="0" fontId="9" fillId="0" borderId="1"/>
    <xf numFmtId="0" fontId="28" fillId="0" borderId="4">
      <alignment horizontal="center"/>
    </xf>
    <xf numFmtId="9" fontId="59" fillId="0" borderId="0"/>
    <xf numFmtId="188" fontId="59" fillId="0" borderId="0"/>
    <xf numFmtId="166" fontId="59" fillId="6" borderId="0">
      <alignment horizontal="center" vertical="center"/>
    </xf>
    <xf numFmtId="11" fontId="28" fillId="0" borderId="0"/>
    <xf numFmtId="0" fontId="59" fillId="0" borderId="0"/>
    <xf numFmtId="0" fontId="32" fillId="0" borderId="0">
      <alignment horizontal="left" vertical="center" wrapText="1"/>
    </xf>
    <xf numFmtId="0" fontId="59" fillId="0" borderId="0"/>
    <xf numFmtId="0" fontId="32" fillId="0" borderId="0">
      <alignment horizontal="left" vertical="center" wrapText="1"/>
    </xf>
    <xf numFmtId="0" fontId="16"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170" fontId="14" fillId="0" borderId="0">
      <alignment vertical="center" wrapText="1"/>
    </xf>
    <xf numFmtId="170" fontId="14" fillId="0" borderId="0">
      <alignment horizontal="center" vertical="center"/>
    </xf>
    <xf numFmtId="0" fontId="29" fillId="5" borderId="0">
      <alignment vertical="center" wrapText="1"/>
    </xf>
    <xf numFmtId="170" fontId="15" fillId="0" borderId="0">
      <alignment horizontal="center" vertical="center"/>
    </xf>
    <xf numFmtId="0" fontId="14" fillId="7" borderId="0">
      <alignment horizontal="left" vertical="center"/>
    </xf>
    <xf numFmtId="11" fontId="11" fillId="0" borderId="0"/>
    <xf numFmtId="11" fontId="59" fillId="0" borderId="0">
      <alignment vertical="center" wrapText="1"/>
    </xf>
    <xf numFmtId="173" fontId="59" fillId="0" borderId="0">
      <alignment horizontal="center" vertical="center"/>
    </xf>
    <xf numFmtId="172" fontId="59" fillId="0" borderId="0">
      <alignment horizontal="center" vertical="center"/>
    </xf>
    <xf numFmtId="189" fontId="13" fillId="0" borderId="0"/>
    <xf numFmtId="0" fontId="4" fillId="0" borderId="0"/>
    <xf numFmtId="0" fontId="35" fillId="0" borderId="0"/>
    <xf numFmtId="9" fontId="4" fillId="0" borderId="0"/>
    <xf numFmtId="0" fontId="59" fillId="0" borderId="0"/>
    <xf numFmtId="170" fontId="14" fillId="0" borderId="0">
      <alignment horizontal="center" vertical="center"/>
    </xf>
    <xf numFmtId="172" fontId="59" fillId="0" borderId="0">
      <alignment horizontal="center" vertical="center"/>
    </xf>
    <xf numFmtId="0" fontId="4" fillId="0" borderId="0"/>
    <xf numFmtId="0" fontId="4" fillId="0" borderId="0"/>
    <xf numFmtId="43" fontId="4" fillId="0" borderId="0"/>
    <xf numFmtId="0" fontId="14" fillId="0" borderId="0">
      <alignment vertical="center"/>
    </xf>
    <xf numFmtId="170" fontId="14" fillId="0" borderId="0">
      <alignment vertical="center" wrapText="1"/>
    </xf>
    <xf numFmtId="0" fontId="59" fillId="0" borderId="0"/>
    <xf numFmtId="0" fontId="14" fillId="0" borderId="0">
      <alignment vertical="center"/>
    </xf>
    <xf numFmtId="0" fontId="14" fillId="0" borderId="0">
      <alignment vertical="center" wrapText="1"/>
    </xf>
    <xf numFmtId="0" fontId="59" fillId="0" borderId="0"/>
    <xf numFmtId="0" fontId="4" fillId="0" borderId="0"/>
    <xf numFmtId="172" fontId="14" fillId="4" borderId="0">
      <alignment horizontal="center" vertical="center"/>
    </xf>
    <xf numFmtId="43" fontId="59" fillId="0" borderId="0"/>
    <xf numFmtId="0" fontId="4" fillId="0" borderId="0"/>
    <xf numFmtId="0" fontId="33" fillId="0" borderId="0"/>
    <xf numFmtId="0" fontId="4" fillId="0" borderId="0"/>
    <xf numFmtId="43" fontId="32" fillId="0" borderId="0"/>
    <xf numFmtId="0" fontId="4" fillId="0" borderId="0"/>
    <xf numFmtId="0" fontId="4" fillId="0" borderId="0"/>
    <xf numFmtId="0" fontId="46" fillId="0" borderId="0">
      <alignment vertical="center"/>
    </xf>
    <xf numFmtId="38" fontId="46" fillId="0" borderId="0">
      <alignment vertical="center"/>
    </xf>
    <xf numFmtId="9" fontId="46" fillId="0" borderId="0">
      <alignment vertical="center"/>
    </xf>
    <xf numFmtId="0" fontId="32" fillId="0" borderId="0">
      <alignment vertical="center"/>
    </xf>
    <xf numFmtId="43" fontId="14" fillId="0" borderId="0"/>
    <xf numFmtId="0" fontId="14" fillId="3" borderId="0">
      <alignment horizontal="center" vertical="center" wrapText="1"/>
    </xf>
    <xf numFmtId="0" fontId="4" fillId="0" borderId="0"/>
    <xf numFmtId="43" fontId="4" fillId="0" borderId="0"/>
    <xf numFmtId="9" fontId="4" fillId="0" borderId="0"/>
    <xf numFmtId="0" fontId="4" fillId="0" borderId="0"/>
    <xf numFmtId="0" fontId="59" fillId="0" borderId="0"/>
    <xf numFmtId="43" fontId="4" fillId="0" borderId="0"/>
    <xf numFmtId="0" fontId="4" fillId="0" borderId="0"/>
    <xf numFmtId="0" fontId="4" fillId="0" borderId="0"/>
    <xf numFmtId="9" fontId="59" fillId="0" borderId="0"/>
    <xf numFmtId="0" fontId="14" fillId="2" borderId="0">
      <alignment horizontal="left" vertical="center"/>
    </xf>
    <xf numFmtId="0" fontId="51" fillId="0" borderId="0">
      <alignment vertical="center"/>
    </xf>
    <xf numFmtId="190" fontId="32" fillId="0" borderId="0"/>
    <xf numFmtId="172" fontId="52" fillId="4" borderId="0">
      <alignment horizontal="center" vertical="center"/>
    </xf>
    <xf numFmtId="191" fontId="32" fillId="0" borderId="0"/>
    <xf numFmtId="0" fontId="14" fillId="4" borderId="0">
      <alignment horizontal="left" vertical="center"/>
    </xf>
    <xf numFmtId="173" fontId="32" fillId="0" borderId="0">
      <alignment horizontal="center" vertical="center" wrapText="1"/>
    </xf>
    <xf numFmtId="188" fontId="59" fillId="0" borderId="0"/>
    <xf numFmtId="0" fontId="14" fillId="7" borderId="0">
      <alignment horizontal="left" vertical="center"/>
    </xf>
    <xf numFmtId="11" fontId="32" fillId="0" borderId="0">
      <alignment vertical="center" wrapText="1"/>
    </xf>
    <xf numFmtId="173" fontId="32" fillId="0" borderId="0">
      <alignment horizontal="center" vertical="center"/>
    </xf>
    <xf numFmtId="0" fontId="32" fillId="0" borderId="0">
      <alignment vertical="center"/>
    </xf>
    <xf numFmtId="0" fontId="4" fillId="0" borderId="0"/>
    <xf numFmtId="0" fontId="4" fillId="0" borderId="0"/>
    <xf numFmtId="0" fontId="4" fillId="0" borderId="0"/>
    <xf numFmtId="9" fontId="4" fillId="0" borderId="0"/>
    <xf numFmtId="43" fontId="4" fillId="0" borderId="0"/>
    <xf numFmtId="0" fontId="4" fillId="0" borderId="0"/>
    <xf numFmtId="0" fontId="32" fillId="0" borderId="0">
      <alignment vertical="center"/>
    </xf>
    <xf numFmtId="172" fontId="14" fillId="4" borderId="0">
      <alignment horizontal="center" vertical="center"/>
    </xf>
    <xf numFmtId="0" fontId="14" fillId="0" borderId="0">
      <alignment vertical="center"/>
    </xf>
    <xf numFmtId="0" fontId="33" fillId="0" borderId="0"/>
    <xf numFmtId="0" fontId="59" fillId="0" borderId="0"/>
    <xf numFmtId="0" fontId="32" fillId="0" borderId="0">
      <alignment vertical="center"/>
    </xf>
    <xf numFmtId="0" fontId="8" fillId="0" borderId="0">
      <alignment horizontal="left" vertical="center" wrapText="1"/>
    </xf>
    <xf numFmtId="170" fontId="6" fillId="0" borderId="0">
      <alignment vertical="center" wrapText="1"/>
    </xf>
    <xf numFmtId="0" fontId="6" fillId="0" borderId="0">
      <alignment vertical="center"/>
    </xf>
    <xf numFmtId="172" fontId="5" fillId="0" borderId="0">
      <alignment horizontal="center" vertical="center"/>
    </xf>
    <xf numFmtId="0" fontId="1" fillId="0" borderId="0"/>
    <xf numFmtId="43" fontId="5" fillId="0" borderId="0"/>
    <xf numFmtId="0" fontId="6" fillId="2" borderId="0">
      <alignment horizontal="left" vertical="center"/>
    </xf>
    <xf numFmtId="0" fontId="6" fillId="3" borderId="0">
      <alignment horizontal="center" vertical="center" wrapText="1"/>
    </xf>
    <xf numFmtId="172" fontId="6" fillId="4" borderId="0">
      <alignment horizontal="center" vertical="center"/>
    </xf>
    <xf numFmtId="174" fontId="8" fillId="0" borderId="0">
      <alignment vertical="center"/>
    </xf>
    <xf numFmtId="0" fontId="70" fillId="0" borderId="0">
      <alignment vertical="top"/>
      <protection locked="0"/>
    </xf>
    <xf numFmtId="43" fontId="5" fillId="0" borderId="0"/>
    <xf numFmtId="0" fontId="6" fillId="4" borderId="0">
      <alignment horizontal="left" vertical="center"/>
    </xf>
    <xf numFmtId="186" fontId="8" fillId="0" borderId="0">
      <alignment vertical="center" wrapText="1"/>
    </xf>
    <xf numFmtId="9" fontId="5" fillId="0" borderId="0"/>
    <xf numFmtId="188" fontId="5" fillId="0" borderId="0"/>
    <xf numFmtId="166" fontId="5" fillId="6" borderId="0">
      <alignment horizontal="center" vertical="center"/>
    </xf>
    <xf numFmtId="0" fontId="6" fillId="0" borderId="0">
      <alignment vertical="center"/>
    </xf>
    <xf numFmtId="0" fontId="6" fillId="0" borderId="0">
      <alignment vertical="center"/>
    </xf>
    <xf numFmtId="170" fontId="6" fillId="0" borderId="0">
      <alignment horizontal="center" vertical="center"/>
    </xf>
    <xf numFmtId="0" fontId="6" fillId="7" borderId="0">
      <alignment horizontal="left" vertical="center"/>
    </xf>
    <xf numFmtId="11" fontId="5" fillId="0" borderId="0">
      <alignment vertical="center" wrapText="1"/>
    </xf>
    <xf numFmtId="173" fontId="5" fillId="0" borderId="0">
      <alignment horizontal="center" vertical="center"/>
    </xf>
    <xf numFmtId="9" fontId="1" fillId="0" borderId="0"/>
    <xf numFmtId="0" fontId="5" fillId="0" borderId="0"/>
    <xf numFmtId="170" fontId="6" fillId="0" borderId="0">
      <alignment horizontal="center" vertical="center"/>
    </xf>
    <xf numFmtId="172" fontId="5" fillId="0" borderId="0">
      <alignment horizontal="center" vertical="center"/>
    </xf>
    <xf numFmtId="0" fontId="1" fillId="0" borderId="0"/>
    <xf numFmtId="0" fontId="1" fillId="0" borderId="0"/>
    <xf numFmtId="43" fontId="1" fillId="0" borderId="0"/>
    <xf numFmtId="0" fontId="6" fillId="0" borderId="0">
      <alignment vertical="center"/>
    </xf>
    <xf numFmtId="170" fontId="6" fillId="0" borderId="0">
      <alignment vertical="center" wrapText="1"/>
    </xf>
    <xf numFmtId="0" fontId="5" fillId="0" borderId="0"/>
    <xf numFmtId="0" fontId="6" fillId="0" borderId="0">
      <alignment vertical="center"/>
    </xf>
    <xf numFmtId="0" fontId="5" fillId="0" borderId="0"/>
    <xf numFmtId="0" fontId="1" fillId="0" borderId="0"/>
    <xf numFmtId="172" fontId="6" fillId="4" borderId="0">
      <alignment horizontal="center" vertical="center"/>
    </xf>
    <xf numFmtId="43" fontId="5" fillId="0" borderId="0"/>
    <xf numFmtId="0" fontId="1" fillId="0" borderId="0"/>
    <xf numFmtId="0" fontId="1" fillId="0" borderId="0"/>
    <xf numFmtId="43" fontId="8" fillId="0" borderId="0"/>
    <xf numFmtId="0" fontId="1" fillId="0" borderId="0"/>
    <xf numFmtId="0" fontId="1" fillId="0" borderId="0"/>
    <xf numFmtId="0" fontId="8" fillId="0" borderId="0">
      <alignment vertical="center"/>
    </xf>
    <xf numFmtId="43" fontId="6" fillId="0" borderId="0"/>
    <xf numFmtId="0" fontId="6" fillId="3" borderId="0">
      <alignment horizontal="center" vertical="center" wrapText="1"/>
    </xf>
    <xf numFmtId="0" fontId="1" fillId="0" borderId="0"/>
    <xf numFmtId="43" fontId="1" fillId="0" borderId="0"/>
    <xf numFmtId="9" fontId="1" fillId="0" borderId="0"/>
    <xf numFmtId="0" fontId="1" fillId="0" borderId="0"/>
    <xf numFmtId="43" fontId="1" fillId="0" borderId="0"/>
    <xf numFmtId="0" fontId="1" fillId="0" borderId="0"/>
    <xf numFmtId="0" fontId="1" fillId="0" borderId="0"/>
    <xf numFmtId="9" fontId="5" fillId="0" borderId="0"/>
    <xf numFmtId="0" fontId="6" fillId="2" borderId="0">
      <alignment horizontal="left" vertical="center"/>
    </xf>
    <xf numFmtId="190" fontId="8" fillId="0" borderId="0"/>
    <xf numFmtId="191" fontId="8" fillId="0" borderId="0"/>
    <xf numFmtId="0" fontId="6" fillId="4" borderId="0">
      <alignment horizontal="left" vertical="center"/>
    </xf>
    <xf numFmtId="173" fontId="8" fillId="0" borderId="0">
      <alignment horizontal="center" vertical="center" wrapText="1"/>
    </xf>
    <xf numFmtId="188" fontId="5" fillId="0" borderId="0"/>
    <xf numFmtId="0" fontId="6" fillId="7" borderId="0">
      <alignment horizontal="left" vertical="center"/>
    </xf>
    <xf numFmtId="11" fontId="8" fillId="0" borderId="0">
      <alignment vertical="center" wrapText="1"/>
    </xf>
    <xf numFmtId="173" fontId="8" fillId="0" borderId="0">
      <alignment horizontal="center" vertical="center"/>
    </xf>
    <xf numFmtId="0" fontId="8" fillId="0" borderId="0">
      <alignment vertical="center"/>
    </xf>
    <xf numFmtId="0" fontId="1" fillId="0" borderId="0"/>
    <xf numFmtId="0" fontId="1" fillId="0" borderId="0"/>
    <xf numFmtId="0" fontId="1" fillId="0" borderId="0"/>
    <xf numFmtId="9" fontId="1" fillId="0" borderId="0"/>
    <xf numFmtId="43" fontId="1" fillId="0" borderId="0"/>
    <xf numFmtId="0" fontId="1" fillId="0" borderId="0"/>
    <xf numFmtId="0" fontId="5" fillId="0" borderId="0"/>
    <xf numFmtId="0" fontId="8" fillId="0" borderId="0">
      <alignment vertical="center"/>
    </xf>
    <xf numFmtId="43" fontId="5" fillId="0" borderId="0"/>
  </cellStyleXfs>
  <cellXfs count="1618">
    <xf numFmtId="0" fontId="0" fillId="0" borderId="0" xfId="0">
      <alignment vertical="center"/>
    </xf>
    <xf numFmtId="0" fontId="6" fillId="0" borderId="0" xfId="0" applyFont="1" applyAlignment="1">
      <alignment vertical="center" wrapText="1"/>
    </xf>
    <xf numFmtId="0" fontId="6" fillId="4" borderId="0" xfId="50" quotePrefix="1" applyNumberFormat="1" applyFont="1" applyFill="1">
      <alignment horizontal="center" vertical="center"/>
    </xf>
    <xf numFmtId="0" fontId="6" fillId="0" borderId="0" xfId="0" applyFont="1" applyAlignment="1">
      <alignment horizontal="center"/>
    </xf>
    <xf numFmtId="0" fontId="6" fillId="0" borderId="0" xfId="0" applyFont="1" applyAlignment="1">
      <alignment horizontal="center" vertical="center" textRotation="90" wrapText="1"/>
    </xf>
    <xf numFmtId="0" fontId="6" fillId="0" borderId="0" xfId="0" applyFont="1" applyAlignment="1">
      <alignment horizontal="center" wrapText="1"/>
    </xf>
    <xf numFmtId="0" fontId="6" fillId="9" borderId="0" xfId="0" applyFont="1" applyFill="1" applyAlignment="1">
      <alignment horizontal="center" vertical="center"/>
    </xf>
    <xf numFmtId="0" fontId="6" fillId="0" borderId="0" xfId="39" applyFont="1" applyAlignment="1">
      <alignment vertical="top"/>
    </xf>
    <xf numFmtId="0" fontId="6" fillId="0" borderId="0" xfId="0" applyFont="1" applyAlignment="1">
      <alignment vertical="top"/>
    </xf>
    <xf numFmtId="0" fontId="23" fillId="0" borderId="0" xfId="40" applyFont="1" applyAlignment="1">
      <alignment vertical="top"/>
    </xf>
    <xf numFmtId="0" fontId="24" fillId="0" borderId="0" xfId="40" applyFont="1" applyAlignment="1">
      <alignment horizontal="center" vertical="top" wrapText="1"/>
    </xf>
    <xf numFmtId="0" fontId="14" fillId="0" borderId="0" xfId="33" applyFont="1">
      <alignment horizontal="left" vertical="center" wrapText="1"/>
    </xf>
    <xf numFmtId="0" fontId="6" fillId="0" borderId="0" xfId="33" applyFont="1" applyAlignment="1">
      <alignment horizontal="left" vertical="center"/>
    </xf>
    <xf numFmtId="0" fontId="19" fillId="0" borderId="0" xfId="40" applyFont="1" applyAlignment="1">
      <alignment horizontal="center" vertical="center" wrapText="1"/>
    </xf>
    <xf numFmtId="0" fontId="19" fillId="8" borderId="0" xfId="0" applyFont="1" applyFill="1" applyAlignment="1">
      <alignment horizontal="left" vertical="center"/>
    </xf>
    <xf numFmtId="0" fontId="20" fillId="0" borderId="0" xfId="0" applyFont="1">
      <alignment vertical="center"/>
    </xf>
    <xf numFmtId="0" fontId="20" fillId="0" borderId="0" xfId="0" applyFont="1" applyAlignment="1">
      <alignment horizontal="center" vertical="center"/>
    </xf>
    <xf numFmtId="49" fontId="14" fillId="0" borderId="0" xfId="41" applyNumberFormat="1" applyAlignment="1">
      <alignment horizontal="left" vertical="center" wrapText="1"/>
    </xf>
    <xf numFmtId="0" fontId="6" fillId="8" borderId="0" xfId="0" applyFont="1" applyFill="1" applyAlignment="1">
      <alignment vertical="center" wrapText="1"/>
    </xf>
    <xf numFmtId="0" fontId="17" fillId="0" borderId="0" xfId="0" applyFont="1" applyAlignment="1">
      <alignment horizontal="center" vertical="center" wrapText="1"/>
    </xf>
    <xf numFmtId="0" fontId="25" fillId="0" borderId="0" xfId="33" applyFont="1">
      <alignment horizontal="left" vertical="center" wrapText="1"/>
    </xf>
    <xf numFmtId="0" fontId="14" fillId="4" borderId="0" xfId="40" applyFill="1" applyAlignment="1">
      <alignment horizontal="center" vertical="center"/>
    </xf>
    <xf numFmtId="0" fontId="14" fillId="0" borderId="0" xfId="40" applyAlignment="1">
      <alignment vertical="center" wrapText="1"/>
    </xf>
    <xf numFmtId="0" fontId="19" fillId="8" borderId="0" xfId="40" applyFont="1" applyFill="1" applyAlignment="1">
      <alignment horizontal="left" vertical="center"/>
    </xf>
    <xf numFmtId="0" fontId="14" fillId="0" borderId="0" xfId="40" applyAlignment="1">
      <alignment horizontal="center" vertical="center"/>
    </xf>
    <xf numFmtId="0" fontId="14" fillId="4" borderId="0" xfId="40" applyFill="1" applyAlignment="1">
      <alignment horizontal="left" vertical="center"/>
    </xf>
    <xf numFmtId="0" fontId="14" fillId="0" borderId="0" xfId="40" applyAlignment="1">
      <alignment horizontal="center" vertical="center" wrapText="1"/>
    </xf>
    <xf numFmtId="0" fontId="14" fillId="0" borderId="0" xfId="40" applyAlignment="1">
      <alignment horizontal="left"/>
    </xf>
    <xf numFmtId="2" fontId="14" fillId="0" borderId="0" xfId="40" applyNumberFormat="1" applyAlignment="1">
      <alignment horizontal="center"/>
    </xf>
    <xf numFmtId="0" fontId="14" fillId="8" borderId="0" xfId="40" applyFill="1" applyAlignment="1">
      <alignment vertical="center" wrapText="1"/>
    </xf>
    <xf numFmtId="2" fontId="14" fillId="0" borderId="0" xfId="40" applyNumberFormat="1">
      <alignment vertical="center"/>
    </xf>
    <xf numFmtId="0" fontId="20" fillId="0" borderId="0" xfId="33" applyFont="1" applyAlignment="1">
      <alignment horizontal="center" vertical="center"/>
    </xf>
    <xf numFmtId="0" fontId="20" fillId="0" borderId="0" xfId="33" applyFont="1">
      <alignment horizontal="left" vertical="center" wrapText="1"/>
    </xf>
    <xf numFmtId="0" fontId="19" fillId="0" borderId="0" xfId="0" applyFont="1">
      <alignment vertical="center"/>
    </xf>
    <xf numFmtId="0" fontId="19" fillId="0" borderId="0" xfId="0" applyFont="1" applyAlignment="1">
      <alignment horizontal="center" vertical="center"/>
    </xf>
    <xf numFmtId="9" fontId="6" fillId="0" borderId="0" xfId="0" applyNumberFormat="1" applyFont="1">
      <alignment vertical="center"/>
    </xf>
    <xf numFmtId="2" fontId="14" fillId="4" borderId="0" xfId="8" applyNumberFormat="1">
      <alignment horizontal="center" vertical="center"/>
    </xf>
    <xf numFmtId="0" fontId="8" fillId="0" borderId="0" xfId="33" applyFont="1" applyAlignment="1">
      <alignment horizontal="left" vertical="center"/>
    </xf>
    <xf numFmtId="0" fontId="0" fillId="0" borderId="0" xfId="0" applyAlignment="1"/>
    <xf numFmtId="0" fontId="8" fillId="0" borderId="0" xfId="57" applyNumberFormat="1" applyFont="1" applyAlignment="1">
      <alignment horizontal="left" vertical="center"/>
    </xf>
    <xf numFmtId="0" fontId="37" fillId="0" borderId="0" xfId="57" applyNumberFormat="1" applyFont="1">
      <alignment horizontal="center" vertical="center"/>
    </xf>
    <xf numFmtId="2" fontId="37" fillId="0" borderId="0" xfId="57" applyNumberFormat="1" applyFont="1">
      <alignment horizontal="center" vertical="center"/>
    </xf>
    <xf numFmtId="0" fontId="37" fillId="8" borderId="0" xfId="0" applyFont="1" applyFill="1" applyAlignment="1">
      <alignment vertical="center" wrapText="1"/>
    </xf>
    <xf numFmtId="0" fontId="37" fillId="0" borderId="0" xfId="0" applyFont="1" applyAlignment="1">
      <alignment horizontal="center" vertical="center" textRotation="90" wrapText="1"/>
    </xf>
    <xf numFmtId="0" fontId="37" fillId="0" borderId="0" xfId="57" quotePrefix="1" applyNumberFormat="1" applyFont="1">
      <alignment horizontal="center" vertical="center"/>
    </xf>
    <xf numFmtId="0" fontId="37" fillId="0" borderId="0" xfId="64" applyFont="1">
      <alignment vertical="center"/>
    </xf>
    <xf numFmtId="0" fontId="6" fillId="0" borderId="0" xfId="65" applyFont="1">
      <alignment vertical="center" wrapText="1"/>
    </xf>
    <xf numFmtId="0" fontId="38" fillId="0" borderId="0" xfId="64" applyFont="1">
      <alignment vertical="center"/>
    </xf>
    <xf numFmtId="0" fontId="38" fillId="0" borderId="0" xfId="64" applyFont="1" applyAlignment="1">
      <alignment horizontal="center" vertical="center"/>
    </xf>
    <xf numFmtId="0" fontId="37" fillId="0" borderId="0" xfId="0" applyFont="1" applyAlignment="1">
      <alignment horizontal="center" vertical="center" wrapText="1"/>
    </xf>
    <xf numFmtId="0" fontId="38" fillId="8" borderId="0" xfId="0" applyFont="1" applyFill="1" applyAlignment="1">
      <alignment horizontal="left" vertical="center"/>
    </xf>
    <xf numFmtId="0" fontId="37" fillId="4" borderId="0" xfId="0" applyFont="1" applyFill="1" applyAlignment="1">
      <alignment horizontal="center" vertical="center" wrapText="1"/>
    </xf>
    <xf numFmtId="0" fontId="38" fillId="0" borderId="0" xfId="0" applyFont="1">
      <alignment vertical="center"/>
    </xf>
    <xf numFmtId="0" fontId="38" fillId="0" borderId="0" xfId="0" applyFont="1" applyAlignment="1">
      <alignment horizontal="center" vertical="center"/>
    </xf>
    <xf numFmtId="0" fontId="37" fillId="0" borderId="0" xfId="0" applyFont="1" applyAlignment="1">
      <alignment vertical="center" wrapText="1"/>
    </xf>
    <xf numFmtId="0" fontId="44" fillId="0" borderId="0" xfId="74" applyFont="1"/>
    <xf numFmtId="0" fontId="3" fillId="0" borderId="0" xfId="74" applyFont="1"/>
    <xf numFmtId="0" fontId="34" fillId="0" borderId="0" xfId="74" applyFont="1"/>
    <xf numFmtId="0" fontId="45" fillId="0" borderId="0" xfId="74" applyFont="1"/>
    <xf numFmtId="0" fontId="47" fillId="0" borderId="0" xfId="74" applyFont="1"/>
    <xf numFmtId="0" fontId="3" fillId="0" borderId="0" xfId="74" applyFont="1" applyAlignment="1">
      <alignment wrapText="1"/>
    </xf>
    <xf numFmtId="0" fontId="48" fillId="0" borderId="0" xfId="74" applyFont="1"/>
    <xf numFmtId="11" fontId="48" fillId="0" borderId="0" xfId="74" applyNumberFormat="1" applyFont="1"/>
    <xf numFmtId="0" fontId="6" fillId="0" borderId="0" xfId="85" applyFont="1" applyAlignment="1">
      <alignment vertical="center"/>
    </xf>
    <xf numFmtId="0" fontId="6" fillId="0" borderId="0" xfId="64" applyFont="1" applyAlignment="1">
      <alignment vertical="center" wrapText="1"/>
    </xf>
    <xf numFmtId="0" fontId="19" fillId="0" borderId="0" xfId="64" applyFont="1" applyAlignment="1">
      <alignment horizontal="left" vertical="center"/>
    </xf>
    <xf numFmtId="0" fontId="6" fillId="0" borderId="0" xfId="64" quotePrefix="1" applyFont="1" applyAlignment="1" applyProtection="1">
      <alignment horizontal="center" vertical="center"/>
      <protection locked="0"/>
    </xf>
    <xf numFmtId="0" fontId="6" fillId="0" borderId="0" xfId="64" applyFont="1" applyAlignment="1" applyProtection="1">
      <alignment horizontal="center" vertical="center" wrapText="1"/>
      <protection locked="0"/>
    </xf>
    <xf numFmtId="0" fontId="30" fillId="0" borderId="0" xfId="66" applyFont="1" applyAlignment="1">
      <alignment vertical="center"/>
    </xf>
    <xf numFmtId="0" fontId="38" fillId="0" borderId="0" xfId="66" applyFont="1"/>
    <xf numFmtId="0" fontId="38" fillId="0" borderId="0" xfId="66" applyFont="1" applyAlignment="1">
      <alignment horizontal="center" vertical="center"/>
    </xf>
    <xf numFmtId="0" fontId="48" fillId="0" borderId="0" xfId="74" applyFont="1" applyAlignment="1">
      <alignment vertical="center" wrapText="1"/>
    </xf>
    <xf numFmtId="0" fontId="3" fillId="0" borderId="0" xfId="74" applyFont="1" applyAlignment="1">
      <alignment vertical="center" wrapText="1"/>
    </xf>
    <xf numFmtId="0" fontId="53" fillId="0" borderId="0" xfId="74" applyFont="1"/>
    <xf numFmtId="0" fontId="54" fillId="0" borderId="0" xfId="64" applyFont="1">
      <alignment vertical="center"/>
    </xf>
    <xf numFmtId="0" fontId="54" fillId="0" borderId="0" xfId="0" applyFont="1">
      <alignment vertical="center"/>
    </xf>
    <xf numFmtId="0" fontId="54" fillId="0" borderId="0" xfId="33" applyFont="1" applyAlignment="1">
      <alignment horizontal="left" vertical="center"/>
    </xf>
    <xf numFmtId="0" fontId="37" fillId="17" borderId="0" xfId="64" applyFont="1" applyFill="1">
      <alignment vertical="center"/>
    </xf>
    <xf numFmtId="0" fontId="38" fillId="17" borderId="0" xfId="64" applyFont="1" applyFill="1">
      <alignment vertical="center"/>
    </xf>
    <xf numFmtId="0" fontId="38" fillId="17" borderId="0" xfId="64" applyFont="1" applyFill="1" applyAlignment="1">
      <alignment horizontal="center" vertical="center"/>
    </xf>
    <xf numFmtId="0" fontId="37" fillId="17" borderId="0" xfId="64" applyFont="1" applyFill="1" applyAlignment="1">
      <alignment horizontal="center" vertical="center" wrapText="1"/>
    </xf>
    <xf numFmtId="0" fontId="8" fillId="13" borderId="0" xfId="33" applyFont="1" applyFill="1" applyAlignment="1">
      <alignment horizontal="left" vertical="center"/>
    </xf>
    <xf numFmtId="0" fontId="38" fillId="17" borderId="0" xfId="64" applyFont="1" applyFill="1" applyAlignment="1">
      <alignment horizontal="center" vertical="center" wrapText="1"/>
    </xf>
    <xf numFmtId="0" fontId="37" fillId="17" borderId="0" xfId="64" applyFont="1" applyFill="1" applyAlignment="1">
      <alignment horizontal="center" vertical="center"/>
    </xf>
    <xf numFmtId="0" fontId="38" fillId="17" borderId="0" xfId="64" applyFont="1" applyFill="1" applyAlignment="1">
      <alignment vertical="center" wrapText="1"/>
    </xf>
    <xf numFmtId="0" fontId="37" fillId="16" borderId="0" xfId="64" applyFont="1" applyFill="1" applyAlignment="1">
      <alignment horizontal="center" vertical="center" textRotation="90" wrapText="1"/>
    </xf>
    <xf numFmtId="0" fontId="37" fillId="16" borderId="0" xfId="64" applyFont="1" applyFill="1" applyAlignment="1">
      <alignment horizontal="center" vertical="center" wrapText="1"/>
    </xf>
    <xf numFmtId="0" fontId="6" fillId="18" borderId="0" xfId="64" applyFont="1" applyFill="1" applyAlignment="1">
      <alignment horizontal="center" vertical="center" wrapText="1"/>
    </xf>
    <xf numFmtId="0" fontId="19" fillId="17" borderId="0" xfId="64" applyFont="1" applyFill="1" applyAlignment="1">
      <alignment horizontal="left" vertical="center"/>
    </xf>
    <xf numFmtId="0" fontId="37" fillId="18" borderId="0" xfId="57" quotePrefix="1" applyNumberFormat="1" applyFont="1" applyFill="1">
      <alignment horizontal="center" vertical="center"/>
    </xf>
    <xf numFmtId="1" fontId="6" fillId="18" borderId="0" xfId="64" applyNumberFormat="1" applyFont="1" applyFill="1" applyAlignment="1">
      <alignment horizontal="center" vertical="center"/>
    </xf>
    <xf numFmtId="0" fontId="8" fillId="16" borderId="0" xfId="57" applyNumberFormat="1" applyFont="1" applyFill="1">
      <alignment horizontal="center" vertical="center"/>
    </xf>
    <xf numFmtId="2" fontId="8" fillId="16" borderId="0" xfId="57" applyNumberFormat="1" applyFont="1" applyFill="1">
      <alignment horizontal="center" vertical="center"/>
    </xf>
    <xf numFmtId="0" fontId="8" fillId="16" borderId="0" xfId="57" applyNumberFormat="1" applyFont="1" applyFill="1" applyAlignment="1">
      <alignment horizontal="left" vertical="center"/>
    </xf>
    <xf numFmtId="0" fontId="6" fillId="17" borderId="0" xfId="57" quotePrefix="1" applyNumberFormat="1" applyFont="1" applyFill="1">
      <alignment horizontal="center" vertical="center"/>
    </xf>
    <xf numFmtId="0" fontId="6" fillId="17" borderId="0" xfId="57" applyNumberFormat="1" applyFont="1" applyFill="1">
      <alignment horizontal="center" vertical="center"/>
    </xf>
    <xf numFmtId="2" fontId="6" fillId="17" borderId="0" xfId="57" applyNumberFormat="1" applyFont="1" applyFill="1">
      <alignment horizontal="center" vertical="center"/>
    </xf>
    <xf numFmtId="0" fontId="37" fillId="18" borderId="0" xfId="64" applyFont="1" applyFill="1" applyAlignment="1">
      <alignment horizontal="center" vertical="center"/>
    </xf>
    <xf numFmtId="0" fontId="37" fillId="18" borderId="0" xfId="64" applyFont="1" applyFill="1" applyAlignment="1">
      <alignment horizontal="center" vertical="center" textRotation="90" wrapText="1"/>
    </xf>
    <xf numFmtId="0" fontId="37" fillId="19" borderId="0" xfId="64" applyFont="1" applyFill="1" applyAlignment="1">
      <alignment horizontal="center" vertical="center" textRotation="90" wrapText="1"/>
    </xf>
    <xf numFmtId="0" fontId="37" fillId="19" borderId="0" xfId="64" applyFont="1" applyFill="1" applyAlignment="1">
      <alignment horizontal="center" vertical="center" textRotation="90"/>
    </xf>
    <xf numFmtId="0" fontId="37" fillId="18" borderId="0" xfId="64" applyFont="1" applyFill="1">
      <alignment vertical="center"/>
    </xf>
    <xf numFmtId="0" fontId="37" fillId="18" borderId="0" xfId="64" applyFont="1" applyFill="1" applyAlignment="1">
      <alignment horizontal="left" vertical="center"/>
    </xf>
    <xf numFmtId="0" fontId="37" fillId="19" borderId="0" xfId="64" applyFont="1" applyFill="1" applyAlignment="1">
      <alignment horizontal="center" vertical="center" wrapText="1"/>
    </xf>
    <xf numFmtId="0" fontId="37" fillId="19" borderId="0" xfId="64" applyFont="1" applyFill="1" applyAlignment="1">
      <alignment horizontal="center" vertical="center"/>
    </xf>
    <xf numFmtId="0" fontId="37" fillId="19" borderId="0" xfId="64" applyFont="1" applyFill="1">
      <alignment vertical="center"/>
    </xf>
    <xf numFmtId="0" fontId="37" fillId="18" borderId="0" xfId="64" applyFont="1" applyFill="1" applyAlignment="1">
      <alignment horizontal="center" vertical="center" wrapText="1"/>
    </xf>
    <xf numFmtId="2" fontId="37" fillId="19" borderId="0" xfId="64" applyNumberFormat="1" applyFont="1" applyFill="1" applyAlignment="1">
      <alignment horizontal="center" vertical="center"/>
    </xf>
    <xf numFmtId="2" fontId="37" fillId="19" borderId="0" xfId="64" applyNumberFormat="1" applyFont="1" applyFill="1">
      <alignment vertical="center"/>
    </xf>
    <xf numFmtId="0" fontId="6" fillId="16" borderId="0" xfId="33" applyFont="1" applyFill="1" applyAlignment="1">
      <alignment horizontal="left" vertical="center"/>
    </xf>
    <xf numFmtId="0" fontId="6" fillId="16" borderId="0" xfId="59" applyFont="1" applyFill="1" applyAlignment="1">
      <alignment vertical="center"/>
    </xf>
    <xf numFmtId="11" fontId="37" fillId="17" borderId="0" xfId="64" applyNumberFormat="1" applyFont="1" applyFill="1">
      <alignment vertical="center"/>
    </xf>
    <xf numFmtId="0" fontId="6" fillId="16" borderId="0" xfId="57" applyNumberFormat="1" applyFont="1" applyFill="1" applyAlignment="1">
      <alignment horizontal="left" vertical="top"/>
    </xf>
    <xf numFmtId="0" fontId="39" fillId="16" borderId="0" xfId="57" applyNumberFormat="1" applyFont="1" applyFill="1" applyAlignment="1">
      <alignment horizontal="left" vertical="top"/>
    </xf>
    <xf numFmtId="0" fontId="38" fillId="16" borderId="0" xfId="64" applyFont="1" applyFill="1">
      <alignment vertical="center"/>
    </xf>
    <xf numFmtId="0" fontId="38" fillId="16" borderId="0" xfId="64" applyFont="1" applyFill="1" applyAlignment="1">
      <alignment horizontal="center" vertical="center"/>
    </xf>
    <xf numFmtId="0" fontId="8" fillId="16" borderId="0" xfId="33" applyFont="1" applyFill="1" applyAlignment="1">
      <alignment horizontal="left" vertical="center"/>
    </xf>
    <xf numFmtId="0" fontId="19" fillId="16" borderId="0" xfId="59" applyFont="1" applyFill="1" applyAlignment="1">
      <alignment vertical="center"/>
    </xf>
    <xf numFmtId="0" fontId="19" fillId="16" borderId="0" xfId="59" applyFont="1" applyFill="1" applyAlignment="1">
      <alignment horizontal="center" vertical="center"/>
    </xf>
    <xf numFmtId="0" fontId="6" fillId="16" borderId="0" xfId="59" applyFont="1" applyFill="1" applyAlignment="1">
      <alignment vertical="center" wrapText="1"/>
    </xf>
    <xf numFmtId="0" fontId="6" fillId="16" borderId="0" xfId="33" applyFont="1" applyFill="1">
      <alignment horizontal="left" vertical="center" wrapText="1"/>
    </xf>
    <xf numFmtId="0" fontId="6" fillId="16" borderId="0" xfId="59" applyFont="1" applyFill="1" applyAlignment="1">
      <alignment horizontal="center" wrapText="1"/>
    </xf>
    <xf numFmtId="11" fontId="6" fillId="16" borderId="0" xfId="33" applyNumberFormat="1" applyFont="1" applyFill="1">
      <alignment horizontal="left" vertical="center" wrapText="1"/>
    </xf>
    <xf numFmtId="11" fontId="6" fillId="17" borderId="0" xfId="64" applyNumberFormat="1" applyFont="1" applyFill="1" applyAlignment="1">
      <alignment horizontal="center" vertical="center"/>
    </xf>
    <xf numFmtId="0" fontId="19" fillId="16" borderId="0" xfId="102" applyFont="1" applyFill="1">
      <alignment vertical="center"/>
    </xf>
    <xf numFmtId="0" fontId="19" fillId="16" borderId="0" xfId="102" applyFont="1" applyFill="1" applyAlignment="1">
      <alignment horizontal="center" vertical="center"/>
    </xf>
    <xf numFmtId="0" fontId="6" fillId="16" borderId="0" xfId="102" applyFont="1" applyFill="1" applyAlignment="1">
      <alignment vertical="center" wrapText="1"/>
    </xf>
    <xf numFmtId="2" fontId="6" fillId="16" borderId="0" xfId="33" applyNumberFormat="1" applyFont="1" applyFill="1" applyAlignment="1">
      <alignment horizontal="left" vertical="center"/>
    </xf>
    <xf numFmtId="0" fontId="6" fillId="16" borderId="0" xfId="102" applyFont="1" applyFill="1" applyAlignment="1">
      <alignment vertical="top"/>
    </xf>
    <xf numFmtId="10" fontId="6" fillId="16" borderId="0" xfId="102" applyNumberFormat="1" applyFont="1" applyFill="1">
      <alignment vertical="center"/>
    </xf>
    <xf numFmtId="3" fontId="8" fillId="16" borderId="0" xfId="102" applyNumberFormat="1" applyFont="1" applyFill="1">
      <alignment vertical="center"/>
    </xf>
    <xf numFmtId="1" fontId="8" fillId="16" borderId="0" xfId="102" applyNumberFormat="1" applyFont="1" applyFill="1">
      <alignment vertical="center"/>
    </xf>
    <xf numFmtId="0" fontId="8" fillId="16" borderId="0" xfId="102" applyFont="1" applyFill="1">
      <alignment vertical="center"/>
    </xf>
    <xf numFmtId="1" fontId="6" fillId="16" borderId="0" xfId="102" applyNumberFormat="1" applyFont="1" applyFill="1">
      <alignment vertical="center"/>
    </xf>
    <xf numFmtId="2" fontId="8" fillId="16" borderId="0" xfId="102" applyNumberFormat="1" applyFont="1" applyFill="1" applyAlignment="1"/>
    <xf numFmtId="2" fontId="6" fillId="16" borderId="0" xfId="102" applyNumberFormat="1" applyFont="1" applyFill="1">
      <alignment vertical="center"/>
    </xf>
    <xf numFmtId="0" fontId="8" fillId="16" borderId="0" xfId="102" applyFont="1" applyFill="1" applyAlignment="1"/>
    <xf numFmtId="1" fontId="6" fillId="16" borderId="0" xfId="33" applyNumberFormat="1" applyFont="1" applyFill="1" applyAlignment="1">
      <alignment horizontal="left" vertical="center"/>
    </xf>
    <xf numFmtId="1" fontId="6" fillId="16" borderId="0" xfId="102" applyNumberFormat="1" applyFont="1" applyFill="1" applyAlignment="1">
      <alignment vertical="top"/>
    </xf>
    <xf numFmtId="0" fontId="36" fillId="16" borderId="0" xfId="102" applyFont="1" applyFill="1">
      <alignment vertical="center"/>
    </xf>
    <xf numFmtId="0" fontId="19" fillId="16" borderId="0" xfId="102" applyFont="1" applyFill="1" applyAlignment="1">
      <alignment horizontal="left" vertical="center"/>
    </xf>
    <xf numFmtId="0" fontId="6" fillId="16" borderId="0" xfId="102" applyFont="1" applyFill="1" applyAlignment="1">
      <alignment horizontal="center" vertical="center"/>
    </xf>
    <xf numFmtId="0" fontId="6" fillId="16" borderId="0" xfId="102" applyFont="1" applyFill="1" applyAlignment="1">
      <alignment horizontal="center" vertical="center" wrapText="1"/>
    </xf>
    <xf numFmtId="0" fontId="6" fillId="16" borderId="0" xfId="57" quotePrefix="1" applyNumberFormat="1" applyFont="1" applyFill="1">
      <alignment horizontal="center" vertical="center"/>
    </xf>
    <xf numFmtId="10" fontId="6" fillId="16" borderId="0" xfId="102" applyNumberFormat="1" applyFont="1" applyFill="1" applyAlignment="1">
      <alignment horizontal="center" vertical="center"/>
    </xf>
    <xf numFmtId="0" fontId="37" fillId="17" borderId="0" xfId="37" applyFont="1" applyFill="1" applyAlignment="1"/>
    <xf numFmtId="0" fontId="43" fillId="17" borderId="0" xfId="37" applyFont="1" applyFill="1" applyAlignment="1">
      <alignment horizontal="center"/>
    </xf>
    <xf numFmtId="0" fontId="43" fillId="17" borderId="0" xfId="37" applyFont="1" applyFill="1" applyAlignment="1"/>
    <xf numFmtId="0" fontId="43" fillId="17" borderId="0" xfId="32" applyFont="1" applyFill="1"/>
    <xf numFmtId="0" fontId="37" fillId="17" borderId="0" xfId="37" applyFont="1" applyFill="1" applyAlignment="1">
      <alignment horizontal="center"/>
    </xf>
    <xf numFmtId="0" fontId="37" fillId="20" borderId="0" xfId="37" applyFont="1" applyFill="1" applyAlignment="1"/>
    <xf numFmtId="0" fontId="37" fillId="20" borderId="0" xfId="64" applyFont="1" applyFill="1" applyAlignment="1">
      <alignment horizontal="left" wrapText="1"/>
    </xf>
    <xf numFmtId="0" fontId="37" fillId="17" borderId="0" xfId="64" applyFont="1" applyFill="1" applyAlignment="1">
      <alignment horizontal="left" wrapText="1"/>
    </xf>
    <xf numFmtId="0" fontId="7" fillId="17" borderId="0" xfId="12" applyFill="1" applyAlignment="1" applyProtection="1">
      <alignment horizontal="left" wrapText="1"/>
    </xf>
    <xf numFmtId="0" fontId="38" fillId="16" borderId="0" xfId="32" applyFont="1" applyFill="1"/>
    <xf numFmtId="0" fontId="37" fillId="16" borderId="0" xfId="32" applyFont="1" applyFill="1" applyAlignment="1">
      <alignment horizontal="center"/>
    </xf>
    <xf numFmtId="0" fontId="37" fillId="16" borderId="0" xfId="32" applyFont="1" applyFill="1"/>
    <xf numFmtId="0" fontId="21" fillId="16" borderId="0" xfId="32" applyFont="1" applyFill="1"/>
    <xf numFmtId="0" fontId="6" fillId="16" borderId="0" xfId="32" applyFont="1" applyFill="1"/>
    <xf numFmtId="0" fontId="43" fillId="17" borderId="0" xfId="64" applyFont="1" applyFill="1">
      <alignment vertical="center"/>
    </xf>
    <xf numFmtId="0" fontId="37" fillId="17" borderId="0" xfId="64" applyFont="1" applyFill="1" applyAlignment="1">
      <alignment horizontal="left" vertical="center" wrapText="1"/>
    </xf>
    <xf numFmtId="0" fontId="6" fillId="16" borderId="0" xfId="64" applyFont="1" applyFill="1">
      <alignment vertical="center"/>
    </xf>
    <xf numFmtId="0" fontId="38" fillId="17" borderId="0" xfId="64" applyFont="1" applyFill="1" applyAlignment="1"/>
    <xf numFmtId="0" fontId="43" fillId="17" borderId="0" xfId="64" applyFont="1" applyFill="1" applyAlignment="1">
      <alignment horizontal="center"/>
    </xf>
    <xf numFmtId="0" fontId="37" fillId="18" borderId="0" xfId="64" applyFont="1" applyFill="1" applyAlignment="1">
      <alignment vertical="center" wrapText="1"/>
    </xf>
    <xf numFmtId="0" fontId="38" fillId="17" borderId="0" xfId="64" applyFont="1" applyFill="1" applyAlignment="1">
      <alignment horizontal="left" vertical="center"/>
    </xf>
    <xf numFmtId="0" fontId="37" fillId="17" borderId="0" xfId="64" applyFont="1" applyFill="1" applyAlignment="1">
      <alignment horizontal="center"/>
    </xf>
    <xf numFmtId="0" fontId="38" fillId="16" borderId="0" xfId="64" applyFont="1" applyFill="1" applyAlignment="1"/>
    <xf numFmtId="0" fontId="17" fillId="16" borderId="0" xfId="102" applyFont="1" applyFill="1" applyAlignment="1">
      <alignment horizontal="center" vertical="center" wrapText="1"/>
    </xf>
    <xf numFmtId="0" fontId="39" fillId="16" borderId="0" xfId="0" applyFont="1" applyFill="1">
      <alignment vertical="center"/>
    </xf>
    <xf numFmtId="11" fontId="37" fillId="17" borderId="0" xfId="64" applyNumberFormat="1" applyFont="1" applyFill="1" applyAlignment="1">
      <alignment horizontal="center" vertical="center"/>
    </xf>
    <xf numFmtId="0" fontId="37" fillId="16" borderId="0" xfId="0" applyFont="1" applyFill="1">
      <alignment vertical="center"/>
    </xf>
    <xf numFmtId="0" fontId="6" fillId="16" borderId="0" xfId="64" applyFont="1" applyFill="1" applyAlignment="1">
      <alignment horizontal="center" vertical="center"/>
    </xf>
    <xf numFmtId="0" fontId="6" fillId="16" borderId="0" xfId="64" applyFont="1" applyFill="1" applyAlignment="1">
      <alignment vertical="center" wrapText="1"/>
    </xf>
    <xf numFmtId="0" fontId="19" fillId="16" borderId="0" xfId="64" applyFont="1" applyFill="1" applyAlignment="1">
      <alignment horizontal="left" vertical="center"/>
    </xf>
    <xf numFmtId="0" fontId="6" fillId="16" borderId="0" xfId="64" quotePrefix="1" applyFont="1" applyFill="1" applyAlignment="1" applyProtection="1">
      <alignment horizontal="center" vertical="center"/>
      <protection locked="0"/>
    </xf>
    <xf numFmtId="0" fontId="6" fillId="16" borderId="0" xfId="64" applyFont="1" applyFill="1" applyAlignment="1" applyProtection="1">
      <alignment horizontal="center" vertical="center" wrapText="1"/>
      <protection locked="0"/>
    </xf>
    <xf numFmtId="0" fontId="6" fillId="16" borderId="0" xfId="57" applyNumberFormat="1" applyFont="1" applyFill="1">
      <alignment horizontal="center" vertical="center"/>
    </xf>
    <xf numFmtId="2" fontId="6" fillId="16" borderId="0" xfId="57" applyNumberFormat="1" applyFont="1" applyFill="1">
      <alignment horizontal="center" vertical="center"/>
    </xf>
    <xf numFmtId="0" fontId="0" fillId="16" borderId="0" xfId="0" applyFill="1">
      <alignment vertical="center"/>
    </xf>
    <xf numFmtId="3" fontId="34" fillId="16" borderId="1" xfId="103" applyNumberFormat="1" applyFont="1" applyFill="1" applyBorder="1"/>
    <xf numFmtId="0" fontId="34" fillId="16" borderId="1" xfId="103" applyFont="1" applyFill="1" applyBorder="1"/>
    <xf numFmtId="0" fontId="44" fillId="16" borderId="0" xfId="103" applyFont="1" applyFill="1"/>
    <xf numFmtId="0" fontId="2" fillId="16" borderId="0" xfId="103" applyFont="1" applyFill="1"/>
    <xf numFmtId="0" fontId="34" fillId="16" borderId="0" xfId="103" applyFont="1" applyFill="1"/>
    <xf numFmtId="3" fontId="34" fillId="16" borderId="0" xfId="103" applyNumberFormat="1" applyFont="1" applyFill="1"/>
    <xf numFmtId="0" fontId="20" fillId="16" borderId="0" xfId="0" applyFont="1" applyFill="1">
      <alignment vertical="center"/>
    </xf>
    <xf numFmtId="0" fontId="20" fillId="16" borderId="0" xfId="0" applyFont="1" applyFill="1" applyAlignment="1">
      <alignment horizontal="center" vertical="center"/>
    </xf>
    <xf numFmtId="0" fontId="6" fillId="16" borderId="0" xfId="0" applyFont="1" applyFill="1" applyAlignment="1">
      <alignment vertical="center" wrapText="1"/>
    </xf>
    <xf numFmtId="0" fontId="6" fillId="16" borderId="0" xfId="0" applyFont="1" applyFill="1" applyAlignment="1">
      <alignment vertical="top"/>
    </xf>
    <xf numFmtId="0" fontId="6" fillId="16" borderId="0" xfId="0" applyFont="1" applyFill="1" applyAlignment="1">
      <alignment horizontal="center" wrapText="1"/>
    </xf>
    <xf numFmtId="0" fontId="42" fillId="16" borderId="0" xfId="0" applyFont="1" applyFill="1" applyAlignment="1">
      <alignment vertical="center" wrapText="1"/>
    </xf>
    <xf numFmtId="10" fontId="6" fillId="16" borderId="0" xfId="0" applyNumberFormat="1" applyFont="1" applyFill="1">
      <alignment vertical="center"/>
    </xf>
    <xf numFmtId="0" fontId="42" fillId="16" borderId="0" xfId="0" applyFont="1" applyFill="1">
      <alignment vertical="center"/>
    </xf>
    <xf numFmtId="0" fontId="40" fillId="16" borderId="0" xfId="33" applyFont="1" applyFill="1" applyAlignment="1">
      <alignment horizontal="center" vertical="center" wrapText="1"/>
    </xf>
    <xf numFmtId="0" fontId="40" fillId="16" borderId="12" xfId="33" applyFont="1" applyFill="1" applyBorder="1" applyAlignment="1">
      <alignment horizontal="center" vertical="center" wrapText="1"/>
    </xf>
    <xf numFmtId="0" fontId="40" fillId="16" borderId="0" xfId="55" applyFont="1" applyFill="1" applyAlignment="1">
      <alignment vertical="center"/>
    </xf>
    <xf numFmtId="11" fontId="37" fillId="16" borderId="0" xfId="64" applyNumberFormat="1" applyFont="1" applyFill="1" applyAlignment="1">
      <alignment horizontal="center" vertical="center"/>
    </xf>
    <xf numFmtId="11" fontId="37" fillId="16" borderId="0" xfId="64" applyNumberFormat="1" applyFont="1" applyFill="1">
      <alignment vertical="center"/>
    </xf>
    <xf numFmtId="0" fontId="37" fillId="16" borderId="0" xfId="64" applyFont="1" applyFill="1" applyAlignment="1">
      <alignment horizontal="left"/>
    </xf>
    <xf numFmtId="2" fontId="37" fillId="16" borderId="0" xfId="64" applyNumberFormat="1" applyFont="1" applyFill="1">
      <alignment vertical="center"/>
    </xf>
    <xf numFmtId="1" fontId="37" fillId="16" borderId="0" xfId="64" applyNumberFormat="1" applyFont="1" applyFill="1">
      <alignment vertical="center"/>
    </xf>
    <xf numFmtId="0" fontId="37" fillId="16" borderId="0" xfId="33" applyFont="1" applyFill="1" applyAlignment="1">
      <alignment horizontal="left" vertical="center"/>
    </xf>
    <xf numFmtId="0" fontId="6" fillId="16" borderId="0" xfId="33" applyFont="1" applyFill="1" applyAlignment="1">
      <alignment horizontal="center" vertical="center"/>
    </xf>
    <xf numFmtId="0" fontId="37" fillId="16" borderId="0" xfId="64" applyFont="1" applyFill="1" applyAlignment="1"/>
    <xf numFmtId="2" fontId="8" fillId="16" borderId="0" xfId="33" applyNumberFormat="1" applyFont="1" applyFill="1" applyAlignment="1">
      <alignment horizontal="left" vertical="center"/>
    </xf>
    <xf numFmtId="0" fontId="8" fillId="16" borderId="0" xfId="57" applyNumberFormat="1" applyFont="1" applyFill="1" applyAlignment="1">
      <alignment horizontal="left" vertical="center" wrapText="1"/>
    </xf>
    <xf numFmtId="0" fontId="49" fillId="16" borderId="0" xfId="0" applyFont="1" applyFill="1">
      <alignment vertical="center"/>
    </xf>
    <xf numFmtId="10" fontId="49" fillId="16" borderId="0" xfId="0" applyNumberFormat="1" applyFont="1" applyFill="1">
      <alignment vertical="center"/>
    </xf>
    <xf numFmtId="1" fontId="49" fillId="16" borderId="0" xfId="0" applyNumberFormat="1" applyFont="1" applyFill="1">
      <alignment vertical="center"/>
    </xf>
    <xf numFmtId="0" fontId="17" fillId="16" borderId="0" xfId="0" applyFont="1" applyFill="1" applyAlignment="1">
      <alignment horizontal="center" vertical="center" wrapText="1"/>
    </xf>
    <xf numFmtId="1" fontId="8" fillId="16" borderId="0" xfId="28" applyNumberFormat="1" applyFont="1" applyFill="1" applyAlignment="1">
      <alignment horizontal="center" vertical="center"/>
    </xf>
    <xf numFmtId="0" fontId="6" fillId="16" borderId="0" xfId="0" applyFont="1" applyFill="1" applyAlignment="1">
      <alignment horizontal="center" vertical="center"/>
    </xf>
    <xf numFmtId="1" fontId="6" fillId="16" borderId="0" xfId="0" applyNumberFormat="1" applyFont="1" applyFill="1" applyAlignment="1">
      <alignment horizontal="center" vertical="center"/>
    </xf>
    <xf numFmtId="11" fontId="8" fillId="16" borderId="0" xfId="33" applyNumberFormat="1" applyFont="1" applyFill="1" applyAlignment="1">
      <alignment horizontal="left" vertical="center"/>
    </xf>
    <xf numFmtId="0" fontId="6" fillId="16" borderId="0" xfId="32" applyFont="1" applyFill="1" applyAlignment="1">
      <alignment wrapText="1"/>
    </xf>
    <xf numFmtId="0" fontId="37" fillId="17" borderId="0" xfId="64" applyFont="1" applyFill="1" applyAlignment="1">
      <alignment vertical="center" wrapText="1"/>
    </xf>
    <xf numFmtId="0" fontId="6" fillId="0" borderId="0" xfId="109" applyFont="1" applyAlignment="1">
      <alignment vertical="top"/>
    </xf>
    <xf numFmtId="0" fontId="6" fillId="0" borderId="0" xfId="109" applyFont="1" applyAlignment="1">
      <alignment horizontal="left" wrapText="1"/>
    </xf>
    <xf numFmtId="0" fontId="6" fillId="0" borderId="0" xfId="109" applyFont="1" applyAlignment="1">
      <alignment horizontal="left"/>
    </xf>
    <xf numFmtId="0" fontId="6" fillId="0" borderId="0" xfId="109" applyFont="1" applyAlignment="1">
      <alignment horizontal="center"/>
    </xf>
    <xf numFmtId="0" fontId="6" fillId="0" borderId="0" xfId="109" applyFont="1">
      <alignment vertical="center"/>
    </xf>
    <xf numFmtId="0" fontId="6" fillId="16" borderId="0" xfId="109" applyFont="1" applyFill="1" applyAlignment="1">
      <alignment horizontal="center" vertical="center"/>
    </xf>
    <xf numFmtId="0" fontId="19" fillId="16" borderId="0" xfId="109" applyFont="1" applyFill="1" applyAlignment="1">
      <alignment horizontal="center" vertical="center" wrapText="1"/>
    </xf>
    <xf numFmtId="0" fontId="6" fillId="16" borderId="0" xfId="81" applyFont="1" applyFill="1">
      <alignment horizontal="center" vertical="center" wrapText="1"/>
    </xf>
    <xf numFmtId="0" fontId="6" fillId="16" borderId="0" xfId="109" applyFont="1" applyFill="1">
      <alignment vertical="center"/>
    </xf>
    <xf numFmtId="0" fontId="6" fillId="16" borderId="0" xfId="109" applyFont="1" applyFill="1" applyAlignment="1">
      <alignment vertical="top"/>
    </xf>
    <xf numFmtId="0" fontId="8" fillId="13" borderId="0" xfId="33" applyFont="1" applyFill="1">
      <alignment horizontal="left" vertical="center" wrapText="1"/>
    </xf>
    <xf numFmtId="0" fontId="19" fillId="17" borderId="0" xfId="64" applyFont="1" applyFill="1" applyAlignment="1">
      <alignment horizontal="left" vertical="center" wrapText="1"/>
    </xf>
    <xf numFmtId="0" fontId="37" fillId="18" borderId="0" xfId="57" quotePrefix="1" applyNumberFormat="1" applyFont="1" applyFill="1" applyAlignment="1">
      <alignment horizontal="center" vertical="center" wrapText="1"/>
    </xf>
    <xf numFmtId="1" fontId="6" fillId="18" borderId="0" xfId="64" applyNumberFormat="1" applyFont="1" applyFill="1" applyAlignment="1">
      <alignment horizontal="center" vertical="center" wrapText="1"/>
    </xf>
    <xf numFmtId="0" fontId="8" fillId="16" borderId="0" xfId="57" applyNumberFormat="1" applyFont="1" applyFill="1" applyAlignment="1">
      <alignment horizontal="center" vertical="center" wrapText="1"/>
    </xf>
    <xf numFmtId="2" fontId="8" fillId="16" borderId="0" xfId="57" applyNumberFormat="1" applyFont="1" applyFill="1" applyAlignment="1">
      <alignment horizontal="center" vertical="center" wrapText="1"/>
    </xf>
    <xf numFmtId="0" fontId="6" fillId="17" borderId="0" xfId="64" quotePrefix="1" applyFont="1" applyFill="1" applyAlignment="1" applyProtection="1">
      <alignment horizontal="center" vertical="center" wrapText="1"/>
      <protection locked="0"/>
    </xf>
    <xf numFmtId="0" fontId="6" fillId="17" borderId="0" xfId="57" quotePrefix="1" applyNumberFormat="1" applyFont="1" applyFill="1" applyAlignment="1">
      <alignment horizontal="center" vertical="center" wrapText="1"/>
    </xf>
    <xf numFmtId="0" fontId="6" fillId="17" borderId="0" xfId="57" applyNumberFormat="1" applyFont="1" applyFill="1" applyAlignment="1">
      <alignment horizontal="center" vertical="center" wrapText="1"/>
    </xf>
    <xf numFmtId="2" fontId="6" fillId="17" borderId="0" xfId="57" applyNumberFormat="1" applyFont="1" applyFill="1" applyAlignment="1">
      <alignment horizontal="center" vertical="center" wrapText="1"/>
    </xf>
    <xf numFmtId="3" fontId="57" fillId="16" borderId="0" xfId="103" applyNumberFormat="1" applyFont="1" applyFill="1"/>
    <xf numFmtId="0" fontId="1" fillId="0" borderId="1" xfId="74" applyFont="1" applyBorder="1"/>
    <xf numFmtId="0" fontId="54" fillId="0" borderId="1" xfId="64" applyFont="1" applyBorder="1">
      <alignment vertical="center"/>
    </xf>
    <xf numFmtId="0" fontId="54" fillId="0" borderId="1" xfId="64" applyFont="1" applyBorder="1" applyAlignment="1">
      <alignment horizontal="center"/>
    </xf>
    <xf numFmtId="0" fontId="5" fillId="9" borderId="0" xfId="40" applyFont="1" applyFill="1" applyAlignment="1">
      <alignment horizontal="center" vertical="center" wrapText="1"/>
    </xf>
    <xf numFmtId="0" fontId="5" fillId="6" borderId="0" xfId="40" applyFont="1" applyFill="1" applyAlignment="1">
      <alignment horizontal="center" vertical="center" wrapText="1"/>
    </xf>
    <xf numFmtId="0" fontId="5" fillId="0" borderId="0" xfId="40" applyFont="1" applyAlignment="1">
      <alignment horizontal="center" vertical="center" wrapText="1"/>
    </xf>
    <xf numFmtId="2" fontId="5" fillId="0" borderId="0" xfId="40" applyNumberFormat="1" applyFont="1" applyAlignment="1">
      <alignment horizontal="center"/>
    </xf>
    <xf numFmtId="2" fontId="5" fillId="6" borderId="0" xfId="40" applyNumberFormat="1" applyFont="1" applyFill="1" applyAlignment="1">
      <alignment horizontal="center" vertical="center"/>
    </xf>
    <xf numFmtId="2" fontId="5" fillId="0" borderId="0" xfId="40" applyNumberFormat="1" applyFont="1" applyAlignment="1">
      <alignment horizontal="center" vertical="center"/>
    </xf>
    <xf numFmtId="0" fontId="17" fillId="0" borderId="0" xfId="38" applyFont="1" applyAlignment="1">
      <alignment horizontal="center" vertical="center" wrapText="1"/>
    </xf>
    <xf numFmtId="0" fontId="17" fillId="0" borderId="0" xfId="40" applyFont="1" applyAlignment="1">
      <alignment horizontal="center" vertical="center" wrapText="1"/>
    </xf>
    <xf numFmtId="0" fontId="1" fillId="16" borderId="0" xfId="104" applyFont="1" applyFill="1"/>
    <xf numFmtId="0" fontId="19" fillId="16" borderId="0" xfId="0" applyFont="1" applyFill="1">
      <alignment vertical="center"/>
    </xf>
    <xf numFmtId="0" fontId="19" fillId="16" borderId="0" xfId="0" applyFont="1" applyFill="1" applyAlignment="1">
      <alignment horizontal="center" vertical="center"/>
    </xf>
    <xf numFmtId="0" fontId="1" fillId="0" borderId="0" xfId="74" applyFont="1"/>
    <xf numFmtId="0" fontId="19" fillId="16" borderId="0" xfId="0" applyFont="1" applyFill="1" applyAlignment="1">
      <alignment horizontal="center" vertical="center" wrapText="1"/>
    </xf>
    <xf numFmtId="0" fontId="42" fillId="16" borderId="0" xfId="59" applyFont="1" applyFill="1" applyAlignment="1">
      <alignment vertical="center" wrapText="1"/>
    </xf>
    <xf numFmtId="9" fontId="6" fillId="16" borderId="0" xfId="28" applyFont="1" applyFill="1" applyAlignment="1">
      <alignment horizontal="left" vertical="center"/>
    </xf>
    <xf numFmtId="0" fontId="42" fillId="16" borderId="0" xfId="33" applyFont="1" applyFill="1" applyAlignment="1">
      <alignment horizontal="left" vertical="center"/>
    </xf>
    <xf numFmtId="0" fontId="1" fillId="16" borderId="1" xfId="103" applyFont="1" applyFill="1" applyBorder="1"/>
    <xf numFmtId="3" fontId="34" fillId="21" borderId="1" xfId="103" applyNumberFormat="1" applyFont="1" applyFill="1" applyBorder="1"/>
    <xf numFmtId="0" fontId="6" fillId="15" borderId="0" xfId="102" applyFont="1" applyFill="1">
      <alignment vertical="center"/>
    </xf>
    <xf numFmtId="0" fontId="37" fillId="22" borderId="0" xfId="0" applyFont="1" applyFill="1" applyAlignment="1">
      <alignment horizontal="left" wrapText="1"/>
    </xf>
    <xf numFmtId="0" fontId="37" fillId="23" borderId="0" xfId="0" applyFont="1" applyFill="1" applyAlignment="1">
      <alignment horizontal="left" wrapText="1"/>
    </xf>
    <xf numFmtId="0" fontId="7" fillId="22" borderId="0" xfId="12" applyFill="1" applyAlignment="1" applyProtection="1">
      <alignment horizontal="left" wrapText="1"/>
    </xf>
    <xf numFmtId="0" fontId="60" fillId="22" borderId="0" xfId="0" applyFont="1" applyFill="1">
      <alignment vertical="center"/>
    </xf>
    <xf numFmtId="0" fontId="61" fillId="22" borderId="0" xfId="0" applyFont="1" applyFill="1">
      <alignment vertical="center"/>
    </xf>
    <xf numFmtId="0" fontId="37" fillId="24" borderId="0" xfId="0" applyFont="1" applyFill="1">
      <alignment vertical="center"/>
    </xf>
    <xf numFmtId="0" fontId="37" fillId="24" borderId="0" xfId="0" applyFont="1" applyFill="1" applyAlignment="1">
      <alignment horizontal="left" vertical="center" wrapText="1"/>
    </xf>
    <xf numFmtId="0" fontId="37" fillId="23" borderId="0" xfId="0" applyFont="1" applyFill="1" applyAlignment="1">
      <alignment horizontal="left" vertical="center" wrapText="1"/>
    </xf>
    <xf numFmtId="0" fontId="37" fillId="22" borderId="0" xfId="0" applyFont="1" applyFill="1" applyAlignment="1">
      <alignment horizontal="left" vertical="center" wrapText="1"/>
    </xf>
    <xf numFmtId="0" fontId="37" fillId="25" borderId="0" xfId="0" applyFont="1" applyFill="1" applyAlignment="1">
      <alignment horizontal="left" vertical="center" wrapText="1"/>
    </xf>
    <xf numFmtId="0" fontId="6" fillId="21" borderId="0" xfId="64" applyFont="1" applyFill="1" applyAlignment="1">
      <alignment vertical="center" wrapText="1"/>
    </xf>
    <xf numFmtId="0" fontId="61" fillId="22" borderId="0" xfId="0" applyFont="1" applyFill="1" applyAlignment="1">
      <alignment horizontal="center" vertical="center"/>
    </xf>
    <xf numFmtId="0" fontId="37" fillId="22" borderId="0" xfId="0" applyFont="1" applyFill="1" applyAlignment="1">
      <alignment horizontal="center" vertical="center"/>
    </xf>
    <xf numFmtId="0" fontId="1" fillId="21" borderId="0" xfId="52" applyFont="1" applyFill="1"/>
    <xf numFmtId="9" fontId="6" fillId="17" borderId="0" xfId="28" applyFont="1" applyFill="1" applyAlignment="1">
      <alignment horizontal="left" vertical="center" wrapText="1"/>
    </xf>
    <xf numFmtId="11" fontId="6" fillId="17" borderId="0" xfId="28" applyNumberFormat="1" applyFont="1" applyFill="1" applyAlignment="1">
      <alignment horizontal="left" vertical="center" wrapText="1"/>
    </xf>
    <xf numFmtId="0" fontId="6" fillId="17" borderId="0" xfId="28" applyNumberFormat="1" applyFont="1" applyFill="1" applyAlignment="1">
      <alignment horizontal="center" vertical="center"/>
    </xf>
    <xf numFmtId="0" fontId="6" fillId="16" borderId="0" xfId="102" applyFont="1" applyFill="1">
      <alignment vertical="center"/>
    </xf>
    <xf numFmtId="9" fontId="6" fillId="16" borderId="0" xfId="28" applyFont="1" applyFill="1" applyAlignment="1">
      <alignment horizontal="center" vertical="center"/>
    </xf>
    <xf numFmtId="3" fontId="57" fillId="10" borderId="0" xfId="103" applyNumberFormat="1" applyFont="1" applyFill="1"/>
    <xf numFmtId="0" fontId="1" fillId="16" borderId="0" xfId="103" applyFont="1" applyFill="1"/>
    <xf numFmtId="9" fontId="6" fillId="16" borderId="0" xfId="28" applyFont="1" applyFill="1" applyAlignment="1">
      <alignment vertical="center"/>
    </xf>
    <xf numFmtId="0" fontId="37" fillId="10" borderId="0" xfId="64" applyFont="1" applyFill="1">
      <alignment vertical="center"/>
    </xf>
    <xf numFmtId="0" fontId="37" fillId="10" borderId="0" xfId="64" applyFont="1" applyFill="1" applyAlignment="1">
      <alignment vertical="center" wrapText="1"/>
    </xf>
    <xf numFmtId="0" fontId="37" fillId="10" borderId="0" xfId="64" applyFont="1" applyFill="1" applyAlignment="1">
      <alignment horizontal="right" vertical="center"/>
    </xf>
    <xf numFmtId="0" fontId="42" fillId="16" borderId="0" xfId="64" applyFont="1" applyFill="1">
      <alignment vertical="center"/>
    </xf>
    <xf numFmtId="0" fontId="37" fillId="12" borderId="0" xfId="64" applyFont="1" applyFill="1">
      <alignment vertical="center"/>
    </xf>
    <xf numFmtId="0" fontId="0" fillId="12" borderId="0" xfId="0" applyFill="1" applyAlignment="1">
      <alignment horizontal="center" vertical="center"/>
    </xf>
    <xf numFmtId="0" fontId="62" fillId="17" borderId="0" xfId="64" applyFont="1" applyFill="1">
      <alignment vertical="center"/>
    </xf>
    <xf numFmtId="49" fontId="6" fillId="13" borderId="0" xfId="64" applyNumberFormat="1" applyFont="1" applyFill="1" applyAlignment="1">
      <alignment horizontal="center" vertical="center"/>
    </xf>
    <xf numFmtId="1" fontId="6" fillId="18" borderId="0" xfId="64" applyNumberFormat="1" applyFont="1" applyFill="1" applyAlignment="1" applyProtection="1">
      <alignment horizontal="center" vertical="center" wrapText="1"/>
      <protection locked="0"/>
    </xf>
    <xf numFmtId="1" fontId="6" fillId="18" borderId="0" xfId="64" applyNumberFormat="1" applyFont="1" applyFill="1" applyAlignment="1" applyProtection="1">
      <alignment horizontal="center" vertical="center"/>
      <protection locked="0"/>
    </xf>
    <xf numFmtId="1" fontId="6" fillId="17" borderId="0" xfId="64" quotePrefix="1" applyNumberFormat="1" applyFont="1" applyFill="1" applyAlignment="1" applyProtection="1">
      <alignment horizontal="center" vertical="center"/>
      <protection locked="0"/>
    </xf>
    <xf numFmtId="1" fontId="6" fillId="17" borderId="0" xfId="64" applyNumberFormat="1" applyFont="1" applyFill="1" applyAlignment="1" applyProtection="1">
      <alignment horizontal="center" vertical="center" wrapText="1"/>
      <protection locked="0"/>
    </xf>
    <xf numFmtId="0" fontId="6" fillId="18" borderId="0" xfId="64" applyFont="1" applyFill="1" applyAlignment="1" applyProtection="1">
      <alignment horizontal="center" vertical="center" wrapText="1"/>
      <protection locked="0"/>
    </xf>
    <xf numFmtId="0" fontId="6" fillId="18" borderId="0" xfId="64" applyFont="1" applyFill="1" applyAlignment="1" applyProtection="1">
      <alignment horizontal="center" vertical="center"/>
      <protection locked="0"/>
    </xf>
    <xf numFmtId="1" fontId="6" fillId="13" borderId="0" xfId="64" applyNumberFormat="1" applyFont="1" applyFill="1" applyAlignment="1">
      <alignment horizontal="center" vertical="center"/>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6" fillId="0" borderId="0" xfId="0" applyFont="1">
      <alignment vertical="center"/>
    </xf>
    <xf numFmtId="0" fontId="14" fillId="4" borderId="0" xfId="40" applyFill="1" applyAlignment="1">
      <alignment horizontal="center" vertical="center" wrapText="1"/>
    </xf>
    <xf numFmtId="0" fontId="14" fillId="0" borderId="0" xfId="40" applyAlignment="1">
      <alignment horizontal="left" vertical="center"/>
    </xf>
    <xf numFmtId="0" fontId="37" fillId="4" borderId="0" xfId="0" applyFont="1" applyFill="1" applyAlignment="1">
      <alignment horizontal="center" vertical="center"/>
    </xf>
    <xf numFmtId="0" fontId="6" fillId="0" borderId="0" xfId="40" applyFont="1" applyAlignment="1">
      <alignment vertical="center" wrapText="1"/>
    </xf>
    <xf numFmtId="0" fontId="39" fillId="0" borderId="0" xfId="40" applyFont="1" applyAlignment="1">
      <alignment vertical="center" wrapText="1"/>
    </xf>
    <xf numFmtId="0" fontId="6" fillId="3" borderId="0" xfId="0" applyFont="1" applyFill="1" applyAlignment="1">
      <alignment horizontal="left" wrapText="1"/>
    </xf>
    <xf numFmtId="0" fontId="7" fillId="0" borderId="0" xfId="12" applyAlignment="1" applyProtection="1">
      <alignment horizontal="left" wrapText="1"/>
    </xf>
    <xf numFmtId="0" fontId="8" fillId="0" borderId="0" xfId="33" applyFont="1">
      <alignment horizontal="left" vertical="center" wrapText="1"/>
    </xf>
    <xf numFmtId="0" fontId="6" fillId="0" borderId="0" xfId="33" applyFont="1">
      <alignment horizontal="left" vertical="center" wrapText="1"/>
    </xf>
    <xf numFmtId="0" fontId="19" fillId="0" borderId="0" xfId="33" applyFont="1">
      <alignment horizontal="left" vertical="center" wrapText="1"/>
    </xf>
    <xf numFmtId="0" fontId="19" fillId="0" borderId="0" xfId="33" applyFont="1" applyAlignment="1">
      <alignment horizontal="center" vertical="center"/>
    </xf>
    <xf numFmtId="0" fontId="8" fillId="0" borderId="0" xfId="50" applyNumberFormat="1" applyFont="1">
      <alignment horizontal="center" vertical="center"/>
    </xf>
    <xf numFmtId="2" fontId="8" fillId="0" borderId="0" xfId="50" applyNumberFormat="1" applyFont="1">
      <alignment horizontal="center" vertical="center"/>
    </xf>
    <xf numFmtId="0" fontId="8" fillId="0" borderId="0" xfId="50" applyNumberFormat="1" applyFont="1" applyAlignment="1">
      <alignment horizontal="left" vertical="center" wrapText="1"/>
    </xf>
    <xf numFmtId="0" fontId="6" fillId="4" borderId="0" xfId="40" applyFont="1" applyFill="1" applyAlignment="1">
      <alignment horizontal="center" vertical="center" wrapText="1"/>
    </xf>
    <xf numFmtId="0" fontId="6" fillId="4" borderId="0" xfId="40" applyFont="1" applyFill="1" applyAlignment="1">
      <alignment horizontal="center" vertical="center"/>
    </xf>
    <xf numFmtId="0" fontId="37" fillId="12" borderId="0" xfId="64" applyFont="1" applyFill="1" applyAlignment="1">
      <alignment horizontal="center" vertical="center"/>
    </xf>
    <xf numFmtId="2" fontId="37" fillId="12" borderId="0" xfId="64" applyNumberFormat="1" applyFont="1" applyFill="1" applyAlignment="1">
      <alignment horizontal="center" vertical="center"/>
    </xf>
    <xf numFmtId="2" fontId="37" fillId="12" borderId="0" xfId="64" applyNumberFormat="1" applyFont="1" applyFill="1">
      <alignment vertical="center"/>
    </xf>
    <xf numFmtId="0" fontId="64" fillId="16" borderId="0" xfId="102" applyFont="1" applyFill="1" applyAlignment="1">
      <alignment vertical="center" wrapText="1"/>
    </xf>
    <xf numFmtId="0" fontId="6" fillId="18" borderId="0" xfId="102" applyFont="1" applyFill="1" applyAlignment="1">
      <alignment vertical="center" wrapText="1"/>
    </xf>
    <xf numFmtId="0" fontId="6" fillId="18" borderId="0" xfId="102" applyFont="1" applyFill="1">
      <alignment vertical="center"/>
    </xf>
    <xf numFmtId="0" fontId="6" fillId="18" borderId="0" xfId="0" applyFont="1" applyFill="1">
      <alignment vertical="center"/>
    </xf>
    <xf numFmtId="0" fontId="37" fillId="18" borderId="0" xfId="0" applyFont="1" applyFill="1">
      <alignment vertical="center"/>
    </xf>
    <xf numFmtId="0" fontId="42" fillId="18" borderId="0" xfId="0" applyFont="1" applyFill="1">
      <alignment vertical="center"/>
    </xf>
    <xf numFmtId="0" fontId="37" fillId="18" borderId="0" xfId="102" applyFont="1" applyFill="1" applyAlignment="1">
      <alignment vertical="center" wrapText="1"/>
    </xf>
    <xf numFmtId="0" fontId="6" fillId="28" borderId="0" xfId="102" applyFont="1" applyFill="1" applyAlignment="1">
      <alignment vertical="center" wrapText="1"/>
    </xf>
    <xf numFmtId="0" fontId="55" fillId="0" borderId="0" xfId="103" applyFont="1"/>
    <xf numFmtId="0" fontId="65" fillId="16" borderId="0" xfId="103" applyFont="1" applyFill="1"/>
    <xf numFmtId="0" fontId="66" fillId="16" borderId="0" xfId="57" applyNumberFormat="1" applyFont="1" applyFill="1" applyAlignment="1">
      <alignment horizontal="left" vertical="top"/>
    </xf>
    <xf numFmtId="0" fontId="6" fillId="13" borderId="0" xfId="64" applyFont="1" applyFill="1" applyAlignment="1">
      <alignment horizontal="center" vertical="center"/>
    </xf>
    <xf numFmtId="0" fontId="6" fillId="17" borderId="0" xfId="64" applyFont="1" applyFill="1" applyAlignment="1">
      <alignment vertical="center" wrapText="1"/>
    </xf>
    <xf numFmtId="0" fontId="6" fillId="17" borderId="0" xfId="64" applyFont="1" applyFill="1" applyAlignment="1">
      <alignment horizontal="left" vertical="center"/>
    </xf>
    <xf numFmtId="0" fontId="37" fillId="13" borderId="0" xfId="64" applyFont="1" applyFill="1" applyAlignment="1">
      <alignment horizontal="center" vertical="center"/>
    </xf>
    <xf numFmtId="0" fontId="37" fillId="17" borderId="0" xfId="64" applyFont="1" applyFill="1" applyAlignment="1">
      <alignment horizontal="left" vertical="center"/>
    </xf>
    <xf numFmtId="0" fontId="37" fillId="17" borderId="0" xfId="57" quotePrefix="1" applyNumberFormat="1" applyFont="1" applyFill="1">
      <alignment horizontal="center" vertical="center"/>
    </xf>
    <xf numFmtId="0" fontId="37" fillId="17" borderId="0" xfId="57" applyNumberFormat="1" applyFont="1" applyFill="1">
      <alignment horizontal="center" vertical="center"/>
    </xf>
    <xf numFmtId="2" fontId="37" fillId="17" borderId="0" xfId="57" applyNumberFormat="1" applyFont="1" applyFill="1">
      <alignment horizontal="center" vertical="center"/>
    </xf>
    <xf numFmtId="0" fontId="37" fillId="16" borderId="0" xfId="57" applyNumberFormat="1" applyFont="1" applyFill="1" applyAlignment="1">
      <alignment horizontal="left" vertical="top"/>
    </xf>
    <xf numFmtId="0" fontId="6" fillId="17" borderId="0" xfId="64" applyFont="1" applyFill="1" applyAlignment="1">
      <alignment horizontal="center" vertical="center"/>
    </xf>
    <xf numFmtId="0" fontId="6" fillId="17" borderId="0" xfId="64" quotePrefix="1" applyFont="1" applyFill="1" applyAlignment="1" applyProtection="1">
      <alignment horizontal="center" vertical="center"/>
      <protection locked="0"/>
    </xf>
    <xf numFmtId="0" fontId="6" fillId="17" borderId="0" xfId="64" applyFont="1" applyFill="1" applyAlignment="1" applyProtection="1">
      <alignment horizontal="center" vertical="center" wrapText="1"/>
      <protection locked="0"/>
    </xf>
    <xf numFmtId="0" fontId="37" fillId="17" borderId="0" xfId="64" quotePrefix="1" applyFont="1" applyFill="1" applyAlignment="1" applyProtection="1">
      <alignment horizontal="center" vertical="center"/>
      <protection locked="0"/>
    </xf>
    <xf numFmtId="0" fontId="37" fillId="17" borderId="0" xfId="64" applyFont="1" applyFill="1" applyAlignment="1" applyProtection="1">
      <alignment horizontal="center" vertical="center" wrapText="1"/>
      <protection locked="0"/>
    </xf>
    <xf numFmtId="0" fontId="0" fillId="15" borderId="0" xfId="0" applyFill="1">
      <alignment vertical="center"/>
    </xf>
    <xf numFmtId="0" fontId="6" fillId="15" borderId="0" xfId="0" applyFont="1" applyFill="1">
      <alignment vertical="center"/>
    </xf>
    <xf numFmtId="0" fontId="42" fillId="16" borderId="0" xfId="102" applyFont="1" applyFill="1" applyAlignment="1">
      <alignment vertical="center" wrapText="1"/>
    </xf>
    <xf numFmtId="11" fontId="0" fillId="16" borderId="0" xfId="0" applyNumberFormat="1" applyFill="1">
      <alignment vertical="center"/>
    </xf>
    <xf numFmtId="10" fontId="6" fillId="18" borderId="0" xfId="0" applyNumberFormat="1" applyFont="1" applyFill="1">
      <alignment vertical="center"/>
    </xf>
    <xf numFmtId="9" fontId="6" fillId="12" borderId="0" xfId="28" applyFont="1" applyFill="1" applyAlignment="1">
      <alignment horizontal="center" vertical="center"/>
    </xf>
    <xf numFmtId="10" fontId="6" fillId="17" borderId="0" xfId="28" applyNumberFormat="1" applyFont="1" applyFill="1" applyAlignment="1">
      <alignment horizontal="center" vertical="center"/>
    </xf>
    <xf numFmtId="0" fontId="66" fillId="16" borderId="0" xfId="59" applyFont="1" applyFill="1" applyAlignment="1">
      <alignment vertical="center"/>
    </xf>
    <xf numFmtId="0" fontId="42" fillId="18" borderId="0" xfId="59" applyFont="1" applyFill="1" applyAlignment="1">
      <alignment vertical="center" wrapText="1"/>
    </xf>
    <xf numFmtId="0" fontId="6" fillId="18" borderId="0" xfId="59" applyFont="1" applyFill="1" applyAlignment="1">
      <alignment vertical="center"/>
    </xf>
    <xf numFmtId="0" fontId="41" fillId="18" borderId="0" xfId="59" applyFont="1" applyFill="1" applyAlignment="1">
      <alignment vertical="center"/>
    </xf>
    <xf numFmtId="0" fontId="6" fillId="18" borderId="0" xfId="59" applyFont="1" applyFill="1" applyAlignment="1">
      <alignment vertical="center" wrapText="1"/>
    </xf>
    <xf numFmtId="0" fontId="67" fillId="17" borderId="0" xfId="64" applyFont="1" applyFill="1" applyAlignment="1">
      <alignment vertical="center" wrapText="1"/>
    </xf>
    <xf numFmtId="0" fontId="67" fillId="17" borderId="0" xfId="64" applyFont="1" applyFill="1" applyAlignment="1">
      <alignment horizontal="left" vertical="center"/>
    </xf>
    <xf numFmtId="0" fontId="67" fillId="16" borderId="0" xfId="57" applyNumberFormat="1" applyFont="1" applyFill="1" applyAlignment="1">
      <alignment horizontal="left" vertical="top"/>
    </xf>
    <xf numFmtId="0" fontId="67" fillId="16" borderId="0" xfId="0" applyFont="1" applyFill="1">
      <alignment vertical="center"/>
    </xf>
    <xf numFmtId="1" fontId="37" fillId="17" borderId="0" xfId="64" quotePrefix="1" applyNumberFormat="1" applyFont="1" applyFill="1" applyAlignment="1" applyProtection="1">
      <alignment horizontal="center" vertical="center"/>
      <protection locked="0"/>
    </xf>
    <xf numFmtId="0" fontId="37" fillId="16" borderId="0" xfId="102" applyFont="1" applyFill="1">
      <alignment vertical="center"/>
    </xf>
    <xf numFmtId="0" fontId="41" fillId="18" borderId="0" xfId="102" applyFont="1" applyFill="1" applyAlignment="1">
      <alignment vertical="center" wrapText="1"/>
    </xf>
    <xf numFmtId="10" fontId="6" fillId="18" borderId="0" xfId="102" applyNumberFormat="1" applyFont="1" applyFill="1">
      <alignment vertical="center"/>
    </xf>
    <xf numFmtId="9" fontId="6" fillId="12" borderId="0" xfId="28" applyFont="1" applyFill="1" applyAlignment="1">
      <alignment horizontal="right" vertical="center"/>
    </xf>
    <xf numFmtId="9" fontId="6" fillId="12" borderId="0" xfId="28" quotePrefix="1" applyFont="1" applyFill="1" applyAlignment="1">
      <alignment horizontal="right" vertical="center"/>
    </xf>
    <xf numFmtId="10" fontId="37" fillId="16" borderId="0" xfId="28" applyNumberFormat="1" applyFont="1" applyFill="1" applyAlignment="1">
      <alignment vertical="center"/>
    </xf>
    <xf numFmtId="10" fontId="68" fillId="16" borderId="0" xfId="28" applyNumberFormat="1" applyFont="1" applyFill="1" applyAlignment="1">
      <alignment vertical="center"/>
    </xf>
    <xf numFmtId="9" fontId="37" fillId="12" borderId="0" xfId="28" applyFont="1" applyFill="1" applyAlignment="1">
      <alignment vertical="center"/>
    </xf>
    <xf numFmtId="0" fontId="42" fillId="12" borderId="0" xfId="64" applyFont="1" applyFill="1">
      <alignment vertical="center"/>
    </xf>
    <xf numFmtId="0" fontId="37" fillId="16" borderId="0" xfId="64" applyFont="1" applyFill="1" applyAlignment="1">
      <alignment vertical="center" wrapText="1"/>
    </xf>
    <xf numFmtId="0" fontId="41" fillId="18" borderId="0" xfId="59" applyFont="1" applyFill="1" applyAlignment="1">
      <alignment vertical="center" wrapText="1"/>
    </xf>
    <xf numFmtId="10" fontId="6" fillId="18" borderId="0" xfId="59" applyNumberFormat="1" applyFont="1" applyFill="1" applyAlignment="1">
      <alignment vertical="center"/>
    </xf>
    <xf numFmtId="10" fontId="0" fillId="16" borderId="0" xfId="0" applyNumberFormat="1" applyFill="1">
      <alignment vertical="center"/>
    </xf>
    <xf numFmtId="3" fontId="0" fillId="0" borderId="0" xfId="0" applyNumberFormat="1">
      <alignment vertical="center"/>
    </xf>
    <xf numFmtId="3" fontId="0" fillId="0" borderId="0" xfId="0" applyNumberFormat="1" applyAlignment="1"/>
    <xf numFmtId="10" fontId="6" fillId="17" borderId="0" xfId="64" applyNumberFormat="1" applyFont="1" applyFill="1" applyAlignment="1">
      <alignment horizontal="center" vertical="center"/>
    </xf>
    <xf numFmtId="10" fontId="6" fillId="17" borderId="0" xfId="57" applyNumberFormat="1" applyFont="1" applyFill="1" applyAlignment="1">
      <alignment horizontal="left" vertical="center" wrapText="1"/>
    </xf>
    <xf numFmtId="0" fontId="37" fillId="16" borderId="0" xfId="64" applyFont="1" applyFill="1">
      <alignment vertical="center"/>
    </xf>
    <xf numFmtId="0" fontId="6" fillId="17" borderId="0" xfId="111" applyFont="1" applyFill="1" applyAlignment="1">
      <alignment horizontal="left" vertical="center" wrapText="1"/>
    </xf>
    <xf numFmtId="0" fontId="0" fillId="21" borderId="0" xfId="0" applyFill="1" applyAlignment="1">
      <alignment vertical="center" wrapText="1"/>
    </xf>
    <xf numFmtId="0" fontId="8" fillId="21" borderId="0" xfId="0" applyFont="1" applyFill="1" applyAlignment="1">
      <alignment vertical="center" wrapText="1"/>
    </xf>
    <xf numFmtId="178" fontId="37" fillId="16" borderId="0" xfId="64" applyNumberFormat="1" applyFont="1" applyFill="1">
      <alignment vertical="center"/>
    </xf>
    <xf numFmtId="3" fontId="1" fillId="16" borderId="1" xfId="103" applyNumberFormat="1" applyFont="1" applyFill="1" applyBorder="1"/>
    <xf numFmtId="3" fontId="1" fillId="16" borderId="0" xfId="103" applyNumberFormat="1" applyFont="1" applyFill="1"/>
    <xf numFmtId="3" fontId="1" fillId="0" borderId="1" xfId="103" applyNumberFormat="1" applyFont="1" applyBorder="1"/>
    <xf numFmtId="9" fontId="1" fillId="16" borderId="0" xfId="28" applyFont="1" applyFill="1"/>
    <xf numFmtId="1" fontId="1" fillId="16" borderId="0" xfId="103" applyNumberFormat="1" applyFont="1" applyFill="1"/>
    <xf numFmtId="10" fontId="1" fillId="0" borderId="0" xfId="74" applyNumberFormat="1" applyFont="1"/>
    <xf numFmtId="0" fontId="1" fillId="0" borderId="0" xfId="74" applyFont="1" applyAlignment="1">
      <alignment vertical="center" wrapText="1"/>
    </xf>
    <xf numFmtId="0" fontId="42" fillId="28" borderId="0" xfId="64" applyFont="1" applyFill="1" applyAlignment="1">
      <alignment vertical="center" wrapText="1"/>
    </xf>
    <xf numFmtId="0" fontId="37" fillId="0" borderId="0" xfId="64" applyFont="1" applyAlignment="1">
      <alignment horizontal="center"/>
    </xf>
    <xf numFmtId="0" fontId="37" fillId="0" borderId="0" xfId="66" applyFont="1"/>
    <xf numFmtId="0" fontId="37" fillId="16" borderId="0" xfId="64" applyFont="1" applyFill="1" applyAlignment="1">
      <alignment horizontal="left" vertical="center"/>
    </xf>
    <xf numFmtId="0" fontId="6" fillId="16" borderId="0" xfId="59" applyFont="1" applyFill="1" applyAlignment="1">
      <alignment horizontal="center"/>
    </xf>
    <xf numFmtId="0" fontId="6" fillId="16" borderId="0" xfId="102" applyFont="1" applyFill="1" applyAlignment="1">
      <alignment horizontal="center"/>
    </xf>
    <xf numFmtId="0" fontId="14" fillId="0" borderId="0" xfId="40" applyAlignment="1">
      <alignment horizontal="center"/>
    </xf>
    <xf numFmtId="0" fontId="6" fillId="0" borderId="0" xfId="39" applyFont="1">
      <alignment vertical="center"/>
    </xf>
    <xf numFmtId="0" fontId="6" fillId="0" borderId="0" xfId="39" applyFont="1" applyAlignment="1">
      <alignment horizontal="center"/>
    </xf>
    <xf numFmtId="0" fontId="6" fillId="16" borderId="0" xfId="0" applyFont="1" applyFill="1">
      <alignment vertical="center"/>
    </xf>
    <xf numFmtId="0" fontId="5" fillId="0" borderId="0" xfId="40" applyFont="1" applyAlignment="1">
      <alignment horizontal="center"/>
    </xf>
    <xf numFmtId="0" fontId="14" fillId="0" borderId="0" xfId="40">
      <alignment vertical="center"/>
    </xf>
    <xf numFmtId="0" fontId="6" fillId="16" borderId="0" xfId="102" applyFont="1" applyFill="1" applyAlignment="1">
      <alignment horizontal="center" wrapText="1"/>
    </xf>
    <xf numFmtId="0" fontId="40" fillId="16" borderId="0" xfId="33" applyFont="1" applyFill="1">
      <alignment horizontal="left" vertical="center" wrapText="1"/>
    </xf>
    <xf numFmtId="0" fontId="6" fillId="16" borderId="0" xfId="0" applyFont="1" applyFill="1" applyAlignment="1">
      <alignment horizontal="center"/>
    </xf>
    <xf numFmtId="0" fontId="37" fillId="0" borderId="0" xfId="0" applyFont="1">
      <alignment vertical="center"/>
    </xf>
    <xf numFmtId="0" fontId="37" fillId="16" borderId="0" xfId="64" applyFont="1" applyFill="1" applyAlignment="1">
      <alignment horizontal="center" vertical="center"/>
    </xf>
    <xf numFmtId="0" fontId="37" fillId="16" borderId="0" xfId="64" applyFont="1" applyFill="1" applyAlignment="1">
      <alignment horizontal="center"/>
    </xf>
    <xf numFmtId="169" fontId="0" fillId="0" borderId="0" xfId="0" applyNumberFormat="1">
      <alignment vertical="center"/>
    </xf>
    <xf numFmtId="172" fontId="6" fillId="4" borderId="0" xfId="50" applyFont="1" applyFill="1" applyAlignment="1">
      <alignment horizontal="left" vertical="center" wrapText="1"/>
    </xf>
    <xf numFmtId="172" fontId="6" fillId="4" borderId="0" xfId="50" applyFont="1" applyFill="1">
      <alignment horizontal="center" vertical="center"/>
    </xf>
    <xf numFmtId="172" fontId="6" fillId="4" borderId="0" xfId="50" quotePrefix="1" applyFont="1" applyFill="1" applyAlignment="1">
      <alignment horizontal="left" vertical="center"/>
    </xf>
    <xf numFmtId="173" fontId="6" fillId="0" borderId="0" xfId="64" applyNumberFormat="1" applyFont="1" applyAlignment="1">
      <alignment horizontal="center" vertical="center"/>
    </xf>
    <xf numFmtId="172" fontId="6" fillId="12" borderId="0" xfId="57" applyFont="1" applyFill="1" applyAlignment="1">
      <alignment horizontal="left" vertical="center" wrapText="1"/>
    </xf>
    <xf numFmtId="172" fontId="6" fillId="0" borderId="0" xfId="57" applyFont="1" applyAlignment="1">
      <alignment horizontal="left" vertical="center" wrapText="1"/>
    </xf>
    <xf numFmtId="172" fontId="37" fillId="0" borderId="0" xfId="57" applyFont="1">
      <alignment horizontal="center" vertical="center"/>
    </xf>
    <xf numFmtId="172" fontId="37" fillId="0" borderId="0" xfId="57" quotePrefix="1" applyFont="1" applyAlignment="1">
      <alignment horizontal="left" vertical="center"/>
    </xf>
    <xf numFmtId="173" fontId="37" fillId="0" borderId="0" xfId="64" applyNumberFormat="1" applyFont="1">
      <alignment vertical="center"/>
    </xf>
    <xf numFmtId="172" fontId="6" fillId="4" borderId="0" xfId="50" applyFont="1" applyFill="1" applyAlignment="1">
      <alignment horizontal="left" vertical="center"/>
    </xf>
    <xf numFmtId="170" fontId="38" fillId="17" borderId="0" xfId="62" applyFont="1" applyFill="1" applyAlignment="1">
      <alignment horizontal="center" vertical="center" wrapText="1"/>
    </xf>
    <xf numFmtId="170" fontId="38" fillId="17" borderId="0" xfId="62" applyFont="1" applyFill="1" applyAlignment="1">
      <alignment horizontal="left" vertical="center" wrapText="1"/>
    </xf>
    <xf numFmtId="170" fontId="19" fillId="16" borderId="0" xfId="62" applyFont="1" applyFill="1" applyAlignment="1">
      <alignment horizontal="left" vertical="center"/>
    </xf>
    <xf numFmtId="170" fontId="8" fillId="16" borderId="0" xfId="62" applyFont="1" applyFill="1" applyAlignment="1">
      <alignment horizontal="center" vertical="center" textRotation="90" wrapText="1"/>
    </xf>
    <xf numFmtId="170" fontId="8" fillId="16" borderId="0" xfId="62" applyFont="1" applyFill="1" applyAlignment="1">
      <alignment horizontal="left" vertical="center" wrapText="1"/>
    </xf>
    <xf numFmtId="170" fontId="6" fillId="16" borderId="0" xfId="62" applyFont="1" applyFill="1" applyAlignment="1">
      <alignment horizontal="left" vertical="top"/>
    </xf>
    <xf numFmtId="170" fontId="26" fillId="16" borderId="0" xfId="62" applyFont="1" applyFill="1" applyAlignment="1">
      <alignment horizontal="center" vertical="center"/>
    </xf>
    <xf numFmtId="170" fontId="26" fillId="16" borderId="0" xfId="62" applyFont="1" applyFill="1" applyAlignment="1">
      <alignment horizontal="left" vertical="center"/>
    </xf>
    <xf numFmtId="170" fontId="17" fillId="16" borderId="0" xfId="62" applyFont="1" applyFill="1" applyAlignment="1">
      <alignment horizontal="left" vertical="top"/>
    </xf>
    <xf numFmtId="171" fontId="37" fillId="19" borderId="0" xfId="64" applyNumberFormat="1" applyFont="1" applyFill="1" applyAlignment="1">
      <alignment horizontal="center" vertical="center"/>
    </xf>
    <xf numFmtId="172" fontId="6" fillId="18" borderId="0" xfId="57" applyFont="1" applyFill="1" applyAlignment="1">
      <alignment horizontal="left" vertical="center" wrapText="1"/>
    </xf>
    <xf numFmtId="172" fontId="37" fillId="18" borderId="0" xfId="57" applyFont="1" applyFill="1">
      <alignment horizontal="center" vertical="center"/>
    </xf>
    <xf numFmtId="172" fontId="37" fillId="18" borderId="0" xfId="57" quotePrefix="1" applyFont="1" applyFill="1" applyAlignment="1">
      <alignment horizontal="left" vertical="center"/>
    </xf>
    <xf numFmtId="172" fontId="6" fillId="17" borderId="0" xfId="57" applyFont="1" applyFill="1" applyAlignment="1">
      <alignment horizontal="left" vertical="center" wrapText="1"/>
    </xf>
    <xf numFmtId="172" fontId="6" fillId="17" borderId="0" xfId="57" applyFont="1" applyFill="1">
      <alignment horizontal="center" vertical="center"/>
    </xf>
    <xf numFmtId="172" fontId="6" fillId="17" borderId="0" xfId="57" quotePrefix="1" applyFont="1" applyFill="1" applyAlignment="1">
      <alignment horizontal="left" vertical="center"/>
    </xf>
    <xf numFmtId="173" fontId="6" fillId="17" borderId="0" xfId="64" applyNumberFormat="1" applyFont="1" applyFill="1" applyAlignment="1">
      <alignment horizontal="center" vertical="center"/>
    </xf>
    <xf numFmtId="170" fontId="37" fillId="16" borderId="0" xfId="62" applyFont="1" applyFill="1" applyAlignment="1">
      <alignment horizontal="left" vertical="top"/>
    </xf>
    <xf numFmtId="172" fontId="37" fillId="17" borderId="0" xfId="57" applyFont="1" applyFill="1" applyAlignment="1">
      <alignment horizontal="left" vertical="center" wrapText="1"/>
    </xf>
    <xf numFmtId="172" fontId="37" fillId="17" borderId="0" xfId="57" applyFont="1" applyFill="1">
      <alignment horizontal="center" vertical="center"/>
    </xf>
    <xf numFmtId="172" fontId="37" fillId="17" borderId="0" xfId="57" quotePrefix="1" applyFont="1" applyFill="1" applyAlignment="1">
      <alignment horizontal="left" vertical="center"/>
    </xf>
    <xf numFmtId="173" fontId="37" fillId="17" borderId="0" xfId="64" applyNumberFormat="1" applyFont="1" applyFill="1" applyAlignment="1">
      <alignment horizontal="center" vertical="center"/>
    </xf>
    <xf numFmtId="172" fontId="66" fillId="17" borderId="0" xfId="57" applyFont="1" applyFill="1" applyAlignment="1">
      <alignment horizontal="left" vertical="center" wrapText="1"/>
    </xf>
    <xf numFmtId="166" fontId="6" fillId="17" borderId="0" xfId="57" applyNumberFormat="1" applyFont="1" applyFill="1" applyAlignment="1">
      <alignment horizontal="left" vertical="center" wrapText="1"/>
    </xf>
    <xf numFmtId="173" fontId="6" fillId="16" borderId="0" xfId="102" applyNumberFormat="1" applyFont="1" applyFill="1">
      <alignment vertical="center"/>
    </xf>
    <xf numFmtId="172" fontId="6" fillId="16" borderId="0" xfId="57" applyFont="1" applyFill="1" applyAlignment="1">
      <alignment horizontal="left" vertical="center" wrapText="1"/>
    </xf>
    <xf numFmtId="172" fontId="6" fillId="16" borderId="0" xfId="57" applyFont="1" applyFill="1">
      <alignment horizontal="center" vertical="center"/>
    </xf>
    <xf numFmtId="172" fontId="6" fillId="16" borderId="0" xfId="57" quotePrefix="1" applyFont="1" applyFill="1" applyAlignment="1">
      <alignment horizontal="left" vertical="center"/>
    </xf>
    <xf numFmtId="173" fontId="6" fillId="16" borderId="0" xfId="102" applyNumberFormat="1" applyFont="1" applyFill="1" applyAlignment="1">
      <alignment horizontal="center" vertical="center"/>
    </xf>
    <xf numFmtId="170" fontId="15" fillId="0" borderId="0" xfId="43" applyFont="1" applyAlignment="1">
      <alignment horizontal="center" vertical="center" textRotation="90" wrapText="1"/>
    </xf>
    <xf numFmtId="170" fontId="14" fillId="0" borderId="0" xfId="43" applyAlignment="1">
      <alignment horizontal="center" vertical="center" wrapText="1"/>
    </xf>
    <xf numFmtId="171" fontId="14" fillId="0" borderId="0" xfId="40" applyNumberFormat="1" applyAlignment="1">
      <alignment horizontal="center"/>
    </xf>
    <xf numFmtId="172" fontId="17" fillId="0" borderId="0" xfId="40" applyNumberFormat="1" applyFont="1" applyAlignment="1">
      <alignment horizontal="center" vertical="center"/>
    </xf>
    <xf numFmtId="172" fontId="14" fillId="0" borderId="0" xfId="40" applyNumberFormat="1" applyAlignment="1">
      <alignment horizontal="center" vertical="center"/>
    </xf>
    <xf numFmtId="172" fontId="6" fillId="0" borderId="0" xfId="33" applyNumberFormat="1" applyFont="1">
      <alignment horizontal="left" vertical="center" wrapText="1"/>
    </xf>
    <xf numFmtId="170" fontId="26" fillId="16" borderId="0" xfId="62" applyFont="1" applyFill="1" applyAlignment="1">
      <alignment horizontal="left" vertical="center" wrapText="1"/>
    </xf>
    <xf numFmtId="172" fontId="37" fillId="17" borderId="0" xfId="57" applyFont="1" applyFill="1" applyAlignment="1">
      <alignment horizontal="left" vertical="center"/>
    </xf>
    <xf numFmtId="173" fontId="37" fillId="27" borderId="0" xfId="64" applyNumberFormat="1" applyFont="1" applyFill="1" applyAlignment="1">
      <alignment horizontal="center" vertical="center"/>
    </xf>
    <xf numFmtId="172" fontId="6" fillId="17" borderId="0" xfId="57" applyFont="1" applyFill="1" applyAlignment="1">
      <alignment horizontal="left" vertical="center"/>
    </xf>
    <xf numFmtId="173" fontId="37" fillId="21" borderId="0" xfId="64" applyNumberFormat="1" applyFont="1" applyFill="1" applyAlignment="1">
      <alignment horizontal="center" vertical="center"/>
    </xf>
    <xf numFmtId="173" fontId="37" fillId="18" borderId="0" xfId="0" applyNumberFormat="1" applyFont="1" applyFill="1">
      <alignment vertical="center"/>
    </xf>
    <xf numFmtId="173" fontId="42" fillId="18" borderId="0" xfId="0" applyNumberFormat="1" applyFont="1" applyFill="1">
      <alignment vertical="center"/>
    </xf>
    <xf numFmtId="173" fontId="37" fillId="18" borderId="0" xfId="102" applyNumberFormat="1" applyFont="1" applyFill="1">
      <alignment vertical="center"/>
    </xf>
    <xf numFmtId="173" fontId="6" fillId="16" borderId="0" xfId="64" applyNumberFormat="1" applyFont="1" applyFill="1" applyAlignment="1">
      <alignment horizontal="center" vertical="center"/>
    </xf>
    <xf numFmtId="172" fontId="6" fillId="16" borderId="0" xfId="57" applyFont="1" applyFill="1" applyAlignment="1">
      <alignment horizontal="left" vertical="center"/>
    </xf>
    <xf numFmtId="165" fontId="41" fillId="16" borderId="0" xfId="64" applyNumberFormat="1" applyFont="1" applyFill="1" applyAlignment="1">
      <alignment horizontal="right" vertical="center"/>
    </xf>
    <xf numFmtId="175" fontId="6" fillId="0" borderId="0" xfId="14" applyNumberFormat="1" applyFont="1" applyAlignment="1">
      <alignment horizontal="center" vertical="center"/>
    </xf>
    <xf numFmtId="173" fontId="6" fillId="21" borderId="0" xfId="64" applyNumberFormat="1" applyFont="1" applyFill="1" applyAlignment="1">
      <alignment horizontal="center" vertical="center"/>
    </xf>
    <xf numFmtId="172" fontId="6" fillId="16" borderId="0" xfId="40" applyNumberFormat="1" applyFont="1" applyFill="1" applyAlignment="1">
      <alignment horizontal="center" vertical="center"/>
    </xf>
    <xf numFmtId="172" fontId="37" fillId="16" borderId="0" xfId="40" applyNumberFormat="1" applyFont="1" applyFill="1" applyAlignment="1">
      <alignment horizontal="center" vertical="center"/>
    </xf>
    <xf numFmtId="165" fontId="6" fillId="16" borderId="0" xfId="33" applyNumberFormat="1" applyFont="1" applyFill="1" applyAlignment="1">
      <alignment horizontal="left" vertical="center"/>
    </xf>
    <xf numFmtId="172" fontId="6" fillId="12" borderId="0" xfId="57" applyFont="1" applyFill="1">
      <alignment horizontal="center" vertical="center"/>
    </xf>
    <xf numFmtId="172" fontId="6" fillId="12" borderId="0" xfId="57" quotePrefix="1" applyFont="1" applyFill="1" applyAlignment="1">
      <alignment horizontal="left" vertical="center"/>
    </xf>
    <xf numFmtId="172" fontId="14" fillId="16" borderId="0" xfId="40" applyNumberFormat="1" applyFill="1" applyAlignment="1">
      <alignment horizontal="center" vertical="center"/>
    </xf>
    <xf numFmtId="165" fontId="6" fillId="16" borderId="0" xfId="102" applyNumberFormat="1" applyFont="1" applyFill="1" applyAlignment="1">
      <alignment horizontal="center" vertical="center"/>
    </xf>
    <xf numFmtId="172" fontId="42" fillId="12" borderId="0" xfId="57" applyFont="1" applyFill="1" applyAlignment="1">
      <alignment horizontal="left" vertical="center" wrapText="1"/>
    </xf>
    <xf numFmtId="176" fontId="6" fillId="16" borderId="0" xfId="102" applyNumberFormat="1" applyFont="1" applyFill="1" applyAlignment="1">
      <alignment horizontal="center" vertical="center"/>
    </xf>
    <xf numFmtId="177" fontId="1" fillId="16" borderId="1" xfId="103" applyNumberFormat="1" applyFont="1" applyFill="1" applyBorder="1"/>
    <xf numFmtId="166" fontId="1" fillId="16" borderId="1" xfId="28" applyNumberFormat="1" applyFont="1" applyFill="1" applyBorder="1"/>
    <xf numFmtId="177" fontId="34" fillId="16" borderId="1" xfId="103" applyNumberFormat="1" applyFont="1" applyFill="1" applyBorder="1"/>
    <xf numFmtId="166" fontId="34" fillId="16" borderId="1" xfId="28" applyNumberFormat="1" applyFont="1" applyFill="1" applyBorder="1"/>
    <xf numFmtId="166" fontId="1" fillId="0" borderId="1" xfId="103" applyNumberFormat="1" applyFont="1" applyBorder="1"/>
    <xf numFmtId="166" fontId="1" fillId="0" borderId="1" xfId="28" applyNumberFormat="1" applyFont="1" applyBorder="1"/>
    <xf numFmtId="166" fontId="34" fillId="16" borderId="1" xfId="103" applyNumberFormat="1" applyFont="1" applyFill="1" applyBorder="1"/>
    <xf numFmtId="166" fontId="1" fillId="0" borderId="1" xfId="90" applyNumberFormat="1" applyFont="1" applyBorder="1"/>
    <xf numFmtId="166" fontId="34" fillId="16" borderId="1" xfId="90" applyNumberFormat="1" applyFont="1" applyFill="1" applyBorder="1"/>
    <xf numFmtId="172" fontId="37" fillId="4" borderId="0" xfId="8" applyFont="1">
      <alignment horizontal="center" vertical="center"/>
    </xf>
    <xf numFmtId="173" fontId="6" fillId="17" borderId="0" xfId="57" applyNumberFormat="1" applyFont="1" applyFill="1" applyAlignment="1">
      <alignment horizontal="left" vertical="center" wrapText="1"/>
    </xf>
    <xf numFmtId="173" fontId="37" fillId="16" borderId="0" xfId="64" applyNumberFormat="1" applyFont="1" applyFill="1">
      <alignment vertical="center"/>
    </xf>
    <xf numFmtId="170" fontId="26" fillId="16" borderId="0" xfId="62" applyFont="1" applyFill="1" applyAlignment="1">
      <alignment horizontal="center" vertical="center" wrapText="1"/>
    </xf>
    <xf numFmtId="172" fontId="37" fillId="18" borderId="0" xfId="57" applyFont="1" applyFill="1" applyAlignment="1">
      <alignment horizontal="center" vertical="center" wrapText="1"/>
    </xf>
    <xf numFmtId="172" fontId="37" fillId="18" borderId="0" xfId="57" quotePrefix="1" applyFont="1" applyFill="1" applyAlignment="1">
      <alignment horizontal="left" vertical="center" wrapText="1"/>
    </xf>
    <xf numFmtId="172" fontId="6" fillId="17" borderId="0" xfId="57" applyFont="1" applyFill="1" applyAlignment="1">
      <alignment horizontal="center" vertical="center" wrapText="1"/>
    </xf>
    <xf numFmtId="172" fontId="6" fillId="17" borderId="0" xfId="57" quotePrefix="1" applyFont="1" applyFill="1" applyAlignment="1">
      <alignment horizontal="left" vertical="center" wrapText="1"/>
    </xf>
    <xf numFmtId="173" fontId="6" fillId="17" borderId="0" xfId="64" applyNumberFormat="1" applyFont="1" applyFill="1" applyAlignment="1">
      <alignment horizontal="center" vertical="center" wrapText="1"/>
    </xf>
    <xf numFmtId="165" fontId="37" fillId="16" borderId="0" xfId="64" applyNumberFormat="1" applyFont="1" applyFill="1">
      <alignment vertical="center"/>
    </xf>
    <xf numFmtId="170" fontId="38" fillId="16" borderId="0" xfId="62" applyFont="1" applyFill="1" applyAlignment="1">
      <alignment horizontal="left" vertical="center" wrapText="1"/>
    </xf>
    <xf numFmtId="165" fontId="8" fillId="16" borderId="0" xfId="33" applyNumberFormat="1" applyFont="1" applyFill="1" applyAlignment="1">
      <alignment horizontal="left" vertical="center"/>
    </xf>
    <xf numFmtId="165" fontId="37" fillId="16" borderId="0" xfId="64" applyNumberFormat="1" applyFont="1" applyFill="1" applyAlignment="1">
      <alignment horizontal="center"/>
    </xf>
    <xf numFmtId="173" fontId="6" fillId="16" borderId="0" xfId="109" applyNumberFormat="1" applyFont="1" applyFill="1" applyAlignment="1">
      <alignment horizontal="center" vertical="center"/>
    </xf>
    <xf numFmtId="172" fontId="6" fillId="16" borderId="0" xfId="110" applyFont="1" applyFill="1">
      <alignment horizontal="center" vertical="center"/>
    </xf>
    <xf numFmtId="167" fontId="37" fillId="16" borderId="0" xfId="64" applyNumberFormat="1" applyFont="1" applyFill="1">
      <alignment vertical="center"/>
    </xf>
    <xf numFmtId="166" fontId="1" fillId="0" borderId="0" xfId="74" applyNumberFormat="1" applyFont="1"/>
    <xf numFmtId="166" fontId="58" fillId="0" borderId="1" xfId="35" applyNumberFormat="1" applyFont="1" applyBorder="1" applyAlignment="1">
      <alignment horizontal="right" vertical="center" wrapText="1"/>
    </xf>
    <xf numFmtId="179" fontId="1" fillId="0" borderId="1" xfId="14" applyNumberFormat="1" applyFont="1" applyBorder="1"/>
    <xf numFmtId="166" fontId="34" fillId="0" borderId="1" xfId="28" applyNumberFormat="1" applyFont="1" applyBorder="1"/>
    <xf numFmtId="173" fontId="6" fillId="16" borderId="0" xfId="0" applyNumberFormat="1" applyFont="1" applyFill="1" applyAlignment="1">
      <alignment horizontal="center" vertical="center"/>
    </xf>
    <xf numFmtId="166" fontId="8" fillId="16" borderId="0" xfId="28" applyNumberFormat="1" applyFont="1" applyFill="1" applyAlignment="1">
      <alignment horizontal="center" vertical="center"/>
    </xf>
    <xf numFmtId="164" fontId="6" fillId="16" borderId="0" xfId="0" applyNumberFormat="1" applyFont="1" applyFill="1" applyAlignment="1">
      <alignment horizontal="center" vertical="center"/>
    </xf>
    <xf numFmtId="164" fontId="19" fillId="16" borderId="0" xfId="0" applyNumberFormat="1" applyFont="1" applyFill="1" applyAlignment="1">
      <alignment horizontal="center" vertical="center" wrapText="1"/>
    </xf>
    <xf numFmtId="164" fontId="17" fillId="16" borderId="0" xfId="0" applyNumberFormat="1" applyFont="1" applyFill="1" applyAlignment="1">
      <alignment horizontal="center" vertical="center" wrapText="1"/>
    </xf>
    <xf numFmtId="164" fontId="8" fillId="16" borderId="0" xfId="28" applyNumberFormat="1" applyFont="1" applyFill="1" applyAlignment="1">
      <alignment horizontal="center" vertical="center"/>
    </xf>
    <xf numFmtId="165" fontId="6" fillId="16" borderId="0" xfId="0" applyNumberFormat="1" applyFont="1" applyFill="1" applyAlignment="1">
      <alignment horizontal="center" vertical="center"/>
    </xf>
    <xf numFmtId="0" fontId="0" fillId="30" borderId="0" xfId="0" applyFill="1">
      <alignment vertical="center"/>
    </xf>
    <xf numFmtId="0" fontId="0" fillId="0" borderId="0" xfId="0" applyAlignment="1">
      <alignment wrapText="1"/>
    </xf>
    <xf numFmtId="0" fontId="37" fillId="16" borderId="0" xfId="59" applyFont="1" applyFill="1" applyAlignment="1">
      <alignment vertical="center"/>
    </xf>
    <xf numFmtId="0" fontId="37" fillId="17" borderId="0" xfId="64" applyFont="1" applyFill="1" applyAlignment="1" applyProtection="1">
      <alignment horizontal="center" vertical="center"/>
      <protection locked="0"/>
    </xf>
    <xf numFmtId="173" fontId="6" fillId="16" borderId="0" xfId="0" quotePrefix="1" applyNumberFormat="1" applyFont="1" applyFill="1" applyAlignment="1">
      <alignment horizontal="center" vertical="center"/>
    </xf>
    <xf numFmtId="0" fontId="0" fillId="16" borderId="0" xfId="57" applyNumberFormat="1" applyFont="1" applyFill="1" applyAlignment="1">
      <alignment horizontal="left" vertical="center" wrapText="1"/>
    </xf>
    <xf numFmtId="0" fontId="6" fillId="0" borderId="0" xfId="102" applyFont="1">
      <alignment vertical="center"/>
    </xf>
    <xf numFmtId="165" fontId="37" fillId="16" borderId="0" xfId="64" applyNumberFormat="1" applyFont="1" applyFill="1" applyAlignment="1">
      <alignment horizontal="center" vertical="center"/>
    </xf>
    <xf numFmtId="0" fontId="8" fillId="16" borderId="0" xfId="33" applyFont="1" applyFill="1" applyAlignment="1">
      <alignment horizontal="center" vertical="center"/>
    </xf>
    <xf numFmtId="1" fontId="37" fillId="16" borderId="0" xfId="64" applyNumberFormat="1" applyFont="1" applyFill="1" applyAlignment="1">
      <alignment horizontal="center" vertical="center"/>
    </xf>
    <xf numFmtId="0" fontId="37" fillId="16" borderId="0" xfId="64" applyFont="1" applyFill="1" applyAlignment="1">
      <alignment horizontal="right" vertical="center"/>
    </xf>
    <xf numFmtId="0" fontId="34" fillId="19" borderId="1" xfId="74" applyFont="1" applyFill="1" applyBorder="1" applyAlignment="1">
      <alignment horizontal="center" vertical="center" wrapText="1"/>
    </xf>
    <xf numFmtId="0" fontId="34" fillId="19" borderId="1" xfId="74" applyFont="1" applyFill="1" applyBorder="1" applyAlignment="1">
      <alignment horizontal="center" vertical="center"/>
    </xf>
    <xf numFmtId="11" fontId="1" fillId="19" borderId="1" xfId="74" applyNumberFormat="1" applyFont="1" applyFill="1" applyBorder="1"/>
    <xf numFmtId="0" fontId="34" fillId="17" borderId="1" xfId="74" applyFont="1" applyFill="1" applyBorder="1" applyAlignment="1">
      <alignment horizontal="center" vertical="center" wrapText="1"/>
    </xf>
    <xf numFmtId="0" fontId="34" fillId="17" borderId="1" xfId="74" applyFont="1" applyFill="1" applyBorder="1" applyAlignment="1">
      <alignment horizontal="center" vertical="center"/>
    </xf>
    <xf numFmtId="11" fontId="1" fillId="17" borderId="1" xfId="74" applyNumberFormat="1" applyFont="1" applyFill="1" applyBorder="1"/>
    <xf numFmtId="11" fontId="6" fillId="18" borderId="0" xfId="59" applyNumberFormat="1" applyFont="1" applyFill="1" applyAlignment="1">
      <alignment vertical="center"/>
    </xf>
    <xf numFmtId="43" fontId="59" fillId="0" borderId="0" xfId="14"/>
    <xf numFmtId="0" fontId="37" fillId="26" borderId="0" xfId="64" applyFont="1" applyFill="1">
      <alignment vertical="center"/>
    </xf>
    <xf numFmtId="1" fontId="37" fillId="18" borderId="0" xfId="64" applyNumberFormat="1" applyFont="1" applyFill="1" applyAlignment="1">
      <alignment horizontal="center" vertical="center"/>
    </xf>
    <xf numFmtId="0" fontId="0" fillId="16" borderId="0" xfId="57" applyNumberFormat="1" applyFont="1" applyFill="1">
      <alignment horizontal="center" vertical="center"/>
    </xf>
    <xf numFmtId="2" fontId="0" fillId="16" borderId="0" xfId="57" applyNumberFormat="1" applyFont="1" applyFill="1">
      <alignment horizontal="center" vertical="center"/>
    </xf>
    <xf numFmtId="0" fontId="37" fillId="18" borderId="0" xfId="64" applyFont="1" applyFill="1" applyAlignment="1" applyProtection="1">
      <alignment horizontal="center" vertical="center" wrapText="1"/>
      <protection locked="0"/>
    </xf>
    <xf numFmtId="0" fontId="37" fillId="18" borderId="0" xfId="64" applyFont="1" applyFill="1" applyAlignment="1" applyProtection="1">
      <alignment horizontal="center" vertical="center"/>
      <protection locked="0"/>
    </xf>
    <xf numFmtId="172" fontId="37" fillId="18" borderId="0" xfId="57" applyFont="1" applyFill="1" applyAlignment="1">
      <alignment horizontal="left" vertical="center" wrapText="1"/>
    </xf>
    <xf numFmtId="0" fontId="0" fillId="16" borderId="0" xfId="57" applyNumberFormat="1" applyFont="1" applyFill="1" applyAlignment="1">
      <alignment horizontal="left" vertical="center"/>
    </xf>
    <xf numFmtId="172" fontId="37" fillId="18" borderId="0" xfId="57" applyFont="1" applyFill="1" applyAlignment="1">
      <alignment horizontal="left" vertical="center"/>
    </xf>
    <xf numFmtId="0" fontId="37" fillId="18" borderId="0" xfId="57" applyNumberFormat="1" applyFont="1" applyFill="1">
      <alignment horizontal="center" vertical="center"/>
    </xf>
    <xf numFmtId="0" fontId="6" fillId="17" borderId="0" xfId="64" applyFont="1" applyFill="1" applyAlignment="1" applyProtection="1">
      <alignment horizontal="center" vertical="center"/>
      <protection locked="0"/>
    </xf>
    <xf numFmtId="9" fontId="59" fillId="0" borderId="0" xfId="28"/>
    <xf numFmtId="0" fontId="6" fillId="26" borderId="0" xfId="64" applyFont="1" applyFill="1" applyAlignment="1">
      <alignment horizontal="center" vertical="center" wrapText="1"/>
    </xf>
    <xf numFmtId="0" fontId="37" fillId="26" borderId="0" xfId="64" applyFont="1" applyFill="1" applyAlignment="1">
      <alignment horizontal="left" vertical="center" wrapText="1"/>
    </xf>
    <xf numFmtId="165" fontId="37" fillId="16" borderId="0" xfId="64" applyNumberFormat="1" applyFont="1" applyFill="1" applyAlignment="1">
      <alignment horizontal="right" vertical="center"/>
    </xf>
    <xf numFmtId="0" fontId="0" fillId="13" borderId="0" xfId="33" applyFont="1" applyFill="1" applyAlignment="1">
      <alignment horizontal="left" vertical="center"/>
    </xf>
    <xf numFmtId="170" fontId="0" fillId="16" borderId="0" xfId="62" applyFont="1" applyFill="1" applyAlignment="1">
      <alignment horizontal="center" vertical="center" textRotation="90" wrapText="1"/>
    </xf>
    <xf numFmtId="170" fontId="0" fillId="16" borderId="0" xfId="62" applyFont="1" applyFill="1" applyAlignment="1">
      <alignment horizontal="left" vertical="center" wrapText="1"/>
    </xf>
    <xf numFmtId="10" fontId="37" fillId="17" borderId="0" xfId="64" applyNumberFormat="1" applyFont="1" applyFill="1" applyAlignment="1">
      <alignment horizontal="center" vertical="center"/>
    </xf>
    <xf numFmtId="2" fontId="37" fillId="16" borderId="0" xfId="102" applyNumberFormat="1" applyFont="1" applyFill="1">
      <alignment vertical="center"/>
    </xf>
    <xf numFmtId="2" fontId="37" fillId="16" borderId="0" xfId="33" applyNumberFormat="1" applyFont="1" applyFill="1" applyAlignment="1">
      <alignment horizontal="left" vertical="center"/>
    </xf>
    <xf numFmtId="2" fontId="0" fillId="16" borderId="0" xfId="102" applyNumberFormat="1" applyFont="1" applyFill="1" applyAlignment="1"/>
    <xf numFmtId="0" fontId="0" fillId="16" borderId="0" xfId="102" applyFont="1" applyFill="1" applyAlignment="1"/>
    <xf numFmtId="10" fontId="37" fillId="16" borderId="0" xfId="102" applyNumberFormat="1" applyFont="1" applyFill="1">
      <alignment vertical="center"/>
    </xf>
    <xf numFmtId="1" fontId="37" fillId="16" borderId="0" xfId="102" applyNumberFormat="1" applyFont="1" applyFill="1" applyAlignment="1">
      <alignment vertical="top"/>
    </xf>
    <xf numFmtId="1" fontId="37" fillId="16" borderId="0" xfId="33" applyNumberFormat="1" applyFont="1" applyFill="1" applyAlignment="1">
      <alignment horizontal="left" vertical="center"/>
    </xf>
    <xf numFmtId="1" fontId="0" fillId="16" borderId="0" xfId="102" applyNumberFormat="1" applyFont="1" applyFill="1">
      <alignment vertical="center"/>
    </xf>
    <xf numFmtId="1" fontId="37" fillId="16" borderId="0" xfId="102" applyNumberFormat="1" applyFont="1" applyFill="1">
      <alignment vertical="center"/>
    </xf>
    <xf numFmtId="170" fontId="41" fillId="16" borderId="0" xfId="62" applyFont="1" applyFill="1" applyAlignment="1">
      <alignment horizontal="left" vertical="top"/>
    </xf>
    <xf numFmtId="10" fontId="37" fillId="17" borderId="0" xfId="28" applyNumberFormat="1" applyFont="1" applyFill="1" applyAlignment="1">
      <alignment horizontal="center" vertical="center"/>
    </xf>
    <xf numFmtId="10" fontId="37" fillId="17" borderId="0" xfId="57" applyNumberFormat="1" applyFont="1" applyFill="1" applyAlignment="1">
      <alignment horizontal="left" vertical="center" wrapText="1"/>
    </xf>
    <xf numFmtId="0" fontId="62" fillId="16" borderId="0" xfId="57" applyNumberFormat="1" applyFont="1" applyFill="1" applyAlignment="1">
      <alignment horizontal="left" vertical="top"/>
    </xf>
    <xf numFmtId="49" fontId="37" fillId="17" borderId="0" xfId="57" applyNumberFormat="1" applyFont="1" applyFill="1">
      <alignment horizontal="center" vertical="center"/>
    </xf>
    <xf numFmtId="49" fontId="37" fillId="17" borderId="0" xfId="57" applyNumberFormat="1" applyFont="1" applyFill="1" applyAlignment="1">
      <alignment horizontal="left" vertical="center" wrapText="1"/>
    </xf>
    <xf numFmtId="49" fontId="0" fillId="0" borderId="0" xfId="0" applyNumberFormat="1">
      <alignment vertical="center"/>
    </xf>
    <xf numFmtId="49" fontId="37" fillId="17" borderId="0" xfId="64" applyNumberFormat="1" applyFont="1" applyFill="1" applyAlignment="1">
      <alignment vertical="center" wrapText="1"/>
    </xf>
    <xf numFmtId="49" fontId="19" fillId="17" borderId="0" xfId="64" applyNumberFormat="1" applyFont="1" applyFill="1" applyAlignment="1">
      <alignment horizontal="left" vertical="center"/>
    </xf>
    <xf numFmtId="49" fontId="6" fillId="17" borderId="0" xfId="64" quotePrefix="1" applyNumberFormat="1" applyFont="1" applyFill="1" applyAlignment="1" applyProtection="1">
      <alignment horizontal="center" vertical="center"/>
      <protection locked="0"/>
    </xf>
    <xf numFmtId="49" fontId="6" fillId="17" borderId="0" xfId="64" applyNumberFormat="1" applyFont="1" applyFill="1" applyAlignment="1" applyProtection="1">
      <alignment horizontal="center" vertical="center" wrapText="1"/>
      <protection locked="0"/>
    </xf>
    <xf numFmtId="49" fontId="6" fillId="17" borderId="0" xfId="57" applyNumberFormat="1" applyFont="1" applyFill="1" applyAlignment="1">
      <alignment horizontal="left" vertical="center" wrapText="1"/>
    </xf>
    <xf numFmtId="49" fontId="6" fillId="17" borderId="0" xfId="57" applyNumberFormat="1" applyFont="1" applyFill="1">
      <alignment horizontal="center" vertical="center"/>
    </xf>
    <xf numFmtId="49" fontId="6" fillId="17" borderId="0" xfId="57" quotePrefix="1" applyNumberFormat="1" applyFont="1" applyFill="1" applyAlignment="1">
      <alignment horizontal="left" vertical="center"/>
    </xf>
    <xf numFmtId="49" fontId="6" fillId="17" borderId="0" xfId="57" quotePrefix="1" applyNumberFormat="1" applyFont="1" applyFill="1">
      <alignment horizontal="center" vertical="center"/>
    </xf>
    <xf numFmtId="49" fontId="6" fillId="17" borderId="0" xfId="64" applyNumberFormat="1" applyFont="1" applyFill="1" applyAlignment="1">
      <alignment horizontal="center" vertical="center"/>
    </xf>
    <xf numFmtId="49" fontId="39" fillId="16" borderId="0" xfId="57" applyNumberFormat="1" applyFont="1" applyFill="1" applyAlignment="1">
      <alignment horizontal="left" vertical="top"/>
    </xf>
    <xf numFmtId="49" fontId="37" fillId="17" borderId="0" xfId="64" applyNumberFormat="1" applyFont="1" applyFill="1">
      <alignment vertical="center"/>
    </xf>
    <xf numFmtId="49" fontId="6" fillId="16" borderId="0" xfId="102" applyNumberFormat="1" applyFont="1" applyFill="1">
      <alignment vertical="center"/>
    </xf>
    <xf numFmtId="49" fontId="6" fillId="16" borderId="0" xfId="59" applyNumberFormat="1" applyFont="1" applyFill="1" applyAlignment="1">
      <alignment vertical="center"/>
    </xf>
    <xf numFmtId="49" fontId="6" fillId="16" borderId="0" xfId="57" applyNumberFormat="1" applyFont="1" applyFill="1" applyAlignment="1">
      <alignment horizontal="left" vertical="top"/>
    </xf>
    <xf numFmtId="0" fontId="37" fillId="16" borderId="0" xfId="57" applyNumberFormat="1" applyFont="1" applyFill="1">
      <alignment horizontal="center" vertical="center"/>
    </xf>
    <xf numFmtId="2" fontId="37" fillId="16" borderId="0" xfId="57" applyNumberFormat="1" applyFont="1" applyFill="1">
      <alignment horizontal="center" vertical="center"/>
    </xf>
    <xf numFmtId="0" fontId="37" fillId="16" borderId="0" xfId="33" applyFont="1" applyFill="1">
      <alignment horizontal="left" vertical="center" wrapText="1"/>
    </xf>
    <xf numFmtId="0" fontId="37" fillId="16" borderId="0" xfId="102" applyFont="1" applyFill="1" applyAlignment="1">
      <alignment vertical="center" wrapText="1"/>
    </xf>
    <xf numFmtId="192" fontId="6" fillId="16" borderId="0" xfId="102" applyNumberFormat="1" applyFont="1" applyFill="1">
      <alignment vertical="center"/>
    </xf>
    <xf numFmtId="0" fontId="69" fillId="14" borderId="1" xfId="0" applyFont="1" applyFill="1" applyBorder="1" applyAlignment="1">
      <alignment vertical="center" wrapText="1"/>
    </xf>
    <xf numFmtId="0" fontId="69" fillId="14" borderId="10" xfId="0" applyFont="1" applyFill="1" applyBorder="1" applyAlignment="1">
      <alignment horizontal="left" vertical="center"/>
    </xf>
    <xf numFmtId="0" fontId="69" fillId="14" borderId="8" xfId="0" applyFont="1" applyFill="1" applyBorder="1" applyAlignment="1">
      <alignment horizontal="left" vertical="center" wrapText="1"/>
    </xf>
    <xf numFmtId="10" fontId="69" fillId="14" borderId="1" xfId="0" applyNumberFormat="1" applyFont="1" applyFill="1" applyBorder="1">
      <alignment vertical="center"/>
    </xf>
    <xf numFmtId="0" fontId="31" fillId="0" borderId="1" xfId="0" applyFont="1" applyBorder="1" applyAlignment="1">
      <alignment vertical="center" wrapText="1"/>
    </xf>
    <xf numFmtId="10" fontId="31" fillId="0" borderId="1" xfId="0" applyNumberFormat="1" applyFont="1" applyBorder="1">
      <alignment vertical="center"/>
    </xf>
    <xf numFmtId="0" fontId="69" fillId="14" borderId="4" xfId="0" applyFont="1" applyFill="1" applyBorder="1" applyAlignment="1">
      <alignment horizontal="center" vertical="center" textRotation="90"/>
    </xf>
    <xf numFmtId="0" fontId="31" fillId="0" borderId="1" xfId="0" applyFont="1" applyBorder="1" applyAlignment="1">
      <alignment horizontal="left" vertical="center"/>
    </xf>
    <xf numFmtId="0" fontId="31" fillId="0" borderId="8" xfId="0" applyFont="1" applyBorder="1" applyAlignment="1">
      <alignment vertical="center" wrapText="1"/>
    </xf>
    <xf numFmtId="9" fontId="69" fillId="14" borderId="1" xfId="0" applyNumberFormat="1" applyFont="1" applyFill="1" applyBorder="1">
      <alignment vertical="center"/>
    </xf>
    <xf numFmtId="166" fontId="69" fillId="14" borderId="1" xfId="0" applyNumberFormat="1" applyFont="1" applyFill="1" applyBorder="1">
      <alignment vertical="center"/>
    </xf>
    <xf numFmtId="165" fontId="69" fillId="14" borderId="1" xfId="0" applyNumberFormat="1" applyFont="1" applyFill="1" applyBorder="1">
      <alignment vertical="center"/>
    </xf>
    <xf numFmtId="1" fontId="69" fillId="14" borderId="1" xfId="0" applyNumberFormat="1" applyFont="1" applyFill="1" applyBorder="1">
      <alignment vertical="center"/>
    </xf>
    <xf numFmtId="0" fontId="69" fillId="14" borderId="5" xfId="0" applyFont="1" applyFill="1" applyBorder="1" applyAlignment="1">
      <alignment vertical="center" wrapText="1"/>
    </xf>
    <xf numFmtId="0" fontId="69" fillId="16" borderId="14" xfId="0" applyFont="1" applyFill="1" applyBorder="1" applyAlignment="1">
      <alignment vertical="center" wrapText="1"/>
    </xf>
    <xf numFmtId="2" fontId="31" fillId="0" borderId="14" xfId="0" applyNumberFormat="1" applyFont="1" applyBorder="1" applyAlignment="1"/>
    <xf numFmtId="0" fontId="69" fillId="16" borderId="1" xfId="0" applyFont="1" applyFill="1" applyBorder="1" applyAlignment="1">
      <alignment vertical="center" wrapText="1"/>
    </xf>
    <xf numFmtId="2" fontId="31" fillId="0" borderId="1" xfId="0" applyNumberFormat="1" applyFont="1" applyBorder="1" applyAlignment="1"/>
    <xf numFmtId="2" fontId="31" fillId="0" borderId="1" xfId="0" applyNumberFormat="1" applyFont="1" applyBorder="1" applyAlignment="1">
      <alignment horizontal="right"/>
    </xf>
    <xf numFmtId="0" fontId="69" fillId="16" borderId="15" xfId="0" applyFont="1" applyFill="1" applyBorder="1" applyAlignment="1">
      <alignment vertical="center" wrapText="1"/>
    </xf>
    <xf numFmtId="2" fontId="31" fillId="0" borderId="15" xfId="0" applyNumberFormat="1" applyFont="1" applyBorder="1" applyAlignment="1"/>
    <xf numFmtId="0" fontId="69" fillId="14" borderId="3" xfId="0" applyFont="1" applyFill="1" applyBorder="1" applyAlignment="1">
      <alignment vertical="center" wrapText="1"/>
    </xf>
    <xf numFmtId="2" fontId="69" fillId="14" borderId="3" xfId="0" applyNumberFormat="1" applyFont="1" applyFill="1" applyBorder="1">
      <alignment vertical="center"/>
    </xf>
    <xf numFmtId="2" fontId="69" fillId="14" borderId="1" xfId="0" applyNumberFormat="1" applyFont="1" applyFill="1" applyBorder="1">
      <alignment vertical="center"/>
    </xf>
    <xf numFmtId="10" fontId="31" fillId="0" borderId="14" xfId="28" applyNumberFormat="1" applyFont="1" applyBorder="1"/>
    <xf numFmtId="10" fontId="31" fillId="0" borderId="1" xfId="28" applyNumberFormat="1" applyFont="1" applyBorder="1"/>
    <xf numFmtId="10" fontId="31" fillId="0" borderId="1" xfId="28" applyNumberFormat="1" applyFont="1" applyBorder="1" applyAlignment="1">
      <alignment horizontal="right"/>
    </xf>
    <xf numFmtId="10" fontId="31" fillId="0" borderId="15" xfId="28" applyNumberFormat="1" applyFont="1" applyBorder="1"/>
    <xf numFmtId="0" fontId="5" fillId="0" borderId="0" xfId="40" applyFont="1" applyAlignment="1">
      <alignment horizontal="left"/>
    </xf>
    <xf numFmtId="0" fontId="14" fillId="14" borderId="0" xfId="40" applyFill="1" applyAlignment="1">
      <alignment vertical="center" wrapText="1"/>
    </xf>
    <xf numFmtId="0" fontId="6" fillId="14" borderId="0" xfId="40" applyFont="1" applyFill="1" applyAlignment="1">
      <alignment vertical="center" wrapText="1"/>
    </xf>
    <xf numFmtId="0" fontId="14" fillId="18" borderId="0" xfId="7" applyFill="1">
      <alignment horizontal="center" vertical="center" wrapText="1"/>
    </xf>
    <xf numFmtId="172" fontId="6" fillId="18" borderId="0" xfId="50" applyFont="1" applyFill="1" applyAlignment="1">
      <alignment horizontal="left" vertical="center"/>
    </xf>
    <xf numFmtId="172" fontId="6" fillId="18" borderId="0" xfId="50" applyFont="1" applyFill="1">
      <alignment horizontal="center" vertical="center"/>
    </xf>
    <xf numFmtId="172" fontId="8" fillId="18" borderId="0" xfId="50" applyFont="1" applyFill="1" applyAlignment="1">
      <alignment horizontal="left" vertical="center"/>
    </xf>
    <xf numFmtId="0" fontId="6" fillId="18" borderId="0" xfId="50" quotePrefix="1" applyNumberFormat="1" applyFont="1" applyFill="1">
      <alignment horizontal="center" vertical="center"/>
    </xf>
    <xf numFmtId="170" fontId="8" fillId="0" borderId="0" xfId="42" applyFont="1" applyAlignment="1">
      <alignment horizontal="center" vertical="center" textRotation="90" wrapText="1"/>
    </xf>
    <xf numFmtId="170" fontId="8" fillId="0" borderId="0" xfId="42" applyFont="1" applyAlignment="1">
      <alignment horizontal="left" vertical="center" wrapText="1"/>
    </xf>
    <xf numFmtId="170" fontId="26" fillId="0" borderId="0" xfId="42" applyFont="1" applyAlignment="1">
      <alignment horizontal="center" vertical="center" wrapText="1"/>
    </xf>
    <xf numFmtId="170" fontId="26" fillId="0" borderId="0" xfId="42" applyFont="1" applyAlignment="1">
      <alignment horizontal="left" vertical="center" wrapText="1"/>
    </xf>
    <xf numFmtId="170" fontId="6" fillId="18" borderId="0" xfId="43" applyFont="1" applyFill="1" applyAlignment="1">
      <alignment horizontal="center" vertical="center" wrapText="1"/>
    </xf>
    <xf numFmtId="0" fontId="6" fillId="18" borderId="0" xfId="33" applyFont="1" applyFill="1" applyAlignment="1">
      <alignment horizontal="center" vertical="center"/>
    </xf>
    <xf numFmtId="0" fontId="0" fillId="13" borderId="0" xfId="0" applyFill="1" applyAlignment="1">
      <alignment horizontal="left" vertical="center" wrapText="1"/>
    </xf>
    <xf numFmtId="0" fontId="14" fillId="13" borderId="0" xfId="40" applyFill="1" applyAlignment="1">
      <alignment horizontal="left" vertical="center"/>
    </xf>
    <xf numFmtId="0" fontId="14" fillId="17" borderId="0" xfId="40" applyFill="1">
      <alignment vertical="center"/>
    </xf>
    <xf numFmtId="0" fontId="19" fillId="17" borderId="0" xfId="33" applyFont="1" applyFill="1">
      <alignment horizontal="left" vertical="center" wrapText="1"/>
    </xf>
    <xf numFmtId="0" fontId="19" fillId="17" borderId="0" xfId="33" applyFont="1" applyFill="1" applyAlignment="1">
      <alignment horizontal="center" vertical="center" wrapText="1"/>
    </xf>
    <xf numFmtId="0" fontId="6" fillId="17" borderId="0" xfId="40" applyFont="1" applyFill="1">
      <alignment vertical="center"/>
    </xf>
    <xf numFmtId="0" fontId="19" fillId="17" borderId="0" xfId="33" applyFont="1" applyFill="1" applyAlignment="1">
      <alignment vertical="center" wrapText="1"/>
    </xf>
    <xf numFmtId="0" fontId="14" fillId="17" borderId="0" xfId="40" applyFill="1" applyAlignment="1">
      <alignment vertical="center" wrapText="1"/>
    </xf>
    <xf numFmtId="0" fontId="6" fillId="17" borderId="0" xfId="33" applyFont="1" applyFill="1" applyAlignment="1">
      <alignment horizontal="right" vertical="center" wrapText="1"/>
    </xf>
    <xf numFmtId="0" fontId="6" fillId="17" borderId="0" xfId="33" applyFont="1" applyFill="1">
      <alignment horizontal="left" vertical="center" wrapText="1"/>
    </xf>
    <xf numFmtId="170" fontId="19" fillId="17" borderId="0" xfId="43" applyFont="1" applyFill="1" applyAlignment="1">
      <alignment horizontal="center" vertical="center" wrapText="1"/>
    </xf>
    <xf numFmtId="170" fontId="19" fillId="17" borderId="0" xfId="42" applyFont="1" applyFill="1" applyAlignment="1">
      <alignment horizontal="center" vertical="center" wrapText="1"/>
    </xf>
    <xf numFmtId="170" fontId="19" fillId="17" borderId="0" xfId="42" applyFont="1" applyFill="1" applyAlignment="1">
      <alignment horizontal="left" vertical="center" wrapText="1"/>
    </xf>
    <xf numFmtId="0" fontId="6" fillId="17" borderId="0" xfId="40" applyFont="1" applyFill="1" applyAlignment="1">
      <alignment vertical="center" wrapText="1"/>
    </xf>
    <xf numFmtId="0" fontId="6" fillId="17" borderId="11" xfId="40" applyFont="1" applyFill="1" applyBorder="1" applyAlignment="1">
      <alignment vertical="center" wrapText="1"/>
    </xf>
    <xf numFmtId="0" fontId="6" fillId="17" borderId="0" xfId="33" applyFont="1" applyFill="1" applyAlignment="1">
      <alignment vertical="center" wrapText="1"/>
    </xf>
    <xf numFmtId="0" fontId="8" fillId="13" borderId="0" xfId="33" applyFont="1" applyFill="1" applyAlignment="1">
      <alignment horizontal="center" vertical="center"/>
    </xf>
    <xf numFmtId="0" fontId="19" fillId="17" borderId="0" xfId="40" applyFont="1" applyFill="1" applyAlignment="1">
      <alignment horizontal="left" vertical="center"/>
    </xf>
    <xf numFmtId="0" fontId="19" fillId="17" borderId="0" xfId="33" applyFont="1" applyFill="1" applyAlignment="1">
      <alignment horizontal="left" vertical="center"/>
    </xf>
    <xf numFmtId="0" fontId="19" fillId="17" borderId="0" xfId="33" applyFont="1" applyFill="1" applyAlignment="1">
      <alignment horizontal="center" vertical="center"/>
    </xf>
    <xf numFmtId="0" fontId="14" fillId="17" borderId="0" xfId="40" applyFill="1" applyAlignment="1">
      <alignment horizontal="center" vertical="center" wrapText="1"/>
    </xf>
    <xf numFmtId="0" fontId="14" fillId="17" borderId="0" xfId="40" applyFill="1" applyAlignment="1">
      <alignment horizontal="center" vertical="center"/>
    </xf>
    <xf numFmtId="172" fontId="6" fillId="17" borderId="0" xfId="50" applyFont="1" applyFill="1" applyAlignment="1">
      <alignment horizontal="left" vertical="center" wrapText="1"/>
    </xf>
    <xf numFmtId="172" fontId="6" fillId="17" borderId="0" xfId="50" applyFont="1" applyFill="1">
      <alignment horizontal="center" vertical="center"/>
    </xf>
    <xf numFmtId="172" fontId="5" fillId="17" borderId="0" xfId="50" quotePrefix="1" applyFont="1" applyFill="1" applyAlignment="1">
      <alignment horizontal="left" vertical="center"/>
    </xf>
    <xf numFmtId="172" fontId="6" fillId="17" borderId="0" xfId="50" quotePrefix="1" applyFont="1" applyFill="1" applyAlignment="1">
      <alignment horizontal="left" vertical="center"/>
    </xf>
    <xf numFmtId="0" fontId="6" fillId="17" borderId="0" xfId="50" quotePrefix="1" applyNumberFormat="1" applyFont="1" applyFill="1">
      <alignment horizontal="center" vertical="center"/>
    </xf>
    <xf numFmtId="0" fontId="8" fillId="17" borderId="0" xfId="50" applyNumberFormat="1" applyFont="1" applyFill="1">
      <alignment horizontal="center" vertical="center"/>
    </xf>
    <xf numFmtId="2" fontId="8" fillId="17" borderId="0" xfId="50" applyNumberFormat="1" applyFont="1" applyFill="1">
      <alignment horizontal="center" vertical="center"/>
    </xf>
    <xf numFmtId="0" fontId="8" fillId="17" borderId="0" xfId="50" applyNumberFormat="1" applyFont="1" applyFill="1" applyAlignment="1">
      <alignment horizontal="left" vertical="center" wrapText="1"/>
    </xf>
    <xf numFmtId="0" fontId="6" fillId="17" borderId="0" xfId="40" applyFont="1" applyFill="1" applyAlignment="1">
      <alignment horizontal="center" vertical="center"/>
    </xf>
    <xf numFmtId="0" fontId="14" fillId="17" borderId="0" xfId="43" applyNumberFormat="1" applyFill="1" applyAlignment="1">
      <alignment horizontal="center" vertical="center" wrapText="1"/>
    </xf>
    <xf numFmtId="0" fontId="6" fillId="17" borderId="0" xfId="33" applyFont="1" applyFill="1" applyAlignment="1">
      <alignment horizontal="center" vertical="center"/>
    </xf>
    <xf numFmtId="0" fontId="14" fillId="18" borderId="0" xfId="40" applyFill="1" applyAlignment="1">
      <alignment horizontal="center" vertical="center" wrapText="1"/>
    </xf>
    <xf numFmtId="0" fontId="14" fillId="18" borderId="0" xfId="40" applyFill="1" applyAlignment="1">
      <alignment horizontal="left" vertical="center"/>
    </xf>
    <xf numFmtId="0" fontId="14" fillId="18" borderId="0" xfId="40" applyFill="1" applyAlignment="1">
      <alignment horizontal="left"/>
    </xf>
    <xf numFmtId="0" fontId="14" fillId="18" borderId="0" xfId="40" applyFill="1" applyAlignment="1">
      <alignment horizontal="center"/>
    </xf>
    <xf numFmtId="0" fontId="24" fillId="18" borderId="0" xfId="40" applyFont="1" applyFill="1" applyAlignment="1">
      <alignment horizontal="center" vertical="top" wrapText="1"/>
    </xf>
    <xf numFmtId="0" fontId="14" fillId="18" borderId="0" xfId="40" applyFill="1" applyAlignment="1">
      <alignment horizontal="center" vertical="center"/>
    </xf>
    <xf numFmtId="0" fontId="5" fillId="19" borderId="0" xfId="40" applyFont="1" applyFill="1" applyAlignment="1">
      <alignment horizontal="center" vertical="center" wrapText="1"/>
    </xf>
    <xf numFmtId="0" fontId="14" fillId="19" borderId="0" xfId="40" applyFill="1" applyAlignment="1">
      <alignment horizontal="center" vertical="center" wrapText="1"/>
    </xf>
    <xf numFmtId="0" fontId="14" fillId="19" borderId="0" xfId="40" applyFill="1" applyAlignment="1">
      <alignment horizontal="center"/>
    </xf>
    <xf numFmtId="2" fontId="14" fillId="19" borderId="0" xfId="40" applyNumberFormat="1" applyFill="1" applyAlignment="1">
      <alignment horizontal="center"/>
    </xf>
    <xf numFmtId="171" fontId="14" fillId="19" borderId="0" xfId="40" applyNumberFormat="1" applyFill="1" applyAlignment="1">
      <alignment horizontal="center"/>
    </xf>
    <xf numFmtId="0" fontId="14" fillId="19" borderId="0" xfId="40" applyFill="1" applyAlignment="1">
      <alignment horizontal="center" vertical="center"/>
    </xf>
    <xf numFmtId="0" fontId="6" fillId="19" borderId="0" xfId="0" applyFont="1" applyFill="1" applyAlignment="1">
      <alignment horizontal="center" vertical="center"/>
    </xf>
    <xf numFmtId="2" fontId="5" fillId="19" borderId="0" xfId="40" applyNumberFormat="1" applyFont="1" applyFill="1" applyAlignment="1">
      <alignment horizontal="center" vertical="center"/>
    </xf>
    <xf numFmtId="0" fontId="5" fillId="19" borderId="0" xfId="40" applyFont="1" applyFill="1" applyAlignment="1">
      <alignment horizontal="center"/>
    </xf>
    <xf numFmtId="0" fontId="14" fillId="19" borderId="0" xfId="40" applyFill="1">
      <alignment vertical="center"/>
    </xf>
    <xf numFmtId="2" fontId="5" fillId="19" borderId="0" xfId="40" applyNumberFormat="1" applyFont="1" applyFill="1" applyAlignment="1">
      <alignment horizontal="center"/>
    </xf>
    <xf numFmtId="2" fontId="14" fillId="19" borderId="0" xfId="40" applyNumberFormat="1" applyFill="1">
      <alignment vertical="center"/>
    </xf>
    <xf numFmtId="0" fontId="14" fillId="18" borderId="0" xfId="40" applyFill="1" applyAlignment="1">
      <alignment horizontal="center" vertical="center" textRotation="90" wrapText="1"/>
    </xf>
    <xf numFmtId="0" fontId="5" fillId="19" borderId="0" xfId="40" applyFont="1" applyFill="1" applyAlignment="1">
      <alignment horizontal="center" vertical="center" textRotation="90" wrapText="1"/>
    </xf>
    <xf numFmtId="0" fontId="14" fillId="19" borderId="0" xfId="40" applyFill="1" applyAlignment="1">
      <alignment horizontal="center" vertical="center" textRotation="90"/>
    </xf>
    <xf numFmtId="0" fontId="6" fillId="17" borderId="13" xfId="40" applyFont="1" applyFill="1" applyBorder="1" applyAlignment="1">
      <alignment vertical="center" wrapText="1"/>
    </xf>
    <xf numFmtId="0" fontId="6" fillId="18" borderId="0" xfId="40" applyFont="1" applyFill="1" applyAlignment="1">
      <alignment horizontal="center" vertical="center" wrapText="1"/>
    </xf>
    <xf numFmtId="0" fontId="23" fillId="18" borderId="0" xfId="40" applyFont="1" applyFill="1" applyAlignment="1">
      <alignment vertical="top" wrapText="1"/>
    </xf>
    <xf numFmtId="0" fontId="23" fillId="18" borderId="0" xfId="40" applyFont="1" applyFill="1" applyAlignment="1">
      <alignment vertical="top"/>
    </xf>
    <xf numFmtId="0" fontId="5" fillId="18" borderId="0" xfId="40" applyFont="1" applyFill="1" applyAlignment="1">
      <alignment horizontal="center" vertical="center" wrapText="1"/>
    </xf>
    <xf numFmtId="0" fontId="14" fillId="14" borderId="0" xfId="40" applyFill="1" applyAlignment="1">
      <alignment horizontal="center" vertical="center"/>
    </xf>
    <xf numFmtId="0" fontId="23" fillId="14" borderId="0" xfId="40" applyFont="1" applyFill="1" applyAlignment="1">
      <alignment vertical="top"/>
    </xf>
    <xf numFmtId="0" fontId="39" fillId="14" borderId="0" xfId="40" applyFont="1" applyFill="1" applyAlignment="1">
      <alignment vertical="center" wrapText="1"/>
    </xf>
    <xf numFmtId="0" fontId="62" fillId="12" borderId="0" xfId="64" applyFont="1" applyFill="1" applyAlignment="1">
      <alignment vertical="center" wrapText="1"/>
    </xf>
    <xf numFmtId="0" fontId="62" fillId="17" borderId="0" xfId="64" applyFont="1" applyFill="1" applyAlignment="1">
      <alignment vertical="center" wrapText="1"/>
    </xf>
    <xf numFmtId="173" fontId="37" fillId="17" borderId="0" xfId="64" applyNumberFormat="1" applyFont="1" applyFill="1" applyAlignment="1">
      <alignment horizontal="left" vertical="center" wrapText="1"/>
    </xf>
    <xf numFmtId="173" fontId="6" fillId="17" borderId="0" xfId="64" applyNumberFormat="1" applyFont="1" applyFill="1" applyAlignment="1">
      <alignment horizontal="left" vertical="center" wrapText="1"/>
    </xf>
    <xf numFmtId="173" fontId="63" fillId="17" borderId="0" xfId="64" applyNumberFormat="1" applyFont="1" applyFill="1" applyAlignment="1">
      <alignment horizontal="left" vertical="center" wrapText="1"/>
    </xf>
    <xf numFmtId="0" fontId="6" fillId="13" borderId="0" xfId="33" applyFont="1" applyFill="1" applyAlignment="1">
      <alignment horizontal="left" vertical="center"/>
    </xf>
    <xf numFmtId="0" fontId="6" fillId="13" borderId="0" xfId="33" applyFont="1" applyFill="1" applyAlignment="1">
      <alignment horizontal="center" vertical="center"/>
    </xf>
    <xf numFmtId="0" fontId="6" fillId="18" borderId="0" xfId="33" applyFont="1" applyFill="1" applyAlignment="1">
      <alignment horizontal="left" vertical="center"/>
    </xf>
    <xf numFmtId="0" fontId="42" fillId="28" borderId="0" xfId="102" applyFont="1" applyFill="1" applyAlignment="1">
      <alignment vertical="center" wrapText="1"/>
    </xf>
    <xf numFmtId="173" fontId="42" fillId="16" borderId="0" xfId="64" applyNumberFormat="1" applyFont="1" applyFill="1" applyAlignment="1">
      <alignment horizontal="center" vertical="center"/>
    </xf>
    <xf numFmtId="173" fontId="37" fillId="17" borderId="0" xfId="64" quotePrefix="1" applyNumberFormat="1" applyFont="1" applyFill="1" applyAlignment="1">
      <alignment horizontal="left" vertical="center" wrapText="1"/>
    </xf>
    <xf numFmtId="0" fontId="5" fillId="18" borderId="0" xfId="40" applyFont="1" applyFill="1" applyAlignment="1">
      <alignment horizontal="center" vertical="center"/>
    </xf>
    <xf numFmtId="0" fontId="22" fillId="28" borderId="0" xfId="0" applyFont="1" applyFill="1">
      <alignment vertical="center"/>
    </xf>
    <xf numFmtId="0" fontId="0" fillId="18" borderId="0" xfId="0" applyFill="1">
      <alignment vertical="center"/>
    </xf>
    <xf numFmtId="11" fontId="0" fillId="18" borderId="0" xfId="0" applyNumberFormat="1" applyFill="1">
      <alignment vertical="center"/>
    </xf>
    <xf numFmtId="173" fontId="62" fillId="17" borderId="0" xfId="64" applyNumberFormat="1" applyFont="1" applyFill="1" applyAlignment="1">
      <alignment horizontal="left" vertical="center" wrapText="1"/>
    </xf>
    <xf numFmtId="11" fontId="37" fillId="17" borderId="0" xfId="64" applyNumberFormat="1" applyFont="1" applyFill="1" applyAlignment="1">
      <alignment vertical="center" wrapText="1"/>
    </xf>
    <xf numFmtId="11" fontId="66" fillId="17" borderId="0" xfId="64" applyNumberFormat="1" applyFont="1" applyFill="1" applyAlignment="1">
      <alignment vertical="center" wrapText="1"/>
    </xf>
    <xf numFmtId="0" fontId="6" fillId="17" borderId="0" xfId="33" applyFont="1" applyFill="1" applyAlignment="1">
      <alignment horizontal="left" vertical="center"/>
    </xf>
    <xf numFmtId="172" fontId="42" fillId="28" borderId="0" xfId="57" applyFont="1" applyFill="1" applyAlignment="1">
      <alignment horizontal="left" vertical="center" wrapText="1"/>
    </xf>
    <xf numFmtId="172" fontId="42" fillId="18" borderId="0" xfId="57" applyFont="1" applyFill="1" applyAlignment="1">
      <alignment horizontal="left" vertical="center" wrapText="1"/>
    </xf>
    <xf numFmtId="172" fontId="6" fillId="18" borderId="0" xfId="57" applyFont="1" applyFill="1">
      <alignment horizontal="center" vertical="center"/>
    </xf>
    <xf numFmtId="172" fontId="6" fillId="18" borderId="0" xfId="57" quotePrefix="1" applyFont="1" applyFill="1" applyAlignment="1">
      <alignment horizontal="left" vertical="center"/>
    </xf>
    <xf numFmtId="9" fontId="6" fillId="18" borderId="0" xfId="28" applyFont="1" applyFill="1" applyAlignment="1">
      <alignment horizontal="center" vertical="center"/>
    </xf>
    <xf numFmtId="9" fontId="6" fillId="18" borderId="0" xfId="28" quotePrefix="1" applyFont="1" applyFill="1" applyAlignment="1">
      <alignment horizontal="left" vertical="center"/>
    </xf>
    <xf numFmtId="172" fontId="41" fillId="18" borderId="0" xfId="57" applyFont="1" applyFill="1" applyAlignment="1">
      <alignment horizontal="left" vertical="center" wrapText="1"/>
    </xf>
    <xf numFmtId="9" fontId="59" fillId="18" borderId="0" xfId="28" applyFill="1"/>
    <xf numFmtId="0" fontId="34" fillId="16" borderId="1" xfId="103" applyFont="1" applyFill="1" applyBorder="1" applyAlignment="1">
      <alignment wrapText="1"/>
    </xf>
    <xf numFmtId="0" fontId="37" fillId="18" borderId="0" xfId="64" applyFont="1" applyFill="1" applyAlignment="1">
      <alignment horizontal="center" vertical="center" textRotation="90"/>
    </xf>
    <xf numFmtId="0" fontId="40" fillId="19" borderId="0" xfId="33" applyFont="1" applyFill="1" applyAlignment="1">
      <alignment horizontal="center" vertical="center" wrapText="1"/>
    </xf>
    <xf numFmtId="0" fontId="40" fillId="19" borderId="0" xfId="55" applyFont="1" applyFill="1" applyAlignment="1">
      <alignment vertical="center"/>
    </xf>
    <xf numFmtId="2" fontId="40" fillId="19" borderId="0" xfId="55" applyNumberFormat="1" applyFont="1" applyFill="1" applyAlignment="1">
      <alignment vertical="center"/>
    </xf>
    <xf numFmtId="0" fontId="42" fillId="28" borderId="0" xfId="0" applyFont="1" applyFill="1" applyAlignment="1">
      <alignment vertical="center" wrapText="1"/>
    </xf>
    <xf numFmtId="0" fontId="42" fillId="18" borderId="0" xfId="0" applyFont="1" applyFill="1" applyAlignment="1">
      <alignment vertical="center" wrapText="1"/>
    </xf>
    <xf numFmtId="0" fontId="6" fillId="18" borderId="0" xfId="0" applyFont="1" applyFill="1" applyAlignment="1">
      <alignment vertical="center" wrapText="1"/>
    </xf>
    <xf numFmtId="0" fontId="37" fillId="21" borderId="0" xfId="64" applyFont="1" applyFill="1" applyAlignment="1">
      <alignment vertical="center" wrapText="1"/>
    </xf>
    <xf numFmtId="0" fontId="6" fillId="18" borderId="0" xfId="57" applyNumberFormat="1" applyFont="1" applyFill="1" applyAlignment="1">
      <alignment horizontal="left" vertical="top"/>
    </xf>
    <xf numFmtId="0" fontId="6" fillId="18" borderId="0" xfId="0" applyFont="1" applyFill="1" applyAlignment="1">
      <alignment vertical="top"/>
    </xf>
    <xf numFmtId="0" fontId="40" fillId="18" borderId="0" xfId="33" applyFont="1" applyFill="1" applyAlignment="1">
      <alignment horizontal="center" vertical="center" wrapText="1"/>
    </xf>
    <xf numFmtId="0" fontId="40" fillId="18" borderId="0" xfId="55" applyFont="1" applyFill="1" applyAlignment="1">
      <alignment vertical="center"/>
    </xf>
    <xf numFmtId="0" fontId="40" fillId="18" borderId="0" xfId="33" applyFont="1" applyFill="1" applyAlignment="1">
      <alignment horizontal="center" vertical="center" textRotation="90" wrapText="1"/>
    </xf>
    <xf numFmtId="0" fontId="40" fillId="19" borderId="0" xfId="33" applyFont="1" applyFill="1" applyAlignment="1">
      <alignment horizontal="center" vertical="center" textRotation="90" wrapText="1"/>
    </xf>
    <xf numFmtId="0" fontId="40" fillId="17" borderId="0" xfId="55" applyFont="1" applyFill="1" applyAlignment="1">
      <alignment vertical="center"/>
    </xf>
    <xf numFmtId="0" fontId="40" fillId="19" borderId="0" xfId="55" applyFont="1" applyFill="1" applyAlignment="1">
      <alignment horizontal="center" vertical="center"/>
    </xf>
    <xf numFmtId="0" fontId="40" fillId="17" borderId="0" xfId="55" applyFont="1" applyFill="1" applyAlignment="1">
      <alignment vertical="center" wrapText="1"/>
    </xf>
    <xf numFmtId="0" fontId="19" fillId="17" borderId="0" xfId="109" applyFont="1" applyFill="1">
      <alignment vertical="center"/>
    </xf>
    <xf numFmtId="0" fontId="19" fillId="17" borderId="0" xfId="109" applyFont="1" applyFill="1" applyAlignment="1">
      <alignment horizontal="center" vertical="center"/>
    </xf>
    <xf numFmtId="0" fontId="6" fillId="17" borderId="0" xfId="109" applyFont="1" applyFill="1">
      <alignment vertical="center"/>
    </xf>
    <xf numFmtId="0" fontId="6" fillId="17" borderId="0" xfId="109" applyFont="1" applyFill="1" applyAlignment="1">
      <alignment horizontal="right" vertical="center" wrapText="1"/>
    </xf>
    <xf numFmtId="0" fontId="37" fillId="17" borderId="0" xfId="64" applyFont="1" applyFill="1" applyAlignment="1">
      <alignment horizontal="center" vertical="center" textRotation="90" wrapText="1"/>
    </xf>
    <xf numFmtId="0" fontId="6" fillId="13" borderId="0" xfId="33" applyFont="1" applyFill="1" applyAlignment="1">
      <alignment vertical="center"/>
    </xf>
    <xf numFmtId="0" fontId="6" fillId="17" borderId="0" xfId="64" applyFont="1" applyFill="1" applyAlignment="1">
      <alignment horizontal="center" vertical="center" wrapText="1"/>
    </xf>
    <xf numFmtId="170" fontId="19" fillId="17" borderId="0" xfId="62" applyFont="1" applyFill="1" applyAlignment="1">
      <alignment horizontal="center" vertical="center" wrapText="1"/>
    </xf>
    <xf numFmtId="170" fontId="19" fillId="17" borderId="0" xfId="62" applyFont="1" applyFill="1">
      <alignment vertical="center" wrapText="1"/>
    </xf>
    <xf numFmtId="0" fontId="40" fillId="18" borderId="0" xfId="33" applyFont="1" applyFill="1" applyAlignment="1">
      <alignment horizontal="left" vertical="center"/>
    </xf>
    <xf numFmtId="0" fontId="40" fillId="17" borderId="0" xfId="55" applyFont="1" applyFill="1" applyAlignment="1">
      <alignment horizontal="center" vertical="center"/>
    </xf>
    <xf numFmtId="2" fontId="40" fillId="19" borderId="0" xfId="55" applyNumberFormat="1" applyFont="1" applyFill="1" applyAlignment="1">
      <alignment horizontal="center" vertical="center"/>
    </xf>
    <xf numFmtId="0" fontId="38" fillId="16" borderId="0" xfId="64" applyFont="1" applyFill="1" applyAlignment="1">
      <alignment horizontal="center" vertical="center" wrapText="1"/>
    </xf>
    <xf numFmtId="0" fontId="6" fillId="16" borderId="0" xfId="64" applyFont="1" applyFill="1" applyAlignment="1">
      <alignment horizontal="center" vertical="center" wrapText="1"/>
    </xf>
    <xf numFmtId="1" fontId="6" fillId="16" borderId="0" xfId="64" applyNumberFormat="1" applyFont="1" applyFill="1" applyAlignment="1">
      <alignment horizontal="center" vertical="center"/>
    </xf>
    <xf numFmtId="173" fontId="37" fillId="16" borderId="0" xfId="64" applyNumberFormat="1" applyFont="1" applyFill="1" applyAlignment="1">
      <alignment horizontal="center" vertical="center"/>
    </xf>
    <xf numFmtId="0" fontId="6" fillId="17" borderId="0" xfId="33" applyFont="1" applyFill="1" applyAlignment="1">
      <alignment vertical="center"/>
    </xf>
    <xf numFmtId="168" fontId="69" fillId="14" borderId="1" xfId="0" applyNumberFormat="1" applyFont="1" applyFill="1" applyBorder="1">
      <alignment vertical="center"/>
    </xf>
    <xf numFmtId="1" fontId="34" fillId="16" borderId="1" xfId="74" applyNumberFormat="1" applyFont="1" applyFill="1" applyBorder="1"/>
    <xf numFmtId="2" fontId="37" fillId="0" borderId="0" xfId="0" applyNumberFormat="1" applyFont="1">
      <alignment vertical="center"/>
    </xf>
    <xf numFmtId="2" fontId="37" fillId="0" borderId="0" xfId="0" applyNumberFormat="1" applyFont="1" applyAlignment="1">
      <alignment horizontal="center" vertical="center"/>
    </xf>
    <xf numFmtId="0" fontId="37" fillId="9" borderId="0" xfId="0" applyFont="1" applyFill="1" applyAlignment="1">
      <alignment horizontal="center" vertical="center"/>
    </xf>
    <xf numFmtId="2" fontId="37" fillId="6" borderId="0" xfId="0" applyNumberFormat="1" applyFont="1" applyFill="1" applyAlignment="1">
      <alignment horizontal="center" vertical="center"/>
    </xf>
    <xf numFmtId="0" fontId="37" fillId="4" borderId="0" xfId="0" applyFont="1" applyFill="1">
      <alignment vertical="center"/>
    </xf>
    <xf numFmtId="172" fontId="37" fillId="0" borderId="0" xfId="8" applyFont="1" applyFill="1">
      <alignment horizontal="center" vertical="center"/>
    </xf>
    <xf numFmtId="174" fontId="37" fillId="0" borderId="0" xfId="10" applyFont="1" applyAlignment="1">
      <alignment horizontal="left" vertical="center" wrapText="1"/>
    </xf>
    <xf numFmtId="174" fontId="37" fillId="0" borderId="0" xfId="10" applyFont="1" applyAlignment="1">
      <alignment horizontal="left" vertical="center"/>
    </xf>
    <xf numFmtId="174" fontId="37" fillId="0" borderId="0" xfId="50" applyNumberFormat="1" applyFont="1" applyAlignment="1">
      <alignment horizontal="left" vertical="center"/>
    </xf>
    <xf numFmtId="2" fontId="37" fillId="0" borderId="0" xfId="50" applyNumberFormat="1" applyFont="1">
      <alignment horizontal="center" vertical="center"/>
    </xf>
    <xf numFmtId="0" fontId="37" fillId="0" borderId="0" xfId="50" applyNumberFormat="1" applyFont="1">
      <alignment horizontal="center" vertical="center"/>
    </xf>
    <xf numFmtId="0" fontId="37" fillId="4" borderId="0" xfId="50" applyNumberFormat="1" applyFont="1" applyFill="1">
      <alignment horizontal="center" vertical="center"/>
    </xf>
    <xf numFmtId="172" fontId="37" fillId="4" borderId="0" xfId="50" applyFont="1" applyFill="1" applyAlignment="1">
      <alignment horizontal="left" vertical="center"/>
    </xf>
    <xf numFmtId="172" fontId="5" fillId="4" borderId="0" xfId="50" applyFont="1" applyFill="1" applyAlignment="1">
      <alignment horizontal="left" vertical="center"/>
    </xf>
    <xf numFmtId="172" fontId="37" fillId="4" borderId="0" xfId="50" applyFont="1" applyFill="1">
      <alignment horizontal="center" vertical="center"/>
    </xf>
    <xf numFmtId="172" fontId="37" fillId="4" borderId="0" xfId="50" applyFont="1" applyFill="1" applyAlignment="1">
      <alignment horizontal="left" vertical="center" wrapText="1"/>
    </xf>
    <xf numFmtId="0" fontId="37" fillId="4" borderId="0" xfId="10" applyNumberFormat="1" applyFont="1" applyFill="1" applyAlignment="1">
      <alignment horizontal="center" vertical="center" wrapText="1"/>
    </xf>
    <xf numFmtId="1" fontId="37" fillId="4" borderId="0" xfId="10" applyNumberFormat="1" applyFont="1" applyFill="1" applyAlignment="1">
      <alignment horizontal="center" vertical="center"/>
    </xf>
    <xf numFmtId="174" fontId="38" fillId="8" borderId="0" xfId="10" applyFont="1" applyFill="1" applyAlignment="1">
      <alignment horizontal="left" vertical="center"/>
    </xf>
    <xf numFmtId="174" fontId="37" fillId="8" borderId="0" xfId="10" applyFont="1" applyFill="1" applyAlignment="1">
      <alignment vertical="center" wrapText="1"/>
    </xf>
    <xf numFmtId="0" fontId="37" fillId="0" borderId="0" xfId="0" applyFont="1" applyAlignment="1">
      <alignment horizontal="left" vertical="center"/>
    </xf>
    <xf numFmtId="173" fontId="6" fillId="16" borderId="0" xfId="0" applyNumberFormat="1" applyFont="1" applyFill="1">
      <alignment vertical="center"/>
    </xf>
    <xf numFmtId="0" fontId="6" fillId="16" borderId="0" xfId="109" applyFont="1" applyFill="1" applyAlignment="1">
      <alignment horizontal="left" wrapText="1"/>
    </xf>
    <xf numFmtId="0" fontId="6" fillId="16" borderId="0" xfId="109" applyFont="1" applyFill="1" applyAlignment="1">
      <alignment horizontal="left"/>
    </xf>
    <xf numFmtId="0" fontId="6" fillId="16" borderId="0" xfId="109" applyFont="1" applyFill="1" applyAlignment="1">
      <alignment horizontal="center"/>
    </xf>
    <xf numFmtId="0" fontId="19" fillId="16" borderId="0" xfId="109" applyFont="1" applyFill="1">
      <alignment vertical="center"/>
    </xf>
    <xf numFmtId="0" fontId="19" fillId="16" borderId="0" xfId="109" applyFont="1" applyFill="1" applyAlignment="1">
      <alignment horizontal="center" vertical="center"/>
    </xf>
    <xf numFmtId="0" fontId="6" fillId="16" borderId="0" xfId="109" applyFont="1" applyFill="1" applyAlignment="1">
      <alignment vertical="center" wrapText="1"/>
    </xf>
    <xf numFmtId="0" fontId="6" fillId="16" borderId="0" xfId="33" applyFont="1" applyFill="1" applyAlignment="1">
      <alignment vertical="center"/>
    </xf>
    <xf numFmtId="0" fontId="6" fillId="16" borderId="0" xfId="109" applyFont="1" applyFill="1" applyAlignment="1">
      <alignment horizontal="center" wrapText="1"/>
    </xf>
    <xf numFmtId="172" fontId="6" fillId="16" borderId="0" xfId="64" applyNumberFormat="1" applyFont="1" applyFill="1">
      <alignment vertical="center"/>
    </xf>
    <xf numFmtId="172" fontId="6" fillId="16" borderId="0" xfId="109" applyNumberFormat="1" applyFont="1" applyFill="1">
      <alignment vertical="center"/>
    </xf>
    <xf numFmtId="0" fontId="6" fillId="16" borderId="0" xfId="109" applyFont="1" applyFill="1" applyAlignment="1">
      <alignment horizontal="center" vertical="center" wrapText="1"/>
    </xf>
    <xf numFmtId="0" fontId="19" fillId="16" borderId="0" xfId="109" applyFont="1" applyFill="1" applyAlignment="1">
      <alignment horizontal="left" vertical="center"/>
    </xf>
    <xf numFmtId="165" fontId="6" fillId="16" borderId="0" xfId="110" applyNumberFormat="1" applyFont="1" applyFill="1">
      <alignment horizontal="center" vertical="center"/>
    </xf>
    <xf numFmtId="170" fontId="19" fillId="16" borderId="0" xfId="62" applyFont="1" applyFill="1" applyAlignment="1">
      <alignment horizontal="left" vertical="center" wrapText="1"/>
    </xf>
    <xf numFmtId="170" fontId="6" fillId="16" borderId="0" xfId="62" applyFont="1" applyFill="1" applyAlignment="1">
      <alignment horizontal="center" vertical="center" wrapText="1"/>
    </xf>
    <xf numFmtId="0" fontId="6" fillId="16" borderId="0" xfId="57" applyNumberFormat="1" applyFont="1" applyFill="1" applyAlignment="1">
      <alignment horizontal="left" vertical="center" wrapText="1"/>
    </xf>
    <xf numFmtId="0" fontId="37" fillId="31" borderId="0" xfId="0" applyFont="1" applyFill="1">
      <alignment vertical="center"/>
    </xf>
    <xf numFmtId="0" fontId="38" fillId="31" borderId="0" xfId="0" applyFont="1" applyFill="1" applyAlignment="1">
      <alignment horizontal="center" vertical="center"/>
    </xf>
    <xf numFmtId="0" fontId="38" fillId="31" borderId="0" xfId="0" applyFont="1" applyFill="1" applyAlignment="1">
      <alignment vertical="center" wrapText="1"/>
    </xf>
    <xf numFmtId="0" fontId="37" fillId="32" borderId="0" xfId="0" applyFont="1" applyFill="1" applyAlignment="1">
      <alignment horizontal="center" vertical="center"/>
    </xf>
    <xf numFmtId="0" fontId="37" fillId="32" borderId="0" xfId="0" applyFont="1" applyFill="1" applyAlignment="1">
      <alignment horizontal="center" vertical="center" wrapText="1"/>
    </xf>
    <xf numFmtId="0" fontId="37" fillId="33" borderId="0" xfId="7" applyFont="1" applyFill="1">
      <alignment horizontal="center" vertical="center" wrapText="1"/>
    </xf>
    <xf numFmtId="170" fontId="37" fillId="33" borderId="0" xfId="42" applyFont="1" applyFill="1" applyAlignment="1">
      <alignment horizontal="center" vertical="center" textRotation="90" wrapText="1"/>
    </xf>
    <xf numFmtId="170" fontId="37" fillId="33" borderId="0" xfId="42" applyFont="1" applyFill="1" applyAlignment="1">
      <alignment horizontal="left" vertical="center" wrapText="1"/>
    </xf>
    <xf numFmtId="0" fontId="37" fillId="33" borderId="0" xfId="0" applyFont="1" applyFill="1" applyAlignment="1">
      <alignment horizontal="left" vertical="center" wrapText="1"/>
    </xf>
    <xf numFmtId="0" fontId="37" fillId="33" borderId="0" xfId="0" applyFont="1" applyFill="1" applyAlignment="1">
      <alignment horizontal="left" wrapText="1"/>
    </xf>
    <xf numFmtId="0" fontId="37" fillId="33" borderId="0" xfId="0" applyFont="1" applyFill="1" applyAlignment="1">
      <alignment horizontal="center" wrapText="1"/>
    </xf>
    <xf numFmtId="0" fontId="37" fillId="0" borderId="0" xfId="0" applyFont="1" applyAlignment="1">
      <alignment vertical="top"/>
    </xf>
    <xf numFmtId="0" fontId="37" fillId="33" borderId="0" xfId="0" applyFont="1" applyFill="1" applyAlignment="1">
      <alignment vertical="top"/>
    </xf>
    <xf numFmtId="0" fontId="37" fillId="0" borderId="0" xfId="33" applyFont="1">
      <alignment horizontal="left" vertical="center" wrapText="1"/>
    </xf>
    <xf numFmtId="0" fontId="37" fillId="0" borderId="0" xfId="0" applyFont="1" applyAlignment="1">
      <alignment horizontal="center" wrapText="1"/>
    </xf>
    <xf numFmtId="172" fontId="37" fillId="4" borderId="0" xfId="50" quotePrefix="1" applyFont="1" applyFill="1" applyAlignment="1">
      <alignment horizontal="left" vertical="center"/>
    </xf>
    <xf numFmtId="0" fontId="37" fillId="4" borderId="0" xfId="50" quotePrefix="1" applyNumberFormat="1" applyFont="1" applyFill="1">
      <alignment horizontal="center" vertical="center"/>
    </xf>
    <xf numFmtId="165" fontId="37" fillId="4" borderId="0" xfId="8" applyNumberFormat="1" applyFont="1">
      <alignment horizontal="center" vertical="center"/>
    </xf>
    <xf numFmtId="170" fontId="38" fillId="33" borderId="0" xfId="62" applyFont="1" applyFill="1" applyAlignment="1">
      <alignment horizontal="center" vertical="center" wrapText="1"/>
    </xf>
    <xf numFmtId="0" fontId="37" fillId="32" borderId="0" xfId="64" applyFont="1" applyFill="1" applyAlignment="1">
      <alignment horizontal="center" vertical="center"/>
    </xf>
    <xf numFmtId="172" fontId="37" fillId="33" borderId="0" xfId="57" applyFont="1" applyFill="1">
      <alignment horizontal="center" vertical="center"/>
    </xf>
    <xf numFmtId="0" fontId="37" fillId="33" borderId="0" xfId="57" quotePrefix="1" applyNumberFormat="1" applyFont="1" applyFill="1">
      <alignment horizontal="center" vertical="center"/>
    </xf>
    <xf numFmtId="2" fontId="37" fillId="31" borderId="0" xfId="57" applyNumberFormat="1" applyFont="1" applyFill="1">
      <alignment horizontal="center" vertical="center"/>
    </xf>
    <xf numFmtId="172" fontId="37" fillId="34" borderId="0" xfId="57" applyFont="1" applyFill="1">
      <alignment horizontal="center" vertical="center"/>
    </xf>
    <xf numFmtId="0" fontId="37" fillId="34" borderId="0" xfId="57" quotePrefix="1" applyNumberFormat="1" applyFont="1" applyFill="1">
      <alignment horizontal="center" vertical="center"/>
    </xf>
    <xf numFmtId="0" fontId="37" fillId="34" borderId="0" xfId="57" applyNumberFormat="1" applyFont="1" applyFill="1">
      <alignment horizontal="center" vertical="center"/>
    </xf>
    <xf numFmtId="2" fontId="37" fillId="34" borderId="0" xfId="57" applyNumberFormat="1" applyFont="1" applyFill="1">
      <alignment horizontal="center" vertical="center"/>
    </xf>
    <xf numFmtId="172" fontId="37" fillId="31" borderId="0" xfId="57" applyFont="1" applyFill="1">
      <alignment horizontal="center" vertical="center"/>
    </xf>
    <xf numFmtId="0" fontId="37" fillId="31" borderId="0" xfId="57" quotePrefix="1" applyNumberFormat="1" applyFont="1" applyFill="1">
      <alignment horizontal="center" vertical="center"/>
    </xf>
    <xf numFmtId="0" fontId="37" fillId="31" borderId="0" xfId="57" applyNumberFormat="1" applyFont="1" applyFill="1">
      <alignment horizontal="center" vertical="center"/>
    </xf>
    <xf numFmtId="172" fontId="37" fillId="31" borderId="0" xfId="57" quotePrefix="1" applyFont="1" applyFill="1" applyAlignment="1">
      <alignment horizontal="left" vertical="center"/>
    </xf>
    <xf numFmtId="172" fontId="37" fillId="34" borderId="0" xfId="57" quotePrefix="1" applyFont="1" applyFill="1" applyAlignment="1">
      <alignment horizontal="left" vertical="center"/>
    </xf>
    <xf numFmtId="170" fontId="38" fillId="33" borderId="0" xfId="62" applyFont="1" applyFill="1" applyAlignment="1">
      <alignment horizontal="left" vertical="center" wrapText="1"/>
    </xf>
    <xf numFmtId="0" fontId="38" fillId="33" borderId="0" xfId="64" applyFont="1" applyFill="1" applyAlignment="1">
      <alignment horizontal="center" vertical="center" wrapText="1"/>
    </xf>
    <xf numFmtId="0" fontId="6" fillId="33" borderId="0" xfId="0" applyFont="1" applyFill="1" applyAlignment="1">
      <alignment horizontal="center" vertical="center" wrapText="1"/>
    </xf>
    <xf numFmtId="170" fontId="38" fillId="35" borderId="0" xfId="62" applyFont="1" applyFill="1" applyAlignment="1">
      <alignment horizontal="center" vertical="center" wrapText="1"/>
    </xf>
    <xf numFmtId="170" fontId="38" fillId="35" borderId="0" xfId="62" applyFont="1" applyFill="1" applyAlignment="1">
      <alignment horizontal="left" vertical="center" wrapText="1"/>
    </xf>
    <xf numFmtId="0" fontId="38" fillId="35" borderId="0" xfId="64" applyFont="1" applyFill="1" applyAlignment="1">
      <alignment horizontal="center" vertical="center" wrapText="1"/>
    </xf>
    <xf numFmtId="0" fontId="6" fillId="35" borderId="0" xfId="0" applyFont="1" applyFill="1" applyAlignment="1">
      <alignment horizontal="center" vertical="center" wrapText="1"/>
    </xf>
    <xf numFmtId="0" fontId="41" fillId="33" borderId="0" xfId="0" applyFont="1" applyFill="1" applyAlignment="1">
      <alignment horizontal="center" vertical="center" wrapText="1"/>
    </xf>
    <xf numFmtId="0" fontId="37" fillId="33" borderId="0" xfId="0" applyFont="1" applyFill="1">
      <alignment vertical="center"/>
    </xf>
    <xf numFmtId="170" fontId="41" fillId="33" borderId="0" xfId="42" applyFont="1" applyFill="1" applyAlignment="1">
      <alignment horizontal="center" vertical="center" wrapText="1"/>
    </xf>
    <xf numFmtId="170" fontId="41" fillId="33" borderId="0" xfId="42" applyFont="1" applyFill="1" applyAlignment="1">
      <alignment horizontal="left" vertical="center" wrapText="1"/>
    </xf>
    <xf numFmtId="0" fontId="37" fillId="33" borderId="0" xfId="64" applyFont="1" applyFill="1" applyAlignment="1">
      <alignment horizontal="center" vertical="center" wrapText="1"/>
    </xf>
    <xf numFmtId="170" fontId="26" fillId="33" borderId="0" xfId="62" applyFont="1" applyFill="1" applyAlignment="1">
      <alignment horizontal="center" vertical="center"/>
    </xf>
    <xf numFmtId="170" fontId="26" fillId="33" borderId="0" xfId="62" applyFont="1" applyFill="1" applyAlignment="1">
      <alignment horizontal="left" vertical="center"/>
    </xf>
    <xf numFmtId="1" fontId="37" fillId="31" borderId="0" xfId="57" applyNumberFormat="1" applyFont="1" applyFill="1" applyAlignment="1">
      <alignment horizontal="left" vertical="center"/>
    </xf>
    <xf numFmtId="1" fontId="37" fillId="31" borderId="0" xfId="64" applyNumberFormat="1" applyFont="1" applyFill="1" applyAlignment="1">
      <alignment horizontal="center" vertical="center"/>
    </xf>
    <xf numFmtId="1" fontId="37" fillId="31" borderId="0" xfId="57" applyNumberFormat="1" applyFont="1" applyFill="1">
      <alignment horizontal="center" vertical="center"/>
    </xf>
    <xf numFmtId="1" fontId="37" fillId="36" borderId="0" xfId="57" applyNumberFormat="1" applyFont="1" applyFill="1">
      <alignment horizontal="center" vertical="center"/>
    </xf>
    <xf numFmtId="2" fontId="37" fillId="36" borderId="0" xfId="57" applyNumberFormat="1" applyFont="1" applyFill="1">
      <alignment horizontal="center" vertical="center"/>
    </xf>
    <xf numFmtId="2" fontId="37" fillId="36" borderId="0" xfId="57" applyNumberFormat="1" applyFont="1" applyFill="1" applyAlignment="1">
      <alignment horizontal="left" vertical="center" wrapText="1"/>
    </xf>
    <xf numFmtId="2" fontId="6" fillId="36" borderId="0" xfId="64" applyNumberFormat="1" applyFont="1" applyFill="1" applyAlignment="1">
      <alignment horizontal="center" vertical="center"/>
    </xf>
    <xf numFmtId="0" fontId="6" fillId="36" borderId="0" xfId="57" applyNumberFormat="1" applyFont="1" applyFill="1">
      <alignment horizontal="center" vertical="center"/>
    </xf>
    <xf numFmtId="2" fontId="6" fillId="36" borderId="0" xfId="57" applyNumberFormat="1" applyFont="1" applyFill="1">
      <alignment horizontal="center" vertical="center"/>
    </xf>
    <xf numFmtId="2" fontId="6" fillId="36" borderId="0" xfId="57" applyNumberFormat="1" applyFont="1" applyFill="1" applyAlignment="1">
      <alignment horizontal="left" vertical="center" wrapText="1"/>
    </xf>
    <xf numFmtId="2" fontId="6" fillId="36" borderId="0" xfId="57" applyNumberFormat="1" applyFont="1" applyFill="1" applyAlignment="1">
      <alignment horizontal="left" vertical="center"/>
    </xf>
    <xf numFmtId="0" fontId="6" fillId="33" borderId="0" xfId="0" applyFont="1" applyFill="1" applyAlignment="1">
      <alignment horizontal="center"/>
    </xf>
    <xf numFmtId="0" fontId="6" fillId="35" borderId="0" xfId="0" applyFont="1" applyFill="1" applyAlignment="1">
      <alignment horizontal="center"/>
    </xf>
    <xf numFmtId="0" fontId="6" fillId="35" borderId="0" xfId="0" applyFont="1" applyFill="1">
      <alignment vertical="center"/>
    </xf>
    <xf numFmtId="2" fontId="6" fillId="35" borderId="0" xfId="0" applyNumberFormat="1" applyFont="1" applyFill="1" applyAlignment="1">
      <alignment horizontal="center"/>
    </xf>
    <xf numFmtId="0" fontId="0" fillId="33" borderId="0" xfId="57" applyNumberFormat="1" applyFont="1" applyFill="1" applyAlignment="1">
      <alignment horizontal="left" vertical="center"/>
    </xf>
    <xf numFmtId="1" fontId="37" fillId="33" borderId="0" xfId="64" applyNumberFormat="1" applyFont="1" applyFill="1" applyAlignment="1">
      <alignment horizontal="center" vertical="center"/>
    </xf>
    <xf numFmtId="0" fontId="0" fillId="33" borderId="0" xfId="57" applyNumberFormat="1" applyFont="1" applyFill="1">
      <alignment horizontal="center" vertical="center"/>
    </xf>
    <xf numFmtId="2" fontId="0" fillId="33" borderId="0" xfId="57" applyNumberFormat="1" applyFont="1" applyFill="1">
      <alignment horizontal="center" vertical="center"/>
    </xf>
    <xf numFmtId="0" fontId="0" fillId="35" borderId="0" xfId="57" applyNumberFormat="1" applyFont="1" applyFill="1">
      <alignment horizontal="center" vertical="center"/>
    </xf>
    <xf numFmtId="2" fontId="0" fillId="35" borderId="0" xfId="57" applyNumberFormat="1" applyFont="1" applyFill="1">
      <alignment horizontal="center" vertical="center"/>
    </xf>
    <xf numFmtId="0" fontId="0" fillId="35" borderId="0" xfId="57" applyNumberFormat="1" applyFont="1" applyFill="1" applyAlignment="1">
      <alignment horizontal="left" vertical="center"/>
    </xf>
    <xf numFmtId="1" fontId="6" fillId="35" borderId="0" xfId="64" applyNumberFormat="1" applyFont="1" applyFill="1" applyAlignment="1">
      <alignment horizontal="center" vertical="center"/>
    </xf>
    <xf numFmtId="0" fontId="8" fillId="35" borderId="0" xfId="57" applyNumberFormat="1" applyFont="1" applyFill="1">
      <alignment horizontal="center" vertical="center"/>
    </xf>
    <xf numFmtId="2" fontId="8" fillId="35" borderId="0" xfId="57" applyNumberFormat="1" applyFont="1" applyFill="1">
      <alignment horizontal="center" vertical="center"/>
    </xf>
    <xf numFmtId="0" fontId="8" fillId="35" borderId="0" xfId="57" applyNumberFormat="1" applyFont="1" applyFill="1" applyAlignment="1">
      <alignment horizontal="left" vertical="center" wrapText="1"/>
    </xf>
    <xf numFmtId="0" fontId="8" fillId="35" borderId="0" xfId="57" applyNumberFormat="1" applyFont="1" applyFill="1" applyAlignment="1">
      <alignment horizontal="left" vertical="center"/>
    </xf>
    <xf numFmtId="170" fontId="26" fillId="35" borderId="0" xfId="62" applyFont="1" applyFill="1" applyAlignment="1">
      <alignment horizontal="center" vertical="center"/>
    </xf>
    <xf numFmtId="170" fontId="26" fillId="35" borderId="0" xfId="62" applyFont="1" applyFill="1" applyAlignment="1">
      <alignment horizontal="left" vertical="center"/>
    </xf>
    <xf numFmtId="0" fontId="6" fillId="35" borderId="0" xfId="64" applyFont="1" applyFill="1" applyAlignment="1">
      <alignment horizontal="center" vertical="center" wrapText="1"/>
    </xf>
    <xf numFmtId="170" fontId="26" fillId="35" borderId="0" xfId="62" applyFont="1" applyFill="1" applyAlignment="1">
      <alignment horizontal="left" vertical="center" wrapText="1"/>
    </xf>
    <xf numFmtId="172" fontId="6" fillId="31" borderId="0" xfId="50" applyFont="1" applyFill="1" applyAlignment="1">
      <alignment horizontal="left" vertical="center" wrapText="1"/>
    </xf>
    <xf numFmtId="172" fontId="6" fillId="31" borderId="0" xfId="50" applyFont="1" applyFill="1">
      <alignment horizontal="center" vertical="center"/>
    </xf>
    <xf numFmtId="172" fontId="5" fillId="31" borderId="0" xfId="50" quotePrefix="1" applyFont="1" applyFill="1" applyAlignment="1">
      <alignment horizontal="left" vertical="center"/>
    </xf>
    <xf numFmtId="172" fontId="6" fillId="31" borderId="0" xfId="50" quotePrefix="1" applyFont="1" applyFill="1" applyAlignment="1">
      <alignment horizontal="left" vertical="center"/>
    </xf>
    <xf numFmtId="0" fontId="6" fillId="31" borderId="0" xfId="50" quotePrefix="1" applyNumberFormat="1" applyFont="1" applyFill="1">
      <alignment horizontal="center" vertical="center"/>
    </xf>
    <xf numFmtId="0" fontId="8" fillId="31" borderId="0" xfId="50" applyNumberFormat="1" applyFont="1" applyFill="1">
      <alignment horizontal="center" vertical="center"/>
    </xf>
    <xf numFmtId="2" fontId="8" fillId="31" borderId="0" xfId="50" applyNumberFormat="1" applyFont="1" applyFill="1">
      <alignment horizontal="center" vertical="center"/>
    </xf>
    <xf numFmtId="0" fontId="8" fillId="31" borderId="0" xfId="50" applyNumberFormat="1" applyFont="1" applyFill="1" applyAlignment="1">
      <alignment horizontal="left" vertical="center" wrapText="1"/>
    </xf>
    <xf numFmtId="170" fontId="19" fillId="16" borderId="0" xfId="42" applyFont="1" applyFill="1" applyAlignment="1">
      <alignment horizontal="center" vertical="center" wrapText="1"/>
    </xf>
    <xf numFmtId="170" fontId="19" fillId="16" borderId="0" xfId="42" applyFont="1" applyFill="1" applyAlignment="1">
      <alignment horizontal="left" vertical="center" wrapText="1"/>
    </xf>
    <xf numFmtId="0" fontId="6" fillId="16" borderId="0" xfId="0" applyFont="1" applyFill="1" applyAlignment="1">
      <alignment horizontal="center" vertical="center" textRotation="90" wrapText="1"/>
    </xf>
    <xf numFmtId="170" fontId="8" fillId="16" borderId="0" xfId="42" applyFont="1" applyFill="1" applyAlignment="1">
      <alignment horizontal="center" vertical="center" textRotation="90" wrapText="1"/>
    </xf>
    <xf numFmtId="170" fontId="8" fillId="16" borderId="0" xfId="42" applyFont="1" applyFill="1" applyAlignment="1">
      <alignment horizontal="left" vertical="center" wrapText="1"/>
    </xf>
    <xf numFmtId="170" fontId="26" fillId="16" borderId="0" xfId="42" applyFont="1" applyFill="1" applyAlignment="1">
      <alignment horizontal="center" vertical="center" wrapText="1"/>
    </xf>
    <xf numFmtId="170" fontId="26" fillId="16" borderId="0" xfId="42" applyFont="1" applyFill="1" applyAlignment="1">
      <alignment horizontal="left" vertical="center" wrapText="1"/>
    </xf>
    <xf numFmtId="170" fontId="19" fillId="31" borderId="0" xfId="42" applyFont="1" applyFill="1" applyAlignment="1">
      <alignment horizontal="center" vertical="center" wrapText="1"/>
    </xf>
    <xf numFmtId="170" fontId="19" fillId="31" borderId="0" xfId="42" applyFont="1" applyFill="1" applyAlignment="1">
      <alignment horizontal="left" vertical="center" wrapText="1"/>
    </xf>
    <xf numFmtId="0" fontId="14" fillId="33" borderId="0" xfId="7" applyFill="1">
      <alignment horizontal="center" vertical="center" wrapText="1"/>
    </xf>
    <xf numFmtId="0" fontId="6" fillId="32" borderId="0" xfId="0" applyFont="1" applyFill="1" applyAlignment="1">
      <alignment horizontal="center" vertical="center"/>
    </xf>
    <xf numFmtId="0" fontId="6" fillId="32" borderId="0" xfId="0" applyFont="1" applyFill="1" applyAlignment="1">
      <alignment horizontal="left" vertical="center"/>
    </xf>
    <xf numFmtId="172" fontId="6" fillId="33" borderId="0" xfId="50" applyFont="1" applyFill="1" applyAlignment="1">
      <alignment horizontal="left" vertical="center"/>
    </xf>
    <xf numFmtId="172" fontId="6" fillId="33" borderId="0" xfId="50" applyFont="1" applyFill="1">
      <alignment horizontal="center" vertical="center"/>
    </xf>
    <xf numFmtId="0" fontId="6" fillId="33" borderId="0" xfId="50" quotePrefix="1" applyNumberFormat="1" applyFont="1" applyFill="1">
      <alignment horizontal="center" vertical="center"/>
    </xf>
    <xf numFmtId="0" fontId="8" fillId="16" borderId="0" xfId="50" applyNumberFormat="1" applyFont="1" applyFill="1">
      <alignment horizontal="center" vertical="center"/>
    </xf>
    <xf numFmtId="2" fontId="8" fillId="16" borderId="0" xfId="50" applyNumberFormat="1" applyFont="1" applyFill="1">
      <alignment horizontal="center" vertical="center"/>
    </xf>
    <xf numFmtId="0" fontId="8" fillId="16" borderId="0" xfId="50" applyNumberFormat="1" applyFont="1" applyFill="1" applyAlignment="1">
      <alignment horizontal="left" vertical="center" wrapText="1"/>
    </xf>
    <xf numFmtId="0" fontId="6" fillId="31" borderId="0" xfId="0" applyFont="1" applyFill="1" applyAlignment="1">
      <alignment horizontal="center" vertical="center" wrapText="1"/>
    </xf>
    <xf numFmtId="0" fontId="6" fillId="31" borderId="0" xfId="0" applyFont="1" applyFill="1" applyAlignment="1">
      <alignment horizontal="center" vertical="center"/>
    </xf>
    <xf numFmtId="0" fontId="8" fillId="31" borderId="0" xfId="33" applyFont="1" applyFill="1" applyAlignment="1">
      <alignment horizontal="left" vertical="center"/>
    </xf>
    <xf numFmtId="0" fontId="6" fillId="34" borderId="0" xfId="0" applyFont="1" applyFill="1" applyAlignment="1">
      <alignment horizontal="center" vertical="center" wrapText="1"/>
    </xf>
    <xf numFmtId="0" fontId="6" fillId="34" borderId="0" xfId="0" applyFont="1" applyFill="1" applyAlignment="1">
      <alignment horizontal="center" vertical="center"/>
    </xf>
    <xf numFmtId="172" fontId="6" fillId="34" borderId="0" xfId="50" applyFont="1" applyFill="1" applyAlignment="1">
      <alignment horizontal="left" vertical="center" wrapText="1"/>
    </xf>
    <xf numFmtId="172" fontId="6" fillId="34" borderId="0" xfId="50" applyFont="1" applyFill="1">
      <alignment horizontal="center" vertical="center"/>
    </xf>
    <xf numFmtId="172" fontId="6" fillId="34" borderId="0" xfId="50" quotePrefix="1" applyFont="1" applyFill="1" applyAlignment="1">
      <alignment horizontal="left" vertical="center"/>
    </xf>
    <xf numFmtId="0" fontId="6" fillId="34" borderId="0" xfId="50" quotePrefix="1" applyNumberFormat="1" applyFont="1" applyFill="1">
      <alignment horizontal="center" vertical="center"/>
    </xf>
    <xf numFmtId="0" fontId="8" fillId="34" borderId="0" xfId="50" applyNumberFormat="1" applyFont="1" applyFill="1">
      <alignment horizontal="center" vertical="center"/>
    </xf>
    <xf numFmtId="2" fontId="8" fillId="34" borderId="0" xfId="50" applyNumberFormat="1" applyFont="1" applyFill="1">
      <alignment horizontal="center" vertical="center"/>
    </xf>
    <xf numFmtId="0" fontId="8" fillId="34" borderId="0" xfId="50" applyNumberFormat="1" applyFont="1" applyFill="1" applyAlignment="1">
      <alignment horizontal="left" vertical="center" wrapText="1"/>
    </xf>
    <xf numFmtId="172" fontId="5" fillId="34" borderId="0" xfId="50" quotePrefix="1" applyFont="1" applyFill="1" applyAlignment="1">
      <alignment horizontal="left" vertical="center"/>
    </xf>
    <xf numFmtId="0" fontId="6" fillId="31" borderId="0" xfId="33" applyFont="1" applyFill="1" applyAlignment="1">
      <alignment horizontal="left" vertical="center"/>
    </xf>
    <xf numFmtId="170" fontId="6" fillId="16" borderId="0" xfId="42" applyFont="1" applyFill="1" applyAlignment="1">
      <alignment horizontal="center" vertical="center" textRotation="90" wrapText="1"/>
    </xf>
    <xf numFmtId="170" fontId="6" fillId="16" borderId="0" xfId="42" applyFont="1" applyFill="1" applyAlignment="1">
      <alignment horizontal="left" vertical="center" wrapText="1"/>
    </xf>
    <xf numFmtId="170" fontId="17" fillId="16" borderId="0" xfId="42" applyFont="1" applyFill="1" applyAlignment="1">
      <alignment horizontal="center" vertical="center" wrapText="1"/>
    </xf>
    <xf numFmtId="170" fontId="17" fillId="16" borderId="0" xfId="42" applyFont="1" applyFill="1" applyAlignment="1">
      <alignment horizontal="left" vertical="center" wrapText="1"/>
    </xf>
    <xf numFmtId="0" fontId="6" fillId="31" borderId="0" xfId="0" applyFont="1" applyFill="1" applyAlignment="1">
      <alignment vertical="center" wrapText="1"/>
    </xf>
    <xf numFmtId="0" fontId="19" fillId="31" borderId="0" xfId="0" applyFont="1" applyFill="1" applyAlignment="1">
      <alignment horizontal="left" vertical="center"/>
    </xf>
    <xf numFmtId="0" fontId="6" fillId="16" borderId="0" xfId="50" applyNumberFormat="1" applyFont="1" applyFill="1">
      <alignment horizontal="center" vertical="center"/>
    </xf>
    <xf numFmtId="2" fontId="6" fillId="16" borderId="0" xfId="50" applyNumberFormat="1" applyFont="1" applyFill="1">
      <alignment horizontal="center" vertical="center"/>
    </xf>
    <xf numFmtId="0" fontId="6" fillId="16" borderId="0" xfId="50" applyNumberFormat="1" applyFont="1" applyFill="1" applyAlignment="1">
      <alignment horizontal="left" vertical="center" wrapText="1"/>
    </xf>
    <xf numFmtId="0" fontId="6" fillId="34" borderId="0" xfId="50" applyNumberFormat="1" applyFont="1" applyFill="1">
      <alignment horizontal="center" vertical="center"/>
    </xf>
    <xf numFmtId="2" fontId="6" fillId="34" borderId="0" xfId="50" applyNumberFormat="1" applyFont="1" applyFill="1">
      <alignment horizontal="center" vertical="center"/>
    </xf>
    <xf numFmtId="0" fontId="6" fillId="31" borderId="0" xfId="50" applyNumberFormat="1" applyFont="1" applyFill="1">
      <alignment horizontal="center" vertical="center"/>
    </xf>
    <xf numFmtId="2" fontId="6" fillId="31" borderId="0" xfId="50" applyNumberFormat="1" applyFont="1" applyFill="1">
      <alignment horizontal="center" vertical="center"/>
    </xf>
    <xf numFmtId="0" fontId="6" fillId="31" borderId="0" xfId="50" applyNumberFormat="1" applyFont="1" applyFill="1" applyAlignment="1">
      <alignment horizontal="left" vertical="center" wrapText="1"/>
    </xf>
    <xf numFmtId="0" fontId="6" fillId="31" borderId="0" xfId="0" applyFont="1" applyFill="1">
      <alignment vertical="center"/>
    </xf>
    <xf numFmtId="0" fontId="19" fillId="31" borderId="0" xfId="0" applyFont="1" applyFill="1">
      <alignment vertical="center"/>
    </xf>
    <xf numFmtId="0" fontId="19" fillId="31" borderId="0" xfId="0" applyFont="1" applyFill="1" applyAlignment="1">
      <alignment horizontal="center" vertical="center"/>
    </xf>
    <xf numFmtId="0" fontId="19" fillId="31" borderId="0" xfId="0" applyFont="1" applyFill="1" applyAlignment="1">
      <alignment horizontal="center" vertical="center" wrapText="1"/>
    </xf>
    <xf numFmtId="0" fontId="19" fillId="31" borderId="0" xfId="0" applyFont="1" applyFill="1" applyAlignment="1">
      <alignment vertical="center" wrapText="1"/>
    </xf>
    <xf numFmtId="0" fontId="6" fillId="31" borderId="0" xfId="0" applyFont="1" applyFill="1" applyAlignment="1">
      <alignment horizontal="right" vertical="center" wrapText="1"/>
    </xf>
    <xf numFmtId="170" fontId="19" fillId="16" borderId="0" xfId="42" applyFont="1" applyFill="1" applyAlignment="1">
      <alignment horizontal="center" vertical="center"/>
    </xf>
    <xf numFmtId="170" fontId="19" fillId="16" borderId="0" xfId="42" applyFont="1" applyFill="1" applyAlignment="1">
      <alignment horizontal="left" vertical="center"/>
    </xf>
    <xf numFmtId="0" fontId="6" fillId="16" borderId="0" xfId="0" applyFont="1" applyFill="1" applyAlignment="1">
      <alignment horizontal="center" vertical="center" wrapText="1"/>
    </xf>
    <xf numFmtId="170" fontId="6" fillId="16" borderId="0" xfId="42" applyFont="1" applyFill="1" applyAlignment="1">
      <alignment horizontal="center" vertical="center" textRotation="90"/>
    </xf>
    <xf numFmtId="170" fontId="6" fillId="16" borderId="0" xfId="42" applyFont="1" applyFill="1" applyAlignment="1">
      <alignment horizontal="left" vertical="center"/>
    </xf>
    <xf numFmtId="0" fontId="18" fillId="16" borderId="0" xfId="0" applyFont="1" applyFill="1" applyAlignment="1">
      <alignment horizontal="center" vertical="center" wrapText="1"/>
    </xf>
    <xf numFmtId="170" fontId="17" fillId="16" borderId="0" xfId="42" applyFont="1" applyFill="1" applyAlignment="1">
      <alignment horizontal="center" vertical="center"/>
    </xf>
    <xf numFmtId="170" fontId="17" fillId="16" borderId="0" xfId="42" applyFont="1" applyFill="1" applyAlignment="1">
      <alignment horizontal="left" vertical="center"/>
    </xf>
    <xf numFmtId="9" fontId="6" fillId="16" borderId="0" xfId="0" applyNumberFormat="1" applyFont="1" applyFill="1" applyAlignment="1">
      <alignment horizontal="center" vertical="center" wrapText="1"/>
    </xf>
    <xf numFmtId="0" fontId="18" fillId="33" borderId="0" xfId="0" applyFont="1" applyFill="1" applyAlignment="1">
      <alignment horizontal="left" wrapText="1"/>
    </xf>
    <xf numFmtId="0" fontId="18" fillId="33" borderId="0" xfId="0" applyFont="1" applyFill="1" applyAlignment="1">
      <alignment horizontal="left"/>
    </xf>
    <xf numFmtId="0" fontId="6" fillId="33" borderId="0" xfId="0" applyFont="1" applyFill="1" applyAlignment="1">
      <alignment horizontal="left" vertical="center" wrapText="1"/>
    </xf>
    <xf numFmtId="0" fontId="6" fillId="33" borderId="0" xfId="0" applyFont="1" applyFill="1" applyAlignment="1">
      <alignment horizontal="left" wrapText="1"/>
    </xf>
    <xf numFmtId="0" fontId="6" fillId="33" borderId="0" xfId="0" applyFont="1" applyFill="1" applyAlignment="1">
      <alignment horizontal="center" wrapText="1"/>
    </xf>
    <xf numFmtId="0" fontId="6" fillId="33" borderId="0" xfId="0" applyFont="1" applyFill="1" applyAlignment="1">
      <alignment horizontal="center" vertical="top" wrapText="1"/>
    </xf>
    <xf numFmtId="0" fontId="18" fillId="35" borderId="0" xfId="0" applyFont="1" applyFill="1" applyAlignment="1">
      <alignment horizontal="center" vertical="center" wrapText="1"/>
    </xf>
    <xf numFmtId="0" fontId="6" fillId="35" borderId="0" xfId="0" applyFont="1" applyFill="1" applyAlignment="1">
      <alignment horizontal="center" vertical="center"/>
    </xf>
    <xf numFmtId="0" fontId="18" fillId="35" borderId="0" xfId="0" applyFont="1" applyFill="1" applyAlignment="1">
      <alignment horizontal="center"/>
    </xf>
    <xf numFmtId="171" fontId="6" fillId="35" borderId="0" xfId="0" applyNumberFormat="1" applyFont="1" applyFill="1" applyAlignment="1">
      <alignment horizontal="center"/>
    </xf>
    <xf numFmtId="2" fontId="18" fillId="35" borderId="0" xfId="0" applyNumberFormat="1" applyFont="1" applyFill="1" applyAlignment="1">
      <alignment horizontal="center"/>
    </xf>
    <xf numFmtId="0" fontId="18" fillId="16" borderId="0" xfId="0" applyFont="1" applyFill="1" applyAlignment="1">
      <alignment horizontal="center" vertical="center"/>
    </xf>
    <xf numFmtId="0" fontId="18" fillId="16" borderId="0" xfId="0" applyFont="1" applyFill="1" applyAlignment="1">
      <alignment vertical="top"/>
    </xf>
    <xf numFmtId="0" fontId="6" fillId="32" borderId="0" xfId="0" applyFont="1" applyFill="1" applyAlignment="1">
      <alignment horizontal="left" vertical="center" wrapText="1"/>
    </xf>
    <xf numFmtId="0" fontId="6" fillId="33" borderId="0" xfId="0" applyFont="1" applyFill="1" applyAlignment="1">
      <alignment horizontal="center" vertical="center"/>
    </xf>
    <xf numFmtId="172" fontId="6" fillId="33" borderId="0" xfId="50" applyFont="1" applyFill="1" applyAlignment="1">
      <alignment horizontal="left" vertical="center" wrapText="1"/>
    </xf>
    <xf numFmtId="173" fontId="6" fillId="33" borderId="0" xfId="0" applyNumberFormat="1" applyFont="1" applyFill="1" applyAlignment="1">
      <alignment horizontal="center" vertical="center"/>
    </xf>
    <xf numFmtId="0" fontId="6" fillId="16" borderId="0" xfId="50" applyNumberFormat="1" applyFont="1" applyFill="1" applyAlignment="1">
      <alignment horizontal="left" vertical="center"/>
    </xf>
    <xf numFmtId="2" fontId="6" fillId="35" borderId="0" xfId="0" applyNumberFormat="1" applyFont="1" applyFill="1" applyAlignment="1">
      <alignment horizontal="center" vertical="center"/>
    </xf>
    <xf numFmtId="2" fontId="18" fillId="35" borderId="0" xfId="0" applyNumberFormat="1" applyFont="1" applyFill="1" applyAlignment="1">
      <alignment horizontal="center" vertical="center"/>
    </xf>
    <xf numFmtId="2" fontId="6" fillId="35" borderId="0" xfId="0" applyNumberFormat="1" applyFont="1" applyFill="1">
      <alignment vertical="center"/>
    </xf>
    <xf numFmtId="172" fontId="5" fillId="33" borderId="0" xfId="50" quotePrefix="1" applyFont="1" applyFill="1" applyAlignment="1">
      <alignment horizontal="left" vertical="center"/>
    </xf>
    <xf numFmtId="172" fontId="6" fillId="33" borderId="0" xfId="50" quotePrefix="1" applyFont="1" applyFill="1" applyAlignment="1">
      <alignment horizontal="left" vertical="center"/>
    </xf>
    <xf numFmtId="172" fontId="14" fillId="33" borderId="0" xfId="8" applyFill="1">
      <alignment horizontal="center" vertical="center"/>
    </xf>
    <xf numFmtId="172" fontId="14" fillId="31" borderId="0" xfId="8" applyFill="1">
      <alignment horizontal="center" vertical="center"/>
    </xf>
    <xf numFmtId="0" fontId="6" fillId="31" borderId="0" xfId="50" applyNumberFormat="1" applyFont="1" applyFill="1" applyAlignment="1">
      <alignment horizontal="left" vertical="center"/>
    </xf>
    <xf numFmtId="0" fontId="6" fillId="36" borderId="0" xfId="0" applyFont="1" applyFill="1" applyAlignment="1">
      <alignment horizontal="center" vertical="center"/>
    </xf>
    <xf numFmtId="2" fontId="6" fillId="36" borderId="0" xfId="0" applyNumberFormat="1" applyFont="1" applyFill="1" applyAlignment="1">
      <alignment horizontal="center" vertical="center"/>
    </xf>
    <xf numFmtId="2" fontId="18" fillId="36" borderId="0" xfId="0" applyNumberFormat="1" applyFont="1" applyFill="1" applyAlignment="1">
      <alignment horizontal="center" vertical="center"/>
    </xf>
    <xf numFmtId="2" fontId="6" fillId="36" borderId="0" xfId="0" applyNumberFormat="1" applyFont="1" applyFill="1">
      <alignment vertical="center"/>
    </xf>
    <xf numFmtId="172" fontId="6" fillId="31" borderId="0" xfId="0" applyNumberFormat="1" applyFont="1" applyFill="1" applyAlignment="1">
      <alignment horizontal="center" vertical="center"/>
    </xf>
    <xf numFmtId="0" fontId="14" fillId="16" borderId="0" xfId="40" applyFill="1">
      <alignment vertical="center"/>
    </xf>
    <xf numFmtId="0" fontId="6" fillId="33" borderId="0" xfId="0" applyFont="1" applyFill="1" applyAlignment="1">
      <alignment horizontal="left"/>
    </xf>
    <xf numFmtId="1" fontId="6" fillId="33" borderId="0" xfId="0" applyNumberFormat="1" applyFont="1" applyFill="1" applyAlignment="1">
      <alignment horizontal="center" vertical="center" wrapText="1"/>
    </xf>
    <xf numFmtId="1" fontId="6" fillId="33" borderId="0" xfId="0" applyNumberFormat="1" applyFont="1" applyFill="1" applyAlignment="1">
      <alignment horizontal="center" vertical="center"/>
    </xf>
    <xf numFmtId="1" fontId="6" fillId="35" borderId="0" xfId="0" applyNumberFormat="1" applyFont="1" applyFill="1" applyAlignment="1">
      <alignment horizontal="center" vertical="center"/>
    </xf>
    <xf numFmtId="1" fontId="6" fillId="31" borderId="0" xfId="0" applyNumberFormat="1" applyFont="1" applyFill="1" applyAlignment="1">
      <alignment horizontal="center" vertical="center" wrapText="1"/>
    </xf>
    <xf numFmtId="1" fontId="6" fillId="31" borderId="0" xfId="0" applyNumberFormat="1" applyFont="1" applyFill="1" applyAlignment="1">
      <alignment horizontal="center" vertical="center"/>
    </xf>
    <xf numFmtId="1" fontId="6" fillId="34" borderId="0" xfId="0" applyNumberFormat="1" applyFont="1" applyFill="1" applyAlignment="1">
      <alignment horizontal="center" vertical="center" wrapText="1"/>
    </xf>
    <xf numFmtId="1" fontId="6" fillId="34" borderId="0" xfId="0" applyNumberFormat="1" applyFont="1" applyFill="1" applyAlignment="1">
      <alignment horizontal="center" vertical="center"/>
    </xf>
    <xf numFmtId="2" fontId="6" fillId="34" borderId="0" xfId="0" applyNumberFormat="1" applyFont="1" applyFill="1" applyAlignment="1">
      <alignment horizontal="center" vertical="center"/>
    </xf>
    <xf numFmtId="2" fontId="6" fillId="34" borderId="0" xfId="0" applyNumberFormat="1" applyFont="1" applyFill="1">
      <alignment vertical="center"/>
    </xf>
    <xf numFmtId="2" fontId="6" fillId="31" borderId="0" xfId="0" applyNumberFormat="1" applyFont="1" applyFill="1" applyAlignment="1">
      <alignment horizontal="center" vertical="center"/>
    </xf>
    <xf numFmtId="2" fontId="6" fillId="31" borderId="0" xfId="0" applyNumberFormat="1" applyFont="1" applyFill="1">
      <alignment vertical="center"/>
    </xf>
    <xf numFmtId="0" fontId="37" fillId="31" borderId="0" xfId="64" applyFont="1" applyFill="1">
      <alignment vertical="center"/>
    </xf>
    <xf numFmtId="0" fontId="38" fillId="31" borderId="0" xfId="64" applyFont="1" applyFill="1">
      <alignment vertical="center"/>
    </xf>
    <xf numFmtId="0" fontId="38" fillId="31" borderId="0" xfId="64" applyFont="1" applyFill="1" applyAlignment="1">
      <alignment horizontal="center" vertical="center"/>
    </xf>
    <xf numFmtId="0" fontId="38" fillId="31" borderId="0" xfId="64" applyFont="1" applyFill="1" applyAlignment="1">
      <alignment horizontal="center" vertical="center" wrapText="1"/>
    </xf>
    <xf numFmtId="0" fontId="38" fillId="31" borderId="0" xfId="64" applyFont="1" applyFill="1" applyAlignment="1">
      <alignment vertical="center" wrapText="1"/>
    </xf>
    <xf numFmtId="0" fontId="37" fillId="31" borderId="0" xfId="64" applyFont="1" applyFill="1" applyAlignment="1">
      <alignment horizontal="right" vertical="center" wrapText="1"/>
    </xf>
    <xf numFmtId="0" fontId="6" fillId="33" borderId="0" xfId="64" applyFont="1" applyFill="1" applyAlignment="1">
      <alignment horizontal="center" vertical="center" wrapText="1"/>
    </xf>
    <xf numFmtId="0" fontId="6" fillId="32" borderId="0" xfId="64" applyFont="1" applyFill="1" applyAlignment="1">
      <alignment horizontal="center" vertical="center"/>
    </xf>
    <xf numFmtId="170" fontId="38" fillId="16" borderId="0" xfId="62" applyFont="1" applyFill="1" applyAlignment="1">
      <alignment horizontal="center" vertical="center" wrapText="1"/>
    </xf>
    <xf numFmtId="170" fontId="38" fillId="16" borderId="0" xfId="62" applyFont="1" applyFill="1" applyAlignment="1">
      <alignment horizontal="left" vertical="center"/>
    </xf>
    <xf numFmtId="170" fontId="8" fillId="16" borderId="0" xfId="62" applyFont="1" applyFill="1" applyAlignment="1">
      <alignment horizontal="left" vertical="center"/>
    </xf>
    <xf numFmtId="0" fontId="37" fillId="16" borderId="0" xfId="64" applyFont="1" applyFill="1" applyAlignment="1">
      <alignment vertical="top"/>
    </xf>
    <xf numFmtId="0" fontId="37" fillId="33" borderId="0" xfId="64" applyFont="1" applyFill="1" applyAlignment="1">
      <alignment horizontal="center" vertical="center" textRotation="90" wrapText="1"/>
    </xf>
    <xf numFmtId="0" fontId="37" fillId="33" borderId="0" xfId="64" applyFont="1" applyFill="1" applyAlignment="1">
      <alignment horizontal="left"/>
    </xf>
    <xf numFmtId="0" fontId="37" fillId="33" borderId="0" xfId="64" applyFont="1" applyFill="1" applyAlignment="1">
      <alignment horizontal="center"/>
    </xf>
    <xf numFmtId="0" fontId="37" fillId="33" borderId="0" xfId="64" applyFont="1" applyFill="1" applyAlignment="1">
      <alignment horizontal="center" vertical="top" wrapText="1"/>
    </xf>
    <xf numFmtId="0" fontId="37" fillId="35" borderId="0" xfId="64" applyFont="1" applyFill="1" applyAlignment="1">
      <alignment horizontal="center" vertical="center" textRotation="90" wrapText="1"/>
    </xf>
    <xf numFmtId="0" fontId="37" fillId="35" borderId="0" xfId="64" applyFont="1" applyFill="1" applyAlignment="1">
      <alignment horizontal="center" vertical="center" textRotation="90"/>
    </xf>
    <xf numFmtId="0" fontId="37" fillId="35" borderId="0" xfId="64" applyFont="1" applyFill="1" applyAlignment="1">
      <alignment horizontal="center" vertical="center" wrapText="1"/>
    </xf>
    <xf numFmtId="0" fontId="37" fillId="35" borderId="0" xfId="64" applyFont="1" applyFill="1" applyAlignment="1">
      <alignment horizontal="center"/>
    </xf>
    <xf numFmtId="0" fontId="37" fillId="35" borderId="0" xfId="64" applyFont="1" applyFill="1">
      <alignment vertical="center"/>
    </xf>
    <xf numFmtId="171" fontId="37" fillId="35" borderId="0" xfId="64" applyNumberFormat="1" applyFont="1" applyFill="1" applyAlignment="1">
      <alignment horizontal="center"/>
    </xf>
    <xf numFmtId="2" fontId="37" fillId="35" borderId="0" xfId="64" applyNumberFormat="1" applyFont="1" applyFill="1" applyAlignment="1">
      <alignment horizontal="center"/>
    </xf>
    <xf numFmtId="0" fontId="6" fillId="32" borderId="0" xfId="85" applyFont="1" applyFill="1" applyAlignment="1">
      <alignment horizontal="center" vertical="center"/>
    </xf>
    <xf numFmtId="0" fontId="1" fillId="32" borderId="0" xfId="85" applyFont="1" applyFill="1" applyAlignment="1">
      <alignment horizontal="left" vertical="center"/>
    </xf>
    <xf numFmtId="0" fontId="6" fillId="31" borderId="0" xfId="64" applyFont="1" applyFill="1" applyAlignment="1">
      <alignment vertical="center" wrapText="1"/>
    </xf>
    <xf numFmtId="0" fontId="19" fillId="31" borderId="0" xfId="64" applyFont="1" applyFill="1" applyAlignment="1">
      <alignment horizontal="left" vertical="center"/>
    </xf>
    <xf numFmtId="0" fontId="6" fillId="33" borderId="0" xfId="64" applyFont="1" applyFill="1" applyAlignment="1" applyProtection="1">
      <alignment horizontal="center" vertical="center" wrapText="1"/>
      <protection locked="0"/>
    </xf>
    <xf numFmtId="0" fontId="6" fillId="33" borderId="0" xfId="64" applyFont="1" applyFill="1" applyAlignment="1" applyProtection="1">
      <alignment horizontal="center" vertical="center"/>
      <protection locked="0"/>
    </xf>
    <xf numFmtId="172" fontId="6" fillId="33" borderId="0" xfId="57" applyFont="1" applyFill="1" applyAlignment="1">
      <alignment horizontal="left" vertical="center" wrapText="1"/>
    </xf>
    <xf numFmtId="172" fontId="37" fillId="33" borderId="0" xfId="57" quotePrefix="1" applyFont="1" applyFill="1" applyAlignment="1">
      <alignment horizontal="left" vertical="center"/>
    </xf>
    <xf numFmtId="1" fontId="6" fillId="33" borderId="0" xfId="85" applyNumberFormat="1" applyFont="1" applyFill="1" applyAlignment="1">
      <alignment horizontal="center" vertical="center"/>
    </xf>
    <xf numFmtId="0" fontId="37" fillId="33" borderId="0" xfId="64" applyFont="1" applyFill="1" applyAlignment="1">
      <alignment horizontal="center" vertical="center"/>
    </xf>
    <xf numFmtId="0" fontId="37" fillId="35" borderId="0" xfId="64" applyFont="1" applyFill="1" applyAlignment="1">
      <alignment horizontal="center" vertical="center"/>
    </xf>
    <xf numFmtId="2" fontId="37" fillId="35" borderId="0" xfId="64" applyNumberFormat="1" applyFont="1" applyFill="1" applyAlignment="1">
      <alignment horizontal="center" vertical="center"/>
    </xf>
    <xf numFmtId="2" fontId="37" fillId="35" borderId="0" xfId="64" applyNumberFormat="1" applyFont="1" applyFill="1">
      <alignment vertical="center"/>
    </xf>
    <xf numFmtId="0" fontId="6" fillId="16" borderId="0" xfId="85" applyFont="1" applyFill="1" applyAlignment="1">
      <alignment vertical="center"/>
    </xf>
    <xf numFmtId="0" fontId="6" fillId="31" borderId="0" xfId="64" quotePrefix="1" applyFont="1" applyFill="1" applyAlignment="1" applyProtection="1">
      <alignment horizontal="center" vertical="center"/>
      <protection locked="0"/>
    </xf>
    <xf numFmtId="0" fontId="6" fillId="31" borderId="0" xfId="64" applyFont="1" applyFill="1" applyAlignment="1" applyProtection="1">
      <alignment horizontal="center" vertical="center" wrapText="1"/>
      <protection locked="0"/>
    </xf>
    <xf numFmtId="173" fontId="6" fillId="31" borderId="0" xfId="85" applyNumberFormat="1" applyFont="1" applyFill="1" applyAlignment="1">
      <alignment horizontal="center" vertical="center"/>
    </xf>
    <xf numFmtId="173" fontId="6" fillId="31" borderId="0" xfId="64" applyNumberFormat="1" applyFont="1" applyFill="1" applyAlignment="1">
      <alignment horizontal="center" vertical="center"/>
    </xf>
    <xf numFmtId="0" fontId="6" fillId="31" borderId="0" xfId="85" applyFont="1" applyFill="1" applyAlignment="1">
      <alignment vertical="center"/>
    </xf>
    <xf numFmtId="172" fontId="6" fillId="31" borderId="0" xfId="57" applyFont="1" applyFill="1" applyAlignment="1">
      <alignment horizontal="left" vertical="center" wrapText="1"/>
    </xf>
    <xf numFmtId="1" fontId="6" fillId="31" borderId="0" xfId="85" applyNumberFormat="1" applyFont="1" applyFill="1" applyAlignment="1">
      <alignment horizontal="center" vertical="center"/>
    </xf>
    <xf numFmtId="1" fontId="37" fillId="35" borderId="0" xfId="64" applyNumberFormat="1" applyFont="1" applyFill="1" applyAlignment="1">
      <alignment horizontal="center" vertical="center"/>
    </xf>
    <xf numFmtId="0" fontId="37" fillId="31" borderId="0" xfId="66" applyFont="1" applyFill="1"/>
    <xf numFmtId="0" fontId="38" fillId="31" borderId="0" xfId="66" applyFont="1" applyFill="1"/>
    <xf numFmtId="0" fontId="38" fillId="31" borderId="0" xfId="66" applyFont="1" applyFill="1" applyAlignment="1">
      <alignment horizontal="center" vertical="center"/>
    </xf>
    <xf numFmtId="0" fontId="38" fillId="31" borderId="0" xfId="66" applyFont="1" applyFill="1" applyAlignment="1">
      <alignment horizontal="center" vertical="center" wrapText="1"/>
    </xf>
    <xf numFmtId="0" fontId="38" fillId="31" borderId="0" xfId="66" applyFont="1" applyFill="1" applyAlignment="1">
      <alignment vertical="center" wrapText="1"/>
    </xf>
    <xf numFmtId="0" fontId="37" fillId="31" borderId="0" xfId="66" applyFont="1" applyFill="1" applyAlignment="1">
      <alignment horizontal="right" vertical="center" wrapText="1"/>
    </xf>
    <xf numFmtId="0" fontId="38" fillId="16" borderId="0" xfId="66" applyFont="1" applyFill="1" applyAlignment="1">
      <alignment horizontal="center" vertical="center" wrapText="1"/>
    </xf>
    <xf numFmtId="170" fontId="38" fillId="16" borderId="0" xfId="56" applyFont="1" applyFill="1" applyAlignment="1">
      <alignment horizontal="center" vertical="center" wrapText="1"/>
    </xf>
    <xf numFmtId="170" fontId="38" fillId="16" borderId="0" xfId="56" applyFont="1" applyFill="1" applyAlignment="1">
      <alignment horizontal="left" vertical="center" wrapText="1"/>
    </xf>
    <xf numFmtId="0" fontId="37" fillId="16" borderId="0" xfId="66" applyFont="1" applyFill="1" applyAlignment="1">
      <alignment horizontal="center" vertical="center" textRotation="90" wrapText="1"/>
    </xf>
    <xf numFmtId="0" fontId="37" fillId="16" borderId="0" xfId="66" applyFont="1" applyFill="1" applyAlignment="1">
      <alignment horizontal="center" vertical="center" wrapText="1"/>
    </xf>
    <xf numFmtId="170" fontId="8" fillId="16" borderId="0" xfId="56" applyFont="1" applyFill="1" applyAlignment="1">
      <alignment horizontal="center" vertical="center" textRotation="90" wrapText="1"/>
    </xf>
    <xf numFmtId="170" fontId="8" fillId="16" borderId="0" xfId="56" applyFont="1" applyFill="1" applyAlignment="1">
      <alignment horizontal="left" vertical="center" wrapText="1"/>
    </xf>
    <xf numFmtId="170" fontId="26" fillId="16" borderId="0" xfId="56" applyFont="1" applyFill="1">
      <alignment horizontal="center" vertical="center"/>
    </xf>
    <xf numFmtId="170" fontId="26" fillId="16" borderId="0" xfId="56" applyFont="1" applyFill="1" applyAlignment="1">
      <alignment horizontal="left" vertical="center"/>
    </xf>
    <xf numFmtId="0" fontId="6" fillId="33" borderId="0" xfId="66" applyFont="1" applyFill="1" applyAlignment="1">
      <alignment horizontal="center" vertical="center" wrapText="1"/>
    </xf>
    <xf numFmtId="0" fontId="6" fillId="32" borderId="0" xfId="86" applyFont="1" applyFill="1" applyAlignment="1">
      <alignment horizontal="center" vertical="center"/>
    </xf>
    <xf numFmtId="0" fontId="5" fillId="32" borderId="0" xfId="66" applyFont="1" applyFill="1" applyAlignment="1">
      <alignment horizontal="center" vertical="center"/>
    </xf>
    <xf numFmtId="0" fontId="6" fillId="31" borderId="0" xfId="66" applyFont="1" applyFill="1" applyAlignment="1">
      <alignment vertical="center" wrapText="1"/>
    </xf>
    <xf numFmtId="0" fontId="19" fillId="31" borderId="0" xfId="66" applyFont="1" applyFill="1" applyAlignment="1">
      <alignment horizontal="left" vertical="center"/>
    </xf>
    <xf numFmtId="0" fontId="6" fillId="33" borderId="0" xfId="66" applyFont="1" applyFill="1" applyAlignment="1" applyProtection="1">
      <alignment horizontal="center" vertical="center"/>
      <protection locked="0"/>
    </xf>
    <xf numFmtId="173" fontId="6" fillId="33" borderId="0" xfId="66" applyNumberFormat="1" applyFont="1" applyFill="1" applyAlignment="1">
      <alignment horizontal="center" vertical="center"/>
    </xf>
    <xf numFmtId="0" fontId="6" fillId="31" borderId="0" xfId="66" quotePrefix="1" applyFont="1" applyFill="1" applyAlignment="1" applyProtection="1">
      <alignment horizontal="center" vertical="center"/>
      <protection locked="0"/>
    </xf>
    <xf numFmtId="0" fontId="6" fillId="31" borderId="0" xfId="66" applyFont="1" applyFill="1" applyAlignment="1" applyProtection="1">
      <alignment horizontal="center" vertical="center" wrapText="1"/>
      <protection locked="0"/>
    </xf>
    <xf numFmtId="173" fontId="6" fillId="31" borderId="0" xfId="66" applyNumberFormat="1" applyFont="1" applyFill="1" applyAlignment="1">
      <alignment horizontal="center" vertical="center"/>
    </xf>
    <xf numFmtId="0" fontId="8" fillId="31" borderId="0" xfId="57" applyNumberFormat="1" applyFont="1" applyFill="1" applyAlignment="1">
      <alignment horizontal="left" vertical="center" wrapText="1"/>
    </xf>
    <xf numFmtId="0" fontId="6" fillId="31" borderId="0" xfId="66" applyFont="1" applyFill="1" applyAlignment="1" applyProtection="1">
      <alignment horizontal="center" vertical="center"/>
      <protection locked="0"/>
    </xf>
    <xf numFmtId="174" fontId="19" fillId="31" borderId="0" xfId="10" applyFont="1" applyFill="1" applyAlignment="1">
      <alignment vertical="center" wrapText="1"/>
    </xf>
    <xf numFmtId="174" fontId="19" fillId="31" borderId="0" xfId="10" applyFont="1" applyFill="1" applyAlignment="1">
      <alignment horizontal="center" vertical="center"/>
    </xf>
    <xf numFmtId="0" fontId="6" fillId="16" borderId="0" xfId="10" applyNumberFormat="1" applyFont="1" applyFill="1" applyAlignment="1">
      <alignment horizontal="center" vertical="center" textRotation="90" wrapText="1"/>
    </xf>
    <xf numFmtId="174" fontId="6" fillId="16" borderId="0" xfId="10" applyFont="1" applyFill="1" applyAlignment="1">
      <alignment horizontal="center" vertical="center" wrapText="1"/>
    </xf>
    <xf numFmtId="174" fontId="6" fillId="16" borderId="0" xfId="10" applyFont="1" applyFill="1" applyAlignment="1">
      <alignment horizontal="center" vertical="center" textRotation="90" wrapText="1"/>
    </xf>
    <xf numFmtId="0" fontId="14" fillId="16" borderId="0" xfId="41" applyFill="1" applyAlignment="1">
      <alignment horizontal="center" vertical="center" wrapText="1"/>
    </xf>
    <xf numFmtId="174" fontId="6" fillId="16" borderId="0" xfId="10" applyFont="1" applyFill="1" applyAlignment="1">
      <alignment horizontal="left" vertical="center" wrapText="1"/>
    </xf>
    <xf numFmtId="0" fontId="6" fillId="16" borderId="0" xfId="10" applyNumberFormat="1" applyFont="1" applyFill="1" applyAlignment="1">
      <alignment horizontal="center" vertical="center" wrapText="1"/>
    </xf>
    <xf numFmtId="174" fontId="17" fillId="16" borderId="0" xfId="10" applyFont="1" applyFill="1" applyAlignment="1">
      <alignment horizontal="center" vertical="center" wrapText="1"/>
    </xf>
    <xf numFmtId="174" fontId="17" fillId="16" borderId="0" xfId="10" applyFont="1" applyFill="1" applyAlignment="1">
      <alignment horizontal="left" vertical="center" wrapText="1"/>
    </xf>
    <xf numFmtId="0" fontId="14" fillId="33" borderId="0" xfId="41" applyFill="1" applyAlignment="1">
      <alignment horizontal="center" vertical="center" wrapText="1"/>
    </xf>
    <xf numFmtId="174" fontId="6" fillId="31" borderId="0" xfId="10" applyFont="1" applyFill="1" applyAlignment="1">
      <alignment vertical="center" wrapText="1"/>
    </xf>
    <xf numFmtId="174" fontId="19" fillId="31" borderId="0" xfId="10" applyFont="1" applyFill="1" applyAlignment="1">
      <alignment horizontal="left" vertical="center"/>
    </xf>
    <xf numFmtId="0" fontId="6" fillId="33" borderId="0" xfId="10" applyNumberFormat="1" applyFont="1" applyFill="1" applyAlignment="1">
      <alignment horizontal="center" vertical="center" wrapText="1"/>
    </xf>
    <xf numFmtId="0" fontId="6" fillId="33" borderId="0" xfId="10" applyNumberFormat="1" applyFont="1" applyFill="1" applyAlignment="1">
      <alignment horizontal="center" vertical="center"/>
    </xf>
    <xf numFmtId="172" fontId="14" fillId="16" borderId="0" xfId="8" applyFill="1">
      <alignment horizontal="center" vertical="center"/>
    </xf>
    <xf numFmtId="174" fontId="6" fillId="31" borderId="0" xfId="50" applyNumberFormat="1" applyFont="1" applyFill="1" applyAlignment="1">
      <alignment horizontal="left" vertical="center"/>
    </xf>
    <xf numFmtId="174" fontId="6" fillId="31" borderId="0" xfId="10" applyFont="1" applyFill="1" applyAlignment="1">
      <alignment horizontal="left" vertical="center"/>
    </xf>
    <xf numFmtId="174" fontId="6" fillId="31" borderId="0" xfId="10" applyFont="1" applyFill="1" applyAlignment="1">
      <alignment horizontal="left" vertical="center" wrapText="1"/>
    </xf>
    <xf numFmtId="0" fontId="6" fillId="31" borderId="0" xfId="10" applyNumberFormat="1" applyFont="1" applyFill="1" applyAlignment="1">
      <alignment horizontal="center" vertical="center"/>
    </xf>
    <xf numFmtId="0" fontId="6" fillId="31" borderId="0" xfId="10" applyNumberFormat="1" applyFont="1" applyFill="1" applyAlignment="1">
      <alignment horizontal="center" vertical="center" wrapText="1"/>
    </xf>
    <xf numFmtId="0" fontId="23" fillId="16" borderId="0" xfId="0" applyFont="1" applyFill="1" applyAlignment="1">
      <alignment vertical="center" wrapText="1"/>
    </xf>
    <xf numFmtId="0" fontId="37" fillId="33" borderId="0" xfId="64" applyFont="1" applyFill="1" applyAlignment="1">
      <alignment horizontal="left" vertical="center"/>
    </xf>
    <xf numFmtId="1" fontId="6" fillId="33" borderId="0" xfId="64" applyNumberFormat="1" applyFont="1" applyFill="1" applyAlignment="1">
      <alignment horizontal="center" vertical="center"/>
    </xf>
    <xf numFmtId="0" fontId="37" fillId="31" borderId="0" xfId="64" applyFont="1" applyFill="1" applyAlignment="1">
      <alignment horizontal="center" vertical="center"/>
    </xf>
    <xf numFmtId="1" fontId="6" fillId="31" borderId="0" xfId="64" quotePrefix="1" applyNumberFormat="1" applyFont="1" applyFill="1" applyAlignment="1" applyProtection="1">
      <alignment horizontal="center" vertical="center"/>
      <protection locked="0"/>
    </xf>
    <xf numFmtId="1" fontId="6" fillId="31" borderId="0" xfId="64" applyNumberFormat="1" applyFont="1" applyFill="1" applyAlignment="1" applyProtection="1">
      <alignment horizontal="center" vertical="center" wrapText="1"/>
      <protection locked="0"/>
    </xf>
    <xf numFmtId="0" fontId="6" fillId="31" borderId="0" xfId="57" applyNumberFormat="1" applyFont="1" applyFill="1" applyAlignment="1">
      <alignment horizontal="left" vertical="center" wrapText="1"/>
    </xf>
    <xf numFmtId="0" fontId="6" fillId="34" borderId="0" xfId="64" quotePrefix="1" applyFont="1" applyFill="1" applyAlignment="1" applyProtection="1">
      <alignment horizontal="center" vertical="center"/>
      <protection locked="0"/>
    </xf>
    <xf numFmtId="0" fontId="6" fillId="34" borderId="0" xfId="64" applyFont="1" applyFill="1" applyAlignment="1" applyProtection="1">
      <alignment horizontal="center" vertical="center" wrapText="1"/>
      <protection locked="0"/>
    </xf>
    <xf numFmtId="173" fontId="6" fillId="34" borderId="0" xfId="85" applyNumberFormat="1" applyFont="1" applyFill="1" applyAlignment="1">
      <alignment horizontal="center" vertical="center"/>
    </xf>
    <xf numFmtId="173" fontId="6" fillId="34" borderId="0" xfId="64" applyNumberFormat="1" applyFont="1" applyFill="1" applyAlignment="1">
      <alignment horizontal="center" vertical="center"/>
    </xf>
    <xf numFmtId="0" fontId="6" fillId="34" borderId="0" xfId="85" applyFont="1" applyFill="1" applyAlignment="1">
      <alignment vertical="center"/>
    </xf>
    <xf numFmtId="1" fontId="6" fillId="34" borderId="0" xfId="85" applyNumberFormat="1" applyFont="1" applyFill="1" applyAlignment="1">
      <alignment horizontal="center" vertical="center"/>
    </xf>
    <xf numFmtId="1" fontId="37" fillId="34" borderId="0" xfId="64" applyNumberFormat="1" applyFont="1" applyFill="1" applyAlignment="1">
      <alignment horizontal="center" vertical="center"/>
    </xf>
    <xf numFmtId="2" fontId="37" fillId="34" borderId="0" xfId="64" applyNumberFormat="1" applyFont="1" applyFill="1" applyAlignment="1">
      <alignment horizontal="center" vertical="center"/>
    </xf>
    <xf numFmtId="2" fontId="37" fillId="34" borderId="0" xfId="64" applyNumberFormat="1" applyFont="1" applyFill="1">
      <alignment vertical="center"/>
    </xf>
    <xf numFmtId="2" fontId="37" fillId="31" borderId="0" xfId="64" applyNumberFormat="1" applyFont="1" applyFill="1" applyAlignment="1">
      <alignment horizontal="center" vertical="center"/>
    </xf>
    <xf numFmtId="2" fontId="37" fillId="31" borderId="0" xfId="64" applyNumberFormat="1" applyFont="1" applyFill="1">
      <alignment vertical="center"/>
    </xf>
    <xf numFmtId="172" fontId="6" fillId="34" borderId="0" xfId="57" applyFont="1" applyFill="1" applyAlignment="1">
      <alignment horizontal="left" vertical="center" wrapText="1"/>
    </xf>
    <xf numFmtId="0" fontId="6" fillId="34" borderId="0" xfId="66" quotePrefix="1" applyFont="1" applyFill="1" applyAlignment="1" applyProtection="1">
      <alignment horizontal="center" vertical="center"/>
      <protection locked="0"/>
    </xf>
    <xf numFmtId="0" fontId="6" fillId="34" borderId="0" xfId="66" applyFont="1" applyFill="1" applyAlignment="1" applyProtection="1">
      <alignment horizontal="center" vertical="center" wrapText="1"/>
      <protection locked="0"/>
    </xf>
    <xf numFmtId="173" fontId="6" fillId="34" borderId="0" xfId="66" applyNumberFormat="1" applyFont="1" applyFill="1" applyAlignment="1">
      <alignment horizontal="center" vertical="center"/>
    </xf>
    <xf numFmtId="0" fontId="8" fillId="34" borderId="0" xfId="57" applyNumberFormat="1" applyFont="1" applyFill="1" applyAlignment="1">
      <alignment horizontal="left" vertical="center" wrapText="1"/>
    </xf>
    <xf numFmtId="0" fontId="6" fillId="34" borderId="0" xfId="66" applyFont="1" applyFill="1" applyAlignment="1" applyProtection="1">
      <alignment horizontal="center" vertical="center"/>
      <protection locked="0"/>
    </xf>
    <xf numFmtId="172" fontId="14" fillId="34" borderId="0" xfId="8" applyFill="1">
      <alignment horizontal="center" vertical="center"/>
    </xf>
    <xf numFmtId="174" fontId="6" fillId="34" borderId="0" xfId="50" applyNumberFormat="1" applyFont="1" applyFill="1" applyAlignment="1">
      <alignment horizontal="left" vertical="center"/>
    </xf>
    <xf numFmtId="174" fontId="6" fillId="34" borderId="0" xfId="10" applyFont="1" applyFill="1" applyAlignment="1">
      <alignment horizontal="left" vertical="center"/>
    </xf>
    <xf numFmtId="174" fontId="6" fillId="34" borderId="0" xfId="10" applyFont="1" applyFill="1" applyAlignment="1">
      <alignment horizontal="left" vertical="center" wrapText="1"/>
    </xf>
    <xf numFmtId="0" fontId="6" fillId="34" borderId="0" xfId="10" applyNumberFormat="1" applyFont="1" applyFill="1" applyAlignment="1">
      <alignment horizontal="center" vertical="center"/>
    </xf>
    <xf numFmtId="0" fontId="6" fillId="34" borderId="0" xfId="10" applyNumberFormat="1" applyFont="1" applyFill="1" applyAlignment="1">
      <alignment horizontal="center" vertical="center" wrapText="1"/>
    </xf>
    <xf numFmtId="1" fontId="6" fillId="34" borderId="0" xfId="10" applyNumberFormat="1" applyFont="1" applyFill="1" applyAlignment="1">
      <alignment horizontal="center" vertical="center"/>
    </xf>
    <xf numFmtId="1" fontId="6" fillId="31" borderId="0" xfId="10" applyNumberFormat="1" applyFont="1" applyFill="1" applyAlignment="1">
      <alignment horizontal="center" vertical="center"/>
    </xf>
    <xf numFmtId="172" fontId="6" fillId="34" borderId="0" xfId="0" applyNumberFormat="1" applyFont="1" applyFill="1" applyAlignment="1">
      <alignment horizontal="left" vertical="center"/>
    </xf>
    <xf numFmtId="172" fontId="6" fillId="31" borderId="0" xfId="0" applyNumberFormat="1" applyFont="1" applyFill="1" applyAlignment="1">
      <alignment horizontal="left" vertical="center"/>
    </xf>
    <xf numFmtId="0" fontId="37" fillId="32" borderId="0" xfId="34" applyFont="1" applyFill="1" applyAlignment="1">
      <alignment horizontal="center" vertical="center"/>
    </xf>
    <xf numFmtId="1" fontId="6" fillId="34" borderId="0" xfId="64" quotePrefix="1" applyNumberFormat="1" applyFont="1" applyFill="1" applyAlignment="1" applyProtection="1">
      <alignment horizontal="center" vertical="center"/>
      <protection locked="0"/>
    </xf>
    <xf numFmtId="1" fontId="6" fillId="34" borderId="0" xfId="64" applyNumberFormat="1" applyFont="1" applyFill="1" applyAlignment="1" applyProtection="1">
      <alignment horizontal="center" vertical="center" wrapText="1"/>
      <protection locked="0"/>
    </xf>
    <xf numFmtId="0" fontId="6" fillId="34" borderId="0" xfId="57" applyNumberFormat="1" applyFont="1" applyFill="1" applyAlignment="1">
      <alignment horizontal="left" vertical="center" wrapText="1"/>
    </xf>
    <xf numFmtId="174" fontId="6" fillId="31" borderId="0" xfId="10" applyFont="1" applyFill="1" applyAlignment="1">
      <alignment horizontal="center" vertical="center"/>
    </xf>
    <xf numFmtId="174" fontId="6" fillId="31" borderId="0" xfId="10" applyFont="1" applyFill="1" applyAlignment="1">
      <alignment horizontal="center" vertical="center" wrapText="1"/>
    </xf>
    <xf numFmtId="1" fontId="6" fillId="34" borderId="0" xfId="64" applyNumberFormat="1" applyFont="1" applyFill="1" applyAlignment="1" applyProtection="1">
      <alignment horizontal="center" vertical="center"/>
      <protection locked="0"/>
    </xf>
    <xf numFmtId="1" fontId="6" fillId="31" borderId="0" xfId="64" applyNumberFormat="1" applyFont="1" applyFill="1" applyAlignment="1" applyProtection="1">
      <alignment horizontal="center" vertical="center"/>
      <protection locked="0"/>
    </xf>
    <xf numFmtId="0" fontId="37" fillId="32" borderId="0" xfId="36" applyFont="1" applyFill="1" applyAlignment="1">
      <alignment horizontal="center"/>
    </xf>
    <xf numFmtId="174" fontId="6" fillId="34" borderId="0" xfId="10" applyFont="1" applyFill="1" applyAlignment="1">
      <alignment horizontal="center" vertical="center"/>
    </xf>
    <xf numFmtId="174" fontId="6" fillId="34" borderId="0" xfId="10" applyFont="1" applyFill="1" applyAlignment="1">
      <alignment horizontal="center" vertical="center" wrapText="1"/>
    </xf>
    <xf numFmtId="9" fontId="37" fillId="31" borderId="0" xfId="64" applyNumberFormat="1" applyFont="1" applyFill="1">
      <alignment vertical="center"/>
    </xf>
    <xf numFmtId="0" fontId="37" fillId="34" borderId="0" xfId="64" applyFont="1" applyFill="1">
      <alignment vertical="center"/>
    </xf>
    <xf numFmtId="0" fontId="8" fillId="34" borderId="0" xfId="33" applyFont="1" applyFill="1" applyAlignment="1">
      <alignment horizontal="left" vertical="center"/>
    </xf>
    <xf numFmtId="1" fontId="37" fillId="31" borderId="0" xfId="64" applyNumberFormat="1" applyFont="1" applyFill="1" applyAlignment="1">
      <alignment horizontal="center"/>
    </xf>
    <xf numFmtId="1" fontId="37" fillId="34" borderId="0" xfId="64" applyNumberFormat="1" applyFont="1" applyFill="1" applyAlignment="1">
      <alignment horizontal="center"/>
    </xf>
    <xf numFmtId="11" fontId="6" fillId="33" borderId="0" xfId="14" applyNumberFormat="1" applyFont="1" applyFill="1" applyAlignment="1">
      <alignment horizontal="center" vertical="center"/>
    </xf>
    <xf numFmtId="11" fontId="6" fillId="34" borderId="0" xfId="14" applyNumberFormat="1" applyFont="1" applyFill="1" applyAlignment="1">
      <alignment horizontal="center" vertical="center"/>
    </xf>
    <xf numFmtId="0" fontId="6" fillId="34" borderId="0" xfId="50" applyNumberFormat="1" applyFont="1" applyFill="1" applyAlignment="1">
      <alignment horizontal="left" vertical="center"/>
    </xf>
    <xf numFmtId="11" fontId="6" fillId="31" borderId="0" xfId="14" applyNumberFormat="1" applyFont="1" applyFill="1" applyAlignment="1">
      <alignment horizontal="center" vertical="center"/>
    </xf>
    <xf numFmtId="0" fontId="37" fillId="32" borderId="0" xfId="85" applyFont="1" applyFill="1" applyAlignment="1">
      <alignment horizontal="center" vertical="center"/>
    </xf>
    <xf numFmtId="0" fontId="63" fillId="32" borderId="0" xfId="85" applyFont="1" applyFill="1" applyAlignment="1">
      <alignment horizontal="center" vertical="center"/>
    </xf>
    <xf numFmtId="0" fontId="37" fillId="31" borderId="0" xfId="64" applyFont="1" applyFill="1" applyAlignment="1">
      <alignment horizontal="center" vertical="center" wrapText="1"/>
    </xf>
    <xf numFmtId="171" fontId="37" fillId="35" borderId="0" xfId="64" applyNumberFormat="1" applyFont="1" applyFill="1" applyAlignment="1">
      <alignment horizontal="center" vertical="center"/>
    </xf>
    <xf numFmtId="172" fontId="6" fillId="34" borderId="0" xfId="57" applyFont="1" applyFill="1">
      <alignment horizontal="center" vertical="center"/>
    </xf>
    <xf numFmtId="172" fontId="6" fillId="34" borderId="0" xfId="57" quotePrefix="1" applyFont="1" applyFill="1" applyAlignment="1">
      <alignment horizontal="left" vertical="center"/>
    </xf>
    <xf numFmtId="0" fontId="6" fillId="34" borderId="0" xfId="57" quotePrefix="1" applyNumberFormat="1" applyFont="1" applyFill="1">
      <alignment horizontal="center" vertical="center"/>
    </xf>
    <xf numFmtId="0" fontId="6" fillId="34" borderId="0" xfId="57" applyNumberFormat="1" applyFont="1" applyFill="1">
      <alignment horizontal="center" vertical="center"/>
    </xf>
    <xf numFmtId="2" fontId="6" fillId="34" borderId="0" xfId="57" applyNumberFormat="1" applyFont="1" applyFill="1">
      <alignment horizontal="center" vertical="center"/>
    </xf>
    <xf numFmtId="172" fontId="6" fillId="31" borderId="0" xfId="57" applyFont="1" applyFill="1">
      <alignment horizontal="center" vertical="center"/>
    </xf>
    <xf numFmtId="172" fontId="6" fillId="31" borderId="0" xfId="57" quotePrefix="1" applyFont="1" applyFill="1" applyAlignment="1">
      <alignment horizontal="left" vertical="center"/>
    </xf>
    <xf numFmtId="0" fontId="6" fillId="31" borderId="0" xfId="57" quotePrefix="1" applyNumberFormat="1" applyFont="1" applyFill="1">
      <alignment horizontal="center" vertical="center"/>
    </xf>
    <xf numFmtId="0" fontId="6" fillId="31" borderId="0" xfId="57" applyNumberFormat="1" applyFont="1" applyFill="1">
      <alignment horizontal="center" vertical="center"/>
    </xf>
    <xf numFmtId="2" fontId="6" fillId="31" borderId="0" xfId="57" applyNumberFormat="1" applyFont="1" applyFill="1">
      <alignment horizontal="center" vertical="center"/>
    </xf>
    <xf numFmtId="1" fontId="6" fillId="34" borderId="0" xfId="64" applyNumberFormat="1" applyFont="1" applyFill="1" applyAlignment="1">
      <alignment horizontal="center" vertical="center"/>
    </xf>
    <xf numFmtId="1" fontId="6" fillId="31" borderId="0" xfId="64" applyNumberFormat="1" applyFont="1" applyFill="1" applyAlignment="1">
      <alignment horizontal="center" vertical="center"/>
    </xf>
    <xf numFmtId="0" fontId="6" fillId="17" borderId="0" xfId="117" applyFill="1" applyAlignment="1">
      <alignment horizontal="left" vertical="center" wrapText="1"/>
    </xf>
    <xf numFmtId="0" fontId="37" fillId="17" borderId="0" xfId="117" applyFont="1" applyFill="1" applyAlignment="1">
      <alignment horizontal="left" vertical="center" wrapText="1"/>
    </xf>
    <xf numFmtId="0" fontId="6" fillId="26" borderId="0" xfId="117" applyFill="1" applyAlignment="1">
      <alignment horizontal="left" vertical="center" wrapText="1"/>
    </xf>
    <xf numFmtId="165" fontId="6" fillId="17" borderId="0" xfId="117" applyNumberFormat="1" applyFill="1" applyAlignment="1">
      <alignment horizontal="left" vertical="center" wrapText="1"/>
    </xf>
    <xf numFmtId="165" fontId="37" fillId="17" borderId="0" xfId="117" applyNumberFormat="1" applyFont="1" applyFill="1" applyAlignment="1">
      <alignment horizontal="left" vertical="center" wrapText="1"/>
    </xf>
    <xf numFmtId="165" fontId="6" fillId="26" borderId="0" xfId="117" applyNumberFormat="1" applyFill="1" applyAlignment="1">
      <alignment horizontal="left" vertical="center" wrapText="1"/>
    </xf>
    <xf numFmtId="170" fontId="6" fillId="17" borderId="0" xfId="117" applyNumberFormat="1" applyFill="1" applyAlignment="1">
      <alignment horizontal="left" vertical="center" wrapText="1"/>
    </xf>
    <xf numFmtId="170" fontId="37" fillId="17" borderId="0" xfId="117" applyNumberFormat="1" applyFont="1" applyFill="1" applyAlignment="1">
      <alignment horizontal="left" vertical="center" wrapText="1"/>
    </xf>
    <xf numFmtId="170" fontId="6" fillId="26" borderId="0" xfId="117" applyNumberFormat="1" applyFill="1" applyAlignment="1">
      <alignment horizontal="left" vertical="center" wrapText="1"/>
    </xf>
    <xf numFmtId="0" fontId="6" fillId="29" borderId="0" xfId="117" applyFill="1" applyAlignment="1">
      <alignment horizontal="left" vertical="center" wrapText="1"/>
    </xf>
    <xf numFmtId="0" fontId="37" fillId="11" borderId="0" xfId="117" applyFont="1" applyFill="1" applyAlignment="1">
      <alignment horizontal="left" vertical="center" wrapText="1"/>
    </xf>
    <xf numFmtId="49" fontId="6" fillId="17" borderId="0" xfId="117" applyNumberFormat="1" applyFill="1" applyAlignment="1">
      <alignment horizontal="left" vertical="center" wrapText="1"/>
    </xf>
    <xf numFmtId="49" fontId="37" fillId="17" borderId="0" xfId="117" applyNumberFormat="1" applyFont="1" applyFill="1" applyAlignment="1">
      <alignment horizontal="left" vertical="center" wrapText="1"/>
    </xf>
    <xf numFmtId="49" fontId="6" fillId="26" borderId="0" xfId="117" applyNumberFormat="1" applyFill="1" applyAlignment="1">
      <alignment horizontal="left" vertical="center" wrapText="1"/>
    </xf>
    <xf numFmtId="0" fontId="6" fillId="0" borderId="0" xfId="117" applyAlignment="1">
      <alignment horizontal="left" vertical="center" wrapText="1"/>
    </xf>
    <xf numFmtId="14" fontId="6" fillId="17" borderId="0" xfId="117" applyNumberFormat="1" applyFill="1" applyAlignment="1">
      <alignment horizontal="left" vertical="center" wrapText="1"/>
    </xf>
    <xf numFmtId="14" fontId="37" fillId="17" borderId="0" xfId="117" applyNumberFormat="1" applyFont="1" applyFill="1" applyAlignment="1">
      <alignment horizontal="left" vertical="center" wrapText="1"/>
    </xf>
    <xf numFmtId="14" fontId="6" fillId="26" borderId="0" xfId="117" applyNumberFormat="1" applyFill="1" applyAlignment="1">
      <alignment horizontal="left" vertical="center" wrapText="1"/>
    </xf>
    <xf numFmtId="2" fontId="6" fillId="17" borderId="0" xfId="28" applyNumberFormat="1" applyFont="1" applyFill="1" applyAlignment="1">
      <alignment horizontal="center" vertical="center"/>
    </xf>
    <xf numFmtId="2" fontId="6" fillId="17" borderId="0" xfId="64" applyNumberFormat="1" applyFont="1" applyFill="1" applyAlignment="1">
      <alignment horizontal="center" vertical="center"/>
    </xf>
    <xf numFmtId="0" fontId="56" fillId="0" borderId="0" xfId="0" applyFont="1" applyAlignment="1">
      <alignment vertical="center" wrapText="1"/>
    </xf>
    <xf numFmtId="0" fontId="8" fillId="31" borderId="0" xfId="33" applyFont="1" applyFill="1">
      <alignment horizontal="left" vertical="center" wrapText="1"/>
    </xf>
    <xf numFmtId="0" fontId="8" fillId="13" borderId="0" xfId="115" applyFill="1" applyAlignment="1">
      <alignment horizontal="left" vertical="center"/>
    </xf>
    <xf numFmtId="0" fontId="8" fillId="16" borderId="0" xfId="115" applyFill="1" applyAlignment="1">
      <alignment horizontal="left" vertical="center"/>
    </xf>
    <xf numFmtId="0" fontId="1" fillId="34" borderId="1" xfId="74" applyFont="1" applyFill="1" applyBorder="1"/>
    <xf numFmtId="3" fontId="1" fillId="34" borderId="1" xfId="74" applyNumberFormat="1" applyFont="1" applyFill="1" applyBorder="1"/>
    <xf numFmtId="1" fontId="1" fillId="34" borderId="1" xfId="74" applyNumberFormat="1" applyFont="1" applyFill="1" applyBorder="1"/>
    <xf numFmtId="1" fontId="0" fillId="34" borderId="1" xfId="0" applyNumberFormat="1" applyFill="1" applyBorder="1" applyAlignment="1"/>
    <xf numFmtId="166" fontId="1" fillId="34" borderId="1" xfId="74" applyNumberFormat="1" applyFont="1" applyFill="1" applyBorder="1"/>
    <xf numFmtId="0" fontId="1" fillId="31" borderId="1" xfId="74" applyFont="1" applyFill="1" applyBorder="1"/>
    <xf numFmtId="3" fontId="1" fillId="31" borderId="1" xfId="74" applyNumberFormat="1" applyFont="1" applyFill="1" applyBorder="1"/>
    <xf numFmtId="1" fontId="1" fillId="31" borderId="1" xfId="74" applyNumberFormat="1" applyFont="1" applyFill="1" applyBorder="1"/>
    <xf numFmtId="1" fontId="0" fillId="31" borderId="1" xfId="0" applyNumberFormat="1" applyFill="1" applyBorder="1" applyAlignment="1"/>
    <xf numFmtId="166" fontId="1" fillId="31" borderId="1" xfId="74" applyNumberFormat="1" applyFont="1" applyFill="1" applyBorder="1"/>
    <xf numFmtId="1" fontId="1" fillId="34" borderId="1" xfId="74" applyNumberFormat="1" applyFont="1" applyFill="1" applyBorder="1" applyAlignment="1">
      <alignment horizontal="right"/>
    </xf>
    <xf numFmtId="0" fontId="3" fillId="14" borderId="0" xfId="74" applyFont="1" applyFill="1"/>
    <xf numFmtId="0" fontId="1" fillId="37" borderId="0" xfId="74" applyFont="1" applyFill="1"/>
    <xf numFmtId="0" fontId="47" fillId="37" borderId="0" xfId="74" applyFont="1" applyFill="1"/>
    <xf numFmtId="0" fontId="34" fillId="37" borderId="1" xfId="74" applyFont="1" applyFill="1" applyBorder="1" applyAlignment="1">
      <alignment horizontal="center" vertical="center" wrapText="1"/>
    </xf>
    <xf numFmtId="0" fontId="34" fillId="37" borderId="1" xfId="74" applyFont="1" applyFill="1" applyBorder="1" applyAlignment="1">
      <alignment horizontal="center" vertical="center"/>
    </xf>
    <xf numFmtId="0" fontId="34" fillId="16" borderId="1" xfId="74" applyFont="1" applyFill="1" applyBorder="1"/>
    <xf numFmtId="3" fontId="34" fillId="16" borderId="1" xfId="74" applyNumberFormat="1" applyFont="1" applyFill="1" applyBorder="1"/>
    <xf numFmtId="1" fontId="0" fillId="16" borderId="0" xfId="0" applyNumberFormat="1" applyFill="1" applyAlignment="1"/>
    <xf numFmtId="1" fontId="1" fillId="16" borderId="3" xfId="74" applyNumberFormat="1" applyFont="1" applyFill="1" applyBorder="1"/>
    <xf numFmtId="166" fontId="1" fillId="16" borderId="3" xfId="74" applyNumberFormat="1" applyFont="1" applyFill="1" applyBorder="1"/>
    <xf numFmtId="166" fontId="1" fillId="16" borderId="1" xfId="74" applyNumberFormat="1" applyFont="1" applyFill="1" applyBorder="1"/>
    <xf numFmtId="0" fontId="45" fillId="34" borderId="1" xfId="74" applyFont="1" applyFill="1" applyBorder="1"/>
    <xf numFmtId="3" fontId="45" fillId="34" borderId="1" xfId="74" applyNumberFormat="1" applyFont="1" applyFill="1" applyBorder="1"/>
    <xf numFmtId="166" fontId="45" fillId="34" borderId="1" xfId="74" applyNumberFormat="1" applyFont="1" applyFill="1" applyBorder="1"/>
    <xf numFmtId="9" fontId="59" fillId="38" borderId="1" xfId="28" applyFill="1" applyBorder="1"/>
    <xf numFmtId="0" fontId="6" fillId="33" borderId="0" xfId="64" applyFont="1" applyFill="1" applyAlignment="1">
      <alignment horizontal="center" vertical="center"/>
    </xf>
    <xf numFmtId="0" fontId="0" fillId="33" borderId="0" xfId="0" applyFill="1" applyAlignment="1">
      <alignment horizontal="left" vertical="center" wrapText="1"/>
    </xf>
    <xf numFmtId="0" fontId="31" fillId="0" borderId="1" xfId="0" applyFont="1" applyBorder="1" applyAlignment="1">
      <alignment horizontal="left" vertical="center" wrapText="1"/>
    </xf>
    <xf numFmtId="0" fontId="0" fillId="17" borderId="0" xfId="0" applyFill="1">
      <alignment vertical="center"/>
    </xf>
    <xf numFmtId="0" fontId="6" fillId="17" borderId="0" xfId="59" applyFont="1" applyFill="1" applyAlignment="1">
      <alignment vertical="center"/>
    </xf>
    <xf numFmtId="0" fontId="6" fillId="17" borderId="0" xfId="57" applyNumberFormat="1" applyFont="1" applyFill="1" applyAlignment="1">
      <alignment horizontal="left" vertical="top"/>
    </xf>
    <xf numFmtId="0" fontId="42" fillId="17" borderId="0" xfId="33" applyFont="1" applyFill="1">
      <alignment horizontal="left" vertical="center" wrapText="1"/>
    </xf>
    <xf numFmtId="0" fontId="42" fillId="17" borderId="0" xfId="59" applyFont="1" applyFill="1" applyAlignment="1">
      <alignment vertical="center"/>
    </xf>
    <xf numFmtId="0" fontId="55" fillId="17" borderId="0" xfId="103" applyFont="1" applyFill="1"/>
    <xf numFmtId="2" fontId="1" fillId="17" borderId="0" xfId="104" applyNumberFormat="1" applyFont="1" applyFill="1"/>
    <xf numFmtId="3" fontId="1" fillId="17" borderId="1" xfId="103" applyNumberFormat="1" applyFont="1" applyFill="1" applyBorder="1"/>
    <xf numFmtId="0" fontId="37" fillId="17" borderId="0" xfId="148" applyFont="1" applyFill="1">
      <alignment vertical="center"/>
    </xf>
    <xf numFmtId="0" fontId="38" fillId="17" borderId="0" xfId="148" applyFont="1" applyFill="1">
      <alignment vertical="center"/>
    </xf>
    <xf numFmtId="0" fontId="38" fillId="17" borderId="0" xfId="148" applyFont="1" applyFill="1" applyAlignment="1">
      <alignment horizontal="center" vertical="center"/>
    </xf>
    <xf numFmtId="0" fontId="37" fillId="17" borderId="0" xfId="148" applyFont="1" applyFill="1" applyAlignment="1">
      <alignment horizontal="center" vertical="center" wrapText="1"/>
    </xf>
    <xf numFmtId="0" fontId="8" fillId="13" borderId="0" xfId="115" applyFont="1" applyFill="1" applyAlignment="1">
      <alignment horizontal="left" vertical="center"/>
    </xf>
    <xf numFmtId="0" fontId="38" fillId="17" borderId="0" xfId="148" applyFont="1" applyFill="1" applyAlignment="1">
      <alignment horizontal="center" vertical="center" wrapText="1"/>
    </xf>
    <xf numFmtId="0" fontId="37" fillId="17" borderId="0" xfId="148" applyFont="1" applyFill="1" applyAlignment="1">
      <alignment horizontal="center" vertical="center"/>
    </xf>
    <xf numFmtId="0" fontId="38" fillId="17" borderId="0" xfId="148" applyFont="1" applyFill="1" applyAlignment="1">
      <alignment vertical="center" wrapText="1"/>
    </xf>
    <xf numFmtId="0" fontId="37" fillId="16" borderId="0" xfId="148" applyFont="1" applyFill="1" applyAlignment="1">
      <alignment horizontal="center" vertical="center" textRotation="90" wrapText="1"/>
    </xf>
    <xf numFmtId="0" fontId="37" fillId="16" borderId="0" xfId="148" applyFont="1" applyFill="1" applyAlignment="1">
      <alignment horizontal="center" vertical="center" wrapText="1"/>
    </xf>
    <xf numFmtId="0" fontId="6" fillId="18" borderId="0" xfId="148" applyFont="1" applyFill="1" applyAlignment="1">
      <alignment horizontal="center" vertical="center" wrapText="1"/>
    </xf>
    <xf numFmtId="0" fontId="19" fillId="17" borderId="0" xfId="148" applyFont="1" applyFill="1" applyAlignment="1">
      <alignment horizontal="left" vertical="center"/>
    </xf>
    <xf numFmtId="0" fontId="37" fillId="18" borderId="0" xfId="141" quotePrefix="1" applyNumberFormat="1" applyFont="1" applyFill="1">
      <alignment horizontal="center" vertical="center"/>
    </xf>
    <xf numFmtId="1" fontId="6" fillId="18" borderId="0" xfId="148" applyNumberFormat="1" applyFont="1" applyFill="1" applyAlignment="1">
      <alignment horizontal="center" vertical="center"/>
    </xf>
    <xf numFmtId="0" fontId="8" fillId="16" borderId="0" xfId="141" applyNumberFormat="1" applyFont="1" applyFill="1">
      <alignment horizontal="center" vertical="center"/>
    </xf>
    <xf numFmtId="2" fontId="8" fillId="16" borderId="0" xfId="141" applyNumberFormat="1" applyFont="1" applyFill="1">
      <alignment horizontal="center" vertical="center"/>
    </xf>
    <xf numFmtId="0" fontId="8" fillId="16" borderId="0" xfId="141" applyNumberFormat="1" applyFont="1" applyFill="1" applyAlignment="1">
      <alignment horizontal="left" vertical="center"/>
    </xf>
    <xf numFmtId="0" fontId="6" fillId="17" borderId="0" xfId="141" quotePrefix="1" applyNumberFormat="1" applyFont="1" applyFill="1">
      <alignment horizontal="center" vertical="center"/>
    </xf>
    <xf numFmtId="0" fontId="6" fillId="17" borderId="0" xfId="141" applyNumberFormat="1" applyFont="1" applyFill="1">
      <alignment horizontal="center" vertical="center"/>
    </xf>
    <xf numFmtId="2" fontId="6" fillId="17" borderId="0" xfId="141" applyNumberFormat="1" applyFont="1" applyFill="1">
      <alignment horizontal="center" vertical="center"/>
    </xf>
    <xf numFmtId="0" fontId="6" fillId="18" borderId="0" xfId="148" applyFont="1" applyFill="1" applyAlignment="1" applyProtection="1">
      <alignment horizontal="center" vertical="center" wrapText="1"/>
      <protection locked="0"/>
    </xf>
    <xf numFmtId="0" fontId="6" fillId="18" borderId="0" xfId="148" applyFont="1" applyFill="1" applyAlignment="1" applyProtection="1">
      <alignment horizontal="center" vertical="center"/>
      <protection locked="0"/>
    </xf>
    <xf numFmtId="0" fontId="6" fillId="13" borderId="0" xfId="148" applyFont="1" applyFill="1" applyAlignment="1">
      <alignment horizontal="center" vertical="center"/>
    </xf>
    <xf numFmtId="0" fontId="6" fillId="17" borderId="0" xfId="148" applyFont="1" applyFill="1" applyAlignment="1">
      <alignment vertical="center" wrapText="1"/>
    </xf>
    <xf numFmtId="0" fontId="6" fillId="17" borderId="0" xfId="148" quotePrefix="1" applyFont="1" applyFill="1" applyAlignment="1" applyProtection="1">
      <alignment horizontal="center" vertical="center"/>
      <protection locked="0"/>
    </xf>
    <xf numFmtId="0" fontId="6" fillId="17" borderId="0" xfId="148" applyFont="1" applyFill="1" applyAlignment="1" applyProtection="1">
      <alignment horizontal="center" vertical="center" wrapText="1"/>
      <protection locked="0"/>
    </xf>
    <xf numFmtId="170" fontId="38" fillId="17" borderId="0" xfId="146" applyFont="1" applyFill="1" applyAlignment="1">
      <alignment horizontal="center" vertical="center" wrapText="1"/>
    </xf>
    <xf numFmtId="170" fontId="38" fillId="17" borderId="0" xfId="146" applyFont="1" applyFill="1" applyAlignment="1">
      <alignment horizontal="left" vertical="center" wrapText="1"/>
    </xf>
    <xf numFmtId="170" fontId="8" fillId="16" borderId="0" xfId="146" applyFont="1" applyFill="1" applyAlignment="1">
      <alignment horizontal="center" vertical="center" textRotation="90" wrapText="1"/>
    </xf>
    <xf numFmtId="170" fontId="8" fillId="16" borderId="0" xfId="146" applyFont="1" applyFill="1" applyAlignment="1">
      <alignment horizontal="left" vertical="center" wrapText="1"/>
    </xf>
    <xf numFmtId="170" fontId="26" fillId="16" borderId="0" xfId="146" applyFont="1" applyFill="1" applyAlignment="1">
      <alignment horizontal="center" vertical="center"/>
    </xf>
    <xf numFmtId="170" fontId="26" fillId="16" borderId="0" xfId="146" applyFont="1" applyFill="1" applyAlignment="1">
      <alignment horizontal="left" vertical="center"/>
    </xf>
    <xf numFmtId="172" fontId="6" fillId="18" borderId="0" xfId="141" applyFont="1" applyFill="1" applyAlignment="1">
      <alignment horizontal="left" vertical="center" wrapText="1"/>
    </xf>
    <xf numFmtId="172" fontId="37" fillId="18" borderId="0" xfId="141" applyFont="1" applyFill="1">
      <alignment horizontal="center" vertical="center"/>
    </xf>
    <xf numFmtId="172" fontId="37" fillId="18" borderId="0" xfId="141" quotePrefix="1" applyFont="1" applyFill="1" applyAlignment="1">
      <alignment horizontal="left" vertical="center"/>
    </xf>
    <xf numFmtId="172" fontId="6" fillId="17" borderId="0" xfId="141" applyFont="1" applyFill="1" applyAlignment="1">
      <alignment horizontal="left" vertical="center" wrapText="1"/>
    </xf>
    <xf numFmtId="172" fontId="6" fillId="17" borderId="0" xfId="141" applyFont="1" applyFill="1">
      <alignment horizontal="center" vertical="center"/>
    </xf>
    <xf numFmtId="172" fontId="6" fillId="17" borderId="0" xfId="141" quotePrefix="1" applyFont="1" applyFill="1" applyAlignment="1">
      <alignment horizontal="left" vertical="center"/>
    </xf>
    <xf numFmtId="173" fontId="6" fillId="17" borderId="0" xfId="148" applyNumberFormat="1" applyFont="1" applyFill="1" applyAlignment="1">
      <alignment horizontal="center" vertical="center"/>
    </xf>
    <xf numFmtId="173" fontId="6" fillId="17" borderId="0" xfId="148" applyNumberFormat="1" applyFont="1" applyFill="1" applyAlignment="1">
      <alignment horizontal="center" vertical="center"/>
    </xf>
    <xf numFmtId="0" fontId="6" fillId="0" borderId="0" xfId="115" applyFont="1">
      <alignment horizontal="left" vertical="center" wrapText="1"/>
    </xf>
    <xf numFmtId="0" fontId="0" fillId="32" borderId="0" xfId="0" applyFill="1" applyAlignment="1">
      <alignment horizontal="left" vertical="center" wrapText="1"/>
    </xf>
    <xf numFmtId="0" fontId="19" fillId="31" borderId="0" xfId="133" applyFont="1" applyFill="1" applyAlignment="1">
      <alignment horizontal="left" vertical="center"/>
    </xf>
    <xf numFmtId="0" fontId="6" fillId="31" borderId="11" xfId="133" applyFont="1" applyFill="1" applyBorder="1" applyAlignment="1">
      <alignment vertical="center" wrapText="1"/>
    </xf>
    <xf numFmtId="0" fontId="6" fillId="31" borderId="0" xfId="133" applyFill="1" applyAlignment="1">
      <alignment horizontal="center" vertical="center" wrapText="1"/>
    </xf>
    <xf numFmtId="0" fontId="6" fillId="31" borderId="0" xfId="133" applyFill="1" applyAlignment="1">
      <alignment horizontal="center" vertical="center"/>
    </xf>
    <xf numFmtId="172" fontId="6" fillId="31" borderId="0" xfId="141" applyFont="1" applyFill="1" applyAlignment="1">
      <alignment horizontal="left" vertical="center" wrapText="1"/>
    </xf>
    <xf numFmtId="172" fontId="6" fillId="31" borderId="0" xfId="141" applyFont="1" applyFill="1">
      <alignment horizontal="center" vertical="center"/>
    </xf>
    <xf numFmtId="172" fontId="5" fillId="31" borderId="0" xfId="141" quotePrefix="1" applyFont="1" applyFill="1" applyAlignment="1">
      <alignment horizontal="left" vertical="center"/>
    </xf>
    <xf numFmtId="172" fontId="6" fillId="31" borderId="0" xfId="141" quotePrefix="1" applyFont="1" applyFill="1" applyAlignment="1">
      <alignment horizontal="left" vertical="center"/>
    </xf>
    <xf numFmtId="0" fontId="6" fillId="31" borderId="0" xfId="141" quotePrefix="1" applyNumberFormat="1" applyFont="1" applyFill="1">
      <alignment horizontal="center" vertical="center"/>
    </xf>
    <xf numFmtId="0" fontId="8" fillId="31" borderId="0" xfId="141" applyNumberFormat="1" applyFont="1" applyFill="1">
      <alignment horizontal="center" vertical="center"/>
    </xf>
    <xf numFmtId="2" fontId="8" fillId="31" borderId="0" xfId="141" applyNumberFormat="1" applyFont="1" applyFill="1">
      <alignment horizontal="center" vertical="center"/>
    </xf>
    <xf numFmtId="0" fontId="8" fillId="31" borderId="0" xfId="141" applyNumberFormat="1" applyFont="1" applyFill="1" applyAlignment="1">
      <alignment horizontal="left" vertical="center" wrapText="1"/>
    </xf>
    <xf numFmtId="0" fontId="6" fillId="31" borderId="0" xfId="133" applyFill="1">
      <alignment vertical="center"/>
    </xf>
    <xf numFmtId="0" fontId="19" fillId="31" borderId="0" xfId="115" applyFont="1" applyFill="1">
      <alignment horizontal="left" vertical="center" wrapText="1"/>
    </xf>
    <xf numFmtId="0" fontId="19" fillId="31" borderId="0" xfId="115" applyFont="1" applyFill="1" applyAlignment="1">
      <alignment horizontal="center" vertical="center"/>
    </xf>
    <xf numFmtId="0" fontId="19" fillId="31" borderId="0" xfId="115" applyFont="1" applyFill="1" applyAlignment="1">
      <alignment horizontal="center" vertical="center" wrapText="1"/>
    </xf>
    <xf numFmtId="0" fontId="19" fillId="31" borderId="0" xfId="115" applyFont="1" applyFill="1" applyAlignment="1">
      <alignment vertical="center" wrapText="1"/>
    </xf>
    <xf numFmtId="170" fontId="19" fillId="16" borderId="0" xfId="134" applyFont="1" applyFill="1" applyAlignment="1">
      <alignment horizontal="center" vertical="center" wrapText="1"/>
    </xf>
    <xf numFmtId="170" fontId="19" fillId="16" borderId="0" xfId="146" applyFont="1" applyFill="1" applyAlignment="1">
      <alignment horizontal="center" vertical="center" wrapText="1"/>
    </xf>
    <xf numFmtId="170" fontId="19" fillId="16" borderId="0" xfId="146" applyFont="1" applyFill="1" applyAlignment="1">
      <alignment horizontal="left" vertical="center" wrapText="1"/>
    </xf>
    <xf numFmtId="170" fontId="15" fillId="16" borderId="0" xfId="134" applyFont="1" applyFill="1" applyAlignment="1">
      <alignment horizontal="center" vertical="center" textRotation="90" wrapText="1"/>
    </xf>
    <xf numFmtId="170" fontId="6" fillId="16" borderId="0" xfId="134" applyFill="1" applyAlignment="1">
      <alignment horizontal="center" vertical="center" wrapText="1"/>
    </xf>
    <xf numFmtId="0" fontId="6" fillId="16" borderId="0" xfId="0" applyFont="1" applyFill="1" applyAlignment="1">
      <alignment horizontal="center" vertical="center" textRotation="90" wrapText="1"/>
    </xf>
    <xf numFmtId="170" fontId="8" fillId="16" borderId="0" xfId="146" applyFont="1" applyFill="1" applyAlignment="1">
      <alignment horizontal="center" vertical="center" textRotation="90" wrapText="1"/>
    </xf>
    <xf numFmtId="170" fontId="8" fillId="16" borderId="0" xfId="146" applyFont="1" applyFill="1" applyAlignment="1">
      <alignment horizontal="left" vertical="center" wrapText="1"/>
    </xf>
    <xf numFmtId="170" fontId="26" fillId="16" borderId="0" xfId="146" applyFont="1" applyFill="1" applyAlignment="1">
      <alignment horizontal="center" vertical="center" wrapText="1"/>
    </xf>
    <xf numFmtId="170" fontId="26" fillId="16" borderId="0" xfId="146" applyFont="1" applyFill="1" applyAlignment="1">
      <alignment horizontal="left" vertical="center" wrapText="1"/>
    </xf>
    <xf numFmtId="0" fontId="6" fillId="33" borderId="0" xfId="160" applyFill="1">
      <alignment horizontal="center" vertical="center" wrapText="1"/>
    </xf>
    <xf numFmtId="0" fontId="6" fillId="32" borderId="0" xfId="133" applyFill="1">
      <alignment vertical="center"/>
    </xf>
    <xf numFmtId="0" fontId="6" fillId="31" borderId="0" xfId="133" applyFill="1" applyAlignment="1">
      <alignment vertical="center" wrapText="1"/>
    </xf>
    <xf numFmtId="0" fontId="19" fillId="31" borderId="0" xfId="115" applyFont="1" applyFill="1" applyAlignment="1">
      <alignment horizontal="left" vertical="center"/>
    </xf>
    <xf numFmtId="0" fontId="6" fillId="31" borderId="0" xfId="115" applyFont="1" applyFill="1" applyAlignment="1">
      <alignment vertical="center" wrapText="1"/>
    </xf>
    <xf numFmtId="0" fontId="6" fillId="31" borderId="0" xfId="133" applyFont="1" applyFill="1" applyAlignment="1">
      <alignment vertical="center" wrapText="1"/>
    </xf>
    <xf numFmtId="0" fontId="6" fillId="33" borderId="0" xfId="115" applyFont="1" applyFill="1" applyAlignment="1">
      <alignment horizontal="center" vertical="center"/>
    </xf>
    <xf numFmtId="172" fontId="6" fillId="33" borderId="0" xfId="141" applyFont="1" applyFill="1" applyAlignment="1">
      <alignment horizontal="left" vertical="center"/>
    </xf>
    <xf numFmtId="172" fontId="6" fillId="33" borderId="0" xfId="141" applyFont="1" applyFill="1">
      <alignment horizontal="center" vertical="center"/>
    </xf>
    <xf numFmtId="172" fontId="8" fillId="33" borderId="0" xfId="141" applyFont="1" applyFill="1" applyAlignment="1">
      <alignment horizontal="left" vertical="center"/>
    </xf>
    <xf numFmtId="0" fontId="6" fillId="33" borderId="0" xfId="141" quotePrefix="1" applyNumberFormat="1" applyFont="1" applyFill="1">
      <alignment horizontal="center" vertical="center"/>
    </xf>
    <xf numFmtId="0" fontId="8" fillId="16" borderId="0" xfId="141" applyNumberFormat="1" applyFont="1" applyFill="1">
      <alignment horizontal="center" vertical="center"/>
    </xf>
    <xf numFmtId="2" fontId="8" fillId="16" borderId="0" xfId="141" applyNumberFormat="1" applyFont="1" applyFill="1">
      <alignment horizontal="center" vertical="center"/>
    </xf>
    <xf numFmtId="0" fontId="8" fillId="16" borderId="0" xfId="141" applyNumberFormat="1" applyFont="1" applyFill="1" applyAlignment="1">
      <alignment horizontal="left" vertical="center" wrapText="1"/>
    </xf>
    <xf numFmtId="0" fontId="6" fillId="31" borderId="0" xfId="115" applyFont="1" applyFill="1">
      <alignment horizontal="left" vertical="center" wrapText="1"/>
    </xf>
    <xf numFmtId="0" fontId="6" fillId="31" borderId="0" xfId="115" applyFont="1" applyFill="1" applyAlignment="1">
      <alignment horizontal="right" vertical="center" wrapText="1"/>
    </xf>
    <xf numFmtId="0" fontId="8" fillId="31" borderId="0" xfId="115" applyFont="1" applyFill="1" applyAlignment="1">
      <alignment horizontal="left" vertical="center"/>
    </xf>
    <xf numFmtId="172" fontId="6" fillId="34" borderId="0" xfId="141" applyFont="1" applyFill="1" applyAlignment="1">
      <alignment horizontal="left" vertical="center" wrapText="1"/>
    </xf>
    <xf numFmtId="172" fontId="6" fillId="34" borderId="0" xfId="141" applyFont="1" applyFill="1">
      <alignment horizontal="center" vertical="center"/>
    </xf>
    <xf numFmtId="172" fontId="6" fillId="34" borderId="0" xfId="141" quotePrefix="1" applyFont="1" applyFill="1" applyAlignment="1">
      <alignment horizontal="left" vertical="center"/>
    </xf>
    <xf numFmtId="0" fontId="6" fillId="34" borderId="0" xfId="141" quotePrefix="1" applyNumberFormat="1" applyFont="1" applyFill="1">
      <alignment horizontal="center" vertical="center"/>
    </xf>
    <xf numFmtId="0" fontId="8" fillId="34" borderId="0" xfId="141" applyNumberFormat="1" applyFont="1" applyFill="1">
      <alignment horizontal="center" vertical="center"/>
    </xf>
    <xf numFmtId="2" fontId="8" fillId="34" borderId="0" xfId="141" applyNumberFormat="1" applyFont="1" applyFill="1">
      <alignment horizontal="center" vertical="center"/>
    </xf>
    <xf numFmtId="0" fontId="8" fillId="34" borderId="0" xfId="141" applyNumberFormat="1" applyFont="1" applyFill="1" applyAlignment="1">
      <alignment horizontal="left" vertical="center" wrapText="1"/>
    </xf>
    <xf numFmtId="0" fontId="6" fillId="34" borderId="0" xfId="133" applyFill="1" applyAlignment="1">
      <alignment horizontal="center" vertical="center" wrapText="1"/>
    </xf>
    <xf numFmtId="0" fontId="6" fillId="34" borderId="0" xfId="133" applyFill="1" applyAlignment="1">
      <alignment horizontal="center" vertical="center"/>
    </xf>
    <xf numFmtId="172" fontId="5" fillId="34" borderId="0" xfId="141" quotePrefix="1" applyFont="1" applyFill="1" applyAlignment="1">
      <alignment horizontal="left" vertical="center"/>
    </xf>
    <xf numFmtId="170" fontId="6" fillId="33" borderId="0" xfId="134" applyFont="1" applyFill="1" applyAlignment="1">
      <alignment horizontal="center" vertical="center" wrapText="1"/>
    </xf>
    <xf numFmtId="0" fontId="6" fillId="31" borderId="0" xfId="133" applyFont="1" applyFill="1">
      <alignment vertical="center"/>
    </xf>
    <xf numFmtId="170" fontId="19" fillId="32" borderId="0" xfId="134" applyFont="1" applyFill="1" applyAlignment="1">
      <alignment horizontal="center" vertical="center" wrapText="1"/>
    </xf>
    <xf numFmtId="0" fontId="6" fillId="31" borderId="0" xfId="133" applyFont="1" applyFill="1" applyBorder="1" applyAlignment="1">
      <alignment vertical="center" wrapText="1"/>
    </xf>
    <xf numFmtId="0" fontId="0" fillId="32" borderId="0" xfId="0" applyFill="1" applyAlignment="1">
      <alignment horizontal="left" vertical="center" wrapText="1"/>
    </xf>
    <xf numFmtId="0" fontId="19" fillId="31" borderId="0" xfId="133" applyFont="1" applyFill="1" applyAlignment="1">
      <alignment horizontal="left" vertical="center"/>
    </xf>
    <xf numFmtId="0" fontId="6" fillId="31" borderId="11" xfId="133" applyFont="1" applyFill="1" applyBorder="1" applyAlignment="1">
      <alignment vertical="center" wrapText="1"/>
    </xf>
    <xf numFmtId="0" fontId="6" fillId="31" borderId="0" xfId="133" applyFill="1" applyAlignment="1">
      <alignment horizontal="center" vertical="center" wrapText="1"/>
    </xf>
    <xf numFmtId="0" fontId="6" fillId="31" borderId="0" xfId="133" applyFill="1" applyAlignment="1">
      <alignment horizontal="center" vertical="center"/>
    </xf>
    <xf numFmtId="172" fontId="6" fillId="31" borderId="0" xfId="141" applyFont="1" applyFill="1" applyAlignment="1">
      <alignment horizontal="left" vertical="center" wrapText="1"/>
    </xf>
    <xf numFmtId="172" fontId="6" fillId="31" borderId="0" xfId="141" applyFont="1" applyFill="1">
      <alignment horizontal="center" vertical="center"/>
    </xf>
    <xf numFmtId="172" fontId="5" fillId="31" borderId="0" xfId="141" quotePrefix="1" applyFont="1" applyFill="1" applyAlignment="1">
      <alignment horizontal="left" vertical="center"/>
    </xf>
    <xf numFmtId="172" fontId="6" fillId="31" borderId="0" xfId="141" quotePrefix="1" applyFont="1" applyFill="1" applyAlignment="1">
      <alignment horizontal="left" vertical="center"/>
    </xf>
    <xf numFmtId="0" fontId="6" fillId="31" borderId="0" xfId="141" quotePrefix="1" applyNumberFormat="1" applyFont="1" applyFill="1">
      <alignment horizontal="center" vertical="center"/>
    </xf>
    <xf numFmtId="0" fontId="8" fillId="31" borderId="0" xfId="141" applyNumberFormat="1" applyFont="1" applyFill="1">
      <alignment horizontal="center" vertical="center"/>
    </xf>
    <xf numFmtId="2" fontId="8" fillId="31" borderId="0" xfId="141" applyNumberFormat="1" applyFont="1" applyFill="1">
      <alignment horizontal="center" vertical="center"/>
    </xf>
    <xf numFmtId="0" fontId="8" fillId="31" borderId="0" xfId="141" applyNumberFormat="1" applyFont="1" applyFill="1" applyAlignment="1">
      <alignment horizontal="left" vertical="center" wrapText="1"/>
    </xf>
    <xf numFmtId="0" fontId="6" fillId="31" borderId="0" xfId="133" applyFill="1">
      <alignment vertical="center"/>
    </xf>
    <xf numFmtId="0" fontId="19" fillId="31" borderId="0" xfId="115" applyFont="1" applyFill="1">
      <alignment horizontal="left" vertical="center" wrapText="1"/>
    </xf>
    <xf numFmtId="0" fontId="19" fillId="31" borderId="0" xfId="115" applyFont="1" applyFill="1" applyAlignment="1">
      <alignment horizontal="center" vertical="center"/>
    </xf>
    <xf numFmtId="0" fontId="19" fillId="31" borderId="0" xfId="115" applyFont="1" applyFill="1" applyAlignment="1">
      <alignment horizontal="center" vertical="center" wrapText="1"/>
    </xf>
    <xf numFmtId="0" fontId="19" fillId="31" borderId="0" xfId="115" applyFont="1" applyFill="1" applyAlignment="1">
      <alignment vertical="center" wrapText="1"/>
    </xf>
    <xf numFmtId="170" fontId="19" fillId="16" borderId="0" xfId="134" applyFont="1" applyFill="1" applyAlignment="1">
      <alignment horizontal="center" vertical="center" wrapText="1"/>
    </xf>
    <xf numFmtId="170" fontId="19" fillId="16" borderId="0" xfId="146" applyFont="1" applyFill="1" applyAlignment="1">
      <alignment horizontal="center" vertical="center" wrapText="1"/>
    </xf>
    <xf numFmtId="170" fontId="19" fillId="16" borderId="0" xfId="146" applyFont="1" applyFill="1" applyAlignment="1">
      <alignment horizontal="left" vertical="center" wrapText="1"/>
    </xf>
    <xf numFmtId="170" fontId="15" fillId="16" borderId="0" xfId="134" applyFont="1" applyFill="1" applyAlignment="1">
      <alignment horizontal="center" vertical="center" textRotation="90" wrapText="1"/>
    </xf>
    <xf numFmtId="170" fontId="6" fillId="16" borderId="0" xfId="134" applyFill="1" applyAlignment="1">
      <alignment horizontal="center" vertical="center" wrapText="1"/>
    </xf>
    <xf numFmtId="0" fontId="6" fillId="16" borderId="0" xfId="0" applyFont="1" applyFill="1" applyAlignment="1">
      <alignment horizontal="center" vertical="center" textRotation="90" wrapText="1"/>
    </xf>
    <xf numFmtId="170" fontId="8" fillId="16" borderId="0" xfId="146" applyFont="1" applyFill="1" applyAlignment="1">
      <alignment horizontal="center" vertical="center" textRotation="90" wrapText="1"/>
    </xf>
    <xf numFmtId="170" fontId="8" fillId="16" borderId="0" xfId="146" applyFont="1" applyFill="1" applyAlignment="1">
      <alignment horizontal="left" vertical="center" wrapText="1"/>
    </xf>
    <xf numFmtId="170" fontId="26" fillId="16" borderId="0" xfId="146" applyFont="1" applyFill="1" applyAlignment="1">
      <alignment horizontal="center" vertical="center" wrapText="1"/>
    </xf>
    <xf numFmtId="170" fontId="26" fillId="16" borderId="0" xfId="146" applyFont="1" applyFill="1" applyAlignment="1">
      <alignment horizontal="left" vertical="center" wrapText="1"/>
    </xf>
    <xf numFmtId="0" fontId="6" fillId="33" borderId="0" xfId="160" applyFill="1">
      <alignment horizontal="center" vertical="center" wrapText="1"/>
    </xf>
    <xf numFmtId="0" fontId="6" fillId="32" borderId="0" xfId="133" applyFill="1">
      <alignment vertical="center"/>
    </xf>
    <xf numFmtId="0" fontId="6" fillId="32" borderId="0" xfId="0" applyFont="1" applyFill="1" applyAlignment="1">
      <alignment horizontal="center" vertical="center"/>
    </xf>
    <xf numFmtId="0" fontId="6" fillId="32" borderId="0" xfId="0" applyFont="1" applyFill="1" applyAlignment="1">
      <alignment horizontal="left" vertical="center"/>
    </xf>
    <xf numFmtId="0" fontId="6" fillId="31" borderId="0" xfId="133" applyFill="1" applyAlignment="1">
      <alignment vertical="center" wrapText="1"/>
    </xf>
    <xf numFmtId="0" fontId="19" fillId="31" borderId="0" xfId="115" applyFont="1" applyFill="1" applyAlignment="1">
      <alignment horizontal="left" vertical="center"/>
    </xf>
    <xf numFmtId="0" fontId="6" fillId="31" borderId="0" xfId="115" applyFont="1" applyFill="1" applyAlignment="1">
      <alignment vertical="center" wrapText="1"/>
    </xf>
    <xf numFmtId="0" fontId="6" fillId="31" borderId="0" xfId="133" applyFont="1" applyFill="1" applyAlignment="1">
      <alignment vertical="center" wrapText="1"/>
    </xf>
    <xf numFmtId="170" fontId="6" fillId="33" borderId="0" xfId="134" applyFill="1" applyAlignment="1">
      <alignment horizontal="center" vertical="center" wrapText="1"/>
    </xf>
    <xf numFmtId="0" fontId="6" fillId="33" borderId="0" xfId="115" applyFont="1" applyFill="1" applyAlignment="1">
      <alignment horizontal="center" vertical="center"/>
    </xf>
    <xf numFmtId="172" fontId="6" fillId="33" borderId="0" xfId="141" applyFont="1" applyFill="1" applyAlignment="1">
      <alignment horizontal="left" vertical="center"/>
    </xf>
    <xf numFmtId="172" fontId="6" fillId="33" borderId="0" xfId="141" applyFont="1" applyFill="1">
      <alignment horizontal="center" vertical="center"/>
    </xf>
    <xf numFmtId="172" fontId="8" fillId="33" borderId="0" xfId="141" applyFont="1" applyFill="1" applyAlignment="1">
      <alignment horizontal="left" vertical="center"/>
    </xf>
    <xf numFmtId="0" fontId="6" fillId="33" borderId="0" xfId="141" quotePrefix="1" applyNumberFormat="1" applyFont="1" applyFill="1">
      <alignment horizontal="center" vertical="center"/>
    </xf>
    <xf numFmtId="0" fontId="8" fillId="16" borderId="0" xfId="141" applyNumberFormat="1" applyFont="1" applyFill="1">
      <alignment horizontal="center" vertical="center"/>
    </xf>
    <xf numFmtId="2" fontId="8" fillId="16" borderId="0" xfId="141" applyNumberFormat="1" applyFont="1" applyFill="1">
      <alignment horizontal="center" vertical="center"/>
    </xf>
    <xf numFmtId="0" fontId="8" fillId="16" borderId="0" xfId="141" applyNumberFormat="1" applyFont="1" applyFill="1" applyAlignment="1">
      <alignment horizontal="left" vertical="center" wrapText="1"/>
    </xf>
    <xf numFmtId="0" fontId="6" fillId="31" borderId="0" xfId="115" applyFont="1" applyFill="1">
      <alignment horizontal="left" vertical="center" wrapText="1"/>
    </xf>
    <xf numFmtId="0" fontId="6" fillId="31" borderId="0" xfId="115" applyFont="1" applyFill="1" applyAlignment="1">
      <alignment horizontal="right" vertical="center" wrapText="1"/>
    </xf>
    <xf numFmtId="0" fontId="8" fillId="31" borderId="0" xfId="115" applyFont="1" applyFill="1" applyAlignment="1">
      <alignment horizontal="left" vertical="center"/>
    </xf>
    <xf numFmtId="0" fontId="6" fillId="34" borderId="0" xfId="0" applyFont="1" applyFill="1" applyAlignment="1">
      <alignment horizontal="center" vertical="center" wrapText="1"/>
    </xf>
    <xf numFmtId="0" fontId="6" fillId="34" borderId="0" xfId="0" applyFont="1" applyFill="1" applyAlignment="1">
      <alignment horizontal="center" vertical="center"/>
    </xf>
    <xf numFmtId="172" fontId="6" fillId="34" borderId="0" xfId="141" applyFont="1" applyFill="1" applyAlignment="1">
      <alignment horizontal="left" vertical="center" wrapText="1"/>
    </xf>
    <xf numFmtId="172" fontId="6" fillId="34" borderId="0" xfId="141" applyFont="1" applyFill="1">
      <alignment horizontal="center" vertical="center"/>
    </xf>
    <xf numFmtId="172" fontId="6" fillId="34" borderId="0" xfId="141" quotePrefix="1" applyFont="1" applyFill="1" applyAlignment="1">
      <alignment horizontal="left" vertical="center"/>
    </xf>
    <xf numFmtId="0" fontId="6" fillId="34" borderId="0" xfId="141" quotePrefix="1" applyNumberFormat="1" applyFont="1" applyFill="1">
      <alignment horizontal="center" vertical="center"/>
    </xf>
    <xf numFmtId="0" fontId="8" fillId="34" borderId="0" xfId="141" applyNumberFormat="1" applyFont="1" applyFill="1">
      <alignment horizontal="center" vertical="center"/>
    </xf>
    <xf numFmtId="2" fontId="8" fillId="34" borderId="0" xfId="141" applyNumberFormat="1" applyFont="1" applyFill="1">
      <alignment horizontal="center" vertical="center"/>
    </xf>
    <xf numFmtId="0" fontId="8" fillId="34" borderId="0" xfId="141" applyNumberFormat="1" applyFont="1" applyFill="1" applyAlignment="1">
      <alignment horizontal="left" vertical="center" wrapText="1"/>
    </xf>
    <xf numFmtId="0" fontId="6" fillId="34" borderId="0" xfId="133" applyFill="1" applyAlignment="1">
      <alignment horizontal="center" vertical="center" wrapText="1"/>
    </xf>
    <xf numFmtId="0" fontId="6" fillId="34" borderId="0" xfId="133" applyFill="1" applyAlignment="1">
      <alignment horizontal="center" vertical="center"/>
    </xf>
    <xf numFmtId="172" fontId="5" fillId="34" borderId="0" xfId="141" quotePrefix="1" applyFont="1" applyFill="1" applyAlignment="1">
      <alignment horizontal="left" vertical="center"/>
    </xf>
    <xf numFmtId="0" fontId="6" fillId="32" borderId="0" xfId="133" applyFill="1" applyAlignment="1">
      <alignment horizontal="left" vertical="center"/>
    </xf>
    <xf numFmtId="0" fontId="6" fillId="34" borderId="0" xfId="134" applyNumberFormat="1" applyFill="1" applyAlignment="1">
      <alignment horizontal="center" vertical="center" wrapText="1"/>
    </xf>
    <xf numFmtId="0" fontId="6" fillId="34" borderId="0" xfId="115" applyFont="1" applyFill="1" applyAlignment="1">
      <alignment horizontal="center" vertical="center"/>
    </xf>
    <xf numFmtId="0" fontId="6" fillId="31" borderId="0" xfId="134" applyNumberFormat="1" applyFill="1" applyAlignment="1">
      <alignment horizontal="center" vertical="center" wrapText="1"/>
    </xf>
    <xf numFmtId="0" fontId="6" fillId="31" borderId="0" xfId="115" applyFont="1" applyFill="1" applyAlignment="1">
      <alignment horizontal="center" vertical="center"/>
    </xf>
    <xf numFmtId="0" fontId="0" fillId="32" borderId="0" xfId="0" applyFill="1" applyAlignment="1">
      <alignment horizontal="left" vertical="center"/>
    </xf>
    <xf numFmtId="170" fontId="6" fillId="33" borderId="0" xfId="134" applyFont="1" applyFill="1" applyAlignment="1">
      <alignment horizontal="center" vertical="center" wrapText="1"/>
    </xf>
    <xf numFmtId="0" fontId="0" fillId="0" borderId="0" xfId="0">
      <alignment vertical="center"/>
    </xf>
    <xf numFmtId="0" fontId="6" fillId="0" borderId="0" xfId="132" applyFont="1" applyAlignment="1">
      <alignment horizontal="center" vertical="center"/>
    </xf>
    <xf numFmtId="0" fontId="6" fillId="4" borderId="0" xfId="132" applyFont="1" applyFill="1" applyAlignment="1">
      <alignment horizontal="left" vertical="center"/>
    </xf>
    <xf numFmtId="0" fontId="6" fillId="0" borderId="0" xfId="132" applyFont="1" applyAlignment="1">
      <alignment horizontal="center" vertical="center" wrapText="1"/>
    </xf>
    <xf numFmtId="2" fontId="6" fillId="0" borderId="0" xfId="132" applyNumberFormat="1" applyFont="1" applyAlignment="1">
      <alignment horizontal="center"/>
    </xf>
    <xf numFmtId="0" fontId="6" fillId="0" borderId="0" xfId="132" applyFont="1" applyAlignment="1">
      <alignment horizontal="center" vertical="top" wrapText="1"/>
    </xf>
    <xf numFmtId="0" fontId="6" fillId="4" borderId="0" xfId="132" applyFont="1" applyFill="1" applyAlignment="1">
      <alignment horizontal="center" vertical="center"/>
    </xf>
    <xf numFmtId="2" fontId="6" fillId="0" borderId="0" xfId="132" applyNumberFormat="1" applyFont="1">
      <alignment vertical="center"/>
    </xf>
    <xf numFmtId="0" fontId="6" fillId="9" borderId="0" xfId="0" applyFont="1" applyFill="1" applyAlignment="1">
      <alignment horizontal="center" vertical="center"/>
    </xf>
    <xf numFmtId="0" fontId="6" fillId="9" borderId="0" xfId="132" applyFont="1" applyFill="1" applyAlignment="1">
      <alignment horizontal="center" vertical="center" wrapText="1"/>
    </xf>
    <xf numFmtId="0" fontId="6" fillId="6" borderId="0" xfId="132" applyFont="1" applyFill="1" applyAlignment="1">
      <alignment horizontal="center" vertical="center" wrapText="1"/>
    </xf>
    <xf numFmtId="2" fontId="6" fillId="6" borderId="0" xfId="132" applyNumberFormat="1" applyFont="1" applyFill="1" applyAlignment="1">
      <alignment horizontal="center" vertical="center"/>
    </xf>
    <xf numFmtId="2" fontId="6" fillId="0" borderId="0" xfId="132" applyNumberFormat="1" applyFont="1" applyAlignment="1">
      <alignment horizontal="center" vertical="center"/>
    </xf>
    <xf numFmtId="0" fontId="23" fillId="0" borderId="0" xfId="133" applyFont="1" applyAlignment="1">
      <alignment vertical="top"/>
    </xf>
    <xf numFmtId="0" fontId="17" fillId="0" borderId="0" xfId="0" applyFont="1" applyAlignment="1">
      <alignment horizontal="center" vertical="center" wrapText="1"/>
    </xf>
    <xf numFmtId="0" fontId="6" fillId="4" borderId="0" xfId="133" applyFill="1" applyAlignment="1">
      <alignment horizontal="center" vertical="center"/>
    </xf>
    <xf numFmtId="0" fontId="6" fillId="0" borderId="0" xfId="133" applyAlignment="1">
      <alignment vertical="center" wrapText="1"/>
    </xf>
    <xf numFmtId="2" fontId="6" fillId="0" borderId="0" xfId="133" applyNumberFormat="1">
      <alignment vertical="center"/>
    </xf>
    <xf numFmtId="0" fontId="6" fillId="0" borderId="0" xfId="132" applyFont="1" applyAlignment="1">
      <alignment vertical="center" wrapText="1"/>
    </xf>
    <xf numFmtId="2" fontId="5" fillId="6" borderId="0" xfId="133" applyNumberFormat="1" applyFont="1" applyFill="1" applyAlignment="1">
      <alignment horizontal="center" vertical="center"/>
    </xf>
    <xf numFmtId="2" fontId="5" fillId="0" borderId="0" xfId="133" applyNumberFormat="1" applyFont="1" applyAlignment="1">
      <alignment horizontal="center" vertical="center"/>
    </xf>
    <xf numFmtId="0" fontId="19" fillId="0" borderId="0" xfId="132" applyFont="1" applyAlignment="1">
      <alignment horizontal="center" vertical="center" wrapText="1"/>
    </xf>
    <xf numFmtId="0" fontId="6" fillId="4" borderId="0" xfId="0" applyFont="1" applyFill="1" applyAlignment="1">
      <alignment horizontal="center" vertical="center"/>
    </xf>
    <xf numFmtId="0" fontId="6" fillId="4" borderId="0" xfId="132" applyFont="1" applyFill="1" applyAlignment="1">
      <alignment horizontal="center" vertical="center" wrapText="1"/>
    </xf>
    <xf numFmtId="0" fontId="6" fillId="0" borderId="0" xfId="133" applyFont="1" applyAlignment="1">
      <alignment vertical="center" wrapText="1"/>
    </xf>
    <xf numFmtId="0" fontId="39" fillId="0" borderId="0" xfId="133" applyFont="1" applyAlignment="1">
      <alignment vertical="center" wrapText="1"/>
    </xf>
    <xf numFmtId="0" fontId="6" fillId="4" borderId="0" xfId="133" applyFont="1" applyFill="1" applyAlignment="1">
      <alignment horizontal="center" vertical="center"/>
    </xf>
    <xf numFmtId="0" fontId="6" fillId="0" borderId="0" xfId="132" applyFont="1" applyAlignment="1">
      <alignment horizontal="left"/>
    </xf>
    <xf numFmtId="0" fontId="6" fillId="0" borderId="0" xfId="132" applyFont="1" applyAlignment="1">
      <alignment horizontal="center"/>
    </xf>
    <xf numFmtId="0" fontId="6" fillId="0" borderId="0" xfId="133">
      <alignment vertical="center"/>
    </xf>
    <xf numFmtId="172" fontId="6" fillId="0" borderId="0" xfId="133" applyNumberFormat="1" applyAlignment="1">
      <alignment horizontal="center" vertical="center"/>
    </xf>
    <xf numFmtId="171" fontId="6" fillId="0" borderId="0" xfId="132" applyNumberFormat="1" applyFont="1" applyAlignment="1">
      <alignment horizontal="center"/>
    </xf>
    <xf numFmtId="172" fontId="17" fillId="0" borderId="0" xfId="0" applyNumberFormat="1" applyFont="1" applyAlignment="1">
      <alignment horizontal="center" vertical="center"/>
    </xf>
    <xf numFmtId="172" fontId="6" fillId="0" borderId="0" xfId="132" applyNumberFormat="1" applyFont="1" applyAlignment="1">
      <alignment horizontal="center" vertical="center"/>
    </xf>
    <xf numFmtId="0" fontId="6" fillId="0" borderId="0" xfId="132" applyFont="1" applyAlignment="1">
      <alignment vertical="center"/>
    </xf>
    <xf numFmtId="0" fontId="6" fillId="18" borderId="0" xfId="132" applyFont="1" applyFill="1" applyAlignment="1">
      <alignment vertical="top"/>
    </xf>
    <xf numFmtId="0" fontId="6" fillId="18" borderId="0" xfId="132" applyFont="1" applyFill="1" applyAlignment="1">
      <alignment horizontal="center" vertical="center" wrapText="1"/>
    </xf>
    <xf numFmtId="0" fontId="6" fillId="18" borderId="0" xfId="132" applyFont="1" applyFill="1" applyAlignment="1">
      <alignment vertical="top" wrapText="1"/>
    </xf>
    <xf numFmtId="0" fontId="0" fillId="32" borderId="0" xfId="0" applyFill="1" applyAlignment="1">
      <alignment horizontal="left" vertical="center" wrapText="1"/>
    </xf>
    <xf numFmtId="0" fontId="19" fillId="31" borderId="0" xfId="133" applyFont="1" applyFill="1" applyAlignment="1">
      <alignment horizontal="left" vertical="center"/>
    </xf>
    <xf numFmtId="0" fontId="6" fillId="31" borderId="11" xfId="133" applyFont="1" applyFill="1" applyBorder="1" applyAlignment="1">
      <alignment vertical="center" wrapText="1"/>
    </xf>
    <xf numFmtId="0" fontId="6" fillId="31" borderId="0" xfId="133" applyFill="1" applyAlignment="1">
      <alignment horizontal="center" vertical="center" wrapText="1"/>
    </xf>
    <xf numFmtId="0" fontId="6" fillId="31" borderId="0" xfId="133" applyFill="1" applyAlignment="1">
      <alignment horizontal="center" vertical="center"/>
    </xf>
    <xf numFmtId="172" fontId="6" fillId="31" borderId="0" xfId="141" applyFont="1" applyFill="1" applyAlignment="1">
      <alignment horizontal="left" vertical="center" wrapText="1"/>
    </xf>
    <xf numFmtId="172" fontId="6" fillId="31" borderId="0" xfId="141" applyFont="1" applyFill="1">
      <alignment horizontal="center" vertical="center"/>
    </xf>
    <xf numFmtId="172" fontId="5" fillId="31" borderId="0" xfId="141" quotePrefix="1" applyFont="1" applyFill="1" applyAlignment="1">
      <alignment horizontal="left" vertical="center"/>
    </xf>
    <xf numFmtId="172" fontId="6" fillId="31" borderId="0" xfId="141" quotePrefix="1" applyFont="1" applyFill="1" applyAlignment="1">
      <alignment horizontal="left" vertical="center"/>
    </xf>
    <xf numFmtId="0" fontId="6" fillId="31" borderId="0" xfId="141" quotePrefix="1" applyNumberFormat="1" applyFont="1" applyFill="1">
      <alignment horizontal="center" vertical="center"/>
    </xf>
    <xf numFmtId="0" fontId="8" fillId="31" borderId="0" xfId="141" applyNumberFormat="1" applyFont="1" applyFill="1">
      <alignment horizontal="center" vertical="center"/>
    </xf>
    <xf numFmtId="2" fontId="8" fillId="31" borderId="0" xfId="141" applyNumberFormat="1" applyFont="1" applyFill="1">
      <alignment horizontal="center" vertical="center"/>
    </xf>
    <xf numFmtId="0" fontId="8" fillId="31" borderId="0" xfId="141" applyNumberFormat="1" applyFont="1" applyFill="1" applyAlignment="1">
      <alignment horizontal="left" vertical="center" wrapText="1"/>
    </xf>
    <xf numFmtId="0" fontId="19" fillId="31" borderId="0" xfId="115" applyFont="1" applyFill="1">
      <alignment horizontal="left" vertical="center" wrapText="1"/>
    </xf>
    <xf numFmtId="0" fontId="19" fillId="31" borderId="0" xfId="115" applyFont="1" applyFill="1" applyAlignment="1">
      <alignment horizontal="center" vertical="center"/>
    </xf>
    <xf numFmtId="0" fontId="19" fillId="31" borderId="0" xfId="115" applyFont="1" applyFill="1" applyAlignment="1">
      <alignment horizontal="center" vertical="center" wrapText="1"/>
    </xf>
    <xf numFmtId="0" fontId="19" fillId="31" borderId="0" xfId="115" applyFont="1" applyFill="1" applyAlignment="1">
      <alignment vertical="center" wrapText="1"/>
    </xf>
    <xf numFmtId="170" fontId="19" fillId="16" borderId="0" xfId="134" applyFont="1" applyFill="1" applyAlignment="1">
      <alignment horizontal="center" vertical="center" wrapText="1"/>
    </xf>
    <xf numFmtId="170" fontId="19" fillId="16" borderId="0" xfId="146" applyFont="1" applyFill="1" applyAlignment="1">
      <alignment horizontal="center" vertical="center" wrapText="1"/>
    </xf>
    <xf numFmtId="170" fontId="19" fillId="16" borderId="0" xfId="146" applyFont="1" applyFill="1" applyAlignment="1">
      <alignment horizontal="left" vertical="center" wrapText="1"/>
    </xf>
    <xf numFmtId="0" fontId="6" fillId="16" borderId="0" xfId="0" applyFont="1" applyFill="1" applyAlignment="1">
      <alignment horizontal="center" vertical="center" textRotation="90" wrapText="1"/>
    </xf>
    <xf numFmtId="0" fontId="6" fillId="33" borderId="0" xfId="160" applyFill="1">
      <alignment horizontal="center" vertical="center" wrapText="1"/>
    </xf>
    <xf numFmtId="0" fontId="6" fillId="32" borderId="0" xfId="0" applyFont="1" applyFill="1" applyAlignment="1">
      <alignment horizontal="left" vertical="center"/>
    </xf>
    <xf numFmtId="0" fontId="6" fillId="31" borderId="0" xfId="133" applyFill="1" applyAlignment="1">
      <alignment vertical="center" wrapText="1"/>
    </xf>
    <xf numFmtId="0" fontId="19" fillId="31" borderId="0" xfId="115" applyFont="1" applyFill="1" applyAlignment="1">
      <alignment horizontal="left" vertical="center"/>
    </xf>
    <xf numFmtId="0" fontId="6" fillId="31" borderId="0" xfId="115" applyFont="1" applyFill="1" applyAlignment="1">
      <alignment vertical="center" wrapText="1"/>
    </xf>
    <xf numFmtId="0" fontId="6" fillId="31" borderId="0" xfId="133" applyFont="1" applyFill="1" applyAlignment="1">
      <alignment vertical="center" wrapText="1"/>
    </xf>
    <xf numFmtId="0" fontId="6" fillId="33" borderId="0" xfId="115" applyFont="1" applyFill="1" applyAlignment="1">
      <alignment horizontal="center" vertical="center"/>
    </xf>
    <xf numFmtId="172" fontId="6" fillId="33" borderId="0" xfId="141" applyFont="1" applyFill="1" applyAlignment="1">
      <alignment horizontal="left" vertical="center"/>
    </xf>
    <xf numFmtId="172" fontId="6" fillId="33" borderId="0" xfId="141" applyFont="1" applyFill="1">
      <alignment horizontal="center" vertical="center"/>
    </xf>
    <xf numFmtId="0" fontId="6" fillId="33" borderId="0" xfId="141" quotePrefix="1" applyNumberFormat="1" applyFont="1" applyFill="1">
      <alignment horizontal="center" vertical="center"/>
    </xf>
    <xf numFmtId="0" fontId="6" fillId="31" borderId="0" xfId="0" applyFont="1" applyFill="1" applyAlignment="1">
      <alignment horizontal="center" vertical="center" wrapText="1"/>
    </xf>
    <xf numFmtId="0" fontId="6" fillId="31" borderId="0" xfId="0" applyFont="1" applyFill="1" applyAlignment="1">
      <alignment horizontal="center" vertical="center"/>
    </xf>
    <xf numFmtId="0" fontId="6" fillId="31" borderId="0" xfId="115" applyFont="1" applyFill="1">
      <alignment horizontal="left" vertical="center" wrapText="1"/>
    </xf>
    <xf numFmtId="0" fontId="6" fillId="31" borderId="0" xfId="115" applyFont="1" applyFill="1" applyAlignment="1">
      <alignment horizontal="right" vertical="center" wrapText="1"/>
    </xf>
    <xf numFmtId="0" fontId="6" fillId="34" borderId="0" xfId="0" applyFont="1" applyFill="1" applyAlignment="1">
      <alignment horizontal="center" vertical="center" wrapText="1"/>
    </xf>
    <xf numFmtId="0" fontId="6" fillId="34" borderId="0" xfId="0" applyFont="1" applyFill="1" applyAlignment="1">
      <alignment horizontal="center" vertical="center"/>
    </xf>
    <xf numFmtId="172" fontId="6" fillId="34" borderId="0" xfId="141" applyFont="1" applyFill="1" applyAlignment="1">
      <alignment horizontal="left" vertical="center" wrapText="1"/>
    </xf>
    <xf numFmtId="172" fontId="6" fillId="34" borderId="0" xfId="141" applyFont="1" applyFill="1">
      <alignment horizontal="center" vertical="center"/>
    </xf>
    <xf numFmtId="172" fontId="6" fillId="34" borderId="0" xfId="141" quotePrefix="1" applyFont="1" applyFill="1" applyAlignment="1">
      <alignment horizontal="left" vertical="center"/>
    </xf>
    <xf numFmtId="0" fontId="6" fillId="34" borderId="0" xfId="141" quotePrefix="1" applyNumberFormat="1" applyFont="1" applyFill="1">
      <alignment horizontal="center" vertical="center"/>
    </xf>
    <xf numFmtId="0" fontId="8" fillId="34" borderId="0" xfId="141" applyNumberFormat="1" applyFont="1" applyFill="1">
      <alignment horizontal="center" vertical="center"/>
    </xf>
    <xf numFmtId="2" fontId="8" fillId="34" borderId="0" xfId="141" applyNumberFormat="1" applyFont="1" applyFill="1">
      <alignment horizontal="center" vertical="center"/>
    </xf>
    <xf numFmtId="0" fontId="8" fillId="34" borderId="0" xfId="141" applyNumberFormat="1" applyFont="1" applyFill="1" applyAlignment="1">
      <alignment horizontal="left" vertical="center" wrapText="1"/>
    </xf>
    <xf numFmtId="0" fontId="6" fillId="34" borderId="0" xfId="133" applyFill="1" applyAlignment="1">
      <alignment horizontal="center" vertical="center" wrapText="1"/>
    </xf>
    <xf numFmtId="0" fontId="6" fillId="34" borderId="0" xfId="133" applyFill="1" applyAlignment="1">
      <alignment horizontal="center" vertical="center"/>
    </xf>
    <xf numFmtId="172" fontId="5" fillId="34" borderId="0" xfId="141" quotePrefix="1" applyFont="1" applyFill="1" applyAlignment="1">
      <alignment horizontal="left" vertical="center"/>
    </xf>
    <xf numFmtId="0" fontId="6" fillId="32" borderId="0" xfId="133" applyFill="1" applyAlignment="1">
      <alignment horizontal="left" vertical="center"/>
    </xf>
    <xf numFmtId="0" fontId="6" fillId="34" borderId="0" xfId="134" applyNumberFormat="1" applyFill="1" applyAlignment="1">
      <alignment horizontal="center" vertical="center" wrapText="1"/>
    </xf>
    <xf numFmtId="0" fontId="6" fillId="34" borderId="0" xfId="115" applyFont="1" applyFill="1" applyAlignment="1">
      <alignment horizontal="center" vertical="center"/>
    </xf>
    <xf numFmtId="0" fontId="6" fillId="31" borderId="0" xfId="115" applyFont="1" applyFill="1" applyAlignment="1">
      <alignment horizontal="center" vertical="center"/>
    </xf>
    <xf numFmtId="0" fontId="6" fillId="31" borderId="0" xfId="132" applyFont="1" applyFill="1">
      <alignment vertical="center"/>
    </xf>
    <xf numFmtId="0" fontId="6" fillId="31" borderId="0" xfId="115" applyFont="1" applyFill="1" applyAlignment="1">
      <alignment horizontal="left" vertical="center"/>
    </xf>
    <xf numFmtId="170" fontId="6" fillId="16" borderId="0" xfId="134" applyFont="1" applyFill="1" applyAlignment="1">
      <alignment horizontal="center" vertical="center" textRotation="90" wrapText="1"/>
    </xf>
    <xf numFmtId="170" fontId="6" fillId="16" borderId="0" xfId="134" applyFont="1" applyFill="1" applyAlignment="1">
      <alignment horizontal="center" vertical="center" wrapText="1"/>
    </xf>
    <xf numFmtId="170" fontId="6" fillId="16" borderId="0" xfId="146" applyFont="1" applyFill="1" applyAlignment="1">
      <alignment horizontal="center" vertical="center" textRotation="90" wrapText="1"/>
    </xf>
    <xf numFmtId="170" fontId="6" fillId="16" borderId="0" xfId="146" applyFont="1" applyFill="1" applyAlignment="1">
      <alignment horizontal="left" vertical="center" wrapText="1"/>
    </xf>
    <xf numFmtId="170" fontId="17" fillId="16" borderId="0" xfId="146" applyFont="1" applyFill="1" applyAlignment="1">
      <alignment horizontal="center" vertical="center" wrapText="1"/>
    </xf>
    <xf numFmtId="170" fontId="17" fillId="16" borderId="0" xfId="146" applyFont="1" applyFill="1" applyAlignment="1">
      <alignment horizontal="left" vertical="center" wrapText="1"/>
    </xf>
    <xf numFmtId="0" fontId="6" fillId="32" borderId="0" xfId="115" applyFont="1" applyFill="1" applyAlignment="1">
      <alignment horizontal="center" vertical="center"/>
    </xf>
    <xf numFmtId="0" fontId="6" fillId="32" borderId="0" xfId="132" applyFont="1" applyFill="1">
      <alignment vertical="center"/>
    </xf>
    <xf numFmtId="0" fontId="0" fillId="32" borderId="0" xfId="0" applyFill="1" applyAlignment="1">
      <alignment horizontal="left" vertical="center"/>
    </xf>
    <xf numFmtId="0" fontId="6" fillId="31" borderId="0" xfId="0" applyFont="1" applyFill="1" applyAlignment="1">
      <alignment vertical="center" wrapText="1"/>
    </xf>
    <xf numFmtId="0" fontId="19" fillId="31" borderId="0" xfId="0" applyFont="1" applyFill="1" applyAlignment="1">
      <alignment horizontal="left" vertical="center"/>
    </xf>
    <xf numFmtId="0" fontId="37" fillId="31" borderId="0" xfId="149" applyFont="1" applyFill="1" applyAlignment="1">
      <alignment vertical="center" wrapText="1"/>
    </xf>
    <xf numFmtId="170" fontId="6" fillId="33" borderId="0" xfId="134" applyFont="1" applyFill="1" applyAlignment="1">
      <alignment horizontal="center" vertical="center" wrapText="1"/>
    </xf>
    <xf numFmtId="0" fontId="6" fillId="16" borderId="0" xfId="141" applyNumberFormat="1" applyFont="1" applyFill="1">
      <alignment horizontal="center" vertical="center"/>
    </xf>
    <xf numFmtId="2" fontId="6" fillId="16" borderId="0" xfId="141" applyNumberFormat="1" applyFont="1" applyFill="1">
      <alignment horizontal="center" vertical="center"/>
    </xf>
    <xf numFmtId="0" fontId="6" fillId="16" borderId="0" xfId="141" applyNumberFormat="1" applyFont="1" applyFill="1" applyAlignment="1">
      <alignment horizontal="left" vertical="center" wrapText="1"/>
    </xf>
    <xf numFmtId="0" fontId="6" fillId="34" borderId="0" xfId="132" applyFont="1" applyFill="1" applyAlignment="1">
      <alignment horizontal="center" vertical="center" wrapText="1"/>
    </xf>
    <xf numFmtId="0" fontId="6" fillId="34" borderId="0" xfId="132" applyFont="1" applyFill="1" applyAlignment="1">
      <alignment horizontal="center" vertical="center"/>
    </xf>
    <xf numFmtId="0" fontId="6" fillId="34" borderId="0" xfId="141" applyNumberFormat="1" applyFont="1" applyFill="1">
      <alignment horizontal="center" vertical="center"/>
    </xf>
    <xf numFmtId="2" fontId="6" fillId="34" borderId="0" xfId="141" applyNumberFormat="1" applyFont="1" applyFill="1">
      <alignment horizontal="center" vertical="center"/>
    </xf>
    <xf numFmtId="0" fontId="6" fillId="34" borderId="0" xfId="141" applyNumberFormat="1" applyFont="1" applyFill="1" applyAlignment="1">
      <alignment horizontal="left" vertical="center" wrapText="1"/>
    </xf>
    <xf numFmtId="0" fontId="6" fillId="31" borderId="0" xfId="132" applyFont="1" applyFill="1" applyAlignment="1">
      <alignment horizontal="center" vertical="center" wrapText="1"/>
    </xf>
    <xf numFmtId="0" fontId="6" fillId="31" borderId="0" xfId="132" applyFont="1" applyFill="1" applyAlignment="1">
      <alignment horizontal="center" vertical="center"/>
    </xf>
    <xf numFmtId="0" fontId="6" fillId="31" borderId="0" xfId="141" applyNumberFormat="1" applyFont="1" applyFill="1">
      <alignment horizontal="center" vertical="center"/>
    </xf>
    <xf numFmtId="2" fontId="6" fillId="31" borderId="0" xfId="141" applyNumberFormat="1" applyFont="1" applyFill="1">
      <alignment horizontal="center" vertical="center"/>
    </xf>
    <xf numFmtId="0" fontId="6" fillId="31" borderId="0" xfId="141" applyNumberFormat="1" applyFont="1" applyFill="1" applyAlignment="1">
      <alignment horizontal="left" vertical="center" wrapText="1"/>
    </xf>
    <xf numFmtId="0" fontId="0" fillId="32" borderId="0" xfId="0" applyFill="1" applyAlignment="1">
      <alignment horizontal="left" vertical="center" wrapText="1"/>
    </xf>
    <xf numFmtId="0" fontId="19" fillId="31" borderId="0" xfId="133" applyFont="1" applyFill="1" applyAlignment="1">
      <alignment horizontal="left" vertical="center"/>
    </xf>
    <xf numFmtId="0" fontId="6" fillId="31" borderId="11" xfId="133" applyFont="1" applyFill="1" applyBorder="1" applyAlignment="1">
      <alignment vertical="center" wrapText="1"/>
    </xf>
    <xf numFmtId="0" fontId="6" fillId="31" borderId="0" xfId="133" applyFill="1" applyAlignment="1">
      <alignment horizontal="center" vertical="center" wrapText="1"/>
    </xf>
    <xf numFmtId="0" fontId="6" fillId="31" borderId="0" xfId="133" applyFill="1" applyAlignment="1">
      <alignment horizontal="center" vertical="center"/>
    </xf>
    <xf numFmtId="172" fontId="6" fillId="31" borderId="0" xfId="141" applyFont="1" applyFill="1" applyAlignment="1">
      <alignment horizontal="left" vertical="center" wrapText="1"/>
    </xf>
    <xf numFmtId="172" fontId="6" fillId="31" borderId="0" xfId="141" applyFont="1" applyFill="1">
      <alignment horizontal="center" vertical="center"/>
    </xf>
    <xf numFmtId="172" fontId="5" fillId="31" borderId="0" xfId="141" quotePrefix="1" applyFont="1" applyFill="1" applyAlignment="1">
      <alignment horizontal="left" vertical="center"/>
    </xf>
    <xf numFmtId="172" fontId="6" fillId="31" borderId="0" xfId="141" quotePrefix="1" applyFont="1" applyFill="1" applyAlignment="1">
      <alignment horizontal="left" vertical="center"/>
    </xf>
    <xf numFmtId="0" fontId="6" fillId="31" borderId="0" xfId="141" quotePrefix="1" applyNumberFormat="1" applyFont="1" applyFill="1">
      <alignment horizontal="center" vertical="center"/>
    </xf>
    <xf numFmtId="0" fontId="8" fillId="31" borderId="0" xfId="141" applyNumberFormat="1" applyFont="1" applyFill="1">
      <alignment horizontal="center" vertical="center"/>
    </xf>
    <xf numFmtId="2" fontId="8" fillId="31" borderId="0" xfId="141" applyNumberFormat="1" applyFont="1" applyFill="1">
      <alignment horizontal="center" vertical="center"/>
    </xf>
    <xf numFmtId="0" fontId="8" fillId="31" borderId="0" xfId="141" applyNumberFormat="1" applyFont="1" applyFill="1" applyAlignment="1">
      <alignment horizontal="left" vertical="center" wrapText="1"/>
    </xf>
    <xf numFmtId="0" fontId="6" fillId="31" borderId="0" xfId="133" applyFill="1">
      <alignment vertical="center"/>
    </xf>
    <xf numFmtId="0" fontId="19" fillId="31" borderId="0" xfId="115" applyFont="1" applyFill="1">
      <alignment horizontal="left" vertical="center" wrapText="1"/>
    </xf>
    <xf numFmtId="0" fontId="19" fillId="31" borderId="0" xfId="115" applyFont="1" applyFill="1" applyAlignment="1">
      <alignment horizontal="center" vertical="center"/>
    </xf>
    <xf numFmtId="0" fontId="19" fillId="31" borderId="0" xfId="115" applyFont="1" applyFill="1" applyAlignment="1">
      <alignment horizontal="center" vertical="center" wrapText="1"/>
    </xf>
    <xf numFmtId="0" fontId="19" fillId="31" borderId="0" xfId="115" applyFont="1" applyFill="1" applyAlignment="1">
      <alignment vertical="center" wrapText="1"/>
    </xf>
    <xf numFmtId="170" fontId="15" fillId="16" borderId="0" xfId="134" applyFont="1" applyFill="1" applyAlignment="1">
      <alignment horizontal="center" vertical="center" textRotation="90" wrapText="1"/>
    </xf>
    <xf numFmtId="170" fontId="6" fillId="16" borderId="0" xfId="134" applyFill="1" applyAlignment="1">
      <alignment horizontal="center" vertical="center" wrapText="1"/>
    </xf>
    <xf numFmtId="0" fontId="6" fillId="16" borderId="0" xfId="0" applyFont="1" applyFill="1" applyAlignment="1">
      <alignment horizontal="center" vertical="center" textRotation="90" wrapText="1"/>
    </xf>
    <xf numFmtId="170" fontId="8" fillId="16" borderId="0" xfId="146" applyFont="1" applyFill="1" applyAlignment="1">
      <alignment horizontal="center" vertical="center" textRotation="90" wrapText="1"/>
    </xf>
    <xf numFmtId="170" fontId="8" fillId="16" borderId="0" xfId="146" applyFont="1" applyFill="1" applyAlignment="1">
      <alignment horizontal="left" vertical="center" wrapText="1"/>
    </xf>
    <xf numFmtId="170" fontId="26" fillId="16" borderId="0" xfId="146" applyFont="1" applyFill="1" applyAlignment="1">
      <alignment horizontal="center" vertical="center" wrapText="1"/>
    </xf>
    <xf numFmtId="170" fontId="26" fillId="16" borderId="0" xfId="146" applyFont="1" applyFill="1" applyAlignment="1">
      <alignment horizontal="left" vertical="center" wrapText="1"/>
    </xf>
    <xf numFmtId="170" fontId="19" fillId="31" borderId="0" xfId="134" applyFont="1" applyFill="1" applyAlignment="1">
      <alignment horizontal="center" vertical="center" wrapText="1"/>
    </xf>
    <xf numFmtId="170" fontId="19" fillId="31" borderId="0" xfId="146" applyFont="1" applyFill="1" applyAlignment="1">
      <alignment horizontal="center" vertical="center" wrapText="1"/>
    </xf>
    <xf numFmtId="170" fontId="19" fillId="31" borderId="0" xfId="146" applyFont="1" applyFill="1" applyAlignment="1">
      <alignment horizontal="left" vertical="center" wrapText="1"/>
    </xf>
    <xf numFmtId="0" fontId="6" fillId="33" borderId="0" xfId="160" applyFill="1">
      <alignment horizontal="center" vertical="center" wrapText="1"/>
    </xf>
    <xf numFmtId="0" fontId="6" fillId="32" borderId="0" xfId="133" applyFill="1">
      <alignment vertical="center"/>
    </xf>
    <xf numFmtId="0" fontId="6" fillId="32" borderId="0" xfId="0" applyFont="1" applyFill="1" applyAlignment="1">
      <alignment horizontal="center" vertical="center"/>
    </xf>
    <xf numFmtId="0" fontId="6" fillId="32" borderId="0" xfId="0" applyFont="1" applyFill="1" applyAlignment="1">
      <alignment horizontal="left" vertical="center"/>
    </xf>
    <xf numFmtId="0" fontId="6" fillId="31" borderId="0" xfId="133" applyFill="1" applyAlignment="1">
      <alignment vertical="center" wrapText="1"/>
    </xf>
    <xf numFmtId="0" fontId="19" fillId="31" borderId="0" xfId="115" applyFont="1" applyFill="1" applyAlignment="1">
      <alignment horizontal="left" vertical="center"/>
    </xf>
    <xf numFmtId="0" fontId="6" fillId="31" borderId="0" xfId="115" applyFont="1" applyFill="1" applyAlignment="1">
      <alignment vertical="center" wrapText="1"/>
    </xf>
    <xf numFmtId="0" fontId="6" fillId="31" borderId="0" xfId="133" applyFont="1" applyFill="1" applyAlignment="1">
      <alignment vertical="center" wrapText="1"/>
    </xf>
    <xf numFmtId="170" fontId="6" fillId="33" borderId="0" xfId="134" applyFill="1" applyAlignment="1">
      <alignment horizontal="center" vertical="center" wrapText="1"/>
    </xf>
    <xf numFmtId="0" fontId="6" fillId="33" borderId="0" xfId="115" applyFont="1" applyFill="1" applyAlignment="1">
      <alignment horizontal="center" vertical="center"/>
    </xf>
    <xf numFmtId="172" fontId="6" fillId="33" borderId="0" xfId="141" applyFont="1" applyFill="1" applyAlignment="1">
      <alignment horizontal="left" vertical="center"/>
    </xf>
    <xf numFmtId="172" fontId="6" fillId="33" borderId="0" xfId="141" applyFont="1" applyFill="1">
      <alignment horizontal="center" vertical="center"/>
    </xf>
    <xf numFmtId="172" fontId="8" fillId="33" borderId="0" xfId="141" applyFont="1" applyFill="1" applyAlignment="1">
      <alignment horizontal="left" vertical="center"/>
    </xf>
    <xf numFmtId="0" fontId="6" fillId="33" borderId="0" xfId="141" quotePrefix="1" applyNumberFormat="1" applyFont="1" applyFill="1">
      <alignment horizontal="center" vertical="center"/>
    </xf>
    <xf numFmtId="0" fontId="8" fillId="16" borderId="0" xfId="141" applyNumberFormat="1" applyFont="1" applyFill="1">
      <alignment horizontal="center" vertical="center"/>
    </xf>
    <xf numFmtId="2" fontId="8" fillId="16" borderId="0" xfId="141" applyNumberFormat="1" applyFont="1" applyFill="1">
      <alignment horizontal="center" vertical="center"/>
    </xf>
    <xf numFmtId="0" fontId="8" fillId="16" borderId="0" xfId="141" applyNumberFormat="1" applyFont="1" applyFill="1" applyAlignment="1">
      <alignment horizontal="left" vertical="center" wrapText="1"/>
    </xf>
    <xf numFmtId="0" fontId="6" fillId="31" borderId="0" xfId="0" applyFont="1" applyFill="1" applyAlignment="1">
      <alignment horizontal="center" vertical="center" wrapText="1"/>
    </xf>
    <xf numFmtId="0" fontId="6" fillId="31" borderId="0" xfId="0" applyFont="1" applyFill="1" applyAlignment="1">
      <alignment horizontal="center" vertical="center"/>
    </xf>
    <xf numFmtId="0" fontId="6" fillId="31" borderId="0" xfId="115" applyFont="1" applyFill="1">
      <alignment horizontal="left" vertical="center" wrapText="1"/>
    </xf>
    <xf numFmtId="0" fontId="6" fillId="31" borderId="0" xfId="115" applyFont="1" applyFill="1" applyAlignment="1">
      <alignment horizontal="right" vertical="center" wrapText="1"/>
    </xf>
    <xf numFmtId="0" fontId="8" fillId="31" borderId="0" xfId="115" applyFont="1" applyFill="1" applyAlignment="1">
      <alignment horizontal="left" vertical="center"/>
    </xf>
    <xf numFmtId="0" fontId="6" fillId="34" borderId="0" xfId="0" applyFont="1" applyFill="1" applyAlignment="1">
      <alignment horizontal="center" vertical="center" wrapText="1"/>
    </xf>
    <xf numFmtId="0" fontId="6" fillId="34" borderId="0" xfId="0" applyFont="1" applyFill="1" applyAlignment="1">
      <alignment horizontal="center" vertical="center"/>
    </xf>
    <xf numFmtId="172" fontId="6" fillId="34" borderId="0" xfId="141" applyFont="1" applyFill="1" applyAlignment="1">
      <alignment horizontal="left" vertical="center" wrapText="1"/>
    </xf>
    <xf numFmtId="172" fontId="6" fillId="34" borderId="0" xfId="141" applyFont="1" applyFill="1">
      <alignment horizontal="center" vertical="center"/>
    </xf>
    <xf numFmtId="172" fontId="6" fillId="34" borderId="0" xfId="141" quotePrefix="1" applyFont="1" applyFill="1" applyAlignment="1">
      <alignment horizontal="left" vertical="center"/>
    </xf>
    <xf numFmtId="0" fontId="6" fillId="34" borderId="0" xfId="141" quotePrefix="1" applyNumberFormat="1" applyFont="1" applyFill="1">
      <alignment horizontal="center" vertical="center"/>
    </xf>
    <xf numFmtId="0" fontId="8" fillId="34" borderId="0" xfId="141" applyNumberFormat="1" applyFont="1" applyFill="1">
      <alignment horizontal="center" vertical="center"/>
    </xf>
    <xf numFmtId="2" fontId="8" fillId="34" borderId="0" xfId="141" applyNumberFormat="1" applyFont="1" applyFill="1">
      <alignment horizontal="center" vertical="center"/>
    </xf>
    <xf numFmtId="0" fontId="8" fillId="34" borderId="0" xfId="141" applyNumberFormat="1" applyFont="1" applyFill="1" applyAlignment="1">
      <alignment horizontal="left" vertical="center" wrapText="1"/>
    </xf>
    <xf numFmtId="0" fontId="6" fillId="34" borderId="0" xfId="133" applyFill="1" applyAlignment="1">
      <alignment horizontal="center" vertical="center" wrapText="1"/>
    </xf>
    <xf numFmtId="0" fontId="6" fillId="34" borderId="0" xfId="133" applyFill="1" applyAlignment="1">
      <alignment horizontal="center" vertical="center"/>
    </xf>
    <xf numFmtId="172" fontId="5" fillId="34" borderId="0" xfId="141" quotePrefix="1" applyFont="1" applyFill="1" applyAlignment="1">
      <alignment horizontal="left" vertical="center"/>
    </xf>
    <xf numFmtId="0" fontId="6" fillId="32" borderId="0" xfId="133" applyFill="1" applyAlignment="1">
      <alignment horizontal="left" vertical="center"/>
    </xf>
    <xf numFmtId="0" fontId="6" fillId="34" borderId="0" xfId="134" applyNumberFormat="1" applyFill="1" applyAlignment="1">
      <alignment horizontal="center" vertical="center" wrapText="1"/>
    </xf>
    <xf numFmtId="0" fontId="6" fillId="34" borderId="0" xfId="115" applyFont="1" applyFill="1" applyAlignment="1">
      <alignment horizontal="center" vertical="center"/>
    </xf>
    <xf numFmtId="0" fontId="6" fillId="31" borderId="0" xfId="134" applyNumberFormat="1" applyFill="1" applyAlignment="1">
      <alignment horizontal="center" vertical="center" wrapText="1"/>
    </xf>
    <xf numFmtId="0" fontId="6" fillId="31" borderId="0" xfId="115" applyFont="1" applyFill="1" applyAlignment="1">
      <alignment horizontal="center" vertical="center"/>
    </xf>
    <xf numFmtId="172" fontId="6" fillId="34" borderId="0" xfId="141" applyFont="1" applyFill="1" applyAlignment="1">
      <alignment horizontal="left" vertical="center"/>
    </xf>
    <xf numFmtId="0" fontId="6" fillId="17" borderId="0" xfId="141" applyNumberFormat="1" applyFont="1" applyFill="1">
      <alignment horizontal="center" vertical="center"/>
    </xf>
    <xf numFmtId="2" fontId="6" fillId="17" borderId="0" xfId="141" applyNumberFormat="1" applyFont="1" applyFill="1">
      <alignment horizontal="center" vertical="center"/>
    </xf>
    <xf numFmtId="172" fontId="6" fillId="17" borderId="0" xfId="141" applyFont="1" applyFill="1" applyAlignment="1">
      <alignment horizontal="left" vertical="center" wrapText="1"/>
    </xf>
    <xf numFmtId="173" fontId="6" fillId="17" borderId="0" xfId="148" applyNumberFormat="1" applyFont="1" applyFill="1" applyAlignment="1">
      <alignment horizontal="center" vertical="center"/>
    </xf>
    <xf numFmtId="0" fontId="6" fillId="17" borderId="0" xfId="117" applyFill="1" applyAlignment="1">
      <alignment horizontal="left" vertical="center" wrapText="1"/>
    </xf>
    <xf numFmtId="0" fontId="69" fillId="14" borderId="9" xfId="0" applyFont="1" applyFill="1" applyBorder="1" applyAlignment="1">
      <alignment horizontal="center" vertical="center" wrapText="1"/>
    </xf>
    <xf numFmtId="0" fontId="69" fillId="14" borderId="12" xfId="0" applyFont="1" applyFill="1" applyBorder="1" applyAlignment="1">
      <alignment horizontal="center" vertical="center" wrapText="1"/>
    </xf>
    <xf numFmtId="0" fontId="69" fillId="14" borderId="1" xfId="0" applyFont="1" applyFill="1" applyBorder="1" applyAlignment="1">
      <alignment horizontal="left" vertical="center"/>
    </xf>
    <xf numFmtId="0" fontId="0" fillId="0" borderId="13" xfId="0" applyBorder="1" applyAlignment="1"/>
    <xf numFmtId="0" fontId="0" fillId="0" borderId="8" xfId="0" applyBorder="1" applyAlignment="1"/>
    <xf numFmtId="0" fontId="69" fillId="14" borderId="1" xfId="0" applyFont="1" applyFill="1" applyBorder="1" applyAlignment="1">
      <alignment horizontal="center" vertical="center" textRotation="90"/>
    </xf>
    <xf numFmtId="0" fontId="0" fillId="0" borderId="4" xfId="0" applyBorder="1" applyAlignment="1"/>
    <xf numFmtId="0" fontId="0" fillId="0" borderId="3" xfId="0" applyBorder="1" applyAlignment="1"/>
    <xf numFmtId="0" fontId="31" fillId="0" borderId="1" xfId="0" applyFont="1" applyBorder="1" applyAlignment="1">
      <alignment horizontal="left" vertical="center"/>
    </xf>
    <xf numFmtId="0" fontId="69" fillId="14" borderId="1" xfId="0" applyFont="1" applyFill="1" applyBorder="1" applyAlignment="1">
      <alignment horizontal="center" vertical="center"/>
    </xf>
    <xf numFmtId="0" fontId="0" fillId="0" borderId="11" xfId="0" applyBorder="1" applyAlignment="1"/>
    <xf numFmtId="0" fontId="0" fillId="0" borderId="7" xfId="0" applyBorder="1" applyAlignment="1"/>
    <xf numFmtId="0" fontId="0" fillId="0" borderId="9" xfId="0" applyBorder="1" applyAlignment="1"/>
    <xf numFmtId="0" fontId="0" fillId="0" borderId="12" xfId="0" applyBorder="1" applyAlignment="1"/>
    <xf numFmtId="0" fontId="0" fillId="0" borderId="6" xfId="0" applyBorder="1" applyAlignment="1"/>
    <xf numFmtId="0" fontId="69" fillId="14" borderId="5" xfId="0" applyFont="1" applyFill="1" applyBorder="1" applyAlignment="1">
      <alignment horizontal="center" vertical="center" textRotation="90" wrapText="1"/>
    </xf>
    <xf numFmtId="0" fontId="69" fillId="14" borderId="1" xfId="0" applyFont="1" applyFill="1" applyBorder="1" applyAlignment="1">
      <alignment horizontal="left" vertical="center" wrapText="1"/>
    </xf>
    <xf numFmtId="0" fontId="69" fillId="14" borderId="5" xfId="0" applyFont="1" applyFill="1" applyBorder="1" applyAlignment="1">
      <alignment horizontal="left" vertical="center" wrapText="1"/>
    </xf>
    <xf numFmtId="0" fontId="37" fillId="16" borderId="0" xfId="64" applyFont="1" applyFill="1" applyAlignment="1">
      <alignment horizontal="left"/>
    </xf>
    <xf numFmtId="0" fontId="37" fillId="16" borderId="0" xfId="64" applyFont="1" applyFill="1" applyAlignment="1">
      <alignment horizontal="center"/>
    </xf>
    <xf numFmtId="0" fontId="37" fillId="0" borderId="0" xfId="66" applyFont="1" applyAlignment="1">
      <alignment horizontal="left" vertical="center" wrapText="1"/>
    </xf>
    <xf numFmtId="0" fontId="37" fillId="0" borderId="0" xfId="66" applyFont="1" applyAlignment="1"/>
    <xf numFmtId="0" fontId="37" fillId="33" borderId="0" xfId="64" applyFont="1" applyFill="1" applyAlignment="1">
      <alignment horizontal="left"/>
    </xf>
    <xf numFmtId="0" fontId="37" fillId="33" borderId="0" xfId="64" applyFont="1" applyFill="1" applyAlignment="1">
      <alignment horizontal="center"/>
    </xf>
    <xf numFmtId="0" fontId="37" fillId="16" borderId="0" xfId="64" applyFont="1" applyFill="1" applyAlignment="1">
      <alignment horizontal="left" vertical="center"/>
    </xf>
    <xf numFmtId="0" fontId="6" fillId="16" borderId="0" xfId="59" applyFont="1" applyFill="1" applyAlignment="1">
      <alignment horizontal="center"/>
    </xf>
    <xf numFmtId="0" fontId="6" fillId="16" borderId="0" xfId="102" applyFont="1" applyFill="1" applyAlignment="1">
      <alignment horizontal="center"/>
    </xf>
    <xf numFmtId="0" fontId="5" fillId="0" borderId="0" xfId="40" applyFont="1" applyAlignment="1">
      <alignment horizontal="left"/>
    </xf>
    <xf numFmtId="0" fontId="14" fillId="0" borderId="0" xfId="40" applyAlignment="1">
      <alignment horizontal="center"/>
    </xf>
    <xf numFmtId="0" fontId="6" fillId="16" borderId="0" xfId="0" applyFont="1" applyFill="1" applyAlignment="1">
      <alignment vertical="center"/>
    </xf>
    <xf numFmtId="0" fontId="6" fillId="16" borderId="0" xfId="102" applyFont="1" applyFill="1" applyAlignment="1">
      <alignment horizontal="center" wrapText="1"/>
    </xf>
    <xf numFmtId="0" fontId="34" fillId="16" borderId="1" xfId="103" applyFont="1" applyFill="1" applyBorder="1" applyAlignment="1">
      <alignment horizontal="left" vertical="center"/>
    </xf>
    <xf numFmtId="0" fontId="34" fillId="16" borderId="1" xfId="103" applyFont="1" applyFill="1" applyBorder="1" applyAlignment="1">
      <alignment horizontal="center"/>
    </xf>
    <xf numFmtId="0" fontId="34" fillId="16" borderId="1" xfId="103" applyFont="1" applyFill="1" applyBorder="1" applyAlignment="1">
      <alignment horizontal="left" vertical="center" wrapText="1"/>
    </xf>
    <xf numFmtId="0" fontId="40" fillId="16" borderId="0" xfId="33" applyFont="1" applyFill="1" applyAlignment="1">
      <alignment horizontal="left" vertical="center" wrapText="1"/>
    </xf>
    <xf numFmtId="0" fontId="6" fillId="16" borderId="0" xfId="0" applyFont="1" applyFill="1" applyAlignment="1">
      <alignment horizontal="center"/>
    </xf>
    <xf numFmtId="0" fontId="37" fillId="16" borderId="0" xfId="64" applyFont="1" applyFill="1" applyAlignment="1">
      <alignment horizontal="center" vertical="center"/>
    </xf>
    <xf numFmtId="0" fontId="37" fillId="33" borderId="0" xfId="64" applyFont="1" applyFill="1" applyAlignment="1">
      <alignment horizontal="left" vertical="center"/>
    </xf>
    <xf numFmtId="0" fontId="37" fillId="33" borderId="0" xfId="64" applyFont="1" applyFill="1" applyAlignment="1">
      <alignment horizontal="center" vertical="center"/>
    </xf>
    <xf numFmtId="0" fontId="34" fillId="37" borderId="1" xfId="74" applyFont="1" applyFill="1" applyBorder="1" applyAlignment="1">
      <alignment horizontal="center" vertical="center" wrapText="1"/>
    </xf>
    <xf numFmtId="0" fontId="0" fillId="37" borderId="3" xfId="0" applyFill="1" applyBorder="1" applyAlignment="1"/>
    <xf numFmtId="0" fontId="1" fillId="0" borderId="0" xfId="74" applyFont="1" applyAlignment="1">
      <alignment horizontal="center"/>
    </xf>
    <xf numFmtId="0" fontId="0" fillId="37" borderId="13" xfId="0" applyFill="1" applyBorder="1" applyAlignment="1"/>
    <xf numFmtId="0" fontId="0" fillId="37" borderId="8" xfId="0" applyFill="1" applyBorder="1" applyAlignment="1"/>
    <xf numFmtId="0" fontId="34" fillId="37" borderId="1" xfId="74" applyFont="1" applyFill="1" applyBorder="1" applyAlignment="1">
      <alignment horizontal="left" vertical="center"/>
    </xf>
    <xf numFmtId="0" fontId="0" fillId="37" borderId="4" xfId="0" applyFill="1" applyBorder="1" applyAlignment="1"/>
    <xf numFmtId="0" fontId="50" fillId="38" borderId="1" xfId="74" applyFont="1" applyFill="1" applyBorder="1" applyAlignment="1">
      <alignment horizontal="left" vertical="center"/>
    </xf>
    <xf numFmtId="0" fontId="0" fillId="38" borderId="4" xfId="0" applyFill="1" applyBorder="1" applyAlignment="1"/>
    <xf numFmtId="0" fontId="0" fillId="38" borderId="3" xfId="0" applyFill="1" applyBorder="1" applyAlignment="1"/>
    <xf numFmtId="0" fontId="34" fillId="17" borderId="1" xfId="74" applyFont="1" applyFill="1" applyBorder="1" applyAlignment="1">
      <alignment horizontal="center" vertical="center" wrapText="1"/>
    </xf>
    <xf numFmtId="0" fontId="0" fillId="17" borderId="13" xfId="0" applyFill="1" applyBorder="1" applyAlignment="1"/>
    <xf numFmtId="0" fontId="0" fillId="17" borderId="8" xfId="0" applyFill="1" applyBorder="1" applyAlignment="1"/>
    <xf numFmtId="0" fontId="34" fillId="0" borderId="1" xfId="74" applyFont="1" applyBorder="1" applyAlignment="1">
      <alignment horizontal="left" vertical="center"/>
    </xf>
    <xf numFmtId="0" fontId="34" fillId="19" borderId="1" xfId="74" applyFont="1" applyFill="1" applyBorder="1" applyAlignment="1">
      <alignment horizontal="center" vertical="center" wrapText="1"/>
    </xf>
    <xf numFmtId="0" fontId="0" fillId="19" borderId="13" xfId="0" applyFill="1" applyBorder="1" applyAlignment="1"/>
    <xf numFmtId="0" fontId="0" fillId="19" borderId="8" xfId="0" applyFill="1" applyBorder="1" applyAlignment="1"/>
  </cellXfs>
  <cellStyles count="188">
    <cellStyle name="2x indented GHG Textfiels" xfId="1" xr:uid="{00000000-0005-0000-0000-000001000000}"/>
    <cellStyle name="5x indented GHG Textfiels" xfId="2" xr:uid="{00000000-0005-0000-0000-000002000000}"/>
    <cellStyle name="Boden" xfId="3" xr:uid="{00000000-0005-0000-0000-000003000000}"/>
    <cellStyle name="Boden 2" xfId="91" xr:uid="{00000000-0005-0000-0000-00005D000000}"/>
    <cellStyle name="Boden 2 2" xfId="169" xr:uid="{6A71490B-ABE0-4717-9E94-C53E8491E45D}"/>
    <cellStyle name="Boden 3" xfId="121" xr:uid="{983F61D2-BFD0-465E-8257-1218B278EF04}"/>
    <cellStyle name="Bold GHG Numbers (0.00)" xfId="4" xr:uid="{00000000-0005-0000-0000-000004000000}"/>
    <cellStyle name="comment" xfId="5" xr:uid="{00000000-0005-0000-0000-000005000000}"/>
    <cellStyle name="comment 2" xfId="92" xr:uid="{00000000-0005-0000-0000-00005E000000}"/>
    <cellStyle name="Dezimal [0] 2" xfId="77" xr:uid="{00000000-0005-0000-0000-00004F000000}"/>
    <cellStyle name="dt" xfId="6" xr:uid="{00000000-0005-0000-0000-000006000000}"/>
    <cellStyle name="dt 2" xfId="93" xr:uid="{00000000-0005-0000-0000-00005F000000}"/>
    <cellStyle name="dt 2 2" xfId="170" xr:uid="{D7B42DA2-32BE-4F19-BC80-A373529F1EB1}"/>
    <cellStyle name="EcoTitel" xfId="7" xr:uid="{00000000-0005-0000-0000-000007000000}"/>
    <cellStyle name="EcoTitel 2" xfId="81" xr:uid="{00000000-0005-0000-0000-000053000000}"/>
    <cellStyle name="EcoTitel 2 2" xfId="160" xr:uid="{678E9261-898C-4763-8D6C-C585C4776EB8}"/>
    <cellStyle name="EcoTitel 3" xfId="122" xr:uid="{E39E90A4-6CC3-4866-8652-12ED281AAA82}"/>
    <cellStyle name="EcoZahl" xfId="8" xr:uid="{00000000-0005-0000-0000-000008000000}"/>
    <cellStyle name="EcoZahl 2" xfId="68" xr:uid="{00000000-0005-0000-0000-000046000000}"/>
    <cellStyle name="EcoZahl 2 2" xfId="151" xr:uid="{870B7B63-B716-494A-B609-B2D0675D3729}"/>
    <cellStyle name="EcoZahl 3" xfId="94" xr:uid="{00000000-0005-0000-0000-000060000000}"/>
    <cellStyle name="EcoZahl 4" xfId="123" xr:uid="{92C15232-88DC-4938-8F08-4CA816D55A6E}"/>
    <cellStyle name="EcoZahl_photovoltaics-2.2_0.1" xfId="9" xr:uid="{00000000-0005-0000-0000-000009000000}"/>
    <cellStyle name="EcoZahl_photovoltaics-2.2_0.1 2" xfId="110" xr:uid="{00000000-0005-0000-0000-000070000000}"/>
    <cellStyle name="Euro" xfId="10" xr:uid="{00000000-0005-0000-0000-00000A000000}"/>
    <cellStyle name="Euro 2" xfId="124" xr:uid="{4299A0BE-58C4-4540-AEDF-176F116E66A9}"/>
    <cellStyle name="Headline" xfId="11" xr:uid="{00000000-0005-0000-0000-00000B000000}"/>
    <cellStyle name="Hyperlink 2" xfId="53" xr:uid="{00000000-0005-0000-0000-000037000000}"/>
    <cellStyle name="Hyperlink_SelectedResults-all" xfId="125" xr:uid="{4C80C481-DBD3-4BD3-9403-4BCA2D3FC8A9}"/>
    <cellStyle name="kg" xfId="13" xr:uid="{00000000-0005-0000-0000-00000E000000}"/>
    <cellStyle name="kg 2" xfId="95" xr:uid="{00000000-0005-0000-0000-000061000000}"/>
    <cellStyle name="kg 2 2" xfId="171" xr:uid="{307B7975-1E02-453B-B077-BE7E6955F08D}"/>
    <cellStyle name="Komma" xfId="14" builtinId="3"/>
    <cellStyle name="Komma 2" xfId="60" xr:uid="{00000000-0005-0000-0000-00003E000000}"/>
    <cellStyle name="Komma 2 2" xfId="69" xr:uid="{00000000-0005-0000-0000-000047000000}"/>
    <cellStyle name="Komma 2 2 2" xfId="152" xr:uid="{9A658B5D-58B4-4D2A-BB30-923A208E13C6}"/>
    <cellStyle name="Komma 2 3" xfId="144" xr:uid="{95BB7AAE-ED2E-4DBC-B4F0-7ADB56E52032}"/>
    <cellStyle name="Komma 3" xfId="73" xr:uid="{00000000-0005-0000-0000-00004B000000}"/>
    <cellStyle name="Komma 3 2" xfId="155" xr:uid="{D5083CD2-78D7-445D-B994-C3C9849DE8CD}"/>
    <cellStyle name="Komma 4" xfId="80" xr:uid="{00000000-0005-0000-0000-000052000000}"/>
    <cellStyle name="Komma 4 2" xfId="159" xr:uid="{DC1AB520-3964-4871-9146-C4F992F6BD4D}"/>
    <cellStyle name="Komma 5" xfId="83" xr:uid="{00000000-0005-0000-0000-000055000000}"/>
    <cellStyle name="Komma 5 2" xfId="162" xr:uid="{1A0925AE-6430-44BD-9BDA-36295B59FD40}"/>
    <cellStyle name="Komma 6" xfId="87" xr:uid="{00000000-0005-0000-0000-000059000000}"/>
    <cellStyle name="Komma 6 2" xfId="165" xr:uid="{0A5686FC-9A22-4A98-AF0C-FE0DB00723E0}"/>
    <cellStyle name="Komma 7" xfId="107" xr:uid="{00000000-0005-0000-0000-00006D000000}"/>
    <cellStyle name="Komma 7 2" xfId="183" xr:uid="{2952C69E-0C1A-4AE3-8E10-11202CA3B7B1}"/>
    <cellStyle name="Komma 8" xfId="120" xr:uid="{3CD54664-5993-4EC4-8DCC-A80FF6583226}"/>
    <cellStyle name="Komma 8 2" xfId="187" xr:uid="{B9C175B3-C5BE-4FC6-8861-8DEF8DDC9570}"/>
    <cellStyle name="Komma 9" xfId="126" xr:uid="{8AFCB732-61C6-45FA-B18D-C5CD9F7152D6}"/>
    <cellStyle name="l" xfId="15" xr:uid="{00000000-0005-0000-0000-000010000000}"/>
    <cellStyle name="Link" xfId="12" builtinId="8"/>
    <cellStyle name="Luft" xfId="16" xr:uid="{00000000-0005-0000-0000-000011000000}"/>
    <cellStyle name="Luft 2" xfId="96" xr:uid="{00000000-0005-0000-0000-000062000000}"/>
    <cellStyle name="Luft 2 2" xfId="172" xr:uid="{2C7B4829-78C3-4548-BCF8-C60F8D805367}"/>
    <cellStyle name="Luft 3" xfId="127" xr:uid="{EA707785-0B72-4E17-B190-9C5E2B935595}"/>
    <cellStyle name="m2" xfId="17" xr:uid="{00000000-0005-0000-0000-000012000000}"/>
    <cellStyle name="m2a" xfId="18" xr:uid="{00000000-0005-0000-0000-000013000000}"/>
    <cellStyle name="m3" xfId="19" xr:uid="{00000000-0005-0000-0000-000014000000}"/>
    <cellStyle name="Niels" xfId="20" xr:uid="{00000000-0005-0000-0000-000015000000}"/>
    <cellStyle name="Niels 2" xfId="97" xr:uid="{00000000-0005-0000-0000-000063000000}"/>
    <cellStyle name="Niels 2 2" xfId="173" xr:uid="{7D6CC726-275D-4D0F-B9AA-80CE8BC21AC1}"/>
    <cellStyle name="Niels 3" xfId="128" xr:uid="{DA3E8D47-8CE8-4E7D-AB95-634644669E46}"/>
    <cellStyle name="Niels_LCI-PV-eigene-Auswertung-0.4" xfId="21" xr:uid="{00000000-0005-0000-0000-000016000000}"/>
    <cellStyle name="NielsProz" xfId="22" xr:uid="{00000000-0005-0000-0000-000017000000}"/>
    <cellStyle name="NielsProzent" xfId="23" xr:uid="{00000000-0005-0000-0000-000018000000}"/>
    <cellStyle name="Normal 14" xfId="114" xr:uid="{00000000-0005-0000-0000-000074000000}"/>
    <cellStyle name="Normal 14 2" xfId="186" xr:uid="{49B2186B-7AFB-41F1-9ACB-721D9503AEB9}"/>
    <cellStyle name="Normal 2" xfId="63" xr:uid="{00000000-0005-0000-0000-000041000000}"/>
    <cellStyle name="Normal 2 2" xfId="147" xr:uid="{A79238AE-896F-461C-994E-CB1EC029AEAB}"/>
    <cellStyle name="Normal 3" xfId="70" xr:uid="{00000000-0005-0000-0000-000048000000}"/>
    <cellStyle name="Normal 3 2" xfId="153" xr:uid="{6092B920-0980-4A91-9641-2E594757231D}"/>
    <cellStyle name="Normal 4" xfId="71" xr:uid="{00000000-0005-0000-0000-000049000000}"/>
    <cellStyle name="Normal 4 3" xfId="112" xr:uid="{00000000-0005-0000-0000-000072000000}"/>
    <cellStyle name="Normal GHG Numbers (0.00)" xfId="24" xr:uid="{00000000-0005-0000-0000-000019000000}"/>
    <cellStyle name="Normal GHG Textfiels Bold" xfId="25" xr:uid="{00000000-0005-0000-0000-00001A000000}"/>
    <cellStyle name="Normal GHG whole table" xfId="26" xr:uid="{00000000-0005-0000-0000-00001B000000}"/>
    <cellStyle name="NormalTabelle" xfId="27" xr:uid="{00000000-0005-0000-0000-00001C000000}"/>
    <cellStyle name="Prozent" xfId="28" builtinId="5"/>
    <cellStyle name="Prozent 2" xfId="54" xr:uid="{00000000-0005-0000-0000-000038000000}"/>
    <cellStyle name="Prozent 2 2" xfId="90" xr:uid="{00000000-0005-0000-0000-00005C000000}"/>
    <cellStyle name="Prozent 2 2 2" xfId="168" xr:uid="{86408046-76BF-4B2C-811B-888AC85A5F76}"/>
    <cellStyle name="Prozent 2 3" xfId="138" xr:uid="{F2E827AC-1D03-42E0-9EAF-452C255DFABB}"/>
    <cellStyle name="Prozent 3" xfId="78" xr:uid="{00000000-0005-0000-0000-000050000000}"/>
    <cellStyle name="Prozent 4" xfId="84" xr:uid="{00000000-0005-0000-0000-000056000000}"/>
    <cellStyle name="Prozent 4 2" xfId="163" xr:uid="{C7716276-39AF-473F-9140-4E9EBF456029}"/>
    <cellStyle name="Prozent 5" xfId="106" xr:uid="{00000000-0005-0000-0000-00006C000000}"/>
    <cellStyle name="Prozent 5 2" xfId="182" xr:uid="{E6FFE7AE-4537-4778-B32D-C619CFE1E6AF}"/>
    <cellStyle name="Prozent 6" xfId="129" xr:uid="{C964B220-E388-480F-B75C-6D6816B4C424}"/>
    <cellStyle name="prozent+" xfId="29" xr:uid="{00000000-0005-0000-0000-00001E000000}"/>
    <cellStyle name="prozent+ 2" xfId="98" xr:uid="{00000000-0005-0000-0000-000064000000}"/>
    <cellStyle name="prozent+ 2 2" xfId="174" xr:uid="{B535DFD3-FE85-40B3-9C90-97E50552CDAB}"/>
    <cellStyle name="prozent+ 3" xfId="130" xr:uid="{27348C4F-9515-4153-966A-4CEB91A99FF8}"/>
    <cellStyle name="Prüfung" xfId="30" xr:uid="{00000000-0005-0000-0000-00001F000000}"/>
    <cellStyle name="Prüfung 2" xfId="131" xr:uid="{5D6318EE-887E-429E-A3D6-3F4A9E5AF8FE}"/>
    <cellStyle name="Scientific" xfId="31" xr:uid="{00000000-0005-0000-0000-000020000000}"/>
    <cellStyle name="Standard" xfId="0" builtinId="0"/>
    <cellStyle name="Standard 10" xfId="82" xr:uid="{00000000-0005-0000-0000-000054000000}"/>
    <cellStyle name="Standard 10 2" xfId="161" xr:uid="{0F55605C-D4A2-4E11-8627-123161BEEBEE}"/>
    <cellStyle name="Standard 11" xfId="85" xr:uid="{00000000-0005-0000-0000-000057000000}"/>
    <cellStyle name="Standard 11 2" xfId="164" xr:uid="{1CDC1341-04ED-48BC-A0A5-EFA1D001318C}"/>
    <cellStyle name="Standard 12" xfId="88" xr:uid="{00000000-0005-0000-0000-00005A000000}"/>
    <cellStyle name="Standard 12 2" xfId="166" xr:uid="{5F025366-CE03-4BC0-862F-C723A0829443}"/>
    <cellStyle name="Standard 13" xfId="89" xr:uid="{00000000-0005-0000-0000-00005B000000}"/>
    <cellStyle name="Standard 13 2" xfId="167" xr:uid="{2F282BD7-392C-4894-8C0B-870FFB274FA9}"/>
    <cellStyle name="Standard 14" xfId="103" xr:uid="{00000000-0005-0000-0000-000069000000}"/>
    <cellStyle name="Standard 14 2" xfId="179" xr:uid="{63BF9401-0798-4734-A2D6-BE616ABE7B01}"/>
    <cellStyle name="Standard 15" xfId="105" xr:uid="{00000000-0005-0000-0000-00006B000000}"/>
    <cellStyle name="Standard 15 2" xfId="181" xr:uid="{9BC51DD3-8A27-467D-B302-EE80A48E1A1D}"/>
    <cellStyle name="Standard 16" xfId="108" xr:uid="{00000000-0005-0000-0000-00006E000000}"/>
    <cellStyle name="Standard 16 2" xfId="184" xr:uid="{308398A4-DE08-4BE9-8E0D-90DBF9821E4F}"/>
    <cellStyle name="Standard 17" xfId="113" xr:uid="{00000000-0005-0000-0000-000073000000}"/>
    <cellStyle name="Standard 17 2" xfId="185" xr:uid="{679A17BB-54B0-4714-A549-7139D5B85BBD}"/>
    <cellStyle name="Standard 2" xfId="52" xr:uid="{00000000-0005-0000-0000-000036000000}"/>
    <cellStyle name="Standard 2 2" xfId="67" xr:uid="{00000000-0005-0000-0000-000045000000}"/>
    <cellStyle name="Standard 2 2 2" xfId="79" xr:uid="{00000000-0005-0000-0000-000051000000}"/>
    <cellStyle name="Standard 2 2 2 2" xfId="158" xr:uid="{05FFCFF1-A4EB-4C86-B6A0-FE709BA09F58}"/>
    <cellStyle name="Standard 2 2 3" xfId="150" xr:uid="{A7F22557-9767-417F-A228-0D1C564248DC}"/>
    <cellStyle name="Standard 2 3" xfId="64" xr:uid="{00000000-0005-0000-0000-000042000000}"/>
    <cellStyle name="Standard 2 3 2" xfId="148" xr:uid="{ED0E112D-7DC1-45A6-AFEA-87C34FCE1FB4}"/>
    <cellStyle name="Standard 2 4" xfId="75" xr:uid="{00000000-0005-0000-0000-00004D000000}"/>
    <cellStyle name="Standard 2 4 2" xfId="157" xr:uid="{9374798A-76FD-4B8E-86F0-22B57A44BFB4}"/>
    <cellStyle name="Standard 2 5" xfId="119" xr:uid="{928DA157-62D5-45BB-A9A0-53D72D5465CE}"/>
    <cellStyle name="Standard 3" xfId="55" xr:uid="{00000000-0005-0000-0000-000039000000}"/>
    <cellStyle name="Standard 3 2" xfId="66" xr:uid="{00000000-0005-0000-0000-000044000000}"/>
    <cellStyle name="Standard 3 2 2" xfId="149" xr:uid="{FE4CFA46-0599-4060-AEB9-4C23931662AE}"/>
    <cellStyle name="Standard 3 3" xfId="139" xr:uid="{CE6B456D-DBEE-463F-AFDB-8E73DB5FFCEB}"/>
    <cellStyle name="Standard 4" xfId="58" xr:uid="{00000000-0005-0000-0000-00003C000000}"/>
    <cellStyle name="Standard 4 2" xfId="142" xr:uid="{863645D8-DEB7-4D5E-AA7B-A4CCE8A51747}"/>
    <cellStyle name="Standard 5" xfId="59" xr:uid="{00000000-0005-0000-0000-00003D000000}"/>
    <cellStyle name="Standard 5 2" xfId="102" xr:uid="{00000000-0005-0000-0000-000068000000}"/>
    <cellStyle name="Standard 5 2 2" xfId="104" xr:uid="{00000000-0005-0000-0000-00006A000000}"/>
    <cellStyle name="Standard 5 2 2 2" xfId="180" xr:uid="{7C49B4DB-9E68-47B8-AFB2-A8BB261A3981}"/>
    <cellStyle name="Standard 5 2 3" xfId="178" xr:uid="{4EA8E33D-842E-48C4-9B59-002C7252DBE4}"/>
    <cellStyle name="Standard 5 3" xfId="143" xr:uid="{BD46E4CE-7F9E-4DE8-A694-0A9CE5F3D845}"/>
    <cellStyle name="Standard 6" xfId="61" xr:uid="{00000000-0005-0000-0000-00003F000000}"/>
    <cellStyle name="Standard 6 2" xfId="145" xr:uid="{D56D4359-6468-4284-9177-AB5B63B7DAFF}"/>
    <cellStyle name="Standard 7" xfId="72" xr:uid="{00000000-0005-0000-0000-00004A000000}"/>
    <cellStyle name="Standard 7 2" xfId="154" xr:uid="{1C104AC7-4206-49B7-8661-EAD7BF4598C9}"/>
    <cellStyle name="Standard 8" xfId="74" xr:uid="{00000000-0005-0000-0000-00004C000000}"/>
    <cellStyle name="Standard 8 2" xfId="156" xr:uid="{3AFEE8E6-63C1-440F-BA34-2F7818E84955}"/>
    <cellStyle name="Standard 9" xfId="76" xr:uid="{00000000-0005-0000-0000-00004E000000}"/>
    <cellStyle name="Standard_Bsp-Datenaustausch_S&amp;U" xfId="32" xr:uid="{00000000-0005-0000-0000-000021000000}"/>
    <cellStyle name="Standard_ecoinvent2000-names-3.9" xfId="33" xr:uid="{00000000-0005-0000-0000-000022000000}"/>
    <cellStyle name="Standard_ecoinvent2000-names-3.9 2" xfId="115" xr:uid="{0304A817-549C-46D9-B267-D8CE420C6B7B}"/>
    <cellStyle name="Standard_Ecospold_Waschmaschine_0.9" xfId="34" xr:uid="{00000000-0005-0000-0000-000023000000}"/>
    <cellStyle name="Standard_Ecospold_Waschmaschine_0.9 2" xfId="86" xr:uid="{00000000-0005-0000-0000-000058000000}"/>
    <cellStyle name="Standard_EcoSpold-template-1.0" xfId="65" xr:uid="{00000000-0005-0000-0000-000043000000}"/>
    <cellStyle name="Standard_LCI-PV-eigene-Auswertung-0.5" xfId="35" xr:uid="{00000000-0005-0000-0000-000025000000}"/>
    <cellStyle name="Standard_Modules-rf" xfId="36" xr:uid="{00000000-0005-0000-0000-000026000000}"/>
    <cellStyle name="Standard_neueingabe-magnesium-1.10" xfId="37" xr:uid="{00000000-0005-0000-0000-000027000000}"/>
    <cellStyle name="Standard_neueingabe-silicium-0.1" xfId="38" xr:uid="{00000000-0005-0000-0000-000028000000}"/>
    <cellStyle name="Standard_neueingabe-silicon-0.6" xfId="39" xr:uid="{00000000-0005-0000-0000-000029000000}"/>
    <cellStyle name="Standard_neueingabe-silicon-0.6 2" xfId="132" xr:uid="{CFD95D8F-F111-4AAE-98E5-305F167AB28B}"/>
    <cellStyle name="Standard_neueingabe-silicon-0.8" xfId="40" xr:uid="{00000000-0005-0000-0000-00002A000000}"/>
    <cellStyle name="Standard_neueingabe-silicon-0.8 2" xfId="133" xr:uid="{D1E47B05-BF97-4A38-87AB-A52EAA68E987}"/>
    <cellStyle name="Standard_neueingabe-transport-0.5" xfId="41" xr:uid="{00000000-0005-0000-0000-00002B000000}"/>
    <cellStyle name="Standard_neueingabe-transport-0.5 2" xfId="111" xr:uid="{00000000-0005-0000-0000-000071000000}"/>
    <cellStyle name="Standard_neueingabe-transport-0.5 3" xfId="117" xr:uid="{5F6443F9-94C8-4C8F-9760-5ADF7DF9EB6F}"/>
    <cellStyle name="Standard_photovoltaics-2.2_0.1" xfId="109" xr:uid="{00000000-0005-0000-0000-00006F000000}"/>
    <cellStyle name="text" xfId="42" xr:uid="{00000000-0005-0000-0000-00002C000000}"/>
    <cellStyle name="text 2" xfId="56" xr:uid="{00000000-0005-0000-0000-00003A000000}"/>
    <cellStyle name="text 2 2" xfId="140" xr:uid="{F03A0D7D-E054-481E-A86C-79328220F443}"/>
    <cellStyle name="text 3" xfId="62" xr:uid="{00000000-0005-0000-0000-000040000000}"/>
    <cellStyle name="text 3 2" xfId="146" xr:uid="{10C26C39-D1C0-4D4D-A49D-7AD8BF9144F1}"/>
    <cellStyle name="text 4" xfId="116" xr:uid="{406D94A0-82B9-417D-A8C1-5343146769A3}"/>
    <cellStyle name="text_EcoSpold_Testdaten_RF_0.4" xfId="43" xr:uid="{00000000-0005-0000-0000-00002D000000}"/>
    <cellStyle name="text_EcoSpold_Testdaten_RF_0.4 2" xfId="134" xr:uid="{3A554DB8-D8EB-45AF-89BE-A87CB669A206}"/>
    <cellStyle name="Text-Manual" xfId="44" xr:uid="{00000000-0005-0000-0000-00002E000000}"/>
    <cellStyle name="unit" xfId="45" xr:uid="{00000000-0005-0000-0000-00002F000000}"/>
    <cellStyle name="Wasser" xfId="46" xr:uid="{00000000-0005-0000-0000-000030000000}"/>
    <cellStyle name="Wasser 2" xfId="99" xr:uid="{00000000-0005-0000-0000-000065000000}"/>
    <cellStyle name="Wasser 2 2" xfId="175" xr:uid="{53F5369B-13AA-4DC8-A613-6642D2206EAE}"/>
    <cellStyle name="Wasser 3" xfId="135" xr:uid="{E9462A88-111A-487D-9F00-D4C3A7586589}"/>
    <cellStyle name="wis" xfId="47" xr:uid="{00000000-0005-0000-0000-000031000000}"/>
    <cellStyle name="wissenschaft" xfId="48" xr:uid="{00000000-0005-0000-0000-000032000000}"/>
    <cellStyle name="wissenschaft 2" xfId="100" xr:uid="{00000000-0005-0000-0000-000066000000}"/>
    <cellStyle name="wissenschaft 2 2" xfId="176" xr:uid="{6918261E-3FC2-4E9A-82EF-D4F529541F17}"/>
    <cellStyle name="wissenschaft 3" xfId="136" xr:uid="{BED53A68-9855-44B7-877A-C905FA1E18D8}"/>
    <cellStyle name="wissenschaft+" xfId="49" xr:uid="{00000000-0005-0000-0000-000033000000}"/>
    <cellStyle name="wissenschaft+ 2" xfId="101" xr:uid="{00000000-0005-0000-0000-000067000000}"/>
    <cellStyle name="wissenschaft+ 2 2" xfId="177" xr:uid="{86C72944-703C-455D-BE42-EE3FBF81C5E2}"/>
    <cellStyle name="wissenschaft+ 3" xfId="137" xr:uid="{1C122645-04BB-4E3A-820D-8989FF5611B7}"/>
    <cellStyle name="wissenschaft-Eingabe" xfId="50" xr:uid="{00000000-0005-0000-0000-000034000000}"/>
    <cellStyle name="wissenschaft-Eingabe 2" xfId="57" xr:uid="{00000000-0005-0000-0000-00003B000000}"/>
    <cellStyle name="wissenschaft-Eingabe 2 2" xfId="141" xr:uid="{7557EFE3-FC33-46FC-BDC0-D84D2576E540}"/>
    <cellStyle name="wissenschaft-Eingabe 3" xfId="118" xr:uid="{833FDDB5-6ADB-4A5B-B346-03892E700015}"/>
    <cellStyle name="zkh" xfId="51" xr:uid="{00000000-0005-0000-0000-000035000000}"/>
  </cellStyles>
  <dxfs count="375">
    <dxf>
      <fill>
        <patternFill>
          <bgColor theme="0" tint="-9.9948118533890809E-2"/>
        </patternFill>
      </fill>
    </dxf>
    <dxf>
      <fill>
        <patternFill>
          <bgColor theme="0" tint="-0.24994659260841701"/>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indexed="65"/>
        </patternFill>
      </fill>
    </dxf>
    <dxf>
      <fill>
        <patternFill>
          <bgColor indexed="65"/>
        </patternFill>
      </fill>
    </dxf>
    <dxf>
      <fill>
        <patternFill>
          <bgColor theme="0" tint="-9.9948118533890809E-2"/>
        </patternFill>
      </fill>
    </dxf>
    <dxf>
      <fill>
        <patternFill>
          <bgColor indexed="65"/>
        </patternFill>
      </fill>
    </dxf>
    <dxf>
      <fill>
        <patternFill>
          <bgColor indexed="10"/>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0.24994659260841701"/>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indexed="10"/>
        </patternFill>
      </fill>
    </dxf>
    <dxf>
      <fill>
        <patternFill>
          <bgColor theme="1" tint="0.749961851863155"/>
        </patternFill>
      </fill>
    </dxf>
    <dxf>
      <fill>
        <patternFill>
          <bgColor indexed="10"/>
        </patternFill>
      </fill>
    </dxf>
    <dxf>
      <fill>
        <patternFill>
          <bgColor theme="0" tint="-9.9948118533890809E-2"/>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indexed="10"/>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indexed="10"/>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indexed="10"/>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indexed="10"/>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indexed="10"/>
        </patternFill>
      </fill>
    </dxf>
    <dxf>
      <fill>
        <patternFill>
          <bgColor indexed="10"/>
        </patternFill>
      </fill>
    </dxf>
    <dxf>
      <fill>
        <patternFill>
          <bgColor indexed="10"/>
        </patternFill>
      </fill>
    </dxf>
    <dxf>
      <border>
        <left/>
        <right/>
        <top style="thin">
          <color indexed="64"/>
        </top>
        <bottom/>
      </border>
    </dxf>
    <dxf>
      <border>
        <left/>
        <right/>
        <top style="thin">
          <color indexed="64"/>
        </top>
        <bottom/>
      </border>
    </dxf>
    <dxf>
      <fill>
        <patternFill>
          <bgColor indexed="65"/>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indexed="10"/>
        </patternFill>
      </fill>
    </dxf>
    <dxf>
      <fill>
        <patternFill>
          <bgColor indexed="10"/>
        </patternFill>
      </fill>
    </dxf>
    <dxf>
      <fill>
        <patternFill>
          <bgColor indexed="10"/>
        </patternFill>
      </fill>
    </dxf>
    <dxf>
      <border>
        <left/>
        <right/>
        <top style="thin">
          <color indexed="64"/>
        </top>
        <bottom/>
      </border>
    </dxf>
    <dxf>
      <border>
        <left/>
        <right/>
        <top style="thin">
          <color indexed="64"/>
        </top>
        <bottom/>
      </border>
    </dxf>
    <dxf>
      <fill>
        <patternFill>
          <bgColor indexed="65"/>
        </patternFill>
      </fill>
    </dxf>
    <dxf>
      <fill>
        <patternFill>
          <bgColor indexed="10"/>
        </patternFill>
      </fill>
    </dxf>
    <dxf>
      <fill>
        <patternFill>
          <bgColor indexed="10"/>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indexed="10"/>
        </patternFill>
      </fill>
    </dxf>
    <dxf>
      <fill>
        <patternFill>
          <bgColor theme="0"/>
        </patternFill>
      </fill>
    </dxf>
    <dxf>
      <fill>
        <patternFill>
          <bgColor indexed="10"/>
        </patternFill>
      </fill>
    </dxf>
    <dxf>
      <fill>
        <patternFill>
          <bgColor indexed="10"/>
        </patternFill>
      </fill>
    </dxf>
    <dxf>
      <fill>
        <patternFill>
          <bgColor theme="0"/>
        </patternFill>
      </fill>
    </dxf>
    <dxf>
      <border>
        <left/>
        <right/>
        <top style="thin">
          <color indexed="64"/>
        </top>
        <bottom/>
      </border>
    </dxf>
    <dxf>
      <fill>
        <patternFill>
          <bgColor indexed="65"/>
        </patternFill>
      </fill>
    </dxf>
    <dxf>
      <fill>
        <patternFill>
          <bgColor indexed="10"/>
        </patternFill>
      </fill>
    </dxf>
    <dxf>
      <fill>
        <patternFill>
          <bgColor indexed="10"/>
        </patternFill>
      </fill>
    </dxf>
    <dxf>
      <fill>
        <patternFill>
          <bgColor theme="0"/>
        </patternFill>
      </fill>
    </dxf>
    <dxf>
      <border>
        <left/>
        <right/>
        <top style="thin">
          <color indexed="64"/>
        </top>
        <bottom/>
      </border>
    </dxf>
    <dxf>
      <fill>
        <patternFill>
          <bgColor indexed="10"/>
        </patternFill>
      </fill>
    </dxf>
    <dxf>
      <fill>
        <patternFill>
          <bgColor theme="1" tint="0.749961851863155"/>
        </patternFill>
      </fill>
    </dxf>
    <dxf>
      <fill>
        <patternFill>
          <bgColor indexed="10"/>
        </patternFill>
      </fill>
    </dxf>
    <dxf>
      <fill>
        <patternFill>
          <bgColor theme="0" tint="-9.9948118533890809E-2"/>
        </patternFill>
      </fill>
    </dxf>
    <dxf>
      <border>
        <left/>
        <right/>
        <top style="thin">
          <color indexed="64"/>
        </top>
        <bottom/>
      </border>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theme="0" tint="-9.9948118533890809E-2"/>
        </patternFill>
      </fill>
    </dxf>
    <dxf>
      <fill>
        <patternFill>
          <bgColor theme="1" tint="0.749961851863155"/>
        </patternFill>
      </fill>
    </dxf>
    <dxf>
      <fill>
        <patternFill>
          <bgColor theme="0" tint="-9.9948118533890809E-2"/>
        </patternFill>
      </fill>
    </dxf>
    <dxf>
      <fill>
        <patternFill>
          <bgColor theme="0" tint="-9.9948118533890809E-2"/>
        </patternFill>
      </fill>
    </dxf>
    <dxf>
      <fill>
        <patternFill>
          <bgColor indexed="10"/>
        </patternFill>
      </fill>
    </dxf>
    <dxf>
      <fill>
        <patternFill>
          <bgColor indexed="65"/>
        </patternFill>
      </fill>
    </dxf>
    <dxf>
      <border>
        <left/>
        <right/>
        <top style="thin">
          <color indexed="64"/>
        </top>
        <bottom/>
      </border>
    </dxf>
    <dxf>
      <fill>
        <patternFill>
          <bgColor indexed="65"/>
        </patternFill>
      </fill>
    </dxf>
    <dxf>
      <fill>
        <patternFill>
          <bgColor indexed="10"/>
        </patternFill>
      </fill>
    </dxf>
    <dxf>
      <fill>
        <patternFill>
          <bgColor indexed="65"/>
        </patternFill>
      </fill>
    </dxf>
    <dxf>
      <border>
        <left/>
        <right/>
        <top style="thin">
          <color indexed="64"/>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autoTitleDeleted val="1"/>
    <c:plotArea>
      <c:layout>
        <c:manualLayout>
          <c:layoutTarget val="inner"/>
          <c:xMode val="edge"/>
          <c:yMode val="edge"/>
          <c:x val="0.21972304880805349"/>
          <c:y val="0.12130569422748599"/>
          <c:w val="0.74488100828001313"/>
          <c:h val="0.50360040086830604"/>
        </c:manualLayout>
      </c:layout>
      <c:barChart>
        <c:barDir val="bar"/>
        <c:grouping val="stacked"/>
        <c:varyColors val="0"/>
        <c:ser>
          <c:idx val="0"/>
          <c:order val="0"/>
          <c:tx>
            <c:strRef>
              <c:f>'cSi-Production-2024'!$A$7</c:f>
              <c:strCache>
                <c:ptCount val="1"/>
                <c:pt idx="0">
                  <c:v>China</c:v>
                </c:pt>
              </c:strCache>
            </c:strRef>
          </c:tx>
          <c:spPr>
            <a:solidFill>
              <a:schemeClr val="accent3"/>
            </a:solidFill>
            <a:ln>
              <a:prstDash val="solid"/>
            </a:ln>
          </c:spPr>
          <c:invertIfNegative val="0"/>
          <c:cat>
            <c:strRef>
              <c:f>'cSi-Production-2024'!$C$5:$G$5</c:f>
              <c:strCache>
                <c:ptCount val="5"/>
                <c:pt idx="0">
                  <c:v>Polysilicon</c:v>
                </c:pt>
                <c:pt idx="1">
                  <c:v>Wafers</c:v>
                </c:pt>
                <c:pt idx="2">
                  <c:v>Cells</c:v>
                </c:pt>
                <c:pt idx="3">
                  <c:v>Modules</c:v>
                </c:pt>
                <c:pt idx="4">
                  <c:v>Installations c-Si</c:v>
                </c:pt>
              </c:strCache>
            </c:strRef>
          </c:cat>
          <c:val>
            <c:numRef>
              <c:f>'cSi-Production-2024'!$C$7:$G$7</c:f>
              <c:numCache>
                <c:formatCode>#,##0</c:formatCode>
                <c:ptCount val="5"/>
                <c:pt idx="0">
                  <c:v>885400</c:v>
                </c:pt>
                <c:pt idx="1">
                  <c:v>775860</c:v>
                </c:pt>
                <c:pt idx="2">
                  <c:v>678453</c:v>
                </c:pt>
                <c:pt idx="3">
                  <c:v>627990</c:v>
                </c:pt>
                <c:pt idx="4">
                  <c:v>350439</c:v>
                </c:pt>
              </c:numCache>
            </c:numRef>
          </c:val>
          <c:extLst>
            <c:ext xmlns:c16="http://schemas.microsoft.com/office/drawing/2014/chart" uri="{C3380CC4-5D6E-409C-BE32-E72D297353CC}">
              <c16:uniqueId val="{00000000-4C81-4A48-98FE-91B2C83E5BCA}"/>
            </c:ext>
          </c:extLst>
        </c:ser>
        <c:ser>
          <c:idx val="1"/>
          <c:order val="1"/>
          <c:tx>
            <c:strRef>
              <c:f>'cSi-Production-2024'!$A$8</c:f>
              <c:strCache>
                <c:ptCount val="1"/>
                <c:pt idx="0">
                  <c:v>Asia &amp; Pacific</c:v>
                </c:pt>
              </c:strCache>
            </c:strRef>
          </c:tx>
          <c:spPr>
            <a:solidFill>
              <a:schemeClr val="accent3">
                <a:lumMod val="75000"/>
              </a:schemeClr>
            </a:solidFill>
            <a:ln>
              <a:prstDash val="solid"/>
            </a:ln>
          </c:spPr>
          <c:invertIfNegative val="0"/>
          <c:cat>
            <c:strRef>
              <c:f>'cSi-Production-2024'!$C$5:$G$5</c:f>
              <c:strCache>
                <c:ptCount val="5"/>
                <c:pt idx="0">
                  <c:v>Polysilicon</c:v>
                </c:pt>
                <c:pt idx="1">
                  <c:v>Wafers</c:v>
                </c:pt>
                <c:pt idx="2">
                  <c:v>Cells</c:v>
                </c:pt>
                <c:pt idx="3">
                  <c:v>Modules</c:v>
                </c:pt>
                <c:pt idx="4">
                  <c:v>Installations c-Si</c:v>
                </c:pt>
              </c:strCache>
            </c:strRef>
          </c:cat>
          <c:val>
            <c:numRef>
              <c:f>'cSi-Production-2024'!$C$8:$G$8</c:f>
              <c:numCache>
                <c:formatCode>#,##0</c:formatCode>
                <c:ptCount val="5"/>
                <c:pt idx="0">
                  <c:v>20900</c:v>
                </c:pt>
                <c:pt idx="1">
                  <c:v>28140</c:v>
                </c:pt>
                <c:pt idx="2">
                  <c:v>64507</c:v>
                </c:pt>
                <c:pt idx="3">
                  <c:v>70422</c:v>
                </c:pt>
                <c:pt idx="4">
                  <c:v>65670</c:v>
                </c:pt>
              </c:numCache>
            </c:numRef>
          </c:val>
          <c:extLst>
            <c:ext xmlns:c16="http://schemas.microsoft.com/office/drawing/2014/chart" uri="{C3380CC4-5D6E-409C-BE32-E72D297353CC}">
              <c16:uniqueId val="{00000001-4C81-4A48-98FE-91B2C83E5BCA}"/>
            </c:ext>
          </c:extLst>
        </c:ser>
        <c:ser>
          <c:idx val="2"/>
          <c:order val="2"/>
          <c:tx>
            <c:strRef>
              <c:f>'cSi-Production-2024'!$A$10</c:f>
              <c:strCache>
                <c:ptCount val="1"/>
                <c:pt idx="0">
                  <c:v>Europe</c:v>
                </c:pt>
              </c:strCache>
            </c:strRef>
          </c:tx>
          <c:spPr>
            <a:solidFill>
              <a:schemeClr val="accent1">
                <a:lumMod val="50000"/>
              </a:schemeClr>
            </a:solidFill>
            <a:ln>
              <a:prstDash val="solid"/>
            </a:ln>
          </c:spPr>
          <c:invertIfNegative val="0"/>
          <c:cat>
            <c:strRef>
              <c:f>'cSi-Production-2024'!$C$5:$G$5</c:f>
              <c:strCache>
                <c:ptCount val="5"/>
                <c:pt idx="0">
                  <c:v>Polysilicon</c:v>
                </c:pt>
                <c:pt idx="1">
                  <c:v>Wafers</c:v>
                </c:pt>
                <c:pt idx="2">
                  <c:v>Cells</c:v>
                </c:pt>
                <c:pt idx="3">
                  <c:v>Modules</c:v>
                </c:pt>
                <c:pt idx="4">
                  <c:v>Installations c-Si</c:v>
                </c:pt>
              </c:strCache>
            </c:strRef>
          </c:cat>
          <c:val>
            <c:numRef>
              <c:f>'cSi-Production-2024'!$C$10:$G$10</c:f>
              <c:numCache>
                <c:formatCode>#,##0</c:formatCode>
                <c:ptCount val="5"/>
                <c:pt idx="0">
                  <c:v>29450</c:v>
                </c:pt>
                <c:pt idx="1">
                  <c:v>0</c:v>
                </c:pt>
                <c:pt idx="2">
                  <c:v>2761</c:v>
                </c:pt>
                <c:pt idx="3">
                  <c:v>2904</c:v>
                </c:pt>
                <c:pt idx="4">
                  <c:v>83580.000000000015</c:v>
                </c:pt>
              </c:numCache>
            </c:numRef>
          </c:val>
          <c:extLst>
            <c:ext xmlns:c16="http://schemas.microsoft.com/office/drawing/2014/chart" uri="{C3380CC4-5D6E-409C-BE32-E72D297353CC}">
              <c16:uniqueId val="{00000002-4C81-4A48-98FE-91B2C83E5BCA}"/>
            </c:ext>
          </c:extLst>
        </c:ser>
        <c:ser>
          <c:idx val="3"/>
          <c:order val="3"/>
          <c:tx>
            <c:strRef>
              <c:f>'cSi-Production-2024'!$A$9</c:f>
              <c:strCache>
                <c:ptCount val="1"/>
                <c:pt idx="0">
                  <c:v>Americas</c:v>
                </c:pt>
              </c:strCache>
            </c:strRef>
          </c:tx>
          <c:spPr>
            <a:solidFill>
              <a:schemeClr val="accent1"/>
            </a:solidFill>
            <a:ln>
              <a:prstDash val="solid"/>
            </a:ln>
          </c:spPr>
          <c:invertIfNegative val="0"/>
          <c:cat>
            <c:strRef>
              <c:f>'cSi-Production-2024'!$C$5:$G$5</c:f>
              <c:strCache>
                <c:ptCount val="5"/>
                <c:pt idx="0">
                  <c:v>Polysilicon</c:v>
                </c:pt>
                <c:pt idx="1">
                  <c:v>Wafers</c:v>
                </c:pt>
                <c:pt idx="2">
                  <c:v>Cells</c:v>
                </c:pt>
                <c:pt idx="3">
                  <c:v>Modules</c:v>
                </c:pt>
                <c:pt idx="4">
                  <c:v>Installations c-Si</c:v>
                </c:pt>
              </c:strCache>
            </c:strRef>
          </c:cat>
          <c:val>
            <c:numRef>
              <c:f>'cSi-Production-2024'!$C$9:$G$9</c:f>
              <c:numCache>
                <c:formatCode>#,##0</c:formatCode>
                <c:ptCount val="5"/>
                <c:pt idx="0">
                  <c:v>15200</c:v>
                </c:pt>
                <c:pt idx="1">
                  <c:v>0</c:v>
                </c:pt>
                <c:pt idx="2">
                  <c:v>5773</c:v>
                </c:pt>
                <c:pt idx="3">
                  <c:v>24684</c:v>
                </c:pt>
                <c:pt idx="4">
                  <c:v>83580.000000000015</c:v>
                </c:pt>
              </c:numCache>
            </c:numRef>
          </c:val>
          <c:extLst>
            <c:ext xmlns:c16="http://schemas.microsoft.com/office/drawing/2014/chart" uri="{C3380CC4-5D6E-409C-BE32-E72D297353CC}">
              <c16:uniqueId val="{00000003-4C81-4A48-98FE-91B2C83E5BCA}"/>
            </c:ext>
          </c:extLst>
        </c:ser>
        <c:ser>
          <c:idx val="4"/>
          <c:order val="4"/>
          <c:tx>
            <c:strRef>
              <c:f>'cSi-Production-2024'!$A$11</c:f>
              <c:strCache>
                <c:ptCount val="1"/>
                <c:pt idx="0">
                  <c:v>Middle East and Africa</c:v>
                </c:pt>
              </c:strCache>
            </c:strRef>
          </c:tx>
          <c:spPr>
            <a:solidFill>
              <a:schemeClr val="accent1">
                <a:lumMod val="60000"/>
                <a:lumOff val="40000"/>
              </a:schemeClr>
            </a:solidFill>
            <a:ln>
              <a:prstDash val="solid"/>
            </a:ln>
          </c:spPr>
          <c:invertIfNegative val="0"/>
          <c:cat>
            <c:strRef>
              <c:f>'cSi-Production-2024'!$C$5:$G$5</c:f>
              <c:strCache>
                <c:ptCount val="5"/>
                <c:pt idx="0">
                  <c:v>Polysilicon</c:v>
                </c:pt>
                <c:pt idx="1">
                  <c:v>Wafers</c:v>
                </c:pt>
                <c:pt idx="2">
                  <c:v>Cells</c:v>
                </c:pt>
                <c:pt idx="3">
                  <c:v>Modules</c:v>
                </c:pt>
                <c:pt idx="4">
                  <c:v>Installations c-Si</c:v>
                </c:pt>
              </c:strCache>
            </c:strRef>
          </c:cat>
          <c:val>
            <c:numRef>
              <c:f>'cSi-Production-2024'!$C$11:$G$11</c:f>
              <c:numCache>
                <c:formatCode>#,##0</c:formatCode>
                <c:ptCount val="5"/>
                <c:pt idx="0">
                  <c:v>0</c:v>
                </c:pt>
                <c:pt idx="1">
                  <c:v>0</c:v>
                </c:pt>
                <c:pt idx="2">
                  <c:v>0</c:v>
                </c:pt>
                <c:pt idx="3">
                  <c:v>3000</c:v>
                </c:pt>
                <c:pt idx="4">
                  <c:v>14328</c:v>
                </c:pt>
              </c:numCache>
            </c:numRef>
          </c:val>
          <c:extLst>
            <c:ext xmlns:c16="http://schemas.microsoft.com/office/drawing/2014/chart" uri="{C3380CC4-5D6E-409C-BE32-E72D297353CC}">
              <c16:uniqueId val="{00000004-4C81-4A48-98FE-91B2C83E5BCA}"/>
            </c:ext>
          </c:extLst>
        </c:ser>
        <c:dLbls>
          <c:showLegendKey val="0"/>
          <c:showVal val="0"/>
          <c:showCatName val="0"/>
          <c:showSerName val="0"/>
          <c:showPercent val="0"/>
          <c:showBubbleSize val="0"/>
        </c:dLbls>
        <c:gapWidth val="150"/>
        <c:overlap val="100"/>
        <c:axId val="177470464"/>
        <c:axId val="177537792"/>
      </c:barChart>
      <c:catAx>
        <c:axId val="177470464"/>
        <c:scaling>
          <c:orientation val="maxMin"/>
        </c:scaling>
        <c:delete val="0"/>
        <c:axPos val="l"/>
        <c:numFmt formatCode="General" sourceLinked="0"/>
        <c:majorTickMark val="out"/>
        <c:minorTickMark val="none"/>
        <c:tickLblPos val="nextTo"/>
        <c:crossAx val="177537792"/>
        <c:crosses val="autoZero"/>
        <c:auto val="1"/>
        <c:lblAlgn val="ctr"/>
        <c:lblOffset val="100"/>
        <c:noMultiLvlLbl val="0"/>
      </c:catAx>
      <c:valAx>
        <c:axId val="177537792"/>
        <c:scaling>
          <c:orientation val="minMax"/>
        </c:scaling>
        <c:delete val="0"/>
        <c:axPos val="t"/>
        <c:majorGridlines/>
        <c:title>
          <c:tx>
            <c:rich>
              <a:bodyPr/>
              <a:lstStyle/>
              <a:p>
                <a:pPr>
                  <a:defRPr/>
                </a:pPr>
                <a:r>
                  <a:rPr lang="en-US"/>
                  <a:t>Photovoltaic power in MW (based on actual production in 2024)</a:t>
                </a:r>
              </a:p>
            </c:rich>
          </c:tx>
          <c:layout>
            <c:manualLayout>
              <c:xMode val="edge"/>
              <c:yMode val="edge"/>
              <c:x val="0.32019581932301289"/>
              <c:y val="9.2016093714088545E-3"/>
            </c:manualLayout>
          </c:layout>
          <c:overlay val="0"/>
        </c:title>
        <c:numFmt formatCode="#,##0" sourceLinked="1"/>
        <c:majorTickMark val="out"/>
        <c:minorTickMark val="none"/>
        <c:tickLblPos val="nextTo"/>
        <c:crossAx val="177470464"/>
        <c:crosses val="autoZero"/>
        <c:crossBetween val="between"/>
      </c:valAx>
      <c:dTable>
        <c:showHorzBorder val="1"/>
        <c:showVertBorder val="1"/>
        <c:showOutline val="1"/>
        <c:showKeys val="1"/>
      </c:dTable>
    </c:plotArea>
    <c:plotVisOnly val="1"/>
    <c:dispBlanksAs val="gap"/>
    <c:showDLblsOverMax val="1"/>
  </c:chart>
  <c:spPr>
    <a:noFill/>
    <a:ln>
      <a:no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iea-pvps.org/key-topics/t12-lci-pv-systems-2026/" TargetMode="External"/><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209550</xdr:colOff>
      <xdr:row>14</xdr:row>
      <xdr:rowOff>142874</xdr:rowOff>
    </xdr:from>
    <xdr:to>
      <xdr:col>14</xdr:col>
      <xdr:colOff>352425</xdr:colOff>
      <xdr:row>40</xdr:row>
      <xdr:rowOff>95250</xdr:rowOff>
    </xdr:to>
    <xdr:sp macro="" textlink="">
      <xdr:nvSpPr>
        <xdr:cNvPr id="2" name="Textfeld 1">
          <a:extLst>
            <a:ext uri="{FF2B5EF4-FFF2-40B4-BE49-F238E27FC236}">
              <a16:creationId xmlns:a16="http://schemas.microsoft.com/office/drawing/2014/main" id="{8106739B-A3F8-D945-AC09-C87A25A4FAB6}"/>
            </a:ext>
          </a:extLst>
        </xdr:cNvPr>
        <xdr:cNvSpPr txBox="1"/>
      </xdr:nvSpPr>
      <xdr:spPr>
        <a:xfrm>
          <a:off x="971550" y="2276474"/>
          <a:ext cx="10048875" cy="39147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dk1"/>
              </a:solidFill>
              <a:effectLst/>
              <a:latin typeface="+mn-lt"/>
              <a:ea typeface="+mn-ea"/>
              <a:cs typeface="+mn-cs"/>
            </a:rPr>
            <a:t>Licence Notice and Use Restrictions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This work is licensed under the Creative Commons Attribution-NonCommercial-ShareAlike 4.0 International (CC BY-NC-SA 4.0) license: </a:t>
          </a:r>
          <a:r>
            <a:rPr lang="en-GB" sz="1100" u="sng">
              <a:solidFill>
                <a:schemeClr val="accent5">
                  <a:lumMod val="75000"/>
                </a:schemeClr>
              </a:solidFill>
              <a:effectLst/>
              <a:latin typeface="+mn-lt"/>
              <a:ea typeface="+mn-ea"/>
              <a:cs typeface="+mn-cs"/>
            </a:rPr>
            <a:t>https://creativecommons.org/licenses/by-nc-sa/4.0/deed.en</a:t>
          </a:r>
          <a:r>
            <a:rPr lang="en-GB" sz="1100">
              <a:solidFill>
                <a:schemeClr val="dk1"/>
              </a:solidFill>
              <a:effectLst/>
              <a:latin typeface="+mn-lt"/>
              <a:ea typeface="+mn-ea"/>
              <a:cs typeface="+mn-cs"/>
            </a:rPr>
            <a:t>. This CC license does not apply to the cover, third-party material (attributed to other sources), and content noted otherwise. Notwithstanding the rights granted under this license, the author expressly does not permit the use of this work for the development, training, or improvement of artificial intelligence systems, in particular generative models. The use of this content for text- and data mining is prohibited.</a:t>
          </a:r>
          <a:endParaRPr lang="de-CH" sz="1100">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Citation</a:t>
          </a:r>
        </a:p>
        <a:p>
          <a:r>
            <a:rPr lang="en-US" sz="1100">
              <a:solidFill>
                <a:schemeClr val="dk1"/>
              </a:solidFill>
              <a:effectLst/>
              <a:latin typeface="+mn-lt"/>
              <a:ea typeface="+mn-ea"/>
              <a:cs typeface="+mn-cs"/>
            </a:rPr>
            <a:t>Götz, M., Deuber, R., Gazbour, N., Brailovsky, P.H., Nold, S., Marchand-Lasserrre, M., Frischknecht, R., Khan, A.A., Bovo, G. Stucki, M.</a:t>
          </a:r>
          <a:endParaRPr lang="de-CH" sz="1100">
            <a:solidFill>
              <a:schemeClr val="dk1"/>
            </a:solidFill>
            <a:effectLst/>
            <a:latin typeface="+mn-lt"/>
            <a:ea typeface="+mn-ea"/>
            <a:cs typeface="+mn-cs"/>
          </a:endParaRPr>
        </a:p>
        <a:p>
          <a:r>
            <a:rPr lang="en-US" sz="1100">
              <a:solidFill>
                <a:schemeClr val="dk1"/>
              </a:solidFill>
              <a:effectLst/>
              <a:latin typeface="+mn-lt"/>
              <a:ea typeface="+mn-ea"/>
              <a:cs typeface="+mn-cs"/>
            </a:rPr>
            <a:t>(2026). Heath, G. (Ed.), Life Cycle Inventories of Photovoltaic Systems (Report No. T12-33:2026). IEA PVPS Task 12, https://iea-</a:t>
          </a:r>
          <a:endParaRPr lang="de-CH" sz="1100">
            <a:solidFill>
              <a:schemeClr val="dk1"/>
            </a:solidFill>
            <a:effectLst/>
            <a:latin typeface="+mn-lt"/>
            <a:ea typeface="+mn-ea"/>
            <a:cs typeface="+mn-cs"/>
          </a:endParaRPr>
        </a:p>
        <a:p>
          <a:r>
            <a:rPr lang="en-US" sz="1100">
              <a:solidFill>
                <a:schemeClr val="dk1"/>
              </a:solidFill>
              <a:effectLst/>
              <a:latin typeface="+mn-lt"/>
              <a:ea typeface="+mn-ea"/>
              <a:cs typeface="+mn-cs"/>
            </a:rPr>
            <a:t>pvps.org/key-topics/t12-lci-pv-systems-2026/ DOI: 10.69766/WJTE1771 </a:t>
          </a:r>
          <a:endParaRPr lang="de-CH" sz="1100">
            <a:solidFill>
              <a:schemeClr val="dk1"/>
            </a:solidFill>
            <a:effectLst/>
            <a:latin typeface="+mn-lt"/>
            <a:ea typeface="+mn-ea"/>
            <a:cs typeface="+mn-cs"/>
          </a:endParaRPr>
        </a:p>
        <a:p>
          <a:endParaRPr lang="en-US" sz="1100" b="1" u="sng">
            <a:solidFill>
              <a:schemeClr val="dk1"/>
            </a:solidFill>
            <a:effectLst/>
            <a:latin typeface="+mn-lt"/>
            <a:ea typeface="+mn-ea"/>
            <a:cs typeface="+mn-cs"/>
          </a:endParaRPr>
        </a:p>
        <a:p>
          <a:r>
            <a:rPr lang="en-US" sz="1100" b="1" u="sng">
              <a:solidFill>
                <a:schemeClr val="dk1"/>
              </a:solidFill>
              <a:effectLst/>
              <a:latin typeface="+mn-lt"/>
              <a:ea typeface="+mn-ea"/>
              <a:cs typeface="+mn-cs"/>
            </a:rPr>
            <a:t>Full report</a:t>
          </a:r>
          <a:endParaRPr lang="de-CH" sz="1100">
            <a:solidFill>
              <a:schemeClr val="dk1"/>
            </a:solidFill>
            <a:effectLst/>
            <a:latin typeface="+mn-lt"/>
            <a:ea typeface="+mn-ea"/>
            <a:cs typeface="+mn-cs"/>
          </a:endParaRPr>
        </a:p>
        <a:p>
          <a:r>
            <a:rPr lang="en-US" sz="1100">
              <a:solidFill>
                <a:schemeClr val="dk1"/>
              </a:solidFill>
              <a:effectLst/>
              <a:latin typeface="+mn-lt"/>
              <a:ea typeface="+mn-ea"/>
              <a:cs typeface="+mn-cs"/>
            </a:rPr>
            <a:t>Documentation and full report available here: </a:t>
          </a:r>
          <a:r>
            <a:rPr lang="en-US" sz="1100" u="sng">
              <a:solidFill>
                <a:schemeClr val="dk1"/>
              </a:solidFill>
              <a:effectLst/>
              <a:latin typeface="+mn-lt"/>
              <a:ea typeface="+mn-ea"/>
              <a:cs typeface="+mn-cs"/>
              <a:hlinkClick xmlns:r="http://schemas.openxmlformats.org/officeDocument/2006/relationships" r:id=""/>
            </a:rPr>
            <a:t>https://iea-pvps.org/key-topics/t12-lci-pv-systems-2026/</a:t>
          </a:r>
          <a:endParaRPr lang="de-CH" sz="1100">
            <a:solidFill>
              <a:schemeClr val="dk1"/>
            </a:solidFill>
            <a:effectLst/>
            <a:latin typeface="+mn-lt"/>
            <a:ea typeface="+mn-ea"/>
            <a:cs typeface="+mn-cs"/>
          </a:endParaRPr>
        </a:p>
        <a:p>
          <a:pPr marL="0" indent="0"/>
          <a:endParaRPr lang="en-US" sz="1100" b="1" u="sng">
            <a:solidFill>
              <a:schemeClr val="dk1"/>
            </a:solidFill>
            <a:effectLst/>
            <a:latin typeface="+mn-lt"/>
            <a:ea typeface="+mn-ea"/>
            <a:cs typeface="+mn-cs"/>
          </a:endParaRPr>
        </a:p>
        <a:p>
          <a:pPr marL="0" indent="0"/>
          <a:r>
            <a:rPr lang="en-US" sz="1100" b="1" u="sng">
              <a:solidFill>
                <a:schemeClr val="dk1"/>
              </a:solidFill>
              <a:effectLst/>
              <a:latin typeface="+mn-lt"/>
              <a:ea typeface="+mn-ea"/>
              <a:cs typeface="+mn-cs"/>
            </a:rPr>
            <a:t>Contact:</a:t>
          </a:r>
          <a:endParaRPr lang="de-CH" sz="1100" b="1"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Michael Götz and Matthias Stucki</a:t>
          </a:r>
        </a:p>
        <a:p>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ZHAW Zurich University of Applied Sciences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Institute of Natural Resource Sciences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Grüental, P.O. Box, CH-8820 Wädenswil, Switzerland</a:t>
          </a:r>
          <a:endParaRPr lang="de-CH" sz="1100">
            <a:solidFill>
              <a:schemeClr val="dk1"/>
            </a:solidFill>
            <a:effectLst/>
            <a:latin typeface="+mn-lt"/>
            <a:ea typeface="+mn-ea"/>
            <a:cs typeface="+mn-cs"/>
          </a:endParaRPr>
        </a:p>
        <a:p>
          <a:r>
            <a:rPr lang="en-US" sz="1100" u="sng">
              <a:solidFill>
                <a:schemeClr val="dk1"/>
              </a:solidFill>
              <a:effectLst/>
              <a:latin typeface="+mn-lt"/>
              <a:ea typeface="+mn-ea"/>
              <a:cs typeface="+mn-cs"/>
              <a:hlinkClick xmlns:r="http://schemas.openxmlformats.org/officeDocument/2006/relationships" r:id=""/>
            </a:rPr>
            <a:t>michael.goetz@zhaw.ch</a:t>
          </a:r>
          <a:r>
            <a:rPr lang="en-US" sz="1100">
              <a:solidFill>
                <a:schemeClr val="dk1"/>
              </a:solidFill>
              <a:effectLst/>
              <a:latin typeface="+mn-lt"/>
              <a:ea typeface="+mn-ea"/>
              <a:cs typeface="+mn-cs"/>
            </a:rPr>
            <a:t>, </a:t>
          </a:r>
          <a:r>
            <a:rPr lang="en-US" sz="1100" u="sng">
              <a:solidFill>
                <a:schemeClr val="dk1"/>
              </a:solidFill>
              <a:effectLst/>
              <a:latin typeface="+mn-lt"/>
              <a:ea typeface="+mn-ea"/>
              <a:cs typeface="+mn-cs"/>
              <a:hlinkClick xmlns:r="http://schemas.openxmlformats.org/officeDocument/2006/relationships" r:id=""/>
            </a:rPr>
            <a:t>matthias.stucki@zhaw.ch </a:t>
          </a:r>
          <a:endParaRPr lang="de-CH" sz="1100">
            <a:solidFill>
              <a:schemeClr val="dk1"/>
            </a:solidFill>
            <a:effectLst/>
            <a:latin typeface="+mn-lt"/>
            <a:ea typeface="+mn-ea"/>
            <a:cs typeface="+mn-cs"/>
          </a:endParaRPr>
        </a:p>
      </xdr:txBody>
    </xdr:sp>
    <xdr:clientData/>
  </xdr:twoCellAnchor>
  <xdr:twoCellAnchor editAs="oneCell">
    <xdr:from>
      <xdr:col>16</xdr:col>
      <xdr:colOff>238126</xdr:colOff>
      <xdr:row>2</xdr:row>
      <xdr:rowOff>123825</xdr:rowOff>
    </xdr:from>
    <xdr:to>
      <xdr:col>21</xdr:col>
      <xdr:colOff>307268</xdr:colOff>
      <xdr:row>38</xdr:row>
      <xdr:rowOff>134691</xdr:rowOff>
    </xdr:to>
    <xdr:pic>
      <xdr:nvPicPr>
        <xdr:cNvPr id="3" name="Grafik 2">
          <a:hlinkClick xmlns:r="http://schemas.openxmlformats.org/officeDocument/2006/relationships" r:id="rId1"/>
          <a:extLst>
            <a:ext uri="{FF2B5EF4-FFF2-40B4-BE49-F238E27FC236}">
              <a16:creationId xmlns:a16="http://schemas.microsoft.com/office/drawing/2014/main" id="{9392819D-745F-D1FB-562D-293AFB987A01}"/>
            </a:ext>
          </a:extLst>
        </xdr:cNvPr>
        <xdr:cNvPicPr>
          <a:picLocks noChangeAspect="1"/>
        </xdr:cNvPicPr>
      </xdr:nvPicPr>
      <xdr:blipFill>
        <a:blip xmlns:r="http://schemas.openxmlformats.org/officeDocument/2006/relationships" r:embed="rId2"/>
        <a:stretch>
          <a:fillRect/>
        </a:stretch>
      </xdr:blipFill>
      <xdr:spPr>
        <a:xfrm>
          <a:off x="12430126" y="428625"/>
          <a:ext cx="3879142" cy="5497266"/>
        </a:xfrm>
        <a:prstGeom prst="rect">
          <a:avLst/>
        </a:prstGeom>
      </xdr:spPr>
    </xdr:pic>
    <xdr:clientData/>
  </xdr:twoCellAnchor>
  <xdr:twoCellAnchor editAs="oneCell">
    <xdr:from>
      <xdr:col>2</xdr:col>
      <xdr:colOff>47625</xdr:colOff>
      <xdr:row>2</xdr:row>
      <xdr:rowOff>142875</xdr:rowOff>
    </xdr:from>
    <xdr:to>
      <xdr:col>8</xdr:col>
      <xdr:colOff>664313</xdr:colOff>
      <xdr:row>10</xdr:row>
      <xdr:rowOff>28575</xdr:rowOff>
    </xdr:to>
    <xdr:pic>
      <xdr:nvPicPr>
        <xdr:cNvPr id="4" name="Image 20">
          <a:extLst>
            <a:ext uri="{FF2B5EF4-FFF2-40B4-BE49-F238E27FC236}">
              <a16:creationId xmlns:a16="http://schemas.microsoft.com/office/drawing/2014/main" id="{50749942-DAF6-0FE3-6136-40B8D153166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447675"/>
          <a:ext cx="5188688" cy="1104900"/>
        </a:xfrm>
        <a:prstGeom prst="rect">
          <a:avLst/>
        </a:prstGeom>
        <a:noFill/>
        <a:ln>
          <a:noFill/>
        </a:ln>
      </xdr:spPr>
    </xdr:pic>
    <xdr:clientData/>
  </xdr:twoCellAnchor>
  <xdr:twoCellAnchor editAs="oneCell">
    <xdr:from>
      <xdr:col>5</xdr:col>
      <xdr:colOff>704850</xdr:colOff>
      <xdr:row>31</xdr:row>
      <xdr:rowOff>91771</xdr:rowOff>
    </xdr:from>
    <xdr:to>
      <xdr:col>7</xdr:col>
      <xdr:colOff>219075</xdr:colOff>
      <xdr:row>38</xdr:row>
      <xdr:rowOff>114298</xdr:rowOff>
    </xdr:to>
    <xdr:pic>
      <xdr:nvPicPr>
        <xdr:cNvPr id="6" name="Grafik 5">
          <a:extLst>
            <a:ext uri="{FF2B5EF4-FFF2-40B4-BE49-F238E27FC236}">
              <a16:creationId xmlns:a16="http://schemas.microsoft.com/office/drawing/2014/main" id="{89C05AEF-6148-D680-5B20-A53274B354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514850" y="4816171"/>
          <a:ext cx="1038225" cy="1089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67</xdr:col>
      <xdr:colOff>47625</xdr:colOff>
      <xdr:row>138</xdr:row>
      <xdr:rowOff>67554</xdr:rowOff>
    </xdr:from>
    <xdr:to>
      <xdr:col>83</xdr:col>
      <xdr:colOff>106159</xdr:colOff>
      <xdr:row>158</xdr:row>
      <xdr:rowOff>94383</xdr:rowOff>
    </xdr:to>
    <xdr:pic>
      <xdr:nvPicPr>
        <xdr:cNvPr id="2" name="Picture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20602575" y="35652954"/>
          <a:ext cx="5554011" cy="3090070"/>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absoluteAnchor>
    <xdr:pos x="18742398" y="1648946"/>
    <xdr:ext cx="9396694" cy="4833937"/>
    <xdr:graphicFrame macro="">
      <xdr:nvGraphicFramePr>
        <xdr:cNvPr id="5" name="Chart 1">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reeze_V8">
  <a:themeElements>
    <a:clrScheme name="Benutzerdefiniert 2">
      <a:dk1>
        <a:srgbClr val="213138"/>
      </a:dk1>
      <a:lt1>
        <a:srgbClr val="F5F4F3"/>
      </a:lt1>
      <a:dk2>
        <a:srgbClr val="41545D"/>
      </a:dk2>
      <a:lt2>
        <a:srgbClr val="BCDADE"/>
      </a:lt2>
      <a:accent1>
        <a:srgbClr val="229DCE"/>
      </a:accent1>
      <a:accent2>
        <a:srgbClr val="A0003A"/>
      </a:accent2>
      <a:accent3>
        <a:srgbClr val="E47823"/>
      </a:accent3>
      <a:accent4>
        <a:srgbClr val="62AED5"/>
      </a:accent4>
      <a:accent5>
        <a:srgbClr val="CA6E78"/>
      </a:accent5>
      <a:accent6>
        <a:srgbClr val="F1B573"/>
      </a:accent6>
      <a:hlink>
        <a:srgbClr val="A0003A"/>
      </a:hlink>
      <a:folHlink>
        <a:srgbClr val="E47823"/>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8994464-3D00-49D7-97A9-6325B59E5AB0}">
  <we:reference id="29673e3c-d826-4f00-92ee-162334a52b1a" version="1.0.0.8" store="EXCatalog" storeType="EXCatalog"/>
  <we:alternateReferences>
    <we:reference id="WA200009404" version="1.0.0.8" store="de-CH" storeType="OMEX"/>
  </we:alternateReferences>
  <we:properties>
    <we:property name="claude.fileId" value="&quot;d2be6dcb-70bb-4fce-a9f9-8fc744766e34&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3" Type="http://schemas.openxmlformats.org/officeDocument/2006/relationships/hyperlink" Target="mailto:deub@zhaw.ch" TargetMode="External"/><Relationship Id="rId2" Type="http://schemas.openxmlformats.org/officeDocument/2006/relationships/hyperlink" Target="mailto:stolz@treeze.ch" TargetMode="External"/><Relationship Id="rId1" Type="http://schemas.openxmlformats.org/officeDocument/2006/relationships/hyperlink" Target="mailto:frischknecht@treeze.ch" TargetMode="External"/><Relationship Id="rId5" Type="http://schemas.openxmlformats.org/officeDocument/2006/relationships/printerSettings" Target="../printerSettings/printerSettings74.bin"/><Relationship Id="rId4" Type="http://schemas.openxmlformats.org/officeDocument/2006/relationships/hyperlink" Target="mailto:goem@zhaw.ch"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B57DB-8E84-49FB-9B16-A88B81ACEBF5}">
  <sheetPr>
    <tabColor rgb="FF00B050"/>
  </sheetPr>
  <dimension ref="A49"/>
  <sheetViews>
    <sheetView tabSelected="1" workbookViewId="0">
      <selection activeCell="E61" sqref="E61"/>
    </sheetView>
  </sheetViews>
  <sheetFormatPr baseColWidth="10" defaultRowHeight="12"/>
  <cols>
    <col min="1" max="16384" width="11.42578125" style="1197"/>
  </cols>
  <sheetData>
    <row r="49" s="1197" customFormat="1"/>
  </sheetData>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3">
    <tabColor rgb="FF9CD9F0"/>
    <pageSetUpPr fitToPage="1"/>
  </sheetPr>
  <dimension ref="A1:AH24"/>
  <sheetViews>
    <sheetView showGridLines="0" workbookViewId="0"/>
  </sheetViews>
  <sheetFormatPr baseColWidth="10" defaultColWidth="11.42578125" defaultRowHeight="12" outlineLevelCol="1"/>
  <cols>
    <col min="1" max="1" width="10.7109375" style="299" customWidth="1"/>
    <col min="2" max="2" width="17.42578125" style="15" bestFit="1" customWidth="1"/>
    <col min="3" max="3" width="4.140625" style="16" hidden="1" customWidth="1" outlineLevel="1"/>
    <col min="4" max="4" width="5.140625" style="299" hidden="1" customWidth="1" outlineLevel="1"/>
    <col min="5" max="5" width="5.7109375" style="299" hidden="1" customWidth="1" outlineLevel="1"/>
    <col min="6" max="6" width="37.85546875" style="1" customWidth="1" collapsed="1"/>
    <col min="7" max="7" width="6.5703125" style="299" bestFit="1" customWidth="1"/>
    <col min="8" max="8" width="8.28515625" style="299" hidden="1" customWidth="1" outlineLevel="1"/>
    <col min="9" max="9" width="19.42578125" style="299" hidden="1" customWidth="1" outlineLevel="1"/>
    <col min="10" max="10" width="8" style="299" bestFit="1" customWidth="1" collapsed="1"/>
    <col min="11" max="11" width="5.140625" style="299" customWidth="1"/>
    <col min="12" max="12" width="16.28515625" style="299" customWidth="1"/>
    <col min="13" max="13" width="5.7109375" style="308" hidden="1" customWidth="1" outlineLevel="1"/>
    <col min="14" max="14" width="8" style="308" hidden="1" customWidth="1" outlineLevel="1"/>
    <col min="15" max="15" width="48.85546875" style="308" hidden="1" customWidth="1" outlineLevel="1"/>
    <col min="16" max="16" width="2.7109375" style="308" hidden="1" customWidth="1" outlineLevel="1"/>
    <col min="17" max="17" width="56" style="8" bestFit="1" customWidth="1" collapsed="1"/>
    <col min="18" max="18" width="6.7109375" style="5" customWidth="1"/>
    <col min="19" max="24" width="6.7109375" style="3" customWidth="1"/>
    <col min="25" max="25" width="6.85546875" style="3" bestFit="1" customWidth="1"/>
    <col min="26" max="26" width="8.28515625" style="3" bestFit="1" customWidth="1"/>
    <col min="27" max="27" width="6.85546875" style="3" bestFit="1" customWidth="1"/>
    <col min="28" max="28" width="14.28515625" style="3" bestFit="1" customWidth="1"/>
    <col min="29" max="29" width="4.42578125" style="299" bestFit="1" customWidth="1"/>
    <col min="30" max="30" width="6.28515625" style="299" bestFit="1" customWidth="1"/>
    <col min="31" max="31" width="5.85546875" style="299" bestFit="1" customWidth="1"/>
    <col min="32" max="32" width="4.7109375" style="299" bestFit="1" customWidth="1"/>
    <col min="33" max="33" width="5.28515625" style="299" bestFit="1" customWidth="1"/>
    <col min="34" max="34" width="5.85546875" style="299" bestFit="1" customWidth="1"/>
    <col min="35" max="36" width="11.42578125" style="299" customWidth="1"/>
    <col min="37" max="16384" width="11.42578125" style="299"/>
  </cols>
  <sheetData>
    <row r="1" spans="1:34">
      <c r="A1" s="922"/>
      <c r="B1" s="923"/>
      <c r="C1" s="924"/>
      <c r="D1" s="922"/>
      <c r="E1" s="922"/>
      <c r="F1" s="927" t="s">
        <v>65</v>
      </c>
      <c r="G1" s="922"/>
      <c r="H1" s="922"/>
      <c r="I1" s="922"/>
      <c r="J1" s="922"/>
      <c r="K1" s="922"/>
      <c r="L1" s="886">
        <f>A7</f>
        <v>266277</v>
      </c>
      <c r="M1" s="907"/>
      <c r="N1" s="907"/>
      <c r="O1" s="907"/>
      <c r="P1" s="109"/>
      <c r="Q1" s="189"/>
      <c r="R1" s="940"/>
      <c r="S1" s="969"/>
      <c r="T1" s="969"/>
      <c r="U1" s="969"/>
      <c r="V1" s="969"/>
      <c r="W1" s="969"/>
      <c r="X1" s="849"/>
      <c r="Y1" s="849"/>
      <c r="Z1" s="849"/>
      <c r="AA1" s="849"/>
      <c r="AB1" s="849"/>
      <c r="AC1" s="850"/>
      <c r="AD1" s="850"/>
      <c r="AE1" s="850"/>
      <c r="AF1" s="850"/>
      <c r="AG1" s="850"/>
      <c r="AH1" s="850"/>
    </row>
    <row r="2" spans="1:34" ht="24" customHeight="1">
      <c r="A2" s="922"/>
      <c r="B2" s="925"/>
      <c r="C2" s="924" t="s">
        <v>67</v>
      </c>
      <c r="D2" s="253">
        <v>3503</v>
      </c>
      <c r="E2" s="253">
        <v>3504</v>
      </c>
      <c r="F2" s="253">
        <v>3702</v>
      </c>
      <c r="G2" s="253">
        <v>3703</v>
      </c>
      <c r="H2" s="253">
        <v>3506</v>
      </c>
      <c r="I2" s="253">
        <v>3507</v>
      </c>
      <c r="J2" s="253">
        <v>3508</v>
      </c>
      <c r="K2" s="253">
        <v>3706</v>
      </c>
      <c r="L2" s="253">
        <v>3707</v>
      </c>
      <c r="M2" s="876">
        <v>3708</v>
      </c>
      <c r="N2" s="876">
        <v>3709</v>
      </c>
      <c r="O2" s="877">
        <v>3792</v>
      </c>
      <c r="P2" s="877"/>
      <c r="Q2" s="212" t="s">
        <v>81</v>
      </c>
      <c r="R2" s="825" t="s">
        <v>82</v>
      </c>
      <c r="S2" s="825" t="s">
        <v>83</v>
      </c>
      <c r="T2" s="825" t="s">
        <v>84</v>
      </c>
      <c r="U2" s="825" t="s">
        <v>85</v>
      </c>
      <c r="V2" s="825" t="s">
        <v>86</v>
      </c>
      <c r="W2" s="825" t="s">
        <v>87</v>
      </c>
      <c r="X2" s="829" t="s">
        <v>88</v>
      </c>
      <c r="Y2" s="829" t="s">
        <v>89</v>
      </c>
      <c r="Z2" s="829" t="s">
        <v>90</v>
      </c>
      <c r="AA2" s="829" t="s">
        <v>91</v>
      </c>
      <c r="AB2" s="829" t="s">
        <v>92</v>
      </c>
      <c r="AC2" s="944" t="s">
        <v>82</v>
      </c>
      <c r="AD2" s="944" t="s">
        <v>83</v>
      </c>
      <c r="AE2" s="944" t="s">
        <v>84</v>
      </c>
      <c r="AF2" s="944" t="s">
        <v>85</v>
      </c>
      <c r="AG2" s="944" t="s">
        <v>86</v>
      </c>
      <c r="AH2" s="944" t="s">
        <v>87</v>
      </c>
    </row>
    <row r="3" spans="1:34" ht="65.25" customHeight="1">
      <c r="A3" s="922" t="s">
        <v>68</v>
      </c>
      <c r="B3" s="926"/>
      <c r="C3" s="924">
        <v>401</v>
      </c>
      <c r="D3" s="878" t="s">
        <v>69</v>
      </c>
      <c r="E3" s="878" t="s">
        <v>70</v>
      </c>
      <c r="F3" s="930" t="s">
        <v>71</v>
      </c>
      <c r="G3" s="878" t="s">
        <v>72</v>
      </c>
      <c r="H3" s="878" t="s">
        <v>73</v>
      </c>
      <c r="I3" s="878" t="s">
        <v>74</v>
      </c>
      <c r="J3" s="878" t="s">
        <v>75</v>
      </c>
      <c r="K3" s="878" t="s">
        <v>76</v>
      </c>
      <c r="L3" s="1063" t="s">
        <v>314</v>
      </c>
      <c r="M3" s="908" t="s">
        <v>78</v>
      </c>
      <c r="N3" s="908" t="s">
        <v>79</v>
      </c>
      <c r="O3" s="909" t="s">
        <v>80</v>
      </c>
      <c r="P3" s="909"/>
      <c r="Q3" s="189"/>
      <c r="R3" s="939"/>
      <c r="S3" s="825"/>
      <c r="T3" s="825"/>
      <c r="U3" s="825"/>
      <c r="V3" s="825"/>
      <c r="W3" s="825"/>
      <c r="X3" s="829"/>
      <c r="Y3" s="829"/>
      <c r="Z3" s="829" t="s">
        <v>95</v>
      </c>
      <c r="AA3" s="829" t="s">
        <v>95</v>
      </c>
      <c r="AB3" s="849"/>
      <c r="AC3" s="850"/>
      <c r="AD3" s="850"/>
      <c r="AE3" s="850"/>
      <c r="AF3" s="850"/>
      <c r="AG3" s="850"/>
      <c r="AH3" s="850"/>
    </row>
    <row r="4" spans="1:34" ht="48" customHeight="1">
      <c r="A4" s="922"/>
      <c r="B4" s="926"/>
      <c r="C4" s="924">
        <v>662</v>
      </c>
      <c r="D4" s="930"/>
      <c r="E4" s="930"/>
      <c r="F4" s="930" t="s">
        <v>72</v>
      </c>
      <c r="G4" s="930"/>
      <c r="H4" s="930"/>
      <c r="I4" s="930"/>
      <c r="J4" s="930"/>
      <c r="K4" s="930"/>
      <c r="L4" s="1063" t="s">
        <v>93</v>
      </c>
      <c r="M4" s="910"/>
      <c r="N4" s="910"/>
      <c r="O4" s="911"/>
      <c r="P4" s="911"/>
      <c r="Q4" s="189"/>
      <c r="R4" s="940" t="s">
        <v>94</v>
      </c>
      <c r="S4" s="848"/>
      <c r="T4" s="848"/>
      <c r="U4" s="848"/>
      <c r="V4" s="848"/>
      <c r="W4" s="848"/>
      <c r="X4" s="849"/>
      <c r="Y4" s="849"/>
      <c r="Z4" s="851"/>
      <c r="AA4" s="851"/>
      <c r="AB4" s="851"/>
      <c r="AC4" s="850"/>
      <c r="AD4" s="850"/>
      <c r="AE4" s="850"/>
      <c r="AF4" s="850"/>
      <c r="AG4" s="850"/>
      <c r="AH4" s="850"/>
    </row>
    <row r="5" spans="1:34">
      <c r="A5" s="922"/>
      <c r="B5" s="926"/>
      <c r="C5" s="924">
        <v>493</v>
      </c>
      <c r="D5" s="930"/>
      <c r="E5" s="930"/>
      <c r="F5" s="930" t="s">
        <v>75</v>
      </c>
      <c r="G5" s="930"/>
      <c r="H5" s="930"/>
      <c r="I5" s="930"/>
      <c r="J5" s="930"/>
      <c r="K5" s="930"/>
      <c r="L5" s="1063">
        <v>0</v>
      </c>
      <c r="M5" s="910"/>
      <c r="N5" s="910"/>
      <c r="O5" s="911"/>
      <c r="P5" s="911"/>
      <c r="Q5" s="189"/>
      <c r="R5" s="941"/>
      <c r="S5" s="848"/>
      <c r="T5" s="848"/>
      <c r="U5" s="848"/>
      <c r="V5" s="848"/>
      <c r="W5" s="848"/>
      <c r="X5" s="849"/>
      <c r="Y5" s="849"/>
      <c r="Z5" s="849"/>
      <c r="AA5" s="849"/>
      <c r="AB5" s="849"/>
      <c r="AC5" s="850"/>
      <c r="AD5" s="850"/>
      <c r="AE5" s="850"/>
      <c r="AF5" s="850"/>
      <c r="AG5" s="850"/>
      <c r="AH5" s="850"/>
    </row>
    <row r="6" spans="1:34">
      <c r="A6" s="922"/>
      <c r="B6" s="926"/>
      <c r="C6" s="924">
        <v>403</v>
      </c>
      <c r="D6" s="930"/>
      <c r="E6" s="930"/>
      <c r="F6" s="930" t="s">
        <v>76</v>
      </c>
      <c r="G6" s="936"/>
      <c r="H6" s="930"/>
      <c r="I6" s="930"/>
      <c r="J6" s="930"/>
      <c r="K6" s="930"/>
      <c r="L6" s="1063" t="s">
        <v>96</v>
      </c>
      <c r="M6" s="910"/>
      <c r="N6" s="910"/>
      <c r="O6" s="911"/>
      <c r="P6" s="911"/>
      <c r="Q6" s="189"/>
      <c r="R6" s="942"/>
      <c r="S6" s="942"/>
      <c r="T6" s="942"/>
      <c r="U6" s="942"/>
      <c r="V6" s="942"/>
      <c r="W6" s="942"/>
      <c r="X6" s="849"/>
      <c r="Y6" s="849"/>
      <c r="Z6" s="946"/>
      <c r="AA6" s="946"/>
      <c r="AB6" s="851"/>
      <c r="AC6" s="850"/>
      <c r="AD6" s="850"/>
      <c r="AE6" s="850"/>
      <c r="AF6" s="850"/>
      <c r="AG6" s="850"/>
      <c r="AH6" s="850"/>
    </row>
    <row r="7" spans="1:34" ht="24" customHeight="1">
      <c r="A7" s="794">
        <v>266277</v>
      </c>
      <c r="B7" s="912" t="s">
        <v>315</v>
      </c>
      <c r="C7" s="913"/>
      <c r="D7" s="825" t="s">
        <v>98</v>
      </c>
      <c r="E7" s="951">
        <v>0</v>
      </c>
      <c r="F7" s="952" t="s">
        <v>314</v>
      </c>
      <c r="G7" s="889" t="s">
        <v>93</v>
      </c>
      <c r="H7" s="888" t="s">
        <v>98</v>
      </c>
      <c r="I7" s="888" t="s">
        <v>98</v>
      </c>
      <c r="J7" s="890">
        <v>0</v>
      </c>
      <c r="K7" s="889" t="s">
        <v>96</v>
      </c>
      <c r="L7" s="1124">
        <v>1</v>
      </c>
      <c r="M7" s="914"/>
      <c r="N7" s="915"/>
      <c r="O7" s="916"/>
      <c r="P7" s="916"/>
      <c r="Q7" s="399"/>
      <c r="R7" s="970"/>
      <c r="S7" s="971"/>
      <c r="T7" s="971"/>
      <c r="U7" s="971"/>
      <c r="V7" s="971"/>
      <c r="W7" s="971"/>
      <c r="X7" s="972"/>
      <c r="Y7" s="955"/>
      <c r="Z7" s="955"/>
      <c r="AA7" s="955"/>
      <c r="AB7" s="955"/>
      <c r="AC7" s="957"/>
      <c r="AD7" s="957"/>
      <c r="AE7" s="957"/>
      <c r="AF7" s="957"/>
      <c r="AG7" s="957"/>
      <c r="AH7" s="957"/>
    </row>
    <row r="8" spans="1:34" ht="12.75" customHeight="1">
      <c r="A8" s="794">
        <v>157699</v>
      </c>
      <c r="B8" s="912" t="s">
        <v>221</v>
      </c>
      <c r="C8" s="913"/>
      <c r="D8" s="898">
        <v>5</v>
      </c>
      <c r="E8" s="897" t="s">
        <v>98</v>
      </c>
      <c r="F8" s="899" t="s">
        <v>316</v>
      </c>
      <c r="G8" s="900" t="s">
        <v>154</v>
      </c>
      <c r="H8" s="906" t="s">
        <v>98</v>
      </c>
      <c r="I8" s="901" t="s">
        <v>98</v>
      </c>
      <c r="J8" s="902">
        <v>0</v>
      </c>
      <c r="K8" s="900" t="s">
        <v>96</v>
      </c>
      <c r="L8" s="1125">
        <v>2.5000000000000001E-2</v>
      </c>
      <c r="M8" s="917">
        <v>1</v>
      </c>
      <c r="N8" s="918">
        <f t="shared" ref="N8:N17" si="0">$AA8</f>
        <v>1.3010391658590073</v>
      </c>
      <c r="O8" s="1126" t="str">
        <f t="shared" ref="O8:O17" si="1">$AB8&amp;"; "&amp;$Q8</f>
        <v>(1,2,1,1,3,5); plastics europe (2006) polymerisation of vinyl chloride monomers</v>
      </c>
      <c r="P8" s="954"/>
      <c r="Q8" s="399" t="s">
        <v>317</v>
      </c>
      <c r="R8" s="975">
        <v>1</v>
      </c>
      <c r="S8" s="976">
        <v>2</v>
      </c>
      <c r="T8" s="976">
        <v>1</v>
      </c>
      <c r="U8" s="976">
        <v>1</v>
      </c>
      <c r="V8" s="976">
        <v>3</v>
      </c>
      <c r="W8" s="976">
        <v>5</v>
      </c>
      <c r="X8" s="976">
        <v>3</v>
      </c>
      <c r="Y8" s="977">
        <v>1.05</v>
      </c>
      <c r="Z8" s="977">
        <f t="shared" ref="Z8:Z17" si="2">EXP(SQRT((LN(AC8)^2)+(LN(AD8)^2)+(LN(AE8)^2)+(LN(AF8)^2)+(LN(AG8)^2)+(LN(AH8)^2)))</f>
        <v>1.2951168674004403</v>
      </c>
      <c r="AA8" s="977">
        <f t="shared" ref="AA8:AA17" si="3">EXP(SQRT((LN(AC8)^2)+(LN(AD8)^2)+(LN(AE8)^2)+(LN(AF8)^2)+(LN(AG8)^2)+(LN(AH8)^2)+LN(Y8)^2))</f>
        <v>1.3010391658590073</v>
      </c>
      <c r="AB8" s="977" t="str">
        <f t="shared" ref="AB8:AB17" si="4">CONCATENATE("(",R8,",",S8,",",T8,",",U8,",",V8,",",W8,")")</f>
        <v>(1,2,1,1,3,5)</v>
      </c>
      <c r="AC8" s="978">
        <v>1</v>
      </c>
      <c r="AD8" s="978">
        <v>1.02</v>
      </c>
      <c r="AE8" s="978">
        <v>1</v>
      </c>
      <c r="AF8" s="978">
        <v>1</v>
      </c>
      <c r="AG8" s="978">
        <v>1.2</v>
      </c>
      <c r="AH8" s="978">
        <v>1.2</v>
      </c>
    </row>
    <row r="9" spans="1:34" ht="12.75" customHeight="1">
      <c r="A9" s="794">
        <v>269223</v>
      </c>
      <c r="B9" s="912"/>
      <c r="C9" s="913"/>
      <c r="D9" s="895">
        <v>5</v>
      </c>
      <c r="E9" s="894" t="s">
        <v>98</v>
      </c>
      <c r="F9" s="868" t="s">
        <v>318</v>
      </c>
      <c r="G9" s="869" t="s">
        <v>93</v>
      </c>
      <c r="H9" s="870" t="s">
        <v>98</v>
      </c>
      <c r="I9" s="871" t="s">
        <v>98</v>
      </c>
      <c r="J9" s="872">
        <v>0</v>
      </c>
      <c r="K9" s="869" t="s">
        <v>96</v>
      </c>
      <c r="L9" s="1127">
        <v>1.25E-3</v>
      </c>
      <c r="M9" s="919">
        <v>1</v>
      </c>
      <c r="N9" s="920">
        <f t="shared" si="0"/>
        <v>1.3010391658590073</v>
      </c>
      <c r="O9" s="962" t="str">
        <f t="shared" si="1"/>
        <v>(1,2,1,1,3,5); plastics europe (2006) polymerisation of vinyl chloride monomers</v>
      </c>
      <c r="P9" s="954"/>
      <c r="Q9" s="399" t="s">
        <v>317</v>
      </c>
      <c r="R9" s="973">
        <v>1</v>
      </c>
      <c r="S9" s="974">
        <v>2</v>
      </c>
      <c r="T9" s="974">
        <v>1</v>
      </c>
      <c r="U9" s="974">
        <v>1</v>
      </c>
      <c r="V9" s="974">
        <v>3</v>
      </c>
      <c r="W9" s="974">
        <v>5</v>
      </c>
      <c r="X9" s="974">
        <v>3</v>
      </c>
      <c r="Y9" s="979">
        <v>1.05</v>
      </c>
      <c r="Z9" s="979">
        <f t="shared" si="2"/>
        <v>1.2951168674004403</v>
      </c>
      <c r="AA9" s="979">
        <f t="shared" si="3"/>
        <v>1.3010391658590073</v>
      </c>
      <c r="AB9" s="979" t="str">
        <f t="shared" si="4"/>
        <v>(1,2,1,1,3,5)</v>
      </c>
      <c r="AC9" s="980">
        <v>1</v>
      </c>
      <c r="AD9" s="980">
        <v>1.02</v>
      </c>
      <c r="AE9" s="980">
        <v>1</v>
      </c>
      <c r="AF9" s="980">
        <v>1</v>
      </c>
      <c r="AG9" s="980">
        <v>1.2</v>
      </c>
      <c r="AH9" s="980">
        <v>1.2</v>
      </c>
    </row>
    <row r="10" spans="1:34" ht="24" customHeight="1">
      <c r="A10" s="794">
        <v>260266</v>
      </c>
      <c r="B10" s="912"/>
      <c r="C10" s="913"/>
      <c r="D10" s="898">
        <v>5</v>
      </c>
      <c r="E10" s="897" t="s">
        <v>98</v>
      </c>
      <c r="F10" s="899" t="s">
        <v>319</v>
      </c>
      <c r="G10" s="900" t="s">
        <v>93</v>
      </c>
      <c r="H10" s="906" t="s">
        <v>98</v>
      </c>
      <c r="I10" s="901" t="s">
        <v>98</v>
      </c>
      <c r="J10" s="902">
        <v>0</v>
      </c>
      <c r="K10" s="900" t="s">
        <v>119</v>
      </c>
      <c r="L10" s="1125">
        <v>1.732</v>
      </c>
      <c r="M10" s="917">
        <v>1</v>
      </c>
      <c r="N10" s="918">
        <f t="shared" si="0"/>
        <v>1.3010391658590073</v>
      </c>
      <c r="O10" s="1126" t="str">
        <f t="shared" si="1"/>
        <v>(1,2,1,1,3,5); plastics europe (2006) polymerisation of vinyl chloride monomers</v>
      </c>
      <c r="P10" s="954"/>
      <c r="Q10" s="399" t="s">
        <v>317</v>
      </c>
      <c r="R10" s="975">
        <v>1</v>
      </c>
      <c r="S10" s="976">
        <v>2</v>
      </c>
      <c r="T10" s="976">
        <v>1</v>
      </c>
      <c r="U10" s="976">
        <v>1</v>
      </c>
      <c r="V10" s="976">
        <v>3</v>
      </c>
      <c r="W10" s="976">
        <v>5</v>
      </c>
      <c r="X10" s="976">
        <v>4</v>
      </c>
      <c r="Y10" s="977">
        <v>1.05</v>
      </c>
      <c r="Z10" s="977">
        <f t="shared" si="2"/>
        <v>1.2951168674004403</v>
      </c>
      <c r="AA10" s="977">
        <f t="shared" si="3"/>
        <v>1.3010391658590073</v>
      </c>
      <c r="AB10" s="977" t="str">
        <f t="shared" si="4"/>
        <v>(1,2,1,1,3,5)</v>
      </c>
      <c r="AC10" s="978">
        <v>1</v>
      </c>
      <c r="AD10" s="978">
        <v>1.02</v>
      </c>
      <c r="AE10" s="978">
        <v>1</v>
      </c>
      <c r="AF10" s="978">
        <v>1</v>
      </c>
      <c r="AG10" s="978">
        <v>1.2</v>
      </c>
      <c r="AH10" s="978">
        <v>1.2</v>
      </c>
    </row>
    <row r="11" spans="1:34" ht="12.75" customHeight="1">
      <c r="A11" s="794">
        <v>269389</v>
      </c>
      <c r="B11" s="912"/>
      <c r="C11" s="913"/>
      <c r="D11" s="895">
        <v>5</v>
      </c>
      <c r="E11" s="894" t="s">
        <v>98</v>
      </c>
      <c r="F11" s="868" t="s">
        <v>320</v>
      </c>
      <c r="G11" s="869" t="s">
        <v>93</v>
      </c>
      <c r="H11" s="870" t="s">
        <v>98</v>
      </c>
      <c r="I11" s="871" t="s">
        <v>98</v>
      </c>
      <c r="J11" s="872">
        <v>0</v>
      </c>
      <c r="K11" s="869" t="s">
        <v>96</v>
      </c>
      <c r="L11" s="1127">
        <v>2.4750000000000001</v>
      </c>
      <c r="M11" s="919">
        <v>1</v>
      </c>
      <c r="N11" s="920">
        <f t="shared" si="0"/>
        <v>1.3010391658590073</v>
      </c>
      <c r="O11" s="962" t="str">
        <f t="shared" si="1"/>
        <v>(1,2,1,1,3,5); plastics europe (2006) polymerisation of vinyl chloride monomers</v>
      </c>
      <c r="P11" s="954"/>
      <c r="Q11" s="399" t="s">
        <v>317</v>
      </c>
      <c r="R11" s="973">
        <v>1</v>
      </c>
      <c r="S11" s="974">
        <v>2</v>
      </c>
      <c r="T11" s="974">
        <v>1</v>
      </c>
      <c r="U11" s="974">
        <v>1</v>
      </c>
      <c r="V11" s="974">
        <v>3</v>
      </c>
      <c r="W11" s="974">
        <v>5</v>
      </c>
      <c r="X11" s="974">
        <v>3</v>
      </c>
      <c r="Y11" s="979">
        <v>1.05</v>
      </c>
      <c r="Z11" s="979">
        <f t="shared" si="2"/>
        <v>1.2951168674004403</v>
      </c>
      <c r="AA11" s="979">
        <f t="shared" si="3"/>
        <v>1.3010391658590073</v>
      </c>
      <c r="AB11" s="979" t="str">
        <f t="shared" si="4"/>
        <v>(1,2,1,1,3,5)</v>
      </c>
      <c r="AC11" s="980">
        <v>1</v>
      </c>
      <c r="AD11" s="980">
        <v>1.02</v>
      </c>
      <c r="AE11" s="980">
        <v>1</v>
      </c>
      <c r="AF11" s="980">
        <v>1</v>
      </c>
      <c r="AG11" s="980">
        <v>1.2</v>
      </c>
      <c r="AH11" s="980">
        <v>1.2</v>
      </c>
    </row>
    <row r="12" spans="1:34" ht="24" customHeight="1">
      <c r="A12" s="794">
        <v>269603</v>
      </c>
      <c r="B12" s="912"/>
      <c r="C12" s="913"/>
      <c r="D12" s="898">
        <v>5</v>
      </c>
      <c r="E12" s="897" t="s">
        <v>98</v>
      </c>
      <c r="F12" s="899" t="s">
        <v>222</v>
      </c>
      <c r="G12" s="900" t="s">
        <v>223</v>
      </c>
      <c r="H12" s="906" t="s">
        <v>98</v>
      </c>
      <c r="I12" s="901" t="s">
        <v>98</v>
      </c>
      <c r="J12" s="902">
        <v>0</v>
      </c>
      <c r="K12" s="900" t="s">
        <v>109</v>
      </c>
      <c r="L12" s="1125">
        <v>0.37638888888888899</v>
      </c>
      <c r="M12" s="917">
        <v>1</v>
      </c>
      <c r="N12" s="918">
        <f t="shared" si="0"/>
        <v>1.3010391658590073</v>
      </c>
      <c r="O12" s="1126" t="str">
        <f t="shared" si="1"/>
        <v>(1,2,1,1,3,5); plastics europe (2006) polymerisation of vinyl chloride monomers</v>
      </c>
      <c r="P12" s="954"/>
      <c r="Q12" s="399" t="s">
        <v>317</v>
      </c>
      <c r="R12" s="975">
        <v>1</v>
      </c>
      <c r="S12" s="976">
        <v>2</v>
      </c>
      <c r="T12" s="976">
        <v>1</v>
      </c>
      <c r="U12" s="976">
        <v>1</v>
      </c>
      <c r="V12" s="976">
        <v>3</v>
      </c>
      <c r="W12" s="976">
        <v>5</v>
      </c>
      <c r="X12" s="976">
        <v>2</v>
      </c>
      <c r="Y12" s="977">
        <v>1.05</v>
      </c>
      <c r="Z12" s="977">
        <f t="shared" si="2"/>
        <v>1.2951168674004403</v>
      </c>
      <c r="AA12" s="977">
        <f t="shared" si="3"/>
        <v>1.3010391658590073</v>
      </c>
      <c r="AB12" s="977" t="str">
        <f t="shared" si="4"/>
        <v>(1,2,1,1,3,5)</v>
      </c>
      <c r="AC12" s="978">
        <v>1</v>
      </c>
      <c r="AD12" s="978">
        <v>1.02</v>
      </c>
      <c r="AE12" s="978">
        <v>1</v>
      </c>
      <c r="AF12" s="978">
        <v>1</v>
      </c>
      <c r="AG12" s="978">
        <v>1.2</v>
      </c>
      <c r="AH12" s="978">
        <v>1.2</v>
      </c>
    </row>
    <row r="13" spans="1:34" ht="24" customHeight="1">
      <c r="A13" s="794">
        <v>269447</v>
      </c>
      <c r="B13" s="912"/>
      <c r="C13" s="913"/>
      <c r="D13" s="895">
        <v>5</v>
      </c>
      <c r="E13" s="894" t="s">
        <v>98</v>
      </c>
      <c r="F13" s="868" t="s">
        <v>228</v>
      </c>
      <c r="G13" s="869" t="s">
        <v>103</v>
      </c>
      <c r="H13" s="870" t="s">
        <v>98</v>
      </c>
      <c r="I13" s="871" t="s">
        <v>98</v>
      </c>
      <c r="J13" s="872">
        <v>0</v>
      </c>
      <c r="K13" s="869" t="s">
        <v>104</v>
      </c>
      <c r="L13" s="1127">
        <v>0.88500000000000001</v>
      </c>
      <c r="M13" s="919">
        <v>1</v>
      </c>
      <c r="N13" s="920">
        <f t="shared" si="0"/>
        <v>1.3010391658590073</v>
      </c>
      <c r="O13" s="962" t="str">
        <f t="shared" si="1"/>
        <v>(1,2,1,1,3,5); plastics europe (2006) polymerisation of vinyl chloride monomers</v>
      </c>
      <c r="P13" s="954"/>
      <c r="Q13" s="399" t="s">
        <v>317</v>
      </c>
      <c r="R13" s="973">
        <v>1</v>
      </c>
      <c r="S13" s="974">
        <v>2</v>
      </c>
      <c r="T13" s="974">
        <v>1</v>
      </c>
      <c r="U13" s="974">
        <v>1</v>
      </c>
      <c r="V13" s="974">
        <v>3</v>
      </c>
      <c r="W13" s="974">
        <v>5</v>
      </c>
      <c r="X13" s="974">
        <v>1</v>
      </c>
      <c r="Y13" s="979">
        <v>1.05</v>
      </c>
      <c r="Z13" s="979">
        <f t="shared" si="2"/>
        <v>1.2951168674004403</v>
      </c>
      <c r="AA13" s="979">
        <f t="shared" si="3"/>
        <v>1.3010391658590073</v>
      </c>
      <c r="AB13" s="979" t="str">
        <f t="shared" si="4"/>
        <v>(1,2,1,1,3,5)</v>
      </c>
      <c r="AC13" s="980">
        <v>1</v>
      </c>
      <c r="AD13" s="980">
        <v>1.02</v>
      </c>
      <c r="AE13" s="980">
        <v>1</v>
      </c>
      <c r="AF13" s="980">
        <v>1</v>
      </c>
      <c r="AG13" s="980">
        <v>1.2</v>
      </c>
      <c r="AH13" s="980">
        <v>1.2</v>
      </c>
    </row>
    <row r="14" spans="1:34" ht="24" customHeight="1">
      <c r="A14" s="794">
        <v>267492</v>
      </c>
      <c r="B14" s="912"/>
      <c r="C14" s="913"/>
      <c r="D14" s="898">
        <v>5</v>
      </c>
      <c r="E14" s="897" t="s">
        <v>98</v>
      </c>
      <c r="F14" s="899" t="s">
        <v>321</v>
      </c>
      <c r="G14" s="900" t="s">
        <v>93</v>
      </c>
      <c r="H14" s="906" t="s">
        <v>98</v>
      </c>
      <c r="I14" s="901" t="s">
        <v>98</v>
      </c>
      <c r="J14" s="902">
        <v>0</v>
      </c>
      <c r="K14" s="900" t="s">
        <v>96</v>
      </c>
      <c r="L14" s="1125">
        <v>1.3952727272727301</v>
      </c>
      <c r="M14" s="917">
        <v>1</v>
      </c>
      <c r="N14" s="918">
        <f t="shared" si="0"/>
        <v>1.3010391658590073</v>
      </c>
      <c r="O14" s="1126" t="str">
        <f t="shared" si="1"/>
        <v>(1,2,1,1,3,5); plastics europe (2006) polymerisation of vinyl chloride monomers</v>
      </c>
      <c r="P14" s="954"/>
      <c r="Q14" s="399" t="s">
        <v>317</v>
      </c>
      <c r="R14" s="975">
        <v>1</v>
      </c>
      <c r="S14" s="976">
        <v>2</v>
      </c>
      <c r="T14" s="976">
        <v>1</v>
      </c>
      <c r="U14" s="976">
        <v>1</v>
      </c>
      <c r="V14" s="976">
        <v>3</v>
      </c>
      <c r="W14" s="976">
        <v>5</v>
      </c>
      <c r="X14" s="976">
        <v>3</v>
      </c>
      <c r="Y14" s="977">
        <v>1.05</v>
      </c>
      <c r="Z14" s="977">
        <f t="shared" si="2"/>
        <v>1.2951168674004403</v>
      </c>
      <c r="AA14" s="977">
        <f t="shared" si="3"/>
        <v>1.3010391658590073</v>
      </c>
      <c r="AB14" s="977" t="str">
        <f t="shared" si="4"/>
        <v>(1,2,1,1,3,5)</v>
      </c>
      <c r="AC14" s="978">
        <v>1</v>
      </c>
      <c r="AD14" s="978">
        <v>1.02</v>
      </c>
      <c r="AE14" s="978">
        <v>1</v>
      </c>
      <c r="AF14" s="978">
        <v>1</v>
      </c>
      <c r="AG14" s="978">
        <v>1.2</v>
      </c>
      <c r="AH14" s="978">
        <v>1.2</v>
      </c>
    </row>
    <row r="15" spans="1:34" ht="24" customHeight="1">
      <c r="A15" s="794">
        <v>269095</v>
      </c>
      <c r="B15" s="912" t="s">
        <v>322</v>
      </c>
      <c r="C15" s="913"/>
      <c r="D15" s="895">
        <v>5</v>
      </c>
      <c r="E15" s="894" t="s">
        <v>98</v>
      </c>
      <c r="F15" s="868" t="s">
        <v>323</v>
      </c>
      <c r="G15" s="869" t="s">
        <v>103</v>
      </c>
      <c r="H15" s="870" t="s">
        <v>98</v>
      </c>
      <c r="I15" s="871" t="s">
        <v>98</v>
      </c>
      <c r="J15" s="872">
        <v>0</v>
      </c>
      <c r="K15" s="869" t="s">
        <v>119</v>
      </c>
      <c r="L15" s="1127">
        <v>2.4750000000000002E-3</v>
      </c>
      <c r="M15" s="919">
        <v>1</v>
      </c>
      <c r="N15" s="920">
        <f t="shared" si="0"/>
        <v>1.3010391658590073</v>
      </c>
      <c r="O15" s="962" t="str">
        <f t="shared" si="1"/>
        <v>(1,2,1,1,3,5); treatment of process water</v>
      </c>
      <c r="P15" s="954"/>
      <c r="Q15" s="399" t="s">
        <v>324</v>
      </c>
      <c r="R15" s="973">
        <v>1</v>
      </c>
      <c r="S15" s="974">
        <v>2</v>
      </c>
      <c r="T15" s="974">
        <v>1</v>
      </c>
      <c r="U15" s="974">
        <v>1</v>
      </c>
      <c r="V15" s="974">
        <v>3</v>
      </c>
      <c r="W15" s="974">
        <v>5</v>
      </c>
      <c r="X15" s="974">
        <v>6</v>
      </c>
      <c r="Y15" s="979">
        <v>1.05</v>
      </c>
      <c r="Z15" s="979">
        <f t="shared" si="2"/>
        <v>1.2951168674004403</v>
      </c>
      <c r="AA15" s="979">
        <f t="shared" si="3"/>
        <v>1.3010391658590073</v>
      </c>
      <c r="AB15" s="979" t="str">
        <f t="shared" si="4"/>
        <v>(1,2,1,1,3,5)</v>
      </c>
      <c r="AC15" s="980">
        <v>1</v>
      </c>
      <c r="AD15" s="980">
        <v>1.02</v>
      </c>
      <c r="AE15" s="980">
        <v>1</v>
      </c>
      <c r="AF15" s="980">
        <v>1</v>
      </c>
      <c r="AG15" s="980">
        <v>1.2</v>
      </c>
      <c r="AH15" s="980">
        <v>1.2</v>
      </c>
    </row>
    <row r="16" spans="1:34" ht="12.75" customHeight="1">
      <c r="A16" s="794">
        <v>21844</v>
      </c>
      <c r="B16" s="912"/>
      <c r="C16" s="913"/>
      <c r="D16" s="898">
        <v>4</v>
      </c>
      <c r="E16" s="897" t="s">
        <v>98</v>
      </c>
      <c r="F16" s="899" t="s">
        <v>121</v>
      </c>
      <c r="G16" s="900" t="s">
        <v>98</v>
      </c>
      <c r="H16" s="906" t="s">
        <v>247</v>
      </c>
      <c r="I16" s="901" t="s">
        <v>258</v>
      </c>
      <c r="J16" s="902" t="s">
        <v>98</v>
      </c>
      <c r="K16" s="900" t="s">
        <v>104</v>
      </c>
      <c r="L16" s="1125">
        <v>1.355</v>
      </c>
      <c r="M16" s="917">
        <v>1</v>
      </c>
      <c r="N16" s="918">
        <f t="shared" si="0"/>
        <v>1.3010391658590073</v>
      </c>
      <c r="O16" s="1126" t="str">
        <f t="shared" si="1"/>
        <v>(1,2,1,1,3,5); due to electricity consumption</v>
      </c>
      <c r="P16" s="954"/>
      <c r="Q16" s="399" t="s">
        <v>124</v>
      </c>
      <c r="R16" s="975">
        <v>1</v>
      </c>
      <c r="S16" s="976">
        <v>2</v>
      </c>
      <c r="T16" s="976">
        <v>1</v>
      </c>
      <c r="U16" s="976">
        <v>1</v>
      </c>
      <c r="V16" s="976">
        <v>3</v>
      </c>
      <c r="W16" s="976">
        <v>5</v>
      </c>
      <c r="X16" s="976">
        <v>13</v>
      </c>
      <c r="Y16" s="977">
        <v>1.05</v>
      </c>
      <c r="Z16" s="977">
        <f t="shared" si="2"/>
        <v>1.2951168674004403</v>
      </c>
      <c r="AA16" s="977">
        <f t="shared" si="3"/>
        <v>1.3010391658590073</v>
      </c>
      <c r="AB16" s="977" t="str">
        <f t="shared" si="4"/>
        <v>(1,2,1,1,3,5)</v>
      </c>
      <c r="AC16" s="978">
        <v>1</v>
      </c>
      <c r="AD16" s="978">
        <v>1.02</v>
      </c>
      <c r="AE16" s="978">
        <v>1</v>
      </c>
      <c r="AF16" s="978">
        <v>1</v>
      </c>
      <c r="AG16" s="978">
        <v>1.2</v>
      </c>
      <c r="AH16" s="978">
        <v>1.2</v>
      </c>
    </row>
    <row r="17" spans="1:34" ht="12.75" customHeight="1">
      <c r="A17" s="794">
        <v>29019</v>
      </c>
      <c r="B17" s="912" t="s">
        <v>291</v>
      </c>
      <c r="C17" s="913"/>
      <c r="D17" s="895">
        <v>4</v>
      </c>
      <c r="E17" s="894" t="s">
        <v>98</v>
      </c>
      <c r="F17" s="868" t="s">
        <v>325</v>
      </c>
      <c r="G17" s="869" t="s">
        <v>98</v>
      </c>
      <c r="H17" s="870" t="s">
        <v>218</v>
      </c>
      <c r="I17" s="871" t="s">
        <v>132</v>
      </c>
      <c r="J17" s="872" t="s">
        <v>98</v>
      </c>
      <c r="K17" s="869" t="s">
        <v>119</v>
      </c>
      <c r="L17" s="1127">
        <v>3.1392000000000003E-2</v>
      </c>
      <c r="M17" s="919">
        <v>1</v>
      </c>
      <c r="N17" s="920">
        <f t="shared" si="0"/>
        <v>1.3010391658590073</v>
      </c>
      <c r="O17" s="962" t="str">
        <f t="shared" si="1"/>
        <v>(1,2,1,1,3,5); plastics europe (2006) polymerisation of vinyl chloride monomers</v>
      </c>
      <c r="P17" s="954"/>
      <c r="Q17" s="399" t="s">
        <v>317</v>
      </c>
      <c r="R17" s="973">
        <v>1</v>
      </c>
      <c r="S17" s="974">
        <v>2</v>
      </c>
      <c r="T17" s="974">
        <v>1</v>
      </c>
      <c r="U17" s="974">
        <v>1</v>
      </c>
      <c r="V17" s="974">
        <v>3</v>
      </c>
      <c r="W17" s="974">
        <v>5</v>
      </c>
      <c r="X17" s="974">
        <v>12</v>
      </c>
      <c r="Y17" s="979">
        <v>1.05</v>
      </c>
      <c r="Z17" s="979">
        <f t="shared" si="2"/>
        <v>1.2951168674004403</v>
      </c>
      <c r="AA17" s="979">
        <f t="shared" si="3"/>
        <v>1.3010391658590073</v>
      </c>
      <c r="AB17" s="979" t="str">
        <f t="shared" si="4"/>
        <v>(1,2,1,1,3,5)</v>
      </c>
      <c r="AC17" s="980">
        <v>1</v>
      </c>
      <c r="AD17" s="980">
        <v>1.02</v>
      </c>
      <c r="AE17" s="980">
        <v>1</v>
      </c>
      <c r="AF17" s="980">
        <v>1</v>
      </c>
      <c r="AG17" s="980">
        <v>1.2</v>
      </c>
      <c r="AH17" s="980">
        <v>1.2</v>
      </c>
    </row>
    <row r="20" spans="1:34">
      <c r="B20" s="33"/>
      <c r="C20" s="34"/>
      <c r="F20" s="405" t="s">
        <v>194</v>
      </c>
      <c r="G20" s="405">
        <v>14</v>
      </c>
      <c r="H20" s="405"/>
      <c r="I20" s="405"/>
      <c r="J20" s="405"/>
      <c r="K20" s="405" t="s">
        <v>326</v>
      </c>
      <c r="L20" s="405"/>
    </row>
    <row r="21" spans="1:34">
      <c r="B21" s="33"/>
      <c r="C21" s="34"/>
      <c r="F21" s="405" t="s">
        <v>327</v>
      </c>
      <c r="G21" s="405">
        <v>22.4</v>
      </c>
      <c r="H21" s="405"/>
      <c r="I21" s="405"/>
      <c r="J21" s="405"/>
      <c r="K21" s="405" t="s">
        <v>328</v>
      </c>
      <c r="L21" s="405"/>
    </row>
    <row r="22" spans="1:34">
      <c r="B22" s="33"/>
      <c r="C22" s="34"/>
      <c r="F22" s="405" t="s">
        <v>329</v>
      </c>
      <c r="G22" s="405">
        <v>1000</v>
      </c>
      <c r="H22" s="405"/>
      <c r="I22" s="405"/>
      <c r="J22" s="405"/>
      <c r="K22" s="405" t="s">
        <v>330</v>
      </c>
      <c r="L22" s="405"/>
    </row>
    <row r="23" spans="1:34">
      <c r="B23" s="33"/>
      <c r="C23" s="34"/>
      <c r="F23" s="405" t="s">
        <v>331</v>
      </c>
      <c r="G23" s="405">
        <f>G20*G22/G21</f>
        <v>625</v>
      </c>
      <c r="H23" s="405"/>
      <c r="I23" s="405"/>
      <c r="J23" s="405"/>
      <c r="K23" s="405" t="s">
        <v>332</v>
      </c>
      <c r="L23" s="405"/>
    </row>
    <row r="24" spans="1:34">
      <c r="B24" s="33"/>
      <c r="C24" s="34"/>
      <c r="F24" s="405"/>
      <c r="G24" s="405">
        <f>G23/1000</f>
        <v>0.625</v>
      </c>
      <c r="H24" s="405"/>
      <c r="I24" s="405"/>
      <c r="J24" s="405"/>
      <c r="K24" s="405" t="s">
        <v>333</v>
      </c>
      <c r="L24" s="405"/>
    </row>
  </sheetData>
  <dataValidations disablePrompts="1" count="1">
    <dataValidation allowBlank="1" showInputMessage="1" showErrorMessage="1" promptTitle="Do not change" prompt="This field is automatically updated from the names-list" sqref="X8:X17" xr:uid="{00000000-0002-0000-0A00-000000000000}"/>
  </dataValidations>
  <pageMargins left="0.78740157499999996" right="0.78740157499999996" top="0.984251969" bottom="0.984251969" header="0.4921259845" footer="0.4921259845"/>
  <pageSetup paperSize="9"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5">
    <tabColor rgb="FF9CD9F0"/>
    <pageSetUpPr fitToPage="1"/>
  </sheetPr>
  <dimension ref="A1:AI38"/>
  <sheetViews>
    <sheetView showGridLines="0" topLeftCell="A25" workbookViewId="0">
      <selection activeCell="Q16" sqref="Q16"/>
    </sheetView>
  </sheetViews>
  <sheetFormatPr baseColWidth="10" defaultColWidth="11.42578125" defaultRowHeight="12" outlineLevelCol="1"/>
  <cols>
    <col min="1" max="1" width="10.7109375" style="45" customWidth="1"/>
    <col min="2" max="2" width="16" style="47" customWidth="1"/>
    <col min="3" max="3" width="3.7109375" style="48" hidden="1" customWidth="1" outlineLevel="1"/>
    <col min="4" max="4" width="4.140625" style="45" hidden="1" customWidth="1" outlineLevel="1"/>
    <col min="5" max="5" width="4" style="45" hidden="1" customWidth="1" outlineLevel="1"/>
    <col min="6" max="6" width="48.140625" style="45" customWidth="1" collapsed="1"/>
    <col min="7" max="7" width="6" style="45" customWidth="1"/>
    <col min="8" max="8" width="8.28515625" style="45" hidden="1" customWidth="1" outlineLevel="1"/>
    <col min="9" max="9" width="19.5703125" style="45" hidden="1" customWidth="1" outlineLevel="1"/>
    <col min="10" max="10" width="2.7109375" style="45" customWidth="1" collapsed="1"/>
    <col min="11" max="11" width="5.140625" style="45" customWidth="1"/>
    <col min="12" max="12" width="14" style="45" customWidth="1"/>
    <col min="13" max="13" width="3.5703125" style="37" hidden="1" customWidth="1" outlineLevel="1"/>
    <col min="14" max="14" width="6.5703125" style="37" hidden="1" customWidth="1" outlineLevel="1"/>
    <col min="15" max="15" width="36.85546875" style="307" hidden="1" customWidth="1" outlineLevel="1"/>
    <col min="16" max="16" width="8.140625" style="391" customWidth="1" collapsed="1"/>
    <col min="17" max="17" width="28.85546875" style="391" customWidth="1"/>
    <col min="18" max="18" width="4.140625" style="391" customWidth="1"/>
    <col min="19" max="19" width="4.42578125" style="391" customWidth="1"/>
    <col min="20" max="20" width="4.28515625" style="391" customWidth="1"/>
    <col min="21" max="21" width="4" style="391" customWidth="1"/>
    <col min="22" max="22" width="3.7109375" style="391" customWidth="1"/>
    <col min="23" max="23" width="4.28515625" style="391" customWidth="1"/>
    <col min="24" max="24" width="3.42578125" style="391" hidden="1" customWidth="1" outlineLevel="1"/>
    <col min="25" max="25" width="4.7109375" style="45" hidden="1" customWidth="1" outlineLevel="1"/>
    <col min="26" max="27" width="5.42578125" style="45" hidden="1" customWidth="1" outlineLevel="1"/>
    <col min="28" max="28" width="14.85546875" style="45" hidden="1" customWidth="1" outlineLevel="1"/>
    <col min="29" max="34" width="4.42578125" style="45" hidden="1" customWidth="1" outlineLevel="1"/>
    <col min="35" max="35" width="11.42578125" style="45" customWidth="1" collapsed="1"/>
    <col min="36" max="36" width="11.42578125" style="45" customWidth="1"/>
    <col min="37" max="16384" width="11.42578125" style="45"/>
  </cols>
  <sheetData>
    <row r="1" spans="1:34">
      <c r="A1" s="981"/>
      <c r="B1" s="982"/>
      <c r="C1" s="983"/>
      <c r="D1" s="981"/>
      <c r="E1" s="981"/>
      <c r="F1" s="986" t="s">
        <v>65</v>
      </c>
      <c r="G1" s="981"/>
      <c r="H1" s="981"/>
      <c r="I1" s="981"/>
      <c r="J1" s="981"/>
      <c r="K1" s="981"/>
      <c r="L1" s="988">
        <v>261889</v>
      </c>
      <c r="M1" s="896"/>
      <c r="N1" s="896"/>
      <c r="O1" s="1165"/>
      <c r="P1" s="992"/>
      <c r="Q1" s="992"/>
      <c r="R1" s="1584" t="s">
        <v>66</v>
      </c>
      <c r="S1" s="1585"/>
      <c r="T1" s="1585"/>
      <c r="U1" s="1585"/>
      <c r="V1" s="1585"/>
      <c r="W1" s="1585"/>
      <c r="X1" s="1000"/>
      <c r="Y1" s="1000"/>
      <c r="Z1" s="1000"/>
      <c r="AA1" s="1000"/>
      <c r="AB1" s="1000"/>
      <c r="AC1" s="1001"/>
      <c r="AD1" s="1001"/>
      <c r="AE1" s="1001"/>
      <c r="AF1" s="1001"/>
      <c r="AG1" s="1001"/>
      <c r="AH1" s="1001"/>
    </row>
    <row r="2" spans="1:34">
      <c r="A2" s="981"/>
      <c r="B2" s="984"/>
      <c r="C2" s="983" t="s">
        <v>67</v>
      </c>
      <c r="D2" s="746">
        <v>3503</v>
      </c>
      <c r="E2" s="746">
        <v>3504</v>
      </c>
      <c r="F2" s="746">
        <v>3702</v>
      </c>
      <c r="G2" s="746">
        <v>3703</v>
      </c>
      <c r="H2" s="746">
        <v>3506</v>
      </c>
      <c r="I2" s="746">
        <v>3507</v>
      </c>
      <c r="J2" s="746">
        <v>3508</v>
      </c>
      <c r="K2" s="746">
        <v>3706</v>
      </c>
      <c r="L2" s="746">
        <v>3707</v>
      </c>
      <c r="M2" s="989">
        <v>3708</v>
      </c>
      <c r="N2" s="989">
        <v>3709</v>
      </c>
      <c r="O2" s="495">
        <v>3792</v>
      </c>
      <c r="P2" s="406"/>
      <c r="Q2" s="407"/>
      <c r="R2" s="995"/>
      <c r="S2" s="995"/>
      <c r="T2" s="995"/>
      <c r="U2" s="995"/>
      <c r="V2" s="995"/>
      <c r="W2" s="995"/>
      <c r="X2" s="1000"/>
      <c r="Y2" s="1001"/>
      <c r="Z2" s="1001"/>
      <c r="AA2" s="1001"/>
      <c r="AB2" s="1001"/>
      <c r="AC2" s="1001"/>
      <c r="AD2" s="1001"/>
      <c r="AE2" s="1001"/>
      <c r="AF2" s="1001"/>
      <c r="AG2" s="1001"/>
      <c r="AH2" s="1001"/>
    </row>
    <row r="3" spans="1:34" ht="40.5" customHeight="1">
      <c r="A3" s="981" t="s">
        <v>68</v>
      </c>
      <c r="B3" s="985"/>
      <c r="C3" s="983">
        <v>401</v>
      </c>
      <c r="D3" s="85" t="s">
        <v>69</v>
      </c>
      <c r="E3" s="85" t="s">
        <v>70</v>
      </c>
      <c r="F3" s="86" t="s">
        <v>71</v>
      </c>
      <c r="G3" s="85" t="s">
        <v>72</v>
      </c>
      <c r="H3" s="85" t="s">
        <v>73</v>
      </c>
      <c r="I3" s="85" t="s">
        <v>74</v>
      </c>
      <c r="J3" s="85" t="s">
        <v>75</v>
      </c>
      <c r="K3" s="85" t="s">
        <v>76</v>
      </c>
      <c r="L3" s="987" t="s">
        <v>334</v>
      </c>
      <c r="M3" s="422" t="s">
        <v>78</v>
      </c>
      <c r="N3" s="422" t="s">
        <v>79</v>
      </c>
      <c r="O3" s="423" t="s">
        <v>80</v>
      </c>
      <c r="P3" s="747" t="s">
        <v>253</v>
      </c>
      <c r="Q3" s="406" t="s">
        <v>81</v>
      </c>
      <c r="R3" s="993" t="s">
        <v>82</v>
      </c>
      <c r="S3" s="993" t="s">
        <v>83</v>
      </c>
      <c r="T3" s="993" t="s">
        <v>84</v>
      </c>
      <c r="U3" s="993" t="s">
        <v>85</v>
      </c>
      <c r="V3" s="993" t="s">
        <v>86</v>
      </c>
      <c r="W3" s="993" t="s">
        <v>87</v>
      </c>
      <c r="X3" s="997" t="s">
        <v>88</v>
      </c>
      <c r="Y3" s="997" t="s">
        <v>89</v>
      </c>
      <c r="Z3" s="997" t="s">
        <v>90</v>
      </c>
      <c r="AA3" s="997" t="s">
        <v>91</v>
      </c>
      <c r="AB3" s="997" t="s">
        <v>92</v>
      </c>
      <c r="AC3" s="998" t="s">
        <v>82</v>
      </c>
      <c r="AD3" s="998" t="s">
        <v>83</v>
      </c>
      <c r="AE3" s="998" t="s">
        <v>84</v>
      </c>
      <c r="AF3" s="998" t="s">
        <v>85</v>
      </c>
      <c r="AG3" s="998" t="s">
        <v>86</v>
      </c>
      <c r="AH3" s="998" t="s">
        <v>87</v>
      </c>
    </row>
    <row r="4" spans="1:34" ht="12.75" customHeight="1">
      <c r="A4" s="981"/>
      <c r="B4" s="985"/>
      <c r="C4" s="983">
        <v>662</v>
      </c>
      <c r="D4" s="86"/>
      <c r="E4" s="86"/>
      <c r="F4" s="86" t="s">
        <v>72</v>
      </c>
      <c r="G4" s="86"/>
      <c r="H4" s="86"/>
      <c r="I4" s="86"/>
      <c r="J4" s="86"/>
      <c r="K4" s="86"/>
      <c r="L4" s="987" t="s">
        <v>93</v>
      </c>
      <c r="M4" s="425"/>
      <c r="N4" s="425"/>
      <c r="O4" s="454"/>
      <c r="P4" s="747" t="s">
        <v>103</v>
      </c>
      <c r="Q4" s="992"/>
      <c r="R4" s="994" t="s">
        <v>94</v>
      </c>
      <c r="S4" s="995"/>
      <c r="T4" s="995"/>
      <c r="U4" s="995"/>
      <c r="V4" s="995"/>
      <c r="W4" s="995"/>
      <c r="X4" s="999"/>
      <c r="Y4" s="999"/>
      <c r="Z4" s="999" t="s">
        <v>95</v>
      </c>
      <c r="AA4" s="999" t="s">
        <v>95</v>
      </c>
      <c r="AB4" s="1000"/>
      <c r="AC4" s="1001"/>
      <c r="AD4" s="1001"/>
      <c r="AE4" s="1001"/>
      <c r="AF4" s="1001"/>
      <c r="AG4" s="1001"/>
      <c r="AH4" s="1001"/>
    </row>
    <row r="5" spans="1:34">
      <c r="A5" s="981"/>
      <c r="B5" s="985"/>
      <c r="C5" s="983">
        <v>493</v>
      </c>
      <c r="D5" s="86"/>
      <c r="E5" s="86"/>
      <c r="F5" s="86" t="s">
        <v>75</v>
      </c>
      <c r="G5" s="86"/>
      <c r="H5" s="86"/>
      <c r="I5" s="86"/>
      <c r="J5" s="86"/>
      <c r="K5" s="86"/>
      <c r="L5" s="987">
        <v>0</v>
      </c>
      <c r="M5" s="425"/>
      <c r="N5" s="425"/>
      <c r="O5" s="454"/>
      <c r="P5" s="747">
        <v>2009</v>
      </c>
      <c r="Q5" s="992"/>
      <c r="R5" s="995"/>
      <c r="S5" s="995"/>
      <c r="T5" s="995"/>
      <c r="U5" s="995"/>
      <c r="V5" s="995"/>
      <c r="W5" s="995"/>
      <c r="X5" s="1000"/>
      <c r="Y5" s="1000"/>
      <c r="Z5" s="1000"/>
      <c r="AA5" s="1000"/>
      <c r="AB5" s="1000"/>
      <c r="AC5" s="1001"/>
      <c r="AD5" s="1001"/>
      <c r="AE5" s="1001"/>
      <c r="AF5" s="1001"/>
      <c r="AG5" s="1001"/>
      <c r="AH5" s="1001"/>
    </row>
    <row r="6" spans="1:34" ht="12.75" customHeight="1">
      <c r="A6" s="981"/>
      <c r="B6" s="985"/>
      <c r="C6" s="983">
        <v>403</v>
      </c>
      <c r="D6" s="86"/>
      <c r="E6" s="86"/>
      <c r="F6" s="86" t="s">
        <v>76</v>
      </c>
      <c r="G6" s="86"/>
      <c r="H6" s="86"/>
      <c r="I6" s="86"/>
      <c r="J6" s="86"/>
      <c r="K6" s="86"/>
      <c r="L6" s="987" t="s">
        <v>96</v>
      </c>
      <c r="M6" s="425"/>
      <c r="N6" s="425"/>
      <c r="O6" s="454"/>
      <c r="P6" s="747" t="s">
        <v>96</v>
      </c>
      <c r="Q6" s="992"/>
      <c r="R6" s="996"/>
      <c r="S6" s="996"/>
      <c r="T6" s="996"/>
      <c r="U6" s="996"/>
      <c r="V6" s="996"/>
      <c r="W6" s="996"/>
      <c r="X6" s="1000"/>
      <c r="Y6" s="1000"/>
      <c r="Z6" s="1002"/>
      <c r="AA6" s="1002"/>
      <c r="AB6" s="1003"/>
      <c r="AC6" s="1001"/>
      <c r="AD6" s="1001"/>
      <c r="AE6" s="1001"/>
      <c r="AF6" s="1001"/>
      <c r="AG6" s="1001"/>
      <c r="AH6" s="1001"/>
    </row>
    <row r="7" spans="1:34">
      <c r="A7" s="1128">
        <v>261889</v>
      </c>
      <c r="B7" s="1006" t="s">
        <v>97</v>
      </c>
      <c r="C7" s="1007"/>
      <c r="D7" s="1008" t="s">
        <v>98</v>
      </c>
      <c r="E7" s="1009">
        <v>0</v>
      </c>
      <c r="F7" s="1010" t="s">
        <v>334</v>
      </c>
      <c r="G7" s="811" t="s">
        <v>93</v>
      </c>
      <c r="H7" s="1011" t="s">
        <v>98</v>
      </c>
      <c r="I7" s="1011" t="s">
        <v>98</v>
      </c>
      <c r="J7" s="812">
        <v>0</v>
      </c>
      <c r="K7" s="811" t="s">
        <v>96</v>
      </c>
      <c r="L7" s="1012">
        <v>1</v>
      </c>
      <c r="M7" s="91"/>
      <c r="N7" s="92"/>
      <c r="O7" s="206"/>
      <c r="P7" s="748"/>
      <c r="Q7" s="378"/>
      <c r="R7" s="853"/>
      <c r="S7" s="853"/>
      <c r="T7" s="853"/>
      <c r="U7" s="853"/>
      <c r="V7" s="853"/>
      <c r="W7" s="853"/>
      <c r="X7" s="1025"/>
      <c r="Y7" s="1015"/>
      <c r="Z7" s="1015"/>
      <c r="AA7" s="1015"/>
      <c r="AB7" s="1015"/>
      <c r="AC7" s="1016"/>
      <c r="AD7" s="1016"/>
      <c r="AE7" s="1016"/>
      <c r="AF7" s="1016"/>
      <c r="AG7" s="1016"/>
      <c r="AH7" s="1016"/>
    </row>
    <row r="8" spans="1:34" ht="21.75" customHeight="1">
      <c r="A8" s="1128">
        <v>78566</v>
      </c>
      <c r="B8" s="1006" t="str">
        <f>IF(OR(D8&lt;&gt;D7,E8&lt;&gt;E7,H8&lt;&gt;H7,I8&lt;&gt;I7),IF(D8=5,"technosphere",IF(D8=4,H8&amp;", "&amp;I8,"emission "&amp;H8&amp;", "&amp;I8)),"")</f>
        <v>technosphere</v>
      </c>
      <c r="C8" s="1007"/>
      <c r="D8" s="1081">
        <v>5</v>
      </c>
      <c r="E8" s="1082" t="s">
        <v>98</v>
      </c>
      <c r="F8" s="1092" t="s">
        <v>335</v>
      </c>
      <c r="G8" s="814" t="s">
        <v>336</v>
      </c>
      <c r="H8" s="822" t="s">
        <v>98</v>
      </c>
      <c r="I8" s="822" t="s">
        <v>98</v>
      </c>
      <c r="J8" s="815">
        <v>0</v>
      </c>
      <c r="K8" s="814" t="s">
        <v>96</v>
      </c>
      <c r="L8" s="1083">
        <v>1</v>
      </c>
      <c r="M8" s="816">
        <v>1</v>
      </c>
      <c r="N8" s="817">
        <f t="shared" ref="N8:N38" si="0">$AA8</f>
        <v>1.2164594125584303</v>
      </c>
      <c r="O8" s="1096" t="str">
        <f t="shared" ref="O8:O38" si="1">$AB8&amp;"; "&amp;$Q8</f>
        <v>(1,3,1,3,1,5,BU:1.05); reliable source</v>
      </c>
      <c r="P8" s="462"/>
      <c r="Q8" s="1017" t="s">
        <v>337</v>
      </c>
      <c r="R8" s="1086">
        <v>1</v>
      </c>
      <c r="S8" s="1086">
        <v>3</v>
      </c>
      <c r="T8" s="1086">
        <v>1</v>
      </c>
      <c r="U8" s="1086">
        <v>3</v>
      </c>
      <c r="V8" s="1086">
        <v>1</v>
      </c>
      <c r="W8" s="1086">
        <v>5</v>
      </c>
      <c r="X8" s="1087">
        <v>3</v>
      </c>
      <c r="Y8" s="1088">
        <v>1.05</v>
      </c>
      <c r="Z8" s="1088">
        <f t="shared" ref="Z8:Z38" si="2">EXP(SQRT((LN(AC8)^2)+(LN(AD8)^2)+(LN(AE8)^2)+(LN(AF8)^2)+(LN(AG8)^2)+(LN(AH8)^2)))</f>
        <v>1.2089750740786649</v>
      </c>
      <c r="AA8" s="1088">
        <f t="shared" ref="AA8:AA38" si="3">EXP(SQRT((LN(AC8)^2)+(LN(AD8)^2)+(LN(AE8)^2)+(LN(AF8)^2)+(LN(AG8)^2)+(LN(AH8)^2)+LN(Y8)^2))</f>
        <v>1.2164594125584303</v>
      </c>
      <c r="AB8" s="1088" t="str">
        <f t="shared" ref="AB8:AB38" si="4">CONCATENATE("(",R8,",",S8,",",T8,",",U8,",",V8,",",W8,",BU:",Y8,")")</f>
        <v>(1,3,1,3,1,5,BU:1.05)</v>
      </c>
      <c r="AC8" s="1089">
        <v>1</v>
      </c>
      <c r="AD8" s="1089">
        <v>1.05</v>
      </c>
      <c r="AE8" s="1089">
        <v>1</v>
      </c>
      <c r="AF8" s="1089">
        <v>1.02</v>
      </c>
      <c r="AG8" s="1089">
        <v>1</v>
      </c>
      <c r="AH8" s="1089">
        <v>1.2</v>
      </c>
    </row>
    <row r="9" spans="1:34">
      <c r="A9" s="1128">
        <v>268397</v>
      </c>
      <c r="B9" s="1006" t="str">
        <f>IF(OR(D9&lt;&gt;D8,E9&lt;&gt;E8,H9&lt;&gt;H8,I9&lt;&gt;I8),IF(D9=5,"technosphere",IF(D9=4,H9&amp;", "&amp;I9,"emission "&amp;H9&amp;", "&amp;I9)),"")</f>
        <v/>
      </c>
      <c r="C9" s="1007"/>
      <c r="D9" s="1018">
        <v>5</v>
      </c>
      <c r="E9" s="1019" t="s">
        <v>98</v>
      </c>
      <c r="F9" s="1023" t="s">
        <v>237</v>
      </c>
      <c r="G9" s="818" t="s">
        <v>103</v>
      </c>
      <c r="H9" s="821" t="s">
        <v>98</v>
      </c>
      <c r="I9" s="821" t="s">
        <v>98</v>
      </c>
      <c r="J9" s="819">
        <v>0</v>
      </c>
      <c r="K9" s="818" t="s">
        <v>96</v>
      </c>
      <c r="L9" s="1020">
        <v>0.5</v>
      </c>
      <c r="M9" s="820">
        <v>1</v>
      </c>
      <c r="N9" s="813">
        <f t="shared" si="0"/>
        <v>1.2164594125584303</v>
      </c>
      <c r="O9" s="1051" t="str">
        <f t="shared" si="1"/>
        <v>(1,3,1,3,1,5,BU:1.05); reliable source</v>
      </c>
      <c r="P9" s="462"/>
      <c r="Q9" s="1017" t="s">
        <v>337</v>
      </c>
      <c r="R9" s="1024">
        <v>1</v>
      </c>
      <c r="S9" s="1024">
        <v>3</v>
      </c>
      <c r="T9" s="1024">
        <v>1</v>
      </c>
      <c r="U9" s="1024">
        <v>3</v>
      </c>
      <c r="V9" s="1024">
        <v>1</v>
      </c>
      <c r="W9" s="1024">
        <v>5</v>
      </c>
      <c r="X9" s="838">
        <v>3</v>
      </c>
      <c r="Y9" s="1090">
        <v>1.05</v>
      </c>
      <c r="Z9" s="1090">
        <f t="shared" si="2"/>
        <v>1.2089750740786649</v>
      </c>
      <c r="AA9" s="1090">
        <f t="shared" si="3"/>
        <v>1.2164594125584303</v>
      </c>
      <c r="AB9" s="1090" t="str">
        <f t="shared" si="4"/>
        <v>(1,3,1,3,1,5,BU:1.05)</v>
      </c>
      <c r="AC9" s="1091">
        <v>1</v>
      </c>
      <c r="AD9" s="1091">
        <v>1.05</v>
      </c>
      <c r="AE9" s="1091">
        <v>1</v>
      </c>
      <c r="AF9" s="1091">
        <v>1.02</v>
      </c>
      <c r="AG9" s="1091">
        <v>1</v>
      </c>
      <c r="AH9" s="1091">
        <v>1.2</v>
      </c>
    </row>
    <row r="10" spans="1:34" ht="24" customHeight="1">
      <c r="A10" s="1128">
        <v>267336</v>
      </c>
      <c r="B10" s="1006" t="str">
        <f>IF(OR(D10&lt;&gt;D9,E10&lt;&gt;E9,H10&lt;&gt;H9,I10&lt;&gt;I9),IF(D10=5,"technosphere",IF(D10=4,H10&amp;", "&amp;I10,"emission "&amp;H10&amp;", "&amp;I10)),"")</f>
        <v/>
      </c>
      <c r="C10" s="1007"/>
      <c r="D10" s="1081">
        <v>5</v>
      </c>
      <c r="E10" s="1082" t="s">
        <v>98</v>
      </c>
      <c r="F10" s="1092" t="s">
        <v>338</v>
      </c>
      <c r="G10" s="814" t="s">
        <v>103</v>
      </c>
      <c r="H10" s="822" t="s">
        <v>98</v>
      </c>
      <c r="I10" s="822" t="s">
        <v>98</v>
      </c>
      <c r="J10" s="815">
        <v>0</v>
      </c>
      <c r="K10" s="814" t="s">
        <v>104</v>
      </c>
      <c r="L10" s="1083">
        <v>179.35952</v>
      </c>
      <c r="M10" s="816">
        <v>1</v>
      </c>
      <c r="N10" s="817">
        <f t="shared" si="0"/>
        <v>1.2164594125584303</v>
      </c>
      <c r="O10" s="1096" t="str">
        <f t="shared" si="1"/>
        <v>(1,3,1,3,1,5,BU:1.05); reliable source</v>
      </c>
      <c r="P10" s="462"/>
      <c r="Q10" s="1017" t="s">
        <v>337</v>
      </c>
      <c r="R10" s="1086">
        <v>1</v>
      </c>
      <c r="S10" s="1086">
        <v>3</v>
      </c>
      <c r="T10" s="1086">
        <v>1</v>
      </c>
      <c r="U10" s="1086">
        <v>3</v>
      </c>
      <c r="V10" s="1086">
        <v>1</v>
      </c>
      <c r="W10" s="1086">
        <v>5</v>
      </c>
      <c r="X10" s="1087">
        <v>1</v>
      </c>
      <c r="Y10" s="1088">
        <v>1.05</v>
      </c>
      <c r="Z10" s="1088">
        <f t="shared" si="2"/>
        <v>1.2089750740786649</v>
      </c>
      <c r="AA10" s="1088">
        <f t="shared" si="3"/>
        <v>1.2164594125584303</v>
      </c>
      <c r="AB10" s="1088" t="str">
        <f t="shared" si="4"/>
        <v>(1,3,1,3,1,5,BU:1.05)</v>
      </c>
      <c r="AC10" s="1089">
        <v>1</v>
      </c>
      <c r="AD10" s="1089">
        <v>1.05</v>
      </c>
      <c r="AE10" s="1089">
        <v>1</v>
      </c>
      <c r="AF10" s="1089">
        <v>1.02</v>
      </c>
      <c r="AG10" s="1089">
        <v>1</v>
      </c>
      <c r="AH10" s="1089">
        <v>1.2</v>
      </c>
    </row>
    <row r="11" spans="1:34" ht="24" customHeight="1">
      <c r="A11" s="1129">
        <v>269603</v>
      </c>
      <c r="B11" s="1006" t="str">
        <f>IF(OR(D11&lt;&gt;D10,E11&lt;&gt;E10,H11&lt;&gt;H10,I11&lt;&gt;I10),IF(D11=5,"technosphere",IF(D11=4,H11&amp;", "&amp;I11,"emission "&amp;H11&amp;", "&amp;I11)),"")</f>
        <v/>
      </c>
      <c r="C11" s="1007"/>
      <c r="D11" s="1018">
        <v>5</v>
      </c>
      <c r="E11" s="1019" t="s">
        <v>98</v>
      </c>
      <c r="F11" s="1023" t="s">
        <v>222</v>
      </c>
      <c r="G11" s="818" t="s">
        <v>223</v>
      </c>
      <c r="H11" s="821" t="s">
        <v>98</v>
      </c>
      <c r="I11" s="821" t="s">
        <v>98</v>
      </c>
      <c r="J11" s="819">
        <v>0</v>
      </c>
      <c r="K11" s="818" t="s">
        <v>109</v>
      </c>
      <c r="L11" s="1020">
        <v>25</v>
      </c>
      <c r="M11" s="820">
        <v>1</v>
      </c>
      <c r="N11" s="813">
        <f t="shared" si="0"/>
        <v>1.2164594125584303</v>
      </c>
      <c r="O11" s="1051" t="str">
        <f t="shared" si="1"/>
        <v>(1,3,1,3,1,5,BU:1.05); reliable source</v>
      </c>
      <c r="P11" s="462"/>
      <c r="Q11" s="1017" t="s">
        <v>337</v>
      </c>
      <c r="R11" s="1024">
        <v>1</v>
      </c>
      <c r="S11" s="1024">
        <v>3</v>
      </c>
      <c r="T11" s="1024">
        <v>1</v>
      </c>
      <c r="U11" s="1024">
        <v>3</v>
      </c>
      <c r="V11" s="1024">
        <v>1</v>
      </c>
      <c r="W11" s="1024">
        <v>5</v>
      </c>
      <c r="X11" s="838">
        <v>2</v>
      </c>
      <c r="Y11" s="1090">
        <v>1.05</v>
      </c>
      <c r="Z11" s="1090">
        <f t="shared" si="2"/>
        <v>1.2089750740786649</v>
      </c>
      <c r="AA11" s="1090">
        <f t="shared" si="3"/>
        <v>1.2164594125584303</v>
      </c>
      <c r="AB11" s="1090" t="str">
        <f t="shared" si="4"/>
        <v>(1,3,1,3,1,5,BU:1.05)</v>
      </c>
      <c r="AC11" s="1091">
        <v>1</v>
      </c>
      <c r="AD11" s="1091">
        <v>1.05</v>
      </c>
      <c r="AE11" s="1091">
        <v>1</v>
      </c>
      <c r="AF11" s="1091">
        <v>1.02</v>
      </c>
      <c r="AG11" s="1091">
        <v>1</v>
      </c>
      <c r="AH11" s="1091">
        <v>1.2</v>
      </c>
    </row>
    <row r="12" spans="1:34">
      <c r="A12" s="1128">
        <v>262531</v>
      </c>
      <c r="B12" s="1006"/>
      <c r="C12" s="1007"/>
      <c r="D12" s="1081">
        <v>5</v>
      </c>
      <c r="E12" s="1082" t="s">
        <v>98</v>
      </c>
      <c r="F12" s="1092" t="s">
        <v>339</v>
      </c>
      <c r="G12" s="814" t="s">
        <v>340</v>
      </c>
      <c r="H12" s="822" t="s">
        <v>98</v>
      </c>
      <c r="I12" s="822" t="s">
        <v>98</v>
      </c>
      <c r="J12" s="815">
        <v>0</v>
      </c>
      <c r="K12" s="814" t="s">
        <v>96</v>
      </c>
      <c r="L12" s="1083">
        <v>8.1382618278000002E-2</v>
      </c>
      <c r="M12" s="816">
        <v>1</v>
      </c>
      <c r="N12" s="817">
        <f t="shared" si="0"/>
        <v>1.2164594125584303</v>
      </c>
      <c r="O12" s="1096" t="str">
        <f t="shared" si="1"/>
        <v>(1,3,1,3,1,5,BU:1.05); reliable source</v>
      </c>
      <c r="P12" s="462"/>
      <c r="Q12" s="1017" t="s">
        <v>337</v>
      </c>
      <c r="R12" s="1086">
        <v>1</v>
      </c>
      <c r="S12" s="1086">
        <v>3</v>
      </c>
      <c r="T12" s="1086">
        <v>1</v>
      </c>
      <c r="U12" s="1086">
        <v>3</v>
      </c>
      <c r="V12" s="1086">
        <v>1</v>
      </c>
      <c r="W12" s="1086">
        <v>5</v>
      </c>
      <c r="X12" s="1087">
        <v>3</v>
      </c>
      <c r="Y12" s="1088">
        <v>1.05</v>
      </c>
      <c r="Z12" s="1088">
        <f t="shared" si="2"/>
        <v>1.2089750740786649</v>
      </c>
      <c r="AA12" s="1088">
        <f t="shared" si="3"/>
        <v>1.2164594125584303</v>
      </c>
      <c r="AB12" s="1088" t="str">
        <f t="shared" si="4"/>
        <v>(1,3,1,3,1,5,BU:1.05)</v>
      </c>
      <c r="AC12" s="1089">
        <v>1</v>
      </c>
      <c r="AD12" s="1089">
        <v>1.05</v>
      </c>
      <c r="AE12" s="1089">
        <v>1</v>
      </c>
      <c r="AF12" s="1089">
        <v>1.02</v>
      </c>
      <c r="AG12" s="1089">
        <v>1</v>
      </c>
      <c r="AH12" s="1089">
        <v>1.2</v>
      </c>
    </row>
    <row r="13" spans="1:34">
      <c r="A13" s="1128">
        <v>269523</v>
      </c>
      <c r="B13" s="1006"/>
      <c r="C13" s="1007"/>
      <c r="D13" s="1018">
        <v>5</v>
      </c>
      <c r="E13" s="1019" t="s">
        <v>98</v>
      </c>
      <c r="F13" s="1023" t="s">
        <v>341</v>
      </c>
      <c r="G13" s="818" t="s">
        <v>93</v>
      </c>
      <c r="H13" s="821" t="s">
        <v>98</v>
      </c>
      <c r="I13" s="821" t="s">
        <v>98</v>
      </c>
      <c r="J13" s="819">
        <v>0</v>
      </c>
      <c r="K13" s="818" t="s">
        <v>96</v>
      </c>
      <c r="L13" s="1020">
        <v>8.4242619825000004E-2</v>
      </c>
      <c r="M13" s="820">
        <v>1</v>
      </c>
      <c r="N13" s="813">
        <f t="shared" si="0"/>
        <v>1.2164594125584303</v>
      </c>
      <c r="O13" s="1051" t="str">
        <f t="shared" si="1"/>
        <v>(1,3,1,3,1,5,BU:1.05); reliable source</v>
      </c>
      <c r="P13" s="462"/>
      <c r="Q13" s="1017" t="s">
        <v>337</v>
      </c>
      <c r="R13" s="1024">
        <v>1</v>
      </c>
      <c r="S13" s="1024">
        <v>3</v>
      </c>
      <c r="T13" s="1024">
        <v>1</v>
      </c>
      <c r="U13" s="1024">
        <v>3</v>
      </c>
      <c r="V13" s="1024">
        <v>1</v>
      </c>
      <c r="W13" s="1024">
        <v>5</v>
      </c>
      <c r="X13" s="838">
        <v>3</v>
      </c>
      <c r="Y13" s="1090">
        <v>1.05</v>
      </c>
      <c r="Z13" s="1090">
        <f t="shared" si="2"/>
        <v>1.2089750740786649</v>
      </c>
      <c r="AA13" s="1090">
        <f t="shared" si="3"/>
        <v>1.2164594125584303</v>
      </c>
      <c r="AB13" s="1090" t="str">
        <f t="shared" si="4"/>
        <v>(1,3,1,3,1,5,BU:1.05)</v>
      </c>
      <c r="AC13" s="1091">
        <v>1</v>
      </c>
      <c r="AD13" s="1091">
        <v>1.05</v>
      </c>
      <c r="AE13" s="1091">
        <v>1</v>
      </c>
      <c r="AF13" s="1091">
        <v>1.02</v>
      </c>
      <c r="AG13" s="1091">
        <v>1</v>
      </c>
      <c r="AH13" s="1091">
        <v>1.2</v>
      </c>
    </row>
    <row r="14" spans="1:34">
      <c r="A14" s="1128">
        <v>269223</v>
      </c>
      <c r="B14" s="1006"/>
      <c r="C14" s="1007"/>
      <c r="D14" s="1081">
        <v>5</v>
      </c>
      <c r="E14" s="1082" t="s">
        <v>98</v>
      </c>
      <c r="F14" s="1092" t="s">
        <v>318</v>
      </c>
      <c r="G14" s="814" t="s">
        <v>93</v>
      </c>
      <c r="H14" s="822" t="s">
        <v>98</v>
      </c>
      <c r="I14" s="822" t="s">
        <v>98</v>
      </c>
      <c r="J14" s="815">
        <v>0</v>
      </c>
      <c r="K14" s="814" t="s">
        <v>96</v>
      </c>
      <c r="L14" s="1083">
        <v>6.2077607835749999</v>
      </c>
      <c r="M14" s="816">
        <v>1</v>
      </c>
      <c r="N14" s="817">
        <f t="shared" si="0"/>
        <v>1.2164594125584303</v>
      </c>
      <c r="O14" s="1096" t="str">
        <f t="shared" si="1"/>
        <v>(1,3,1,3,1,5,BU:1.05); reliable source</v>
      </c>
      <c r="P14" s="462"/>
      <c r="Q14" s="1017" t="s">
        <v>337</v>
      </c>
      <c r="R14" s="1086">
        <v>1</v>
      </c>
      <c r="S14" s="1086">
        <v>3</v>
      </c>
      <c r="T14" s="1086">
        <v>1</v>
      </c>
      <c r="U14" s="1086">
        <v>3</v>
      </c>
      <c r="V14" s="1086">
        <v>1</v>
      </c>
      <c r="W14" s="1086">
        <v>5</v>
      </c>
      <c r="X14" s="1087">
        <v>3</v>
      </c>
      <c r="Y14" s="1088">
        <v>1.05</v>
      </c>
      <c r="Z14" s="1088">
        <f t="shared" si="2"/>
        <v>1.2089750740786649</v>
      </c>
      <c r="AA14" s="1088">
        <f t="shared" si="3"/>
        <v>1.2164594125584303</v>
      </c>
      <c r="AB14" s="1088" t="str">
        <f t="shared" si="4"/>
        <v>(1,3,1,3,1,5,BU:1.05)</v>
      </c>
      <c r="AC14" s="1089">
        <v>1</v>
      </c>
      <c r="AD14" s="1089">
        <v>1.05</v>
      </c>
      <c r="AE14" s="1089">
        <v>1</v>
      </c>
      <c r="AF14" s="1089">
        <v>1.02</v>
      </c>
      <c r="AG14" s="1089">
        <v>1</v>
      </c>
      <c r="AH14" s="1089">
        <v>1.2</v>
      </c>
    </row>
    <row r="15" spans="1:34">
      <c r="A15" s="1128">
        <v>269641</v>
      </c>
      <c r="B15" s="1006"/>
      <c r="C15" s="1007"/>
      <c r="D15" s="1018">
        <v>5</v>
      </c>
      <c r="E15" s="1019" t="s">
        <v>98</v>
      </c>
      <c r="F15" s="1023" t="s">
        <v>240</v>
      </c>
      <c r="G15" s="818" t="s">
        <v>93</v>
      </c>
      <c r="H15" s="821" t="s">
        <v>98</v>
      </c>
      <c r="I15" s="821" t="s">
        <v>98</v>
      </c>
      <c r="J15" s="819">
        <v>0</v>
      </c>
      <c r="K15" s="818" t="s">
        <v>115</v>
      </c>
      <c r="L15" s="1020">
        <f>SUM(L8,L9,L12:L14)*100/1000</f>
        <v>0.78733860216779994</v>
      </c>
      <c r="M15" s="820">
        <v>1</v>
      </c>
      <c r="N15" s="813">
        <f t="shared" si="0"/>
        <v>2.0949941301068096</v>
      </c>
      <c r="O15" s="1051" t="str">
        <f t="shared" si="1"/>
        <v>(4,5,na,na,na,na,BU:2); standard distances</v>
      </c>
      <c r="P15" s="462"/>
      <c r="Q15" s="1017" t="s">
        <v>116</v>
      </c>
      <c r="R15" s="1024">
        <v>4</v>
      </c>
      <c r="S15" s="1024">
        <v>5</v>
      </c>
      <c r="T15" s="1024" t="s">
        <v>106</v>
      </c>
      <c r="U15" s="1024" t="s">
        <v>106</v>
      </c>
      <c r="V15" s="1024" t="s">
        <v>106</v>
      </c>
      <c r="W15" s="1024" t="s">
        <v>106</v>
      </c>
      <c r="X15" s="838">
        <v>5</v>
      </c>
      <c r="Y15" s="1090">
        <v>2</v>
      </c>
      <c r="Z15" s="1090">
        <f t="shared" si="2"/>
        <v>1.2941338353151037</v>
      </c>
      <c r="AA15" s="1090">
        <f t="shared" si="3"/>
        <v>2.0949941301068096</v>
      </c>
      <c r="AB15" s="1090" t="str">
        <f t="shared" si="4"/>
        <v>(4,5,na,na,na,na,BU:2)</v>
      </c>
      <c r="AC15" s="1091">
        <v>1.2</v>
      </c>
      <c r="AD15" s="1091">
        <v>1.2</v>
      </c>
      <c r="AE15" s="1091">
        <v>1</v>
      </c>
      <c r="AF15" s="1091">
        <v>1</v>
      </c>
      <c r="AG15" s="1091">
        <v>1</v>
      </c>
      <c r="AH15" s="1091">
        <v>1</v>
      </c>
    </row>
    <row r="16" spans="1:34">
      <c r="A16" s="1128">
        <v>160371</v>
      </c>
      <c r="B16" s="1006"/>
      <c r="C16" s="1007"/>
      <c r="D16" s="1081">
        <v>5</v>
      </c>
      <c r="E16" s="1082" t="s">
        <v>98</v>
      </c>
      <c r="F16" s="1092" t="s">
        <v>242</v>
      </c>
      <c r="G16" s="814" t="s">
        <v>93</v>
      </c>
      <c r="H16" s="822" t="s">
        <v>98</v>
      </c>
      <c r="I16" s="822" t="s">
        <v>98</v>
      </c>
      <c r="J16" s="815">
        <v>0</v>
      </c>
      <c r="K16" s="814" t="s">
        <v>115</v>
      </c>
      <c r="L16" s="1083">
        <f>SUM(L8,L9,L12:L14)*600/1000</f>
        <v>4.7240316130067992</v>
      </c>
      <c r="M16" s="816">
        <v>1</v>
      </c>
      <c r="N16" s="817">
        <f t="shared" si="0"/>
        <v>2.0949941301068096</v>
      </c>
      <c r="O16" s="1096" t="str">
        <f t="shared" si="1"/>
        <v>(4,5,na,na,na,na,BU:2); standard distances</v>
      </c>
      <c r="P16" s="462"/>
      <c r="Q16" s="1017" t="s">
        <v>116</v>
      </c>
      <c r="R16" s="1086">
        <v>4</v>
      </c>
      <c r="S16" s="1086">
        <v>5</v>
      </c>
      <c r="T16" s="1086" t="s">
        <v>106</v>
      </c>
      <c r="U16" s="1086" t="s">
        <v>106</v>
      </c>
      <c r="V16" s="1086" t="s">
        <v>106</v>
      </c>
      <c r="W16" s="1086" t="s">
        <v>106</v>
      </c>
      <c r="X16" s="1087">
        <v>5</v>
      </c>
      <c r="Y16" s="1088">
        <v>2</v>
      </c>
      <c r="Z16" s="1088">
        <f t="shared" si="2"/>
        <v>1.2941338353151037</v>
      </c>
      <c r="AA16" s="1088">
        <f t="shared" si="3"/>
        <v>2.0949941301068096</v>
      </c>
      <c r="AB16" s="1088" t="str">
        <f t="shared" si="4"/>
        <v>(4,5,na,na,na,na,BU:2)</v>
      </c>
      <c r="AC16" s="1089">
        <v>1.2</v>
      </c>
      <c r="AD16" s="1089">
        <v>1.2</v>
      </c>
      <c r="AE16" s="1089">
        <v>1</v>
      </c>
      <c r="AF16" s="1089">
        <v>1</v>
      </c>
      <c r="AG16" s="1089">
        <v>1</v>
      </c>
      <c r="AH16" s="1089">
        <v>1</v>
      </c>
    </row>
    <row r="17" spans="1:34" ht="24">
      <c r="A17" s="1128">
        <v>268399</v>
      </c>
      <c r="B17" s="1006"/>
      <c r="C17" s="1007"/>
      <c r="D17" s="1018">
        <v>5</v>
      </c>
      <c r="E17" s="1019" t="s">
        <v>98</v>
      </c>
      <c r="F17" s="1023" t="s">
        <v>342</v>
      </c>
      <c r="G17" s="818" t="s">
        <v>93</v>
      </c>
      <c r="H17" s="821" t="s">
        <v>98</v>
      </c>
      <c r="I17" s="821" t="s">
        <v>98</v>
      </c>
      <c r="J17" s="819">
        <v>1</v>
      </c>
      <c r="K17" s="818" t="s">
        <v>144</v>
      </c>
      <c r="L17" s="1020">
        <v>1.0252E-11</v>
      </c>
      <c r="M17" s="820">
        <v>1</v>
      </c>
      <c r="N17" s="813">
        <f t="shared" si="0"/>
        <v>3.0909055800049732</v>
      </c>
      <c r="O17" s="1051" t="str">
        <f t="shared" si="1"/>
        <v>(4,5,na,na,na,na,BU:3); estimated over Althaus (2007) for average Si product</v>
      </c>
      <c r="P17" s="462"/>
      <c r="Q17" s="1017" t="s">
        <v>343</v>
      </c>
      <c r="R17" s="1024">
        <v>4</v>
      </c>
      <c r="S17" s="1024">
        <v>5</v>
      </c>
      <c r="T17" s="1024" t="s">
        <v>106</v>
      </c>
      <c r="U17" s="1024" t="s">
        <v>106</v>
      </c>
      <c r="V17" s="1024" t="s">
        <v>106</v>
      </c>
      <c r="W17" s="1024" t="s">
        <v>106</v>
      </c>
      <c r="X17" s="838">
        <v>9</v>
      </c>
      <c r="Y17" s="1090">
        <v>3</v>
      </c>
      <c r="Z17" s="1090">
        <f t="shared" si="2"/>
        <v>1.2941338353151037</v>
      </c>
      <c r="AA17" s="1090">
        <f t="shared" si="3"/>
        <v>3.0909055800049732</v>
      </c>
      <c r="AB17" s="1090" t="str">
        <f t="shared" si="4"/>
        <v>(4,5,na,na,na,na,BU:3)</v>
      </c>
      <c r="AC17" s="1091">
        <v>1.2</v>
      </c>
      <c r="AD17" s="1091">
        <v>1.2</v>
      </c>
      <c r="AE17" s="1091">
        <v>1</v>
      </c>
      <c r="AF17" s="1091">
        <v>1</v>
      </c>
      <c r="AG17" s="1091">
        <v>1</v>
      </c>
      <c r="AH17" s="1091">
        <v>1</v>
      </c>
    </row>
    <row r="18" spans="1:34" ht="24" customHeight="1">
      <c r="A18" s="1128">
        <v>34061</v>
      </c>
      <c r="B18" s="1006" t="str">
        <f>IF(OR(D18&lt;&gt;D17,E18&lt;&gt;E17,H18&lt;&gt;H17,I18&lt;&gt;I17),IF(D18=5,"technosphere",IF(D18=4,H18&amp;", "&amp;I18,"emission "&amp;H18&amp;", "&amp;I18)),"")</f>
        <v>emission emissions to water, river</v>
      </c>
      <c r="C18" s="1007"/>
      <c r="D18" s="1081" t="s">
        <v>98</v>
      </c>
      <c r="E18" s="1082">
        <v>4</v>
      </c>
      <c r="F18" s="1092" t="s">
        <v>300</v>
      </c>
      <c r="G18" s="814" t="s">
        <v>98</v>
      </c>
      <c r="H18" s="822" t="s">
        <v>344</v>
      </c>
      <c r="I18" s="822" t="s">
        <v>192</v>
      </c>
      <c r="J18" s="815" t="s">
        <v>98</v>
      </c>
      <c r="K18" s="814" t="s">
        <v>96</v>
      </c>
      <c r="L18" s="1083">
        <v>3.8508580737995297E-2</v>
      </c>
      <c r="M18" s="816">
        <v>1</v>
      </c>
      <c r="N18" s="817">
        <f t="shared" si="0"/>
        <v>3.0909055800049732</v>
      </c>
      <c r="O18" s="1096" t="str">
        <f t="shared" si="1"/>
        <v>(4,5,na,na,na,na,BU:3); estimated over Althaus (2007), emissions for average Si product</v>
      </c>
      <c r="P18" s="462"/>
      <c r="Q18" s="1017" t="s">
        <v>345</v>
      </c>
      <c r="R18" s="1086">
        <v>4</v>
      </c>
      <c r="S18" s="1086">
        <v>5</v>
      </c>
      <c r="T18" s="1086" t="s">
        <v>106</v>
      </c>
      <c r="U18" s="1086" t="s">
        <v>106</v>
      </c>
      <c r="V18" s="1086" t="s">
        <v>106</v>
      </c>
      <c r="W18" s="1086" t="s">
        <v>106</v>
      </c>
      <c r="X18" s="1087">
        <v>34</v>
      </c>
      <c r="Y18" s="1088">
        <v>3</v>
      </c>
      <c r="Z18" s="1088">
        <f t="shared" si="2"/>
        <v>1.2941338353151037</v>
      </c>
      <c r="AA18" s="1088">
        <f t="shared" si="3"/>
        <v>3.0909055800049732</v>
      </c>
      <c r="AB18" s="1088" t="str">
        <f t="shared" si="4"/>
        <v>(4,5,na,na,na,na,BU:3)</v>
      </c>
      <c r="AC18" s="1089">
        <v>1.2</v>
      </c>
      <c r="AD18" s="1089">
        <v>1.2</v>
      </c>
      <c r="AE18" s="1089">
        <v>1</v>
      </c>
      <c r="AF18" s="1089">
        <v>1</v>
      </c>
      <c r="AG18" s="1089">
        <v>1</v>
      </c>
      <c r="AH18" s="1089">
        <v>1</v>
      </c>
    </row>
    <row r="19" spans="1:34" ht="36">
      <c r="A19" s="1128">
        <v>91271</v>
      </c>
      <c r="B19" s="1006" t="str">
        <f>IF(OR(D19&lt;&gt;D18,E19&lt;&gt;E18,H19&lt;&gt;H18,I19&lt;&gt;I18),IF(D19=5,"technosphere",IF(D19=4,H19&amp;", "&amp;I19,"emission "&amp;H19&amp;", "&amp;I19)),"")</f>
        <v/>
      </c>
      <c r="C19" s="1007"/>
      <c r="D19" s="1018" t="s">
        <v>98</v>
      </c>
      <c r="E19" s="1019">
        <v>4</v>
      </c>
      <c r="F19" s="1023" t="s">
        <v>346</v>
      </c>
      <c r="G19" s="818" t="s">
        <v>98</v>
      </c>
      <c r="H19" s="821" t="s">
        <v>344</v>
      </c>
      <c r="I19" s="821" t="s">
        <v>192</v>
      </c>
      <c r="J19" s="819" t="s">
        <v>98</v>
      </c>
      <c r="K19" s="818" t="s">
        <v>96</v>
      </c>
      <c r="L19" s="1020">
        <v>6.8481934648545096E-7</v>
      </c>
      <c r="M19" s="820">
        <v>1</v>
      </c>
      <c r="N19" s="813">
        <f t="shared" si="0"/>
        <v>3.0909055800049732</v>
      </c>
      <c r="O19" s="1051" t="str">
        <f t="shared" si="1"/>
        <v>(4,5,na,na,na,na,BU:3); estimated over Althaus (2007), emissions for average Si product</v>
      </c>
      <c r="P19" s="462"/>
      <c r="Q19" s="1017" t="s">
        <v>345</v>
      </c>
      <c r="R19" s="1024">
        <v>4</v>
      </c>
      <c r="S19" s="1024">
        <v>5</v>
      </c>
      <c r="T19" s="1024" t="s">
        <v>106</v>
      </c>
      <c r="U19" s="1024" t="s">
        <v>106</v>
      </c>
      <c r="V19" s="1024" t="s">
        <v>106</v>
      </c>
      <c r="W19" s="1024" t="s">
        <v>106</v>
      </c>
      <c r="X19" s="838">
        <v>34</v>
      </c>
      <c r="Y19" s="1090">
        <v>3</v>
      </c>
      <c r="Z19" s="1090">
        <f t="shared" si="2"/>
        <v>1.2941338353151037</v>
      </c>
      <c r="AA19" s="1090">
        <f t="shared" si="3"/>
        <v>3.0909055800049732</v>
      </c>
      <c r="AB19" s="1090" t="str">
        <f t="shared" si="4"/>
        <v>(4,5,na,na,na,na,BU:3)</v>
      </c>
      <c r="AC19" s="1091">
        <v>1.2</v>
      </c>
      <c r="AD19" s="1091">
        <v>1.2</v>
      </c>
      <c r="AE19" s="1091">
        <v>1</v>
      </c>
      <c r="AF19" s="1091">
        <v>1</v>
      </c>
      <c r="AG19" s="1091">
        <v>1</v>
      </c>
      <c r="AH19" s="1091">
        <v>1</v>
      </c>
    </row>
    <row r="20" spans="1:34" ht="36">
      <c r="A20" s="1128">
        <v>78458</v>
      </c>
      <c r="B20" s="1006"/>
      <c r="C20" s="1007"/>
      <c r="D20" s="1081" t="s">
        <v>98</v>
      </c>
      <c r="E20" s="1082">
        <v>4</v>
      </c>
      <c r="F20" s="1092" t="s">
        <v>194</v>
      </c>
      <c r="G20" s="814" t="s">
        <v>98</v>
      </c>
      <c r="H20" s="822" t="s">
        <v>344</v>
      </c>
      <c r="I20" s="822" t="s">
        <v>192</v>
      </c>
      <c r="J20" s="815" t="s">
        <v>98</v>
      </c>
      <c r="K20" s="814" t="s">
        <v>96</v>
      </c>
      <c r="L20" s="1083">
        <v>2.8511724559095799E-4</v>
      </c>
      <c r="M20" s="816">
        <v>1</v>
      </c>
      <c r="N20" s="817">
        <f t="shared" si="0"/>
        <v>1.6168893782141394</v>
      </c>
      <c r="O20" s="1096" t="str">
        <f t="shared" si="1"/>
        <v>(4,5,na,na,na,na,BU:1.5); estimated over Althaus (2007), emissions for average Si product</v>
      </c>
      <c r="P20" s="462"/>
      <c r="Q20" s="1017" t="s">
        <v>345</v>
      </c>
      <c r="R20" s="1086">
        <v>4</v>
      </c>
      <c r="S20" s="1086">
        <v>5</v>
      </c>
      <c r="T20" s="1086" t="s">
        <v>106</v>
      </c>
      <c r="U20" s="1086" t="s">
        <v>106</v>
      </c>
      <c r="V20" s="1086" t="s">
        <v>106</v>
      </c>
      <c r="W20" s="1086" t="s">
        <v>106</v>
      </c>
      <c r="X20" s="1087">
        <v>33</v>
      </c>
      <c r="Y20" s="1088">
        <v>1.5</v>
      </c>
      <c r="Z20" s="1088">
        <f t="shared" si="2"/>
        <v>1.2941338353151037</v>
      </c>
      <c r="AA20" s="1088">
        <f t="shared" si="3"/>
        <v>1.6168893782141394</v>
      </c>
      <c r="AB20" s="1088" t="str">
        <f t="shared" si="4"/>
        <v>(4,5,na,na,na,na,BU:1.5)</v>
      </c>
      <c r="AC20" s="1089">
        <v>1.2</v>
      </c>
      <c r="AD20" s="1089">
        <v>1.2</v>
      </c>
      <c r="AE20" s="1089">
        <v>1</v>
      </c>
      <c r="AF20" s="1089">
        <v>1</v>
      </c>
      <c r="AG20" s="1089">
        <v>1</v>
      </c>
      <c r="AH20" s="1089">
        <v>1</v>
      </c>
    </row>
    <row r="21" spans="1:34" ht="36">
      <c r="A21" s="1128">
        <v>77566</v>
      </c>
      <c r="B21" s="1006"/>
      <c r="C21" s="1007"/>
      <c r="D21" s="1018" t="s">
        <v>98</v>
      </c>
      <c r="E21" s="1019">
        <v>4</v>
      </c>
      <c r="F21" s="1023" t="s">
        <v>347</v>
      </c>
      <c r="G21" s="818" t="s">
        <v>98</v>
      </c>
      <c r="H21" s="821" t="s">
        <v>344</v>
      </c>
      <c r="I21" s="821" t="s">
        <v>192</v>
      </c>
      <c r="J21" s="819" t="s">
        <v>98</v>
      </c>
      <c r="K21" s="818" t="s">
        <v>96</v>
      </c>
      <c r="L21" s="1020">
        <v>4.3036565372219999E-6</v>
      </c>
      <c r="M21" s="820">
        <v>1</v>
      </c>
      <c r="N21" s="813">
        <f t="shared" si="0"/>
        <v>1.6168893782141394</v>
      </c>
      <c r="O21" s="1051" t="str">
        <f t="shared" si="1"/>
        <v>(4,5,na,na,na,na,BU:1.5); estimated over Althaus (2007), emissions for average Si product</v>
      </c>
      <c r="P21" s="462"/>
      <c r="Q21" s="1017" t="s">
        <v>345</v>
      </c>
      <c r="R21" s="1024">
        <v>4</v>
      </c>
      <c r="S21" s="1024">
        <v>5</v>
      </c>
      <c r="T21" s="1024" t="s">
        <v>106</v>
      </c>
      <c r="U21" s="1024" t="s">
        <v>106</v>
      </c>
      <c r="V21" s="1024" t="s">
        <v>106</v>
      </c>
      <c r="W21" s="1024" t="s">
        <v>106</v>
      </c>
      <c r="X21" s="838">
        <v>33</v>
      </c>
      <c r="Y21" s="1090">
        <v>1.5</v>
      </c>
      <c r="Z21" s="1090">
        <f t="shared" si="2"/>
        <v>1.2941338353151037</v>
      </c>
      <c r="AA21" s="1090">
        <f t="shared" si="3"/>
        <v>1.6168893782141394</v>
      </c>
      <c r="AB21" s="1090" t="str">
        <f t="shared" si="4"/>
        <v>(4,5,na,na,na,na,BU:1.5)</v>
      </c>
      <c r="AC21" s="1091">
        <v>1.2</v>
      </c>
      <c r="AD21" s="1091">
        <v>1.2</v>
      </c>
      <c r="AE21" s="1091">
        <v>1</v>
      </c>
      <c r="AF21" s="1091">
        <v>1</v>
      </c>
      <c r="AG21" s="1091">
        <v>1</v>
      </c>
      <c r="AH21" s="1091">
        <v>1</v>
      </c>
    </row>
    <row r="22" spans="1:34" ht="36">
      <c r="A22" s="1128">
        <v>2848</v>
      </c>
      <c r="B22" s="1006"/>
      <c r="C22" s="1007"/>
      <c r="D22" s="1081" t="s">
        <v>98</v>
      </c>
      <c r="E22" s="1082">
        <v>4</v>
      </c>
      <c r="F22" s="1092" t="s">
        <v>348</v>
      </c>
      <c r="G22" s="814" t="s">
        <v>98</v>
      </c>
      <c r="H22" s="822" t="s">
        <v>344</v>
      </c>
      <c r="I22" s="822" t="s">
        <v>192</v>
      </c>
      <c r="J22" s="815" t="s">
        <v>98</v>
      </c>
      <c r="K22" s="814" t="s">
        <v>96</v>
      </c>
      <c r="L22" s="1083">
        <v>2.69511111072856E-2</v>
      </c>
      <c r="M22" s="816">
        <v>1</v>
      </c>
      <c r="N22" s="817">
        <f t="shared" si="0"/>
        <v>5.103675409230048</v>
      </c>
      <c r="O22" s="1096" t="str">
        <f t="shared" si="1"/>
        <v>(4,5,na,na,na,na,BU:5); estimated over Althaus (2007), emissions for average Si product</v>
      </c>
      <c r="P22" s="462"/>
      <c r="Q22" s="1017" t="s">
        <v>345</v>
      </c>
      <c r="R22" s="1086">
        <v>4</v>
      </c>
      <c r="S22" s="1086">
        <v>5</v>
      </c>
      <c r="T22" s="1086" t="s">
        <v>106</v>
      </c>
      <c r="U22" s="1086" t="s">
        <v>106</v>
      </c>
      <c r="V22" s="1086" t="s">
        <v>106</v>
      </c>
      <c r="W22" s="1086" t="s">
        <v>106</v>
      </c>
      <c r="X22" s="1087">
        <v>35</v>
      </c>
      <c r="Y22" s="1088">
        <v>5</v>
      </c>
      <c r="Z22" s="1088">
        <f t="shared" si="2"/>
        <v>1.2941338353151037</v>
      </c>
      <c r="AA22" s="1088">
        <f t="shared" si="3"/>
        <v>5.103675409230048</v>
      </c>
      <c r="AB22" s="1088" t="str">
        <f t="shared" si="4"/>
        <v>(4,5,na,na,na,na,BU:5)</v>
      </c>
      <c r="AC22" s="1089">
        <v>1.2</v>
      </c>
      <c r="AD22" s="1089">
        <v>1.2</v>
      </c>
      <c r="AE22" s="1089">
        <v>1</v>
      </c>
      <c r="AF22" s="1089">
        <v>1</v>
      </c>
      <c r="AG22" s="1089">
        <v>1</v>
      </c>
      <c r="AH22" s="1089">
        <v>1</v>
      </c>
    </row>
    <row r="23" spans="1:34" ht="36">
      <c r="A23" s="1128">
        <v>91143</v>
      </c>
      <c r="B23" s="1006"/>
      <c r="C23" s="1007"/>
      <c r="D23" s="1018" t="s">
        <v>98</v>
      </c>
      <c r="E23" s="1019">
        <v>4</v>
      </c>
      <c r="F23" s="1023" t="s">
        <v>349</v>
      </c>
      <c r="G23" s="818" t="s">
        <v>98</v>
      </c>
      <c r="H23" s="821" t="s">
        <v>344</v>
      </c>
      <c r="I23" s="821" t="s">
        <v>192</v>
      </c>
      <c r="J23" s="819" t="s">
        <v>98</v>
      </c>
      <c r="K23" s="818" t="s">
        <v>96</v>
      </c>
      <c r="L23" s="1020">
        <v>1.8290540283193499E-6</v>
      </c>
      <c r="M23" s="820">
        <v>1</v>
      </c>
      <c r="N23" s="813">
        <f t="shared" si="0"/>
        <v>5.103675409230048</v>
      </c>
      <c r="O23" s="1051" t="str">
        <f t="shared" si="1"/>
        <v>(4,5,na,na,na,na,BU:5); estimated over Althaus (2007), emissions for average Si product</v>
      </c>
      <c r="P23" s="462"/>
      <c r="Q23" s="1017" t="s">
        <v>345</v>
      </c>
      <c r="R23" s="1024">
        <v>4</v>
      </c>
      <c r="S23" s="1024">
        <v>5</v>
      </c>
      <c r="T23" s="1024" t="s">
        <v>106</v>
      </c>
      <c r="U23" s="1024" t="s">
        <v>106</v>
      </c>
      <c r="V23" s="1024" t="s">
        <v>106</v>
      </c>
      <c r="W23" s="1024" t="s">
        <v>106</v>
      </c>
      <c r="X23" s="838">
        <v>35</v>
      </c>
      <c r="Y23" s="1090">
        <v>5</v>
      </c>
      <c r="Z23" s="1090">
        <f t="shared" si="2"/>
        <v>1.2941338353151037</v>
      </c>
      <c r="AA23" s="1090">
        <f t="shared" si="3"/>
        <v>5.103675409230048</v>
      </c>
      <c r="AB23" s="1090" t="str">
        <f t="shared" si="4"/>
        <v>(4,5,na,na,na,na,BU:5)</v>
      </c>
      <c r="AC23" s="1091">
        <v>1.2</v>
      </c>
      <c r="AD23" s="1091">
        <v>1.2</v>
      </c>
      <c r="AE23" s="1091">
        <v>1</v>
      </c>
      <c r="AF23" s="1091">
        <v>1</v>
      </c>
      <c r="AG23" s="1091">
        <v>1</v>
      </c>
      <c r="AH23" s="1091">
        <v>1</v>
      </c>
    </row>
    <row r="24" spans="1:34" ht="36">
      <c r="A24" s="1128">
        <v>91273</v>
      </c>
      <c r="B24" s="1006"/>
      <c r="C24" s="1007"/>
      <c r="D24" s="1081" t="s">
        <v>98</v>
      </c>
      <c r="E24" s="1082">
        <v>4</v>
      </c>
      <c r="F24" s="1092" t="s">
        <v>350</v>
      </c>
      <c r="G24" s="814" t="s">
        <v>98</v>
      </c>
      <c r="H24" s="822" t="s">
        <v>344</v>
      </c>
      <c r="I24" s="822" t="s">
        <v>192</v>
      </c>
      <c r="J24" s="815" t="s">
        <v>98</v>
      </c>
      <c r="K24" s="814" t="s">
        <v>96</v>
      </c>
      <c r="L24" s="1083">
        <v>5.9175277386802497E-6</v>
      </c>
      <c r="M24" s="816">
        <v>1</v>
      </c>
      <c r="N24" s="817">
        <f t="shared" si="0"/>
        <v>5.103675409230048</v>
      </c>
      <c r="O24" s="1096" t="str">
        <f t="shared" si="1"/>
        <v>(4,5,na,na,na,na,BU:5); estimated over Althaus (2007), emissions for average Si product</v>
      </c>
      <c r="P24" s="462"/>
      <c r="Q24" s="1017" t="s">
        <v>345</v>
      </c>
      <c r="R24" s="1086">
        <v>4</v>
      </c>
      <c r="S24" s="1086">
        <v>5</v>
      </c>
      <c r="T24" s="1086" t="s">
        <v>106</v>
      </c>
      <c r="U24" s="1086" t="s">
        <v>106</v>
      </c>
      <c r="V24" s="1086" t="s">
        <v>106</v>
      </c>
      <c r="W24" s="1086" t="s">
        <v>106</v>
      </c>
      <c r="X24" s="1087">
        <v>35</v>
      </c>
      <c r="Y24" s="1088">
        <v>5</v>
      </c>
      <c r="Z24" s="1088">
        <f t="shared" si="2"/>
        <v>1.2941338353151037</v>
      </c>
      <c r="AA24" s="1088">
        <f t="shared" si="3"/>
        <v>5.103675409230048</v>
      </c>
      <c r="AB24" s="1088" t="str">
        <f t="shared" si="4"/>
        <v>(4,5,na,na,na,na,BU:5)</v>
      </c>
      <c r="AC24" s="1089">
        <v>1.2</v>
      </c>
      <c r="AD24" s="1089">
        <v>1.2</v>
      </c>
      <c r="AE24" s="1089">
        <v>1</v>
      </c>
      <c r="AF24" s="1089">
        <v>1</v>
      </c>
      <c r="AG24" s="1089">
        <v>1</v>
      </c>
      <c r="AH24" s="1089">
        <v>1</v>
      </c>
    </row>
    <row r="25" spans="1:34" ht="36">
      <c r="A25" s="1128">
        <v>13296</v>
      </c>
      <c r="B25" s="1006"/>
      <c r="C25" s="1007"/>
      <c r="D25" s="1018" t="s">
        <v>98</v>
      </c>
      <c r="E25" s="1019">
        <v>4</v>
      </c>
      <c r="F25" s="1023" t="s">
        <v>297</v>
      </c>
      <c r="G25" s="818" t="s">
        <v>98</v>
      </c>
      <c r="H25" s="821" t="s">
        <v>344</v>
      </c>
      <c r="I25" s="821" t="s">
        <v>192</v>
      </c>
      <c r="J25" s="819" t="s">
        <v>98</v>
      </c>
      <c r="K25" s="818" t="s">
        <v>96</v>
      </c>
      <c r="L25" s="1020">
        <v>7.8541731804301503E-5</v>
      </c>
      <c r="M25" s="820">
        <v>1</v>
      </c>
      <c r="N25" s="813">
        <f t="shared" si="0"/>
        <v>1.6168893782141394</v>
      </c>
      <c r="O25" s="1051" t="str">
        <f t="shared" si="1"/>
        <v>(4,5,na,na,na,na,BU:1.5); estimated over Althaus (2007), emissions for average Si product</v>
      </c>
      <c r="P25" s="462"/>
      <c r="Q25" s="1017" t="s">
        <v>345</v>
      </c>
      <c r="R25" s="1024">
        <v>4</v>
      </c>
      <c r="S25" s="1024">
        <v>5</v>
      </c>
      <c r="T25" s="1024" t="s">
        <v>106</v>
      </c>
      <c r="U25" s="1024" t="s">
        <v>106</v>
      </c>
      <c r="V25" s="1024" t="s">
        <v>106</v>
      </c>
      <c r="W25" s="1024" t="s">
        <v>106</v>
      </c>
      <c r="X25" s="838">
        <v>32</v>
      </c>
      <c r="Y25" s="1090">
        <v>1.5</v>
      </c>
      <c r="Z25" s="1090">
        <f t="shared" si="2"/>
        <v>1.2941338353151037</v>
      </c>
      <c r="AA25" s="1090">
        <f t="shared" si="3"/>
        <v>1.6168893782141394</v>
      </c>
      <c r="AB25" s="1090" t="str">
        <f t="shared" si="4"/>
        <v>(4,5,na,na,na,na,BU:1.5)</v>
      </c>
      <c r="AC25" s="1091">
        <v>1.2</v>
      </c>
      <c r="AD25" s="1091">
        <v>1.2</v>
      </c>
      <c r="AE25" s="1091">
        <v>1</v>
      </c>
      <c r="AF25" s="1091">
        <v>1</v>
      </c>
      <c r="AG25" s="1091">
        <v>1</v>
      </c>
      <c r="AH25" s="1091">
        <v>1</v>
      </c>
    </row>
    <row r="26" spans="1:34" ht="36">
      <c r="A26" s="1128">
        <v>68218</v>
      </c>
      <c r="B26" s="1006"/>
      <c r="C26" s="1007"/>
      <c r="D26" s="1081" t="s">
        <v>98</v>
      </c>
      <c r="E26" s="1082">
        <v>4</v>
      </c>
      <c r="F26" s="1092" t="s">
        <v>296</v>
      </c>
      <c r="G26" s="814" t="s">
        <v>98</v>
      </c>
      <c r="H26" s="822" t="s">
        <v>344</v>
      </c>
      <c r="I26" s="822" t="s">
        <v>192</v>
      </c>
      <c r="J26" s="815" t="s">
        <v>98</v>
      </c>
      <c r="K26" s="814" t="s">
        <v>96</v>
      </c>
      <c r="L26" s="1083">
        <v>8.8260195200949598E-4</v>
      </c>
      <c r="M26" s="816">
        <v>1</v>
      </c>
      <c r="N26" s="817">
        <f t="shared" si="0"/>
        <v>1.6168893782141394</v>
      </c>
      <c r="O26" s="1096" t="str">
        <f t="shared" si="1"/>
        <v>(4,5,na,na,na,na,BU:1.5); estimated over Althaus (2007), emissions for average Si product</v>
      </c>
      <c r="P26" s="462"/>
      <c r="Q26" s="1017" t="s">
        <v>345</v>
      </c>
      <c r="R26" s="1086">
        <v>4</v>
      </c>
      <c r="S26" s="1086">
        <v>5</v>
      </c>
      <c r="T26" s="1086" t="s">
        <v>106</v>
      </c>
      <c r="U26" s="1086" t="s">
        <v>106</v>
      </c>
      <c r="V26" s="1086" t="s">
        <v>106</v>
      </c>
      <c r="W26" s="1086" t="s">
        <v>106</v>
      </c>
      <c r="X26" s="1087">
        <v>32</v>
      </c>
      <c r="Y26" s="1088">
        <v>1.5</v>
      </c>
      <c r="Z26" s="1088">
        <f t="shared" si="2"/>
        <v>1.2941338353151037</v>
      </c>
      <c r="AA26" s="1088">
        <f t="shared" si="3"/>
        <v>1.6168893782141394</v>
      </c>
      <c r="AB26" s="1088" t="str">
        <f t="shared" si="4"/>
        <v>(4,5,na,na,na,na,BU:1.5)</v>
      </c>
      <c r="AC26" s="1089">
        <v>1.2</v>
      </c>
      <c r="AD26" s="1089">
        <v>1.2</v>
      </c>
      <c r="AE26" s="1089">
        <v>1</v>
      </c>
      <c r="AF26" s="1089">
        <v>1</v>
      </c>
      <c r="AG26" s="1089">
        <v>1</v>
      </c>
      <c r="AH26" s="1089">
        <v>1</v>
      </c>
    </row>
    <row r="27" spans="1:34" ht="36">
      <c r="A27" s="1128" t="s">
        <v>292</v>
      </c>
      <c r="B27" s="1006"/>
      <c r="C27" s="1007"/>
      <c r="D27" s="1018" t="s">
        <v>98</v>
      </c>
      <c r="E27" s="1019">
        <v>4</v>
      </c>
      <c r="F27" s="1023" t="s">
        <v>293</v>
      </c>
      <c r="G27" s="818" t="s">
        <v>98</v>
      </c>
      <c r="H27" s="821" t="s">
        <v>344</v>
      </c>
      <c r="I27" s="821" t="s">
        <v>192</v>
      </c>
      <c r="J27" s="819" t="s">
        <v>98</v>
      </c>
      <c r="K27" s="818" t="s">
        <v>96</v>
      </c>
      <c r="L27" s="1020">
        <v>7.1494494224600498E-4</v>
      </c>
      <c r="M27" s="820">
        <v>1</v>
      </c>
      <c r="N27" s="813">
        <f t="shared" si="0"/>
        <v>1.6168893782141394</v>
      </c>
      <c r="O27" s="1051" t="str">
        <f t="shared" si="1"/>
        <v>(4,5,na,na,na,na,BU:1.5); estimated over Althaus (2007), emissions for average Si product</v>
      </c>
      <c r="P27" s="462"/>
      <c r="Q27" s="1017" t="s">
        <v>345</v>
      </c>
      <c r="R27" s="1024">
        <v>4</v>
      </c>
      <c r="S27" s="1024">
        <v>5</v>
      </c>
      <c r="T27" s="1024" t="s">
        <v>106</v>
      </c>
      <c r="U27" s="1024" t="s">
        <v>106</v>
      </c>
      <c r="V27" s="1024" t="s">
        <v>106</v>
      </c>
      <c r="W27" s="1024" t="s">
        <v>106</v>
      </c>
      <c r="X27" s="838">
        <v>32</v>
      </c>
      <c r="Y27" s="1090">
        <v>1.5</v>
      </c>
      <c r="Z27" s="1090">
        <f t="shared" si="2"/>
        <v>1.2941338353151037</v>
      </c>
      <c r="AA27" s="1090">
        <f t="shared" si="3"/>
        <v>1.6168893782141394</v>
      </c>
      <c r="AB27" s="1090" t="str">
        <f t="shared" si="4"/>
        <v>(4,5,na,na,na,na,BU:1.5)</v>
      </c>
      <c r="AC27" s="1091">
        <v>1.2</v>
      </c>
      <c r="AD27" s="1091">
        <v>1.2</v>
      </c>
      <c r="AE27" s="1091">
        <v>1</v>
      </c>
      <c r="AF27" s="1091">
        <v>1</v>
      </c>
      <c r="AG27" s="1091">
        <v>1</v>
      </c>
      <c r="AH27" s="1091">
        <v>1</v>
      </c>
    </row>
    <row r="28" spans="1:34" ht="36">
      <c r="A28" s="1128">
        <v>2278</v>
      </c>
      <c r="B28" s="1006"/>
      <c r="C28" s="1007"/>
      <c r="D28" s="1081" t="s">
        <v>98</v>
      </c>
      <c r="E28" s="1082">
        <v>4</v>
      </c>
      <c r="F28" s="1092" t="s">
        <v>298</v>
      </c>
      <c r="G28" s="814" t="s">
        <v>98</v>
      </c>
      <c r="H28" s="822" t="s">
        <v>344</v>
      </c>
      <c r="I28" s="822" t="s">
        <v>192</v>
      </c>
      <c r="J28" s="815" t="s">
        <v>98</v>
      </c>
      <c r="K28" s="814" t="s">
        <v>96</v>
      </c>
      <c r="L28" s="1083">
        <v>7.1494494224600498E-4</v>
      </c>
      <c r="M28" s="816">
        <v>1</v>
      </c>
      <c r="N28" s="817">
        <f t="shared" si="0"/>
        <v>1.6168893782141394</v>
      </c>
      <c r="O28" s="1096" t="str">
        <f t="shared" si="1"/>
        <v>(4,5,na,na,na,na,BU:1.5); estimated over Althaus (2007), emissions for average Si product</v>
      </c>
      <c r="P28" s="462"/>
      <c r="Q28" s="1017" t="s">
        <v>345</v>
      </c>
      <c r="R28" s="1086">
        <v>4</v>
      </c>
      <c r="S28" s="1086">
        <v>5</v>
      </c>
      <c r="T28" s="1086" t="s">
        <v>106</v>
      </c>
      <c r="U28" s="1086" t="s">
        <v>106</v>
      </c>
      <c r="V28" s="1086" t="s">
        <v>106</v>
      </c>
      <c r="W28" s="1086" t="s">
        <v>106</v>
      </c>
      <c r="X28" s="1087">
        <v>32</v>
      </c>
      <c r="Y28" s="1088">
        <v>1.5</v>
      </c>
      <c r="Z28" s="1088">
        <f t="shared" si="2"/>
        <v>1.2941338353151037</v>
      </c>
      <c r="AA28" s="1088">
        <f t="shared" si="3"/>
        <v>1.6168893782141394</v>
      </c>
      <c r="AB28" s="1088" t="str">
        <f t="shared" si="4"/>
        <v>(4,5,na,na,na,na,BU:1.5)</v>
      </c>
      <c r="AC28" s="1089">
        <v>1.2</v>
      </c>
      <c r="AD28" s="1089">
        <v>1.2</v>
      </c>
      <c r="AE28" s="1089">
        <v>1</v>
      </c>
      <c r="AF28" s="1089">
        <v>1</v>
      </c>
      <c r="AG28" s="1089">
        <v>1</v>
      </c>
      <c r="AH28" s="1089">
        <v>1</v>
      </c>
    </row>
    <row r="29" spans="1:34" ht="36">
      <c r="A29" s="1128">
        <v>81549</v>
      </c>
      <c r="B29" s="1006"/>
      <c r="C29" s="1007"/>
      <c r="D29" s="1018" t="s">
        <v>98</v>
      </c>
      <c r="E29" s="1019">
        <v>4</v>
      </c>
      <c r="F29" s="1023" t="s">
        <v>351</v>
      </c>
      <c r="G29" s="818" t="s">
        <v>98</v>
      </c>
      <c r="H29" s="821" t="s">
        <v>344</v>
      </c>
      <c r="I29" s="821" t="s">
        <v>192</v>
      </c>
      <c r="J29" s="819" t="s">
        <v>98</v>
      </c>
      <c r="K29" s="818" t="s">
        <v>96</v>
      </c>
      <c r="L29" s="1020">
        <v>1.0759141343055E-5</v>
      </c>
      <c r="M29" s="820">
        <v>1</v>
      </c>
      <c r="N29" s="813">
        <f t="shared" si="0"/>
        <v>1.6168893782141394</v>
      </c>
      <c r="O29" s="1051" t="str">
        <f t="shared" si="1"/>
        <v>(4,5,na,na,na,na,BU:1.5); estimated over Althaus (2007), emissions for average Si product</v>
      </c>
      <c r="P29" s="462"/>
      <c r="Q29" s="1017" t="s">
        <v>345</v>
      </c>
      <c r="R29" s="1024">
        <v>4</v>
      </c>
      <c r="S29" s="1024">
        <v>5</v>
      </c>
      <c r="T29" s="1024" t="s">
        <v>106</v>
      </c>
      <c r="U29" s="1024" t="s">
        <v>106</v>
      </c>
      <c r="V29" s="1024" t="s">
        <v>106</v>
      </c>
      <c r="W29" s="1024" t="s">
        <v>106</v>
      </c>
      <c r="X29" s="838">
        <v>32</v>
      </c>
      <c r="Y29" s="1090">
        <v>1.5</v>
      </c>
      <c r="Z29" s="1090">
        <f t="shared" si="2"/>
        <v>1.2941338353151037</v>
      </c>
      <c r="AA29" s="1090">
        <f t="shared" si="3"/>
        <v>1.6168893782141394</v>
      </c>
      <c r="AB29" s="1090" t="str">
        <f t="shared" si="4"/>
        <v>(4,5,na,na,na,na,BU:1.5)</v>
      </c>
      <c r="AC29" s="1091">
        <v>1.2</v>
      </c>
      <c r="AD29" s="1091">
        <v>1.2</v>
      </c>
      <c r="AE29" s="1091">
        <v>1</v>
      </c>
      <c r="AF29" s="1091">
        <v>1</v>
      </c>
      <c r="AG29" s="1091">
        <v>1</v>
      </c>
      <c r="AH29" s="1091">
        <v>1</v>
      </c>
    </row>
    <row r="30" spans="1:34" ht="36">
      <c r="A30" s="1128">
        <v>91265</v>
      </c>
      <c r="B30" s="1006"/>
      <c r="C30" s="1007"/>
      <c r="D30" s="1081" t="s">
        <v>98</v>
      </c>
      <c r="E30" s="1082">
        <v>4</v>
      </c>
      <c r="F30" s="1092" t="s">
        <v>352</v>
      </c>
      <c r="G30" s="814" t="s">
        <v>98</v>
      </c>
      <c r="H30" s="822" t="s">
        <v>344</v>
      </c>
      <c r="I30" s="822" t="s">
        <v>192</v>
      </c>
      <c r="J30" s="815" t="s">
        <v>98</v>
      </c>
      <c r="K30" s="814" t="s">
        <v>96</v>
      </c>
      <c r="L30" s="1083">
        <v>9.4681538922855205E-7</v>
      </c>
      <c r="M30" s="816">
        <v>1</v>
      </c>
      <c r="N30" s="817">
        <f t="shared" si="0"/>
        <v>3.0909055800049732</v>
      </c>
      <c r="O30" s="1096" t="str">
        <f t="shared" si="1"/>
        <v>(4,5,na,na,na,na,BU:3); estimated over Althaus (2007), emissions for average Si product</v>
      </c>
      <c r="P30" s="462"/>
      <c r="Q30" s="1017" t="s">
        <v>345</v>
      </c>
      <c r="R30" s="1086">
        <v>4</v>
      </c>
      <c r="S30" s="1086">
        <v>5</v>
      </c>
      <c r="T30" s="1086" t="s">
        <v>106</v>
      </c>
      <c r="U30" s="1086" t="s">
        <v>106</v>
      </c>
      <c r="V30" s="1086" t="s">
        <v>106</v>
      </c>
      <c r="W30" s="1086" t="s">
        <v>106</v>
      </c>
      <c r="X30" s="1087">
        <v>34</v>
      </c>
      <c r="Y30" s="1088">
        <v>3</v>
      </c>
      <c r="Z30" s="1088">
        <f t="shared" si="2"/>
        <v>1.2941338353151037</v>
      </c>
      <c r="AA30" s="1088">
        <f t="shared" si="3"/>
        <v>3.0909055800049732</v>
      </c>
      <c r="AB30" s="1088" t="str">
        <f t="shared" si="4"/>
        <v>(4,5,na,na,na,na,BU:3)</v>
      </c>
      <c r="AC30" s="1089">
        <v>1.2</v>
      </c>
      <c r="AD30" s="1089">
        <v>1.2</v>
      </c>
      <c r="AE30" s="1089">
        <v>1</v>
      </c>
      <c r="AF30" s="1089">
        <v>1</v>
      </c>
      <c r="AG30" s="1089">
        <v>1</v>
      </c>
      <c r="AH30" s="1089">
        <v>1</v>
      </c>
    </row>
    <row r="31" spans="1:34" ht="36">
      <c r="A31" s="1128">
        <v>158591</v>
      </c>
      <c r="B31" s="1006"/>
      <c r="C31" s="1007"/>
      <c r="D31" s="1018" t="s">
        <v>98</v>
      </c>
      <c r="E31" s="1019">
        <v>4</v>
      </c>
      <c r="F31" s="1023" t="s">
        <v>353</v>
      </c>
      <c r="G31" s="818" t="s">
        <v>98</v>
      </c>
      <c r="H31" s="821" t="s">
        <v>344</v>
      </c>
      <c r="I31" s="821" t="s">
        <v>192</v>
      </c>
      <c r="J31" s="819" t="s">
        <v>98</v>
      </c>
      <c r="K31" s="818" t="s">
        <v>96</v>
      </c>
      <c r="L31" s="1020">
        <v>7.8684265155928797E-7</v>
      </c>
      <c r="M31" s="820">
        <v>1</v>
      </c>
      <c r="N31" s="813">
        <f t="shared" si="0"/>
        <v>3.0909055800049732</v>
      </c>
      <c r="O31" s="1051" t="str">
        <f t="shared" si="1"/>
        <v>(4,5,na,na,na,na,BU:3); estimated over Althaus (2007), emissions for average Si product</v>
      </c>
      <c r="P31" s="462"/>
      <c r="Q31" s="1017" t="s">
        <v>345</v>
      </c>
      <c r="R31" s="1024">
        <v>4</v>
      </c>
      <c r="S31" s="1024">
        <v>5</v>
      </c>
      <c r="T31" s="1024" t="s">
        <v>106</v>
      </c>
      <c r="U31" s="1024" t="s">
        <v>106</v>
      </c>
      <c r="V31" s="1024" t="s">
        <v>106</v>
      </c>
      <c r="W31" s="1024" t="s">
        <v>106</v>
      </c>
      <c r="X31" s="838">
        <v>34</v>
      </c>
      <c r="Y31" s="1090">
        <v>3</v>
      </c>
      <c r="Z31" s="1090">
        <f t="shared" si="2"/>
        <v>1.2941338353151037</v>
      </c>
      <c r="AA31" s="1090">
        <f t="shared" si="3"/>
        <v>3.0909055800049732</v>
      </c>
      <c r="AB31" s="1090" t="str">
        <f t="shared" si="4"/>
        <v>(4,5,na,na,na,na,BU:3)</v>
      </c>
      <c r="AC31" s="1091">
        <v>1.2</v>
      </c>
      <c r="AD31" s="1091">
        <v>1.2</v>
      </c>
      <c r="AE31" s="1091">
        <v>1</v>
      </c>
      <c r="AF31" s="1091">
        <v>1</v>
      </c>
      <c r="AG31" s="1091">
        <v>1</v>
      </c>
      <c r="AH31" s="1091">
        <v>1</v>
      </c>
    </row>
    <row r="32" spans="1:34" ht="36">
      <c r="A32" s="1128">
        <v>37127</v>
      </c>
      <c r="B32" s="1006"/>
      <c r="C32" s="1007"/>
      <c r="D32" s="1081" t="s">
        <v>98</v>
      </c>
      <c r="E32" s="1082">
        <v>4</v>
      </c>
      <c r="F32" s="1092" t="s">
        <v>197</v>
      </c>
      <c r="G32" s="814" t="s">
        <v>98</v>
      </c>
      <c r="H32" s="822" t="s">
        <v>344</v>
      </c>
      <c r="I32" s="822" t="s">
        <v>192</v>
      </c>
      <c r="J32" s="815" t="s">
        <v>98</v>
      </c>
      <c r="K32" s="814" t="s">
        <v>96</v>
      </c>
      <c r="L32" s="1083">
        <v>3.7121115731719E-5</v>
      </c>
      <c r="M32" s="816">
        <v>1</v>
      </c>
      <c r="N32" s="817">
        <f t="shared" si="0"/>
        <v>1.6168893782141394</v>
      </c>
      <c r="O32" s="1096" t="str">
        <f t="shared" si="1"/>
        <v>(4,5,na,na,na,na,BU:1.5); estimated over Althaus (2007), emissions for average Si product</v>
      </c>
      <c r="P32" s="462"/>
      <c r="Q32" s="1017" t="s">
        <v>345</v>
      </c>
      <c r="R32" s="1086">
        <v>4</v>
      </c>
      <c r="S32" s="1086">
        <v>5</v>
      </c>
      <c r="T32" s="1086" t="s">
        <v>106</v>
      </c>
      <c r="U32" s="1086" t="s">
        <v>106</v>
      </c>
      <c r="V32" s="1086" t="s">
        <v>106</v>
      </c>
      <c r="W32" s="1086" t="s">
        <v>106</v>
      </c>
      <c r="X32" s="1087">
        <v>33</v>
      </c>
      <c r="Y32" s="1088">
        <v>1.5</v>
      </c>
      <c r="Z32" s="1088">
        <f t="shared" si="2"/>
        <v>1.2941338353151037</v>
      </c>
      <c r="AA32" s="1088">
        <f t="shared" si="3"/>
        <v>1.6168893782141394</v>
      </c>
      <c r="AB32" s="1088" t="str">
        <f t="shared" si="4"/>
        <v>(4,5,na,na,na,na,BU:1.5)</v>
      </c>
      <c r="AC32" s="1089">
        <v>1.2</v>
      </c>
      <c r="AD32" s="1089">
        <v>1.2</v>
      </c>
      <c r="AE32" s="1089">
        <v>1</v>
      </c>
      <c r="AF32" s="1089">
        <v>1</v>
      </c>
      <c r="AG32" s="1089">
        <v>1</v>
      </c>
      <c r="AH32" s="1089">
        <v>1</v>
      </c>
    </row>
    <row r="33" spans="1:34" ht="36">
      <c r="A33" s="1128">
        <v>91183</v>
      </c>
      <c r="B33" s="1006"/>
      <c r="C33" s="1007"/>
      <c r="D33" s="1018" t="s">
        <v>98</v>
      </c>
      <c r="E33" s="1019">
        <v>4</v>
      </c>
      <c r="F33" s="1023" t="s">
        <v>354</v>
      </c>
      <c r="G33" s="818" t="s">
        <v>98</v>
      </c>
      <c r="H33" s="821" t="s">
        <v>344</v>
      </c>
      <c r="I33" s="821" t="s">
        <v>192</v>
      </c>
      <c r="J33" s="819" t="s">
        <v>98</v>
      </c>
      <c r="K33" s="818" t="s">
        <v>96</v>
      </c>
      <c r="L33" s="1020">
        <v>2.0368621831144701E-7</v>
      </c>
      <c r="M33" s="820">
        <v>1</v>
      </c>
      <c r="N33" s="813">
        <f t="shared" si="0"/>
        <v>5.103675409230048</v>
      </c>
      <c r="O33" s="1051" t="str">
        <f t="shared" si="1"/>
        <v>(4,5,na,na,na,na,BU:5); estimated over Althaus (2007), emissions for average Si product</v>
      </c>
      <c r="P33" s="462"/>
      <c r="Q33" s="1017" t="s">
        <v>345</v>
      </c>
      <c r="R33" s="1024">
        <v>4</v>
      </c>
      <c r="S33" s="1024">
        <v>5</v>
      </c>
      <c r="T33" s="1024" t="s">
        <v>106</v>
      </c>
      <c r="U33" s="1024" t="s">
        <v>106</v>
      </c>
      <c r="V33" s="1024" t="s">
        <v>106</v>
      </c>
      <c r="W33" s="1024" t="s">
        <v>106</v>
      </c>
      <c r="X33" s="838">
        <v>35</v>
      </c>
      <c r="Y33" s="1090">
        <v>5</v>
      </c>
      <c r="Z33" s="1090">
        <f t="shared" si="2"/>
        <v>1.2941338353151037</v>
      </c>
      <c r="AA33" s="1090">
        <f t="shared" si="3"/>
        <v>5.103675409230048</v>
      </c>
      <c r="AB33" s="1090" t="str">
        <f t="shared" si="4"/>
        <v>(4,5,na,na,na,na,BU:5)</v>
      </c>
      <c r="AC33" s="1091">
        <v>1.2</v>
      </c>
      <c r="AD33" s="1091">
        <v>1.2</v>
      </c>
      <c r="AE33" s="1091">
        <v>1</v>
      </c>
      <c r="AF33" s="1091">
        <v>1</v>
      </c>
      <c r="AG33" s="1091">
        <v>1</v>
      </c>
      <c r="AH33" s="1091">
        <v>1</v>
      </c>
    </row>
    <row r="34" spans="1:34" ht="36">
      <c r="A34" s="1128">
        <v>91145</v>
      </c>
      <c r="B34" s="1006"/>
      <c r="C34" s="1007"/>
      <c r="D34" s="1081" t="s">
        <v>98</v>
      </c>
      <c r="E34" s="1082">
        <v>4</v>
      </c>
      <c r="F34" s="1092" t="s">
        <v>355</v>
      </c>
      <c r="G34" s="814" t="s">
        <v>98</v>
      </c>
      <c r="H34" s="822" t="s">
        <v>344</v>
      </c>
      <c r="I34" s="822" t="s">
        <v>192</v>
      </c>
      <c r="J34" s="815" t="s">
        <v>98</v>
      </c>
      <c r="K34" s="814" t="s">
        <v>96</v>
      </c>
      <c r="L34" s="1083">
        <v>1.8601481124332999E-9</v>
      </c>
      <c r="M34" s="816">
        <v>1</v>
      </c>
      <c r="N34" s="817">
        <f t="shared" si="0"/>
        <v>5.103675409230048</v>
      </c>
      <c r="O34" s="1096" t="str">
        <f t="shared" si="1"/>
        <v>(4,5,na,na,na,na,BU:5); estimated over Althaus (2007), emissions for average Si product</v>
      </c>
      <c r="P34" s="462"/>
      <c r="Q34" s="1017" t="s">
        <v>345</v>
      </c>
      <c r="R34" s="1086">
        <v>4</v>
      </c>
      <c r="S34" s="1086">
        <v>5</v>
      </c>
      <c r="T34" s="1086" t="s">
        <v>106</v>
      </c>
      <c r="U34" s="1086" t="s">
        <v>106</v>
      </c>
      <c r="V34" s="1086" t="s">
        <v>106</v>
      </c>
      <c r="W34" s="1086" t="s">
        <v>106</v>
      </c>
      <c r="X34" s="1087">
        <v>35</v>
      </c>
      <c r="Y34" s="1088">
        <v>5</v>
      </c>
      <c r="Z34" s="1088">
        <f t="shared" si="2"/>
        <v>1.2941338353151037</v>
      </c>
      <c r="AA34" s="1088">
        <f t="shared" si="3"/>
        <v>5.103675409230048</v>
      </c>
      <c r="AB34" s="1088" t="str">
        <f t="shared" si="4"/>
        <v>(4,5,na,na,na,na,BU:5)</v>
      </c>
      <c r="AC34" s="1089">
        <v>1.2</v>
      </c>
      <c r="AD34" s="1089">
        <v>1.2</v>
      </c>
      <c r="AE34" s="1089">
        <v>1</v>
      </c>
      <c r="AF34" s="1089">
        <v>1</v>
      </c>
      <c r="AG34" s="1089">
        <v>1</v>
      </c>
      <c r="AH34" s="1089">
        <v>1</v>
      </c>
    </row>
    <row r="35" spans="1:34" ht="36">
      <c r="A35" s="1128">
        <v>91239</v>
      </c>
      <c r="B35" s="1006"/>
      <c r="C35" s="1007"/>
      <c r="D35" s="1018" t="s">
        <v>98</v>
      </c>
      <c r="E35" s="1019">
        <v>4</v>
      </c>
      <c r="F35" s="1023" t="s">
        <v>356</v>
      </c>
      <c r="G35" s="818" t="s">
        <v>98</v>
      </c>
      <c r="H35" s="821" t="s">
        <v>344</v>
      </c>
      <c r="I35" s="821" t="s">
        <v>192</v>
      </c>
      <c r="J35" s="819" t="s">
        <v>98</v>
      </c>
      <c r="K35" s="818" t="s">
        <v>96</v>
      </c>
      <c r="L35" s="1020">
        <v>7.9800354023388798E-7</v>
      </c>
      <c r="M35" s="820">
        <v>1</v>
      </c>
      <c r="N35" s="813">
        <f t="shared" si="0"/>
        <v>5.103675409230048</v>
      </c>
      <c r="O35" s="1051" t="str">
        <f t="shared" si="1"/>
        <v>(4,5,na,na,na,na,BU:5); estimated over Althaus (2007), emissions for average Si product</v>
      </c>
      <c r="P35" s="462"/>
      <c r="Q35" s="1017" t="s">
        <v>345</v>
      </c>
      <c r="R35" s="1024">
        <v>4</v>
      </c>
      <c r="S35" s="1024">
        <v>5</v>
      </c>
      <c r="T35" s="1024" t="s">
        <v>106</v>
      </c>
      <c r="U35" s="1024" t="s">
        <v>106</v>
      </c>
      <c r="V35" s="1024" t="s">
        <v>106</v>
      </c>
      <c r="W35" s="1024" t="s">
        <v>106</v>
      </c>
      <c r="X35" s="838">
        <v>35</v>
      </c>
      <c r="Y35" s="1090">
        <v>5</v>
      </c>
      <c r="Z35" s="1090">
        <f t="shared" si="2"/>
        <v>1.2941338353151037</v>
      </c>
      <c r="AA35" s="1090">
        <f t="shared" si="3"/>
        <v>5.103675409230048</v>
      </c>
      <c r="AB35" s="1090" t="str">
        <f t="shared" si="4"/>
        <v>(4,5,na,na,na,na,BU:5)</v>
      </c>
      <c r="AC35" s="1091">
        <v>1.2</v>
      </c>
      <c r="AD35" s="1091">
        <v>1.2</v>
      </c>
      <c r="AE35" s="1091">
        <v>1</v>
      </c>
      <c r="AF35" s="1091">
        <v>1</v>
      </c>
      <c r="AG35" s="1091">
        <v>1</v>
      </c>
      <c r="AH35" s="1091">
        <v>1</v>
      </c>
    </row>
    <row r="36" spans="1:34" ht="36">
      <c r="A36" s="1128">
        <v>67972</v>
      </c>
      <c r="B36" s="1006"/>
      <c r="C36" s="1007"/>
      <c r="D36" s="1081" t="s">
        <v>98</v>
      </c>
      <c r="E36" s="1082">
        <v>4</v>
      </c>
      <c r="F36" s="1092" t="s">
        <v>357</v>
      </c>
      <c r="G36" s="814" t="s">
        <v>98</v>
      </c>
      <c r="H36" s="822" t="s">
        <v>344</v>
      </c>
      <c r="I36" s="822" t="s">
        <v>192</v>
      </c>
      <c r="J36" s="815" t="s">
        <v>98</v>
      </c>
      <c r="K36" s="814" t="s">
        <v>96</v>
      </c>
      <c r="L36" s="1083">
        <v>4.6503702810832599E-7</v>
      </c>
      <c r="M36" s="816">
        <v>1</v>
      </c>
      <c r="N36" s="817">
        <f t="shared" si="0"/>
        <v>1.6168893782141394</v>
      </c>
      <c r="O36" s="1096" t="str">
        <f t="shared" si="1"/>
        <v>(4,5,na,na,na,na,BU:1.5); estimated over Althaus (2007), emissions for average Si product</v>
      </c>
      <c r="P36" s="462"/>
      <c r="Q36" s="1017" t="s">
        <v>345</v>
      </c>
      <c r="R36" s="1086">
        <v>4</v>
      </c>
      <c r="S36" s="1086">
        <v>5</v>
      </c>
      <c r="T36" s="1086" t="s">
        <v>106</v>
      </c>
      <c r="U36" s="1086" t="s">
        <v>106</v>
      </c>
      <c r="V36" s="1086" t="s">
        <v>106</v>
      </c>
      <c r="W36" s="1086" t="s">
        <v>106</v>
      </c>
      <c r="X36" s="1087">
        <v>33</v>
      </c>
      <c r="Y36" s="1088">
        <v>1.5</v>
      </c>
      <c r="Z36" s="1088">
        <f t="shared" si="2"/>
        <v>1.2941338353151037</v>
      </c>
      <c r="AA36" s="1088">
        <f t="shared" si="3"/>
        <v>1.6168893782141394</v>
      </c>
      <c r="AB36" s="1088" t="str">
        <f t="shared" si="4"/>
        <v>(4,5,na,na,na,na,BU:1.5)</v>
      </c>
      <c r="AC36" s="1089">
        <v>1.2</v>
      </c>
      <c r="AD36" s="1089">
        <v>1.2</v>
      </c>
      <c r="AE36" s="1089">
        <v>1</v>
      </c>
      <c r="AF36" s="1089">
        <v>1</v>
      </c>
      <c r="AG36" s="1089">
        <v>1</v>
      </c>
      <c r="AH36" s="1089">
        <v>1</v>
      </c>
    </row>
    <row r="37" spans="1:34" ht="36">
      <c r="A37" s="1128">
        <v>49702</v>
      </c>
      <c r="B37" s="1006"/>
      <c r="C37" s="1007"/>
      <c r="D37" s="1018" t="s">
        <v>98</v>
      </c>
      <c r="E37" s="1019">
        <v>4</v>
      </c>
      <c r="F37" s="1023" t="s">
        <v>358</v>
      </c>
      <c r="G37" s="818" t="s">
        <v>98</v>
      </c>
      <c r="H37" s="821" t="s">
        <v>344</v>
      </c>
      <c r="I37" s="821" t="s">
        <v>192</v>
      </c>
      <c r="J37" s="819" t="s">
        <v>98</v>
      </c>
      <c r="K37" s="818" t="s">
        <v>96</v>
      </c>
      <c r="L37" s="1020">
        <v>1.8601481124333E-4</v>
      </c>
      <c r="M37" s="820">
        <v>1</v>
      </c>
      <c r="N37" s="813">
        <f t="shared" si="0"/>
        <v>1.6168893782141394</v>
      </c>
      <c r="O37" s="1051" t="str">
        <f t="shared" si="1"/>
        <v>(4,5,na,na,na,na,BU:1.5); estimated over Althaus (2007), emissions for average Si product</v>
      </c>
      <c r="P37" s="462"/>
      <c r="Q37" s="1017" t="s">
        <v>345</v>
      </c>
      <c r="R37" s="1024">
        <v>4</v>
      </c>
      <c r="S37" s="1024">
        <v>5</v>
      </c>
      <c r="T37" s="1024" t="s">
        <v>106</v>
      </c>
      <c r="U37" s="1024" t="s">
        <v>106</v>
      </c>
      <c r="V37" s="1024" t="s">
        <v>106</v>
      </c>
      <c r="W37" s="1024" t="s">
        <v>106</v>
      </c>
      <c r="X37" s="838">
        <v>33</v>
      </c>
      <c r="Y37" s="1090">
        <v>1.5</v>
      </c>
      <c r="Z37" s="1090">
        <f t="shared" si="2"/>
        <v>1.2941338353151037</v>
      </c>
      <c r="AA37" s="1090">
        <f t="shared" si="3"/>
        <v>1.6168893782141394</v>
      </c>
      <c r="AB37" s="1090" t="str">
        <f t="shared" si="4"/>
        <v>(4,5,na,na,na,na,BU:1.5)</v>
      </c>
      <c r="AC37" s="1091">
        <v>1.2</v>
      </c>
      <c r="AD37" s="1091">
        <v>1.2</v>
      </c>
      <c r="AE37" s="1091">
        <v>1</v>
      </c>
      <c r="AF37" s="1091">
        <v>1</v>
      </c>
      <c r="AG37" s="1091">
        <v>1</v>
      </c>
      <c r="AH37" s="1091">
        <v>1</v>
      </c>
    </row>
    <row r="38" spans="1:34" ht="36" customHeight="1">
      <c r="A38" s="1128">
        <v>21844</v>
      </c>
      <c r="B38" s="1006" t="str">
        <f>IF(OR(D38&lt;&gt;D37,E38&lt;&gt;E37,H38&lt;&gt;H37,I38&lt;&gt;I37),IF(D38=5,"technosphere",IF(D38=4,H38&amp;", "&amp;I38,"emission "&amp;H38&amp;", "&amp;I38)),"")</f>
        <v>emission emissions to air, high. pop.</v>
      </c>
      <c r="C38" s="1007"/>
      <c r="D38" s="1081" t="s">
        <v>98</v>
      </c>
      <c r="E38" s="1082">
        <v>4</v>
      </c>
      <c r="F38" s="1092" t="s">
        <v>121</v>
      </c>
      <c r="G38" s="814" t="s">
        <v>98</v>
      </c>
      <c r="H38" s="822" t="s">
        <v>247</v>
      </c>
      <c r="I38" s="822" t="s">
        <v>258</v>
      </c>
      <c r="J38" s="815" t="s">
        <v>98</v>
      </c>
      <c r="K38" s="814" t="s">
        <v>104</v>
      </c>
      <c r="L38" s="1083">
        <f>3.6*L11</f>
        <v>90</v>
      </c>
      <c r="M38" s="816">
        <v>1</v>
      </c>
      <c r="N38" s="817">
        <f t="shared" si="0"/>
        <v>1.3000688016831126</v>
      </c>
      <c r="O38" s="1096" t="str">
        <f t="shared" si="1"/>
        <v>(4,5,na,na,na,na,BU:1.05); estimated over Althaus (2007), emissions for average Si product</v>
      </c>
      <c r="P38" s="462"/>
      <c r="Q38" s="1017" t="s">
        <v>345</v>
      </c>
      <c r="R38" s="1086">
        <v>4</v>
      </c>
      <c r="S38" s="1086">
        <v>5</v>
      </c>
      <c r="T38" s="1086" t="s">
        <v>106</v>
      </c>
      <c r="U38" s="1086" t="s">
        <v>106</v>
      </c>
      <c r="V38" s="1086" t="s">
        <v>106</v>
      </c>
      <c r="W38" s="1086" t="s">
        <v>106</v>
      </c>
      <c r="X38" s="1087">
        <v>13</v>
      </c>
      <c r="Y38" s="1088">
        <v>1.05</v>
      </c>
      <c r="Z38" s="1088">
        <f t="shared" si="2"/>
        <v>1.2941338353151037</v>
      </c>
      <c r="AA38" s="1088">
        <f t="shared" si="3"/>
        <v>1.3000688016831126</v>
      </c>
      <c r="AB38" s="1088" t="str">
        <f t="shared" si="4"/>
        <v>(4,5,na,na,na,na,BU:1.05)</v>
      </c>
      <c r="AC38" s="1089">
        <v>1.2</v>
      </c>
      <c r="AD38" s="1089">
        <v>1.2</v>
      </c>
      <c r="AE38" s="1089">
        <v>1</v>
      </c>
      <c r="AF38" s="1089">
        <v>1</v>
      </c>
      <c r="AG38" s="1089">
        <v>1</v>
      </c>
      <c r="AH38" s="1089">
        <v>1</v>
      </c>
    </row>
  </sheetData>
  <mergeCells count="1">
    <mergeCell ref="R1:W1"/>
  </mergeCells>
  <dataValidations xWindow="463" yWindow="684" count="28">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7 F18:K39" xr:uid="{00000000-0002-0000-0B00-000000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 E15:E39" xr:uid="{00000000-0002-0000-0B00-000001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39" xr:uid="{00000000-0002-0000-0B00-000002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39" xr:uid="{00000000-0002-0000-0B00-000003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39" xr:uid="{00000000-0002-0000-0B00-000004000000}"/>
    <dataValidation allowBlank="1" showInputMessage="1" showErrorMessage="1" prompt="Mean amount of elementary flow or intermediate product flow. Enter your values (or the respective equation) here." sqref="L8:L17 L38:L39" xr:uid="{00000000-0002-0000-0B00-000005000000}"/>
    <dataValidation allowBlank="1" showInputMessage="1" showErrorMessage="1" promptTitle="Do not change" prompt="This field is automatically calculated from your inputs." sqref="Y8:AH38" xr:uid="{00000000-0002-0000-0B00-000006000000}"/>
    <dataValidation allowBlank="1" showInputMessage="1" showErrorMessage="1" promptTitle="Do not change" prompt="This field is automatically updated from the names-list" sqref="X8:X38" xr:uid="{00000000-0002-0000-0B00-000007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0B00-000008000000}"/>
    <dataValidation allowBlank="1" showInputMessage="1" showErrorMessage="1" promptTitle="Remarks" prompt="A general comment (data source, calculation procedure, ...) can be made about each individual exchange. The remarks are added to the GeneralComment-field." sqref="Q3 Q8:Q39 R39:AH39" xr:uid="{00000000-0002-0000-0B00-000009000000}"/>
    <dataValidation allowBlank="1" showInputMessage="1" showErrorMessage="1" prompt="Do not change." sqref="X3:AH4 Z7:AH7" xr:uid="{00000000-0002-0000-0B00-00000A000000}"/>
    <dataValidation allowBlank="1" showInputMessage="1" showErrorMessage="1" prompt="This cell is automatically updated from the names List according to the index number in L1. It needs to be identical to the output product." sqref="L3:L6" xr:uid="{00000000-0002-0000-0B00-00000B000000}"/>
    <dataValidation allowBlank="1" showInputMessage="1" showErrorMessage="1" promptTitle="Unit" prompt="Unit of the exchange (elementary flow or intermediate product flow)." sqref="F6 K2:K3" xr:uid="{00000000-0002-0000-0B00-00000C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0B00-00000D000000}"/>
    <dataValidation allowBlank="1" showInputMessage="1" showErrorMessage="1" promptTitle="Name" prompt="Name of the exchange (elementary flow or intermediate product flow) in English language. " sqref="F2:F3" xr:uid="{00000000-0002-0000-0B00-00000E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0B00-00000F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15:D39" xr:uid="{00000000-0002-0000-0B00-000010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0B00-000011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0 A12:A39" xr:uid="{00000000-0002-0000-0B00-00001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38" xr:uid="{00000000-0002-0000-0B00-00001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14 T15:W38" xr:uid="{00000000-0002-0000-0B00-00001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14" xr:uid="{00000000-0002-0000-0B00-00001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14" xr:uid="{00000000-0002-0000-0B00-000016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14" xr:uid="{00000000-0002-0000-0B00-000017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38" xr:uid="{00000000-0002-0000-0B00-000018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0B00-000019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0B00-00001A000000}"/>
    <dataValidation allowBlank="1" showInputMessage="1" showErrorMessage="1" prompt="always 1" sqref="L7" xr:uid="{00000000-0002-0000-0B00-00001B000000}"/>
  </dataValidations>
  <printOptions horizontalCentered="1" verticalCentered="1"/>
  <pageMargins left="0.78740157480314965" right="0.78740157480314965" top="0.98425196850393704" bottom="0.98425196850393704" header="0.51181102362204722" footer="0.51181102362204722"/>
  <pageSetup paperSize="9" scale="63" orientation="landscape" r:id="rId1"/>
  <headerFooter alignWithMargins="0">
    <oddHeader>&amp;L&amp;C&amp;R</oddHeader>
    <oddFooter>&amp;L&amp;D&amp;C&amp;F&amp;RSeite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tabColor rgb="FF9CD9F0"/>
    <pageSetUpPr fitToPage="1"/>
  </sheetPr>
  <dimension ref="A1:BB62"/>
  <sheetViews>
    <sheetView topLeftCell="A18" workbookViewId="0">
      <selection activeCell="P57" sqref="P57:AJ62"/>
    </sheetView>
  </sheetViews>
  <sheetFormatPr baseColWidth="10" defaultColWidth="11.42578125" defaultRowHeight="12" outlineLevelCol="1"/>
  <cols>
    <col min="1" max="1" width="12.7109375" style="110" customWidth="1"/>
    <col min="2" max="2" width="9" style="117" customWidth="1"/>
    <col min="3" max="3" width="4.7109375" style="118" hidden="1" customWidth="1" outlineLevel="1"/>
    <col min="4" max="5" width="4.7109375" style="110" hidden="1" customWidth="1" outlineLevel="1"/>
    <col min="6" max="6" width="37.42578125" style="119" customWidth="1" collapsed="1"/>
    <col min="7" max="7" width="8.7109375" style="110" customWidth="1"/>
    <col min="8" max="8" width="8.7109375" style="110" hidden="1" customWidth="1" outlineLevel="1"/>
    <col min="9" max="9" width="20.7109375" style="110" hidden="1" customWidth="1" outlineLevel="1"/>
    <col min="10" max="10" width="4.7109375" style="110" customWidth="1" collapsed="1"/>
    <col min="11" max="11" width="8.7109375" style="110" customWidth="1"/>
    <col min="12" max="12" width="10.7109375" style="110" customWidth="1"/>
    <col min="13" max="13" width="5.7109375" style="120" hidden="1" customWidth="1" outlineLevel="1"/>
    <col min="14" max="14" width="12.85546875" style="120" hidden="1" customWidth="1" outlineLevel="1"/>
    <col min="15" max="15" width="40.7109375" style="120" hidden="1" customWidth="1" outlineLevel="1"/>
    <col min="16" max="16" width="10.7109375" style="110" customWidth="1" collapsed="1"/>
    <col min="17" max="18" width="5.7109375" style="120" hidden="1" customWidth="1" outlineLevel="1"/>
    <col min="19" max="19" width="40.7109375" style="120" hidden="1" customWidth="1" outlineLevel="1"/>
    <col min="20" max="20" width="10.7109375" style="110" customWidth="1" collapsed="1"/>
    <col min="21" max="22" width="5.7109375" style="120" hidden="1" customWidth="1" outlineLevel="1"/>
    <col min="23" max="23" width="40.7109375" style="120" hidden="1" customWidth="1" outlineLevel="1"/>
    <col min="24" max="24" width="10.7109375" style="110" customWidth="1" collapsed="1"/>
    <col min="25" max="25" width="4.7109375" style="120" hidden="1" customWidth="1" outlineLevel="1"/>
    <col min="26" max="26" width="5.7109375" style="120" hidden="1" customWidth="1" outlineLevel="1"/>
    <col min="27" max="27" width="37.28515625" style="120" hidden="1" customWidth="1" outlineLevel="1"/>
    <col min="28" max="28" width="4.140625" style="109" customWidth="1" collapsed="1"/>
    <col min="29" max="35" width="15.7109375" style="110" hidden="1" customWidth="1" outlineLevel="1"/>
    <col min="36" max="36" width="73.5703125" style="110" customWidth="1" collapsed="1"/>
    <col min="37" max="37" width="4.7109375" style="121" hidden="1" customWidth="1" outlineLevel="1"/>
    <col min="38" max="42" width="4.7109375" style="394" hidden="1" customWidth="1" outlineLevel="1"/>
    <col min="43" max="43" width="8.140625" style="394" hidden="1" customWidth="1" outlineLevel="1"/>
    <col min="44" max="46" width="4.7109375" style="394" hidden="1" customWidth="1" outlineLevel="1"/>
    <col min="47" max="47" width="12.7109375" style="394" hidden="1" customWidth="1" outlineLevel="1"/>
    <col min="48" max="53" width="4.7109375" style="110" hidden="1" customWidth="1" outlineLevel="1"/>
    <col min="54" max="54" width="11.42578125" style="110" customWidth="1" collapsed="1"/>
    <col min="55" max="55" width="11.42578125" style="110" customWidth="1"/>
    <col min="56" max="16384" width="11.42578125" style="110"/>
  </cols>
  <sheetData>
    <row r="1" spans="1:53" ht="12.75" customHeight="1">
      <c r="A1" s="77"/>
      <c r="B1" s="78"/>
      <c r="C1" s="79"/>
      <c r="D1" s="77"/>
      <c r="E1" s="77"/>
      <c r="F1" s="80" t="s">
        <v>65</v>
      </c>
      <c r="G1" s="77"/>
      <c r="H1" s="77"/>
      <c r="I1" s="77"/>
      <c r="J1" s="77"/>
      <c r="K1" s="77"/>
      <c r="L1" s="330">
        <f>A7</f>
        <v>78566</v>
      </c>
      <c r="M1" s="81"/>
      <c r="N1" s="81"/>
      <c r="O1" s="81"/>
      <c r="P1" s="330">
        <f>A8</f>
        <v>261396</v>
      </c>
      <c r="Q1" s="81"/>
      <c r="R1" s="81"/>
      <c r="S1" s="81"/>
      <c r="T1" s="330">
        <f>A9</f>
        <v>264187</v>
      </c>
      <c r="U1" s="81"/>
      <c r="V1" s="81"/>
      <c r="W1" s="81"/>
      <c r="X1" s="330">
        <f>A10</f>
        <v>261500</v>
      </c>
      <c r="Y1" s="81"/>
      <c r="Z1" s="81"/>
      <c r="AA1" s="81"/>
      <c r="AC1" s="378"/>
      <c r="AD1" s="378"/>
      <c r="AE1" s="378"/>
      <c r="AF1" s="378"/>
      <c r="AG1" s="378"/>
      <c r="AH1" s="378"/>
      <c r="AI1" s="378"/>
      <c r="AJ1" s="378"/>
      <c r="AK1" s="1586"/>
      <c r="AL1" s="1587"/>
      <c r="AM1" s="1587"/>
      <c r="AN1" s="1587"/>
      <c r="AO1" s="1587"/>
      <c r="AP1" s="1587"/>
      <c r="AQ1" s="406"/>
      <c r="AR1" s="406"/>
      <c r="AS1" s="406"/>
      <c r="AT1" s="406"/>
      <c r="AU1" s="406"/>
      <c r="AV1" s="378"/>
      <c r="AW1" s="378"/>
      <c r="AX1" s="378"/>
      <c r="AY1" s="378"/>
      <c r="AZ1" s="378"/>
      <c r="BA1" s="378"/>
    </row>
    <row r="2" spans="1:53"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421"/>
      <c r="AC2" s="406"/>
      <c r="AD2" s="406"/>
      <c r="AE2" s="406"/>
      <c r="AF2" s="406"/>
      <c r="AG2" s="406"/>
      <c r="AH2" s="406"/>
      <c r="AI2" s="406"/>
      <c r="AJ2" s="406"/>
      <c r="AK2" s="406"/>
      <c r="AL2" s="406"/>
      <c r="AM2" s="406"/>
      <c r="AN2" s="406"/>
      <c r="AO2" s="406"/>
      <c r="AP2" s="406"/>
      <c r="AQ2" s="406"/>
      <c r="AR2" s="378"/>
      <c r="AS2" s="378"/>
      <c r="AT2" s="378"/>
      <c r="AU2" s="378"/>
      <c r="AV2" s="378"/>
      <c r="AW2" s="378"/>
      <c r="AX2" s="378"/>
      <c r="AY2" s="378"/>
      <c r="AZ2" s="378"/>
      <c r="BA2" s="378"/>
    </row>
    <row r="3" spans="1:53" ht="105" customHeight="1">
      <c r="A3" s="83" t="s">
        <v>68</v>
      </c>
      <c r="B3" s="84"/>
      <c r="C3" s="79">
        <v>401</v>
      </c>
      <c r="D3" s="85" t="s">
        <v>69</v>
      </c>
      <c r="E3" s="85" t="s">
        <v>70</v>
      </c>
      <c r="F3" s="86" t="s">
        <v>71</v>
      </c>
      <c r="G3" s="85" t="s">
        <v>72</v>
      </c>
      <c r="H3" s="85" t="s">
        <v>73</v>
      </c>
      <c r="I3" s="85" t="s">
        <v>74</v>
      </c>
      <c r="J3" s="85" t="s">
        <v>75</v>
      </c>
      <c r="K3" s="85" t="s">
        <v>76</v>
      </c>
      <c r="L3" s="87" t="s">
        <v>335</v>
      </c>
      <c r="M3" s="422" t="s">
        <v>78</v>
      </c>
      <c r="N3" s="422" t="s">
        <v>79</v>
      </c>
      <c r="O3" s="423" t="s">
        <v>80</v>
      </c>
      <c r="P3" s="87" t="s">
        <v>359</v>
      </c>
      <c r="Q3" s="422" t="s">
        <v>78</v>
      </c>
      <c r="R3" s="422" t="s">
        <v>79</v>
      </c>
      <c r="S3" s="423" t="s">
        <v>80</v>
      </c>
      <c r="T3" s="87" t="s">
        <v>360</v>
      </c>
      <c r="U3" s="422" t="s">
        <v>78</v>
      </c>
      <c r="V3" s="422" t="s">
        <v>79</v>
      </c>
      <c r="W3" s="423" t="s">
        <v>80</v>
      </c>
      <c r="X3" s="87" t="s">
        <v>361</v>
      </c>
      <c r="Y3" s="422" t="s">
        <v>78</v>
      </c>
      <c r="Z3" s="422" t="s">
        <v>79</v>
      </c>
      <c r="AA3" s="423" t="s">
        <v>80</v>
      </c>
      <c r="AB3" s="424"/>
      <c r="AC3" s="97" t="s">
        <v>362</v>
      </c>
      <c r="AD3" s="97" t="s">
        <v>362</v>
      </c>
      <c r="AE3" s="97" t="s">
        <v>362</v>
      </c>
      <c r="AF3" s="97" t="s">
        <v>362</v>
      </c>
      <c r="AG3" s="97" t="s">
        <v>362</v>
      </c>
      <c r="AH3" s="97" t="s">
        <v>362</v>
      </c>
      <c r="AI3" s="97" t="s">
        <v>362</v>
      </c>
      <c r="AJ3" s="97" t="s">
        <v>363</v>
      </c>
      <c r="AK3" s="98" t="s">
        <v>364</v>
      </c>
      <c r="AL3" s="98" t="s">
        <v>365</v>
      </c>
      <c r="AM3" s="98" t="s">
        <v>366</v>
      </c>
      <c r="AN3" s="98" t="s">
        <v>367</v>
      </c>
      <c r="AO3" s="98" t="s">
        <v>368</v>
      </c>
      <c r="AP3" s="98" t="s">
        <v>369</v>
      </c>
      <c r="AQ3" s="99" t="s">
        <v>88</v>
      </c>
      <c r="AR3" s="99" t="s">
        <v>370</v>
      </c>
      <c r="AS3" s="99" t="s">
        <v>90</v>
      </c>
      <c r="AT3" s="99" t="s">
        <v>91</v>
      </c>
      <c r="AU3" s="99" t="s">
        <v>371</v>
      </c>
      <c r="AV3" s="100" t="s">
        <v>364</v>
      </c>
      <c r="AW3" s="100" t="s">
        <v>365</v>
      </c>
      <c r="AX3" s="100" t="s">
        <v>366</v>
      </c>
      <c r="AY3" s="100" t="s">
        <v>367</v>
      </c>
      <c r="AZ3" s="100" t="s">
        <v>368</v>
      </c>
      <c r="BA3" s="100" t="s">
        <v>369</v>
      </c>
    </row>
    <row r="4" spans="1:53" ht="12.75" customHeight="1">
      <c r="A4" s="77"/>
      <c r="B4" s="84"/>
      <c r="C4" s="79">
        <v>662</v>
      </c>
      <c r="D4" s="86"/>
      <c r="E4" s="86"/>
      <c r="F4" s="86" t="s">
        <v>72</v>
      </c>
      <c r="G4" s="86"/>
      <c r="H4" s="86"/>
      <c r="I4" s="86"/>
      <c r="J4" s="86"/>
      <c r="K4" s="86"/>
      <c r="L4" s="87" t="s">
        <v>336</v>
      </c>
      <c r="M4" s="425"/>
      <c r="N4" s="425"/>
      <c r="O4" s="426"/>
      <c r="P4" s="87" t="s">
        <v>372</v>
      </c>
      <c r="Q4" s="425"/>
      <c r="R4" s="425"/>
      <c r="S4" s="426"/>
      <c r="T4" s="87" t="s">
        <v>215</v>
      </c>
      <c r="U4" s="425"/>
      <c r="V4" s="425"/>
      <c r="W4" s="426"/>
      <c r="X4" s="87" t="s">
        <v>373</v>
      </c>
      <c r="Y4" s="425"/>
      <c r="Z4" s="425"/>
      <c r="AA4" s="426"/>
      <c r="AB4" s="427"/>
      <c r="AC4" s="101" t="s">
        <v>93</v>
      </c>
      <c r="AD4" s="101" t="s">
        <v>154</v>
      </c>
      <c r="AE4" s="101" t="s">
        <v>336</v>
      </c>
      <c r="AF4" s="101" t="s">
        <v>336</v>
      </c>
      <c r="AG4" s="101" t="s">
        <v>93</v>
      </c>
      <c r="AH4" s="101" t="s">
        <v>93</v>
      </c>
      <c r="AI4" s="101" t="s">
        <v>93</v>
      </c>
      <c r="AJ4" s="101"/>
      <c r="AK4" s="102" t="s">
        <v>94</v>
      </c>
      <c r="AL4" s="97"/>
      <c r="AM4" s="97"/>
      <c r="AN4" s="97"/>
      <c r="AO4" s="97"/>
      <c r="AP4" s="97"/>
      <c r="AQ4" s="103"/>
      <c r="AR4" s="103"/>
      <c r="AS4" s="103" t="s">
        <v>95</v>
      </c>
      <c r="AT4" s="103" t="s">
        <v>95</v>
      </c>
      <c r="AU4" s="104"/>
      <c r="AV4" s="105"/>
      <c r="AW4" s="105"/>
      <c r="AX4" s="105"/>
      <c r="AY4" s="105"/>
      <c r="AZ4" s="105"/>
      <c r="BA4" s="105"/>
    </row>
    <row r="5" spans="1:53" ht="12.75"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427"/>
      <c r="AC5" s="101">
        <v>0</v>
      </c>
      <c r="AD5" s="101">
        <v>0</v>
      </c>
      <c r="AE5" s="101">
        <v>0</v>
      </c>
      <c r="AF5" s="101">
        <v>0</v>
      </c>
      <c r="AG5" s="101">
        <v>0</v>
      </c>
      <c r="AH5" s="101">
        <v>0</v>
      </c>
      <c r="AI5" s="101">
        <v>0</v>
      </c>
      <c r="AJ5" s="101"/>
      <c r="AK5" s="97"/>
      <c r="AL5" s="97"/>
      <c r="AM5" s="97"/>
      <c r="AN5" s="97"/>
      <c r="AO5" s="97"/>
      <c r="AP5" s="97"/>
      <c r="AQ5" s="104"/>
      <c r="AR5" s="104"/>
      <c r="AS5" s="104"/>
      <c r="AT5" s="104"/>
      <c r="AU5" s="104"/>
      <c r="AV5" s="105"/>
      <c r="AW5" s="105"/>
      <c r="AX5" s="105"/>
      <c r="AY5" s="105"/>
      <c r="AZ5" s="105"/>
      <c r="BA5" s="105"/>
    </row>
    <row r="6" spans="1:53" ht="12.75"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427"/>
      <c r="AC6" s="101" t="s">
        <v>96</v>
      </c>
      <c r="AD6" s="101" t="s">
        <v>96</v>
      </c>
      <c r="AE6" s="101" t="s">
        <v>96</v>
      </c>
      <c r="AF6" s="101" t="s">
        <v>374</v>
      </c>
      <c r="AG6" s="101" t="s">
        <v>96</v>
      </c>
      <c r="AH6" s="101" t="s">
        <v>96</v>
      </c>
      <c r="AI6" s="101" t="s">
        <v>96</v>
      </c>
      <c r="AJ6" s="101"/>
      <c r="AK6" s="106"/>
      <c r="AL6" s="106"/>
      <c r="AM6" s="106"/>
      <c r="AN6" s="106"/>
      <c r="AO6" s="106"/>
      <c r="AP6" s="106"/>
      <c r="AQ6" s="104"/>
      <c r="AR6" s="104"/>
      <c r="AS6" s="428"/>
      <c r="AT6" s="428"/>
      <c r="AU6" s="107"/>
      <c r="AV6" s="105"/>
      <c r="AW6" s="105"/>
      <c r="AX6" s="105"/>
      <c r="AY6" s="105"/>
      <c r="AZ6" s="105"/>
      <c r="BA6" s="105"/>
    </row>
    <row r="7" spans="1:53">
      <c r="A7" s="330">
        <v>78566</v>
      </c>
      <c r="B7" s="331" t="s">
        <v>97</v>
      </c>
      <c r="C7" s="88"/>
      <c r="D7" s="294" t="s">
        <v>98</v>
      </c>
      <c r="E7" s="295">
        <v>0</v>
      </c>
      <c r="F7" s="429" t="s">
        <v>335</v>
      </c>
      <c r="G7" s="430" t="s">
        <v>336</v>
      </c>
      <c r="H7" s="431" t="s">
        <v>98</v>
      </c>
      <c r="I7" s="431" t="s">
        <v>98</v>
      </c>
      <c r="J7" s="89">
        <v>0</v>
      </c>
      <c r="K7" s="430" t="s">
        <v>96</v>
      </c>
      <c r="L7" s="90">
        <f>IF($A7=L$1,1,0)</f>
        <v>1</v>
      </c>
      <c r="M7" s="91"/>
      <c r="N7" s="92"/>
      <c r="O7" s="93"/>
      <c r="P7" s="90">
        <f>IF($A7=P$1,1,0)</f>
        <v>0</v>
      </c>
      <c r="Q7" s="91"/>
      <c r="R7" s="92"/>
      <c r="S7" s="93"/>
      <c r="T7" s="90">
        <f>IF($A7=T$1,1,0)</f>
        <v>0</v>
      </c>
      <c r="U7" s="91"/>
      <c r="V7" s="92"/>
      <c r="W7" s="93"/>
      <c r="X7" s="90">
        <f>IF($A7=X$1,1,0)</f>
        <v>0</v>
      </c>
      <c r="Y7" s="91"/>
      <c r="Z7" s="92"/>
      <c r="AA7" s="93"/>
      <c r="AB7" s="427"/>
      <c r="AC7" s="101"/>
      <c r="AD7" s="101"/>
      <c r="AE7" s="101"/>
      <c r="AF7" s="101"/>
      <c r="AG7" s="101"/>
      <c r="AH7" s="101"/>
      <c r="AI7" s="101"/>
      <c r="AJ7" s="101"/>
      <c r="AK7" s="97"/>
      <c r="AL7" s="97"/>
      <c r="AM7" s="97"/>
      <c r="AN7" s="97"/>
      <c r="AO7" s="97"/>
      <c r="AP7" s="97"/>
      <c r="AQ7" s="104"/>
      <c r="AR7" s="104"/>
      <c r="AS7" s="104"/>
      <c r="AT7" s="104"/>
      <c r="AU7" s="104"/>
      <c r="AV7" s="104"/>
      <c r="AW7" s="104"/>
      <c r="AX7" s="104"/>
      <c r="AY7" s="104"/>
      <c r="AZ7" s="104"/>
      <c r="BA7" s="104"/>
    </row>
    <row r="8" spans="1:53">
      <c r="A8" s="330">
        <v>261396</v>
      </c>
      <c r="B8" s="331"/>
      <c r="C8" s="88"/>
      <c r="D8" s="294" t="s">
        <v>98</v>
      </c>
      <c r="E8" s="295">
        <v>0</v>
      </c>
      <c r="F8" s="429" t="s">
        <v>359</v>
      </c>
      <c r="G8" s="430" t="s">
        <v>372</v>
      </c>
      <c r="H8" s="431" t="s">
        <v>98</v>
      </c>
      <c r="I8" s="431" t="s">
        <v>98</v>
      </c>
      <c r="J8" s="89">
        <v>0</v>
      </c>
      <c r="K8" s="430" t="s">
        <v>96</v>
      </c>
      <c r="L8" s="90">
        <f>IF($A8=L$1,1,0)</f>
        <v>0</v>
      </c>
      <c r="M8" s="91"/>
      <c r="N8" s="92"/>
      <c r="O8" s="93"/>
      <c r="P8" s="90">
        <f>IF($A8=P$1,1,0)</f>
        <v>1</v>
      </c>
      <c r="Q8" s="91"/>
      <c r="R8" s="92"/>
      <c r="S8" s="93"/>
      <c r="T8" s="90">
        <f>IF($A8=T$1,1,0)</f>
        <v>0</v>
      </c>
      <c r="U8" s="91"/>
      <c r="V8" s="92"/>
      <c r="W8" s="93"/>
      <c r="X8" s="90">
        <f>IF($A8=X$1,1,0)</f>
        <v>0</v>
      </c>
      <c r="Y8" s="91"/>
      <c r="Z8" s="92"/>
      <c r="AA8" s="93"/>
      <c r="AB8" s="427"/>
      <c r="AC8" s="101"/>
      <c r="AD8" s="101"/>
      <c r="AE8" s="101"/>
      <c r="AF8" s="101"/>
      <c r="AG8" s="101"/>
      <c r="AH8" s="101"/>
      <c r="AI8" s="101"/>
      <c r="AJ8" s="101"/>
      <c r="AK8" s="97"/>
      <c r="AL8" s="97"/>
      <c r="AM8" s="97"/>
      <c r="AN8" s="97"/>
      <c r="AO8" s="97"/>
      <c r="AP8" s="97"/>
      <c r="AQ8" s="104"/>
      <c r="AR8" s="104"/>
      <c r="AS8" s="104"/>
      <c r="AT8" s="104"/>
      <c r="AU8" s="104"/>
      <c r="AV8" s="104"/>
      <c r="AW8" s="104"/>
      <c r="AX8" s="104"/>
      <c r="AY8" s="104"/>
      <c r="AZ8" s="104"/>
      <c r="BA8" s="104"/>
    </row>
    <row r="9" spans="1:53">
      <c r="A9" s="330">
        <v>264187</v>
      </c>
      <c r="B9" s="331"/>
      <c r="C9" s="88"/>
      <c r="D9" s="294" t="s">
        <v>98</v>
      </c>
      <c r="E9" s="295">
        <v>0</v>
      </c>
      <c r="F9" s="429" t="s">
        <v>360</v>
      </c>
      <c r="G9" s="430" t="s">
        <v>215</v>
      </c>
      <c r="H9" s="431" t="s">
        <v>98</v>
      </c>
      <c r="I9" s="431" t="s">
        <v>98</v>
      </c>
      <c r="J9" s="89">
        <v>0</v>
      </c>
      <c r="K9" s="430" t="s">
        <v>96</v>
      </c>
      <c r="L9" s="90">
        <f>IF($A9=L$1,1,0)</f>
        <v>0</v>
      </c>
      <c r="M9" s="91"/>
      <c r="N9" s="92"/>
      <c r="O9" s="93"/>
      <c r="P9" s="90">
        <f>IF($A9=P$1,1,0)</f>
        <v>0</v>
      </c>
      <c r="Q9" s="91"/>
      <c r="R9" s="92"/>
      <c r="S9" s="93"/>
      <c r="T9" s="90">
        <f>IF($A9=T$1,1,0)</f>
        <v>1</v>
      </c>
      <c r="U9" s="91"/>
      <c r="V9" s="92"/>
      <c r="W9" s="93"/>
      <c r="X9" s="90">
        <f>IF($A9=X$1,1,0)</f>
        <v>0</v>
      </c>
      <c r="Y9" s="91"/>
      <c r="Z9" s="92"/>
      <c r="AA9" s="93"/>
      <c r="AB9" s="427"/>
      <c r="AC9" s="101"/>
      <c r="AD9" s="101"/>
      <c r="AE9" s="101"/>
      <c r="AF9" s="101"/>
      <c r="AG9" s="101"/>
      <c r="AH9" s="101"/>
      <c r="AI9" s="101"/>
      <c r="AJ9" s="101"/>
      <c r="AK9" s="97"/>
      <c r="AL9" s="97"/>
      <c r="AM9" s="97"/>
      <c r="AN9" s="97"/>
      <c r="AO9" s="97"/>
      <c r="AP9" s="97"/>
      <c r="AQ9" s="104"/>
      <c r="AR9" s="104"/>
      <c r="AS9" s="104"/>
      <c r="AT9" s="104"/>
      <c r="AU9" s="104"/>
      <c r="AV9" s="104"/>
      <c r="AW9" s="104"/>
      <c r="AX9" s="104"/>
      <c r="AY9" s="104"/>
      <c r="AZ9" s="104"/>
      <c r="BA9" s="104"/>
    </row>
    <row r="10" spans="1:53">
      <c r="A10" s="330">
        <v>261500</v>
      </c>
      <c r="B10" s="331"/>
      <c r="C10" s="88"/>
      <c r="D10" s="294" t="s">
        <v>98</v>
      </c>
      <c r="E10" s="295">
        <v>0</v>
      </c>
      <c r="F10" s="429" t="s">
        <v>361</v>
      </c>
      <c r="G10" s="430" t="s">
        <v>373</v>
      </c>
      <c r="H10" s="431" t="s">
        <v>98</v>
      </c>
      <c r="I10" s="431" t="s">
        <v>98</v>
      </c>
      <c r="J10" s="89">
        <v>0</v>
      </c>
      <c r="K10" s="430" t="s">
        <v>96</v>
      </c>
      <c r="L10" s="90">
        <f>IF($A10=L$1,1,0)</f>
        <v>0</v>
      </c>
      <c r="M10" s="91"/>
      <c r="N10" s="92"/>
      <c r="O10" s="93"/>
      <c r="P10" s="90">
        <f>IF($A10=P$1,1,0)</f>
        <v>0</v>
      </c>
      <c r="Q10" s="91"/>
      <c r="R10" s="92"/>
      <c r="S10" s="93"/>
      <c r="T10" s="90">
        <f>IF($A10=T$1,1,0)</f>
        <v>0</v>
      </c>
      <c r="U10" s="91"/>
      <c r="V10" s="92"/>
      <c r="W10" s="93"/>
      <c r="X10" s="90">
        <f>IF($A10=X$1,1,0)</f>
        <v>1</v>
      </c>
      <c r="Y10" s="91"/>
      <c r="Z10" s="92"/>
      <c r="AA10" s="93"/>
      <c r="AB10" s="427"/>
      <c r="AC10" s="101"/>
      <c r="AD10" s="101"/>
      <c r="AE10" s="101"/>
      <c r="AF10" s="101"/>
      <c r="AG10" s="101"/>
      <c r="AH10" s="101"/>
      <c r="AI10" s="101"/>
      <c r="AJ10" s="101"/>
      <c r="AK10" s="97"/>
      <c r="AL10" s="97"/>
      <c r="AM10" s="97"/>
      <c r="AN10" s="97"/>
      <c r="AO10" s="97"/>
      <c r="AP10" s="97"/>
      <c r="AQ10" s="104"/>
      <c r="AR10" s="104"/>
      <c r="AS10" s="104"/>
      <c r="AT10" s="104"/>
      <c r="AU10" s="104"/>
      <c r="AV10" s="104"/>
      <c r="AW10" s="104"/>
      <c r="AX10" s="104"/>
      <c r="AY10" s="104"/>
      <c r="AZ10" s="104"/>
      <c r="BA10" s="104"/>
    </row>
    <row r="11" spans="1:53" ht="36" customHeight="1">
      <c r="A11" s="330">
        <v>73586</v>
      </c>
      <c r="B11" s="331" t="s">
        <v>375</v>
      </c>
      <c r="C11" s="88"/>
      <c r="D11" s="340">
        <v>5</v>
      </c>
      <c r="E11" s="341" t="s">
        <v>98</v>
      </c>
      <c r="F11" s="432" t="s">
        <v>376</v>
      </c>
      <c r="G11" s="433" t="s">
        <v>336</v>
      </c>
      <c r="H11" s="434" t="s">
        <v>98</v>
      </c>
      <c r="I11" s="434" t="s">
        <v>98</v>
      </c>
      <c r="J11" s="94">
        <v>0</v>
      </c>
      <c r="K11" s="433" t="s">
        <v>109</v>
      </c>
      <c r="L11" s="435">
        <f>$T$60</f>
        <v>12</v>
      </c>
      <c r="M11" s="95">
        <v>1</v>
      </c>
      <c r="N11" s="96">
        <f t="shared" ref="N11:N54" si="0">$AT11</f>
        <v>1.2237593405947058</v>
      </c>
      <c r="O11" s="432" t="str">
        <f t="shared" ref="O11:O54" si="1">$AU11&amp;"; "&amp;$AJ11</f>
        <v>(2,2,4,1,1,3); de Wild-Scholten, M. &amp; de Wild, P. (2023). PV industry data collection; Saevarsdottir et al. (2021); Takla et al. (2013)</v>
      </c>
      <c r="P11" s="435">
        <v>0</v>
      </c>
      <c r="Q11" s="95">
        <v>1</v>
      </c>
      <c r="R11" s="96">
        <f t="shared" ref="R11:R54" si="2">$AT11</f>
        <v>1.2237593405947058</v>
      </c>
      <c r="S11" s="432" t="str">
        <f t="shared" ref="S11:S54" si="3">$AU11&amp;"; "&amp;$AJ11</f>
        <v>(2,2,4,1,1,3); de Wild-Scholten, M. &amp; de Wild, P. (2023). PV industry data collection; Saevarsdottir et al. (2021); Takla et al. (2013)</v>
      </c>
      <c r="T11" s="435">
        <v>0</v>
      </c>
      <c r="U11" s="95">
        <v>1</v>
      </c>
      <c r="V11" s="96">
        <f t="shared" ref="V11:V54" si="4">$AT11</f>
        <v>1.2237593405947058</v>
      </c>
      <c r="W11" s="432" t="str">
        <f t="shared" ref="W11:W54" si="5">$AU11&amp;"; "&amp;$AJ11</f>
        <v>(2,2,4,1,1,3); de Wild-Scholten, M. &amp; de Wild, P. (2023). PV industry data collection; Saevarsdottir et al. (2021); Takla et al. (2013)</v>
      </c>
      <c r="X11" s="435">
        <v>0</v>
      </c>
      <c r="Y11" s="95">
        <v>1</v>
      </c>
      <c r="Z11" s="96">
        <f t="shared" ref="Z11:Z54" si="6">$AT11</f>
        <v>1.2237593405947058</v>
      </c>
      <c r="AA11" s="432" t="str">
        <f t="shared" ref="AA11:AA54" si="7">$AU11&amp;"; "&amp;$AJ11</f>
        <v>(2,2,4,1,1,3); de Wild-Scholten, M. &amp; de Wild, P. (2023). PV industry data collection; Saevarsdottir et al. (2021); Takla et al. (2013)</v>
      </c>
      <c r="AB11" s="427"/>
      <c r="AC11" s="111" t="s">
        <v>377</v>
      </c>
      <c r="AD11" s="111" t="s">
        <v>378</v>
      </c>
      <c r="AE11" s="111"/>
      <c r="AF11" s="111"/>
      <c r="AG11" s="111">
        <f>0.000054*1000000/3.6</f>
        <v>15</v>
      </c>
      <c r="AH11" s="111">
        <f>0.000050004*1000000/3.6</f>
        <v>13.889999999999999</v>
      </c>
      <c r="AI11" s="111">
        <v>13.8888888888889</v>
      </c>
      <c r="AJ11" s="77" t="s">
        <v>379</v>
      </c>
      <c r="AK11" s="339">
        <v>2</v>
      </c>
      <c r="AL11" s="339">
        <v>2</v>
      </c>
      <c r="AM11" s="339">
        <v>4</v>
      </c>
      <c r="AN11" s="339">
        <v>1</v>
      </c>
      <c r="AO11" s="339">
        <v>1</v>
      </c>
      <c r="AP11" s="339">
        <v>3</v>
      </c>
      <c r="AQ11" s="104">
        <v>3</v>
      </c>
      <c r="AR11" s="104">
        <v>1.05</v>
      </c>
      <c r="AS11" s="107">
        <f t="shared" ref="AS11:AS54" si="8">EXP(SQRT((LN(AV11)^2)+(LN(AW11)^2)+(LN(AX11)^2)+(LN(AY11)^2)+(LN(AZ11)^2)+(LN(BA11)^2)))</f>
        <v>1.2164594125584303</v>
      </c>
      <c r="AT11" s="107">
        <f t="shared" ref="AT11:AT54" si="9">EXP(SQRT((LN(AV11)^2)+(LN(AW11)^2)+(LN(AX11)^2)+(LN(AY11)^2)+(LN(AZ11)^2)+(LN(BA11)^2)+LN(AR11)^2))</f>
        <v>1.2237593405947058</v>
      </c>
      <c r="AU11" s="107" t="str">
        <f t="shared" ref="AU11:AU54" si="10">CONCATENATE("(",AK11,",",AL11,",",AM11,",",AN11,",",AO11,",",AP11,")")</f>
        <v>(2,2,4,1,1,3)</v>
      </c>
      <c r="AV11" s="108">
        <v>1.05</v>
      </c>
      <c r="AW11" s="108">
        <v>1.02</v>
      </c>
      <c r="AX11" s="108">
        <v>1.2</v>
      </c>
      <c r="AY11" s="108">
        <v>1</v>
      </c>
      <c r="AZ11" s="108">
        <v>1</v>
      </c>
      <c r="BA11" s="108">
        <v>1.05</v>
      </c>
    </row>
    <row r="12" spans="1:53" ht="36" customHeight="1">
      <c r="A12" s="330">
        <v>267914</v>
      </c>
      <c r="B12" s="331"/>
      <c r="C12" s="88"/>
      <c r="D12" s="340">
        <v>5</v>
      </c>
      <c r="E12" s="341" t="s">
        <v>98</v>
      </c>
      <c r="F12" s="432" t="s">
        <v>380</v>
      </c>
      <c r="G12" s="433" t="s">
        <v>372</v>
      </c>
      <c r="H12" s="434" t="s">
        <v>98</v>
      </c>
      <c r="I12" s="434" t="s">
        <v>98</v>
      </c>
      <c r="J12" s="94">
        <v>0</v>
      </c>
      <c r="K12" s="433" t="s">
        <v>109</v>
      </c>
      <c r="L12" s="435">
        <v>0</v>
      </c>
      <c r="M12" s="95">
        <v>1</v>
      </c>
      <c r="N12" s="96">
        <f t="shared" si="0"/>
        <v>1.2237593405947058</v>
      </c>
      <c r="O12" s="432" t="str">
        <f t="shared" si="1"/>
        <v>(2,2,4,1,1,3); de Wild-Scholten, M. &amp; de Wild, P. (2023). PV industry data collection; Saevarsdottir et al. (2021); Takla et al. (2013)</v>
      </c>
      <c r="P12" s="435">
        <f>$T$60</f>
        <v>12</v>
      </c>
      <c r="Q12" s="95">
        <v>1</v>
      </c>
      <c r="R12" s="96">
        <f t="shared" si="2"/>
        <v>1.2237593405947058</v>
      </c>
      <c r="S12" s="432" t="str">
        <f t="shared" si="3"/>
        <v>(2,2,4,1,1,3); de Wild-Scholten, M. &amp; de Wild, P. (2023). PV industry data collection; Saevarsdottir et al. (2021); Takla et al. (2013)</v>
      </c>
      <c r="T12" s="435">
        <v>0</v>
      </c>
      <c r="U12" s="95">
        <v>1</v>
      </c>
      <c r="V12" s="96">
        <f t="shared" si="4"/>
        <v>1.2237593405947058</v>
      </c>
      <c r="W12" s="432" t="str">
        <f t="shared" si="5"/>
        <v>(2,2,4,1,1,3); de Wild-Scholten, M. &amp; de Wild, P. (2023). PV industry data collection; Saevarsdottir et al. (2021); Takla et al. (2013)</v>
      </c>
      <c r="X12" s="435">
        <v>0</v>
      </c>
      <c r="Y12" s="95">
        <v>1</v>
      </c>
      <c r="Z12" s="96">
        <f t="shared" si="6"/>
        <v>1.2237593405947058</v>
      </c>
      <c r="AA12" s="432" t="str">
        <f t="shared" si="7"/>
        <v>(2,2,4,1,1,3); de Wild-Scholten, M. &amp; de Wild, P. (2023). PV industry data collection; Saevarsdottir et al. (2021); Takla et al. (2013)</v>
      </c>
      <c r="AB12" s="427"/>
      <c r="AC12" s="111"/>
      <c r="AD12" s="111"/>
      <c r="AE12" s="111"/>
      <c r="AF12" s="111"/>
      <c r="AG12" s="111"/>
      <c r="AH12" s="111"/>
      <c r="AI12" s="111"/>
      <c r="AJ12" s="77" t="s">
        <v>379</v>
      </c>
      <c r="AK12" s="339">
        <v>2</v>
      </c>
      <c r="AL12" s="339">
        <v>2</v>
      </c>
      <c r="AM12" s="339">
        <v>4</v>
      </c>
      <c r="AN12" s="339">
        <v>1</v>
      </c>
      <c r="AO12" s="339">
        <v>1</v>
      </c>
      <c r="AP12" s="339">
        <v>3</v>
      </c>
      <c r="AQ12" s="104">
        <v>3</v>
      </c>
      <c r="AR12" s="104">
        <v>1.05</v>
      </c>
      <c r="AS12" s="107">
        <f t="shared" si="8"/>
        <v>1.2164594125584303</v>
      </c>
      <c r="AT12" s="107">
        <f t="shared" si="9"/>
        <v>1.2237593405947058</v>
      </c>
      <c r="AU12" s="107" t="str">
        <f t="shared" si="10"/>
        <v>(2,2,4,1,1,3)</v>
      </c>
      <c r="AV12" s="108">
        <v>1.05</v>
      </c>
      <c r="AW12" s="108">
        <v>1.02</v>
      </c>
      <c r="AX12" s="108">
        <v>1.2</v>
      </c>
      <c r="AY12" s="108">
        <v>1</v>
      </c>
      <c r="AZ12" s="108">
        <v>1</v>
      </c>
      <c r="BA12" s="108">
        <v>1.05</v>
      </c>
    </row>
    <row r="13" spans="1:53" ht="36" customHeight="1">
      <c r="A13" s="330">
        <v>19772</v>
      </c>
      <c r="B13" s="331"/>
      <c r="C13" s="88"/>
      <c r="D13" s="340">
        <v>5</v>
      </c>
      <c r="E13" s="341" t="s">
        <v>98</v>
      </c>
      <c r="F13" s="432" t="s">
        <v>225</v>
      </c>
      <c r="G13" s="433" t="s">
        <v>215</v>
      </c>
      <c r="H13" s="434" t="s">
        <v>98</v>
      </c>
      <c r="I13" s="434" t="s">
        <v>98</v>
      </c>
      <c r="J13" s="94">
        <v>0</v>
      </c>
      <c r="K13" s="433" t="s">
        <v>109</v>
      </c>
      <c r="L13" s="435">
        <v>0</v>
      </c>
      <c r="M13" s="95">
        <v>1</v>
      </c>
      <c r="N13" s="96">
        <f t="shared" si="0"/>
        <v>1.2237593405947058</v>
      </c>
      <c r="O13" s="432" t="str">
        <f t="shared" si="1"/>
        <v>(2,2,4,1,1,3); de Wild-Scholten, M. &amp; de Wild, P. (2023). PV industry data collection; Saevarsdottir et al. (2021); Takla et al. (2013)</v>
      </c>
      <c r="P13" s="435">
        <v>0</v>
      </c>
      <c r="Q13" s="95">
        <v>1</v>
      </c>
      <c r="R13" s="96">
        <f t="shared" si="2"/>
        <v>1.2237593405947058</v>
      </c>
      <c r="S13" s="432" t="str">
        <f t="shared" si="3"/>
        <v>(2,2,4,1,1,3); de Wild-Scholten, M. &amp; de Wild, P. (2023). PV industry data collection; Saevarsdottir et al. (2021); Takla et al. (2013)</v>
      </c>
      <c r="T13" s="435">
        <f>$T$60</f>
        <v>12</v>
      </c>
      <c r="U13" s="95">
        <v>1</v>
      </c>
      <c r="V13" s="96">
        <f t="shared" si="4"/>
        <v>1.2237593405947058</v>
      </c>
      <c r="W13" s="432" t="str">
        <f t="shared" si="5"/>
        <v>(2,2,4,1,1,3); de Wild-Scholten, M. &amp; de Wild, P. (2023). PV industry data collection; Saevarsdottir et al. (2021); Takla et al. (2013)</v>
      </c>
      <c r="X13" s="435">
        <v>0</v>
      </c>
      <c r="Y13" s="95">
        <v>1</v>
      </c>
      <c r="Z13" s="96">
        <f t="shared" si="6"/>
        <v>1.2237593405947058</v>
      </c>
      <c r="AA13" s="432" t="str">
        <f t="shared" si="7"/>
        <v>(2,2,4,1,1,3); de Wild-Scholten, M. &amp; de Wild, P. (2023). PV industry data collection; Saevarsdottir et al. (2021); Takla et al. (2013)</v>
      </c>
      <c r="AB13" s="112"/>
      <c r="AC13" s="111"/>
      <c r="AD13" s="111"/>
      <c r="AE13" s="111"/>
      <c r="AF13" s="111"/>
      <c r="AG13" s="111"/>
      <c r="AH13" s="111"/>
      <c r="AI13" s="111"/>
      <c r="AJ13" s="77" t="s">
        <v>379</v>
      </c>
      <c r="AK13" s="339">
        <v>2</v>
      </c>
      <c r="AL13" s="339">
        <v>2</v>
      </c>
      <c r="AM13" s="339">
        <v>4</v>
      </c>
      <c r="AN13" s="339">
        <v>1</v>
      </c>
      <c r="AO13" s="339">
        <v>1</v>
      </c>
      <c r="AP13" s="339">
        <v>3</v>
      </c>
      <c r="AQ13" s="104">
        <v>3</v>
      </c>
      <c r="AR13" s="104">
        <v>1.05</v>
      </c>
      <c r="AS13" s="107">
        <f t="shared" si="8"/>
        <v>1.2164594125584303</v>
      </c>
      <c r="AT13" s="107">
        <f t="shared" si="9"/>
        <v>1.2237593405947058</v>
      </c>
      <c r="AU13" s="107" t="str">
        <f t="shared" si="10"/>
        <v>(2,2,4,1,1,3)</v>
      </c>
      <c r="AV13" s="108">
        <v>1.05</v>
      </c>
      <c r="AW13" s="108">
        <v>1.02</v>
      </c>
      <c r="AX13" s="108">
        <v>1.2</v>
      </c>
      <c r="AY13" s="108">
        <v>1</v>
      </c>
      <c r="AZ13" s="108">
        <v>1</v>
      </c>
      <c r="BA13" s="108">
        <v>1.05</v>
      </c>
    </row>
    <row r="14" spans="1:53" ht="36" customHeight="1">
      <c r="A14" s="330">
        <v>259809</v>
      </c>
      <c r="B14" s="331"/>
      <c r="C14" s="88"/>
      <c r="D14" s="340">
        <v>5</v>
      </c>
      <c r="E14" s="341" t="s">
        <v>98</v>
      </c>
      <c r="F14" s="432" t="s">
        <v>381</v>
      </c>
      <c r="G14" s="433" t="s">
        <v>382</v>
      </c>
      <c r="H14" s="434" t="s">
        <v>98</v>
      </c>
      <c r="I14" s="434" t="s">
        <v>98</v>
      </c>
      <c r="J14" s="94">
        <v>0</v>
      </c>
      <c r="K14" s="433" t="s">
        <v>109</v>
      </c>
      <c r="L14" s="435">
        <v>0</v>
      </c>
      <c r="M14" s="95">
        <v>1</v>
      </c>
      <c r="N14" s="96">
        <f t="shared" si="0"/>
        <v>1.2237593405947058</v>
      </c>
      <c r="O14" s="432" t="str">
        <f t="shared" si="1"/>
        <v>(2,2,4,1,1,3); de Wild-Scholten, M. &amp; de Wild, P. (2023). PV industry data collection; Saevarsdottir et al. (2021); Takla et al. (2013)</v>
      </c>
      <c r="P14" s="435">
        <v>0</v>
      </c>
      <c r="Q14" s="95">
        <v>1</v>
      </c>
      <c r="R14" s="96">
        <f t="shared" si="2"/>
        <v>1.2237593405947058</v>
      </c>
      <c r="S14" s="432" t="str">
        <f t="shared" si="3"/>
        <v>(2,2,4,1,1,3); de Wild-Scholten, M. &amp; de Wild, P. (2023). PV industry data collection; Saevarsdottir et al. (2021); Takla et al. (2013)</v>
      </c>
      <c r="T14" s="435">
        <v>0</v>
      </c>
      <c r="U14" s="95">
        <v>1</v>
      </c>
      <c r="V14" s="96">
        <f t="shared" si="4"/>
        <v>1.2237593405947058</v>
      </c>
      <c r="W14" s="432" t="str">
        <f t="shared" si="5"/>
        <v>(2,2,4,1,1,3); de Wild-Scholten, M. &amp; de Wild, P. (2023). PV industry data collection; Saevarsdottir et al. (2021); Takla et al. (2013)</v>
      </c>
      <c r="X14" s="435">
        <f>$T$60</f>
        <v>12</v>
      </c>
      <c r="Y14" s="95">
        <v>1</v>
      </c>
      <c r="Z14" s="96">
        <f t="shared" si="6"/>
        <v>1.2237593405947058</v>
      </c>
      <c r="AA14" s="432" t="str">
        <f t="shared" si="7"/>
        <v>(2,2,4,1,1,3); de Wild-Scholten, M. &amp; de Wild, P. (2023). PV industry data collection; Saevarsdottir et al. (2021); Takla et al. (2013)</v>
      </c>
      <c r="AB14" s="112"/>
      <c r="AC14" s="111"/>
      <c r="AD14" s="111"/>
      <c r="AE14" s="111"/>
      <c r="AF14" s="111"/>
      <c r="AG14" s="111"/>
      <c r="AH14" s="111"/>
      <c r="AI14" s="111"/>
      <c r="AJ14" s="77" t="s">
        <v>379</v>
      </c>
      <c r="AK14" s="339">
        <v>2</v>
      </c>
      <c r="AL14" s="339">
        <v>2</v>
      </c>
      <c r="AM14" s="339">
        <v>4</v>
      </c>
      <c r="AN14" s="339">
        <v>1</v>
      </c>
      <c r="AO14" s="339">
        <v>1</v>
      </c>
      <c r="AP14" s="339">
        <v>3</v>
      </c>
      <c r="AQ14" s="104">
        <v>3</v>
      </c>
      <c r="AR14" s="104">
        <v>1.05</v>
      </c>
      <c r="AS14" s="107">
        <f t="shared" si="8"/>
        <v>1.2164594125584303</v>
      </c>
      <c r="AT14" s="107">
        <f t="shared" si="9"/>
        <v>1.2237593405947058</v>
      </c>
      <c r="AU14" s="107" t="str">
        <f t="shared" si="10"/>
        <v>(2,2,4,1,1,3)</v>
      </c>
      <c r="AV14" s="108">
        <v>1.05</v>
      </c>
      <c r="AW14" s="108">
        <v>1.02</v>
      </c>
      <c r="AX14" s="108">
        <v>1.2</v>
      </c>
      <c r="AY14" s="108">
        <v>1</v>
      </c>
      <c r="AZ14" s="108">
        <v>1</v>
      </c>
      <c r="BA14" s="108">
        <v>1.05</v>
      </c>
    </row>
    <row r="15" spans="1:53" ht="36">
      <c r="A15" s="330">
        <v>264185</v>
      </c>
      <c r="B15" s="331"/>
      <c r="C15" s="88"/>
      <c r="D15" s="340">
        <v>5</v>
      </c>
      <c r="E15" s="341" t="s">
        <v>98</v>
      </c>
      <c r="F15" s="432" t="s">
        <v>383</v>
      </c>
      <c r="G15" s="433" t="s">
        <v>93</v>
      </c>
      <c r="H15" s="434" t="s">
        <v>98</v>
      </c>
      <c r="I15" s="434" t="s">
        <v>98</v>
      </c>
      <c r="J15" s="94">
        <v>0</v>
      </c>
      <c r="K15" s="433" t="s">
        <v>96</v>
      </c>
      <c r="L15" s="435">
        <f>1.35/415</f>
        <v>3.2530120481927714E-3</v>
      </c>
      <c r="M15" s="95">
        <v>1</v>
      </c>
      <c r="N15" s="96">
        <f t="shared" si="0"/>
        <v>1.2237593405947058</v>
      </c>
      <c r="O15" s="432" t="str">
        <f t="shared" si="1"/>
        <v>(2,2,4,1,1,3); Literature, 1.35 kg</v>
      </c>
      <c r="P15" s="435">
        <f t="shared" ref="P15:P54" si="11">L15</f>
        <v>3.2530120481927714E-3</v>
      </c>
      <c r="Q15" s="95">
        <v>1</v>
      </c>
      <c r="R15" s="96">
        <f t="shared" si="2"/>
        <v>1.2237593405947058</v>
      </c>
      <c r="S15" s="432" t="str">
        <f t="shared" si="3"/>
        <v>(2,2,4,1,1,3); Literature, 1.35 kg</v>
      </c>
      <c r="T15" s="435">
        <f t="shared" ref="T15:T54" si="12">P15</f>
        <v>3.2530120481927714E-3</v>
      </c>
      <c r="U15" s="95">
        <v>1</v>
      </c>
      <c r="V15" s="96">
        <f t="shared" si="4"/>
        <v>1.2237593405947058</v>
      </c>
      <c r="W15" s="432" t="str">
        <f t="shared" si="5"/>
        <v>(2,2,4,1,1,3); Literature, 1.35 kg</v>
      </c>
      <c r="X15" s="435">
        <f t="shared" ref="X15:X54" si="13">T15</f>
        <v>3.2530120481927714E-3</v>
      </c>
      <c r="Y15" s="95">
        <v>1</v>
      </c>
      <c r="Z15" s="96">
        <f t="shared" si="6"/>
        <v>1.2237593405947058</v>
      </c>
      <c r="AA15" s="432" t="str">
        <f t="shared" si="7"/>
        <v>(2,2,4,1,1,3); Literature, 1.35 kg</v>
      </c>
      <c r="AB15" s="112"/>
      <c r="AC15" s="111">
        <f>1.5/759</f>
        <v>1.976284584980237E-3</v>
      </c>
      <c r="AD15" s="111"/>
      <c r="AE15" s="111"/>
      <c r="AF15" s="111"/>
      <c r="AG15" s="111">
        <f>0.3/759</f>
        <v>3.9525691699604743E-4</v>
      </c>
      <c r="AH15" s="111">
        <f>1.32/759</f>
        <v>1.7391304347826088E-3</v>
      </c>
      <c r="AI15" s="111">
        <v>1.9762845849802401E-3</v>
      </c>
      <c r="AJ15" s="77" t="s">
        <v>384</v>
      </c>
      <c r="AK15" s="339">
        <v>2</v>
      </c>
      <c r="AL15" s="339">
        <v>2</v>
      </c>
      <c r="AM15" s="339">
        <v>4</v>
      </c>
      <c r="AN15" s="339">
        <v>1</v>
      </c>
      <c r="AO15" s="339">
        <v>1</v>
      </c>
      <c r="AP15" s="339">
        <v>3</v>
      </c>
      <c r="AQ15" s="104">
        <v>3</v>
      </c>
      <c r="AR15" s="104">
        <v>1.05</v>
      </c>
      <c r="AS15" s="107">
        <f t="shared" si="8"/>
        <v>1.2164594125584303</v>
      </c>
      <c r="AT15" s="107">
        <f t="shared" si="9"/>
        <v>1.2237593405947058</v>
      </c>
      <c r="AU15" s="107" t="str">
        <f t="shared" si="10"/>
        <v>(2,2,4,1,1,3)</v>
      </c>
      <c r="AV15" s="108">
        <v>1.05</v>
      </c>
      <c r="AW15" s="108">
        <v>1.02</v>
      </c>
      <c r="AX15" s="108">
        <v>1.2</v>
      </c>
      <c r="AY15" s="108">
        <v>1</v>
      </c>
      <c r="AZ15" s="108">
        <v>1</v>
      </c>
      <c r="BA15" s="108">
        <v>1.05</v>
      </c>
    </row>
    <row r="16" spans="1:53">
      <c r="A16" s="330">
        <v>268801</v>
      </c>
      <c r="B16" s="331"/>
      <c r="C16" s="88"/>
      <c r="D16" s="340">
        <v>5</v>
      </c>
      <c r="E16" s="341" t="s">
        <v>98</v>
      </c>
      <c r="F16" s="432" t="s">
        <v>385</v>
      </c>
      <c r="G16" s="433" t="s">
        <v>93</v>
      </c>
      <c r="H16" s="434" t="s">
        <v>98</v>
      </c>
      <c r="I16" s="434" t="s">
        <v>98</v>
      </c>
      <c r="J16" s="94">
        <v>0</v>
      </c>
      <c r="K16" s="433" t="s">
        <v>104</v>
      </c>
      <c r="L16" s="435">
        <f>(0.8)*28.9</f>
        <v>23.12</v>
      </c>
      <c r="M16" s="95">
        <v>1</v>
      </c>
      <c r="N16" s="96">
        <f t="shared" si="0"/>
        <v>1.2237593405947058</v>
      </c>
      <c r="O16" s="432" t="str">
        <f t="shared" si="1"/>
        <v>(2,2,4,1,1,3); Literature, coal</v>
      </c>
      <c r="P16" s="435">
        <f t="shared" si="11"/>
        <v>23.12</v>
      </c>
      <c r="Q16" s="95">
        <v>1</v>
      </c>
      <c r="R16" s="96">
        <f t="shared" si="2"/>
        <v>1.2237593405947058</v>
      </c>
      <c r="S16" s="432" t="str">
        <f t="shared" si="3"/>
        <v>(2,2,4,1,1,3); Literature, coal</v>
      </c>
      <c r="T16" s="435">
        <f t="shared" si="12"/>
        <v>23.12</v>
      </c>
      <c r="U16" s="95">
        <v>1</v>
      </c>
      <c r="V16" s="96">
        <f t="shared" si="4"/>
        <v>1.2237593405947058</v>
      </c>
      <c r="W16" s="432" t="str">
        <f t="shared" si="5"/>
        <v>(2,2,4,1,1,3); Literature, coal</v>
      </c>
      <c r="X16" s="435">
        <f t="shared" si="13"/>
        <v>23.12</v>
      </c>
      <c r="Y16" s="95">
        <v>1</v>
      </c>
      <c r="Z16" s="96">
        <f t="shared" si="6"/>
        <v>1.2237593405947058</v>
      </c>
      <c r="AA16" s="432" t="str">
        <f t="shared" si="7"/>
        <v>(2,2,4,1,1,3); Literature, coal</v>
      </c>
      <c r="AB16" s="112"/>
      <c r="AC16" s="111"/>
      <c r="AD16" s="111"/>
      <c r="AE16" s="111"/>
      <c r="AF16" s="111"/>
      <c r="AG16" s="111">
        <f>3.8</f>
        <v>3.8</v>
      </c>
      <c r="AH16" s="111">
        <f>7.03</f>
        <v>7.03</v>
      </c>
      <c r="AI16" s="111">
        <v>19.940999999999999</v>
      </c>
      <c r="AJ16" s="77" t="s">
        <v>386</v>
      </c>
      <c r="AK16" s="339">
        <v>2</v>
      </c>
      <c r="AL16" s="339">
        <v>2</v>
      </c>
      <c r="AM16" s="339">
        <v>4</v>
      </c>
      <c r="AN16" s="339">
        <v>1</v>
      </c>
      <c r="AO16" s="339">
        <v>1</v>
      </c>
      <c r="AP16" s="339">
        <v>3</v>
      </c>
      <c r="AQ16" s="104">
        <v>3</v>
      </c>
      <c r="AR16" s="104">
        <v>1.05</v>
      </c>
      <c r="AS16" s="107">
        <f t="shared" si="8"/>
        <v>1.2164594125584303</v>
      </c>
      <c r="AT16" s="107">
        <f t="shared" si="9"/>
        <v>1.2237593405947058</v>
      </c>
      <c r="AU16" s="107" t="str">
        <f t="shared" si="10"/>
        <v>(2,2,4,1,1,3)</v>
      </c>
      <c r="AV16" s="108">
        <v>1.05</v>
      </c>
      <c r="AW16" s="108">
        <v>1.02</v>
      </c>
      <c r="AX16" s="108">
        <v>1.2</v>
      </c>
      <c r="AY16" s="108">
        <v>1</v>
      </c>
      <c r="AZ16" s="108">
        <v>1</v>
      </c>
      <c r="BA16" s="108">
        <v>1.05</v>
      </c>
    </row>
    <row r="17" spans="1:53">
      <c r="A17" s="330">
        <v>264183</v>
      </c>
      <c r="B17" s="331"/>
      <c r="C17" s="88"/>
      <c r="D17" s="340">
        <v>5</v>
      </c>
      <c r="E17" s="341" t="s">
        <v>98</v>
      </c>
      <c r="F17" s="432" t="s">
        <v>387</v>
      </c>
      <c r="G17" s="433" t="s">
        <v>93</v>
      </c>
      <c r="H17" s="434" t="s">
        <v>98</v>
      </c>
      <c r="I17" s="434" t="s">
        <v>98</v>
      </c>
      <c r="J17" s="94">
        <v>0</v>
      </c>
      <c r="K17" s="433" t="s">
        <v>96</v>
      </c>
      <c r="L17" s="435">
        <v>0.1</v>
      </c>
      <c r="M17" s="95">
        <v>1</v>
      </c>
      <c r="N17" s="96">
        <f t="shared" si="0"/>
        <v>1.2237593405947058</v>
      </c>
      <c r="O17" s="432" t="str">
        <f t="shared" si="1"/>
        <v>(2,2,4,1,1,3); Literature, graphite electrodes</v>
      </c>
      <c r="P17" s="435">
        <f t="shared" si="11"/>
        <v>0.1</v>
      </c>
      <c r="Q17" s="95">
        <v>1</v>
      </c>
      <c r="R17" s="96">
        <f t="shared" si="2"/>
        <v>1.2237593405947058</v>
      </c>
      <c r="S17" s="432" t="str">
        <f t="shared" si="3"/>
        <v>(2,2,4,1,1,3); Literature, graphite electrodes</v>
      </c>
      <c r="T17" s="435">
        <f t="shared" si="12"/>
        <v>0.1</v>
      </c>
      <c r="U17" s="95">
        <v>1</v>
      </c>
      <c r="V17" s="96">
        <f t="shared" si="4"/>
        <v>1.2237593405947058</v>
      </c>
      <c r="W17" s="432" t="str">
        <f t="shared" si="5"/>
        <v>(2,2,4,1,1,3); Literature, graphite electrodes</v>
      </c>
      <c r="X17" s="435">
        <f t="shared" si="13"/>
        <v>0.1</v>
      </c>
      <c r="Y17" s="95">
        <v>1</v>
      </c>
      <c r="Z17" s="96">
        <f t="shared" si="6"/>
        <v>1.2237593405947058</v>
      </c>
      <c r="AA17" s="432" t="str">
        <f t="shared" si="7"/>
        <v>(2,2,4,1,1,3); Literature, graphite electrodes</v>
      </c>
      <c r="AB17" s="112"/>
      <c r="AC17" s="111"/>
      <c r="AD17" s="111"/>
      <c r="AE17" s="111"/>
      <c r="AF17" s="111"/>
      <c r="AG17" s="111"/>
      <c r="AH17" s="111"/>
      <c r="AI17" s="111"/>
      <c r="AJ17" s="77" t="s">
        <v>388</v>
      </c>
      <c r="AK17" s="339">
        <v>2</v>
      </c>
      <c r="AL17" s="339">
        <v>2</v>
      </c>
      <c r="AM17" s="339">
        <v>4</v>
      </c>
      <c r="AN17" s="339">
        <v>1</v>
      </c>
      <c r="AO17" s="339">
        <v>1</v>
      </c>
      <c r="AP17" s="339">
        <v>3</v>
      </c>
      <c r="AQ17" s="104">
        <v>3</v>
      </c>
      <c r="AR17" s="104">
        <v>1.05</v>
      </c>
      <c r="AS17" s="107">
        <f t="shared" si="8"/>
        <v>1.2164594125584303</v>
      </c>
      <c r="AT17" s="107">
        <f t="shared" si="9"/>
        <v>1.2237593405947058</v>
      </c>
      <c r="AU17" s="107" t="str">
        <f t="shared" si="10"/>
        <v>(2,2,4,1,1,3)</v>
      </c>
      <c r="AV17" s="108">
        <v>1.05</v>
      </c>
      <c r="AW17" s="108">
        <v>1.02</v>
      </c>
      <c r="AX17" s="108">
        <v>1.2</v>
      </c>
      <c r="AY17" s="108">
        <v>1</v>
      </c>
      <c r="AZ17" s="108">
        <v>1</v>
      </c>
      <c r="BA17" s="108">
        <v>1.05</v>
      </c>
    </row>
    <row r="18" spans="1:53">
      <c r="A18" s="330">
        <v>266313</v>
      </c>
      <c r="B18" s="331"/>
      <c r="C18" s="88"/>
      <c r="D18" s="340">
        <v>5</v>
      </c>
      <c r="E18" s="341" t="s">
        <v>98</v>
      </c>
      <c r="F18" s="432" t="s">
        <v>389</v>
      </c>
      <c r="G18" s="433" t="s">
        <v>154</v>
      </c>
      <c r="H18" s="434" t="s">
        <v>98</v>
      </c>
      <c r="I18" s="434" t="s">
        <v>98</v>
      </c>
      <c r="J18" s="94">
        <v>0</v>
      </c>
      <c r="K18" s="433" t="s">
        <v>96</v>
      </c>
      <c r="L18" s="435">
        <v>0.17</v>
      </c>
      <c r="M18" s="95">
        <v>1</v>
      </c>
      <c r="N18" s="96">
        <f t="shared" si="0"/>
        <v>1.2237593405947058</v>
      </c>
      <c r="O18" s="432" t="str">
        <f t="shared" si="1"/>
        <v>(2,2,4,1,1,3); Literature</v>
      </c>
      <c r="P18" s="435">
        <f t="shared" si="11"/>
        <v>0.17</v>
      </c>
      <c r="Q18" s="95">
        <v>1</v>
      </c>
      <c r="R18" s="96">
        <f t="shared" si="2"/>
        <v>1.2237593405947058</v>
      </c>
      <c r="S18" s="432" t="str">
        <f t="shared" si="3"/>
        <v>(2,2,4,1,1,3); Literature</v>
      </c>
      <c r="T18" s="435">
        <f t="shared" si="12"/>
        <v>0.17</v>
      </c>
      <c r="U18" s="95">
        <v>1</v>
      </c>
      <c r="V18" s="96">
        <f t="shared" si="4"/>
        <v>1.2237593405947058</v>
      </c>
      <c r="W18" s="432" t="str">
        <f t="shared" si="5"/>
        <v>(2,2,4,1,1,3); Literature</v>
      </c>
      <c r="X18" s="435">
        <f t="shared" si="13"/>
        <v>0.17</v>
      </c>
      <c r="Y18" s="95">
        <v>1</v>
      </c>
      <c r="Z18" s="96">
        <f t="shared" si="6"/>
        <v>1.2237593405947058</v>
      </c>
      <c r="AA18" s="432" t="str">
        <f t="shared" si="7"/>
        <v>(2,2,4,1,1,3); Literature</v>
      </c>
      <c r="AB18" s="112"/>
      <c r="AC18" s="111"/>
      <c r="AD18" s="111" t="s">
        <v>390</v>
      </c>
      <c r="AE18" s="111"/>
      <c r="AF18" s="111"/>
      <c r="AG18" s="111">
        <v>0.6</v>
      </c>
      <c r="AH18" s="111">
        <v>0.37</v>
      </c>
      <c r="AI18" s="111">
        <v>0.4</v>
      </c>
      <c r="AJ18" s="77" t="s">
        <v>253</v>
      </c>
      <c r="AK18" s="339">
        <v>2</v>
      </c>
      <c r="AL18" s="339">
        <v>2</v>
      </c>
      <c r="AM18" s="339">
        <v>4</v>
      </c>
      <c r="AN18" s="339">
        <v>1</v>
      </c>
      <c r="AO18" s="339">
        <v>1</v>
      </c>
      <c r="AP18" s="339">
        <v>3</v>
      </c>
      <c r="AQ18" s="104">
        <v>3</v>
      </c>
      <c r="AR18" s="104">
        <v>1.05</v>
      </c>
      <c r="AS18" s="107">
        <f t="shared" si="8"/>
        <v>1.2164594125584303</v>
      </c>
      <c r="AT18" s="107">
        <f t="shared" si="9"/>
        <v>1.2237593405947058</v>
      </c>
      <c r="AU18" s="107" t="str">
        <f t="shared" si="10"/>
        <v>(2,2,4,1,1,3)</v>
      </c>
      <c r="AV18" s="108">
        <v>1.05</v>
      </c>
      <c r="AW18" s="108">
        <v>1.02</v>
      </c>
      <c r="AX18" s="108">
        <v>1.2</v>
      </c>
      <c r="AY18" s="108">
        <v>1</v>
      </c>
      <c r="AZ18" s="108">
        <v>1</v>
      </c>
      <c r="BA18" s="108">
        <v>1.05</v>
      </c>
    </row>
    <row r="19" spans="1:53">
      <c r="A19" s="330">
        <v>267304</v>
      </c>
      <c r="B19" s="331"/>
      <c r="C19" s="88"/>
      <c r="D19" s="340">
        <v>5</v>
      </c>
      <c r="E19" s="341" t="s">
        <v>98</v>
      </c>
      <c r="F19" s="432" t="s">
        <v>391</v>
      </c>
      <c r="G19" s="433" t="s">
        <v>93</v>
      </c>
      <c r="H19" s="434" t="s">
        <v>98</v>
      </c>
      <c r="I19" s="434" t="s">
        <v>98</v>
      </c>
      <c r="J19" s="94">
        <v>0</v>
      </c>
      <c r="K19" s="433" t="s">
        <v>96</v>
      </c>
      <c r="L19" s="435">
        <v>0.5</v>
      </c>
      <c r="M19" s="95">
        <v>1</v>
      </c>
      <c r="N19" s="96">
        <f t="shared" si="0"/>
        <v>1.2237593405947058</v>
      </c>
      <c r="O19" s="432" t="str">
        <f t="shared" si="1"/>
        <v>(2,2,4,1,1,3); Literature</v>
      </c>
      <c r="P19" s="435">
        <f t="shared" si="11"/>
        <v>0.5</v>
      </c>
      <c r="Q19" s="95">
        <v>1</v>
      </c>
      <c r="R19" s="96">
        <f t="shared" si="2"/>
        <v>1.2237593405947058</v>
      </c>
      <c r="S19" s="432" t="str">
        <f t="shared" si="3"/>
        <v>(2,2,4,1,1,3); Literature</v>
      </c>
      <c r="T19" s="435">
        <f t="shared" si="12"/>
        <v>0.5</v>
      </c>
      <c r="U19" s="95">
        <v>1</v>
      </c>
      <c r="V19" s="96">
        <f t="shared" si="4"/>
        <v>1.2237593405947058</v>
      </c>
      <c r="W19" s="432" t="str">
        <f t="shared" si="5"/>
        <v>(2,2,4,1,1,3); Literature</v>
      </c>
      <c r="X19" s="435">
        <f t="shared" si="13"/>
        <v>0.5</v>
      </c>
      <c r="Y19" s="95">
        <v>1</v>
      </c>
      <c r="Z19" s="96">
        <f t="shared" si="6"/>
        <v>1.2237593405947058</v>
      </c>
      <c r="AA19" s="432" t="str">
        <f t="shared" si="7"/>
        <v>(2,2,4,1,1,3); Literature</v>
      </c>
      <c r="AB19" s="112"/>
      <c r="AC19" s="111"/>
      <c r="AD19" s="111" t="s">
        <v>392</v>
      </c>
      <c r="AE19" s="111"/>
      <c r="AF19" s="111"/>
      <c r="AG19" s="111">
        <v>0.55000000000000004</v>
      </c>
      <c r="AH19" s="111">
        <v>0.56000000000000005</v>
      </c>
      <c r="AI19" s="111">
        <v>0.4</v>
      </c>
      <c r="AJ19" s="77" t="s">
        <v>253</v>
      </c>
      <c r="AK19" s="339">
        <v>2</v>
      </c>
      <c r="AL19" s="339">
        <v>2</v>
      </c>
      <c r="AM19" s="339">
        <v>4</v>
      </c>
      <c r="AN19" s="339">
        <v>1</v>
      </c>
      <c r="AO19" s="339">
        <v>1</v>
      </c>
      <c r="AP19" s="339">
        <v>3</v>
      </c>
      <c r="AQ19" s="104">
        <v>3</v>
      </c>
      <c r="AR19" s="104">
        <v>1.05</v>
      </c>
      <c r="AS19" s="107">
        <f t="shared" si="8"/>
        <v>1.2164594125584303</v>
      </c>
      <c r="AT19" s="107">
        <f t="shared" si="9"/>
        <v>1.2237593405947058</v>
      </c>
      <c r="AU19" s="107" t="str">
        <f t="shared" si="10"/>
        <v>(2,2,4,1,1,3)</v>
      </c>
      <c r="AV19" s="108">
        <v>1.05</v>
      </c>
      <c r="AW19" s="108">
        <v>1.02</v>
      </c>
      <c r="AX19" s="108">
        <v>1.2</v>
      </c>
      <c r="AY19" s="108">
        <v>1</v>
      </c>
      <c r="AZ19" s="108">
        <v>1</v>
      </c>
      <c r="BA19" s="108">
        <v>1.05</v>
      </c>
    </row>
    <row r="20" spans="1:53">
      <c r="A20" s="330">
        <v>268503</v>
      </c>
      <c r="B20" s="331"/>
      <c r="C20" s="88"/>
      <c r="D20" s="340">
        <v>5</v>
      </c>
      <c r="E20" s="341" t="s">
        <v>98</v>
      </c>
      <c r="F20" s="432" t="s">
        <v>393</v>
      </c>
      <c r="G20" s="433" t="s">
        <v>340</v>
      </c>
      <c r="H20" s="434" t="s">
        <v>98</v>
      </c>
      <c r="I20" s="434" t="s">
        <v>98</v>
      </c>
      <c r="J20" s="94">
        <v>0</v>
      </c>
      <c r="K20" s="433" t="s">
        <v>96</v>
      </c>
      <c r="L20" s="435">
        <v>2.7</v>
      </c>
      <c r="M20" s="95">
        <v>1</v>
      </c>
      <c r="N20" s="96">
        <f t="shared" si="0"/>
        <v>1.2237593405947058</v>
      </c>
      <c r="O20" s="432" t="str">
        <f t="shared" si="1"/>
        <v>(2,2,4,1,1,3); Literature</v>
      </c>
      <c r="P20" s="435">
        <f t="shared" si="11"/>
        <v>2.7</v>
      </c>
      <c r="Q20" s="95">
        <v>1</v>
      </c>
      <c r="R20" s="96">
        <f t="shared" si="2"/>
        <v>1.2237593405947058</v>
      </c>
      <c r="S20" s="432" t="str">
        <f t="shared" si="3"/>
        <v>(2,2,4,1,1,3); Literature</v>
      </c>
      <c r="T20" s="435">
        <f t="shared" si="12"/>
        <v>2.7</v>
      </c>
      <c r="U20" s="95">
        <v>1</v>
      </c>
      <c r="V20" s="96">
        <f t="shared" si="4"/>
        <v>1.2237593405947058</v>
      </c>
      <c r="W20" s="432" t="str">
        <f t="shared" si="5"/>
        <v>(2,2,4,1,1,3); Literature</v>
      </c>
      <c r="X20" s="435">
        <f t="shared" si="13"/>
        <v>2.7</v>
      </c>
      <c r="Y20" s="95">
        <v>1</v>
      </c>
      <c r="Z20" s="96">
        <f t="shared" si="6"/>
        <v>1.2237593405947058</v>
      </c>
      <c r="AA20" s="432" t="str">
        <f t="shared" si="7"/>
        <v>(2,2,4,1,1,3); Literature</v>
      </c>
      <c r="AB20" s="112"/>
      <c r="AC20" s="111">
        <v>2.6</v>
      </c>
      <c r="AD20" s="111" t="s">
        <v>394</v>
      </c>
      <c r="AE20" s="111"/>
      <c r="AF20" s="111"/>
      <c r="AG20" s="111">
        <v>2.4</v>
      </c>
      <c r="AH20" s="111">
        <v>2.85</v>
      </c>
      <c r="AI20" s="111">
        <v>2.9</v>
      </c>
      <c r="AJ20" s="77" t="s">
        <v>253</v>
      </c>
      <c r="AK20" s="339">
        <v>2</v>
      </c>
      <c r="AL20" s="339">
        <v>2</v>
      </c>
      <c r="AM20" s="339">
        <v>4</v>
      </c>
      <c r="AN20" s="339">
        <v>1</v>
      </c>
      <c r="AO20" s="339">
        <v>1</v>
      </c>
      <c r="AP20" s="339">
        <v>3</v>
      </c>
      <c r="AQ20" s="104">
        <v>3</v>
      </c>
      <c r="AR20" s="104">
        <v>1.05</v>
      </c>
      <c r="AS20" s="107">
        <f t="shared" si="8"/>
        <v>1.2164594125584303</v>
      </c>
      <c r="AT20" s="107">
        <f t="shared" si="9"/>
        <v>1.2237593405947058</v>
      </c>
      <c r="AU20" s="107" t="str">
        <f t="shared" si="10"/>
        <v>(2,2,4,1,1,3)</v>
      </c>
      <c r="AV20" s="108">
        <v>1.05</v>
      </c>
      <c r="AW20" s="108">
        <v>1.02</v>
      </c>
      <c r="AX20" s="108">
        <v>1.2</v>
      </c>
      <c r="AY20" s="108">
        <v>1</v>
      </c>
      <c r="AZ20" s="108">
        <v>1</v>
      </c>
      <c r="BA20" s="108">
        <v>1.05</v>
      </c>
    </row>
    <row r="21" spans="1:53">
      <c r="A21" s="330">
        <v>269231</v>
      </c>
      <c r="B21" s="331"/>
      <c r="C21" s="88"/>
      <c r="D21" s="340">
        <v>5</v>
      </c>
      <c r="E21" s="341" t="s">
        <v>98</v>
      </c>
      <c r="F21" s="432" t="s">
        <v>395</v>
      </c>
      <c r="G21" s="433" t="s">
        <v>93</v>
      </c>
      <c r="H21" s="434" t="s">
        <v>98</v>
      </c>
      <c r="I21" s="434" t="s">
        <v>98</v>
      </c>
      <c r="J21" s="94">
        <v>0</v>
      </c>
      <c r="K21" s="433" t="s">
        <v>96</v>
      </c>
      <c r="L21" s="435">
        <v>0.02</v>
      </c>
      <c r="M21" s="95">
        <v>1</v>
      </c>
      <c r="N21" s="96">
        <f t="shared" si="0"/>
        <v>1.5960462102848654</v>
      </c>
      <c r="O21" s="432" t="str">
        <f t="shared" si="1"/>
        <v>(3,4,5,3,1,5); Literature</v>
      </c>
      <c r="P21" s="435">
        <f t="shared" si="11"/>
        <v>0.02</v>
      </c>
      <c r="Q21" s="95">
        <v>1</v>
      </c>
      <c r="R21" s="96">
        <f t="shared" si="2"/>
        <v>1.5960462102848654</v>
      </c>
      <c r="S21" s="432" t="str">
        <f t="shared" si="3"/>
        <v>(3,4,5,3,1,5); Literature</v>
      </c>
      <c r="T21" s="435">
        <f t="shared" si="12"/>
        <v>0.02</v>
      </c>
      <c r="U21" s="95">
        <v>1</v>
      </c>
      <c r="V21" s="96">
        <f t="shared" si="4"/>
        <v>1.5960462102848654</v>
      </c>
      <c r="W21" s="432" t="str">
        <f t="shared" si="5"/>
        <v>(3,4,5,3,1,5); Literature</v>
      </c>
      <c r="X21" s="435">
        <f t="shared" si="13"/>
        <v>0.02</v>
      </c>
      <c r="Y21" s="95">
        <v>1</v>
      </c>
      <c r="Z21" s="96">
        <f t="shared" si="6"/>
        <v>1.5960462102848654</v>
      </c>
      <c r="AA21" s="432" t="str">
        <f t="shared" si="7"/>
        <v>(3,4,5,3,1,5); Literature</v>
      </c>
      <c r="AB21" s="112"/>
      <c r="AC21" s="111"/>
      <c r="AD21" s="111"/>
      <c r="AE21" s="111"/>
      <c r="AF21" s="111"/>
      <c r="AG21" s="111"/>
      <c r="AH21" s="111"/>
      <c r="AI21" s="111">
        <v>0.02</v>
      </c>
      <c r="AJ21" s="77" t="s">
        <v>253</v>
      </c>
      <c r="AK21" s="339">
        <v>3</v>
      </c>
      <c r="AL21" s="339">
        <v>4</v>
      </c>
      <c r="AM21" s="339">
        <v>5</v>
      </c>
      <c r="AN21" s="339">
        <v>3</v>
      </c>
      <c r="AO21" s="339">
        <v>1</v>
      </c>
      <c r="AP21" s="339">
        <v>5</v>
      </c>
      <c r="AQ21" s="104">
        <v>3</v>
      </c>
      <c r="AR21" s="104">
        <v>1.05</v>
      </c>
      <c r="AS21" s="107">
        <f t="shared" si="8"/>
        <v>1.5919770563893134</v>
      </c>
      <c r="AT21" s="107">
        <f t="shared" si="9"/>
        <v>1.5960462102848654</v>
      </c>
      <c r="AU21" s="107" t="str">
        <f t="shared" si="10"/>
        <v>(3,4,5,3,1,5)</v>
      </c>
      <c r="AV21" s="108">
        <v>1.1000000000000001</v>
      </c>
      <c r="AW21" s="108">
        <v>1.1000000000000001</v>
      </c>
      <c r="AX21" s="108">
        <v>1.5</v>
      </c>
      <c r="AY21" s="108">
        <v>1.02</v>
      </c>
      <c r="AZ21" s="108">
        <v>1</v>
      </c>
      <c r="BA21" s="108">
        <v>1.2</v>
      </c>
    </row>
    <row r="22" spans="1:53" ht="24" customHeight="1">
      <c r="A22" s="330">
        <v>264181</v>
      </c>
      <c r="B22" s="331"/>
      <c r="C22" s="88"/>
      <c r="D22" s="340">
        <v>5</v>
      </c>
      <c r="E22" s="341" t="s">
        <v>98</v>
      </c>
      <c r="F22" s="432" t="s">
        <v>396</v>
      </c>
      <c r="G22" s="433" t="s">
        <v>103</v>
      </c>
      <c r="H22" s="434" t="s">
        <v>98</v>
      </c>
      <c r="I22" s="434" t="s">
        <v>98</v>
      </c>
      <c r="J22" s="94">
        <v>0</v>
      </c>
      <c r="K22" s="433" t="s">
        <v>96</v>
      </c>
      <c r="L22" s="435">
        <v>2.5000000000000001E-2</v>
      </c>
      <c r="M22" s="95">
        <v>1</v>
      </c>
      <c r="N22" s="96">
        <f t="shared" si="0"/>
        <v>1.2237593405947058</v>
      </c>
      <c r="O22" s="432" t="str">
        <f t="shared" si="1"/>
        <v>(2,2,4,1,1,3); Literature</v>
      </c>
      <c r="P22" s="435">
        <f t="shared" si="11"/>
        <v>2.5000000000000001E-2</v>
      </c>
      <c r="Q22" s="95">
        <v>1</v>
      </c>
      <c r="R22" s="96">
        <f t="shared" si="2"/>
        <v>1.2237593405947058</v>
      </c>
      <c r="S22" s="432" t="str">
        <f t="shared" si="3"/>
        <v>(2,2,4,1,1,3); Literature</v>
      </c>
      <c r="T22" s="435">
        <f t="shared" si="12"/>
        <v>2.5000000000000001E-2</v>
      </c>
      <c r="U22" s="95">
        <v>1</v>
      </c>
      <c r="V22" s="96">
        <f t="shared" si="4"/>
        <v>1.2237593405947058</v>
      </c>
      <c r="W22" s="432" t="str">
        <f t="shared" si="5"/>
        <v>(2,2,4,1,1,3); Literature</v>
      </c>
      <c r="X22" s="435">
        <f t="shared" si="13"/>
        <v>2.5000000000000001E-2</v>
      </c>
      <c r="Y22" s="95">
        <v>1</v>
      </c>
      <c r="Z22" s="96">
        <f t="shared" si="6"/>
        <v>1.2237593405947058</v>
      </c>
      <c r="AA22" s="432" t="str">
        <f t="shared" si="7"/>
        <v>(2,2,4,1,1,3); Literature</v>
      </c>
      <c r="AB22" s="113"/>
      <c r="AC22" s="111" t="s">
        <v>397</v>
      </c>
      <c r="AD22" s="111"/>
      <c r="AE22" s="111"/>
      <c r="AF22" s="111"/>
      <c r="AG22" s="111"/>
      <c r="AH22" s="111"/>
      <c r="AI22" s="111">
        <v>0.02</v>
      </c>
      <c r="AJ22" s="77" t="s">
        <v>253</v>
      </c>
      <c r="AK22" s="339">
        <v>2</v>
      </c>
      <c r="AL22" s="339">
        <v>2</v>
      </c>
      <c r="AM22" s="339">
        <v>4</v>
      </c>
      <c r="AN22" s="339">
        <v>1</v>
      </c>
      <c r="AO22" s="339">
        <v>1</v>
      </c>
      <c r="AP22" s="339">
        <v>3</v>
      </c>
      <c r="AQ22" s="104">
        <v>6</v>
      </c>
      <c r="AR22" s="104">
        <v>1.05</v>
      </c>
      <c r="AS22" s="107">
        <f t="shared" si="8"/>
        <v>1.2164594125584303</v>
      </c>
      <c r="AT22" s="107">
        <f t="shared" si="9"/>
        <v>1.2237593405947058</v>
      </c>
      <c r="AU22" s="107" t="str">
        <f t="shared" si="10"/>
        <v>(2,2,4,1,1,3)</v>
      </c>
      <c r="AV22" s="108">
        <v>1.05</v>
      </c>
      <c r="AW22" s="108">
        <v>1.02</v>
      </c>
      <c r="AX22" s="108">
        <v>1.2</v>
      </c>
      <c r="AY22" s="108">
        <v>1</v>
      </c>
      <c r="AZ22" s="108">
        <v>1</v>
      </c>
      <c r="BA22" s="108">
        <v>1.05</v>
      </c>
    </row>
    <row r="23" spans="1:53">
      <c r="A23" s="330">
        <v>268399</v>
      </c>
      <c r="B23" s="331"/>
      <c r="C23" s="88"/>
      <c r="D23" s="340">
        <v>5</v>
      </c>
      <c r="E23" s="341" t="s">
        <v>98</v>
      </c>
      <c r="F23" s="432" t="s">
        <v>342</v>
      </c>
      <c r="G23" s="433" t="s">
        <v>93</v>
      </c>
      <c r="H23" s="434" t="s">
        <v>98</v>
      </c>
      <c r="I23" s="434" t="s">
        <v>98</v>
      </c>
      <c r="J23" s="94">
        <v>1</v>
      </c>
      <c r="K23" s="433" t="s">
        <v>144</v>
      </c>
      <c r="L23" s="435">
        <f>1/1000000000/100</f>
        <v>1.0000000000000001E-11</v>
      </c>
      <c r="M23" s="95">
        <v>1</v>
      </c>
      <c r="N23" s="96">
        <f t="shared" si="0"/>
        <v>3.0947030070339712</v>
      </c>
      <c r="O23" s="432" t="str">
        <f t="shared" si="1"/>
        <v>(1,2,4,1,3,3); Estimation</v>
      </c>
      <c r="P23" s="435">
        <f t="shared" si="11"/>
        <v>1.0000000000000001E-11</v>
      </c>
      <c r="Q23" s="95">
        <v>1</v>
      </c>
      <c r="R23" s="96">
        <f t="shared" si="2"/>
        <v>3.0947030070339712</v>
      </c>
      <c r="S23" s="432" t="str">
        <f t="shared" si="3"/>
        <v>(1,2,4,1,3,3); Estimation</v>
      </c>
      <c r="T23" s="435">
        <f t="shared" si="12"/>
        <v>1.0000000000000001E-11</v>
      </c>
      <c r="U23" s="95">
        <v>1</v>
      </c>
      <c r="V23" s="96">
        <f t="shared" si="4"/>
        <v>3.0947030070339712</v>
      </c>
      <c r="W23" s="432" t="str">
        <f t="shared" si="5"/>
        <v>(1,2,4,1,3,3); Estimation</v>
      </c>
      <c r="X23" s="435">
        <f t="shared" si="13"/>
        <v>1.0000000000000001E-11</v>
      </c>
      <c r="Y23" s="95">
        <v>1</v>
      </c>
      <c r="Z23" s="96">
        <f t="shared" si="6"/>
        <v>3.0947030070339712</v>
      </c>
      <c r="AA23" s="432" t="str">
        <f t="shared" si="7"/>
        <v>(1,2,4,1,3,3); Estimation</v>
      </c>
      <c r="AB23" s="112"/>
      <c r="AC23" s="111"/>
      <c r="AD23" s="111"/>
      <c r="AE23" s="111"/>
      <c r="AF23" s="111"/>
      <c r="AG23" s="111"/>
      <c r="AH23" s="111"/>
      <c r="AI23" s="111"/>
      <c r="AJ23" s="77" t="s">
        <v>251</v>
      </c>
      <c r="AK23" s="339">
        <v>1</v>
      </c>
      <c r="AL23" s="339">
        <v>2</v>
      </c>
      <c r="AM23" s="339">
        <v>4</v>
      </c>
      <c r="AN23" s="339">
        <v>1</v>
      </c>
      <c r="AO23" s="339">
        <v>3</v>
      </c>
      <c r="AP23" s="339">
        <v>3</v>
      </c>
      <c r="AQ23" s="104">
        <v>9</v>
      </c>
      <c r="AR23" s="104">
        <v>3</v>
      </c>
      <c r="AS23" s="107">
        <f t="shared" si="8"/>
        <v>1.3010391658590073</v>
      </c>
      <c r="AT23" s="107">
        <f t="shared" si="9"/>
        <v>3.0947030070339712</v>
      </c>
      <c r="AU23" s="107" t="str">
        <f t="shared" si="10"/>
        <v>(1,2,4,1,3,3)</v>
      </c>
      <c r="AV23" s="108">
        <v>1</v>
      </c>
      <c r="AW23" s="108">
        <v>1.02</v>
      </c>
      <c r="AX23" s="108">
        <v>1.2</v>
      </c>
      <c r="AY23" s="108">
        <v>1</v>
      </c>
      <c r="AZ23" s="108">
        <v>1.2</v>
      </c>
      <c r="BA23" s="108">
        <v>1.05</v>
      </c>
    </row>
    <row r="24" spans="1:53" ht="24">
      <c r="A24" s="330">
        <v>269599</v>
      </c>
      <c r="B24" s="331"/>
      <c r="C24" s="88"/>
      <c r="D24" s="340">
        <v>5</v>
      </c>
      <c r="E24" s="341" t="s">
        <v>98</v>
      </c>
      <c r="F24" s="432" t="s">
        <v>244</v>
      </c>
      <c r="G24" s="433" t="s">
        <v>245</v>
      </c>
      <c r="H24" s="434" t="s">
        <v>98</v>
      </c>
      <c r="I24" s="434" t="s">
        <v>98</v>
      </c>
      <c r="J24" s="94">
        <v>0</v>
      </c>
      <c r="K24" s="433" t="s">
        <v>115</v>
      </c>
      <c r="L24" s="435">
        <f>L18*15</f>
        <v>2.5500000000000003</v>
      </c>
      <c r="M24" s="95">
        <v>1</v>
      </c>
      <c r="N24" s="96">
        <f t="shared" si="0"/>
        <v>2.0949941301068096</v>
      </c>
      <c r="O24" s="432" t="str">
        <f t="shared" si="1"/>
        <v>(4,5,na,na,na,na); Charcoal from Asia 15000km</v>
      </c>
      <c r="P24" s="435">
        <f t="shared" si="11"/>
        <v>2.5500000000000003</v>
      </c>
      <c r="Q24" s="95">
        <v>1</v>
      </c>
      <c r="R24" s="96">
        <f t="shared" si="2"/>
        <v>2.0949941301068096</v>
      </c>
      <c r="S24" s="432" t="str">
        <f t="shared" si="3"/>
        <v>(4,5,na,na,na,na); Charcoal from Asia 15000km</v>
      </c>
      <c r="T24" s="435">
        <f t="shared" si="12"/>
        <v>2.5500000000000003</v>
      </c>
      <c r="U24" s="95">
        <v>1</v>
      </c>
      <c r="V24" s="96">
        <f t="shared" si="4"/>
        <v>2.0949941301068096</v>
      </c>
      <c r="W24" s="432" t="str">
        <f t="shared" si="5"/>
        <v>(4,5,na,na,na,na); Charcoal from Asia 15000km</v>
      </c>
      <c r="X24" s="435">
        <f t="shared" si="13"/>
        <v>2.5500000000000003</v>
      </c>
      <c r="Y24" s="95">
        <v>1</v>
      </c>
      <c r="Z24" s="96">
        <f t="shared" si="6"/>
        <v>2.0949941301068096</v>
      </c>
      <c r="AA24" s="432" t="str">
        <f t="shared" si="7"/>
        <v>(4,5,na,na,na,na); Charcoal from Asia 15000km</v>
      </c>
      <c r="AB24" s="112"/>
      <c r="AC24" s="111"/>
      <c r="AD24" s="111"/>
      <c r="AE24" s="111"/>
      <c r="AF24" s="111"/>
      <c r="AG24" s="111"/>
      <c r="AH24" s="111"/>
      <c r="AI24" s="111"/>
      <c r="AJ24" s="77" t="s">
        <v>398</v>
      </c>
      <c r="AK24" s="339">
        <v>4</v>
      </c>
      <c r="AL24" s="339">
        <v>5</v>
      </c>
      <c r="AM24" s="339" t="s">
        <v>106</v>
      </c>
      <c r="AN24" s="339" t="s">
        <v>106</v>
      </c>
      <c r="AO24" s="339" t="s">
        <v>106</v>
      </c>
      <c r="AP24" s="339" t="s">
        <v>106</v>
      </c>
      <c r="AQ24" s="104">
        <v>5</v>
      </c>
      <c r="AR24" s="104">
        <v>2</v>
      </c>
      <c r="AS24" s="107">
        <f t="shared" si="8"/>
        <v>1.2941338353151037</v>
      </c>
      <c r="AT24" s="107">
        <f t="shared" si="9"/>
        <v>2.0949941301068096</v>
      </c>
      <c r="AU24" s="107" t="str">
        <f t="shared" si="10"/>
        <v>(4,5,na,na,na,na)</v>
      </c>
      <c r="AV24" s="108">
        <v>1.2</v>
      </c>
      <c r="AW24" s="108">
        <v>1.2</v>
      </c>
      <c r="AX24" s="108">
        <v>1</v>
      </c>
      <c r="AY24" s="108">
        <v>1</v>
      </c>
      <c r="AZ24" s="108">
        <v>1</v>
      </c>
      <c r="BA24" s="108">
        <v>1</v>
      </c>
    </row>
    <row r="25" spans="1:53" ht="24" customHeight="1">
      <c r="A25" s="330">
        <v>269641</v>
      </c>
      <c r="B25" s="331"/>
      <c r="C25" s="88"/>
      <c r="D25" s="340">
        <v>5</v>
      </c>
      <c r="E25" s="341" t="s">
        <v>98</v>
      </c>
      <c r="F25" s="432" t="s">
        <v>240</v>
      </c>
      <c r="G25" s="433" t="s">
        <v>93</v>
      </c>
      <c r="H25" s="434" t="s">
        <v>98</v>
      </c>
      <c r="I25" s="434" t="s">
        <v>98</v>
      </c>
      <c r="J25" s="94">
        <v>0</v>
      </c>
      <c r="K25" s="433" t="s">
        <v>115</v>
      </c>
      <c r="L25" s="435">
        <f>0.05*(L19+L21+L15*(188.6*2.2)+L18)+L20*0.02</f>
        <v>0.15598698795180727</v>
      </c>
      <c r="M25" s="95">
        <v>1</v>
      </c>
      <c r="N25" s="96">
        <f t="shared" si="0"/>
        <v>2.0949941301068096</v>
      </c>
      <c r="O25" s="432" t="str">
        <f t="shared" si="1"/>
        <v>(4,5,na,na,na,na); Standard distance 50km, 20km for sand</v>
      </c>
      <c r="P25" s="435">
        <f t="shared" si="11"/>
        <v>0.15598698795180727</v>
      </c>
      <c r="Q25" s="95">
        <v>1</v>
      </c>
      <c r="R25" s="96">
        <f t="shared" si="2"/>
        <v>2.0949941301068096</v>
      </c>
      <c r="S25" s="432" t="str">
        <f t="shared" si="3"/>
        <v>(4,5,na,na,na,na); Standard distance 50km, 20km for sand</v>
      </c>
      <c r="T25" s="435">
        <f t="shared" si="12"/>
        <v>0.15598698795180727</v>
      </c>
      <c r="U25" s="95">
        <v>1</v>
      </c>
      <c r="V25" s="96">
        <f t="shared" si="4"/>
        <v>2.0949941301068096</v>
      </c>
      <c r="W25" s="432" t="str">
        <f t="shared" si="5"/>
        <v>(4,5,na,na,na,na); Standard distance 50km, 20km for sand</v>
      </c>
      <c r="X25" s="435">
        <f t="shared" si="13"/>
        <v>0.15598698795180727</v>
      </c>
      <c r="Y25" s="95">
        <v>1</v>
      </c>
      <c r="Z25" s="96">
        <f t="shared" si="6"/>
        <v>2.0949941301068096</v>
      </c>
      <c r="AA25" s="432" t="str">
        <f t="shared" si="7"/>
        <v>(4,5,na,na,na,na); Standard distance 50km, 20km for sand</v>
      </c>
      <c r="AB25" s="112"/>
      <c r="AC25" s="111"/>
      <c r="AD25" s="111"/>
      <c r="AE25" s="111"/>
      <c r="AF25" s="111"/>
      <c r="AG25" s="111"/>
      <c r="AH25" s="111"/>
      <c r="AI25" s="111"/>
      <c r="AJ25" s="77" t="s">
        <v>399</v>
      </c>
      <c r="AK25" s="339">
        <v>4</v>
      </c>
      <c r="AL25" s="339">
        <v>5</v>
      </c>
      <c r="AM25" s="339" t="s">
        <v>106</v>
      </c>
      <c r="AN25" s="339" t="s">
        <v>106</v>
      </c>
      <c r="AO25" s="339" t="s">
        <v>106</v>
      </c>
      <c r="AP25" s="339" t="s">
        <v>106</v>
      </c>
      <c r="AQ25" s="104">
        <v>5</v>
      </c>
      <c r="AR25" s="104">
        <v>2</v>
      </c>
      <c r="AS25" s="107">
        <f t="shared" si="8"/>
        <v>1.2941338353151037</v>
      </c>
      <c r="AT25" s="107">
        <f t="shared" si="9"/>
        <v>2.0949941301068096</v>
      </c>
      <c r="AU25" s="107" t="str">
        <f t="shared" si="10"/>
        <v>(4,5,na,na,na,na)</v>
      </c>
      <c r="AV25" s="108">
        <v>1.2</v>
      </c>
      <c r="AW25" s="108">
        <v>1.2</v>
      </c>
      <c r="AX25" s="108">
        <v>1</v>
      </c>
      <c r="AY25" s="108">
        <v>1</v>
      </c>
      <c r="AZ25" s="108">
        <v>1</v>
      </c>
      <c r="BA25" s="108">
        <v>1</v>
      </c>
    </row>
    <row r="26" spans="1:53">
      <c r="A26" s="330">
        <v>160371</v>
      </c>
      <c r="B26" s="331"/>
      <c r="C26" s="88"/>
      <c r="D26" s="340">
        <v>5</v>
      </c>
      <c r="E26" s="341" t="s">
        <v>98</v>
      </c>
      <c r="F26" s="432" t="s">
        <v>242</v>
      </c>
      <c r="G26" s="433" t="s">
        <v>93</v>
      </c>
      <c r="H26" s="434" t="s">
        <v>98</v>
      </c>
      <c r="I26" s="434" t="s">
        <v>98</v>
      </c>
      <c r="J26" s="94">
        <v>0</v>
      </c>
      <c r="K26" s="433" t="s">
        <v>115</v>
      </c>
      <c r="L26" s="435">
        <f>0.1*(L21+L19+L18)</f>
        <v>6.9000000000000006E-2</v>
      </c>
      <c r="M26" s="95">
        <v>1</v>
      </c>
      <c r="N26" s="96">
        <f t="shared" si="0"/>
        <v>2.0949941301068096</v>
      </c>
      <c r="O26" s="432" t="str">
        <f t="shared" si="1"/>
        <v>(4,5,na,na,na,na); Standard distance 100km</v>
      </c>
      <c r="P26" s="435">
        <f t="shared" si="11"/>
        <v>6.9000000000000006E-2</v>
      </c>
      <c r="Q26" s="95">
        <v>1</v>
      </c>
      <c r="R26" s="96">
        <f t="shared" si="2"/>
        <v>2.0949941301068096</v>
      </c>
      <c r="S26" s="432" t="str">
        <f t="shared" si="3"/>
        <v>(4,5,na,na,na,na); Standard distance 100km</v>
      </c>
      <c r="T26" s="435">
        <f t="shared" si="12"/>
        <v>6.9000000000000006E-2</v>
      </c>
      <c r="U26" s="95">
        <v>1</v>
      </c>
      <c r="V26" s="96">
        <f t="shared" si="4"/>
        <v>2.0949941301068096</v>
      </c>
      <c r="W26" s="432" t="str">
        <f t="shared" si="5"/>
        <v>(4,5,na,na,na,na); Standard distance 100km</v>
      </c>
      <c r="X26" s="435">
        <f t="shared" si="13"/>
        <v>6.9000000000000006E-2</v>
      </c>
      <c r="Y26" s="95">
        <v>1</v>
      </c>
      <c r="Z26" s="96">
        <f t="shared" si="6"/>
        <v>2.0949941301068096</v>
      </c>
      <c r="AA26" s="432" t="str">
        <f t="shared" si="7"/>
        <v>(4,5,na,na,na,na); Standard distance 100km</v>
      </c>
      <c r="AB26" s="112"/>
      <c r="AC26" s="111"/>
      <c r="AD26" s="111"/>
      <c r="AE26" s="111"/>
      <c r="AF26" s="111"/>
      <c r="AG26" s="111"/>
      <c r="AH26" s="111"/>
      <c r="AI26" s="111"/>
      <c r="AJ26" s="77" t="s">
        <v>400</v>
      </c>
      <c r="AK26" s="339">
        <v>4</v>
      </c>
      <c r="AL26" s="339">
        <v>5</v>
      </c>
      <c r="AM26" s="339" t="s">
        <v>106</v>
      </c>
      <c r="AN26" s="339" t="s">
        <v>106</v>
      </c>
      <c r="AO26" s="339" t="s">
        <v>106</v>
      </c>
      <c r="AP26" s="339" t="s">
        <v>106</v>
      </c>
      <c r="AQ26" s="104">
        <v>5</v>
      </c>
      <c r="AR26" s="104">
        <v>2</v>
      </c>
      <c r="AS26" s="107">
        <f t="shared" si="8"/>
        <v>1.2941338353151037</v>
      </c>
      <c r="AT26" s="107">
        <f t="shared" si="9"/>
        <v>2.0949941301068096</v>
      </c>
      <c r="AU26" s="107" t="str">
        <f t="shared" si="10"/>
        <v>(4,5,na,na,na,na)</v>
      </c>
      <c r="AV26" s="108">
        <v>1.2</v>
      </c>
      <c r="AW26" s="108">
        <v>1.2</v>
      </c>
      <c r="AX26" s="108">
        <v>1</v>
      </c>
      <c r="AY26" s="108">
        <v>1</v>
      </c>
      <c r="AZ26" s="108">
        <v>1</v>
      </c>
      <c r="BA26" s="108">
        <v>1</v>
      </c>
    </row>
    <row r="27" spans="1:53" ht="48">
      <c r="A27" s="330">
        <v>15848</v>
      </c>
      <c r="B27" s="331" t="s">
        <v>401</v>
      </c>
      <c r="C27" s="88"/>
      <c r="D27" s="340" t="s">
        <v>98</v>
      </c>
      <c r="E27" s="341">
        <v>4</v>
      </c>
      <c r="F27" s="432" t="s">
        <v>121</v>
      </c>
      <c r="G27" s="433" t="s">
        <v>98</v>
      </c>
      <c r="H27" s="434" t="s">
        <v>247</v>
      </c>
      <c r="I27" s="434" t="s">
        <v>248</v>
      </c>
      <c r="J27" s="94" t="s">
        <v>98</v>
      </c>
      <c r="K27" s="433" t="s">
        <v>104</v>
      </c>
      <c r="L27" s="435">
        <f>(L11-7.08)*3.6+L16+L15*3294+L18*31+L19*36.1</f>
        <v>74.867421686746994</v>
      </c>
      <c r="M27" s="95">
        <v>1</v>
      </c>
      <c r="N27" s="96">
        <f t="shared" si="0"/>
        <v>1.2237593405947058</v>
      </c>
      <c r="O27" s="432" t="str">
        <f t="shared" si="1"/>
        <v>(2,2,4,1,1,3); Calculation based on fuel and electricity use minus 25 MJ/kg</v>
      </c>
      <c r="P27" s="435">
        <f t="shared" si="11"/>
        <v>74.867421686746994</v>
      </c>
      <c r="Q27" s="95">
        <v>1</v>
      </c>
      <c r="R27" s="96">
        <f t="shared" si="2"/>
        <v>1.2237593405947058</v>
      </c>
      <c r="S27" s="432" t="str">
        <f t="shared" si="3"/>
        <v>(2,2,4,1,1,3); Calculation based on fuel and electricity use minus 25 MJ/kg</v>
      </c>
      <c r="T27" s="435">
        <f t="shared" si="12"/>
        <v>74.867421686746994</v>
      </c>
      <c r="U27" s="95">
        <v>1</v>
      </c>
      <c r="V27" s="96">
        <f t="shared" si="4"/>
        <v>1.2237593405947058</v>
      </c>
      <c r="W27" s="432" t="str">
        <f t="shared" si="5"/>
        <v>(2,2,4,1,1,3); Calculation based on fuel and electricity use minus 25 MJ/kg</v>
      </c>
      <c r="X27" s="435">
        <f t="shared" si="13"/>
        <v>74.867421686746994</v>
      </c>
      <c r="Y27" s="95">
        <v>1</v>
      </c>
      <c r="Z27" s="96">
        <f t="shared" si="6"/>
        <v>1.2237593405947058</v>
      </c>
      <c r="AA27" s="432" t="str">
        <f t="shared" si="7"/>
        <v>(2,2,4,1,1,3); Calculation based on fuel and electricity use minus 25 MJ/kg</v>
      </c>
      <c r="AB27" s="112"/>
      <c r="AC27" s="111"/>
      <c r="AD27" s="111"/>
      <c r="AE27" s="111"/>
      <c r="AF27" s="111"/>
      <c r="AG27" s="111"/>
      <c r="AH27" s="111"/>
      <c r="AI27" s="111"/>
      <c r="AJ27" s="77" t="s">
        <v>402</v>
      </c>
      <c r="AK27" s="339">
        <v>2</v>
      </c>
      <c r="AL27" s="339">
        <v>2</v>
      </c>
      <c r="AM27" s="339">
        <v>4</v>
      </c>
      <c r="AN27" s="339">
        <v>1</v>
      </c>
      <c r="AO27" s="339">
        <v>1</v>
      </c>
      <c r="AP27" s="339">
        <v>3</v>
      </c>
      <c r="AQ27" s="104">
        <v>13</v>
      </c>
      <c r="AR27" s="104">
        <v>1.05</v>
      </c>
      <c r="AS27" s="107">
        <f t="shared" si="8"/>
        <v>1.2164594125584303</v>
      </c>
      <c r="AT27" s="107">
        <f t="shared" si="9"/>
        <v>1.2237593405947058</v>
      </c>
      <c r="AU27" s="107" t="str">
        <f t="shared" si="10"/>
        <v>(2,2,4,1,1,3)</v>
      </c>
      <c r="AV27" s="108">
        <v>1.05</v>
      </c>
      <c r="AW27" s="108">
        <v>1.02</v>
      </c>
      <c r="AX27" s="108">
        <v>1.2</v>
      </c>
      <c r="AY27" s="108">
        <v>1</v>
      </c>
      <c r="AZ27" s="108">
        <v>1</v>
      </c>
      <c r="BA27" s="108">
        <v>1.05</v>
      </c>
    </row>
    <row r="28" spans="1:53">
      <c r="A28" s="330">
        <v>37547</v>
      </c>
      <c r="B28" s="331"/>
      <c r="C28" s="88"/>
      <c r="D28" s="340" t="s">
        <v>98</v>
      </c>
      <c r="E28" s="341">
        <v>4</v>
      </c>
      <c r="F28" s="432" t="s">
        <v>403</v>
      </c>
      <c r="G28" s="433" t="s">
        <v>98</v>
      </c>
      <c r="H28" s="434" t="s">
        <v>247</v>
      </c>
      <c r="I28" s="434" t="s">
        <v>248</v>
      </c>
      <c r="J28" s="94" t="s">
        <v>98</v>
      </c>
      <c r="K28" s="433" t="s">
        <v>96</v>
      </c>
      <c r="L28" s="435">
        <f>AI28/AI$49*L$49</f>
        <v>9.4222824809924688E-9</v>
      </c>
      <c r="M28" s="95">
        <v>1</v>
      </c>
      <c r="N28" s="96">
        <f t="shared" si="0"/>
        <v>5.3401796470802054</v>
      </c>
      <c r="O28" s="432" t="str">
        <f t="shared" si="1"/>
        <v>(3,4,5,3,1,5); Literature, in dust</v>
      </c>
      <c r="P28" s="435">
        <f t="shared" si="11"/>
        <v>9.4222824809924688E-9</v>
      </c>
      <c r="Q28" s="95">
        <v>1</v>
      </c>
      <c r="R28" s="96">
        <f t="shared" si="2"/>
        <v>5.3401796470802054</v>
      </c>
      <c r="S28" s="432" t="str">
        <f t="shared" si="3"/>
        <v>(3,4,5,3,1,5); Literature, in dust</v>
      </c>
      <c r="T28" s="435">
        <f t="shared" si="12"/>
        <v>9.4222824809924688E-9</v>
      </c>
      <c r="U28" s="95">
        <v>1</v>
      </c>
      <c r="V28" s="96">
        <f t="shared" si="4"/>
        <v>5.3401796470802054</v>
      </c>
      <c r="W28" s="432" t="str">
        <f t="shared" si="5"/>
        <v>(3,4,5,3,1,5); Literature, in dust</v>
      </c>
      <c r="X28" s="435">
        <f t="shared" si="13"/>
        <v>9.4222824809924688E-9</v>
      </c>
      <c r="Y28" s="95">
        <v>1</v>
      </c>
      <c r="Z28" s="96">
        <f t="shared" si="6"/>
        <v>5.3401796470802054</v>
      </c>
      <c r="AA28" s="432" t="str">
        <f t="shared" si="7"/>
        <v>(3,4,5,3,1,5); Literature, in dust</v>
      </c>
      <c r="AB28" s="112"/>
      <c r="AC28" s="111"/>
      <c r="AD28" s="111"/>
      <c r="AE28" s="111"/>
      <c r="AF28" s="111"/>
      <c r="AG28" s="111"/>
      <c r="AH28" s="111"/>
      <c r="AI28" s="111">
        <v>9.5999999999999999E-9</v>
      </c>
      <c r="AJ28" s="77" t="s">
        <v>404</v>
      </c>
      <c r="AK28" s="339">
        <v>3</v>
      </c>
      <c r="AL28" s="339">
        <v>4</v>
      </c>
      <c r="AM28" s="339">
        <v>5</v>
      </c>
      <c r="AN28" s="339">
        <v>3</v>
      </c>
      <c r="AO28" s="339">
        <v>1</v>
      </c>
      <c r="AP28" s="339">
        <v>5</v>
      </c>
      <c r="AQ28" s="104">
        <v>22</v>
      </c>
      <c r="AR28" s="104">
        <v>5</v>
      </c>
      <c r="AS28" s="107">
        <f t="shared" si="8"/>
        <v>1.5919770563893134</v>
      </c>
      <c r="AT28" s="107">
        <f t="shared" si="9"/>
        <v>5.3401796470802054</v>
      </c>
      <c r="AU28" s="107" t="str">
        <f t="shared" si="10"/>
        <v>(3,4,5,3,1,5)</v>
      </c>
      <c r="AV28" s="108">
        <v>1.1000000000000001</v>
      </c>
      <c r="AW28" s="108">
        <v>1.1000000000000001</v>
      </c>
      <c r="AX28" s="108">
        <v>1.5</v>
      </c>
      <c r="AY28" s="108">
        <v>1.02</v>
      </c>
      <c r="AZ28" s="108">
        <v>1</v>
      </c>
      <c r="BA28" s="108">
        <v>1.2</v>
      </c>
    </row>
    <row r="29" spans="1:53">
      <c r="A29" s="330">
        <v>11720</v>
      </c>
      <c r="B29" s="331"/>
      <c r="C29" s="88"/>
      <c r="D29" s="340" t="s">
        <v>98</v>
      </c>
      <c r="E29" s="341">
        <v>4</v>
      </c>
      <c r="F29" s="432" t="s">
        <v>405</v>
      </c>
      <c r="G29" s="433" t="s">
        <v>98</v>
      </c>
      <c r="H29" s="434" t="s">
        <v>247</v>
      </c>
      <c r="I29" s="434" t="s">
        <v>406</v>
      </c>
      <c r="J29" s="94" t="s">
        <v>98</v>
      </c>
      <c r="K29" s="433" t="s">
        <v>96</v>
      </c>
      <c r="L29" s="435">
        <f>0.0002*L$49</f>
        <v>1.5507506583300108E-6</v>
      </c>
      <c r="M29" s="95">
        <v>1</v>
      </c>
      <c r="N29" s="96">
        <f t="shared" si="0"/>
        <v>5.3401796470802054</v>
      </c>
      <c r="O29" s="432" t="str">
        <f t="shared" si="1"/>
        <v>(3,4,5,3,1,5); Literature, in dust</v>
      </c>
      <c r="P29" s="435">
        <f t="shared" si="11"/>
        <v>1.5507506583300108E-6</v>
      </c>
      <c r="Q29" s="95">
        <v>1</v>
      </c>
      <c r="R29" s="96">
        <f t="shared" si="2"/>
        <v>5.3401796470802054</v>
      </c>
      <c r="S29" s="432" t="str">
        <f t="shared" si="3"/>
        <v>(3,4,5,3,1,5); Literature, in dust</v>
      </c>
      <c r="T29" s="435">
        <f t="shared" si="12"/>
        <v>1.5507506583300108E-6</v>
      </c>
      <c r="U29" s="95">
        <v>1</v>
      </c>
      <c r="V29" s="96">
        <f t="shared" si="4"/>
        <v>5.3401796470802054</v>
      </c>
      <c r="W29" s="432" t="str">
        <f t="shared" si="5"/>
        <v>(3,4,5,3,1,5); Literature, in dust</v>
      </c>
      <c r="X29" s="435">
        <f t="shared" si="13"/>
        <v>1.5507506583300108E-6</v>
      </c>
      <c r="Y29" s="95">
        <v>1</v>
      </c>
      <c r="Z29" s="96">
        <f t="shared" si="6"/>
        <v>5.3401796470802054</v>
      </c>
      <c r="AA29" s="432" t="str">
        <f t="shared" si="7"/>
        <v>(3,4,5,3,1,5); Literature, in dust</v>
      </c>
      <c r="AB29" s="112"/>
      <c r="AC29" s="111"/>
      <c r="AD29" s="111"/>
      <c r="AE29" s="111"/>
      <c r="AF29" s="111"/>
      <c r="AG29" s="111"/>
      <c r="AH29" s="111"/>
      <c r="AI29" s="111"/>
      <c r="AJ29" s="77" t="s">
        <v>404</v>
      </c>
      <c r="AK29" s="339">
        <v>3</v>
      </c>
      <c r="AL29" s="339">
        <v>4</v>
      </c>
      <c r="AM29" s="339">
        <v>5</v>
      </c>
      <c r="AN29" s="339">
        <v>3</v>
      </c>
      <c r="AO29" s="339">
        <v>1</v>
      </c>
      <c r="AP29" s="339">
        <v>5</v>
      </c>
      <c r="AQ29" s="104">
        <v>22</v>
      </c>
      <c r="AR29" s="104">
        <v>5</v>
      </c>
      <c r="AS29" s="107">
        <f t="shared" si="8"/>
        <v>1.5919770563893134</v>
      </c>
      <c r="AT29" s="107">
        <f t="shared" si="9"/>
        <v>5.3401796470802054</v>
      </c>
      <c r="AU29" s="107" t="str">
        <f t="shared" si="10"/>
        <v>(3,4,5,3,1,5)</v>
      </c>
      <c r="AV29" s="108">
        <v>1.1000000000000001</v>
      </c>
      <c r="AW29" s="108">
        <v>1.1000000000000001</v>
      </c>
      <c r="AX29" s="108">
        <v>1.5</v>
      </c>
      <c r="AY29" s="108">
        <v>1.02</v>
      </c>
      <c r="AZ29" s="108">
        <v>1</v>
      </c>
      <c r="BA29" s="108">
        <v>1.2</v>
      </c>
    </row>
    <row r="30" spans="1:53">
      <c r="A30" s="330">
        <v>9302</v>
      </c>
      <c r="B30" s="331"/>
      <c r="C30" s="88"/>
      <c r="D30" s="340" t="s">
        <v>98</v>
      </c>
      <c r="E30" s="341">
        <v>4</v>
      </c>
      <c r="F30" s="432" t="s">
        <v>407</v>
      </c>
      <c r="G30" s="433" t="s">
        <v>98</v>
      </c>
      <c r="H30" s="434" t="s">
        <v>247</v>
      </c>
      <c r="I30" s="434" t="s">
        <v>248</v>
      </c>
      <c r="J30" s="94" t="s">
        <v>98</v>
      </c>
      <c r="K30" s="433" t="s">
        <v>96</v>
      </c>
      <c r="L30" s="435">
        <f>AI30/AI$49*L$49</f>
        <v>7.8519020674937259E-9</v>
      </c>
      <c r="M30" s="95">
        <v>1</v>
      </c>
      <c r="N30" s="96">
        <f t="shared" si="0"/>
        <v>5.3401796470802054</v>
      </c>
      <c r="O30" s="432" t="str">
        <f t="shared" si="1"/>
        <v>(3,4,5,3,1,5); Literature, in dust</v>
      </c>
      <c r="P30" s="435">
        <f t="shared" si="11"/>
        <v>7.8519020674937259E-9</v>
      </c>
      <c r="Q30" s="95">
        <v>1</v>
      </c>
      <c r="R30" s="96">
        <f t="shared" si="2"/>
        <v>5.3401796470802054</v>
      </c>
      <c r="S30" s="432" t="str">
        <f t="shared" si="3"/>
        <v>(3,4,5,3,1,5); Literature, in dust</v>
      </c>
      <c r="T30" s="435">
        <f t="shared" si="12"/>
        <v>7.8519020674937259E-9</v>
      </c>
      <c r="U30" s="95">
        <v>1</v>
      </c>
      <c r="V30" s="96">
        <f t="shared" si="4"/>
        <v>5.3401796470802054</v>
      </c>
      <c r="W30" s="432" t="str">
        <f t="shared" si="5"/>
        <v>(3,4,5,3,1,5); Literature, in dust</v>
      </c>
      <c r="X30" s="435">
        <f t="shared" si="13"/>
        <v>7.8519020674937259E-9</v>
      </c>
      <c r="Y30" s="95">
        <v>1</v>
      </c>
      <c r="Z30" s="96">
        <f t="shared" si="6"/>
        <v>5.3401796470802054</v>
      </c>
      <c r="AA30" s="432" t="str">
        <f t="shared" si="7"/>
        <v>(3,4,5,3,1,5); Literature, in dust</v>
      </c>
      <c r="AB30" s="112"/>
      <c r="AC30" s="111"/>
      <c r="AD30" s="111"/>
      <c r="AE30" s="111"/>
      <c r="AF30" s="111"/>
      <c r="AG30" s="111"/>
      <c r="AH30" s="111"/>
      <c r="AI30" s="111">
        <v>8.0000000000000005E-9</v>
      </c>
      <c r="AJ30" s="77" t="s">
        <v>404</v>
      </c>
      <c r="AK30" s="339">
        <v>3</v>
      </c>
      <c r="AL30" s="339">
        <v>4</v>
      </c>
      <c r="AM30" s="339">
        <v>5</v>
      </c>
      <c r="AN30" s="339">
        <v>3</v>
      </c>
      <c r="AO30" s="339">
        <v>1</v>
      </c>
      <c r="AP30" s="339">
        <v>5</v>
      </c>
      <c r="AQ30" s="104">
        <v>22</v>
      </c>
      <c r="AR30" s="104">
        <v>5</v>
      </c>
      <c r="AS30" s="107">
        <f t="shared" si="8"/>
        <v>1.5919770563893134</v>
      </c>
      <c r="AT30" s="107">
        <f t="shared" si="9"/>
        <v>5.3401796470802054</v>
      </c>
      <c r="AU30" s="107" t="str">
        <f t="shared" si="10"/>
        <v>(3,4,5,3,1,5)</v>
      </c>
      <c r="AV30" s="108">
        <v>1.1000000000000001</v>
      </c>
      <c r="AW30" s="108">
        <v>1.1000000000000001</v>
      </c>
      <c r="AX30" s="108">
        <v>1.5</v>
      </c>
      <c r="AY30" s="108">
        <v>1.02</v>
      </c>
      <c r="AZ30" s="108">
        <v>1</v>
      </c>
      <c r="BA30" s="108">
        <v>1.2</v>
      </c>
    </row>
    <row r="31" spans="1:53">
      <c r="A31" s="330">
        <v>65827</v>
      </c>
      <c r="B31" s="331"/>
      <c r="C31" s="88"/>
      <c r="D31" s="340" t="s">
        <v>98</v>
      </c>
      <c r="E31" s="341">
        <v>4</v>
      </c>
      <c r="F31" s="432" t="s">
        <v>408</v>
      </c>
      <c r="G31" s="433" t="s">
        <v>98</v>
      </c>
      <c r="H31" s="434" t="s">
        <v>247</v>
      </c>
      <c r="I31" s="434" t="s">
        <v>406</v>
      </c>
      <c r="J31" s="94" t="s">
        <v>98</v>
      </c>
      <c r="K31" s="433" t="s">
        <v>96</v>
      </c>
      <c r="L31" s="435">
        <f>0.000036*L$49</f>
        <v>2.7913511849940191E-7</v>
      </c>
      <c r="M31" s="95">
        <v>1</v>
      </c>
      <c r="N31" s="96">
        <f t="shared" si="0"/>
        <v>5.3401796470802054</v>
      </c>
      <c r="O31" s="432" t="str">
        <f t="shared" si="1"/>
        <v>(3,4,5,3,1,5); Literature, in dust</v>
      </c>
      <c r="P31" s="435">
        <f t="shared" si="11"/>
        <v>2.7913511849940191E-7</v>
      </c>
      <c r="Q31" s="95">
        <v>1</v>
      </c>
      <c r="R31" s="96">
        <f t="shared" si="2"/>
        <v>5.3401796470802054</v>
      </c>
      <c r="S31" s="432" t="str">
        <f t="shared" si="3"/>
        <v>(3,4,5,3,1,5); Literature, in dust</v>
      </c>
      <c r="T31" s="435">
        <f t="shared" si="12"/>
        <v>2.7913511849940191E-7</v>
      </c>
      <c r="U31" s="95">
        <v>1</v>
      </c>
      <c r="V31" s="96">
        <f t="shared" si="4"/>
        <v>5.3401796470802054</v>
      </c>
      <c r="W31" s="432" t="str">
        <f t="shared" si="5"/>
        <v>(3,4,5,3,1,5); Literature, in dust</v>
      </c>
      <c r="X31" s="435">
        <f t="shared" si="13"/>
        <v>2.7913511849940191E-7</v>
      </c>
      <c r="Y31" s="95">
        <v>1</v>
      </c>
      <c r="Z31" s="96">
        <f t="shared" si="6"/>
        <v>5.3401796470802054</v>
      </c>
      <c r="AA31" s="432" t="str">
        <f t="shared" si="7"/>
        <v>(3,4,5,3,1,5); Literature, in dust</v>
      </c>
      <c r="AB31" s="112"/>
      <c r="AC31" s="111"/>
      <c r="AD31" s="111"/>
      <c r="AE31" s="111"/>
      <c r="AF31" s="111"/>
      <c r="AG31" s="111"/>
      <c r="AH31" s="111"/>
      <c r="AI31" s="111"/>
      <c r="AJ31" s="77" t="s">
        <v>404</v>
      </c>
      <c r="AK31" s="339">
        <v>3</v>
      </c>
      <c r="AL31" s="339">
        <v>4</v>
      </c>
      <c r="AM31" s="339">
        <v>5</v>
      </c>
      <c r="AN31" s="339">
        <v>3</v>
      </c>
      <c r="AO31" s="339">
        <v>1</v>
      </c>
      <c r="AP31" s="339">
        <v>5</v>
      </c>
      <c r="AQ31" s="104">
        <v>22</v>
      </c>
      <c r="AR31" s="104">
        <v>5</v>
      </c>
      <c r="AS31" s="107">
        <f t="shared" si="8"/>
        <v>1.5919770563893134</v>
      </c>
      <c r="AT31" s="107">
        <f t="shared" si="9"/>
        <v>5.3401796470802054</v>
      </c>
      <c r="AU31" s="107" t="str">
        <f t="shared" si="10"/>
        <v>(3,4,5,3,1,5)</v>
      </c>
      <c r="AV31" s="108">
        <v>1.1000000000000001</v>
      </c>
      <c r="AW31" s="108">
        <v>1.1000000000000001</v>
      </c>
      <c r="AX31" s="108">
        <v>1.5</v>
      </c>
      <c r="AY31" s="108">
        <v>1.02</v>
      </c>
      <c r="AZ31" s="108">
        <v>1</v>
      </c>
      <c r="BA31" s="108">
        <v>1.2</v>
      </c>
    </row>
    <row r="32" spans="1:53">
      <c r="A32" s="330">
        <v>157803</v>
      </c>
      <c r="B32" s="331"/>
      <c r="C32" s="88"/>
      <c r="D32" s="340" t="s">
        <v>98</v>
      </c>
      <c r="E32" s="341">
        <v>4</v>
      </c>
      <c r="F32" s="432" t="s">
        <v>352</v>
      </c>
      <c r="G32" s="433" t="s">
        <v>98</v>
      </c>
      <c r="H32" s="434" t="s">
        <v>247</v>
      </c>
      <c r="I32" s="434" t="s">
        <v>248</v>
      </c>
      <c r="J32" s="94" t="s">
        <v>98</v>
      </c>
      <c r="K32" s="433" t="s">
        <v>96</v>
      </c>
      <c r="L32" s="435">
        <f>AI32/AI$49*L$49</f>
        <v>3.1407608269974896E-10</v>
      </c>
      <c r="M32" s="95">
        <v>1</v>
      </c>
      <c r="N32" s="96">
        <f t="shared" si="0"/>
        <v>5.3401796470802054</v>
      </c>
      <c r="O32" s="432" t="str">
        <f t="shared" si="1"/>
        <v>(3,4,5,3,1,5); Literature, in dust</v>
      </c>
      <c r="P32" s="435">
        <f t="shared" si="11"/>
        <v>3.1407608269974896E-10</v>
      </c>
      <c r="Q32" s="95">
        <v>1</v>
      </c>
      <c r="R32" s="96">
        <f t="shared" si="2"/>
        <v>5.3401796470802054</v>
      </c>
      <c r="S32" s="432" t="str">
        <f t="shared" si="3"/>
        <v>(3,4,5,3,1,5); Literature, in dust</v>
      </c>
      <c r="T32" s="435">
        <f t="shared" si="12"/>
        <v>3.1407608269974896E-10</v>
      </c>
      <c r="U32" s="95">
        <v>1</v>
      </c>
      <c r="V32" s="96">
        <f t="shared" si="4"/>
        <v>5.3401796470802054</v>
      </c>
      <c r="W32" s="432" t="str">
        <f t="shared" si="5"/>
        <v>(3,4,5,3,1,5); Literature, in dust</v>
      </c>
      <c r="X32" s="435">
        <f t="shared" si="13"/>
        <v>3.1407608269974896E-10</v>
      </c>
      <c r="Y32" s="95">
        <v>1</v>
      </c>
      <c r="Z32" s="96">
        <f t="shared" si="6"/>
        <v>5.3401796470802054</v>
      </c>
      <c r="AA32" s="432" t="str">
        <f t="shared" si="7"/>
        <v>(3,4,5,3,1,5); Literature, in dust</v>
      </c>
      <c r="AB32" s="112"/>
      <c r="AC32" s="111"/>
      <c r="AD32" s="111"/>
      <c r="AE32" s="111"/>
      <c r="AF32" s="111"/>
      <c r="AG32" s="111"/>
      <c r="AH32" s="111"/>
      <c r="AI32" s="111">
        <v>3.1999999999999998E-10</v>
      </c>
      <c r="AJ32" s="77" t="s">
        <v>404</v>
      </c>
      <c r="AK32" s="339">
        <v>3</v>
      </c>
      <c r="AL32" s="339">
        <v>4</v>
      </c>
      <c r="AM32" s="339">
        <v>5</v>
      </c>
      <c r="AN32" s="339">
        <v>3</v>
      </c>
      <c r="AO32" s="339">
        <v>1</v>
      </c>
      <c r="AP32" s="339">
        <v>5</v>
      </c>
      <c r="AQ32" s="104">
        <v>22</v>
      </c>
      <c r="AR32" s="104">
        <v>5</v>
      </c>
      <c r="AS32" s="107">
        <f t="shared" si="8"/>
        <v>1.5919770563893134</v>
      </c>
      <c r="AT32" s="107">
        <f t="shared" si="9"/>
        <v>5.3401796470802054</v>
      </c>
      <c r="AU32" s="107" t="str">
        <f t="shared" si="10"/>
        <v>(3,4,5,3,1,5)</v>
      </c>
      <c r="AV32" s="108">
        <v>1.1000000000000001</v>
      </c>
      <c r="AW32" s="108">
        <v>1.1000000000000001</v>
      </c>
      <c r="AX32" s="108">
        <v>1.5</v>
      </c>
      <c r="AY32" s="108">
        <v>1.02</v>
      </c>
      <c r="AZ32" s="108">
        <v>1</v>
      </c>
      <c r="BA32" s="108">
        <v>1.2</v>
      </c>
    </row>
    <row r="33" spans="1:53">
      <c r="A33" s="330">
        <v>25029</v>
      </c>
      <c r="B33" s="331"/>
      <c r="C33" s="88"/>
      <c r="D33" s="340" t="s">
        <v>98</v>
      </c>
      <c r="E33" s="341">
        <v>4</v>
      </c>
      <c r="F33" s="432" t="s">
        <v>187</v>
      </c>
      <c r="G33" s="433" t="s">
        <v>98</v>
      </c>
      <c r="H33" s="434" t="s">
        <v>247</v>
      </c>
      <c r="I33" s="434" t="s">
        <v>406</v>
      </c>
      <c r="J33" s="94" t="s">
        <v>98</v>
      </c>
      <c r="K33" s="433" t="s">
        <v>96</v>
      </c>
      <c r="L33" s="435">
        <f>0.0001*L$49</f>
        <v>7.753753291650054E-7</v>
      </c>
      <c r="M33" s="95">
        <v>1</v>
      </c>
      <c r="N33" s="96">
        <f t="shared" si="0"/>
        <v>5.3401796470802054</v>
      </c>
      <c r="O33" s="432" t="str">
        <f t="shared" si="1"/>
        <v>(3,4,5,3,1,5); Literature, in dust</v>
      </c>
      <c r="P33" s="435">
        <f t="shared" si="11"/>
        <v>7.753753291650054E-7</v>
      </c>
      <c r="Q33" s="95">
        <v>1</v>
      </c>
      <c r="R33" s="96">
        <f t="shared" si="2"/>
        <v>5.3401796470802054</v>
      </c>
      <c r="S33" s="432" t="str">
        <f t="shared" si="3"/>
        <v>(3,4,5,3,1,5); Literature, in dust</v>
      </c>
      <c r="T33" s="435">
        <f t="shared" si="12"/>
        <v>7.753753291650054E-7</v>
      </c>
      <c r="U33" s="95">
        <v>1</v>
      </c>
      <c r="V33" s="96">
        <f t="shared" si="4"/>
        <v>5.3401796470802054</v>
      </c>
      <c r="W33" s="432" t="str">
        <f t="shared" si="5"/>
        <v>(3,4,5,3,1,5); Literature, in dust</v>
      </c>
      <c r="X33" s="435">
        <f t="shared" si="13"/>
        <v>7.753753291650054E-7</v>
      </c>
      <c r="Y33" s="95">
        <v>1</v>
      </c>
      <c r="Z33" s="96">
        <f t="shared" si="6"/>
        <v>5.3401796470802054</v>
      </c>
      <c r="AA33" s="432" t="str">
        <f t="shared" si="7"/>
        <v>(3,4,5,3,1,5); Literature, in dust</v>
      </c>
      <c r="AB33" s="112"/>
      <c r="AC33" s="111"/>
      <c r="AD33" s="111"/>
      <c r="AE33" s="111"/>
      <c r="AF33" s="111"/>
      <c r="AG33" s="111"/>
      <c r="AH33" s="111"/>
      <c r="AI33" s="111"/>
      <c r="AJ33" s="77" t="s">
        <v>404</v>
      </c>
      <c r="AK33" s="339">
        <v>3</v>
      </c>
      <c r="AL33" s="339">
        <v>4</v>
      </c>
      <c r="AM33" s="339">
        <v>5</v>
      </c>
      <c r="AN33" s="339">
        <v>3</v>
      </c>
      <c r="AO33" s="339">
        <v>1</v>
      </c>
      <c r="AP33" s="339">
        <v>5</v>
      </c>
      <c r="AQ33" s="104">
        <v>22</v>
      </c>
      <c r="AR33" s="104">
        <v>5</v>
      </c>
      <c r="AS33" s="107">
        <f t="shared" si="8"/>
        <v>1.5919770563893134</v>
      </c>
      <c r="AT33" s="107">
        <f t="shared" si="9"/>
        <v>5.3401796470802054</v>
      </c>
      <c r="AU33" s="107" t="str">
        <f t="shared" si="10"/>
        <v>(3,4,5,3,1,5)</v>
      </c>
      <c r="AV33" s="108">
        <v>1.1000000000000001</v>
      </c>
      <c r="AW33" s="108">
        <v>1.1000000000000001</v>
      </c>
      <c r="AX33" s="108">
        <v>1.5</v>
      </c>
      <c r="AY33" s="108">
        <v>1.02</v>
      </c>
      <c r="AZ33" s="108">
        <v>1</v>
      </c>
      <c r="BA33" s="108">
        <v>1.2</v>
      </c>
    </row>
    <row r="34" spans="1:53">
      <c r="A34" s="330">
        <v>81433</v>
      </c>
      <c r="B34" s="331"/>
      <c r="C34" s="88"/>
      <c r="D34" s="340" t="s">
        <v>98</v>
      </c>
      <c r="E34" s="341">
        <v>4</v>
      </c>
      <c r="F34" s="432" t="s">
        <v>409</v>
      </c>
      <c r="G34" s="433" t="s">
        <v>98</v>
      </c>
      <c r="H34" s="434" t="s">
        <v>247</v>
      </c>
      <c r="I34" s="434" t="s">
        <v>258</v>
      </c>
      <c r="J34" s="94" t="s">
        <v>98</v>
      </c>
      <c r="K34" s="433" t="s">
        <v>96</v>
      </c>
      <c r="L34" s="435">
        <f>L36/(L36+L37)*0.002</f>
        <v>6.2026518470616404E-4</v>
      </c>
      <c r="M34" s="95">
        <v>1</v>
      </c>
      <c r="N34" s="96">
        <f t="shared" si="0"/>
        <v>5.3401796470802054</v>
      </c>
      <c r="O34" s="432" t="str">
        <f t="shared" si="1"/>
        <v>(3,4,5,3,1,5); Literature</v>
      </c>
      <c r="P34" s="435">
        <f t="shared" si="11"/>
        <v>6.2026518470616404E-4</v>
      </c>
      <c r="Q34" s="95">
        <v>1</v>
      </c>
      <c r="R34" s="96">
        <f t="shared" si="2"/>
        <v>5.3401796470802054</v>
      </c>
      <c r="S34" s="432" t="str">
        <f t="shared" si="3"/>
        <v>(3,4,5,3,1,5); Literature</v>
      </c>
      <c r="T34" s="435">
        <f t="shared" si="12"/>
        <v>6.2026518470616404E-4</v>
      </c>
      <c r="U34" s="95">
        <v>1</v>
      </c>
      <c r="V34" s="96">
        <f t="shared" si="4"/>
        <v>5.3401796470802054</v>
      </c>
      <c r="W34" s="432" t="str">
        <f t="shared" si="5"/>
        <v>(3,4,5,3,1,5); Literature</v>
      </c>
      <c r="X34" s="435">
        <f t="shared" si="13"/>
        <v>6.2026518470616404E-4</v>
      </c>
      <c r="Y34" s="95">
        <v>1</v>
      </c>
      <c r="Z34" s="96">
        <f t="shared" si="6"/>
        <v>5.3401796470802054</v>
      </c>
      <c r="AA34" s="432" t="str">
        <f t="shared" si="7"/>
        <v>(3,4,5,3,1,5); Literature</v>
      </c>
      <c r="AB34" s="112"/>
      <c r="AC34" s="111"/>
      <c r="AD34" s="111"/>
      <c r="AE34" s="111"/>
      <c r="AF34" s="111"/>
      <c r="AG34" s="111"/>
      <c r="AH34" s="111"/>
      <c r="AI34" s="111">
        <v>1.2070810412128201E-3</v>
      </c>
      <c r="AJ34" s="77" t="s">
        <v>253</v>
      </c>
      <c r="AK34" s="339">
        <v>3</v>
      </c>
      <c r="AL34" s="339">
        <v>4</v>
      </c>
      <c r="AM34" s="339">
        <v>5</v>
      </c>
      <c r="AN34" s="339">
        <v>3</v>
      </c>
      <c r="AO34" s="339">
        <v>1</v>
      </c>
      <c r="AP34" s="339">
        <v>5</v>
      </c>
      <c r="AQ34" s="104">
        <v>17</v>
      </c>
      <c r="AR34" s="104">
        <v>5</v>
      </c>
      <c r="AS34" s="107">
        <f t="shared" si="8"/>
        <v>1.5919770563893134</v>
      </c>
      <c r="AT34" s="107">
        <f t="shared" si="9"/>
        <v>5.3401796470802054</v>
      </c>
      <c r="AU34" s="107" t="str">
        <f t="shared" si="10"/>
        <v>(3,4,5,3,1,5)</v>
      </c>
      <c r="AV34" s="108">
        <v>1.1000000000000001</v>
      </c>
      <c r="AW34" s="108">
        <v>1.1000000000000001</v>
      </c>
      <c r="AX34" s="108">
        <v>1.5</v>
      </c>
      <c r="AY34" s="108">
        <v>1.02</v>
      </c>
      <c r="AZ34" s="108">
        <v>1</v>
      </c>
      <c r="BA34" s="108">
        <v>1.2</v>
      </c>
    </row>
    <row r="35" spans="1:53">
      <c r="A35" s="330">
        <v>90531</v>
      </c>
      <c r="B35" s="331"/>
      <c r="C35" s="88"/>
      <c r="D35" s="340" t="s">
        <v>98</v>
      </c>
      <c r="E35" s="341">
        <v>4</v>
      </c>
      <c r="F35" s="432" t="s">
        <v>178</v>
      </c>
      <c r="G35" s="433" t="s">
        <v>98</v>
      </c>
      <c r="H35" s="434" t="s">
        <v>247</v>
      </c>
      <c r="I35" s="434" t="s">
        <v>258</v>
      </c>
      <c r="J35" s="94" t="s">
        <v>98</v>
      </c>
      <c r="K35" s="433" t="s">
        <v>96</v>
      </c>
      <c r="L35" s="435">
        <f>L37/(L37+L36)*0.002</f>
        <v>1.3797348152938362E-3</v>
      </c>
      <c r="M35" s="95">
        <v>1</v>
      </c>
      <c r="N35" s="96">
        <f t="shared" si="0"/>
        <v>5.3401796470802054</v>
      </c>
      <c r="O35" s="432" t="str">
        <f t="shared" si="1"/>
        <v>(3,4,5,3,1,5); Literature</v>
      </c>
      <c r="P35" s="435">
        <f t="shared" si="11"/>
        <v>1.3797348152938362E-3</v>
      </c>
      <c r="Q35" s="95">
        <v>1</v>
      </c>
      <c r="R35" s="96">
        <f t="shared" si="2"/>
        <v>5.3401796470802054</v>
      </c>
      <c r="S35" s="432" t="str">
        <f t="shared" si="3"/>
        <v>(3,4,5,3,1,5); Literature</v>
      </c>
      <c r="T35" s="435">
        <f t="shared" si="12"/>
        <v>1.3797348152938362E-3</v>
      </c>
      <c r="U35" s="95">
        <v>1</v>
      </c>
      <c r="V35" s="96">
        <f t="shared" si="4"/>
        <v>5.3401796470802054</v>
      </c>
      <c r="W35" s="432" t="str">
        <f t="shared" si="5"/>
        <v>(3,4,5,3,1,5); Literature</v>
      </c>
      <c r="X35" s="435">
        <f t="shared" si="13"/>
        <v>1.3797348152938362E-3</v>
      </c>
      <c r="Y35" s="95">
        <v>1</v>
      </c>
      <c r="Z35" s="96">
        <f t="shared" si="6"/>
        <v>5.3401796470802054</v>
      </c>
      <c r="AA35" s="432" t="str">
        <f t="shared" si="7"/>
        <v>(3,4,5,3,1,5); Literature</v>
      </c>
      <c r="AB35" s="113"/>
      <c r="AC35" s="111"/>
      <c r="AD35" s="111"/>
      <c r="AE35" s="111"/>
      <c r="AF35" s="111"/>
      <c r="AG35" s="111"/>
      <c r="AH35" s="111"/>
      <c r="AI35" s="111">
        <v>7.9291895878718201E-4</v>
      </c>
      <c r="AJ35" s="77" t="s">
        <v>253</v>
      </c>
      <c r="AK35" s="339">
        <v>3</v>
      </c>
      <c r="AL35" s="339">
        <v>4</v>
      </c>
      <c r="AM35" s="339">
        <v>5</v>
      </c>
      <c r="AN35" s="339">
        <v>3</v>
      </c>
      <c r="AO35" s="339">
        <v>1</v>
      </c>
      <c r="AP35" s="339">
        <v>5</v>
      </c>
      <c r="AQ35" s="104">
        <v>17</v>
      </c>
      <c r="AR35" s="104">
        <v>5</v>
      </c>
      <c r="AS35" s="107">
        <f t="shared" si="8"/>
        <v>1.5919770563893134</v>
      </c>
      <c r="AT35" s="107">
        <f t="shared" si="9"/>
        <v>5.3401796470802054</v>
      </c>
      <c r="AU35" s="107" t="str">
        <f t="shared" si="10"/>
        <v>(3,4,5,3,1,5)</v>
      </c>
      <c r="AV35" s="108">
        <v>1.1000000000000001</v>
      </c>
      <c r="AW35" s="108">
        <v>1.1000000000000001</v>
      </c>
      <c r="AX35" s="108">
        <v>1.5</v>
      </c>
      <c r="AY35" s="108">
        <v>1.02</v>
      </c>
      <c r="AZ35" s="108">
        <v>1</v>
      </c>
      <c r="BA35" s="108">
        <v>1.2</v>
      </c>
    </row>
    <row r="36" spans="1:53">
      <c r="A36" s="330">
        <v>80535</v>
      </c>
      <c r="B36" s="331"/>
      <c r="C36" s="88"/>
      <c r="D36" s="340" t="s">
        <v>98</v>
      </c>
      <c r="E36" s="341">
        <v>4</v>
      </c>
      <c r="F36" s="432" t="s">
        <v>410</v>
      </c>
      <c r="G36" s="433" t="s">
        <v>98</v>
      </c>
      <c r="H36" s="434" t="s">
        <v>247</v>
      </c>
      <c r="I36" s="434" t="s">
        <v>258</v>
      </c>
      <c r="J36" s="94" t="s">
        <v>98</v>
      </c>
      <c r="K36" s="433" t="s">
        <v>96</v>
      </c>
      <c r="L36" s="435">
        <f>L18*2.93+L15*93.2*44/12</f>
        <v>1.6097626506024096</v>
      </c>
      <c r="M36" s="95">
        <v>1</v>
      </c>
      <c r="N36" s="96">
        <f t="shared" si="0"/>
        <v>1.2237593405947058</v>
      </c>
      <c r="O36" s="432" t="str">
        <f t="shared" si="1"/>
        <v>(2,2,4,1,1,3); Calculation, biogenic fuels</v>
      </c>
      <c r="P36" s="435">
        <f t="shared" si="11"/>
        <v>1.6097626506024096</v>
      </c>
      <c r="Q36" s="95">
        <v>1</v>
      </c>
      <c r="R36" s="96">
        <f t="shared" si="2"/>
        <v>1.2237593405947058</v>
      </c>
      <c r="S36" s="432" t="str">
        <f t="shared" si="3"/>
        <v>(2,2,4,1,1,3); Calculation, biogenic fuels</v>
      </c>
      <c r="T36" s="435">
        <f t="shared" si="12"/>
        <v>1.6097626506024096</v>
      </c>
      <c r="U36" s="95">
        <v>1</v>
      </c>
      <c r="V36" s="96">
        <f t="shared" si="4"/>
        <v>1.2237593405947058</v>
      </c>
      <c r="W36" s="432" t="str">
        <f t="shared" si="5"/>
        <v>(2,2,4,1,1,3); Calculation, biogenic fuels</v>
      </c>
      <c r="X36" s="435">
        <f t="shared" si="13"/>
        <v>1.6097626506024096</v>
      </c>
      <c r="Y36" s="95">
        <v>1</v>
      </c>
      <c r="Z36" s="96">
        <f t="shared" si="6"/>
        <v>1.2237593405947058</v>
      </c>
      <c r="AA36" s="432" t="str">
        <f t="shared" si="7"/>
        <v>(2,2,4,1,1,3); Calculation, biogenic fuels</v>
      </c>
      <c r="AB36" s="112"/>
      <c r="AC36" s="111"/>
      <c r="AD36" s="111"/>
      <c r="AE36" s="111"/>
      <c r="AF36" s="111"/>
      <c r="AG36" s="111">
        <v>6.8342857142857198</v>
      </c>
      <c r="AH36" s="111">
        <v>4.5</v>
      </c>
      <c r="AI36" s="111">
        <v>4.2723162055335999</v>
      </c>
      <c r="AJ36" s="77" t="s">
        <v>411</v>
      </c>
      <c r="AK36" s="339">
        <v>2</v>
      </c>
      <c r="AL36" s="339">
        <v>2</v>
      </c>
      <c r="AM36" s="339">
        <v>4</v>
      </c>
      <c r="AN36" s="339">
        <v>1</v>
      </c>
      <c r="AO36" s="339">
        <v>1</v>
      </c>
      <c r="AP36" s="339">
        <v>3</v>
      </c>
      <c r="AQ36" s="104">
        <v>14</v>
      </c>
      <c r="AR36" s="104">
        <v>1.05</v>
      </c>
      <c r="AS36" s="107">
        <f t="shared" si="8"/>
        <v>1.2164594125584303</v>
      </c>
      <c r="AT36" s="107">
        <f t="shared" si="9"/>
        <v>1.2237593405947058</v>
      </c>
      <c r="AU36" s="107" t="str">
        <f t="shared" si="10"/>
        <v>(2,2,4,1,1,3)</v>
      </c>
      <c r="AV36" s="108">
        <v>1.05</v>
      </c>
      <c r="AW36" s="108">
        <v>1.02</v>
      </c>
      <c r="AX36" s="108">
        <v>1.2</v>
      </c>
      <c r="AY36" s="108">
        <v>1</v>
      </c>
      <c r="AZ36" s="108">
        <v>1</v>
      </c>
      <c r="BA36" s="108">
        <v>1.05</v>
      </c>
    </row>
    <row r="37" spans="1:53">
      <c r="A37" s="330">
        <v>90275</v>
      </c>
      <c r="B37" s="331"/>
      <c r="C37" s="88"/>
      <c r="D37" s="340" t="s">
        <v>98</v>
      </c>
      <c r="E37" s="341">
        <v>4</v>
      </c>
      <c r="F37" s="432" t="s">
        <v>259</v>
      </c>
      <c r="G37" s="433" t="s">
        <v>98</v>
      </c>
      <c r="H37" s="434" t="s">
        <v>247</v>
      </c>
      <c r="I37" s="434" t="s">
        <v>258</v>
      </c>
      <c r="J37" s="94" t="s">
        <v>98</v>
      </c>
      <c r="K37" s="433" t="s">
        <v>96</v>
      </c>
      <c r="L37" s="435">
        <f>(L19+L17)*2.4+L16/28.9*2.676</f>
        <v>3.5808</v>
      </c>
      <c r="M37" s="95">
        <v>1</v>
      </c>
      <c r="N37" s="96">
        <f t="shared" si="0"/>
        <v>1.2237593405947058</v>
      </c>
      <c r="O37" s="432" t="str">
        <f t="shared" si="1"/>
        <v>(2,2,4,1,1,3); Calculation, fossil fuels</v>
      </c>
      <c r="P37" s="435">
        <f t="shared" si="11"/>
        <v>3.5808</v>
      </c>
      <c r="Q37" s="95">
        <v>1</v>
      </c>
      <c r="R37" s="96">
        <f t="shared" si="2"/>
        <v>1.2237593405947058</v>
      </c>
      <c r="S37" s="432" t="str">
        <f t="shared" si="3"/>
        <v>(2,2,4,1,1,3); Calculation, fossil fuels</v>
      </c>
      <c r="T37" s="435">
        <f t="shared" si="12"/>
        <v>3.5808</v>
      </c>
      <c r="U37" s="95">
        <v>1</v>
      </c>
      <c r="V37" s="96">
        <f t="shared" si="4"/>
        <v>1.2237593405947058</v>
      </c>
      <c r="W37" s="432" t="str">
        <f t="shared" si="5"/>
        <v>(2,2,4,1,1,3); Calculation, fossil fuels</v>
      </c>
      <c r="X37" s="435">
        <f t="shared" si="13"/>
        <v>3.5808</v>
      </c>
      <c r="Y37" s="95">
        <v>1</v>
      </c>
      <c r="Z37" s="96">
        <f t="shared" si="6"/>
        <v>1.2237593405947058</v>
      </c>
      <c r="AA37" s="432" t="str">
        <f t="shared" si="7"/>
        <v>(2,2,4,1,1,3); Calculation, fossil fuels</v>
      </c>
      <c r="AB37" s="112"/>
      <c r="AC37" s="111"/>
      <c r="AD37" s="111"/>
      <c r="AE37" s="111">
        <f>AF37*L$37/AF$37</f>
        <v>3.5808</v>
      </c>
      <c r="AF37" s="111">
        <f>129000+272500+174000+353850+211795</f>
        <v>1141145</v>
      </c>
      <c r="AG37" s="111"/>
      <c r="AH37" s="111"/>
      <c r="AI37" s="111">
        <v>2.8064399999999998</v>
      </c>
      <c r="AJ37" s="77" t="s">
        <v>412</v>
      </c>
      <c r="AK37" s="339">
        <v>2</v>
      </c>
      <c r="AL37" s="339">
        <v>2</v>
      </c>
      <c r="AM37" s="339">
        <v>4</v>
      </c>
      <c r="AN37" s="339">
        <v>1</v>
      </c>
      <c r="AO37" s="339">
        <v>1</v>
      </c>
      <c r="AP37" s="339">
        <v>3</v>
      </c>
      <c r="AQ37" s="104">
        <v>14</v>
      </c>
      <c r="AR37" s="104">
        <v>1.05</v>
      </c>
      <c r="AS37" s="107">
        <f t="shared" si="8"/>
        <v>1.2164594125584303</v>
      </c>
      <c r="AT37" s="107">
        <f t="shared" si="9"/>
        <v>1.2237593405947058</v>
      </c>
      <c r="AU37" s="107" t="str">
        <f t="shared" si="10"/>
        <v>(2,2,4,1,1,3)</v>
      </c>
      <c r="AV37" s="108">
        <v>1.05</v>
      </c>
      <c r="AW37" s="108">
        <v>1.02</v>
      </c>
      <c r="AX37" s="108">
        <v>1.2</v>
      </c>
      <c r="AY37" s="108">
        <v>1</v>
      </c>
      <c r="AZ37" s="108">
        <v>1</v>
      </c>
      <c r="BA37" s="108">
        <v>1.05</v>
      </c>
    </row>
    <row r="38" spans="1:53">
      <c r="A38" s="330">
        <v>37783</v>
      </c>
      <c r="B38" s="331"/>
      <c r="C38" s="88"/>
      <c r="D38" s="340" t="s">
        <v>98</v>
      </c>
      <c r="E38" s="341">
        <v>4</v>
      </c>
      <c r="F38" s="432" t="s">
        <v>353</v>
      </c>
      <c r="G38" s="433" t="s">
        <v>98</v>
      </c>
      <c r="H38" s="434" t="s">
        <v>247</v>
      </c>
      <c r="I38" s="434" t="s">
        <v>248</v>
      </c>
      <c r="J38" s="94" t="s">
        <v>98</v>
      </c>
      <c r="K38" s="433" t="s">
        <v>96</v>
      </c>
      <c r="L38" s="435">
        <f>AI38/AI$49*L$49</f>
        <v>7.8519020674937259E-9</v>
      </c>
      <c r="M38" s="95">
        <v>1</v>
      </c>
      <c r="N38" s="96">
        <f t="shared" si="0"/>
        <v>5.3401796470802054</v>
      </c>
      <c r="O38" s="432" t="str">
        <f t="shared" si="1"/>
        <v>(3,4,5,3,1,5); Literature, in dust</v>
      </c>
      <c r="P38" s="435">
        <f t="shared" si="11"/>
        <v>7.8519020674937259E-9</v>
      </c>
      <c r="Q38" s="95">
        <v>1</v>
      </c>
      <c r="R38" s="96">
        <f t="shared" si="2"/>
        <v>5.3401796470802054</v>
      </c>
      <c r="S38" s="432" t="str">
        <f t="shared" si="3"/>
        <v>(3,4,5,3,1,5); Literature, in dust</v>
      </c>
      <c r="T38" s="435">
        <f t="shared" si="12"/>
        <v>7.8519020674937259E-9</v>
      </c>
      <c r="U38" s="95">
        <v>1</v>
      </c>
      <c r="V38" s="96">
        <f t="shared" si="4"/>
        <v>5.3401796470802054</v>
      </c>
      <c r="W38" s="432" t="str">
        <f t="shared" si="5"/>
        <v>(3,4,5,3,1,5); Literature, in dust</v>
      </c>
      <c r="X38" s="435">
        <f t="shared" si="13"/>
        <v>7.8519020674937259E-9</v>
      </c>
      <c r="Y38" s="95">
        <v>1</v>
      </c>
      <c r="Z38" s="96">
        <f t="shared" si="6"/>
        <v>5.3401796470802054</v>
      </c>
      <c r="AA38" s="432" t="str">
        <f t="shared" si="7"/>
        <v>(3,4,5,3,1,5); Literature, in dust</v>
      </c>
      <c r="AB38" s="112"/>
      <c r="AC38" s="111"/>
      <c r="AD38" s="111"/>
      <c r="AE38" s="111"/>
      <c r="AF38" s="111"/>
      <c r="AG38" s="111"/>
      <c r="AH38" s="111"/>
      <c r="AI38" s="111">
        <v>8.0000000000000005E-9</v>
      </c>
      <c r="AJ38" s="77" t="s">
        <v>404</v>
      </c>
      <c r="AK38" s="339">
        <v>3</v>
      </c>
      <c r="AL38" s="339">
        <v>4</v>
      </c>
      <c r="AM38" s="339">
        <v>5</v>
      </c>
      <c r="AN38" s="339">
        <v>3</v>
      </c>
      <c r="AO38" s="339">
        <v>1</v>
      </c>
      <c r="AP38" s="339">
        <v>5</v>
      </c>
      <c r="AQ38" s="104">
        <v>22</v>
      </c>
      <c r="AR38" s="104">
        <v>5</v>
      </c>
      <c r="AS38" s="107">
        <f t="shared" si="8"/>
        <v>1.5919770563893134</v>
      </c>
      <c r="AT38" s="107">
        <f t="shared" si="9"/>
        <v>5.3401796470802054</v>
      </c>
      <c r="AU38" s="107" t="str">
        <f t="shared" si="10"/>
        <v>(3,4,5,3,1,5)</v>
      </c>
      <c r="AV38" s="108">
        <v>1.1000000000000001</v>
      </c>
      <c r="AW38" s="108">
        <v>1.1000000000000001</v>
      </c>
      <c r="AX38" s="108">
        <v>1.5</v>
      </c>
      <c r="AY38" s="108">
        <v>1.02</v>
      </c>
      <c r="AZ38" s="108">
        <v>1</v>
      </c>
      <c r="BA38" s="108">
        <v>1.2</v>
      </c>
    </row>
    <row r="39" spans="1:53">
      <c r="A39" s="330">
        <v>2178</v>
      </c>
      <c r="B39" s="331"/>
      <c r="C39" s="88"/>
      <c r="D39" s="340" t="s">
        <v>98</v>
      </c>
      <c r="E39" s="341">
        <v>4</v>
      </c>
      <c r="F39" s="432" t="s">
        <v>413</v>
      </c>
      <c r="G39" s="433" t="s">
        <v>98</v>
      </c>
      <c r="H39" s="434" t="s">
        <v>247</v>
      </c>
      <c r="I39" s="434" t="s">
        <v>258</v>
      </c>
      <c r="J39" s="94" t="s">
        <v>98</v>
      </c>
      <c r="K39" s="433" t="s">
        <v>96</v>
      </c>
      <c r="L39" s="435">
        <f>AI39/AI$49*L$49</f>
        <v>7.8519020674937249E-8</v>
      </c>
      <c r="M39" s="95">
        <v>1</v>
      </c>
      <c r="N39" s="96">
        <f t="shared" si="0"/>
        <v>1.8532338457509625</v>
      </c>
      <c r="O39" s="432" t="str">
        <f t="shared" si="1"/>
        <v>(3,4,5,3,1,5); Literature</v>
      </c>
      <c r="P39" s="435">
        <f t="shared" si="11"/>
        <v>7.8519020674937249E-8</v>
      </c>
      <c r="Q39" s="95">
        <v>1</v>
      </c>
      <c r="R39" s="96">
        <f t="shared" si="2"/>
        <v>1.8532338457509625</v>
      </c>
      <c r="S39" s="432" t="str">
        <f t="shared" si="3"/>
        <v>(3,4,5,3,1,5); Literature</v>
      </c>
      <c r="T39" s="435">
        <f t="shared" si="12"/>
        <v>7.8519020674937249E-8</v>
      </c>
      <c r="U39" s="95">
        <v>1</v>
      </c>
      <c r="V39" s="96">
        <f t="shared" si="4"/>
        <v>1.8532338457509625</v>
      </c>
      <c r="W39" s="432" t="str">
        <f t="shared" si="5"/>
        <v>(3,4,5,3,1,5); Literature</v>
      </c>
      <c r="X39" s="435">
        <f t="shared" si="13"/>
        <v>7.8519020674937249E-8</v>
      </c>
      <c r="Y39" s="95">
        <v>1</v>
      </c>
      <c r="Z39" s="96">
        <f t="shared" si="6"/>
        <v>1.8532338457509625</v>
      </c>
      <c r="AA39" s="432" t="str">
        <f t="shared" si="7"/>
        <v>(3,4,5,3,1,5); Literature</v>
      </c>
      <c r="AB39" s="112"/>
      <c r="AC39" s="111"/>
      <c r="AD39" s="111"/>
      <c r="AE39" s="111"/>
      <c r="AF39" s="111"/>
      <c r="AG39" s="111"/>
      <c r="AH39" s="111"/>
      <c r="AI39" s="111">
        <v>8.0000000000000002E-8</v>
      </c>
      <c r="AJ39" s="77" t="s">
        <v>253</v>
      </c>
      <c r="AK39" s="339">
        <v>3</v>
      </c>
      <c r="AL39" s="339">
        <v>4</v>
      </c>
      <c r="AM39" s="339">
        <v>5</v>
      </c>
      <c r="AN39" s="339">
        <v>3</v>
      </c>
      <c r="AO39" s="339">
        <v>1</v>
      </c>
      <c r="AP39" s="339">
        <v>5</v>
      </c>
      <c r="AQ39" s="104">
        <v>31</v>
      </c>
      <c r="AR39" s="104">
        <v>1.5</v>
      </c>
      <c r="AS39" s="107">
        <f t="shared" si="8"/>
        <v>1.5919770563893134</v>
      </c>
      <c r="AT39" s="107">
        <f t="shared" si="9"/>
        <v>1.8532338457509625</v>
      </c>
      <c r="AU39" s="107" t="str">
        <f t="shared" si="10"/>
        <v>(3,4,5,3,1,5)</v>
      </c>
      <c r="AV39" s="108">
        <v>1.1000000000000001</v>
      </c>
      <c r="AW39" s="108">
        <v>1.1000000000000001</v>
      </c>
      <c r="AX39" s="108">
        <v>1.5</v>
      </c>
      <c r="AY39" s="108">
        <v>1.02</v>
      </c>
      <c r="AZ39" s="108">
        <v>1</v>
      </c>
      <c r="BA39" s="108">
        <v>1.2</v>
      </c>
    </row>
    <row r="40" spans="1:53">
      <c r="A40" s="330">
        <v>80167</v>
      </c>
      <c r="B40" s="331"/>
      <c r="C40" s="88"/>
      <c r="D40" s="340" t="s">
        <v>98</v>
      </c>
      <c r="E40" s="341">
        <v>4</v>
      </c>
      <c r="F40" s="432" t="s">
        <v>186</v>
      </c>
      <c r="G40" s="433" t="s">
        <v>98</v>
      </c>
      <c r="H40" s="434" t="s">
        <v>247</v>
      </c>
      <c r="I40" s="434" t="s">
        <v>248</v>
      </c>
      <c r="J40" s="94" t="s">
        <v>98</v>
      </c>
      <c r="K40" s="433" t="s">
        <v>96</v>
      </c>
      <c r="L40" s="435">
        <f>AI40/AI$49*L$49</f>
        <v>6.8704143090570083E-6</v>
      </c>
      <c r="M40" s="95">
        <v>1</v>
      </c>
      <c r="N40" s="96">
        <f t="shared" si="0"/>
        <v>1.8532338457509625</v>
      </c>
      <c r="O40" s="432" t="str">
        <f t="shared" si="1"/>
        <v>(3,4,5,3,1,5); Estimation</v>
      </c>
      <c r="P40" s="435">
        <f t="shared" si="11"/>
        <v>6.8704143090570083E-6</v>
      </c>
      <c r="Q40" s="95">
        <v>1</v>
      </c>
      <c r="R40" s="96">
        <f t="shared" si="2"/>
        <v>1.8532338457509625</v>
      </c>
      <c r="S40" s="432" t="str">
        <f t="shared" si="3"/>
        <v>(3,4,5,3,1,5); Estimation</v>
      </c>
      <c r="T40" s="435">
        <f t="shared" si="12"/>
        <v>6.8704143090570083E-6</v>
      </c>
      <c r="U40" s="95">
        <v>1</v>
      </c>
      <c r="V40" s="96">
        <f t="shared" si="4"/>
        <v>1.8532338457509625</v>
      </c>
      <c r="W40" s="432" t="str">
        <f t="shared" si="5"/>
        <v>(3,4,5,3,1,5); Estimation</v>
      </c>
      <c r="X40" s="435">
        <f t="shared" si="13"/>
        <v>6.8704143090570083E-6</v>
      </c>
      <c r="Y40" s="95">
        <v>1</v>
      </c>
      <c r="Z40" s="96">
        <f t="shared" si="6"/>
        <v>1.8532338457509625</v>
      </c>
      <c r="AA40" s="432" t="str">
        <f t="shared" si="7"/>
        <v>(3,4,5,3,1,5); Estimation</v>
      </c>
      <c r="AB40" s="112"/>
      <c r="AC40" s="111"/>
      <c r="AD40" s="111"/>
      <c r="AE40" s="111"/>
      <c r="AF40" s="111"/>
      <c r="AG40" s="111"/>
      <c r="AH40" s="111"/>
      <c r="AI40" s="111">
        <v>6.9999999999999999E-6</v>
      </c>
      <c r="AJ40" s="77" t="s">
        <v>251</v>
      </c>
      <c r="AK40" s="339">
        <v>3</v>
      </c>
      <c r="AL40" s="339">
        <v>4</v>
      </c>
      <c r="AM40" s="339">
        <v>5</v>
      </c>
      <c r="AN40" s="339">
        <v>3</v>
      </c>
      <c r="AO40" s="339">
        <v>1</v>
      </c>
      <c r="AP40" s="339">
        <v>5</v>
      </c>
      <c r="AQ40" s="104">
        <v>31</v>
      </c>
      <c r="AR40" s="104">
        <v>1.5</v>
      </c>
      <c r="AS40" s="107">
        <f t="shared" si="8"/>
        <v>1.5919770563893134</v>
      </c>
      <c r="AT40" s="107">
        <f t="shared" si="9"/>
        <v>1.8532338457509625</v>
      </c>
      <c r="AU40" s="107" t="str">
        <f t="shared" si="10"/>
        <v>(3,4,5,3,1,5)</v>
      </c>
      <c r="AV40" s="108">
        <v>1.1000000000000001</v>
      </c>
      <c r="AW40" s="108">
        <v>1.1000000000000001</v>
      </c>
      <c r="AX40" s="108">
        <v>1.5</v>
      </c>
      <c r="AY40" s="108">
        <v>1.02</v>
      </c>
      <c r="AZ40" s="108">
        <v>1</v>
      </c>
      <c r="BA40" s="108">
        <v>1.2</v>
      </c>
    </row>
    <row r="41" spans="1:53">
      <c r="A41" s="330">
        <v>36567</v>
      </c>
      <c r="B41" s="331"/>
      <c r="C41" s="88"/>
      <c r="D41" s="340" t="s">
        <v>98</v>
      </c>
      <c r="E41" s="341">
        <v>4</v>
      </c>
      <c r="F41" s="432" t="s">
        <v>125</v>
      </c>
      <c r="G41" s="433" t="s">
        <v>98</v>
      </c>
      <c r="H41" s="434" t="s">
        <v>247</v>
      </c>
      <c r="I41" s="434" t="s">
        <v>406</v>
      </c>
      <c r="J41" s="94" t="s">
        <v>98</v>
      </c>
      <c r="K41" s="433" t="s">
        <v>96</v>
      </c>
      <c r="L41" s="435">
        <f>0.000005*L$49</f>
        <v>3.876876645825027E-8</v>
      </c>
      <c r="M41" s="95">
        <v>1</v>
      </c>
      <c r="N41" s="96">
        <f t="shared" si="0"/>
        <v>1.8532338457509625</v>
      </c>
      <c r="O41" s="432" t="str">
        <f t="shared" si="1"/>
        <v>(3,4,5,3,1,5); Literature, in dust</v>
      </c>
      <c r="P41" s="435">
        <f t="shared" si="11"/>
        <v>3.876876645825027E-8</v>
      </c>
      <c r="Q41" s="95">
        <v>1</v>
      </c>
      <c r="R41" s="96">
        <f t="shared" si="2"/>
        <v>1.8532338457509625</v>
      </c>
      <c r="S41" s="432" t="str">
        <f t="shared" si="3"/>
        <v>(3,4,5,3,1,5); Literature, in dust</v>
      </c>
      <c r="T41" s="435">
        <f t="shared" si="12"/>
        <v>3.876876645825027E-8</v>
      </c>
      <c r="U41" s="95">
        <v>1</v>
      </c>
      <c r="V41" s="96">
        <f t="shared" si="4"/>
        <v>1.8532338457509625</v>
      </c>
      <c r="W41" s="432" t="str">
        <f t="shared" si="5"/>
        <v>(3,4,5,3,1,5); Literature, in dust</v>
      </c>
      <c r="X41" s="435">
        <f t="shared" si="13"/>
        <v>3.876876645825027E-8</v>
      </c>
      <c r="Y41" s="95">
        <v>1</v>
      </c>
      <c r="Z41" s="96">
        <f t="shared" si="6"/>
        <v>1.8532338457509625</v>
      </c>
      <c r="AA41" s="432" t="str">
        <f t="shared" si="7"/>
        <v>(3,4,5,3,1,5); Literature, in dust</v>
      </c>
      <c r="AB41" s="112"/>
      <c r="AC41" s="111"/>
      <c r="AD41" s="111"/>
      <c r="AE41" s="111"/>
      <c r="AF41" s="111"/>
      <c r="AG41" s="111"/>
      <c r="AH41" s="111"/>
      <c r="AI41" s="111"/>
      <c r="AJ41" s="77" t="s">
        <v>404</v>
      </c>
      <c r="AK41" s="339">
        <v>3</v>
      </c>
      <c r="AL41" s="339">
        <v>4</v>
      </c>
      <c r="AM41" s="339">
        <v>5</v>
      </c>
      <c r="AN41" s="339">
        <v>3</v>
      </c>
      <c r="AO41" s="339">
        <v>1</v>
      </c>
      <c r="AP41" s="339">
        <v>5</v>
      </c>
      <c r="AQ41" s="104">
        <v>31</v>
      </c>
      <c r="AR41" s="104">
        <v>1.5</v>
      </c>
      <c r="AS41" s="107">
        <f t="shared" si="8"/>
        <v>1.5919770563893134</v>
      </c>
      <c r="AT41" s="107">
        <f t="shared" si="9"/>
        <v>1.8532338457509625</v>
      </c>
      <c r="AU41" s="107" t="str">
        <f t="shared" si="10"/>
        <v>(3,4,5,3,1,5)</v>
      </c>
      <c r="AV41" s="108">
        <v>1.1000000000000001</v>
      </c>
      <c r="AW41" s="108">
        <v>1.1000000000000001</v>
      </c>
      <c r="AX41" s="108">
        <v>1.5</v>
      </c>
      <c r="AY41" s="108">
        <v>1.02</v>
      </c>
      <c r="AZ41" s="108">
        <v>1</v>
      </c>
      <c r="BA41" s="108">
        <v>1.2</v>
      </c>
    </row>
    <row r="42" spans="1:53">
      <c r="A42" s="330">
        <v>27507</v>
      </c>
      <c r="B42" s="331"/>
      <c r="C42" s="88"/>
      <c r="D42" s="340" t="s">
        <v>98</v>
      </c>
      <c r="E42" s="341">
        <v>4</v>
      </c>
      <c r="F42" s="432" t="s">
        <v>414</v>
      </c>
      <c r="G42" s="433" t="s">
        <v>98</v>
      </c>
      <c r="H42" s="434" t="s">
        <v>247</v>
      </c>
      <c r="I42" s="434" t="s">
        <v>248</v>
      </c>
      <c r="J42" s="94" t="s">
        <v>98</v>
      </c>
      <c r="K42" s="433" t="s">
        <v>96</v>
      </c>
      <c r="L42" s="435">
        <v>5.0000000000000001E-4</v>
      </c>
      <c r="M42" s="95">
        <v>1</v>
      </c>
      <c r="N42" s="96">
        <f t="shared" si="0"/>
        <v>1.8532338457509625</v>
      </c>
      <c r="O42" s="432" t="str">
        <f t="shared" si="1"/>
        <v>(3,4,5,3,1,5); Estimation</v>
      </c>
      <c r="P42" s="435">
        <f t="shared" si="11"/>
        <v>5.0000000000000001E-4</v>
      </c>
      <c r="Q42" s="95">
        <v>1</v>
      </c>
      <c r="R42" s="96">
        <f t="shared" si="2"/>
        <v>1.8532338457509625</v>
      </c>
      <c r="S42" s="432" t="str">
        <f t="shared" si="3"/>
        <v>(3,4,5,3,1,5); Estimation</v>
      </c>
      <c r="T42" s="435">
        <f t="shared" si="12"/>
        <v>5.0000000000000001E-4</v>
      </c>
      <c r="U42" s="95">
        <v>1</v>
      </c>
      <c r="V42" s="96">
        <f t="shared" si="4"/>
        <v>1.8532338457509625</v>
      </c>
      <c r="W42" s="432" t="str">
        <f t="shared" si="5"/>
        <v>(3,4,5,3,1,5); Estimation</v>
      </c>
      <c r="X42" s="435">
        <f t="shared" si="13"/>
        <v>5.0000000000000001E-4</v>
      </c>
      <c r="Y42" s="95">
        <v>1</v>
      </c>
      <c r="Z42" s="96">
        <f t="shared" si="6"/>
        <v>1.8532338457509625</v>
      </c>
      <c r="AA42" s="432" t="str">
        <f t="shared" si="7"/>
        <v>(3,4,5,3,1,5); Estimation</v>
      </c>
      <c r="AB42" s="112"/>
      <c r="AC42" s="111"/>
      <c r="AD42" s="111"/>
      <c r="AE42" s="111"/>
      <c r="AF42" s="111"/>
      <c r="AG42" s="111"/>
      <c r="AH42" s="111"/>
      <c r="AI42" s="111">
        <v>5.0000000000000001E-4</v>
      </c>
      <c r="AJ42" s="77" t="s">
        <v>251</v>
      </c>
      <c r="AK42" s="339">
        <v>3</v>
      </c>
      <c r="AL42" s="339">
        <v>4</v>
      </c>
      <c r="AM42" s="339">
        <v>5</v>
      </c>
      <c r="AN42" s="339">
        <v>3</v>
      </c>
      <c r="AO42" s="339">
        <v>1</v>
      </c>
      <c r="AP42" s="339">
        <v>5</v>
      </c>
      <c r="AQ42" s="104">
        <v>31</v>
      </c>
      <c r="AR42" s="104">
        <v>1.5</v>
      </c>
      <c r="AS42" s="107">
        <f t="shared" si="8"/>
        <v>1.5919770563893134</v>
      </c>
      <c r="AT42" s="107">
        <f t="shared" si="9"/>
        <v>1.8532338457509625</v>
      </c>
      <c r="AU42" s="107" t="str">
        <f t="shared" si="10"/>
        <v>(3,4,5,3,1,5)</v>
      </c>
      <c r="AV42" s="108">
        <v>1.1000000000000001</v>
      </c>
      <c r="AW42" s="108">
        <v>1.1000000000000001</v>
      </c>
      <c r="AX42" s="108">
        <v>1.5</v>
      </c>
      <c r="AY42" s="108">
        <v>1.02</v>
      </c>
      <c r="AZ42" s="108">
        <v>1</v>
      </c>
      <c r="BA42" s="108">
        <v>1.2</v>
      </c>
    </row>
    <row r="43" spans="1:53">
      <c r="A43" s="330">
        <v>46232</v>
      </c>
      <c r="B43" s="331"/>
      <c r="C43" s="88"/>
      <c r="D43" s="340" t="s">
        <v>98</v>
      </c>
      <c r="E43" s="341">
        <v>4</v>
      </c>
      <c r="F43" s="432" t="s">
        <v>250</v>
      </c>
      <c r="G43" s="433" t="s">
        <v>98</v>
      </c>
      <c r="H43" s="434" t="s">
        <v>247</v>
      </c>
      <c r="I43" s="434" t="s">
        <v>248</v>
      </c>
      <c r="J43" s="94" t="s">
        <v>98</v>
      </c>
      <c r="K43" s="433" t="s">
        <v>96</v>
      </c>
      <c r="L43" s="435">
        <v>5.0000000000000001E-4</v>
      </c>
      <c r="M43" s="95">
        <v>1</v>
      </c>
      <c r="N43" s="96">
        <f t="shared" si="0"/>
        <v>1.8532338457509625</v>
      </c>
      <c r="O43" s="432" t="str">
        <f t="shared" si="1"/>
        <v>(3,4,5,3,1,5); Estimation</v>
      </c>
      <c r="P43" s="435">
        <f t="shared" si="11"/>
        <v>5.0000000000000001E-4</v>
      </c>
      <c r="Q43" s="95">
        <v>1</v>
      </c>
      <c r="R43" s="96">
        <f t="shared" si="2"/>
        <v>1.8532338457509625</v>
      </c>
      <c r="S43" s="432" t="str">
        <f t="shared" si="3"/>
        <v>(3,4,5,3,1,5); Estimation</v>
      </c>
      <c r="T43" s="435">
        <f t="shared" si="12"/>
        <v>5.0000000000000001E-4</v>
      </c>
      <c r="U43" s="95">
        <v>1</v>
      </c>
      <c r="V43" s="96">
        <f t="shared" si="4"/>
        <v>1.8532338457509625</v>
      </c>
      <c r="W43" s="432" t="str">
        <f t="shared" si="5"/>
        <v>(3,4,5,3,1,5); Estimation</v>
      </c>
      <c r="X43" s="435">
        <f t="shared" si="13"/>
        <v>5.0000000000000001E-4</v>
      </c>
      <c r="Y43" s="95">
        <v>1</v>
      </c>
      <c r="Z43" s="96">
        <f t="shared" si="6"/>
        <v>1.8532338457509625</v>
      </c>
      <c r="AA43" s="432" t="str">
        <f t="shared" si="7"/>
        <v>(3,4,5,3,1,5); Estimation</v>
      </c>
      <c r="AB43" s="112"/>
      <c r="AC43" s="111"/>
      <c r="AD43" s="111"/>
      <c r="AE43" s="111"/>
      <c r="AF43" s="111"/>
      <c r="AG43" s="111"/>
      <c r="AH43" s="111"/>
      <c r="AI43" s="111">
        <v>5.0000000000000001E-4</v>
      </c>
      <c r="AJ43" s="77" t="s">
        <v>251</v>
      </c>
      <c r="AK43" s="339">
        <v>3</v>
      </c>
      <c r="AL43" s="339">
        <v>4</v>
      </c>
      <c r="AM43" s="339">
        <v>5</v>
      </c>
      <c r="AN43" s="339">
        <v>3</v>
      </c>
      <c r="AO43" s="339">
        <v>1</v>
      </c>
      <c r="AP43" s="339">
        <v>5</v>
      </c>
      <c r="AQ43" s="104">
        <v>31</v>
      </c>
      <c r="AR43" s="104">
        <v>1.5</v>
      </c>
      <c r="AS43" s="107">
        <f t="shared" si="8"/>
        <v>1.5919770563893134</v>
      </c>
      <c r="AT43" s="107">
        <f t="shared" si="9"/>
        <v>1.8532338457509625</v>
      </c>
      <c r="AU43" s="107" t="str">
        <f t="shared" si="10"/>
        <v>(3,4,5,3,1,5)</v>
      </c>
      <c r="AV43" s="108">
        <v>1.1000000000000001</v>
      </c>
      <c r="AW43" s="108">
        <v>1.1000000000000001</v>
      </c>
      <c r="AX43" s="108">
        <v>1.5</v>
      </c>
      <c r="AY43" s="108">
        <v>1.02</v>
      </c>
      <c r="AZ43" s="108">
        <v>1</v>
      </c>
      <c r="BA43" s="108">
        <v>1.2</v>
      </c>
    </row>
    <row r="44" spans="1:53">
      <c r="A44" s="330">
        <v>61689</v>
      </c>
      <c r="B44" s="331"/>
      <c r="C44" s="88"/>
      <c r="D44" s="340" t="s">
        <v>98</v>
      </c>
      <c r="E44" s="341">
        <v>4</v>
      </c>
      <c r="F44" s="432" t="s">
        <v>350</v>
      </c>
      <c r="G44" s="433" t="s">
        <v>98</v>
      </c>
      <c r="H44" s="434" t="s">
        <v>247</v>
      </c>
      <c r="I44" s="434" t="s">
        <v>406</v>
      </c>
      <c r="J44" s="94" t="s">
        <v>98</v>
      </c>
      <c r="K44" s="433" t="s">
        <v>96</v>
      </c>
      <c r="L44" s="435">
        <f>0.0005*L$49</f>
        <v>3.876876645825027E-6</v>
      </c>
      <c r="M44" s="95">
        <v>1</v>
      </c>
      <c r="N44" s="96">
        <f t="shared" si="0"/>
        <v>5.3401796470802054</v>
      </c>
      <c r="O44" s="432" t="str">
        <f t="shared" si="1"/>
        <v>(3,4,5,3,1,5); Literature, in dust</v>
      </c>
      <c r="P44" s="435">
        <f t="shared" si="11"/>
        <v>3.876876645825027E-6</v>
      </c>
      <c r="Q44" s="95">
        <v>1</v>
      </c>
      <c r="R44" s="96">
        <f t="shared" si="2"/>
        <v>5.3401796470802054</v>
      </c>
      <c r="S44" s="432" t="str">
        <f t="shared" si="3"/>
        <v>(3,4,5,3,1,5); Literature, in dust</v>
      </c>
      <c r="T44" s="435">
        <f t="shared" si="12"/>
        <v>3.876876645825027E-6</v>
      </c>
      <c r="U44" s="95">
        <v>1</v>
      </c>
      <c r="V44" s="96">
        <f t="shared" si="4"/>
        <v>5.3401796470802054</v>
      </c>
      <c r="W44" s="432" t="str">
        <f t="shared" si="5"/>
        <v>(3,4,5,3,1,5); Literature, in dust</v>
      </c>
      <c r="X44" s="435">
        <f t="shared" si="13"/>
        <v>3.876876645825027E-6</v>
      </c>
      <c r="Y44" s="95">
        <v>1</v>
      </c>
      <c r="Z44" s="96">
        <f t="shared" si="6"/>
        <v>5.3401796470802054</v>
      </c>
      <c r="AA44" s="432" t="str">
        <f t="shared" si="7"/>
        <v>(3,4,5,3,1,5); Literature, in dust</v>
      </c>
      <c r="AB44" s="112"/>
      <c r="AC44" s="111"/>
      <c r="AD44" s="111"/>
      <c r="AE44" s="111"/>
      <c r="AF44" s="111"/>
      <c r="AG44" s="111"/>
      <c r="AH44" s="111"/>
      <c r="AI44" s="111"/>
      <c r="AJ44" s="77" t="s">
        <v>404</v>
      </c>
      <c r="AK44" s="339">
        <v>3</v>
      </c>
      <c r="AL44" s="339">
        <v>4</v>
      </c>
      <c r="AM44" s="339">
        <v>5</v>
      </c>
      <c r="AN44" s="339">
        <v>3</v>
      </c>
      <c r="AO44" s="339">
        <v>1</v>
      </c>
      <c r="AP44" s="339">
        <v>5</v>
      </c>
      <c r="AQ44" s="104">
        <v>22</v>
      </c>
      <c r="AR44" s="104">
        <v>5</v>
      </c>
      <c r="AS44" s="107">
        <f t="shared" si="8"/>
        <v>1.5919770563893134</v>
      </c>
      <c r="AT44" s="107">
        <f t="shared" si="9"/>
        <v>5.3401796470802054</v>
      </c>
      <c r="AU44" s="107" t="str">
        <f t="shared" si="10"/>
        <v>(3,4,5,3,1,5)</v>
      </c>
      <c r="AV44" s="108">
        <v>1.1000000000000001</v>
      </c>
      <c r="AW44" s="108">
        <v>1.1000000000000001</v>
      </c>
      <c r="AX44" s="108">
        <v>1.5</v>
      </c>
      <c r="AY44" s="108">
        <v>1.02</v>
      </c>
      <c r="AZ44" s="108">
        <v>1</v>
      </c>
      <c r="BA44" s="108">
        <v>1.2</v>
      </c>
    </row>
    <row r="45" spans="1:53">
      <c r="A45" s="330">
        <v>36341</v>
      </c>
      <c r="B45" s="331"/>
      <c r="C45" s="88"/>
      <c r="D45" s="340" t="s">
        <v>98</v>
      </c>
      <c r="E45" s="341">
        <v>4</v>
      </c>
      <c r="F45" s="432" t="s">
        <v>354</v>
      </c>
      <c r="G45" s="433" t="s">
        <v>98</v>
      </c>
      <c r="H45" s="434" t="s">
        <v>247</v>
      </c>
      <c r="I45" s="434" t="s">
        <v>248</v>
      </c>
      <c r="J45" s="94" t="s">
        <v>98</v>
      </c>
      <c r="K45" s="433" t="s">
        <v>96</v>
      </c>
      <c r="L45" s="435">
        <f>AI45/AI$49*L$49</f>
        <v>3.4352071545285044E-7</v>
      </c>
      <c r="M45" s="95">
        <v>1</v>
      </c>
      <c r="N45" s="96">
        <f t="shared" si="0"/>
        <v>5.3401796470802054</v>
      </c>
      <c r="O45" s="432" t="str">
        <f t="shared" si="1"/>
        <v>(3,4,5,3,1,5); Literature, in dust</v>
      </c>
      <c r="P45" s="435">
        <f t="shared" si="11"/>
        <v>3.4352071545285044E-7</v>
      </c>
      <c r="Q45" s="95">
        <v>1</v>
      </c>
      <c r="R45" s="96">
        <f t="shared" si="2"/>
        <v>5.3401796470802054</v>
      </c>
      <c r="S45" s="432" t="str">
        <f t="shared" si="3"/>
        <v>(3,4,5,3,1,5); Literature, in dust</v>
      </c>
      <c r="T45" s="435">
        <f t="shared" si="12"/>
        <v>3.4352071545285044E-7</v>
      </c>
      <c r="U45" s="95">
        <v>1</v>
      </c>
      <c r="V45" s="96">
        <f t="shared" si="4"/>
        <v>5.3401796470802054</v>
      </c>
      <c r="W45" s="432" t="str">
        <f t="shared" si="5"/>
        <v>(3,4,5,3,1,5); Literature, in dust</v>
      </c>
      <c r="X45" s="435">
        <f t="shared" si="13"/>
        <v>3.4352071545285044E-7</v>
      </c>
      <c r="Y45" s="95">
        <v>1</v>
      </c>
      <c r="Z45" s="96">
        <f t="shared" si="6"/>
        <v>5.3401796470802054</v>
      </c>
      <c r="AA45" s="432" t="str">
        <f t="shared" si="7"/>
        <v>(3,4,5,3,1,5); Literature, in dust</v>
      </c>
      <c r="AB45" s="112"/>
      <c r="AC45" s="111"/>
      <c r="AD45" s="111"/>
      <c r="AE45" s="111"/>
      <c r="AF45" s="111"/>
      <c r="AG45" s="111"/>
      <c r="AH45" s="111"/>
      <c r="AI45" s="111">
        <v>3.4999999999999998E-7</v>
      </c>
      <c r="AJ45" s="77" t="s">
        <v>404</v>
      </c>
      <c r="AK45" s="339">
        <v>3</v>
      </c>
      <c r="AL45" s="339">
        <v>4</v>
      </c>
      <c r="AM45" s="339">
        <v>5</v>
      </c>
      <c r="AN45" s="339">
        <v>3</v>
      </c>
      <c r="AO45" s="339">
        <v>1</v>
      </c>
      <c r="AP45" s="339">
        <v>5</v>
      </c>
      <c r="AQ45" s="104">
        <v>22</v>
      </c>
      <c r="AR45" s="104">
        <v>5</v>
      </c>
      <c r="AS45" s="107">
        <f t="shared" si="8"/>
        <v>1.5919770563893134</v>
      </c>
      <c r="AT45" s="107">
        <f t="shared" si="9"/>
        <v>5.3401796470802054</v>
      </c>
      <c r="AU45" s="107" t="str">
        <f t="shared" si="10"/>
        <v>(3,4,5,3,1,5)</v>
      </c>
      <c r="AV45" s="108">
        <v>1.1000000000000001</v>
      </c>
      <c r="AW45" s="108">
        <v>1.1000000000000001</v>
      </c>
      <c r="AX45" s="108">
        <v>1.5</v>
      </c>
      <c r="AY45" s="108">
        <v>1.02</v>
      </c>
      <c r="AZ45" s="108">
        <v>1</v>
      </c>
      <c r="BA45" s="108">
        <v>1.2</v>
      </c>
    </row>
    <row r="46" spans="1:53">
      <c r="A46" s="330">
        <v>86273</v>
      </c>
      <c r="B46" s="331"/>
      <c r="C46" s="88"/>
      <c r="D46" s="340" t="s">
        <v>98</v>
      </c>
      <c r="E46" s="341">
        <v>4</v>
      </c>
      <c r="F46" s="432" t="s">
        <v>355</v>
      </c>
      <c r="G46" s="433" t="s">
        <v>98</v>
      </c>
      <c r="H46" s="434" t="s">
        <v>247</v>
      </c>
      <c r="I46" s="434" t="s">
        <v>248</v>
      </c>
      <c r="J46" s="94" t="s">
        <v>98</v>
      </c>
      <c r="K46" s="433" t="s">
        <v>96</v>
      </c>
      <c r="L46" s="435">
        <f>AI46/AI$49*L$49</f>
        <v>7.8519020674937259E-9</v>
      </c>
      <c r="M46" s="95">
        <v>1</v>
      </c>
      <c r="N46" s="96">
        <f t="shared" si="0"/>
        <v>5.3401796470802054</v>
      </c>
      <c r="O46" s="432" t="str">
        <f t="shared" si="1"/>
        <v>(3,4,5,3,1,5); Literature, in dust</v>
      </c>
      <c r="P46" s="435">
        <f t="shared" si="11"/>
        <v>7.8519020674937259E-9</v>
      </c>
      <c r="Q46" s="95">
        <v>1</v>
      </c>
      <c r="R46" s="96">
        <f t="shared" si="2"/>
        <v>5.3401796470802054</v>
      </c>
      <c r="S46" s="432" t="str">
        <f t="shared" si="3"/>
        <v>(3,4,5,3,1,5); Literature, in dust</v>
      </c>
      <c r="T46" s="435">
        <f t="shared" si="12"/>
        <v>7.8519020674937259E-9</v>
      </c>
      <c r="U46" s="95">
        <v>1</v>
      </c>
      <c r="V46" s="96">
        <f t="shared" si="4"/>
        <v>5.3401796470802054</v>
      </c>
      <c r="W46" s="432" t="str">
        <f t="shared" si="5"/>
        <v>(3,4,5,3,1,5); Literature, in dust</v>
      </c>
      <c r="X46" s="435">
        <f t="shared" si="13"/>
        <v>7.8519020674937259E-9</v>
      </c>
      <c r="Y46" s="95">
        <v>1</v>
      </c>
      <c r="Z46" s="96">
        <f t="shared" si="6"/>
        <v>5.3401796470802054</v>
      </c>
      <c r="AA46" s="432" t="str">
        <f t="shared" si="7"/>
        <v>(3,4,5,3,1,5); Literature, in dust</v>
      </c>
      <c r="AB46" s="112"/>
      <c r="AC46" s="111"/>
      <c r="AD46" s="111"/>
      <c r="AE46" s="111"/>
      <c r="AF46" s="111"/>
      <c r="AG46" s="111"/>
      <c r="AH46" s="111"/>
      <c r="AI46" s="111">
        <v>8.0000000000000005E-9</v>
      </c>
      <c r="AJ46" s="77" t="s">
        <v>404</v>
      </c>
      <c r="AK46" s="339">
        <v>3</v>
      </c>
      <c r="AL46" s="339">
        <v>4</v>
      </c>
      <c r="AM46" s="339">
        <v>5</v>
      </c>
      <c r="AN46" s="339">
        <v>3</v>
      </c>
      <c r="AO46" s="339">
        <v>1</v>
      </c>
      <c r="AP46" s="339">
        <v>5</v>
      </c>
      <c r="AQ46" s="104">
        <v>22</v>
      </c>
      <c r="AR46" s="104">
        <v>5</v>
      </c>
      <c r="AS46" s="107">
        <f t="shared" si="8"/>
        <v>1.5919770563893134</v>
      </c>
      <c r="AT46" s="107">
        <f t="shared" si="9"/>
        <v>5.3401796470802054</v>
      </c>
      <c r="AU46" s="107" t="str">
        <f t="shared" si="10"/>
        <v>(3,4,5,3,1,5)</v>
      </c>
      <c r="AV46" s="108">
        <v>1.1000000000000001</v>
      </c>
      <c r="AW46" s="108">
        <v>1.1000000000000001</v>
      </c>
      <c r="AX46" s="108">
        <v>1.5</v>
      </c>
      <c r="AY46" s="108">
        <v>1.02</v>
      </c>
      <c r="AZ46" s="108">
        <v>1</v>
      </c>
      <c r="BA46" s="108">
        <v>1.2</v>
      </c>
    </row>
    <row r="47" spans="1:53" ht="24" customHeight="1">
      <c r="A47" s="330">
        <v>86271</v>
      </c>
      <c r="B47" s="331"/>
      <c r="C47" s="88"/>
      <c r="D47" s="340" t="s">
        <v>98</v>
      </c>
      <c r="E47" s="341">
        <v>4</v>
      </c>
      <c r="F47" s="432" t="s">
        <v>415</v>
      </c>
      <c r="G47" s="433" t="s">
        <v>98</v>
      </c>
      <c r="H47" s="434" t="s">
        <v>247</v>
      </c>
      <c r="I47" s="434" t="s">
        <v>248</v>
      </c>
      <c r="J47" s="94" t="s">
        <v>98</v>
      </c>
      <c r="K47" s="433" t="s">
        <v>96</v>
      </c>
      <c r="L47" s="435">
        <f>AI47</f>
        <v>9.6000000000000002E-5</v>
      </c>
      <c r="M47" s="95">
        <v>1</v>
      </c>
      <c r="N47" s="96">
        <f t="shared" si="0"/>
        <v>1.8532338457509625</v>
      </c>
      <c r="O47" s="432" t="str">
        <f t="shared" si="1"/>
        <v>(3,4,5,3,1,5); Literature</v>
      </c>
      <c r="P47" s="435">
        <f t="shared" si="11"/>
        <v>9.6000000000000002E-5</v>
      </c>
      <c r="Q47" s="95">
        <v>1</v>
      </c>
      <c r="R47" s="96">
        <f t="shared" si="2"/>
        <v>1.8532338457509625</v>
      </c>
      <c r="S47" s="432" t="str">
        <f t="shared" si="3"/>
        <v>(3,4,5,3,1,5); Literature</v>
      </c>
      <c r="T47" s="435">
        <f t="shared" si="12"/>
        <v>9.6000000000000002E-5</v>
      </c>
      <c r="U47" s="95">
        <v>1</v>
      </c>
      <c r="V47" s="96">
        <f t="shared" si="4"/>
        <v>1.8532338457509625</v>
      </c>
      <c r="W47" s="432" t="str">
        <f t="shared" si="5"/>
        <v>(3,4,5,3,1,5); Literature</v>
      </c>
      <c r="X47" s="435">
        <f t="shared" si="13"/>
        <v>9.6000000000000002E-5</v>
      </c>
      <c r="Y47" s="95">
        <v>1</v>
      </c>
      <c r="Z47" s="96">
        <f t="shared" si="6"/>
        <v>1.8532338457509625</v>
      </c>
      <c r="AA47" s="432" t="str">
        <f t="shared" si="7"/>
        <v>(3,4,5,3,1,5); Literature</v>
      </c>
      <c r="AB47" s="112"/>
      <c r="AC47" s="111"/>
      <c r="AD47" s="111"/>
      <c r="AE47" s="111"/>
      <c r="AF47" s="111"/>
      <c r="AG47" s="111"/>
      <c r="AH47" s="111"/>
      <c r="AI47" s="111">
        <v>9.6000000000000002E-5</v>
      </c>
      <c r="AJ47" s="77" t="s">
        <v>253</v>
      </c>
      <c r="AK47" s="339">
        <v>3</v>
      </c>
      <c r="AL47" s="339">
        <v>4</v>
      </c>
      <c r="AM47" s="339">
        <v>5</v>
      </c>
      <c r="AN47" s="339">
        <v>3</v>
      </c>
      <c r="AO47" s="339">
        <v>1</v>
      </c>
      <c r="AP47" s="339">
        <v>5</v>
      </c>
      <c r="AQ47" s="104">
        <v>16</v>
      </c>
      <c r="AR47" s="104">
        <v>1.5</v>
      </c>
      <c r="AS47" s="107">
        <f t="shared" si="8"/>
        <v>1.5919770563893134</v>
      </c>
      <c r="AT47" s="107">
        <f t="shared" si="9"/>
        <v>1.8532338457509625</v>
      </c>
      <c r="AU47" s="107" t="str">
        <f t="shared" si="10"/>
        <v>(3,4,5,3,1,5)</v>
      </c>
      <c r="AV47" s="108">
        <v>1.1000000000000001</v>
      </c>
      <c r="AW47" s="108">
        <v>1.1000000000000001</v>
      </c>
      <c r="AX47" s="108">
        <v>1.5</v>
      </c>
      <c r="AY47" s="108">
        <v>1.02</v>
      </c>
      <c r="AZ47" s="108">
        <v>1</v>
      </c>
      <c r="BA47" s="108">
        <v>1.2</v>
      </c>
    </row>
    <row r="48" spans="1:53" ht="24" customHeight="1">
      <c r="A48" s="330">
        <v>29335</v>
      </c>
      <c r="B48" s="331"/>
      <c r="C48" s="88"/>
      <c r="D48" s="340" t="s">
        <v>98</v>
      </c>
      <c r="E48" s="341">
        <v>4</v>
      </c>
      <c r="F48" s="432" t="s">
        <v>181</v>
      </c>
      <c r="G48" s="433" t="s">
        <v>98</v>
      </c>
      <c r="H48" s="434" t="s">
        <v>247</v>
      </c>
      <c r="I48" s="434" t="s">
        <v>248</v>
      </c>
      <c r="J48" s="94" t="s">
        <v>98</v>
      </c>
      <c r="K48" s="433" t="s">
        <v>96</v>
      </c>
      <c r="L48" s="435">
        <f>AE48</f>
        <v>9.7431825052907393E-3</v>
      </c>
      <c r="M48" s="95">
        <v>1</v>
      </c>
      <c r="N48" s="96">
        <f t="shared" si="0"/>
        <v>1.5804528752110836</v>
      </c>
      <c r="O48" s="432" t="str">
        <f t="shared" si="1"/>
        <v>(3,2,4,1,1,3); Calculation based on environmental report</v>
      </c>
      <c r="P48" s="435">
        <f t="shared" si="11"/>
        <v>9.7431825052907393E-3</v>
      </c>
      <c r="Q48" s="95">
        <v>1</v>
      </c>
      <c r="R48" s="96">
        <f t="shared" si="2"/>
        <v>1.5804528752110836</v>
      </c>
      <c r="S48" s="432" t="str">
        <f t="shared" si="3"/>
        <v>(3,2,4,1,1,3); Calculation based on environmental report</v>
      </c>
      <c r="T48" s="435">
        <f t="shared" si="12"/>
        <v>9.7431825052907393E-3</v>
      </c>
      <c r="U48" s="95">
        <v>1</v>
      </c>
      <c r="V48" s="96">
        <f t="shared" si="4"/>
        <v>1.5804528752110836</v>
      </c>
      <c r="W48" s="432" t="str">
        <f t="shared" si="5"/>
        <v>(3,2,4,1,1,3); Calculation based on environmental report</v>
      </c>
      <c r="X48" s="435">
        <f t="shared" si="13"/>
        <v>9.7431825052907393E-3</v>
      </c>
      <c r="Y48" s="95">
        <v>1</v>
      </c>
      <c r="Z48" s="96">
        <f t="shared" si="6"/>
        <v>1.5804528752110836</v>
      </c>
      <c r="AA48" s="432" t="str">
        <f t="shared" si="7"/>
        <v>(3,2,4,1,1,3); Calculation based on environmental report</v>
      </c>
      <c r="AB48" s="112"/>
      <c r="AC48" s="111"/>
      <c r="AD48" s="111"/>
      <c r="AE48" s="111">
        <f>AF48*L$37/AF$37</f>
        <v>9.7431825052907393E-3</v>
      </c>
      <c r="AF48" s="111">
        <f>310+859+427+1124+385</f>
        <v>3105</v>
      </c>
      <c r="AG48" s="111"/>
      <c r="AH48" s="111"/>
      <c r="AI48" s="111">
        <v>0.02</v>
      </c>
      <c r="AJ48" s="77" t="s">
        <v>416</v>
      </c>
      <c r="AK48" s="339">
        <v>3</v>
      </c>
      <c r="AL48" s="339">
        <v>2</v>
      </c>
      <c r="AM48" s="339">
        <v>4</v>
      </c>
      <c r="AN48" s="339">
        <v>1</v>
      </c>
      <c r="AO48" s="339">
        <v>1</v>
      </c>
      <c r="AP48" s="339">
        <v>3</v>
      </c>
      <c r="AQ48" s="104">
        <v>16</v>
      </c>
      <c r="AR48" s="104">
        <v>1.5</v>
      </c>
      <c r="AS48" s="107">
        <f t="shared" si="8"/>
        <v>1.2365959919080913</v>
      </c>
      <c r="AT48" s="107">
        <f t="shared" si="9"/>
        <v>1.5804528752110836</v>
      </c>
      <c r="AU48" s="107" t="str">
        <f t="shared" si="10"/>
        <v>(3,2,4,1,1,3)</v>
      </c>
      <c r="AV48" s="108">
        <v>1.1000000000000001</v>
      </c>
      <c r="AW48" s="108">
        <v>1.02</v>
      </c>
      <c r="AX48" s="108">
        <v>1.2</v>
      </c>
      <c r="AY48" s="108">
        <v>1</v>
      </c>
      <c r="AZ48" s="108">
        <v>1</v>
      </c>
      <c r="BA48" s="108">
        <v>1.05</v>
      </c>
    </row>
    <row r="49" spans="1:53" ht="24" customHeight="1">
      <c r="A49" s="330">
        <v>5649</v>
      </c>
      <c r="B49" s="331"/>
      <c r="C49" s="88"/>
      <c r="D49" s="340" t="s">
        <v>98</v>
      </c>
      <c r="E49" s="341">
        <v>4</v>
      </c>
      <c r="F49" s="432" t="s">
        <v>255</v>
      </c>
      <c r="G49" s="433" t="s">
        <v>98</v>
      </c>
      <c r="H49" s="434" t="s">
        <v>247</v>
      </c>
      <c r="I49" s="434" t="s">
        <v>248</v>
      </c>
      <c r="J49" s="94" t="s">
        <v>98</v>
      </c>
      <c r="K49" s="433" t="s">
        <v>96</v>
      </c>
      <c r="L49" s="435">
        <f>AE49</f>
        <v>7.7537532916500534E-3</v>
      </c>
      <c r="M49" s="95">
        <v>1</v>
      </c>
      <c r="N49" s="96">
        <f t="shared" si="0"/>
        <v>1.5804528752110836</v>
      </c>
      <c r="O49" s="432" t="str">
        <f t="shared" si="1"/>
        <v>(3,2,4,1,1,3); Calculation based on environmental report</v>
      </c>
      <c r="P49" s="435">
        <f t="shared" si="11"/>
        <v>7.7537532916500534E-3</v>
      </c>
      <c r="Q49" s="95">
        <v>1</v>
      </c>
      <c r="R49" s="96">
        <f t="shared" si="2"/>
        <v>1.5804528752110836</v>
      </c>
      <c r="S49" s="432" t="str">
        <f t="shared" si="3"/>
        <v>(3,2,4,1,1,3); Calculation based on environmental report</v>
      </c>
      <c r="T49" s="435">
        <f t="shared" si="12"/>
        <v>7.7537532916500534E-3</v>
      </c>
      <c r="U49" s="95">
        <v>1</v>
      </c>
      <c r="V49" s="96">
        <f t="shared" si="4"/>
        <v>1.5804528752110836</v>
      </c>
      <c r="W49" s="432" t="str">
        <f t="shared" si="5"/>
        <v>(3,2,4,1,1,3); Calculation based on environmental report</v>
      </c>
      <c r="X49" s="435">
        <f t="shared" si="13"/>
        <v>7.7537532916500534E-3</v>
      </c>
      <c r="Y49" s="95">
        <v>1</v>
      </c>
      <c r="Z49" s="96">
        <f t="shared" si="6"/>
        <v>1.5804528752110836</v>
      </c>
      <c r="AA49" s="432" t="str">
        <f t="shared" si="7"/>
        <v>(3,2,4,1,1,3); Calculation based on environmental report</v>
      </c>
      <c r="AB49" s="112"/>
      <c r="AC49" s="111" t="s">
        <v>417</v>
      </c>
      <c r="AD49" s="111"/>
      <c r="AE49" s="111">
        <f>AF49*L$37/AF$37</f>
        <v>7.7537532916500534E-3</v>
      </c>
      <c r="AF49" s="111">
        <f>395+104+142+1004+826</f>
        <v>2471</v>
      </c>
      <c r="AG49" s="111"/>
      <c r="AH49" s="111">
        <v>0.03</v>
      </c>
      <c r="AI49" s="111">
        <v>7.9000000000000008E-3</v>
      </c>
      <c r="AJ49" s="77" t="s">
        <v>416</v>
      </c>
      <c r="AK49" s="339">
        <v>3</v>
      </c>
      <c r="AL49" s="339">
        <v>2</v>
      </c>
      <c r="AM49" s="339">
        <v>4</v>
      </c>
      <c r="AN49" s="339">
        <v>1</v>
      </c>
      <c r="AO49" s="339">
        <v>1</v>
      </c>
      <c r="AP49" s="339">
        <v>3</v>
      </c>
      <c r="AQ49" s="104">
        <v>18</v>
      </c>
      <c r="AR49" s="104">
        <v>1.5</v>
      </c>
      <c r="AS49" s="107">
        <f t="shared" si="8"/>
        <v>1.2365959919080913</v>
      </c>
      <c r="AT49" s="107">
        <f t="shared" si="9"/>
        <v>1.5804528752110836</v>
      </c>
      <c r="AU49" s="107" t="str">
        <f t="shared" si="10"/>
        <v>(3,2,4,1,1,3)</v>
      </c>
      <c r="AV49" s="108">
        <v>1.1000000000000001</v>
      </c>
      <c r="AW49" s="108">
        <v>1.02</v>
      </c>
      <c r="AX49" s="108">
        <v>1.2</v>
      </c>
      <c r="AY49" s="108">
        <v>1</v>
      </c>
      <c r="AZ49" s="108">
        <v>1</v>
      </c>
      <c r="BA49" s="108">
        <v>1.05</v>
      </c>
    </row>
    <row r="50" spans="1:53">
      <c r="A50" s="330">
        <v>42871</v>
      </c>
      <c r="B50" s="331"/>
      <c r="C50" s="88"/>
      <c r="D50" s="340" t="s">
        <v>98</v>
      </c>
      <c r="E50" s="341">
        <v>4</v>
      </c>
      <c r="F50" s="432" t="s">
        <v>418</v>
      </c>
      <c r="G50" s="433" t="s">
        <v>98</v>
      </c>
      <c r="H50" s="434" t="s">
        <v>247</v>
      </c>
      <c r="I50" s="434" t="s">
        <v>406</v>
      </c>
      <c r="J50" s="94" t="s">
        <v>98</v>
      </c>
      <c r="K50" s="433" t="s">
        <v>96</v>
      </c>
      <c r="L50" s="435">
        <f>0.008*L$49</f>
        <v>6.2030026333200432E-5</v>
      </c>
      <c r="M50" s="95">
        <v>1</v>
      </c>
      <c r="N50" s="96">
        <f t="shared" si="0"/>
        <v>5.3401796470802054</v>
      </c>
      <c r="O50" s="432" t="str">
        <f t="shared" si="1"/>
        <v>(3,4,5,3,1,5); Literature, in dust</v>
      </c>
      <c r="P50" s="435">
        <f t="shared" si="11"/>
        <v>6.2030026333200432E-5</v>
      </c>
      <c r="Q50" s="95">
        <v>1</v>
      </c>
      <c r="R50" s="96">
        <f t="shared" si="2"/>
        <v>5.3401796470802054</v>
      </c>
      <c r="S50" s="432" t="str">
        <f t="shared" si="3"/>
        <v>(3,4,5,3,1,5); Literature, in dust</v>
      </c>
      <c r="T50" s="435">
        <f t="shared" si="12"/>
        <v>6.2030026333200432E-5</v>
      </c>
      <c r="U50" s="95">
        <v>1</v>
      </c>
      <c r="V50" s="96">
        <f t="shared" si="4"/>
        <v>5.3401796470802054</v>
      </c>
      <c r="W50" s="432" t="str">
        <f t="shared" si="5"/>
        <v>(3,4,5,3,1,5); Literature, in dust</v>
      </c>
      <c r="X50" s="435">
        <f t="shared" si="13"/>
        <v>6.2030026333200432E-5</v>
      </c>
      <c r="Y50" s="95">
        <v>1</v>
      </c>
      <c r="Z50" s="96">
        <f t="shared" si="6"/>
        <v>5.3401796470802054</v>
      </c>
      <c r="AA50" s="432" t="str">
        <f t="shared" si="7"/>
        <v>(3,4,5,3,1,5); Literature, in dust</v>
      </c>
      <c r="AB50" s="112"/>
      <c r="AC50" s="111"/>
      <c r="AD50" s="111"/>
      <c r="AE50" s="111"/>
      <c r="AF50" s="111"/>
      <c r="AG50" s="111"/>
      <c r="AH50" s="111"/>
      <c r="AI50" s="111"/>
      <c r="AJ50" s="77" t="s">
        <v>404</v>
      </c>
      <c r="AK50" s="339">
        <v>3</v>
      </c>
      <c r="AL50" s="339">
        <v>4</v>
      </c>
      <c r="AM50" s="339">
        <v>5</v>
      </c>
      <c r="AN50" s="339">
        <v>3</v>
      </c>
      <c r="AO50" s="339">
        <v>1</v>
      </c>
      <c r="AP50" s="339">
        <v>5</v>
      </c>
      <c r="AQ50" s="104">
        <v>22</v>
      </c>
      <c r="AR50" s="104">
        <v>5</v>
      </c>
      <c r="AS50" s="107">
        <f t="shared" si="8"/>
        <v>1.5919770563893134</v>
      </c>
      <c r="AT50" s="107">
        <f t="shared" si="9"/>
        <v>5.3401796470802054</v>
      </c>
      <c r="AU50" s="107" t="str">
        <f t="shared" si="10"/>
        <v>(3,4,5,3,1,5)</v>
      </c>
      <c r="AV50" s="108">
        <v>1.1000000000000001</v>
      </c>
      <c r="AW50" s="108">
        <v>1.1000000000000001</v>
      </c>
      <c r="AX50" s="108">
        <v>1.5</v>
      </c>
      <c r="AY50" s="108">
        <v>1.02</v>
      </c>
      <c r="AZ50" s="108">
        <v>1</v>
      </c>
      <c r="BA50" s="108">
        <v>1.2</v>
      </c>
    </row>
    <row r="51" spans="1:53">
      <c r="A51" s="330">
        <v>17526</v>
      </c>
      <c r="B51" s="331"/>
      <c r="C51" s="88"/>
      <c r="D51" s="340" t="s">
        <v>98</v>
      </c>
      <c r="E51" s="341">
        <v>4</v>
      </c>
      <c r="F51" s="432" t="s">
        <v>419</v>
      </c>
      <c r="G51" s="433" t="s">
        <v>98</v>
      </c>
      <c r="H51" s="434" t="s">
        <v>247</v>
      </c>
      <c r="I51" s="434" t="s">
        <v>406</v>
      </c>
      <c r="J51" s="94" t="s">
        <v>98</v>
      </c>
      <c r="K51" s="433" t="s">
        <v>96</v>
      </c>
      <c r="L51" s="435">
        <f>0.969*L$49</f>
        <v>7.5133869396089015E-3</v>
      </c>
      <c r="M51" s="95">
        <v>1</v>
      </c>
      <c r="N51" s="96">
        <f t="shared" si="0"/>
        <v>5.3401796470802054</v>
      </c>
      <c r="O51" s="432" t="str">
        <f t="shared" si="1"/>
        <v>(3,4,5,3,1,5); Literature, SiO2 in dust</v>
      </c>
      <c r="P51" s="435">
        <f t="shared" si="11"/>
        <v>7.5133869396089015E-3</v>
      </c>
      <c r="Q51" s="95">
        <v>1</v>
      </c>
      <c r="R51" s="96">
        <f t="shared" si="2"/>
        <v>5.3401796470802054</v>
      </c>
      <c r="S51" s="432" t="str">
        <f t="shared" si="3"/>
        <v>(3,4,5,3,1,5); Literature, SiO2 in dust</v>
      </c>
      <c r="T51" s="435">
        <f t="shared" si="12"/>
        <v>7.5133869396089015E-3</v>
      </c>
      <c r="U51" s="95">
        <v>1</v>
      </c>
      <c r="V51" s="96">
        <f t="shared" si="4"/>
        <v>5.3401796470802054</v>
      </c>
      <c r="W51" s="432" t="str">
        <f t="shared" si="5"/>
        <v>(3,4,5,3,1,5); Literature, SiO2 in dust</v>
      </c>
      <c r="X51" s="435">
        <f t="shared" si="13"/>
        <v>7.5133869396089015E-3</v>
      </c>
      <c r="Y51" s="95">
        <v>1</v>
      </c>
      <c r="Z51" s="96">
        <f t="shared" si="6"/>
        <v>5.3401796470802054</v>
      </c>
      <c r="AA51" s="432" t="str">
        <f t="shared" si="7"/>
        <v>(3,4,5,3,1,5); Literature, SiO2 in dust</v>
      </c>
      <c r="AB51" s="112"/>
      <c r="AC51" s="111"/>
      <c r="AD51" s="111"/>
      <c r="AE51" s="111"/>
      <c r="AF51" s="111"/>
      <c r="AG51" s="111"/>
      <c r="AH51" s="111"/>
      <c r="AI51" s="111"/>
      <c r="AJ51" s="77" t="s">
        <v>420</v>
      </c>
      <c r="AK51" s="339">
        <v>3</v>
      </c>
      <c r="AL51" s="339">
        <v>4</v>
      </c>
      <c r="AM51" s="339">
        <v>5</v>
      </c>
      <c r="AN51" s="339">
        <v>3</v>
      </c>
      <c r="AO51" s="339">
        <v>1</v>
      </c>
      <c r="AP51" s="339">
        <v>5</v>
      </c>
      <c r="AQ51" s="104">
        <v>22</v>
      </c>
      <c r="AR51" s="104">
        <v>5</v>
      </c>
      <c r="AS51" s="107">
        <f t="shared" si="8"/>
        <v>1.5919770563893134</v>
      </c>
      <c r="AT51" s="107">
        <f t="shared" si="9"/>
        <v>5.3401796470802054</v>
      </c>
      <c r="AU51" s="107" t="str">
        <f t="shared" si="10"/>
        <v>(3,4,5,3,1,5)</v>
      </c>
      <c r="AV51" s="108">
        <v>1.1000000000000001</v>
      </c>
      <c r="AW51" s="108">
        <v>1.1000000000000001</v>
      </c>
      <c r="AX51" s="108">
        <v>1.5</v>
      </c>
      <c r="AY51" s="108">
        <v>1.02</v>
      </c>
      <c r="AZ51" s="108">
        <v>1</v>
      </c>
      <c r="BA51" s="108">
        <v>1.2</v>
      </c>
    </row>
    <row r="52" spans="1:53">
      <c r="A52" s="330">
        <v>67794</v>
      </c>
      <c r="B52" s="331"/>
      <c r="C52" s="88"/>
      <c r="D52" s="340" t="s">
        <v>98</v>
      </c>
      <c r="E52" s="341">
        <v>4</v>
      </c>
      <c r="F52" s="432" t="s">
        <v>421</v>
      </c>
      <c r="G52" s="433" t="s">
        <v>98</v>
      </c>
      <c r="H52" s="434" t="s">
        <v>247</v>
      </c>
      <c r="I52" s="434" t="s">
        <v>406</v>
      </c>
      <c r="J52" s="94" t="s">
        <v>98</v>
      </c>
      <c r="K52" s="433" t="s">
        <v>96</v>
      </c>
      <c r="L52" s="435">
        <f>0.0001*L$49</f>
        <v>7.753753291650054E-7</v>
      </c>
      <c r="M52" s="95">
        <v>1</v>
      </c>
      <c r="N52" s="96">
        <f t="shared" si="0"/>
        <v>5.3401796470802054</v>
      </c>
      <c r="O52" s="432" t="str">
        <f t="shared" si="1"/>
        <v>(3,4,5,3,1,5); Literature, in dust</v>
      </c>
      <c r="P52" s="435">
        <f t="shared" si="11"/>
        <v>7.753753291650054E-7</v>
      </c>
      <c r="Q52" s="95">
        <v>1</v>
      </c>
      <c r="R52" s="96">
        <f t="shared" si="2"/>
        <v>5.3401796470802054</v>
      </c>
      <c r="S52" s="432" t="str">
        <f t="shared" si="3"/>
        <v>(3,4,5,3,1,5); Literature, in dust</v>
      </c>
      <c r="T52" s="435">
        <f t="shared" si="12"/>
        <v>7.753753291650054E-7</v>
      </c>
      <c r="U52" s="95">
        <v>1</v>
      </c>
      <c r="V52" s="96">
        <f t="shared" si="4"/>
        <v>5.3401796470802054</v>
      </c>
      <c r="W52" s="432" t="str">
        <f t="shared" si="5"/>
        <v>(3,4,5,3,1,5); Literature, in dust</v>
      </c>
      <c r="X52" s="435">
        <f t="shared" si="13"/>
        <v>7.753753291650054E-7</v>
      </c>
      <c r="Y52" s="95">
        <v>1</v>
      </c>
      <c r="Z52" s="96">
        <f t="shared" si="6"/>
        <v>5.3401796470802054</v>
      </c>
      <c r="AA52" s="432" t="str">
        <f t="shared" si="7"/>
        <v>(3,4,5,3,1,5); Literature, in dust</v>
      </c>
      <c r="AB52" s="112"/>
      <c r="AC52" s="111"/>
      <c r="AD52" s="111"/>
      <c r="AE52" s="111"/>
      <c r="AF52" s="111"/>
      <c r="AG52" s="111"/>
      <c r="AH52" s="111"/>
      <c r="AI52" s="111"/>
      <c r="AJ52" s="77" t="s">
        <v>404</v>
      </c>
      <c r="AK52" s="339">
        <v>3</v>
      </c>
      <c r="AL52" s="339">
        <v>4</v>
      </c>
      <c r="AM52" s="339">
        <v>5</v>
      </c>
      <c r="AN52" s="339">
        <v>3</v>
      </c>
      <c r="AO52" s="339">
        <v>1</v>
      </c>
      <c r="AP52" s="339">
        <v>5</v>
      </c>
      <c r="AQ52" s="104">
        <v>22</v>
      </c>
      <c r="AR52" s="104">
        <v>5</v>
      </c>
      <c r="AS52" s="107">
        <f t="shared" si="8"/>
        <v>1.5919770563893134</v>
      </c>
      <c r="AT52" s="107">
        <f t="shared" si="9"/>
        <v>5.3401796470802054</v>
      </c>
      <c r="AU52" s="107" t="str">
        <f t="shared" si="10"/>
        <v>(3,4,5,3,1,5)</v>
      </c>
      <c r="AV52" s="108">
        <v>1.1000000000000001</v>
      </c>
      <c r="AW52" s="108">
        <v>1.1000000000000001</v>
      </c>
      <c r="AX52" s="108">
        <v>1.5</v>
      </c>
      <c r="AY52" s="108">
        <v>1.02</v>
      </c>
      <c r="AZ52" s="108">
        <v>1</v>
      </c>
      <c r="BA52" s="108">
        <v>1.2</v>
      </c>
    </row>
    <row r="53" spans="1:53" ht="24" customHeight="1">
      <c r="A53" s="330">
        <v>51806</v>
      </c>
      <c r="B53" s="331"/>
      <c r="C53" s="88"/>
      <c r="D53" s="340" t="s">
        <v>98</v>
      </c>
      <c r="E53" s="341">
        <v>4</v>
      </c>
      <c r="F53" s="432" t="s">
        <v>256</v>
      </c>
      <c r="G53" s="433" t="s">
        <v>98</v>
      </c>
      <c r="H53" s="434" t="s">
        <v>247</v>
      </c>
      <c r="I53" s="434" t="s">
        <v>248</v>
      </c>
      <c r="J53" s="94" t="s">
        <v>98</v>
      </c>
      <c r="K53" s="433" t="s">
        <v>96</v>
      </c>
      <c r="L53" s="435">
        <f>AE53</f>
        <v>1.2240951675729202E-2</v>
      </c>
      <c r="M53" s="95">
        <v>1</v>
      </c>
      <c r="N53" s="96">
        <f t="shared" si="0"/>
        <v>1.2434566510799234</v>
      </c>
      <c r="O53" s="432" t="str">
        <f t="shared" si="1"/>
        <v>(3,2,4,1,1,3); Calculation based on environmental report</v>
      </c>
      <c r="P53" s="435">
        <f t="shared" si="11"/>
        <v>1.2240951675729202E-2</v>
      </c>
      <c r="Q53" s="95">
        <v>1</v>
      </c>
      <c r="R53" s="96">
        <f t="shared" si="2"/>
        <v>1.2434566510799234</v>
      </c>
      <c r="S53" s="432" t="str">
        <f t="shared" si="3"/>
        <v>(3,2,4,1,1,3); Calculation based on environmental report</v>
      </c>
      <c r="T53" s="435">
        <f t="shared" si="12"/>
        <v>1.2240951675729202E-2</v>
      </c>
      <c r="U53" s="95">
        <v>1</v>
      </c>
      <c r="V53" s="96">
        <f t="shared" si="4"/>
        <v>1.2434566510799234</v>
      </c>
      <c r="W53" s="432" t="str">
        <f t="shared" si="5"/>
        <v>(3,2,4,1,1,3); Calculation based on environmental report</v>
      </c>
      <c r="X53" s="435">
        <f t="shared" si="13"/>
        <v>1.2240951675729202E-2</v>
      </c>
      <c r="Y53" s="95">
        <v>1</v>
      </c>
      <c r="Z53" s="96">
        <f t="shared" si="6"/>
        <v>1.2434566510799234</v>
      </c>
      <c r="AA53" s="432" t="str">
        <f t="shared" si="7"/>
        <v>(3,2,4,1,1,3); Calculation based on environmental report</v>
      </c>
      <c r="AB53" s="112"/>
      <c r="AC53" s="111">
        <f>((L16/28.9)+L19)*1%*5%*80/16</f>
        <v>3.2500000000000003E-3</v>
      </c>
      <c r="AD53" s="111"/>
      <c r="AE53" s="111">
        <f>AF53*L$37/AF$37</f>
        <v>1.2240951675729202E-2</v>
      </c>
      <c r="AF53" s="111">
        <f>800+720+569+1270+542</f>
        <v>3901</v>
      </c>
      <c r="AG53" s="111"/>
      <c r="AH53" s="111">
        <v>0.02</v>
      </c>
      <c r="AI53" s="111">
        <v>2.8000000000000001E-2</v>
      </c>
      <c r="AJ53" s="77" t="s">
        <v>416</v>
      </c>
      <c r="AK53" s="339">
        <v>3</v>
      </c>
      <c r="AL53" s="339">
        <v>2</v>
      </c>
      <c r="AM53" s="339">
        <v>4</v>
      </c>
      <c r="AN53" s="339">
        <v>1</v>
      </c>
      <c r="AO53" s="339">
        <v>1</v>
      </c>
      <c r="AP53" s="339">
        <v>3</v>
      </c>
      <c r="AQ53" s="104">
        <v>15</v>
      </c>
      <c r="AR53" s="104">
        <v>1.05</v>
      </c>
      <c r="AS53" s="107">
        <f t="shared" si="8"/>
        <v>1.2365959919080913</v>
      </c>
      <c r="AT53" s="107">
        <f t="shared" si="9"/>
        <v>1.2434566510799234</v>
      </c>
      <c r="AU53" s="107" t="str">
        <f t="shared" si="10"/>
        <v>(3,2,4,1,1,3)</v>
      </c>
      <c r="AV53" s="108">
        <v>1.1000000000000001</v>
      </c>
      <c r="AW53" s="108">
        <v>1.02</v>
      </c>
      <c r="AX53" s="108">
        <v>1.2</v>
      </c>
      <c r="AY53" s="108">
        <v>1</v>
      </c>
      <c r="AZ53" s="108">
        <v>1</v>
      </c>
      <c r="BA53" s="108">
        <v>1.05</v>
      </c>
    </row>
    <row r="54" spans="1:53">
      <c r="A54" s="330">
        <v>20850</v>
      </c>
      <c r="B54" s="331"/>
      <c r="C54" s="88"/>
      <c r="D54" s="340" t="s">
        <v>98</v>
      </c>
      <c r="E54" s="341">
        <v>4</v>
      </c>
      <c r="F54" s="432" t="s">
        <v>422</v>
      </c>
      <c r="G54" s="433" t="s">
        <v>98</v>
      </c>
      <c r="H54" s="434" t="s">
        <v>247</v>
      </c>
      <c r="I54" s="434" t="s">
        <v>248</v>
      </c>
      <c r="J54" s="94" t="s">
        <v>98</v>
      </c>
      <c r="K54" s="433" t="s">
        <v>96</v>
      </c>
      <c r="L54" s="435">
        <f>AI54/AI$49*L$49</f>
        <v>7.8519020674937259E-9</v>
      </c>
      <c r="M54" s="95">
        <v>1</v>
      </c>
      <c r="N54" s="96">
        <f t="shared" si="0"/>
        <v>5.3401796470802054</v>
      </c>
      <c r="O54" s="432" t="str">
        <f t="shared" si="1"/>
        <v>(3,4,5,3,1,5); Literature, in dust</v>
      </c>
      <c r="P54" s="435">
        <f t="shared" si="11"/>
        <v>7.8519020674937259E-9</v>
      </c>
      <c r="Q54" s="95">
        <v>1</v>
      </c>
      <c r="R54" s="96">
        <f t="shared" si="2"/>
        <v>5.3401796470802054</v>
      </c>
      <c r="S54" s="432" t="str">
        <f t="shared" si="3"/>
        <v>(3,4,5,3,1,5); Literature, in dust</v>
      </c>
      <c r="T54" s="435">
        <f t="shared" si="12"/>
        <v>7.8519020674937259E-9</v>
      </c>
      <c r="U54" s="95">
        <v>1</v>
      </c>
      <c r="V54" s="96">
        <f t="shared" si="4"/>
        <v>5.3401796470802054</v>
      </c>
      <c r="W54" s="432" t="str">
        <f t="shared" si="5"/>
        <v>(3,4,5,3,1,5); Literature, in dust</v>
      </c>
      <c r="X54" s="435">
        <f t="shared" si="13"/>
        <v>7.8519020674937259E-9</v>
      </c>
      <c r="Y54" s="95">
        <v>1</v>
      </c>
      <c r="Z54" s="96">
        <f t="shared" si="6"/>
        <v>5.3401796470802054</v>
      </c>
      <c r="AA54" s="432" t="str">
        <f t="shared" si="7"/>
        <v>(3,4,5,3,1,5); Literature, in dust</v>
      </c>
      <c r="AB54" s="112"/>
      <c r="AC54" s="111"/>
      <c r="AD54" s="111"/>
      <c r="AE54" s="111"/>
      <c r="AF54" s="111"/>
      <c r="AG54" s="111"/>
      <c r="AH54" s="111"/>
      <c r="AI54" s="111">
        <v>8.0000000000000005E-9</v>
      </c>
      <c r="AJ54" s="77" t="s">
        <v>404</v>
      </c>
      <c r="AK54" s="339">
        <v>3</v>
      </c>
      <c r="AL54" s="339">
        <v>4</v>
      </c>
      <c r="AM54" s="339">
        <v>5</v>
      </c>
      <c r="AN54" s="339">
        <v>3</v>
      </c>
      <c r="AO54" s="339">
        <v>1</v>
      </c>
      <c r="AP54" s="339">
        <v>5</v>
      </c>
      <c r="AQ54" s="104">
        <v>22</v>
      </c>
      <c r="AR54" s="104">
        <v>5</v>
      </c>
      <c r="AS54" s="107">
        <f t="shared" si="8"/>
        <v>1.5919770563893134</v>
      </c>
      <c r="AT54" s="107">
        <f t="shared" si="9"/>
        <v>5.3401796470802054</v>
      </c>
      <c r="AU54" s="107" t="str">
        <f t="shared" si="10"/>
        <v>(3,4,5,3,1,5)</v>
      </c>
      <c r="AV54" s="108">
        <v>1.1000000000000001</v>
      </c>
      <c r="AW54" s="108">
        <v>1.1000000000000001</v>
      </c>
      <c r="AX54" s="108">
        <v>1.5</v>
      </c>
      <c r="AY54" s="108">
        <v>1.02</v>
      </c>
      <c r="AZ54" s="108">
        <v>1</v>
      </c>
      <c r="BA54" s="108">
        <v>1.2</v>
      </c>
    </row>
    <row r="55" spans="1:53" s="378" customFormat="1">
      <c r="B55" s="114"/>
      <c r="C55" s="115"/>
      <c r="M55" s="116"/>
      <c r="N55" s="116"/>
      <c r="O55" s="116"/>
      <c r="Q55" s="116"/>
      <c r="R55" s="116"/>
      <c r="S55" s="116"/>
      <c r="U55" s="116"/>
      <c r="V55" s="116"/>
      <c r="W55" s="116"/>
      <c r="X55" s="406"/>
      <c r="Y55" s="406"/>
      <c r="Z55" s="406"/>
      <c r="AA55" s="406"/>
      <c r="AB55" s="112"/>
      <c r="AC55" s="406"/>
      <c r="AD55" s="406"/>
      <c r="AE55" s="406"/>
      <c r="AF55" s="406"/>
    </row>
    <row r="56" spans="1:53">
      <c r="AB56" s="112"/>
    </row>
    <row r="57" spans="1:53">
      <c r="P57" s="1198"/>
      <c r="Q57" s="636"/>
      <c r="R57" s="636"/>
      <c r="S57" s="636"/>
      <c r="T57" s="1198"/>
      <c r="U57" s="636"/>
      <c r="V57" s="636"/>
      <c r="W57" s="636"/>
      <c r="X57" s="1198"/>
      <c r="Y57" s="636"/>
      <c r="Z57" s="636"/>
      <c r="AA57" s="636"/>
      <c r="AB57" s="1199"/>
      <c r="AC57" s="1198"/>
      <c r="AD57" s="1198"/>
      <c r="AE57" s="1198"/>
      <c r="AF57" s="1198"/>
      <c r="AG57" s="1198"/>
      <c r="AH57" s="1198"/>
      <c r="AI57" s="1198"/>
      <c r="AJ57" s="1198"/>
    </row>
    <row r="58" spans="1:53">
      <c r="L58" s="119"/>
      <c r="P58" s="1198"/>
      <c r="Q58" s="1200"/>
      <c r="R58" s="1200"/>
      <c r="S58" s="1200"/>
      <c r="T58" s="1201" t="s">
        <v>423</v>
      </c>
      <c r="U58" s="1200"/>
      <c r="V58" s="1200"/>
      <c r="W58" s="1200"/>
      <c r="X58" s="1201"/>
      <c r="Y58" s="636"/>
      <c r="Z58" s="636"/>
      <c r="AA58" s="636"/>
      <c r="AB58" s="1199"/>
      <c r="AC58" s="1198"/>
      <c r="AD58" s="1198"/>
      <c r="AE58" s="1198"/>
      <c r="AF58" s="1198"/>
      <c r="AG58" s="1198"/>
      <c r="AH58" s="1198"/>
      <c r="AI58" s="1198"/>
      <c r="AJ58" s="1198"/>
    </row>
    <row r="59" spans="1:53">
      <c r="L59" s="254"/>
      <c r="P59" s="1201" t="s">
        <v>424</v>
      </c>
      <c r="Q59" s="1200"/>
      <c r="R59" s="1200"/>
      <c r="S59" s="1200"/>
      <c r="T59" s="1201" t="s">
        <v>425</v>
      </c>
      <c r="U59" s="1200"/>
      <c r="V59" s="1200"/>
      <c r="W59" s="1200"/>
      <c r="X59" s="1201" t="s">
        <v>426</v>
      </c>
      <c r="Y59" s="636"/>
      <c r="Z59" s="636"/>
      <c r="AA59" s="636"/>
      <c r="AB59" s="1199"/>
      <c r="AC59" s="1198"/>
      <c r="AD59" s="1198"/>
      <c r="AE59" s="1198"/>
      <c r="AF59" s="1198"/>
      <c r="AG59" s="1198"/>
      <c r="AH59" s="1198"/>
      <c r="AI59" s="1198"/>
      <c r="AJ59" s="1198"/>
    </row>
    <row r="60" spans="1:53" ht="36" customHeight="1">
      <c r="L60" s="254" t="s">
        <v>427</v>
      </c>
      <c r="P60" s="1198">
        <v>11</v>
      </c>
      <c r="Q60" s="636"/>
      <c r="R60" s="636"/>
      <c r="S60" s="636"/>
      <c r="T60" s="1198">
        <v>12</v>
      </c>
      <c r="U60" s="636"/>
      <c r="V60" s="636"/>
      <c r="W60" s="636"/>
      <c r="X60" s="1198" t="s">
        <v>379</v>
      </c>
      <c r="Y60" s="636"/>
      <c r="Z60" s="636"/>
      <c r="AA60" s="636"/>
      <c r="AB60" s="1199"/>
      <c r="AC60" s="1198"/>
      <c r="AD60" s="1198"/>
      <c r="AE60" s="1198"/>
      <c r="AF60" s="1198"/>
      <c r="AG60" s="1198"/>
      <c r="AH60" s="1198"/>
      <c r="AI60" s="1198"/>
      <c r="AJ60" s="1198"/>
    </row>
    <row r="61" spans="1:53">
      <c r="P61" s="1198"/>
      <c r="Q61" s="636"/>
      <c r="R61" s="636"/>
      <c r="S61" s="636"/>
      <c r="T61" s="1198"/>
      <c r="U61" s="636"/>
      <c r="V61" s="636"/>
      <c r="W61" s="636"/>
      <c r="X61" s="1198"/>
      <c r="Y61" s="636"/>
      <c r="Z61" s="636"/>
      <c r="AA61" s="636"/>
      <c r="AB61" s="707"/>
      <c r="AC61" s="1198"/>
      <c r="AD61" s="1198"/>
      <c r="AE61" s="1198"/>
      <c r="AF61" s="1198"/>
      <c r="AG61" s="1198"/>
      <c r="AH61" s="1198"/>
      <c r="AI61" s="1198"/>
      <c r="AJ61" s="1198"/>
    </row>
    <row r="62" spans="1:53">
      <c r="P62" s="1198"/>
      <c r="Q62" s="636"/>
      <c r="R62" s="636"/>
      <c r="S62" s="636"/>
      <c r="T62" s="1198"/>
      <c r="U62" s="636"/>
      <c r="V62" s="636"/>
      <c r="W62" s="636"/>
      <c r="X62" s="1198"/>
      <c r="Y62" s="636"/>
      <c r="Z62" s="636"/>
      <c r="AA62" s="636"/>
      <c r="AB62" s="707"/>
      <c r="AC62" s="1198"/>
      <c r="AD62" s="1198"/>
      <c r="AE62" s="1198"/>
      <c r="AF62" s="1198"/>
      <c r="AG62" s="1198"/>
      <c r="AH62" s="1198"/>
      <c r="AI62" s="1198"/>
      <c r="AJ62" s="1198"/>
    </row>
  </sheetData>
  <mergeCells count="1">
    <mergeCell ref="AK1:AP1"/>
  </mergeCells>
  <conditionalFormatting sqref="D11:AA54">
    <cfRule type="expression" dxfId="367" priority="5">
      <formula>MOD(ROW(),2)=0</formula>
    </cfRule>
  </conditionalFormatting>
  <conditionalFormatting sqref="AC11:AP54">
    <cfRule type="expression" dxfId="366" priority="3">
      <formula>MOD(ROW(),2)=0</formula>
    </cfRule>
  </conditionalFormatting>
  <conditionalFormatting sqref="AQ11:BA54">
    <cfRule type="expression" dxfId="365" priority="1">
      <formula>MOD(ROW(),2)=0</formula>
    </cfRule>
  </conditionalFormatting>
  <dataValidations xWindow="445" yWindow="487" count="11">
    <dataValidation allowBlank="1" showInputMessage="1" showErrorMessage="1" promptTitle="Do not change" prompt="This field is automatically updated from the names-list" sqref="AQ11:AQ54" xr:uid="{00000000-0002-0000-0D00-000000000000}"/>
    <dataValidation allowBlank="1" showInputMessage="1" showErrorMessage="1" prompt="always 1" sqref="L7:L10 P7:P10 T7:T10 X7:X10" xr:uid="{00000000-0002-0000-0D00-000001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G27:G54" xr:uid="{00000000-0002-0000-0D00-000002000000}"/>
    <dataValidation allowBlank="1" showInputMessage="1" showErrorMessage="1" promptTitle="Remarks" prompt="A general comment (data source, calculation procedure, ...) can be made about each individual exchange. The remarks are added to the GeneralComment-field." sqref="AJ3" xr:uid="{00000000-0002-0000-0D00-000003000000}"/>
    <dataValidation allowBlank="1" showInputMessage="1" showErrorMessage="1" prompt="Do not change." sqref="AQ3:AU4 AV3:BA3 AV4:AZ4" xr:uid="{00000000-0002-0000-0D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L3" xr:uid="{00000000-0002-0000-0D00-000005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M3" xr:uid="{00000000-0002-0000-0D00-000006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N3" xr:uid="{00000000-0002-0000-0D00-000007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O3" xr:uid="{00000000-0002-0000-0D00-000008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P3" xr:uid="{00000000-0002-0000-0D00-000009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K3" xr:uid="{00000000-0002-0000-0D00-00000A000000}"/>
  </dataValidations>
  <pageMargins left="0.78740157499999996" right="0.78740157499999996" top="0.984251969" bottom="0.984251969" header="0.4921259845" footer="0.4921259845"/>
  <pageSetup paperSize="9"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tabColor rgb="FF9CD9F0"/>
    <pageSetUpPr fitToPage="1"/>
  </sheetPr>
  <dimension ref="A1:DC105"/>
  <sheetViews>
    <sheetView topLeftCell="A72" workbookViewId="0">
      <selection activeCell="BH27" sqref="BH27"/>
    </sheetView>
  </sheetViews>
  <sheetFormatPr baseColWidth="10" defaultColWidth="11.42578125" defaultRowHeight="12" outlineLevelCol="2"/>
  <cols>
    <col min="1" max="1" width="12.7109375" style="110" customWidth="1"/>
    <col min="2" max="2" width="9.140625" style="117" customWidth="1"/>
    <col min="3" max="3" width="4.7109375" style="118" hidden="1" customWidth="1"/>
    <col min="4" max="5" width="4.7109375" style="110" hidden="1" customWidth="1"/>
    <col min="6" max="6" width="28.5703125" style="119" customWidth="1" collapsed="1"/>
    <col min="7" max="7" width="7.42578125" style="110" customWidth="1"/>
    <col min="8" max="8" width="16.42578125" style="110" hidden="1" customWidth="1" outlineLevel="1"/>
    <col min="9" max="9" width="10.140625" style="110" hidden="1" customWidth="1" outlineLevel="1"/>
    <col min="10" max="10" width="8.42578125" style="110" customWidth="1" collapsed="1"/>
    <col min="11" max="11" width="8.7109375" style="110" customWidth="1"/>
    <col min="12" max="12" width="10.7109375" style="110" hidden="1" customWidth="1" outlineLevel="1"/>
    <col min="13" max="14" width="5.42578125" style="120" hidden="1" customWidth="1" outlineLevel="2"/>
    <col min="15" max="15" width="40.7109375" style="120" hidden="1" customWidth="1" outlineLevel="2"/>
    <col min="16" max="16" width="10.7109375" style="110" hidden="1" customWidth="1" outlineLevel="1"/>
    <col min="17" max="18" width="5.7109375" style="120" hidden="1" customWidth="1" outlineLevel="2"/>
    <col min="19" max="19" width="40.7109375" style="120" hidden="1" customWidth="1" outlineLevel="2"/>
    <col min="20" max="20" width="10.7109375" style="110" hidden="1" customWidth="1" outlineLevel="1"/>
    <col min="21" max="22" width="5.7109375" style="120" hidden="1" customWidth="1" outlineLevel="2"/>
    <col min="23" max="23" width="40.7109375" style="120" hidden="1" customWidth="1" outlineLevel="2"/>
    <col min="24" max="24" width="10.7109375" style="110" hidden="1" customWidth="1" outlineLevel="1"/>
    <col min="25" max="26" width="5" style="120" hidden="1" customWidth="1" outlineLevel="2"/>
    <col min="27" max="27" width="37.140625" style="120" hidden="1" customWidth="1" outlineLevel="2"/>
    <col min="28" max="28" width="12.140625" style="110" hidden="1" customWidth="1" outlineLevel="1"/>
    <col min="29" max="29" width="10.140625" style="120" hidden="1" customWidth="1" outlineLevel="2"/>
    <col min="30" max="30" width="5.7109375" style="120" hidden="1" customWidth="1" outlineLevel="2"/>
    <col min="31" max="31" width="40.5703125" style="120" hidden="1" customWidth="1" outlineLevel="2"/>
    <col min="32" max="32" width="15.5703125" style="110" hidden="1" customWidth="1" outlineLevel="1"/>
    <col min="33" max="33" width="10.140625" style="120" hidden="1" customWidth="1" outlineLevel="2"/>
    <col min="34" max="34" width="5.7109375" style="120" hidden="1" customWidth="1" outlineLevel="2"/>
    <col min="35" max="35" width="40.7109375" style="120" hidden="1" customWidth="1" outlineLevel="2"/>
    <col min="36" max="36" width="12.42578125" style="110" hidden="1" customWidth="1" outlineLevel="1"/>
    <col min="37" max="37" width="10.140625" style="120" hidden="1" customWidth="1" outlineLevel="2"/>
    <col min="38" max="38" width="5.7109375" style="120" hidden="1" customWidth="1" outlineLevel="2"/>
    <col min="39" max="39" width="40.7109375" style="120" hidden="1" customWidth="1" outlineLevel="2"/>
    <col min="40" max="40" width="12.7109375" style="110" hidden="1" customWidth="1" outlineLevel="1"/>
    <col min="41" max="42" width="5" style="120" hidden="1" customWidth="1" outlineLevel="2"/>
    <col min="43" max="43" width="37.140625" style="120" hidden="1" customWidth="1" outlineLevel="2"/>
    <col min="44" max="44" width="12.140625" style="110" hidden="1" customWidth="1" outlineLevel="1"/>
    <col min="45" max="46" width="5.42578125" style="120" hidden="1" customWidth="1" outlineLevel="2"/>
    <col min="47" max="47" width="40.7109375" style="120" hidden="1" customWidth="1" outlineLevel="2"/>
    <col min="48" max="48" width="16.5703125" style="110" hidden="1" customWidth="1" outlineLevel="1"/>
    <col min="49" max="49" width="10.140625" style="120" hidden="1" customWidth="1" outlineLevel="2"/>
    <col min="50" max="50" width="5.7109375" style="120" hidden="1" customWidth="1" outlineLevel="2"/>
    <col min="51" max="51" width="40.7109375" style="120" hidden="1" customWidth="1" outlineLevel="2"/>
    <col min="52" max="52" width="15" style="110" hidden="1" customWidth="1" outlineLevel="1"/>
    <col min="53" max="53" width="10.140625" style="120" hidden="1" customWidth="1" outlineLevel="2"/>
    <col min="54" max="54" width="5.7109375" style="120" hidden="1" customWidth="1" outlineLevel="2"/>
    <col min="55" max="55" width="40.7109375" style="120" hidden="1" customWidth="1" outlineLevel="2"/>
    <col min="56" max="56" width="14.5703125" style="110" hidden="1" customWidth="1" outlineLevel="1"/>
    <col min="57" max="58" width="5" style="120" hidden="1" customWidth="1" outlineLevel="1"/>
    <col min="59" max="59" width="36.42578125" style="120" hidden="1" customWidth="1" outlineLevel="1"/>
    <col min="60" max="60" width="19.42578125" style="120" customWidth="1" collapsed="1"/>
    <col min="61" max="62" width="5.42578125" style="120" hidden="1" customWidth="1" outlineLevel="1"/>
    <col min="63" max="63" width="39.42578125" style="120" hidden="1" customWidth="1" outlineLevel="1"/>
    <col min="64" max="64" width="22.140625" style="120" customWidth="1" collapsed="1"/>
    <col min="65" max="66" width="5" style="120" hidden="1" customWidth="1" outlineLevel="1"/>
    <col min="67" max="67" width="42" style="120" hidden="1" customWidth="1" outlineLevel="1"/>
    <col min="68" max="68" width="19.28515625" style="120" hidden="1" customWidth="1" outlineLevel="1"/>
    <col min="69" max="69" width="4.140625" style="109" customWidth="1" collapsed="1"/>
    <col min="70" max="70" width="49.85546875" style="120" customWidth="1"/>
    <col min="71" max="71" width="22" style="120" hidden="1" customWidth="1" outlineLevel="1"/>
    <col min="72" max="72" width="3.28515625" style="121" hidden="1" customWidth="1" outlineLevel="1"/>
    <col min="73" max="77" width="3.28515625" style="394" hidden="1" customWidth="1" outlineLevel="1"/>
    <col min="78" max="78" width="5.42578125" style="394" hidden="1" customWidth="1" outlineLevel="1"/>
    <col min="79" max="79" width="13.140625" style="394" hidden="1" customWidth="1" outlineLevel="1"/>
    <col min="80" max="80" width="7" style="394" hidden="1" customWidth="1" outlineLevel="1"/>
    <col min="81" max="81" width="18" style="394" hidden="1" customWidth="1" outlineLevel="1"/>
    <col min="82" max="87" width="4.85546875" style="110" hidden="1" customWidth="1" outlineLevel="1"/>
    <col min="88" max="88" width="11.42578125" style="110" customWidth="1" collapsed="1"/>
    <col min="89" max="89" width="51.140625" style="110" bestFit="1" customWidth="1"/>
    <col min="90" max="90" width="3.5703125" style="110" hidden="1" customWidth="1" outlineLevel="1"/>
    <col min="91" max="96" width="3.140625" style="110" hidden="1" customWidth="1" outlineLevel="1"/>
    <col min="97" max="97" width="5" style="110" hidden="1" customWidth="1" outlineLevel="1"/>
    <col min="98" max="98" width="12" style="110" hidden="1" customWidth="1" outlineLevel="1"/>
    <col min="99" max="99" width="6.42578125" style="110" hidden="1" customWidth="1" outlineLevel="1"/>
    <col min="100" max="100" width="14.28515625" style="110" hidden="1" customWidth="1" outlineLevel="1"/>
    <col min="101" max="106" width="4.85546875" style="110" hidden="1" customWidth="1" outlineLevel="1"/>
    <col min="107" max="107" width="11.42578125" style="110" customWidth="1" collapsed="1"/>
    <col min="108" max="109" width="11.42578125" style="110" customWidth="1"/>
    <col min="110" max="16384" width="11.42578125" style="110"/>
  </cols>
  <sheetData>
    <row r="1" spans="1:106" ht="12.75" customHeight="1">
      <c r="A1" s="77"/>
      <c r="B1" s="78"/>
      <c r="C1" s="79"/>
      <c r="D1" s="77"/>
      <c r="E1" s="77"/>
      <c r="F1" s="80" t="s">
        <v>65</v>
      </c>
      <c r="G1" s="77"/>
      <c r="H1" s="77"/>
      <c r="I1" s="77"/>
      <c r="J1" s="77"/>
      <c r="K1" s="77"/>
      <c r="L1" s="330">
        <f>A7</f>
        <v>262907</v>
      </c>
      <c r="M1" s="81"/>
      <c r="N1" s="81"/>
      <c r="O1" s="81"/>
      <c r="P1" s="330">
        <f>A8</f>
        <v>262913</v>
      </c>
      <c r="Q1" s="81"/>
      <c r="R1" s="81"/>
      <c r="S1" s="81"/>
      <c r="T1" s="330">
        <f>A9</f>
        <v>262893</v>
      </c>
      <c r="U1" s="81"/>
      <c r="V1" s="81"/>
      <c r="W1" s="81"/>
      <c r="X1" s="330">
        <f>A10</f>
        <v>262829</v>
      </c>
      <c r="Y1" s="81"/>
      <c r="Z1" s="81"/>
      <c r="AA1" s="81"/>
      <c r="AB1" s="289" t="s">
        <v>428</v>
      </c>
      <c r="AC1" s="81"/>
      <c r="AD1" s="81"/>
      <c r="AE1" s="81"/>
      <c r="AF1" s="330" t="str">
        <f>A12</f>
        <v>Z-PV-121</v>
      </c>
      <c r="AG1" s="81"/>
      <c r="AH1" s="81"/>
      <c r="AI1" s="81"/>
      <c r="AJ1" s="330" t="str">
        <f>A13</f>
        <v>Z-PV-122</v>
      </c>
      <c r="AK1" s="81"/>
      <c r="AL1" s="81"/>
      <c r="AM1" s="81"/>
      <c r="AN1" s="330" t="str">
        <f>A14</f>
        <v>Z-PV-123</v>
      </c>
      <c r="AO1" s="81"/>
      <c r="AP1" s="81"/>
      <c r="AQ1" s="81"/>
      <c r="AR1" s="330" t="str">
        <f>A15</f>
        <v>Z-PV-124</v>
      </c>
      <c r="AS1" s="81"/>
      <c r="AT1" s="81"/>
      <c r="AU1" s="81"/>
      <c r="AV1" s="330" t="str">
        <f>A16</f>
        <v>Z-PV-125</v>
      </c>
      <c r="AW1" s="81"/>
      <c r="AX1" s="81"/>
      <c r="AY1" s="81"/>
      <c r="AZ1" s="330" t="str">
        <f>A17</f>
        <v>Z-PV-126</v>
      </c>
      <c r="BA1" s="81"/>
      <c r="BB1" s="81"/>
      <c r="BC1" s="81"/>
      <c r="BD1" s="330" t="str">
        <f>A18</f>
        <v>Z-PV-127</v>
      </c>
      <c r="BE1" s="81"/>
      <c r="BF1" s="81"/>
      <c r="BG1" s="81"/>
      <c r="BH1" s="330" t="str">
        <f>A19</f>
        <v>Z-PV-144</v>
      </c>
      <c r="BI1" s="81"/>
      <c r="BJ1" s="81"/>
      <c r="BK1" s="81"/>
      <c r="BL1" s="330" t="str">
        <f>A20</f>
        <v>Z-PV-145</v>
      </c>
      <c r="BM1" s="81"/>
      <c r="BN1" s="81"/>
      <c r="BO1" s="81"/>
      <c r="BP1" s="81"/>
      <c r="BR1" s="378"/>
      <c r="BS1" s="378"/>
      <c r="BT1" s="1586"/>
      <c r="BU1" s="1587"/>
      <c r="BV1" s="1587"/>
      <c r="BW1" s="1587"/>
      <c r="BX1" s="1587"/>
      <c r="BY1" s="1587"/>
      <c r="BZ1" s="406"/>
      <c r="CA1" s="406"/>
      <c r="CB1" s="406"/>
      <c r="CC1" s="406"/>
      <c r="CD1" s="378"/>
      <c r="CE1" s="378"/>
      <c r="CF1" s="378"/>
      <c r="CG1" s="378"/>
      <c r="CH1" s="378"/>
      <c r="CI1" s="378"/>
    </row>
    <row r="2" spans="1:106"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82">
        <v>3707</v>
      </c>
      <c r="BA2" s="419">
        <v>3708</v>
      </c>
      <c r="BB2" s="419">
        <v>3709</v>
      </c>
      <c r="BC2" s="420">
        <v>3792</v>
      </c>
      <c r="BD2" s="82">
        <v>3707</v>
      </c>
      <c r="BE2" s="419">
        <v>3708</v>
      </c>
      <c r="BF2" s="419">
        <v>3709</v>
      </c>
      <c r="BG2" s="420">
        <v>3792</v>
      </c>
      <c r="BH2" s="82">
        <v>3707</v>
      </c>
      <c r="BI2" s="419">
        <v>3708</v>
      </c>
      <c r="BJ2" s="419">
        <v>3709</v>
      </c>
      <c r="BK2" s="420">
        <v>3792</v>
      </c>
      <c r="BL2" s="82">
        <v>3707</v>
      </c>
      <c r="BM2" s="419">
        <v>3708</v>
      </c>
      <c r="BN2" s="419">
        <v>3709</v>
      </c>
      <c r="BO2" s="420">
        <v>3792</v>
      </c>
      <c r="BP2" s="420"/>
      <c r="BQ2" s="421"/>
      <c r="BR2" s="393" t="s">
        <v>429</v>
      </c>
      <c r="BS2" s="406"/>
      <c r="BT2" s="406"/>
      <c r="BU2" s="406"/>
      <c r="BV2" s="406"/>
      <c r="BW2" s="406"/>
      <c r="BX2" s="406"/>
      <c r="BY2" s="406"/>
      <c r="BZ2" s="378"/>
      <c r="CA2" s="378"/>
      <c r="CB2" s="378"/>
      <c r="CC2" s="378"/>
      <c r="CD2" s="378"/>
      <c r="CE2" s="378"/>
      <c r="CF2" s="378"/>
      <c r="CG2" s="378"/>
      <c r="CH2" s="378"/>
      <c r="CI2" s="378"/>
      <c r="CK2" s="110" t="s">
        <v>430</v>
      </c>
    </row>
    <row r="3" spans="1:106" ht="105" customHeight="1">
      <c r="A3" s="83" t="s">
        <v>68</v>
      </c>
      <c r="B3" s="84"/>
      <c r="C3" s="79">
        <v>401</v>
      </c>
      <c r="D3" s="85" t="s">
        <v>69</v>
      </c>
      <c r="E3" s="85" t="s">
        <v>70</v>
      </c>
      <c r="F3" s="86" t="s">
        <v>71</v>
      </c>
      <c r="G3" s="85" t="s">
        <v>72</v>
      </c>
      <c r="H3" s="85" t="s">
        <v>73</v>
      </c>
      <c r="I3" s="85" t="s">
        <v>74</v>
      </c>
      <c r="J3" s="85" t="s">
        <v>75</v>
      </c>
      <c r="K3" s="85" t="s">
        <v>76</v>
      </c>
      <c r="L3" s="87" t="s">
        <v>431</v>
      </c>
      <c r="M3" s="422" t="s">
        <v>78</v>
      </c>
      <c r="N3" s="422" t="s">
        <v>79</v>
      </c>
      <c r="O3" s="423" t="s">
        <v>80</v>
      </c>
      <c r="P3" s="87" t="s">
        <v>432</v>
      </c>
      <c r="Q3" s="422" t="s">
        <v>78</v>
      </c>
      <c r="R3" s="422" t="s">
        <v>79</v>
      </c>
      <c r="S3" s="423" t="s">
        <v>80</v>
      </c>
      <c r="T3" s="87" t="s">
        <v>433</v>
      </c>
      <c r="U3" s="422" t="s">
        <v>78</v>
      </c>
      <c r="V3" s="422" t="s">
        <v>79</v>
      </c>
      <c r="W3" s="423" t="s">
        <v>80</v>
      </c>
      <c r="X3" s="87" t="s">
        <v>434</v>
      </c>
      <c r="Y3" s="422" t="s">
        <v>78</v>
      </c>
      <c r="Z3" s="422" t="s">
        <v>79</v>
      </c>
      <c r="AA3" s="423" t="s">
        <v>80</v>
      </c>
      <c r="AB3" s="87" t="s">
        <v>435</v>
      </c>
      <c r="AC3" s="422" t="s">
        <v>78</v>
      </c>
      <c r="AD3" s="422" t="s">
        <v>79</v>
      </c>
      <c r="AE3" s="423" t="s">
        <v>80</v>
      </c>
      <c r="AF3" s="87" t="s">
        <v>436</v>
      </c>
      <c r="AG3" s="422" t="s">
        <v>78</v>
      </c>
      <c r="AH3" s="422" t="s">
        <v>79</v>
      </c>
      <c r="AI3" s="423" t="s">
        <v>80</v>
      </c>
      <c r="AJ3" s="87" t="s">
        <v>437</v>
      </c>
      <c r="AK3" s="422" t="s">
        <v>78</v>
      </c>
      <c r="AL3" s="422" t="s">
        <v>79</v>
      </c>
      <c r="AM3" s="423" t="s">
        <v>80</v>
      </c>
      <c r="AN3" s="87" t="s">
        <v>438</v>
      </c>
      <c r="AO3" s="422" t="s">
        <v>78</v>
      </c>
      <c r="AP3" s="422" t="s">
        <v>79</v>
      </c>
      <c r="AQ3" s="423" t="s">
        <v>80</v>
      </c>
      <c r="AR3" s="87" t="s">
        <v>439</v>
      </c>
      <c r="AS3" s="422" t="s">
        <v>78</v>
      </c>
      <c r="AT3" s="422" t="s">
        <v>79</v>
      </c>
      <c r="AU3" s="423" t="s">
        <v>80</v>
      </c>
      <c r="AV3" s="87" t="s">
        <v>440</v>
      </c>
      <c r="AW3" s="422" t="s">
        <v>78</v>
      </c>
      <c r="AX3" s="422" t="s">
        <v>79</v>
      </c>
      <c r="AY3" s="423" t="s">
        <v>80</v>
      </c>
      <c r="AZ3" s="87" t="s">
        <v>441</v>
      </c>
      <c r="BA3" s="422" t="s">
        <v>78</v>
      </c>
      <c r="BB3" s="422" t="s">
        <v>79</v>
      </c>
      <c r="BC3" s="423" t="s">
        <v>80</v>
      </c>
      <c r="BD3" s="87" t="s">
        <v>442</v>
      </c>
      <c r="BE3" s="422" t="s">
        <v>78</v>
      </c>
      <c r="BF3" s="422" t="s">
        <v>79</v>
      </c>
      <c r="BG3" s="423" t="s">
        <v>80</v>
      </c>
      <c r="BH3" s="87" t="s">
        <v>443</v>
      </c>
      <c r="BI3" s="422" t="s">
        <v>78</v>
      </c>
      <c r="BJ3" s="422" t="s">
        <v>79</v>
      </c>
      <c r="BK3" s="423" t="s">
        <v>80</v>
      </c>
      <c r="BL3" s="87" t="s">
        <v>444</v>
      </c>
      <c r="BM3" s="422" t="s">
        <v>78</v>
      </c>
      <c r="BN3" s="422" t="s">
        <v>79</v>
      </c>
      <c r="BO3" s="423" t="s">
        <v>80</v>
      </c>
      <c r="BP3" s="423"/>
      <c r="BQ3" s="424"/>
      <c r="BR3" s="97" t="s">
        <v>363</v>
      </c>
      <c r="BS3" s="98" t="s">
        <v>364</v>
      </c>
      <c r="BT3" s="98" t="s">
        <v>365</v>
      </c>
      <c r="BU3" s="98" t="s">
        <v>366</v>
      </c>
      <c r="BV3" s="98" t="s">
        <v>367</v>
      </c>
      <c r="BW3" s="98" t="s">
        <v>368</v>
      </c>
      <c r="BX3" s="98" t="s">
        <v>369</v>
      </c>
      <c r="BY3" s="99" t="s">
        <v>88</v>
      </c>
      <c r="BZ3" s="99" t="s">
        <v>370</v>
      </c>
      <c r="CA3" s="99" t="s">
        <v>90</v>
      </c>
      <c r="CB3" s="99" t="s">
        <v>91</v>
      </c>
      <c r="CC3" s="99" t="s">
        <v>371</v>
      </c>
      <c r="CD3" s="100" t="s">
        <v>364</v>
      </c>
      <c r="CE3" s="100" t="s">
        <v>365</v>
      </c>
      <c r="CF3" s="100" t="s">
        <v>366</v>
      </c>
      <c r="CG3" s="100" t="s">
        <v>367</v>
      </c>
      <c r="CH3" s="100" t="s">
        <v>368</v>
      </c>
      <c r="CI3" s="100" t="s">
        <v>369</v>
      </c>
      <c r="CK3" s="97" t="s">
        <v>363</v>
      </c>
      <c r="CL3" s="98" t="s">
        <v>364</v>
      </c>
      <c r="CM3" s="98" t="s">
        <v>365</v>
      </c>
      <c r="CN3" s="98" t="s">
        <v>366</v>
      </c>
      <c r="CO3" s="98" t="s">
        <v>367</v>
      </c>
      <c r="CP3" s="98" t="s">
        <v>368</v>
      </c>
      <c r="CQ3" s="98" t="s">
        <v>369</v>
      </c>
      <c r="CR3" s="99" t="s">
        <v>88</v>
      </c>
      <c r="CS3" s="99" t="s">
        <v>370</v>
      </c>
      <c r="CT3" s="99" t="s">
        <v>90</v>
      </c>
      <c r="CU3" s="99" t="s">
        <v>91</v>
      </c>
      <c r="CV3" s="99" t="s">
        <v>371</v>
      </c>
      <c r="CW3" s="100" t="s">
        <v>364</v>
      </c>
      <c r="CX3" s="100" t="s">
        <v>365</v>
      </c>
      <c r="CY3" s="100" t="s">
        <v>366</v>
      </c>
      <c r="CZ3" s="100" t="s">
        <v>367</v>
      </c>
      <c r="DA3" s="100" t="s">
        <v>368</v>
      </c>
      <c r="DB3" s="100" t="s">
        <v>369</v>
      </c>
    </row>
    <row r="4" spans="1:106" ht="12.75" customHeight="1">
      <c r="A4" s="77"/>
      <c r="B4" s="84"/>
      <c r="C4" s="79">
        <v>662</v>
      </c>
      <c r="D4" s="86"/>
      <c r="E4" s="86"/>
      <c r="F4" s="86" t="s">
        <v>72</v>
      </c>
      <c r="G4" s="86"/>
      <c r="H4" s="86"/>
      <c r="I4" s="86"/>
      <c r="J4" s="86"/>
      <c r="K4" s="86"/>
      <c r="L4" s="87" t="s">
        <v>93</v>
      </c>
      <c r="M4" s="425"/>
      <c r="N4" s="425"/>
      <c r="O4" s="426"/>
      <c r="P4" s="87" t="s">
        <v>372</v>
      </c>
      <c r="Q4" s="425"/>
      <c r="R4" s="425"/>
      <c r="S4" s="426"/>
      <c r="T4" s="87" t="s">
        <v>215</v>
      </c>
      <c r="U4" s="425"/>
      <c r="V4" s="425"/>
      <c r="W4" s="426"/>
      <c r="X4" s="87" t="s">
        <v>373</v>
      </c>
      <c r="Y4" s="425"/>
      <c r="Z4" s="425"/>
      <c r="AA4" s="426"/>
      <c r="AB4" s="87" t="s">
        <v>93</v>
      </c>
      <c r="AC4" s="425"/>
      <c r="AD4" s="425"/>
      <c r="AE4" s="426"/>
      <c r="AF4" s="87" t="s">
        <v>372</v>
      </c>
      <c r="AG4" s="425"/>
      <c r="AH4" s="425"/>
      <c r="AI4" s="426"/>
      <c r="AJ4" s="87" t="s">
        <v>215</v>
      </c>
      <c r="AK4" s="425"/>
      <c r="AL4" s="425"/>
      <c r="AM4" s="426"/>
      <c r="AN4" s="87" t="s">
        <v>373</v>
      </c>
      <c r="AO4" s="425"/>
      <c r="AP4" s="425"/>
      <c r="AQ4" s="426"/>
      <c r="AR4" s="87" t="s">
        <v>93</v>
      </c>
      <c r="AS4" s="425"/>
      <c r="AT4" s="425"/>
      <c r="AU4" s="426"/>
      <c r="AV4" s="87" t="s">
        <v>372</v>
      </c>
      <c r="AW4" s="425"/>
      <c r="AX4" s="425"/>
      <c r="AY4" s="426"/>
      <c r="AZ4" s="87" t="s">
        <v>215</v>
      </c>
      <c r="BA4" s="425"/>
      <c r="BB4" s="425"/>
      <c r="BC4" s="426"/>
      <c r="BD4" s="87" t="s">
        <v>373</v>
      </c>
      <c r="BE4" s="425"/>
      <c r="BF4" s="425"/>
      <c r="BG4" s="426"/>
      <c r="BH4" s="87" t="s">
        <v>340</v>
      </c>
      <c r="BI4" s="425"/>
      <c r="BJ4" s="425"/>
      <c r="BK4" s="426"/>
      <c r="BL4" s="87" t="s">
        <v>372</v>
      </c>
      <c r="BM4" s="425"/>
      <c r="BN4" s="425"/>
      <c r="BO4" s="426"/>
      <c r="BP4" s="426"/>
      <c r="BQ4" s="427"/>
      <c r="BR4" s="101"/>
      <c r="BS4" s="102" t="s">
        <v>94</v>
      </c>
      <c r="BT4" s="97"/>
      <c r="BU4" s="97"/>
      <c r="BV4" s="97"/>
      <c r="BW4" s="97"/>
      <c r="BX4" s="97"/>
      <c r="BY4" s="103"/>
      <c r="BZ4" s="103"/>
      <c r="CA4" s="103" t="s">
        <v>95</v>
      </c>
      <c r="CB4" s="103" t="s">
        <v>95</v>
      </c>
      <c r="CC4" s="104"/>
      <c r="CD4" s="105"/>
      <c r="CE4" s="105"/>
      <c r="CF4" s="105"/>
      <c r="CG4" s="105"/>
      <c r="CH4" s="105"/>
      <c r="CI4" s="105"/>
      <c r="CK4" s="101"/>
      <c r="CL4" s="102" t="s">
        <v>94</v>
      </c>
      <c r="CM4" s="97"/>
      <c r="CN4" s="97"/>
      <c r="CO4" s="97"/>
      <c r="CP4" s="97"/>
      <c r="CQ4" s="97"/>
      <c r="CR4" s="103"/>
      <c r="CS4" s="103"/>
      <c r="CT4" s="103" t="s">
        <v>95</v>
      </c>
      <c r="CU4" s="103" t="s">
        <v>95</v>
      </c>
      <c r="CV4" s="104"/>
      <c r="CW4" s="105"/>
      <c r="CX4" s="105"/>
      <c r="CY4" s="105"/>
      <c r="CZ4" s="105"/>
      <c r="DA4" s="105"/>
      <c r="DB4" s="105"/>
    </row>
    <row r="5" spans="1:106" ht="12.75"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F5" s="87">
        <v>0</v>
      </c>
      <c r="AG5" s="425"/>
      <c r="AH5" s="425"/>
      <c r="AI5" s="426"/>
      <c r="AJ5" s="87">
        <v>0</v>
      </c>
      <c r="AK5" s="425"/>
      <c r="AL5" s="425"/>
      <c r="AM5" s="426"/>
      <c r="AN5" s="87">
        <v>0</v>
      </c>
      <c r="AO5" s="425"/>
      <c r="AP5" s="425"/>
      <c r="AQ5" s="426"/>
      <c r="AR5" s="87">
        <v>0</v>
      </c>
      <c r="AS5" s="425"/>
      <c r="AT5" s="425"/>
      <c r="AU5" s="426"/>
      <c r="AV5" s="87">
        <v>0</v>
      </c>
      <c r="AW5" s="425"/>
      <c r="AX5" s="425"/>
      <c r="AY5" s="426"/>
      <c r="AZ5" s="87">
        <v>0</v>
      </c>
      <c r="BA5" s="425"/>
      <c r="BB5" s="425"/>
      <c r="BC5" s="426"/>
      <c r="BD5" s="87">
        <v>0</v>
      </c>
      <c r="BE5" s="425"/>
      <c r="BF5" s="425"/>
      <c r="BG5" s="426"/>
      <c r="BH5" s="87">
        <v>0</v>
      </c>
      <c r="BI5" s="425"/>
      <c r="BJ5" s="425"/>
      <c r="BK5" s="426"/>
      <c r="BL5" s="87">
        <v>0</v>
      </c>
      <c r="BM5" s="425"/>
      <c r="BN5" s="425"/>
      <c r="BO5" s="426"/>
      <c r="BP5" s="426"/>
      <c r="BQ5" s="427"/>
      <c r="BR5" s="101"/>
      <c r="BS5" s="97"/>
      <c r="BT5" s="97"/>
      <c r="BU5" s="97"/>
      <c r="BV5" s="97"/>
      <c r="BW5" s="97"/>
      <c r="BX5" s="97"/>
      <c r="BY5" s="104"/>
      <c r="BZ5" s="104"/>
      <c r="CA5" s="104"/>
      <c r="CB5" s="104"/>
      <c r="CC5" s="104"/>
      <c r="CD5" s="105"/>
      <c r="CE5" s="105"/>
      <c r="CF5" s="105"/>
      <c r="CG5" s="105"/>
      <c r="CH5" s="105"/>
      <c r="CI5" s="105"/>
      <c r="CK5" s="101"/>
      <c r="CL5" s="97"/>
      <c r="CM5" s="97"/>
      <c r="CN5" s="97"/>
      <c r="CO5" s="97"/>
      <c r="CP5" s="97"/>
      <c r="CQ5" s="97"/>
      <c r="CR5" s="104"/>
      <c r="CS5" s="104"/>
      <c r="CT5" s="104"/>
      <c r="CU5" s="104"/>
      <c r="CV5" s="104"/>
      <c r="CW5" s="105"/>
      <c r="CX5" s="105"/>
      <c r="CY5" s="105"/>
      <c r="CZ5" s="105"/>
      <c r="DA5" s="105"/>
      <c r="DB5" s="105"/>
    </row>
    <row r="6" spans="1:106" ht="12.75"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87" t="s">
        <v>96</v>
      </c>
      <c r="AC6" s="425"/>
      <c r="AD6" s="425"/>
      <c r="AE6" s="426"/>
      <c r="AF6" s="87" t="s">
        <v>96</v>
      </c>
      <c r="AG6" s="425"/>
      <c r="AH6" s="425"/>
      <c r="AI6" s="426"/>
      <c r="AJ6" s="87" t="s">
        <v>96</v>
      </c>
      <c r="AK6" s="425"/>
      <c r="AL6" s="425"/>
      <c r="AM6" s="426"/>
      <c r="AN6" s="87" t="s">
        <v>96</v>
      </c>
      <c r="AO6" s="425"/>
      <c r="AP6" s="425"/>
      <c r="AQ6" s="426"/>
      <c r="AR6" s="87" t="s">
        <v>96</v>
      </c>
      <c r="AS6" s="425"/>
      <c r="AT6" s="425"/>
      <c r="AU6" s="426"/>
      <c r="AV6" s="87" t="s">
        <v>96</v>
      </c>
      <c r="AW6" s="425"/>
      <c r="AX6" s="425"/>
      <c r="AY6" s="426"/>
      <c r="AZ6" s="87" t="s">
        <v>96</v>
      </c>
      <c r="BA6" s="425"/>
      <c r="BB6" s="425"/>
      <c r="BC6" s="426"/>
      <c r="BD6" s="87" t="s">
        <v>96</v>
      </c>
      <c r="BE6" s="425"/>
      <c r="BF6" s="425"/>
      <c r="BG6" s="426"/>
      <c r="BH6" s="87" t="s">
        <v>96</v>
      </c>
      <c r="BI6" s="425"/>
      <c r="BJ6" s="425"/>
      <c r="BK6" s="426"/>
      <c r="BL6" s="87" t="s">
        <v>96</v>
      </c>
      <c r="BM6" s="425"/>
      <c r="BN6" s="425"/>
      <c r="BO6" s="426"/>
      <c r="BP6" s="426"/>
      <c r="BQ6" s="427"/>
      <c r="BR6" s="101"/>
      <c r="BS6" s="106"/>
      <c r="BT6" s="106"/>
      <c r="BU6" s="106"/>
      <c r="BV6" s="106"/>
      <c r="BW6" s="106"/>
      <c r="BX6" s="106"/>
      <c r="BY6" s="104"/>
      <c r="BZ6" s="104"/>
      <c r="CA6" s="428"/>
      <c r="CB6" s="428"/>
      <c r="CC6" s="107"/>
      <c r="CD6" s="105"/>
      <c r="CE6" s="105"/>
      <c r="CF6" s="105"/>
      <c r="CG6" s="105"/>
      <c r="CH6" s="105"/>
      <c r="CI6" s="105"/>
      <c r="CK6" s="101"/>
      <c r="CL6" s="106"/>
      <c r="CM6" s="106"/>
      <c r="CN6" s="106"/>
      <c r="CO6" s="106"/>
      <c r="CP6" s="106"/>
      <c r="CQ6" s="106"/>
      <c r="CR6" s="104"/>
      <c r="CS6" s="104"/>
      <c r="CT6" s="428"/>
      <c r="CU6" s="428"/>
      <c r="CV6" s="107"/>
      <c r="CW6" s="105"/>
      <c r="CX6" s="105"/>
      <c r="CY6" s="105"/>
      <c r="CZ6" s="105"/>
      <c r="DA6" s="105"/>
      <c r="DB6" s="105"/>
    </row>
    <row r="7" spans="1:106" ht="24" customHeight="1">
      <c r="A7" s="330">
        <v>262907</v>
      </c>
      <c r="B7" s="331"/>
      <c r="C7" s="88"/>
      <c r="D7" s="294" t="s">
        <v>98</v>
      </c>
      <c r="E7" s="295">
        <v>0</v>
      </c>
      <c r="F7" s="429" t="s">
        <v>431</v>
      </c>
      <c r="G7" s="430" t="s">
        <v>93</v>
      </c>
      <c r="H7" s="431" t="s">
        <v>98</v>
      </c>
      <c r="I7" s="431" t="s">
        <v>98</v>
      </c>
      <c r="J7" s="89">
        <v>0</v>
      </c>
      <c r="K7" s="430" t="s">
        <v>96</v>
      </c>
      <c r="L7" s="90">
        <f t="shared" ref="L7:L20" si="0">IF($A7=L$1,1,0)</f>
        <v>1</v>
      </c>
      <c r="M7" s="91"/>
      <c r="N7" s="92"/>
      <c r="O7" s="93"/>
      <c r="P7" s="90">
        <f t="shared" ref="P7:P20" si="1">IF($A7=P$1,1,0)</f>
        <v>0</v>
      </c>
      <c r="Q7" s="91"/>
      <c r="R7" s="92"/>
      <c r="S7" s="93"/>
      <c r="T7" s="90">
        <f t="shared" ref="T7:T20" si="2">IF($A7=T$1,1,0)</f>
        <v>0</v>
      </c>
      <c r="U7" s="91"/>
      <c r="V7" s="92"/>
      <c r="W7" s="93"/>
      <c r="X7" s="90">
        <f t="shared" ref="X7:X20" si="3">IF($A7=X$1,1,0)</f>
        <v>0</v>
      </c>
      <c r="Y7" s="91"/>
      <c r="Z7" s="92"/>
      <c r="AA7" s="93"/>
      <c r="AB7" s="90">
        <f t="shared" ref="AB7:AB20" si="4">IF($A7=AB$1,1,0)</f>
        <v>0</v>
      </c>
      <c r="AC7" s="91"/>
      <c r="AD7" s="92"/>
      <c r="AE7" s="93"/>
      <c r="AF7" s="90">
        <f t="shared" ref="AF7:AF20" si="5">IF($A7=AF$1,1,0)</f>
        <v>0</v>
      </c>
      <c r="AG7" s="91"/>
      <c r="AH7" s="92"/>
      <c r="AI7" s="93"/>
      <c r="AJ7" s="90">
        <f t="shared" ref="AJ7:AJ20" si="6">IF($A7=AJ$1,1,0)</f>
        <v>0</v>
      </c>
      <c r="AK7" s="91"/>
      <c r="AL7" s="92"/>
      <c r="AM7" s="93"/>
      <c r="AN7" s="90">
        <f t="shared" ref="AN7:AN20" si="7">IF($A7=AN$1,1,0)</f>
        <v>0</v>
      </c>
      <c r="AO7" s="91"/>
      <c r="AP7" s="92"/>
      <c r="AQ7" s="93"/>
      <c r="AR7" s="90">
        <f t="shared" ref="AR7:AR20" si="8">IF($A7=AR$1,1,0)</f>
        <v>0</v>
      </c>
      <c r="AS7" s="91"/>
      <c r="AT7" s="92"/>
      <c r="AU7" s="93"/>
      <c r="AV7" s="90">
        <f t="shared" ref="AV7:AV20" si="9">IF($A7=AV$1,1,0)</f>
        <v>0</v>
      </c>
      <c r="AW7" s="91"/>
      <c r="AX7" s="92"/>
      <c r="AY7" s="93"/>
      <c r="AZ7" s="90">
        <f t="shared" ref="AZ7:AZ20" si="10">IF($A7=AZ$1,1,0)</f>
        <v>0</v>
      </c>
      <c r="BA7" s="91"/>
      <c r="BB7" s="92"/>
      <c r="BC7" s="93"/>
      <c r="BD7" s="90">
        <f t="shared" ref="BD7:BD20" si="11">IF($A7=BD$1,1,0)</f>
        <v>0</v>
      </c>
      <c r="BE7" s="91"/>
      <c r="BF7" s="92"/>
      <c r="BG7" s="93"/>
      <c r="BH7" s="90">
        <f t="shared" ref="BH7:BH20" si="12">IF($A7=BH$1,1,0)</f>
        <v>0</v>
      </c>
      <c r="BI7" s="91"/>
      <c r="BJ7" s="92"/>
      <c r="BK7" s="93"/>
      <c r="BL7" s="90">
        <f t="shared" ref="BL7:BL20" si="13">IF($A7=BL$1,1,0)</f>
        <v>0</v>
      </c>
      <c r="BM7" s="91"/>
      <c r="BN7" s="92"/>
      <c r="BO7" s="93"/>
      <c r="BP7" s="93"/>
      <c r="BQ7" s="427"/>
      <c r="BR7" s="101"/>
      <c r="BS7" s="97"/>
      <c r="BT7" s="97"/>
      <c r="BU7" s="97"/>
      <c r="BV7" s="97"/>
      <c r="BW7" s="97"/>
      <c r="BX7" s="97"/>
      <c r="BY7" s="104"/>
      <c r="BZ7" s="104"/>
      <c r="CA7" s="104"/>
      <c r="CB7" s="104"/>
      <c r="CC7" s="104"/>
      <c r="CD7" s="104"/>
      <c r="CE7" s="104"/>
      <c r="CF7" s="104"/>
      <c r="CG7" s="104"/>
      <c r="CH7" s="104"/>
      <c r="CI7" s="104"/>
      <c r="CK7" s="101"/>
      <c r="CL7" s="97"/>
      <c r="CM7" s="97"/>
      <c r="CN7" s="97"/>
      <c r="CO7" s="97"/>
      <c r="CP7" s="97"/>
      <c r="CQ7" s="97"/>
      <c r="CR7" s="104"/>
      <c r="CS7" s="104"/>
      <c r="CT7" s="104"/>
      <c r="CU7" s="104"/>
      <c r="CV7" s="104"/>
      <c r="CW7" s="104"/>
      <c r="CX7" s="104"/>
      <c r="CY7" s="104"/>
      <c r="CZ7" s="104"/>
      <c r="DA7" s="104"/>
      <c r="DB7" s="104"/>
    </row>
    <row r="8" spans="1:106" ht="24" customHeight="1">
      <c r="A8" s="330">
        <v>262913</v>
      </c>
      <c r="B8" s="331"/>
      <c r="C8" s="88"/>
      <c r="D8" s="294" t="s">
        <v>98</v>
      </c>
      <c r="E8" s="295">
        <v>0</v>
      </c>
      <c r="F8" s="429" t="s">
        <v>432</v>
      </c>
      <c r="G8" s="430" t="s">
        <v>372</v>
      </c>
      <c r="H8" s="431" t="s">
        <v>98</v>
      </c>
      <c r="I8" s="431" t="s">
        <v>98</v>
      </c>
      <c r="J8" s="89">
        <v>0</v>
      </c>
      <c r="K8" s="430" t="s">
        <v>96</v>
      </c>
      <c r="L8" s="90">
        <f t="shared" si="0"/>
        <v>0</v>
      </c>
      <c r="M8" s="91"/>
      <c r="N8" s="92"/>
      <c r="O8" s="93"/>
      <c r="P8" s="90">
        <f t="shared" si="1"/>
        <v>1</v>
      </c>
      <c r="Q8" s="91"/>
      <c r="R8" s="92"/>
      <c r="S8" s="93"/>
      <c r="T8" s="90">
        <f t="shared" si="2"/>
        <v>0</v>
      </c>
      <c r="U8" s="91"/>
      <c r="V8" s="92"/>
      <c r="W8" s="93"/>
      <c r="X8" s="90">
        <f t="shared" si="3"/>
        <v>0</v>
      </c>
      <c r="Y8" s="91"/>
      <c r="Z8" s="92"/>
      <c r="AA8" s="93"/>
      <c r="AB8" s="90">
        <f t="shared" si="4"/>
        <v>0</v>
      </c>
      <c r="AC8" s="91"/>
      <c r="AD8" s="92"/>
      <c r="AE8" s="93"/>
      <c r="AF8" s="90">
        <f t="shared" si="5"/>
        <v>0</v>
      </c>
      <c r="AG8" s="91"/>
      <c r="AH8" s="92"/>
      <c r="AI8" s="93"/>
      <c r="AJ8" s="90">
        <f t="shared" si="6"/>
        <v>0</v>
      </c>
      <c r="AK8" s="91"/>
      <c r="AL8" s="92"/>
      <c r="AM8" s="93"/>
      <c r="AN8" s="90">
        <f t="shared" si="7"/>
        <v>0</v>
      </c>
      <c r="AO8" s="91"/>
      <c r="AP8" s="92"/>
      <c r="AQ8" s="93"/>
      <c r="AR8" s="90">
        <f t="shared" si="8"/>
        <v>0</v>
      </c>
      <c r="AS8" s="91"/>
      <c r="AT8" s="92"/>
      <c r="AU8" s="93"/>
      <c r="AV8" s="90">
        <f t="shared" si="9"/>
        <v>0</v>
      </c>
      <c r="AW8" s="91"/>
      <c r="AX8" s="92"/>
      <c r="AY8" s="93"/>
      <c r="AZ8" s="90">
        <f t="shared" si="10"/>
        <v>0</v>
      </c>
      <c r="BA8" s="91"/>
      <c r="BB8" s="92"/>
      <c r="BC8" s="93"/>
      <c r="BD8" s="90">
        <f t="shared" si="11"/>
        <v>0</v>
      </c>
      <c r="BE8" s="91"/>
      <c r="BF8" s="92"/>
      <c r="BG8" s="93"/>
      <c r="BH8" s="90">
        <f t="shared" si="12"/>
        <v>0</v>
      </c>
      <c r="BI8" s="91"/>
      <c r="BJ8" s="92"/>
      <c r="BK8" s="93"/>
      <c r="BL8" s="90">
        <f t="shared" si="13"/>
        <v>0</v>
      </c>
      <c r="BM8" s="91"/>
      <c r="BN8" s="92"/>
      <c r="BO8" s="93"/>
      <c r="BP8" s="93"/>
      <c r="BQ8" s="427"/>
      <c r="BR8" s="101"/>
      <c r="BS8" s="97"/>
      <c r="BT8" s="97"/>
      <c r="BU8" s="97"/>
      <c r="BV8" s="97"/>
      <c r="BW8" s="97"/>
      <c r="BX8" s="97"/>
      <c r="BY8" s="104"/>
      <c r="BZ8" s="104"/>
      <c r="CA8" s="104"/>
      <c r="CB8" s="104"/>
      <c r="CC8" s="104"/>
      <c r="CD8" s="104"/>
      <c r="CE8" s="104"/>
      <c r="CF8" s="104"/>
      <c r="CG8" s="104"/>
      <c r="CH8" s="104"/>
      <c r="CI8" s="104"/>
      <c r="CK8" s="101"/>
      <c r="CL8" s="97"/>
      <c r="CM8" s="97"/>
      <c r="CN8" s="97"/>
      <c r="CO8" s="97"/>
      <c r="CP8" s="97"/>
      <c r="CQ8" s="97"/>
      <c r="CR8" s="104"/>
      <c r="CS8" s="104"/>
      <c r="CT8" s="104"/>
      <c r="CU8" s="104"/>
      <c r="CV8" s="104"/>
      <c r="CW8" s="104"/>
      <c r="CX8" s="104"/>
      <c r="CY8" s="104"/>
      <c r="CZ8" s="104"/>
      <c r="DA8" s="104"/>
      <c r="DB8" s="104"/>
    </row>
    <row r="9" spans="1:106" ht="24" customHeight="1">
      <c r="A9" s="330">
        <v>262893</v>
      </c>
      <c r="B9" s="331"/>
      <c r="C9" s="88"/>
      <c r="D9" s="294" t="s">
        <v>98</v>
      </c>
      <c r="E9" s="295">
        <v>0</v>
      </c>
      <c r="F9" s="429" t="s">
        <v>433</v>
      </c>
      <c r="G9" s="430" t="s">
        <v>215</v>
      </c>
      <c r="H9" s="431" t="s">
        <v>98</v>
      </c>
      <c r="I9" s="431" t="s">
        <v>98</v>
      </c>
      <c r="J9" s="89">
        <v>0</v>
      </c>
      <c r="K9" s="430" t="s">
        <v>96</v>
      </c>
      <c r="L9" s="90">
        <f t="shared" si="0"/>
        <v>0</v>
      </c>
      <c r="M9" s="91"/>
      <c r="N9" s="92"/>
      <c r="O9" s="93"/>
      <c r="P9" s="90">
        <f t="shared" si="1"/>
        <v>0</v>
      </c>
      <c r="Q9" s="91"/>
      <c r="R9" s="92"/>
      <c r="S9" s="93"/>
      <c r="T9" s="90">
        <f t="shared" si="2"/>
        <v>1</v>
      </c>
      <c r="U9" s="91"/>
      <c r="V9" s="92"/>
      <c r="W9" s="93"/>
      <c r="X9" s="90">
        <f t="shared" si="3"/>
        <v>0</v>
      </c>
      <c r="Y9" s="91"/>
      <c r="Z9" s="92"/>
      <c r="AA9" s="93"/>
      <c r="AB9" s="90">
        <f t="shared" si="4"/>
        <v>0</v>
      </c>
      <c r="AC9" s="91"/>
      <c r="AD9" s="92"/>
      <c r="AE9" s="93"/>
      <c r="AF9" s="90">
        <f t="shared" si="5"/>
        <v>0</v>
      </c>
      <c r="AG9" s="91"/>
      <c r="AH9" s="92"/>
      <c r="AI9" s="93"/>
      <c r="AJ9" s="90">
        <f t="shared" si="6"/>
        <v>0</v>
      </c>
      <c r="AK9" s="91"/>
      <c r="AL9" s="92"/>
      <c r="AM9" s="93"/>
      <c r="AN9" s="90">
        <f t="shared" si="7"/>
        <v>0</v>
      </c>
      <c r="AO9" s="91"/>
      <c r="AP9" s="92"/>
      <c r="AQ9" s="93"/>
      <c r="AR9" s="90">
        <f t="shared" si="8"/>
        <v>0</v>
      </c>
      <c r="AS9" s="91"/>
      <c r="AT9" s="92"/>
      <c r="AU9" s="93"/>
      <c r="AV9" s="90">
        <f t="shared" si="9"/>
        <v>0</v>
      </c>
      <c r="AW9" s="91"/>
      <c r="AX9" s="92"/>
      <c r="AY9" s="93"/>
      <c r="AZ9" s="90">
        <f t="shared" si="10"/>
        <v>0</v>
      </c>
      <c r="BA9" s="91"/>
      <c r="BB9" s="92"/>
      <c r="BC9" s="93"/>
      <c r="BD9" s="90">
        <f t="shared" si="11"/>
        <v>0</v>
      </c>
      <c r="BE9" s="91"/>
      <c r="BF9" s="92"/>
      <c r="BG9" s="93"/>
      <c r="BH9" s="90">
        <f t="shared" si="12"/>
        <v>0</v>
      </c>
      <c r="BI9" s="91"/>
      <c r="BJ9" s="92"/>
      <c r="BK9" s="93"/>
      <c r="BL9" s="90">
        <f t="shared" si="13"/>
        <v>0</v>
      </c>
      <c r="BM9" s="91"/>
      <c r="BN9" s="92"/>
      <c r="BO9" s="93"/>
      <c r="BP9" s="93"/>
      <c r="BQ9" s="427"/>
      <c r="BR9" s="101"/>
      <c r="BS9" s="97"/>
      <c r="BT9" s="97"/>
      <c r="BU9" s="97"/>
      <c r="BV9" s="97"/>
      <c r="BW9" s="97"/>
      <c r="BX9" s="97"/>
      <c r="BY9" s="104"/>
      <c r="BZ9" s="104"/>
      <c r="CA9" s="104"/>
      <c r="CB9" s="104"/>
      <c r="CC9" s="104"/>
      <c r="CD9" s="104"/>
      <c r="CE9" s="104"/>
      <c r="CF9" s="104"/>
      <c r="CG9" s="104"/>
      <c r="CH9" s="104"/>
      <c r="CI9" s="104"/>
      <c r="CK9" s="101"/>
      <c r="CL9" s="97"/>
      <c r="CM9" s="97"/>
      <c r="CN9" s="97"/>
      <c r="CO9" s="97"/>
      <c r="CP9" s="97"/>
      <c r="CQ9" s="97"/>
      <c r="CR9" s="104"/>
      <c r="CS9" s="104"/>
      <c r="CT9" s="104"/>
      <c r="CU9" s="104"/>
      <c r="CV9" s="104"/>
      <c r="CW9" s="104"/>
      <c r="CX9" s="104"/>
      <c r="CY9" s="104"/>
      <c r="CZ9" s="104"/>
      <c r="DA9" s="104"/>
      <c r="DB9" s="104"/>
    </row>
    <row r="10" spans="1:106" ht="24" customHeight="1">
      <c r="A10" s="330">
        <v>262829</v>
      </c>
      <c r="B10" s="331"/>
      <c r="C10" s="88"/>
      <c r="D10" s="294" t="s">
        <v>98</v>
      </c>
      <c r="E10" s="295">
        <v>0</v>
      </c>
      <c r="F10" s="429" t="s">
        <v>434</v>
      </c>
      <c r="G10" s="430" t="s">
        <v>373</v>
      </c>
      <c r="H10" s="431" t="s">
        <v>98</v>
      </c>
      <c r="I10" s="431" t="s">
        <v>98</v>
      </c>
      <c r="J10" s="89">
        <v>0</v>
      </c>
      <c r="K10" s="430" t="s">
        <v>96</v>
      </c>
      <c r="L10" s="90">
        <f t="shared" si="0"/>
        <v>0</v>
      </c>
      <c r="M10" s="91"/>
      <c r="N10" s="92"/>
      <c r="O10" s="93"/>
      <c r="P10" s="90">
        <f t="shared" si="1"/>
        <v>0</v>
      </c>
      <c r="Q10" s="91"/>
      <c r="R10" s="92"/>
      <c r="S10" s="93"/>
      <c r="T10" s="90">
        <f t="shared" si="2"/>
        <v>0</v>
      </c>
      <c r="U10" s="91"/>
      <c r="V10" s="92"/>
      <c r="W10" s="93"/>
      <c r="X10" s="90">
        <f t="shared" si="3"/>
        <v>1</v>
      </c>
      <c r="Y10" s="91"/>
      <c r="Z10" s="92"/>
      <c r="AA10" s="93"/>
      <c r="AB10" s="90">
        <f t="shared" si="4"/>
        <v>0</v>
      </c>
      <c r="AC10" s="91"/>
      <c r="AD10" s="92"/>
      <c r="AE10" s="93"/>
      <c r="AF10" s="90">
        <f t="shared" si="5"/>
        <v>0</v>
      </c>
      <c r="AG10" s="91"/>
      <c r="AH10" s="92"/>
      <c r="AI10" s="93"/>
      <c r="AJ10" s="90">
        <f t="shared" si="6"/>
        <v>0</v>
      </c>
      <c r="AK10" s="91"/>
      <c r="AL10" s="92"/>
      <c r="AM10" s="93"/>
      <c r="AN10" s="90">
        <f t="shared" si="7"/>
        <v>0</v>
      </c>
      <c r="AO10" s="91"/>
      <c r="AP10" s="92"/>
      <c r="AQ10" s="93"/>
      <c r="AR10" s="90">
        <f t="shared" si="8"/>
        <v>0</v>
      </c>
      <c r="AS10" s="91"/>
      <c r="AT10" s="92"/>
      <c r="AU10" s="93"/>
      <c r="AV10" s="90">
        <f t="shared" si="9"/>
        <v>0</v>
      </c>
      <c r="AW10" s="91"/>
      <c r="AX10" s="92"/>
      <c r="AY10" s="93"/>
      <c r="AZ10" s="90">
        <f t="shared" si="10"/>
        <v>0</v>
      </c>
      <c r="BA10" s="91"/>
      <c r="BB10" s="92"/>
      <c r="BC10" s="93"/>
      <c r="BD10" s="90">
        <f t="shared" si="11"/>
        <v>0</v>
      </c>
      <c r="BE10" s="91"/>
      <c r="BF10" s="92"/>
      <c r="BG10" s="93"/>
      <c r="BH10" s="90">
        <f t="shared" si="12"/>
        <v>0</v>
      </c>
      <c r="BI10" s="91"/>
      <c r="BJ10" s="92"/>
      <c r="BK10" s="93"/>
      <c r="BL10" s="90">
        <f t="shared" si="13"/>
        <v>0</v>
      </c>
      <c r="BM10" s="91"/>
      <c r="BN10" s="92"/>
      <c r="BO10" s="93"/>
      <c r="BP10" s="93"/>
      <c r="BQ10" s="427"/>
      <c r="BR10" s="101"/>
      <c r="BS10" s="97"/>
      <c r="BT10" s="97"/>
      <c r="BU10" s="97"/>
      <c r="BV10" s="97"/>
      <c r="BW10" s="97"/>
      <c r="BX10" s="97"/>
      <c r="BY10" s="104"/>
      <c r="BZ10" s="104"/>
      <c r="CA10" s="104"/>
      <c r="CB10" s="104"/>
      <c r="CC10" s="104"/>
      <c r="CD10" s="104"/>
      <c r="CE10" s="104"/>
      <c r="CF10" s="104"/>
      <c r="CG10" s="104"/>
      <c r="CH10" s="104"/>
      <c r="CI10" s="104"/>
      <c r="CK10" s="101"/>
      <c r="CL10" s="97"/>
      <c r="CM10" s="97"/>
      <c r="CN10" s="97"/>
      <c r="CO10" s="97"/>
      <c r="CP10" s="97"/>
      <c r="CQ10" s="97"/>
      <c r="CR10" s="104"/>
      <c r="CS10" s="104"/>
      <c r="CT10" s="104"/>
      <c r="CU10" s="104"/>
      <c r="CV10" s="104"/>
      <c r="CW10" s="104"/>
      <c r="CX10" s="104"/>
      <c r="CY10" s="104"/>
      <c r="CZ10" s="104"/>
      <c r="DA10" s="104"/>
      <c r="DB10" s="104"/>
    </row>
    <row r="11" spans="1:106" ht="24">
      <c r="A11" s="289" t="s">
        <v>445</v>
      </c>
      <c r="B11" s="331"/>
      <c r="C11" s="88"/>
      <c r="D11" s="294" t="s">
        <v>98</v>
      </c>
      <c r="E11" s="295">
        <v>0</v>
      </c>
      <c r="F11" s="429" t="s">
        <v>435</v>
      </c>
      <c r="G11" s="430" t="s">
        <v>93</v>
      </c>
      <c r="H11" s="431" t="s">
        <v>98</v>
      </c>
      <c r="I11" s="431" t="s">
        <v>98</v>
      </c>
      <c r="J11" s="89">
        <v>0</v>
      </c>
      <c r="K11" s="430" t="s">
        <v>96</v>
      </c>
      <c r="L11" s="90">
        <f t="shared" si="0"/>
        <v>0</v>
      </c>
      <c r="M11" s="91"/>
      <c r="N11" s="92"/>
      <c r="O11" s="93"/>
      <c r="P11" s="90">
        <f t="shared" si="1"/>
        <v>0</v>
      </c>
      <c r="Q11" s="91"/>
      <c r="R11" s="92"/>
      <c r="S11" s="93"/>
      <c r="T11" s="90">
        <f t="shared" si="2"/>
        <v>0</v>
      </c>
      <c r="U11" s="91"/>
      <c r="V11" s="92"/>
      <c r="W11" s="93"/>
      <c r="X11" s="90">
        <f t="shared" si="3"/>
        <v>0</v>
      </c>
      <c r="Y11" s="91"/>
      <c r="Z11" s="92"/>
      <c r="AA11" s="93"/>
      <c r="AB11" s="90">
        <f t="shared" si="4"/>
        <v>0</v>
      </c>
      <c r="AC11" s="91"/>
      <c r="AD11" s="92"/>
      <c r="AE11" s="93"/>
      <c r="AF11" s="90">
        <f t="shared" si="5"/>
        <v>0</v>
      </c>
      <c r="AG11" s="91"/>
      <c r="AH11" s="92"/>
      <c r="AI11" s="93"/>
      <c r="AJ11" s="90">
        <f t="shared" si="6"/>
        <v>0</v>
      </c>
      <c r="AK11" s="91"/>
      <c r="AL11" s="92"/>
      <c r="AM11" s="93"/>
      <c r="AN11" s="90">
        <f t="shared" si="7"/>
        <v>0</v>
      </c>
      <c r="AO11" s="91"/>
      <c r="AP11" s="92"/>
      <c r="AQ11" s="93"/>
      <c r="AR11" s="90">
        <f t="shared" si="8"/>
        <v>0</v>
      </c>
      <c r="AS11" s="91"/>
      <c r="AT11" s="92"/>
      <c r="AU11" s="93"/>
      <c r="AV11" s="90">
        <f t="shared" si="9"/>
        <v>0</v>
      </c>
      <c r="AW11" s="91"/>
      <c r="AX11" s="92"/>
      <c r="AY11" s="93"/>
      <c r="AZ11" s="90">
        <f t="shared" si="10"/>
        <v>0</v>
      </c>
      <c r="BA11" s="91"/>
      <c r="BB11" s="92"/>
      <c r="BC11" s="93"/>
      <c r="BD11" s="90">
        <f t="shared" si="11"/>
        <v>0</v>
      </c>
      <c r="BE11" s="91"/>
      <c r="BF11" s="92"/>
      <c r="BG11" s="93"/>
      <c r="BH11" s="90">
        <f t="shared" si="12"/>
        <v>0</v>
      </c>
      <c r="BI11" s="91"/>
      <c r="BJ11" s="92"/>
      <c r="BK11" s="93"/>
      <c r="BL11" s="90">
        <f t="shared" si="13"/>
        <v>0</v>
      </c>
      <c r="BM11" s="91"/>
      <c r="BN11" s="92"/>
      <c r="BO11" s="93"/>
      <c r="BP11" s="93"/>
      <c r="BQ11" s="427"/>
      <c r="BR11" s="101"/>
      <c r="BS11" s="97"/>
      <c r="BT11" s="97"/>
      <c r="BU11" s="97"/>
      <c r="BV11" s="97"/>
      <c r="BW11" s="97"/>
      <c r="BX11" s="97"/>
      <c r="BY11" s="104"/>
      <c r="BZ11" s="104"/>
      <c r="CA11" s="104"/>
      <c r="CB11" s="104"/>
      <c r="CC11" s="104"/>
      <c r="CD11" s="104"/>
      <c r="CE11" s="104"/>
      <c r="CF11" s="104"/>
      <c r="CG11" s="104"/>
      <c r="CH11" s="104"/>
      <c r="CI11" s="104"/>
      <c r="CK11" s="101"/>
      <c r="CL11" s="97"/>
      <c r="CM11" s="97"/>
      <c r="CN11" s="97"/>
      <c r="CO11" s="97"/>
      <c r="CP11" s="97"/>
      <c r="CQ11" s="97"/>
      <c r="CR11" s="104"/>
      <c r="CS11" s="104"/>
      <c r="CT11" s="104"/>
      <c r="CU11" s="104"/>
      <c r="CV11" s="104"/>
      <c r="CW11" s="104"/>
      <c r="CX11" s="104"/>
      <c r="CY11" s="104"/>
      <c r="CZ11" s="104"/>
      <c r="DA11" s="104"/>
      <c r="DB11" s="104"/>
    </row>
    <row r="12" spans="1:106" ht="24">
      <c r="A12" s="330" t="s">
        <v>446</v>
      </c>
      <c r="B12" s="331"/>
      <c r="C12" s="88"/>
      <c r="D12" s="294" t="s">
        <v>98</v>
      </c>
      <c r="E12" s="295">
        <v>0</v>
      </c>
      <c r="F12" s="429" t="s">
        <v>436</v>
      </c>
      <c r="G12" s="430" t="s">
        <v>372</v>
      </c>
      <c r="H12" s="431" t="s">
        <v>98</v>
      </c>
      <c r="I12" s="431" t="s">
        <v>98</v>
      </c>
      <c r="J12" s="89">
        <v>0</v>
      </c>
      <c r="K12" s="430" t="s">
        <v>96</v>
      </c>
      <c r="L12" s="90">
        <f t="shared" si="0"/>
        <v>0</v>
      </c>
      <c r="M12" s="91"/>
      <c r="N12" s="92"/>
      <c r="O12" s="93"/>
      <c r="P12" s="90">
        <f t="shared" si="1"/>
        <v>0</v>
      </c>
      <c r="Q12" s="91"/>
      <c r="R12" s="92"/>
      <c r="S12" s="93"/>
      <c r="T12" s="90">
        <f t="shared" si="2"/>
        <v>0</v>
      </c>
      <c r="U12" s="91"/>
      <c r="V12" s="92"/>
      <c r="W12" s="93"/>
      <c r="X12" s="90">
        <f t="shared" si="3"/>
        <v>0</v>
      </c>
      <c r="Y12" s="91"/>
      <c r="Z12" s="92"/>
      <c r="AA12" s="93"/>
      <c r="AB12" s="90">
        <f t="shared" si="4"/>
        <v>0</v>
      </c>
      <c r="AC12" s="91"/>
      <c r="AD12" s="92"/>
      <c r="AE12" s="93"/>
      <c r="AF12" s="90">
        <f t="shared" si="5"/>
        <v>1</v>
      </c>
      <c r="AG12" s="91"/>
      <c r="AH12" s="92"/>
      <c r="AI12" s="93"/>
      <c r="AJ12" s="90">
        <f t="shared" si="6"/>
        <v>0</v>
      </c>
      <c r="AK12" s="91"/>
      <c r="AL12" s="92"/>
      <c r="AM12" s="93"/>
      <c r="AN12" s="90">
        <f t="shared" si="7"/>
        <v>0</v>
      </c>
      <c r="AO12" s="91"/>
      <c r="AP12" s="92"/>
      <c r="AQ12" s="93"/>
      <c r="AR12" s="90">
        <f t="shared" si="8"/>
        <v>0</v>
      </c>
      <c r="AS12" s="91"/>
      <c r="AT12" s="92"/>
      <c r="AU12" s="93"/>
      <c r="AV12" s="90">
        <f t="shared" si="9"/>
        <v>0</v>
      </c>
      <c r="AW12" s="91"/>
      <c r="AX12" s="92"/>
      <c r="AY12" s="93"/>
      <c r="AZ12" s="90">
        <f t="shared" si="10"/>
        <v>0</v>
      </c>
      <c r="BA12" s="91"/>
      <c r="BB12" s="92"/>
      <c r="BC12" s="93"/>
      <c r="BD12" s="90">
        <f t="shared" si="11"/>
        <v>0</v>
      </c>
      <c r="BE12" s="91"/>
      <c r="BF12" s="92"/>
      <c r="BG12" s="93"/>
      <c r="BH12" s="90">
        <f t="shared" si="12"/>
        <v>0</v>
      </c>
      <c r="BI12" s="91"/>
      <c r="BJ12" s="92"/>
      <c r="BK12" s="93"/>
      <c r="BL12" s="90">
        <f t="shared" si="13"/>
        <v>0</v>
      </c>
      <c r="BM12" s="91"/>
      <c r="BN12" s="92"/>
      <c r="BO12" s="93"/>
      <c r="BP12" s="93"/>
      <c r="BQ12" s="427"/>
      <c r="BR12" s="101"/>
      <c r="BS12" s="97"/>
      <c r="BT12" s="97"/>
      <c r="BU12" s="97"/>
      <c r="BV12" s="97"/>
      <c r="BW12" s="97"/>
      <c r="BX12" s="97"/>
      <c r="BY12" s="104"/>
      <c r="BZ12" s="104"/>
      <c r="CA12" s="104"/>
      <c r="CB12" s="104"/>
      <c r="CC12" s="104"/>
      <c r="CD12" s="104"/>
      <c r="CE12" s="104"/>
      <c r="CF12" s="104"/>
      <c r="CG12" s="104"/>
      <c r="CH12" s="104"/>
      <c r="CI12" s="104"/>
      <c r="CK12" s="101"/>
      <c r="CL12" s="97"/>
      <c r="CM12" s="97"/>
      <c r="CN12" s="97"/>
      <c r="CO12" s="97"/>
      <c r="CP12" s="97"/>
      <c r="CQ12" s="97"/>
      <c r="CR12" s="104"/>
      <c r="CS12" s="104"/>
      <c r="CT12" s="104"/>
      <c r="CU12" s="104"/>
      <c r="CV12" s="104"/>
      <c r="CW12" s="104"/>
      <c r="CX12" s="104"/>
      <c r="CY12" s="104"/>
      <c r="CZ12" s="104"/>
      <c r="DA12" s="104"/>
      <c r="DB12" s="104"/>
    </row>
    <row r="13" spans="1:106" ht="24">
      <c r="A13" s="330" t="s">
        <v>447</v>
      </c>
      <c r="B13" s="331"/>
      <c r="C13" s="88"/>
      <c r="D13" s="294" t="s">
        <v>98</v>
      </c>
      <c r="E13" s="295">
        <v>0</v>
      </c>
      <c r="F13" s="429" t="s">
        <v>437</v>
      </c>
      <c r="G13" s="430" t="s">
        <v>215</v>
      </c>
      <c r="H13" s="431" t="s">
        <v>98</v>
      </c>
      <c r="I13" s="431" t="s">
        <v>98</v>
      </c>
      <c r="J13" s="89">
        <v>0</v>
      </c>
      <c r="K13" s="430" t="s">
        <v>96</v>
      </c>
      <c r="L13" s="90">
        <f t="shared" si="0"/>
        <v>0</v>
      </c>
      <c r="M13" s="91"/>
      <c r="N13" s="92"/>
      <c r="O13" s="93"/>
      <c r="P13" s="90">
        <f t="shared" si="1"/>
        <v>0</v>
      </c>
      <c r="Q13" s="91"/>
      <c r="R13" s="92"/>
      <c r="S13" s="93"/>
      <c r="T13" s="90">
        <f t="shared" si="2"/>
        <v>0</v>
      </c>
      <c r="U13" s="91"/>
      <c r="V13" s="92"/>
      <c r="W13" s="93"/>
      <c r="X13" s="90">
        <f t="shared" si="3"/>
        <v>0</v>
      </c>
      <c r="Y13" s="91"/>
      <c r="Z13" s="92"/>
      <c r="AA13" s="93"/>
      <c r="AB13" s="90">
        <f t="shared" si="4"/>
        <v>0</v>
      </c>
      <c r="AC13" s="91"/>
      <c r="AD13" s="92"/>
      <c r="AE13" s="93"/>
      <c r="AF13" s="90">
        <f t="shared" si="5"/>
        <v>0</v>
      </c>
      <c r="AG13" s="91"/>
      <c r="AH13" s="92"/>
      <c r="AI13" s="93"/>
      <c r="AJ13" s="90">
        <f t="shared" si="6"/>
        <v>1</v>
      </c>
      <c r="AK13" s="91"/>
      <c r="AL13" s="92"/>
      <c r="AM13" s="93"/>
      <c r="AN13" s="90">
        <f t="shared" si="7"/>
        <v>0</v>
      </c>
      <c r="AO13" s="91"/>
      <c r="AP13" s="92"/>
      <c r="AQ13" s="93"/>
      <c r="AR13" s="90">
        <f t="shared" si="8"/>
        <v>0</v>
      </c>
      <c r="AS13" s="91"/>
      <c r="AT13" s="92"/>
      <c r="AU13" s="93"/>
      <c r="AV13" s="90">
        <f t="shared" si="9"/>
        <v>0</v>
      </c>
      <c r="AW13" s="91"/>
      <c r="AX13" s="92"/>
      <c r="AY13" s="93"/>
      <c r="AZ13" s="90">
        <f t="shared" si="10"/>
        <v>0</v>
      </c>
      <c r="BA13" s="91"/>
      <c r="BB13" s="92"/>
      <c r="BC13" s="93"/>
      <c r="BD13" s="90">
        <f t="shared" si="11"/>
        <v>0</v>
      </c>
      <c r="BE13" s="91"/>
      <c r="BF13" s="92"/>
      <c r="BG13" s="93"/>
      <c r="BH13" s="90">
        <f t="shared" si="12"/>
        <v>0</v>
      </c>
      <c r="BI13" s="91"/>
      <c r="BJ13" s="92"/>
      <c r="BK13" s="93"/>
      <c r="BL13" s="90">
        <f t="shared" si="13"/>
        <v>0</v>
      </c>
      <c r="BM13" s="91"/>
      <c r="BN13" s="92"/>
      <c r="BO13" s="93"/>
      <c r="BP13" s="93"/>
      <c r="BQ13" s="427"/>
      <c r="BR13" s="101"/>
      <c r="BS13" s="97"/>
      <c r="BT13" s="97"/>
      <c r="BU13" s="97"/>
      <c r="BV13" s="97"/>
      <c r="BW13" s="97"/>
      <c r="BX13" s="97"/>
      <c r="BY13" s="104"/>
      <c r="BZ13" s="104"/>
      <c r="CA13" s="104"/>
      <c r="CB13" s="104"/>
      <c r="CC13" s="104"/>
      <c r="CD13" s="104"/>
      <c r="CE13" s="104"/>
      <c r="CF13" s="104"/>
      <c r="CG13" s="104"/>
      <c r="CH13" s="104"/>
      <c r="CI13" s="104"/>
      <c r="CK13" s="101"/>
      <c r="CL13" s="97"/>
      <c r="CM13" s="97"/>
      <c r="CN13" s="97"/>
      <c r="CO13" s="97"/>
      <c r="CP13" s="97"/>
      <c r="CQ13" s="97"/>
      <c r="CR13" s="104"/>
      <c r="CS13" s="104"/>
      <c r="CT13" s="104"/>
      <c r="CU13" s="104"/>
      <c r="CV13" s="104"/>
      <c r="CW13" s="104"/>
      <c r="CX13" s="104"/>
      <c r="CY13" s="104"/>
      <c r="CZ13" s="104"/>
      <c r="DA13" s="104"/>
      <c r="DB13" s="104"/>
    </row>
    <row r="14" spans="1:106" ht="24">
      <c r="A14" s="330" t="s">
        <v>448</v>
      </c>
      <c r="B14" s="331"/>
      <c r="C14" s="88"/>
      <c r="D14" s="294" t="s">
        <v>98</v>
      </c>
      <c r="E14" s="295">
        <v>0</v>
      </c>
      <c r="F14" s="429" t="s">
        <v>438</v>
      </c>
      <c r="G14" s="430" t="s">
        <v>373</v>
      </c>
      <c r="H14" s="431" t="s">
        <v>98</v>
      </c>
      <c r="I14" s="431" t="s">
        <v>98</v>
      </c>
      <c r="J14" s="89">
        <v>0</v>
      </c>
      <c r="K14" s="430" t="s">
        <v>96</v>
      </c>
      <c r="L14" s="90">
        <f t="shared" si="0"/>
        <v>0</v>
      </c>
      <c r="M14" s="91"/>
      <c r="N14" s="92"/>
      <c r="O14" s="93"/>
      <c r="P14" s="90">
        <f t="shared" si="1"/>
        <v>0</v>
      </c>
      <c r="Q14" s="91"/>
      <c r="R14" s="92"/>
      <c r="S14" s="93"/>
      <c r="T14" s="90">
        <f t="shared" si="2"/>
        <v>0</v>
      </c>
      <c r="U14" s="91"/>
      <c r="V14" s="92"/>
      <c r="W14" s="93"/>
      <c r="X14" s="90">
        <f t="shared" si="3"/>
        <v>0</v>
      </c>
      <c r="Y14" s="91"/>
      <c r="Z14" s="92"/>
      <c r="AA14" s="93"/>
      <c r="AB14" s="90">
        <f t="shared" si="4"/>
        <v>0</v>
      </c>
      <c r="AC14" s="91"/>
      <c r="AD14" s="92"/>
      <c r="AE14" s="93"/>
      <c r="AF14" s="90">
        <f t="shared" si="5"/>
        <v>0</v>
      </c>
      <c r="AG14" s="91"/>
      <c r="AH14" s="92"/>
      <c r="AI14" s="93"/>
      <c r="AJ14" s="90">
        <f t="shared" si="6"/>
        <v>0</v>
      </c>
      <c r="AK14" s="91"/>
      <c r="AL14" s="92"/>
      <c r="AM14" s="93"/>
      <c r="AN14" s="90">
        <f t="shared" si="7"/>
        <v>1</v>
      </c>
      <c r="AO14" s="91"/>
      <c r="AP14" s="92"/>
      <c r="AQ14" s="93"/>
      <c r="AR14" s="90">
        <f t="shared" si="8"/>
        <v>0</v>
      </c>
      <c r="AS14" s="91"/>
      <c r="AT14" s="92"/>
      <c r="AU14" s="93"/>
      <c r="AV14" s="90">
        <f t="shared" si="9"/>
        <v>0</v>
      </c>
      <c r="AW14" s="91"/>
      <c r="AX14" s="92"/>
      <c r="AY14" s="93"/>
      <c r="AZ14" s="90">
        <f t="shared" si="10"/>
        <v>0</v>
      </c>
      <c r="BA14" s="91"/>
      <c r="BB14" s="92"/>
      <c r="BC14" s="93"/>
      <c r="BD14" s="90">
        <f t="shared" si="11"/>
        <v>0</v>
      </c>
      <c r="BE14" s="91"/>
      <c r="BF14" s="92"/>
      <c r="BG14" s="93"/>
      <c r="BH14" s="90">
        <f t="shared" si="12"/>
        <v>0</v>
      </c>
      <c r="BI14" s="91"/>
      <c r="BJ14" s="92"/>
      <c r="BK14" s="93"/>
      <c r="BL14" s="90">
        <f t="shared" si="13"/>
        <v>0</v>
      </c>
      <c r="BM14" s="91"/>
      <c r="BN14" s="92"/>
      <c r="BO14" s="93"/>
      <c r="BP14" s="93"/>
      <c r="BQ14" s="427"/>
      <c r="BR14" s="101"/>
      <c r="BS14" s="97"/>
      <c r="BT14" s="97"/>
      <c r="BU14" s="97"/>
      <c r="BV14" s="97"/>
      <c r="BW14" s="97"/>
      <c r="BX14" s="97"/>
      <c r="BY14" s="104"/>
      <c r="BZ14" s="104"/>
      <c r="CA14" s="104"/>
      <c r="CB14" s="104"/>
      <c r="CC14" s="104"/>
      <c r="CD14" s="104"/>
      <c r="CE14" s="104"/>
      <c r="CF14" s="104"/>
      <c r="CG14" s="104"/>
      <c r="CH14" s="104"/>
      <c r="CI14" s="104"/>
      <c r="CK14" s="101"/>
      <c r="CL14" s="97"/>
      <c r="CM14" s="97"/>
      <c r="CN14" s="97"/>
      <c r="CO14" s="97"/>
      <c r="CP14" s="97"/>
      <c r="CQ14" s="97"/>
      <c r="CR14" s="104"/>
      <c r="CS14" s="104"/>
      <c r="CT14" s="104"/>
      <c r="CU14" s="104"/>
      <c r="CV14" s="104"/>
      <c r="CW14" s="104"/>
      <c r="CX14" s="104"/>
      <c r="CY14" s="104"/>
      <c r="CZ14" s="104"/>
      <c r="DA14" s="104"/>
      <c r="DB14" s="104"/>
    </row>
    <row r="15" spans="1:106" ht="24">
      <c r="A15" s="330" t="s">
        <v>449</v>
      </c>
      <c r="B15" s="331"/>
      <c r="C15" s="88"/>
      <c r="D15" s="294" t="s">
        <v>98</v>
      </c>
      <c r="E15" s="295">
        <v>0</v>
      </c>
      <c r="F15" s="429" t="s">
        <v>439</v>
      </c>
      <c r="G15" s="430" t="s">
        <v>93</v>
      </c>
      <c r="H15" s="431" t="s">
        <v>98</v>
      </c>
      <c r="I15" s="431" t="s">
        <v>98</v>
      </c>
      <c r="J15" s="89">
        <v>0</v>
      </c>
      <c r="K15" s="430" t="s">
        <v>96</v>
      </c>
      <c r="L15" s="90">
        <f t="shared" si="0"/>
        <v>0</v>
      </c>
      <c r="M15" s="91"/>
      <c r="N15" s="92"/>
      <c r="O15" s="93"/>
      <c r="P15" s="90">
        <f t="shared" si="1"/>
        <v>0</v>
      </c>
      <c r="Q15" s="91"/>
      <c r="R15" s="92"/>
      <c r="S15" s="93"/>
      <c r="T15" s="90">
        <f t="shared" si="2"/>
        <v>0</v>
      </c>
      <c r="U15" s="91"/>
      <c r="V15" s="92"/>
      <c r="W15" s="93"/>
      <c r="X15" s="90">
        <f t="shared" si="3"/>
        <v>0</v>
      </c>
      <c r="Y15" s="91"/>
      <c r="Z15" s="92"/>
      <c r="AA15" s="93"/>
      <c r="AB15" s="90">
        <f t="shared" si="4"/>
        <v>0</v>
      </c>
      <c r="AC15" s="91"/>
      <c r="AD15" s="92"/>
      <c r="AE15" s="93"/>
      <c r="AF15" s="90">
        <f t="shared" si="5"/>
        <v>0</v>
      </c>
      <c r="AG15" s="91"/>
      <c r="AH15" s="92"/>
      <c r="AI15" s="93"/>
      <c r="AJ15" s="90">
        <f t="shared" si="6"/>
        <v>0</v>
      </c>
      <c r="AK15" s="91"/>
      <c r="AL15" s="92"/>
      <c r="AM15" s="93"/>
      <c r="AN15" s="90">
        <f t="shared" si="7"/>
        <v>0</v>
      </c>
      <c r="AO15" s="91"/>
      <c r="AP15" s="92"/>
      <c r="AQ15" s="93"/>
      <c r="AR15" s="90">
        <f t="shared" si="8"/>
        <v>1</v>
      </c>
      <c r="AS15" s="91"/>
      <c r="AT15" s="92"/>
      <c r="AU15" s="93"/>
      <c r="AV15" s="90">
        <f t="shared" si="9"/>
        <v>0</v>
      </c>
      <c r="AW15" s="91"/>
      <c r="AX15" s="92"/>
      <c r="AY15" s="93"/>
      <c r="AZ15" s="90">
        <f t="shared" si="10"/>
        <v>0</v>
      </c>
      <c r="BA15" s="91"/>
      <c r="BB15" s="92"/>
      <c r="BC15" s="93"/>
      <c r="BD15" s="90">
        <f t="shared" si="11"/>
        <v>0</v>
      </c>
      <c r="BE15" s="91"/>
      <c r="BF15" s="92"/>
      <c r="BG15" s="93"/>
      <c r="BH15" s="90">
        <f t="shared" si="12"/>
        <v>0</v>
      </c>
      <c r="BI15" s="91"/>
      <c r="BJ15" s="92"/>
      <c r="BK15" s="93"/>
      <c r="BL15" s="90">
        <f t="shared" si="13"/>
        <v>0</v>
      </c>
      <c r="BM15" s="91"/>
      <c r="BN15" s="92"/>
      <c r="BO15" s="93"/>
      <c r="BP15" s="93"/>
      <c r="BQ15" s="427"/>
      <c r="BR15" s="101"/>
      <c r="BS15" s="97"/>
      <c r="BT15" s="97"/>
      <c r="BU15" s="97"/>
      <c r="BV15" s="97"/>
      <c r="BW15" s="97"/>
      <c r="BX15" s="97"/>
      <c r="BY15" s="104"/>
      <c r="BZ15" s="104"/>
      <c r="CA15" s="104"/>
      <c r="CB15" s="104"/>
      <c r="CC15" s="104"/>
      <c r="CD15" s="104"/>
      <c r="CE15" s="104"/>
      <c r="CF15" s="104"/>
      <c r="CG15" s="104"/>
      <c r="CH15" s="104"/>
      <c r="CI15" s="104"/>
      <c r="CK15" s="101"/>
      <c r="CL15" s="97"/>
      <c r="CM15" s="97"/>
      <c r="CN15" s="97"/>
      <c r="CO15" s="97"/>
      <c r="CP15" s="97"/>
      <c r="CQ15" s="97"/>
      <c r="CR15" s="104"/>
      <c r="CS15" s="104"/>
      <c r="CT15" s="104"/>
      <c r="CU15" s="104"/>
      <c r="CV15" s="104"/>
      <c r="CW15" s="104"/>
      <c r="CX15" s="104"/>
      <c r="CY15" s="104"/>
      <c r="CZ15" s="104"/>
      <c r="DA15" s="104"/>
      <c r="DB15" s="104"/>
    </row>
    <row r="16" spans="1:106" ht="24">
      <c r="A16" s="330" t="s">
        <v>450</v>
      </c>
      <c r="B16" s="331"/>
      <c r="C16" s="88"/>
      <c r="D16" s="294" t="s">
        <v>98</v>
      </c>
      <c r="E16" s="295">
        <v>0</v>
      </c>
      <c r="F16" s="429" t="s">
        <v>440</v>
      </c>
      <c r="G16" s="430" t="s">
        <v>372</v>
      </c>
      <c r="H16" s="431" t="s">
        <v>98</v>
      </c>
      <c r="I16" s="431" t="s">
        <v>98</v>
      </c>
      <c r="J16" s="89">
        <v>0</v>
      </c>
      <c r="K16" s="430" t="s">
        <v>96</v>
      </c>
      <c r="L16" s="90">
        <f t="shared" si="0"/>
        <v>0</v>
      </c>
      <c r="M16" s="91"/>
      <c r="N16" s="92"/>
      <c r="O16" s="93"/>
      <c r="P16" s="90">
        <f t="shared" si="1"/>
        <v>0</v>
      </c>
      <c r="Q16" s="91"/>
      <c r="R16" s="92"/>
      <c r="S16" s="93"/>
      <c r="T16" s="90">
        <f t="shared" si="2"/>
        <v>0</v>
      </c>
      <c r="U16" s="91"/>
      <c r="V16" s="92"/>
      <c r="W16" s="93"/>
      <c r="X16" s="90">
        <f t="shared" si="3"/>
        <v>0</v>
      </c>
      <c r="Y16" s="91"/>
      <c r="Z16" s="92"/>
      <c r="AA16" s="93"/>
      <c r="AB16" s="90">
        <f t="shared" si="4"/>
        <v>0</v>
      </c>
      <c r="AC16" s="91"/>
      <c r="AD16" s="92"/>
      <c r="AE16" s="93"/>
      <c r="AF16" s="90">
        <f t="shared" si="5"/>
        <v>0</v>
      </c>
      <c r="AG16" s="91"/>
      <c r="AH16" s="92"/>
      <c r="AI16" s="93"/>
      <c r="AJ16" s="90">
        <f t="shared" si="6"/>
        <v>0</v>
      </c>
      <c r="AK16" s="91"/>
      <c r="AL16" s="92"/>
      <c r="AM16" s="93"/>
      <c r="AN16" s="90">
        <f t="shared" si="7"/>
        <v>0</v>
      </c>
      <c r="AO16" s="91"/>
      <c r="AP16" s="92"/>
      <c r="AQ16" s="93"/>
      <c r="AR16" s="90">
        <f t="shared" si="8"/>
        <v>0</v>
      </c>
      <c r="AS16" s="91"/>
      <c r="AT16" s="92"/>
      <c r="AU16" s="93"/>
      <c r="AV16" s="90">
        <f t="shared" si="9"/>
        <v>1</v>
      </c>
      <c r="AW16" s="91"/>
      <c r="AX16" s="92"/>
      <c r="AY16" s="93"/>
      <c r="AZ16" s="90">
        <f t="shared" si="10"/>
        <v>0</v>
      </c>
      <c r="BA16" s="91"/>
      <c r="BB16" s="92"/>
      <c r="BC16" s="93"/>
      <c r="BD16" s="90">
        <f t="shared" si="11"/>
        <v>0</v>
      </c>
      <c r="BE16" s="91"/>
      <c r="BF16" s="92"/>
      <c r="BG16" s="93"/>
      <c r="BH16" s="90">
        <f t="shared" si="12"/>
        <v>0</v>
      </c>
      <c r="BI16" s="91"/>
      <c r="BJ16" s="92"/>
      <c r="BK16" s="93"/>
      <c r="BL16" s="90">
        <f t="shared" si="13"/>
        <v>0</v>
      </c>
      <c r="BM16" s="91"/>
      <c r="BN16" s="92"/>
      <c r="BO16" s="93"/>
      <c r="BP16" s="93"/>
      <c r="BQ16" s="427"/>
      <c r="BR16" s="101"/>
      <c r="BS16" s="97"/>
      <c r="BT16" s="97"/>
      <c r="BU16" s="97"/>
      <c r="BV16" s="97"/>
      <c r="BW16" s="97"/>
      <c r="BX16" s="97"/>
      <c r="BY16" s="104"/>
      <c r="BZ16" s="104"/>
      <c r="CA16" s="104"/>
      <c r="CB16" s="104"/>
      <c r="CC16" s="104"/>
      <c r="CD16" s="104"/>
      <c r="CE16" s="104"/>
      <c r="CF16" s="104"/>
      <c r="CG16" s="104"/>
      <c r="CH16" s="104"/>
      <c r="CI16" s="104"/>
      <c r="CK16" s="101"/>
      <c r="CL16" s="97"/>
      <c r="CM16" s="97"/>
      <c r="CN16" s="97"/>
      <c r="CO16" s="97"/>
      <c r="CP16" s="97"/>
      <c r="CQ16" s="97"/>
      <c r="CR16" s="104"/>
      <c r="CS16" s="104"/>
      <c r="CT16" s="104"/>
      <c r="CU16" s="104"/>
      <c r="CV16" s="104"/>
      <c r="CW16" s="104"/>
      <c r="CX16" s="104"/>
      <c r="CY16" s="104"/>
      <c r="CZ16" s="104"/>
      <c r="DA16" s="104"/>
      <c r="DB16" s="104"/>
    </row>
    <row r="17" spans="1:106" ht="24">
      <c r="A17" s="330" t="s">
        <v>451</v>
      </c>
      <c r="B17" s="331"/>
      <c r="C17" s="88"/>
      <c r="D17" s="294" t="s">
        <v>98</v>
      </c>
      <c r="E17" s="295">
        <v>0</v>
      </c>
      <c r="F17" s="429" t="s">
        <v>441</v>
      </c>
      <c r="G17" s="430" t="s">
        <v>215</v>
      </c>
      <c r="H17" s="431" t="s">
        <v>98</v>
      </c>
      <c r="I17" s="431" t="s">
        <v>98</v>
      </c>
      <c r="J17" s="89">
        <v>0</v>
      </c>
      <c r="K17" s="430" t="s">
        <v>96</v>
      </c>
      <c r="L17" s="90">
        <f t="shared" si="0"/>
        <v>0</v>
      </c>
      <c r="M17" s="91"/>
      <c r="N17" s="92"/>
      <c r="O17" s="93"/>
      <c r="P17" s="90">
        <f t="shared" si="1"/>
        <v>0</v>
      </c>
      <c r="Q17" s="91"/>
      <c r="R17" s="92"/>
      <c r="S17" s="93"/>
      <c r="T17" s="90">
        <f t="shared" si="2"/>
        <v>0</v>
      </c>
      <c r="U17" s="91"/>
      <c r="V17" s="92"/>
      <c r="W17" s="93"/>
      <c r="X17" s="90">
        <f t="shared" si="3"/>
        <v>0</v>
      </c>
      <c r="Y17" s="91"/>
      <c r="Z17" s="92"/>
      <c r="AA17" s="93"/>
      <c r="AB17" s="90">
        <f t="shared" si="4"/>
        <v>0</v>
      </c>
      <c r="AC17" s="91"/>
      <c r="AD17" s="92"/>
      <c r="AE17" s="93"/>
      <c r="AF17" s="90">
        <f t="shared" si="5"/>
        <v>0</v>
      </c>
      <c r="AG17" s="91"/>
      <c r="AH17" s="92"/>
      <c r="AI17" s="93"/>
      <c r="AJ17" s="90">
        <f t="shared" si="6"/>
        <v>0</v>
      </c>
      <c r="AK17" s="91"/>
      <c r="AL17" s="92"/>
      <c r="AM17" s="93"/>
      <c r="AN17" s="90">
        <f t="shared" si="7"/>
        <v>0</v>
      </c>
      <c r="AO17" s="91"/>
      <c r="AP17" s="92"/>
      <c r="AQ17" s="93"/>
      <c r="AR17" s="90">
        <f t="shared" si="8"/>
        <v>0</v>
      </c>
      <c r="AS17" s="91"/>
      <c r="AT17" s="92"/>
      <c r="AU17" s="93"/>
      <c r="AV17" s="90">
        <f t="shared" si="9"/>
        <v>0</v>
      </c>
      <c r="AW17" s="91"/>
      <c r="AX17" s="92"/>
      <c r="AY17" s="93"/>
      <c r="AZ17" s="90">
        <f t="shared" si="10"/>
        <v>1</v>
      </c>
      <c r="BA17" s="91"/>
      <c r="BB17" s="92"/>
      <c r="BC17" s="93"/>
      <c r="BD17" s="90">
        <f t="shared" si="11"/>
        <v>0</v>
      </c>
      <c r="BE17" s="91"/>
      <c r="BF17" s="92"/>
      <c r="BG17" s="93"/>
      <c r="BH17" s="90">
        <f t="shared" si="12"/>
        <v>0</v>
      </c>
      <c r="BI17" s="91"/>
      <c r="BJ17" s="92"/>
      <c r="BK17" s="93"/>
      <c r="BL17" s="90">
        <f t="shared" si="13"/>
        <v>0</v>
      </c>
      <c r="BM17" s="91"/>
      <c r="BN17" s="92"/>
      <c r="BO17" s="93"/>
      <c r="BP17" s="93"/>
      <c r="BQ17" s="427"/>
      <c r="BR17" s="101"/>
      <c r="BS17" s="97"/>
      <c r="BT17" s="97"/>
      <c r="BU17" s="97"/>
      <c r="BV17" s="97"/>
      <c r="BW17" s="97"/>
      <c r="BX17" s="97"/>
      <c r="BY17" s="104"/>
      <c r="BZ17" s="104"/>
      <c r="CA17" s="104"/>
      <c r="CB17" s="104"/>
      <c r="CC17" s="104"/>
      <c r="CD17" s="104"/>
      <c r="CE17" s="104"/>
      <c r="CF17" s="104"/>
      <c r="CG17" s="104"/>
      <c r="CH17" s="104"/>
      <c r="CI17" s="104"/>
      <c r="CK17" s="101"/>
      <c r="CL17" s="97"/>
      <c r="CM17" s="97"/>
      <c r="CN17" s="97"/>
      <c r="CO17" s="97"/>
      <c r="CP17" s="97"/>
      <c r="CQ17" s="97"/>
      <c r="CR17" s="104"/>
      <c r="CS17" s="104"/>
      <c r="CT17" s="104"/>
      <c r="CU17" s="104"/>
      <c r="CV17" s="104"/>
      <c r="CW17" s="104"/>
      <c r="CX17" s="104"/>
      <c r="CY17" s="104"/>
      <c r="CZ17" s="104"/>
      <c r="DA17" s="104"/>
      <c r="DB17" s="104"/>
    </row>
    <row r="18" spans="1:106" ht="24">
      <c r="A18" s="330" t="s">
        <v>452</v>
      </c>
      <c r="B18" s="331"/>
      <c r="C18" s="88"/>
      <c r="D18" s="294" t="s">
        <v>98</v>
      </c>
      <c r="E18" s="295">
        <v>0</v>
      </c>
      <c r="F18" s="429" t="s">
        <v>442</v>
      </c>
      <c r="G18" s="430" t="s">
        <v>373</v>
      </c>
      <c r="H18" s="431" t="s">
        <v>98</v>
      </c>
      <c r="I18" s="431" t="s">
        <v>98</v>
      </c>
      <c r="J18" s="89">
        <v>0</v>
      </c>
      <c r="K18" s="430" t="s">
        <v>96</v>
      </c>
      <c r="L18" s="90">
        <f t="shared" si="0"/>
        <v>0</v>
      </c>
      <c r="M18" s="91"/>
      <c r="N18" s="92"/>
      <c r="O18" s="93"/>
      <c r="P18" s="90">
        <f t="shared" si="1"/>
        <v>0</v>
      </c>
      <c r="Q18" s="91"/>
      <c r="R18" s="92"/>
      <c r="S18" s="93"/>
      <c r="T18" s="90">
        <f t="shared" si="2"/>
        <v>0</v>
      </c>
      <c r="U18" s="91"/>
      <c r="V18" s="92"/>
      <c r="W18" s="93"/>
      <c r="X18" s="90">
        <f t="shared" si="3"/>
        <v>0</v>
      </c>
      <c r="Y18" s="91"/>
      <c r="Z18" s="92"/>
      <c r="AA18" s="93"/>
      <c r="AB18" s="90">
        <f t="shared" si="4"/>
        <v>0</v>
      </c>
      <c r="AC18" s="91"/>
      <c r="AD18" s="92"/>
      <c r="AE18" s="93"/>
      <c r="AF18" s="90">
        <f t="shared" si="5"/>
        <v>0</v>
      </c>
      <c r="AG18" s="91"/>
      <c r="AH18" s="92"/>
      <c r="AI18" s="93"/>
      <c r="AJ18" s="90">
        <f t="shared" si="6"/>
        <v>0</v>
      </c>
      <c r="AK18" s="91"/>
      <c r="AL18" s="92"/>
      <c r="AM18" s="93"/>
      <c r="AN18" s="90">
        <f t="shared" si="7"/>
        <v>0</v>
      </c>
      <c r="AO18" s="91"/>
      <c r="AP18" s="92"/>
      <c r="AQ18" s="93"/>
      <c r="AR18" s="90">
        <f t="shared" si="8"/>
        <v>0</v>
      </c>
      <c r="AS18" s="91"/>
      <c r="AT18" s="92"/>
      <c r="AU18" s="93"/>
      <c r="AV18" s="90">
        <f t="shared" si="9"/>
        <v>0</v>
      </c>
      <c r="AW18" s="91"/>
      <c r="AX18" s="92"/>
      <c r="AY18" s="93"/>
      <c r="AZ18" s="90">
        <f t="shared" si="10"/>
        <v>0</v>
      </c>
      <c r="BA18" s="91"/>
      <c r="BB18" s="92"/>
      <c r="BC18" s="93"/>
      <c r="BD18" s="90">
        <f t="shared" si="11"/>
        <v>1</v>
      </c>
      <c r="BE18" s="91"/>
      <c r="BF18" s="92"/>
      <c r="BG18" s="93"/>
      <c r="BH18" s="90">
        <f t="shared" si="12"/>
        <v>0</v>
      </c>
      <c r="BI18" s="91"/>
      <c r="BJ18" s="92"/>
      <c r="BK18" s="93"/>
      <c r="BL18" s="90">
        <f t="shared" si="13"/>
        <v>0</v>
      </c>
      <c r="BM18" s="91"/>
      <c r="BN18" s="92"/>
      <c r="BO18" s="93"/>
      <c r="BP18" s="93"/>
      <c r="BQ18" s="427"/>
      <c r="BR18" s="101"/>
      <c r="BS18" s="97"/>
      <c r="BT18" s="97"/>
      <c r="BU18" s="97"/>
      <c r="BV18" s="97"/>
      <c r="BW18" s="97"/>
      <c r="BX18" s="97"/>
      <c r="BY18" s="104"/>
      <c r="BZ18" s="104"/>
      <c r="CA18" s="104"/>
      <c r="CB18" s="104"/>
      <c r="CC18" s="104"/>
      <c r="CD18" s="104"/>
      <c r="CE18" s="104"/>
      <c r="CF18" s="104"/>
      <c r="CG18" s="104"/>
      <c r="CH18" s="104"/>
      <c r="CI18" s="104"/>
      <c r="CK18" s="101"/>
      <c r="CL18" s="97"/>
      <c r="CM18" s="97"/>
      <c r="CN18" s="97"/>
      <c r="CO18" s="97"/>
      <c r="CP18" s="97"/>
      <c r="CQ18" s="97"/>
      <c r="CR18" s="104"/>
      <c r="CS18" s="104"/>
      <c r="CT18" s="104"/>
      <c r="CU18" s="104"/>
      <c r="CV18" s="104"/>
      <c r="CW18" s="104"/>
      <c r="CX18" s="104"/>
      <c r="CY18" s="104"/>
      <c r="CZ18" s="104"/>
      <c r="DA18" s="104"/>
      <c r="DB18" s="104"/>
    </row>
    <row r="19" spans="1:106" ht="36">
      <c r="A19" s="330" t="s">
        <v>453</v>
      </c>
      <c r="B19" s="331"/>
      <c r="C19" s="88"/>
      <c r="D19" s="294" t="s">
        <v>98</v>
      </c>
      <c r="E19" s="295">
        <v>0</v>
      </c>
      <c r="F19" s="429" t="s">
        <v>443</v>
      </c>
      <c r="G19" s="430" t="s">
        <v>340</v>
      </c>
      <c r="H19" s="431" t="s">
        <v>98</v>
      </c>
      <c r="I19" s="431" t="s">
        <v>98</v>
      </c>
      <c r="J19" s="89">
        <v>0</v>
      </c>
      <c r="K19" s="430" t="s">
        <v>96</v>
      </c>
      <c r="L19" s="90">
        <f t="shared" si="0"/>
        <v>0</v>
      </c>
      <c r="M19" s="91"/>
      <c r="N19" s="92"/>
      <c r="O19" s="93"/>
      <c r="P19" s="90">
        <f t="shared" si="1"/>
        <v>0</v>
      </c>
      <c r="Q19" s="91"/>
      <c r="R19" s="92"/>
      <c r="S19" s="93"/>
      <c r="T19" s="90">
        <f t="shared" si="2"/>
        <v>0</v>
      </c>
      <c r="U19" s="91"/>
      <c r="V19" s="92"/>
      <c r="W19" s="93"/>
      <c r="X19" s="90">
        <f t="shared" si="3"/>
        <v>0</v>
      </c>
      <c r="Y19" s="91"/>
      <c r="Z19" s="92"/>
      <c r="AA19" s="93"/>
      <c r="AB19" s="90">
        <f t="shared" si="4"/>
        <v>0</v>
      </c>
      <c r="AC19" s="91"/>
      <c r="AD19" s="92"/>
      <c r="AE19" s="93"/>
      <c r="AF19" s="90">
        <f t="shared" si="5"/>
        <v>0</v>
      </c>
      <c r="AG19" s="91"/>
      <c r="AH19" s="92"/>
      <c r="AI19" s="93"/>
      <c r="AJ19" s="90">
        <f t="shared" si="6"/>
        <v>0</v>
      </c>
      <c r="AK19" s="91"/>
      <c r="AL19" s="92"/>
      <c r="AM19" s="93"/>
      <c r="AN19" s="90">
        <f t="shared" si="7"/>
        <v>0</v>
      </c>
      <c r="AO19" s="91"/>
      <c r="AP19" s="92"/>
      <c r="AQ19" s="93"/>
      <c r="AR19" s="90">
        <f t="shared" si="8"/>
        <v>0</v>
      </c>
      <c r="AS19" s="91"/>
      <c r="AT19" s="92"/>
      <c r="AU19" s="93"/>
      <c r="AV19" s="90">
        <f t="shared" si="9"/>
        <v>0</v>
      </c>
      <c r="AW19" s="91"/>
      <c r="AX19" s="92"/>
      <c r="AY19" s="93"/>
      <c r="AZ19" s="90">
        <f t="shared" si="10"/>
        <v>0</v>
      </c>
      <c r="BA19" s="91"/>
      <c r="BB19" s="92"/>
      <c r="BC19" s="93"/>
      <c r="BD19" s="90">
        <f t="shared" si="11"/>
        <v>0</v>
      </c>
      <c r="BE19" s="91"/>
      <c r="BF19" s="92"/>
      <c r="BG19" s="93"/>
      <c r="BH19" s="90">
        <f t="shared" si="12"/>
        <v>1</v>
      </c>
      <c r="BI19" s="91"/>
      <c r="BJ19" s="92"/>
      <c r="BK19" s="93"/>
      <c r="BL19" s="90">
        <f t="shared" si="13"/>
        <v>0</v>
      </c>
      <c r="BM19" s="91"/>
      <c r="BN19" s="92"/>
      <c r="BO19" s="93"/>
      <c r="BP19" s="93"/>
      <c r="BQ19" s="427"/>
      <c r="BR19" s="101"/>
      <c r="BS19" s="97"/>
      <c r="BT19" s="97"/>
      <c r="BU19" s="97"/>
      <c r="BV19" s="97"/>
      <c r="BW19" s="97"/>
      <c r="BX19" s="97"/>
      <c r="BY19" s="104"/>
      <c r="BZ19" s="104"/>
      <c r="CA19" s="104"/>
      <c r="CB19" s="104"/>
      <c r="CC19" s="104"/>
      <c r="CD19" s="104"/>
      <c r="CE19" s="104"/>
      <c r="CF19" s="104"/>
      <c r="CG19" s="104"/>
      <c r="CH19" s="104"/>
      <c r="CI19" s="104"/>
      <c r="CK19" s="101"/>
      <c r="CL19" s="97"/>
      <c r="CM19" s="97"/>
      <c r="CN19" s="97"/>
      <c r="CO19" s="97"/>
      <c r="CP19" s="97"/>
      <c r="CQ19" s="97"/>
      <c r="CR19" s="104"/>
      <c r="CS19" s="104"/>
      <c r="CT19" s="104"/>
      <c r="CU19" s="104"/>
      <c r="CV19" s="104"/>
      <c r="CW19" s="104"/>
      <c r="CX19" s="104"/>
      <c r="CY19" s="104"/>
      <c r="CZ19" s="104"/>
      <c r="DA19" s="104"/>
      <c r="DB19" s="104"/>
    </row>
    <row r="20" spans="1:106" ht="36">
      <c r="A20" s="330" t="s">
        <v>454</v>
      </c>
      <c r="B20" s="331"/>
      <c r="C20" s="88"/>
      <c r="D20" s="294" t="s">
        <v>98</v>
      </c>
      <c r="E20" s="295">
        <v>0</v>
      </c>
      <c r="F20" s="429" t="s">
        <v>444</v>
      </c>
      <c r="G20" s="430" t="s">
        <v>372</v>
      </c>
      <c r="H20" s="431" t="s">
        <v>98</v>
      </c>
      <c r="I20" s="431" t="s">
        <v>98</v>
      </c>
      <c r="J20" s="89">
        <v>0</v>
      </c>
      <c r="K20" s="430" t="s">
        <v>96</v>
      </c>
      <c r="L20" s="90">
        <f t="shared" si="0"/>
        <v>0</v>
      </c>
      <c r="M20" s="91"/>
      <c r="N20" s="92"/>
      <c r="O20" s="93"/>
      <c r="P20" s="90">
        <f t="shared" si="1"/>
        <v>0</v>
      </c>
      <c r="Q20" s="91"/>
      <c r="R20" s="92"/>
      <c r="S20" s="93"/>
      <c r="T20" s="90">
        <f t="shared" si="2"/>
        <v>0</v>
      </c>
      <c r="U20" s="91"/>
      <c r="V20" s="92"/>
      <c r="W20" s="93"/>
      <c r="X20" s="90">
        <f t="shared" si="3"/>
        <v>0</v>
      </c>
      <c r="Y20" s="91"/>
      <c r="Z20" s="92"/>
      <c r="AA20" s="93"/>
      <c r="AB20" s="90">
        <f t="shared" si="4"/>
        <v>0</v>
      </c>
      <c r="AC20" s="91"/>
      <c r="AD20" s="92"/>
      <c r="AE20" s="93"/>
      <c r="AF20" s="90">
        <f t="shared" si="5"/>
        <v>0</v>
      </c>
      <c r="AG20" s="91"/>
      <c r="AH20" s="92"/>
      <c r="AI20" s="93"/>
      <c r="AJ20" s="90">
        <f t="shared" si="6"/>
        <v>0</v>
      </c>
      <c r="AK20" s="91"/>
      <c r="AL20" s="92"/>
      <c r="AM20" s="93"/>
      <c r="AN20" s="90">
        <f t="shared" si="7"/>
        <v>0</v>
      </c>
      <c r="AO20" s="91"/>
      <c r="AP20" s="92"/>
      <c r="AQ20" s="93"/>
      <c r="AR20" s="90">
        <f t="shared" si="8"/>
        <v>0</v>
      </c>
      <c r="AS20" s="91"/>
      <c r="AT20" s="92"/>
      <c r="AU20" s="93"/>
      <c r="AV20" s="90">
        <f t="shared" si="9"/>
        <v>0</v>
      </c>
      <c r="AW20" s="91"/>
      <c r="AX20" s="92"/>
      <c r="AY20" s="93"/>
      <c r="AZ20" s="90">
        <f t="shared" si="10"/>
        <v>0</v>
      </c>
      <c r="BA20" s="91"/>
      <c r="BB20" s="92"/>
      <c r="BC20" s="93"/>
      <c r="BD20" s="90">
        <f t="shared" si="11"/>
        <v>0</v>
      </c>
      <c r="BE20" s="91"/>
      <c r="BF20" s="92"/>
      <c r="BG20" s="93"/>
      <c r="BH20" s="90">
        <f t="shared" si="12"/>
        <v>0</v>
      </c>
      <c r="BI20" s="91"/>
      <c r="BJ20" s="92"/>
      <c r="BK20" s="93"/>
      <c r="BL20" s="90">
        <f t="shared" si="13"/>
        <v>1</v>
      </c>
      <c r="BM20" s="91"/>
      <c r="BN20" s="92"/>
      <c r="BO20" s="93"/>
      <c r="BP20" s="93"/>
      <c r="BQ20" s="427"/>
      <c r="BR20" s="101"/>
      <c r="BS20" s="97"/>
      <c r="BT20" s="97"/>
      <c r="BU20" s="97"/>
      <c r="BV20" s="97"/>
      <c r="BW20" s="97"/>
      <c r="BX20" s="97"/>
      <c r="BY20" s="104"/>
      <c r="BZ20" s="104"/>
      <c r="CA20" s="104"/>
      <c r="CB20" s="104"/>
      <c r="CC20" s="104"/>
      <c r="CD20" s="104"/>
      <c r="CE20" s="104"/>
      <c r="CF20" s="104"/>
      <c r="CG20" s="104"/>
      <c r="CH20" s="104"/>
      <c r="CI20" s="104"/>
      <c r="CK20" s="101"/>
      <c r="CL20" s="97"/>
      <c r="CM20" s="97"/>
      <c r="CN20" s="97"/>
      <c r="CO20" s="97"/>
      <c r="CP20" s="97"/>
      <c r="CQ20" s="97"/>
      <c r="CR20" s="104"/>
      <c r="CS20" s="104"/>
      <c r="CT20" s="104"/>
      <c r="CU20" s="104"/>
      <c r="CV20" s="104"/>
      <c r="CW20" s="104"/>
      <c r="CX20" s="104"/>
      <c r="CY20" s="104"/>
      <c r="CZ20" s="104"/>
      <c r="DA20" s="104"/>
      <c r="DB20" s="104"/>
    </row>
    <row r="21" spans="1:106" ht="24">
      <c r="A21" s="330">
        <v>78566</v>
      </c>
      <c r="B21" s="331"/>
      <c r="C21" s="88"/>
      <c r="D21" s="340">
        <v>5</v>
      </c>
      <c r="E21" s="341" t="s">
        <v>98</v>
      </c>
      <c r="F21" s="432" t="s">
        <v>335</v>
      </c>
      <c r="G21" s="433" t="s">
        <v>336</v>
      </c>
      <c r="H21" s="434" t="s">
        <v>98</v>
      </c>
      <c r="I21" s="434" t="s">
        <v>98</v>
      </c>
      <c r="J21" s="94">
        <v>0</v>
      </c>
      <c r="K21" s="433" t="s">
        <v>96</v>
      </c>
      <c r="L21" s="435">
        <f>1.06767630057803+0.00986843930635838</f>
        <v>1.0775447398843885</v>
      </c>
      <c r="M21" s="95">
        <v>1</v>
      </c>
      <c r="N21" s="96">
        <f t="shared" ref="N21:N52" si="14">$CB21</f>
        <v>1.0722009304576894</v>
      </c>
      <c r="O21" s="432" t="str">
        <f t="shared" ref="O21:O52" si="15">$CC21&amp;"; "&amp;$BR21</f>
        <v>(2,1,1,2,1,1); Industry data (French tender), MG-Si &amp; filaments, NO iso RoW</v>
      </c>
      <c r="P21" s="435">
        <v>0</v>
      </c>
      <c r="Q21" s="95">
        <v>1</v>
      </c>
      <c r="R21" s="96">
        <f>$CB21</f>
        <v>1.0722009304576894</v>
      </c>
      <c r="S21" s="437" t="str">
        <f t="shared" ref="S21:S52" si="16">$CC21&amp;"; "&amp;$BR21</f>
        <v>(2,1,1,2,1,1); Industry data (French tender), MG-Si &amp; filaments, NO iso RoW</v>
      </c>
      <c r="T21" s="435">
        <v>0</v>
      </c>
      <c r="U21" s="95">
        <v>1</v>
      </c>
      <c r="V21" s="96">
        <f>$CB21</f>
        <v>1.0722009304576894</v>
      </c>
      <c r="W21" s="432" t="str">
        <f t="shared" ref="W21:W52" si="17">$CC21&amp;"; "&amp;$BR21</f>
        <v>(2,1,1,2,1,1); Industry data (French tender), MG-Si &amp; filaments, NO iso RoW</v>
      </c>
      <c r="X21" s="435">
        <v>0</v>
      </c>
      <c r="Y21" s="95">
        <v>1</v>
      </c>
      <c r="Z21" s="96">
        <f>$CB21</f>
        <v>1.0722009304576894</v>
      </c>
      <c r="AA21" s="432" t="str">
        <f t="shared" ref="AA21:AA52" si="18">$CC21&amp;"; "&amp;$BR21</f>
        <v>(2,1,1,2,1,1); Industry data (French tender), MG-Si &amp; filaments, NO iso RoW</v>
      </c>
      <c r="AB21" s="435">
        <v>1.15302135899974</v>
      </c>
      <c r="AC21" s="95">
        <v>1</v>
      </c>
      <c r="AD21" s="96">
        <f>$CB21</f>
        <v>1.0722009304576894</v>
      </c>
      <c r="AE21" s="432" t="str">
        <f t="shared" ref="AE21:AE52" si="19">$CC21&amp;"; "&amp;$BR21</f>
        <v>(2,1,1,2,1,1); Industry data (French tender), MG-Si &amp; filaments, NO iso RoW</v>
      </c>
      <c r="AF21" s="435">
        <v>0</v>
      </c>
      <c r="AG21" s="95">
        <v>1</v>
      </c>
      <c r="AH21" s="96">
        <f>$CB21</f>
        <v>1.0722009304576894</v>
      </c>
      <c r="AI21" s="432" t="str">
        <f t="shared" ref="AI21:AI52" si="20">$CC21&amp;"; "&amp;$BR21</f>
        <v>(2,1,1,2,1,1); Industry data (French tender), MG-Si &amp; filaments, NO iso RoW</v>
      </c>
      <c r="AJ21" s="435">
        <v>0</v>
      </c>
      <c r="AK21" s="95">
        <v>1</v>
      </c>
      <c r="AL21" s="96">
        <f>$CB21</f>
        <v>1.0722009304576894</v>
      </c>
      <c r="AM21" s="432" t="str">
        <f t="shared" ref="AM21:AM52" si="21">$CC21&amp;"; "&amp;$BR21</f>
        <v>(2,1,1,2,1,1); Industry data (French tender), MG-Si &amp; filaments, NO iso RoW</v>
      </c>
      <c r="AN21" s="435">
        <v>0</v>
      </c>
      <c r="AO21" s="95">
        <v>1</v>
      </c>
      <c r="AP21" s="96">
        <f>$CB21</f>
        <v>1.0722009304576894</v>
      </c>
      <c r="AQ21" s="432" t="str">
        <f t="shared" ref="AQ21:AQ52" si="22">$CC21&amp;"; "&amp;$BR21</f>
        <v>(2,1,1,2,1,1); Industry data (French tender), MG-Si &amp; filaments, NO iso RoW</v>
      </c>
      <c r="AR21" s="435">
        <v>0</v>
      </c>
      <c r="AS21" s="95">
        <v>1</v>
      </c>
      <c r="AT21" s="96">
        <f>$CB21</f>
        <v>1.0722009304576894</v>
      </c>
      <c r="AU21" s="432" t="str">
        <f t="shared" ref="AU21:AU52" si="23">$CC21&amp;"; "&amp;$BR21</f>
        <v>(2,1,1,2,1,1); Industry data (French tender), MG-Si &amp; filaments, NO iso RoW</v>
      </c>
      <c r="AV21" s="435">
        <v>0</v>
      </c>
      <c r="AW21" s="95">
        <v>1</v>
      </c>
      <c r="AX21" s="96">
        <f>$CB21</f>
        <v>1.0722009304576894</v>
      </c>
      <c r="AY21" s="432" t="str">
        <f t="shared" ref="AY21:AY52" si="24">$CC21&amp;"; "&amp;$BR21</f>
        <v>(2,1,1,2,1,1); Industry data (French tender), MG-Si &amp; filaments, NO iso RoW</v>
      </c>
      <c r="AZ21" s="435">
        <v>0</v>
      </c>
      <c r="BA21" s="95">
        <v>1</v>
      </c>
      <c r="BB21" s="96">
        <f>$CB21</f>
        <v>1.0722009304576894</v>
      </c>
      <c r="BC21" s="432" t="str">
        <f t="shared" ref="BC21:BC52" si="25">$CC21&amp;"; "&amp;$BR21</f>
        <v>(2,1,1,2,1,1); Industry data (French tender), MG-Si &amp; filaments, NO iso RoW</v>
      </c>
      <c r="BD21" s="435">
        <v>0</v>
      </c>
      <c r="BE21" s="95">
        <v>1</v>
      </c>
      <c r="BF21" s="96">
        <f>$CB21</f>
        <v>1.0722009304576894</v>
      </c>
      <c r="BG21" s="432" t="str">
        <f t="shared" ref="BG21:BG52" si="26">$CC21&amp;"; "&amp;$BR21</f>
        <v>(2,1,1,2,1,1); Industry data (French tender), MG-Si &amp; filaments, NO iso RoW</v>
      </c>
      <c r="BH21" s="435">
        <v>1.046</v>
      </c>
      <c r="BI21" s="95">
        <v>1</v>
      </c>
      <c r="BJ21" s="96">
        <f>$CB21</f>
        <v>1.0722009304576894</v>
      </c>
      <c r="BK21" s="432" t="str">
        <f t="shared" ref="BK21:BK52" si="27">$CV21&amp;"; "&amp;$CK21</f>
        <v>(2,4,1,3,1,5); Brailovsky (2026), NO iso Multiple Regions</v>
      </c>
      <c r="BL21" s="435">
        <v>0</v>
      </c>
      <c r="BM21" s="95">
        <v>1</v>
      </c>
      <c r="BN21" s="96">
        <f>$CB21</f>
        <v>1.0722009304576894</v>
      </c>
      <c r="BO21" s="432" t="str">
        <f t="shared" ref="BO21:BO52" si="28">$CV21&amp;"; "&amp;$CK21</f>
        <v>(2,4,1,3,1,5); Brailovsky (2026), NO iso Multiple Regions</v>
      </c>
      <c r="BP21" s="432"/>
      <c r="BQ21" s="436"/>
      <c r="BR21" s="705" t="s">
        <v>455</v>
      </c>
      <c r="BS21" s="77">
        <v>2</v>
      </c>
      <c r="BT21" s="339">
        <v>1</v>
      </c>
      <c r="BU21" s="339">
        <v>1</v>
      </c>
      <c r="BV21" s="339">
        <v>2</v>
      </c>
      <c r="BW21" s="339">
        <v>1</v>
      </c>
      <c r="BX21" s="339">
        <v>1</v>
      </c>
      <c r="BY21" s="104">
        <v>3</v>
      </c>
      <c r="BZ21" s="104">
        <v>1.05</v>
      </c>
      <c r="CA21" s="104">
        <f t="shared" ref="CA21:CA52" si="29">EXP(SQRT((LN(CD21)^2)+(LN(CE21)^2)+(LN(CF21)^2)+(LN(CG21)^2)+(LN(CH21)^2)+(LN(CI21)^2)))</f>
        <v>1.0510550504206344</v>
      </c>
      <c r="CB21" s="107">
        <f t="shared" ref="CB21:CB62" si="30">EXP(SQRT((LN(CD21)^2)+(LN(CE21)^2)+(LN(CF21)^2)+(LN(CG21)^2)+(LN(CH21)^2)+(LN(CI21)^2)+LN(BZ21)^2))</f>
        <v>1.0722009304576894</v>
      </c>
      <c r="CC21" s="107" t="str">
        <f t="shared" ref="CC21:CC52" si="31">CONCATENATE("(",BS21,",",BT21,",",BU21,",",BV21,",",BW21,",",BX21,")")</f>
        <v>(2,1,1,2,1,1)</v>
      </c>
      <c r="CD21" s="108">
        <v>1.05</v>
      </c>
      <c r="CE21" s="108">
        <v>1</v>
      </c>
      <c r="CF21" s="108">
        <v>1</v>
      </c>
      <c r="CG21" s="108">
        <v>1.01</v>
      </c>
      <c r="CH21" s="108">
        <v>1</v>
      </c>
      <c r="CI21" s="108">
        <v>1</v>
      </c>
      <c r="CK21" s="111" t="s">
        <v>456</v>
      </c>
      <c r="CL21" s="77">
        <v>2</v>
      </c>
      <c r="CM21" s="339">
        <v>4</v>
      </c>
      <c r="CN21" s="339">
        <v>1</v>
      </c>
      <c r="CO21" s="339">
        <v>3</v>
      </c>
      <c r="CP21" s="339">
        <v>1</v>
      </c>
      <c r="CQ21" s="339">
        <v>5</v>
      </c>
      <c r="CR21" s="104">
        <v>3</v>
      </c>
      <c r="CS21" s="104">
        <v>1.05</v>
      </c>
      <c r="CT21" s="104">
        <f t="shared" ref="CT21:CT52" si="32">EXP(SQRT((LN(CW21)^2)+(LN(CX21)^2)+(LN(CY21)^2)+(LN(CZ21)^2)+(LN(DA21)^2)+(LN(DB21)^2)))</f>
        <v>1.2365959919080913</v>
      </c>
      <c r="CU21" s="107">
        <f t="shared" ref="CU21:CU62" si="33">EXP(SQRT((LN(CW21)^2)+(LN(CX21)^2)+(LN(CY21)^2)+(LN(CZ21)^2)+(LN(DA21)^2)+(LN(DB21)^2)+LN(CS21)^2))</f>
        <v>1.2434566510799234</v>
      </c>
      <c r="CV21" s="107" t="str">
        <f t="shared" ref="CV21:CV52" si="34">CONCATENATE("(",CL21,",",CM21,",",CN21,",",CO21,",",CP21,",",CQ21,")")</f>
        <v>(2,4,1,3,1,5)</v>
      </c>
      <c r="CW21" s="108">
        <v>1.05</v>
      </c>
      <c r="CX21" s="108">
        <v>1.1000000000000001</v>
      </c>
      <c r="CY21" s="108">
        <v>1</v>
      </c>
      <c r="CZ21" s="108">
        <v>1.02</v>
      </c>
      <c r="DA21" s="108">
        <v>1</v>
      </c>
      <c r="DB21" s="108">
        <v>1.2</v>
      </c>
    </row>
    <row r="22" spans="1:106" ht="24">
      <c r="A22" s="330">
        <v>261396</v>
      </c>
      <c r="B22" s="331"/>
      <c r="C22" s="88"/>
      <c r="D22" s="340">
        <v>5</v>
      </c>
      <c r="E22" s="341" t="s">
        <v>98</v>
      </c>
      <c r="F22" s="432" t="s">
        <v>359</v>
      </c>
      <c r="G22" s="433" t="s">
        <v>372</v>
      </c>
      <c r="H22" s="434" t="s">
        <v>98</v>
      </c>
      <c r="I22" s="434" t="s">
        <v>98</v>
      </c>
      <c r="J22" s="94">
        <v>0</v>
      </c>
      <c r="K22" s="433" t="s">
        <v>96</v>
      </c>
      <c r="L22" s="435">
        <v>0</v>
      </c>
      <c r="M22" s="95">
        <v>1</v>
      </c>
      <c r="N22" s="96">
        <f t="shared" si="14"/>
        <v>1.0722009304576894</v>
      </c>
      <c r="O22" s="432" t="str">
        <f t="shared" si="15"/>
        <v>(2,1,1,2,1,1); Industry data (French tender), MG-Si &amp; filaments, CN iso RoW</v>
      </c>
      <c r="P22" s="435">
        <f>L21</f>
        <v>1.0775447398843885</v>
      </c>
      <c r="Q22" s="95">
        <v>1</v>
      </c>
      <c r="R22" s="96">
        <f>R21</f>
        <v>1.0722009304576894</v>
      </c>
      <c r="S22" s="437" t="str">
        <f t="shared" si="16"/>
        <v>(2,1,1,2,1,1); Industry data (French tender), MG-Si &amp; filaments, CN iso RoW</v>
      </c>
      <c r="T22" s="435">
        <v>0</v>
      </c>
      <c r="U22" s="95">
        <v>1</v>
      </c>
      <c r="V22" s="96">
        <f>V21</f>
        <v>1.0722009304576894</v>
      </c>
      <c r="W22" s="432" t="str">
        <f t="shared" si="17"/>
        <v>(2,1,1,2,1,1); Industry data (French tender), MG-Si &amp; filaments, CN iso RoW</v>
      </c>
      <c r="X22" s="435">
        <v>0</v>
      </c>
      <c r="Y22" s="95">
        <v>1</v>
      </c>
      <c r="Z22" s="96">
        <f>Z21</f>
        <v>1.0722009304576894</v>
      </c>
      <c r="AA22" s="432" t="str">
        <f t="shared" si="18"/>
        <v>(2,1,1,2,1,1); Industry data (French tender), MG-Si &amp; filaments, CN iso RoW</v>
      </c>
      <c r="AB22" s="435">
        <v>0</v>
      </c>
      <c r="AC22" s="95">
        <v>1</v>
      </c>
      <c r="AD22" s="96">
        <f>AD21</f>
        <v>1.0722009304576894</v>
      </c>
      <c r="AE22" s="432" t="str">
        <f t="shared" si="19"/>
        <v>(2,1,1,2,1,1); Industry data (French tender), MG-Si &amp; filaments, CN iso RoW</v>
      </c>
      <c r="AF22" s="435">
        <f>AB21</f>
        <v>1.15302135899974</v>
      </c>
      <c r="AG22" s="95">
        <v>1</v>
      </c>
      <c r="AH22" s="96">
        <f>AH21</f>
        <v>1.0722009304576894</v>
      </c>
      <c r="AI22" s="432" t="str">
        <f t="shared" si="20"/>
        <v>(2,1,1,2,1,1); Industry data (French tender), MG-Si &amp; filaments, CN iso RoW</v>
      </c>
      <c r="AJ22" s="435">
        <v>0</v>
      </c>
      <c r="AK22" s="95">
        <v>1</v>
      </c>
      <c r="AL22" s="96">
        <f>AL21</f>
        <v>1.0722009304576894</v>
      </c>
      <c r="AM22" s="432" t="str">
        <f t="shared" si="21"/>
        <v>(2,1,1,2,1,1); Industry data (French tender), MG-Si &amp; filaments, CN iso RoW</v>
      </c>
      <c r="AN22" s="435">
        <v>0</v>
      </c>
      <c r="AO22" s="95">
        <v>1</v>
      </c>
      <c r="AP22" s="96">
        <f>AP21</f>
        <v>1.0722009304576894</v>
      </c>
      <c r="AQ22" s="432" t="str">
        <f t="shared" si="22"/>
        <v>(2,1,1,2,1,1); Industry data (French tender), MG-Si &amp; filaments, CN iso RoW</v>
      </c>
      <c r="AR22" s="435">
        <v>0</v>
      </c>
      <c r="AS22" s="95">
        <v>1</v>
      </c>
      <c r="AT22" s="96">
        <f>AT21</f>
        <v>1.0722009304576894</v>
      </c>
      <c r="AU22" s="432" t="str">
        <f t="shared" si="23"/>
        <v>(2,1,1,2,1,1); Industry data (French tender), MG-Si &amp; filaments, CN iso RoW</v>
      </c>
      <c r="AV22" s="435">
        <v>0</v>
      </c>
      <c r="AW22" s="95">
        <v>1</v>
      </c>
      <c r="AX22" s="96">
        <f>AX21</f>
        <v>1.0722009304576894</v>
      </c>
      <c r="AY22" s="432" t="str">
        <f t="shared" si="24"/>
        <v>(2,1,1,2,1,1); Industry data (French tender), MG-Si &amp; filaments, CN iso RoW</v>
      </c>
      <c r="AZ22" s="435">
        <v>0</v>
      </c>
      <c r="BA22" s="95">
        <v>1</v>
      </c>
      <c r="BB22" s="96">
        <f>BB21</f>
        <v>1.0722009304576894</v>
      </c>
      <c r="BC22" s="432" t="str">
        <f t="shared" si="25"/>
        <v>(2,1,1,2,1,1); Industry data (French tender), MG-Si &amp; filaments, CN iso RoW</v>
      </c>
      <c r="BD22" s="435">
        <v>0</v>
      </c>
      <c r="BE22" s="95">
        <v>1</v>
      </c>
      <c r="BF22" s="96">
        <f>BF21</f>
        <v>1.0722009304576894</v>
      </c>
      <c r="BG22" s="432" t="str">
        <f t="shared" si="26"/>
        <v>(2,1,1,2,1,1); Industry data (French tender), MG-Si &amp; filaments, CN iso RoW</v>
      </c>
      <c r="BH22" s="435">
        <v>0</v>
      </c>
      <c r="BI22" s="95">
        <v>1</v>
      </c>
      <c r="BJ22" s="96">
        <f>BJ21</f>
        <v>1.0722009304576894</v>
      </c>
      <c r="BK22" s="432" t="str">
        <f t="shared" si="27"/>
        <v>(2,4,1,3,1,5); Brailovsky (2026), CN iso Multiple Regions</v>
      </c>
      <c r="BL22" s="435">
        <f>BH21</f>
        <v>1.046</v>
      </c>
      <c r="BM22" s="95">
        <v>1</v>
      </c>
      <c r="BN22" s="96">
        <f>BN21</f>
        <v>1.0722009304576894</v>
      </c>
      <c r="BO22" s="432" t="str">
        <f t="shared" si="28"/>
        <v>(2,4,1,3,1,5); Brailovsky (2026), CN iso Multiple Regions</v>
      </c>
      <c r="BP22" s="432"/>
      <c r="BQ22" s="427"/>
      <c r="BR22" s="705" t="s">
        <v>457</v>
      </c>
      <c r="BS22" s="77">
        <v>2</v>
      </c>
      <c r="BT22" s="339">
        <v>1</v>
      </c>
      <c r="BU22" s="339">
        <v>1</v>
      </c>
      <c r="BV22" s="339">
        <v>2</v>
      </c>
      <c r="BW22" s="339">
        <v>1</v>
      </c>
      <c r="BX22" s="339">
        <v>1</v>
      </c>
      <c r="BY22" s="104">
        <v>3</v>
      </c>
      <c r="BZ22" s="104">
        <v>1.05</v>
      </c>
      <c r="CA22" s="104">
        <f t="shared" si="29"/>
        <v>1.0510550504206344</v>
      </c>
      <c r="CB22" s="107">
        <f t="shared" si="30"/>
        <v>1.0722009304576894</v>
      </c>
      <c r="CC22" s="107" t="str">
        <f t="shared" si="31"/>
        <v>(2,1,1,2,1,1)</v>
      </c>
      <c r="CD22" s="108">
        <v>1.05</v>
      </c>
      <c r="CE22" s="108">
        <v>1</v>
      </c>
      <c r="CF22" s="108">
        <v>1</v>
      </c>
      <c r="CG22" s="108">
        <v>1.01</v>
      </c>
      <c r="CH22" s="108">
        <v>1</v>
      </c>
      <c r="CI22" s="108">
        <v>1</v>
      </c>
      <c r="CK22" s="111" t="s">
        <v>458</v>
      </c>
      <c r="CL22" s="77">
        <v>2</v>
      </c>
      <c r="CM22" s="339">
        <v>4</v>
      </c>
      <c r="CN22" s="339">
        <v>1</v>
      </c>
      <c r="CO22" s="339">
        <v>3</v>
      </c>
      <c r="CP22" s="339">
        <v>1</v>
      </c>
      <c r="CQ22" s="339">
        <v>5</v>
      </c>
      <c r="CR22" s="104">
        <v>3</v>
      </c>
      <c r="CS22" s="104">
        <v>1.05</v>
      </c>
      <c r="CT22" s="104">
        <f t="shared" si="32"/>
        <v>1.2365959919080913</v>
      </c>
      <c r="CU22" s="107">
        <f t="shared" si="33"/>
        <v>1.2434566510799234</v>
      </c>
      <c r="CV22" s="107" t="str">
        <f t="shared" si="34"/>
        <v>(2,4,1,3,1,5)</v>
      </c>
      <c r="CW22" s="108">
        <v>1.05</v>
      </c>
      <c r="CX22" s="108">
        <v>1.1000000000000001</v>
      </c>
      <c r="CY22" s="108">
        <v>1</v>
      </c>
      <c r="CZ22" s="108">
        <v>1.02</v>
      </c>
      <c r="DA22" s="108">
        <v>1</v>
      </c>
      <c r="DB22" s="108">
        <v>1.2</v>
      </c>
    </row>
    <row r="23" spans="1:106" ht="24">
      <c r="A23" s="330">
        <v>264187</v>
      </c>
      <c r="B23" s="331"/>
      <c r="C23" s="88"/>
      <c r="D23" s="340">
        <v>5</v>
      </c>
      <c r="E23" s="341" t="s">
        <v>98</v>
      </c>
      <c r="F23" s="432" t="s">
        <v>360</v>
      </c>
      <c r="G23" s="433" t="s">
        <v>215</v>
      </c>
      <c r="H23" s="434" t="s">
        <v>98</v>
      </c>
      <c r="I23" s="434" t="s">
        <v>98</v>
      </c>
      <c r="J23" s="94">
        <v>0</v>
      </c>
      <c r="K23" s="433" t="s">
        <v>96</v>
      </c>
      <c r="L23" s="435">
        <v>0</v>
      </c>
      <c r="M23" s="95">
        <v>1</v>
      </c>
      <c r="N23" s="96">
        <f t="shared" si="14"/>
        <v>1.0722009304576894</v>
      </c>
      <c r="O23" s="432" t="str">
        <f t="shared" si="15"/>
        <v>(2,1,1,2,1,1); Industry data (French tender), MG-Si &amp; filaments, US iso RoW</v>
      </c>
      <c r="P23" s="435">
        <v>0</v>
      </c>
      <c r="Q23" s="95">
        <v>1</v>
      </c>
      <c r="R23" s="96">
        <f>$CB23</f>
        <v>1.0722009304576894</v>
      </c>
      <c r="S23" s="437" t="str">
        <f t="shared" si="16"/>
        <v>(2,1,1,2,1,1); Industry data (French tender), MG-Si &amp; filaments, US iso RoW</v>
      </c>
      <c r="T23" s="435">
        <f>P22</f>
        <v>1.0775447398843885</v>
      </c>
      <c r="U23" s="95">
        <v>1</v>
      </c>
      <c r="V23" s="96">
        <f>$CB23</f>
        <v>1.0722009304576894</v>
      </c>
      <c r="W23" s="432" t="str">
        <f t="shared" si="17"/>
        <v>(2,1,1,2,1,1); Industry data (French tender), MG-Si &amp; filaments, US iso RoW</v>
      </c>
      <c r="X23" s="435">
        <v>0</v>
      </c>
      <c r="Y23" s="95">
        <v>1</v>
      </c>
      <c r="Z23" s="96">
        <f>$CB23</f>
        <v>1.0722009304576894</v>
      </c>
      <c r="AA23" s="432" t="str">
        <f t="shared" si="18"/>
        <v>(2,1,1,2,1,1); Industry data (French tender), MG-Si &amp; filaments, US iso RoW</v>
      </c>
      <c r="AB23" s="435">
        <v>0</v>
      </c>
      <c r="AC23" s="95">
        <v>1</v>
      </c>
      <c r="AD23" s="96">
        <f>$CB23</f>
        <v>1.0722009304576894</v>
      </c>
      <c r="AE23" s="432" t="str">
        <f t="shared" si="19"/>
        <v>(2,1,1,2,1,1); Industry data (French tender), MG-Si &amp; filaments, US iso RoW</v>
      </c>
      <c r="AF23" s="435">
        <v>0</v>
      </c>
      <c r="AG23" s="95">
        <v>1</v>
      </c>
      <c r="AH23" s="96">
        <f>$CB23</f>
        <v>1.0722009304576894</v>
      </c>
      <c r="AI23" s="432" t="str">
        <f t="shared" si="20"/>
        <v>(2,1,1,2,1,1); Industry data (French tender), MG-Si &amp; filaments, US iso RoW</v>
      </c>
      <c r="AJ23" s="435">
        <f>AB21</f>
        <v>1.15302135899974</v>
      </c>
      <c r="AK23" s="95">
        <v>1</v>
      </c>
      <c r="AL23" s="96">
        <f>$CB23</f>
        <v>1.0722009304576894</v>
      </c>
      <c r="AM23" s="432" t="str">
        <f t="shared" si="21"/>
        <v>(2,1,1,2,1,1); Industry data (French tender), MG-Si &amp; filaments, US iso RoW</v>
      </c>
      <c r="AN23" s="435">
        <v>0</v>
      </c>
      <c r="AO23" s="95">
        <v>1</v>
      </c>
      <c r="AP23" s="96">
        <f>$CB23</f>
        <v>1.0722009304576894</v>
      </c>
      <c r="AQ23" s="432" t="str">
        <f t="shared" si="22"/>
        <v>(2,1,1,2,1,1); Industry data (French tender), MG-Si &amp; filaments, US iso RoW</v>
      </c>
      <c r="AR23" s="435">
        <v>0</v>
      </c>
      <c r="AS23" s="95">
        <v>1</v>
      </c>
      <c r="AT23" s="96">
        <f>$CB23</f>
        <v>1.0722009304576894</v>
      </c>
      <c r="AU23" s="432" t="str">
        <f t="shared" si="23"/>
        <v>(2,1,1,2,1,1); Industry data (French tender), MG-Si &amp; filaments, US iso RoW</v>
      </c>
      <c r="AV23" s="435">
        <v>0</v>
      </c>
      <c r="AW23" s="95">
        <v>1</v>
      </c>
      <c r="AX23" s="96">
        <f>$CB23</f>
        <v>1.0722009304576894</v>
      </c>
      <c r="AY23" s="432" t="str">
        <f t="shared" si="24"/>
        <v>(2,1,1,2,1,1); Industry data (French tender), MG-Si &amp; filaments, US iso RoW</v>
      </c>
      <c r="AZ23" s="435">
        <v>0</v>
      </c>
      <c r="BA23" s="95">
        <v>1</v>
      </c>
      <c r="BB23" s="96">
        <f>$CB23</f>
        <v>1.0722009304576894</v>
      </c>
      <c r="BC23" s="432" t="str">
        <f t="shared" si="25"/>
        <v>(2,1,1,2,1,1); Industry data (French tender), MG-Si &amp; filaments, US iso RoW</v>
      </c>
      <c r="BD23" s="435">
        <v>0</v>
      </c>
      <c r="BE23" s="95">
        <v>1</v>
      </c>
      <c r="BF23" s="96">
        <f>$CB23</f>
        <v>1.0722009304576894</v>
      </c>
      <c r="BG23" s="432" t="str">
        <f t="shared" si="26"/>
        <v>(2,1,1,2,1,1); Industry data (French tender), MG-Si &amp; filaments, US iso RoW</v>
      </c>
      <c r="BH23" s="435">
        <v>0</v>
      </c>
      <c r="BI23" s="95">
        <v>1</v>
      </c>
      <c r="BJ23" s="96">
        <f>$CB23</f>
        <v>1.0722009304576894</v>
      </c>
      <c r="BK23" s="432" t="str">
        <f t="shared" si="27"/>
        <v xml:space="preserve">(na,na,na,na,na,na); </v>
      </c>
      <c r="BL23" s="435">
        <v>0</v>
      </c>
      <c r="BM23" s="95">
        <v>1</v>
      </c>
      <c r="BN23" s="96">
        <f>$CB23</f>
        <v>1.0722009304576894</v>
      </c>
      <c r="BO23" s="432" t="str">
        <f t="shared" si="28"/>
        <v xml:space="preserve">(na,na,na,na,na,na); </v>
      </c>
      <c r="BP23" s="432"/>
      <c r="BQ23" s="112"/>
      <c r="BR23" s="705" t="s">
        <v>459</v>
      </c>
      <c r="BS23" s="77">
        <v>2</v>
      </c>
      <c r="BT23" s="339">
        <v>1</v>
      </c>
      <c r="BU23" s="339">
        <v>1</v>
      </c>
      <c r="BV23" s="339">
        <v>2</v>
      </c>
      <c r="BW23" s="339">
        <v>1</v>
      </c>
      <c r="BX23" s="339">
        <v>1</v>
      </c>
      <c r="BY23" s="104">
        <v>3</v>
      </c>
      <c r="BZ23" s="104">
        <v>1.05</v>
      </c>
      <c r="CA23" s="104">
        <f t="shared" si="29"/>
        <v>1.0510550504206344</v>
      </c>
      <c r="CB23" s="107">
        <f t="shared" si="30"/>
        <v>1.0722009304576894</v>
      </c>
      <c r="CC23" s="107" t="str">
        <f t="shared" si="31"/>
        <v>(2,1,1,2,1,1)</v>
      </c>
      <c r="CD23" s="108">
        <v>1.05</v>
      </c>
      <c r="CE23" s="108">
        <v>1</v>
      </c>
      <c r="CF23" s="108">
        <v>1</v>
      </c>
      <c r="CG23" s="108">
        <v>1.01</v>
      </c>
      <c r="CH23" s="108">
        <v>1</v>
      </c>
      <c r="CI23" s="108">
        <v>1</v>
      </c>
      <c r="CK23" s="111"/>
      <c r="CL23" s="77" t="s">
        <v>106</v>
      </c>
      <c r="CM23" s="339" t="s">
        <v>106</v>
      </c>
      <c r="CN23" s="339" t="s">
        <v>106</v>
      </c>
      <c r="CO23" s="339" t="s">
        <v>106</v>
      </c>
      <c r="CP23" s="339" t="s">
        <v>106</v>
      </c>
      <c r="CQ23" s="339" t="s">
        <v>106</v>
      </c>
      <c r="CR23" s="104">
        <v>3</v>
      </c>
      <c r="CS23" s="104">
        <v>1.05</v>
      </c>
      <c r="CT23" s="104">
        <f t="shared" si="32"/>
        <v>1</v>
      </c>
      <c r="CU23" s="107">
        <f t="shared" si="33"/>
        <v>1.05</v>
      </c>
      <c r="CV23" s="107" t="str">
        <f t="shared" si="34"/>
        <v>(na,na,na,na,na,na)</v>
      </c>
      <c r="CW23" s="108">
        <v>1</v>
      </c>
      <c r="CX23" s="108">
        <v>1</v>
      </c>
      <c r="CY23" s="108">
        <v>1</v>
      </c>
      <c r="CZ23" s="108">
        <v>1</v>
      </c>
      <c r="DA23" s="108">
        <v>1</v>
      </c>
      <c r="DB23" s="108">
        <v>1</v>
      </c>
    </row>
    <row r="24" spans="1:106" ht="24">
      <c r="A24" s="330">
        <v>261500</v>
      </c>
      <c r="B24" s="331"/>
      <c r="C24" s="88"/>
      <c r="D24" s="340">
        <v>5</v>
      </c>
      <c r="E24" s="341" t="s">
        <v>98</v>
      </c>
      <c r="F24" s="432" t="s">
        <v>361</v>
      </c>
      <c r="G24" s="433" t="s">
        <v>373</v>
      </c>
      <c r="H24" s="434" t="s">
        <v>98</v>
      </c>
      <c r="I24" s="434" t="s">
        <v>98</v>
      </c>
      <c r="J24" s="94">
        <v>0</v>
      </c>
      <c r="K24" s="433" t="s">
        <v>96</v>
      </c>
      <c r="L24" s="435">
        <v>0</v>
      </c>
      <c r="M24" s="95">
        <v>1</v>
      </c>
      <c r="N24" s="96">
        <f t="shared" si="14"/>
        <v>1.0722009304576894</v>
      </c>
      <c r="O24" s="432" t="str">
        <f t="shared" si="15"/>
        <v>(2,1,1,2,1,1); Industry data (French tender), MG-Si &amp; filaments, APAC iso Row</v>
      </c>
      <c r="P24" s="435">
        <v>0</v>
      </c>
      <c r="Q24" s="95">
        <v>1</v>
      </c>
      <c r="R24" s="96">
        <f>R23</f>
        <v>1.0722009304576894</v>
      </c>
      <c r="S24" s="437" t="str">
        <f t="shared" si="16"/>
        <v>(2,1,1,2,1,1); Industry data (French tender), MG-Si &amp; filaments, APAC iso Row</v>
      </c>
      <c r="T24" s="435">
        <v>0</v>
      </c>
      <c r="U24" s="95">
        <v>1</v>
      </c>
      <c r="V24" s="96">
        <f>V23</f>
        <v>1.0722009304576894</v>
      </c>
      <c r="W24" s="432" t="str">
        <f t="shared" si="17"/>
        <v>(2,1,1,2,1,1); Industry data (French tender), MG-Si &amp; filaments, APAC iso Row</v>
      </c>
      <c r="X24" s="435">
        <f>T23</f>
        <v>1.0775447398843885</v>
      </c>
      <c r="Y24" s="95">
        <v>1</v>
      </c>
      <c r="Z24" s="96">
        <f>Z23</f>
        <v>1.0722009304576894</v>
      </c>
      <c r="AA24" s="432" t="str">
        <f t="shared" si="18"/>
        <v>(2,1,1,2,1,1); Industry data (French tender), MG-Si &amp; filaments, APAC iso Row</v>
      </c>
      <c r="AB24" s="435">
        <f>X23</f>
        <v>0</v>
      </c>
      <c r="AC24" s="95">
        <v>1</v>
      </c>
      <c r="AD24" s="96">
        <f>AD23</f>
        <v>1.0722009304576894</v>
      </c>
      <c r="AE24" s="432" t="str">
        <f t="shared" si="19"/>
        <v>(2,1,1,2,1,1); Industry data (French tender), MG-Si &amp; filaments, APAC iso Row</v>
      </c>
      <c r="AF24" s="435">
        <f>AB23</f>
        <v>0</v>
      </c>
      <c r="AG24" s="95">
        <v>1</v>
      </c>
      <c r="AH24" s="96">
        <f>AH23</f>
        <v>1.0722009304576894</v>
      </c>
      <c r="AI24" s="432" t="str">
        <f t="shared" si="20"/>
        <v>(2,1,1,2,1,1); Industry data (French tender), MG-Si &amp; filaments, APAC iso Row</v>
      </c>
      <c r="AJ24" s="435">
        <f>AF23</f>
        <v>0</v>
      </c>
      <c r="AK24" s="95">
        <v>1</v>
      </c>
      <c r="AL24" s="96">
        <f>AL23</f>
        <v>1.0722009304576894</v>
      </c>
      <c r="AM24" s="432" t="str">
        <f t="shared" si="21"/>
        <v>(2,1,1,2,1,1); Industry data (French tender), MG-Si &amp; filaments, APAC iso Row</v>
      </c>
      <c r="AN24" s="435">
        <f>AJ23</f>
        <v>1.15302135899974</v>
      </c>
      <c r="AO24" s="95">
        <v>1</v>
      </c>
      <c r="AP24" s="96">
        <f>AP23</f>
        <v>1.0722009304576894</v>
      </c>
      <c r="AQ24" s="432" t="str">
        <f t="shared" si="22"/>
        <v>(2,1,1,2,1,1); Industry data (French tender), MG-Si &amp; filaments, APAC iso Row</v>
      </c>
      <c r="AR24" s="435">
        <v>0</v>
      </c>
      <c r="AS24" s="95">
        <v>1</v>
      </c>
      <c r="AT24" s="96">
        <f>AT23</f>
        <v>1.0722009304576894</v>
      </c>
      <c r="AU24" s="432" t="str">
        <f t="shared" si="23"/>
        <v>(2,1,1,2,1,1); Industry data (French tender), MG-Si &amp; filaments, APAC iso Row</v>
      </c>
      <c r="AV24" s="435">
        <f>AR23</f>
        <v>0</v>
      </c>
      <c r="AW24" s="95">
        <v>1</v>
      </c>
      <c r="AX24" s="96">
        <f>AX23</f>
        <v>1.0722009304576894</v>
      </c>
      <c r="AY24" s="432" t="str">
        <f t="shared" si="24"/>
        <v>(2,1,1,2,1,1); Industry data (French tender), MG-Si &amp; filaments, APAC iso Row</v>
      </c>
      <c r="AZ24" s="435">
        <f>AV23</f>
        <v>0</v>
      </c>
      <c r="BA24" s="95">
        <v>1</v>
      </c>
      <c r="BB24" s="96">
        <f>BB23</f>
        <v>1.0722009304576894</v>
      </c>
      <c r="BC24" s="432" t="str">
        <f t="shared" si="25"/>
        <v>(2,1,1,2,1,1); Industry data (French tender), MG-Si &amp; filaments, APAC iso Row</v>
      </c>
      <c r="BD24" s="435">
        <f>AZ23</f>
        <v>0</v>
      </c>
      <c r="BE24" s="95">
        <v>1</v>
      </c>
      <c r="BF24" s="96">
        <f>BF23</f>
        <v>1.0722009304576894</v>
      </c>
      <c r="BG24" s="432" t="str">
        <f t="shared" si="26"/>
        <v>(2,1,1,2,1,1); Industry data (French tender), MG-Si &amp; filaments, APAC iso Row</v>
      </c>
      <c r="BH24" s="435">
        <v>0</v>
      </c>
      <c r="BI24" s="95">
        <v>1</v>
      </c>
      <c r="BJ24" s="96">
        <f>BJ23</f>
        <v>1.0722009304576894</v>
      </c>
      <c r="BK24" s="432" t="str">
        <f t="shared" si="27"/>
        <v xml:space="preserve">(na,na,na,na,na,na); </v>
      </c>
      <c r="BL24" s="435">
        <f>BH23</f>
        <v>0</v>
      </c>
      <c r="BM24" s="95">
        <v>1</v>
      </c>
      <c r="BN24" s="96">
        <f>BN23</f>
        <v>1.0722009304576894</v>
      </c>
      <c r="BO24" s="432" t="str">
        <f t="shared" si="28"/>
        <v xml:space="preserve">(na,na,na,na,na,na); </v>
      </c>
      <c r="BP24" s="432"/>
      <c r="BQ24" s="112"/>
      <c r="BR24" s="705" t="s">
        <v>460</v>
      </c>
      <c r="BS24" s="77">
        <v>2</v>
      </c>
      <c r="BT24" s="339">
        <v>1</v>
      </c>
      <c r="BU24" s="339">
        <v>1</v>
      </c>
      <c r="BV24" s="339">
        <v>2</v>
      </c>
      <c r="BW24" s="339">
        <v>1</v>
      </c>
      <c r="BX24" s="339">
        <v>1</v>
      </c>
      <c r="BY24" s="104">
        <v>3</v>
      </c>
      <c r="BZ24" s="104">
        <v>1.05</v>
      </c>
      <c r="CA24" s="104">
        <f t="shared" si="29"/>
        <v>1.0510550504206344</v>
      </c>
      <c r="CB24" s="107">
        <f t="shared" si="30"/>
        <v>1.0722009304576894</v>
      </c>
      <c r="CC24" s="107" t="str">
        <f t="shared" si="31"/>
        <v>(2,1,1,2,1,1)</v>
      </c>
      <c r="CD24" s="108">
        <v>1.05</v>
      </c>
      <c r="CE24" s="108">
        <v>1</v>
      </c>
      <c r="CF24" s="108">
        <v>1</v>
      </c>
      <c r="CG24" s="108">
        <v>1.01</v>
      </c>
      <c r="CH24" s="108">
        <v>1</v>
      </c>
      <c r="CI24" s="108">
        <v>1</v>
      </c>
      <c r="CK24" s="111"/>
      <c r="CL24" s="77" t="s">
        <v>106</v>
      </c>
      <c r="CM24" s="339" t="s">
        <v>106</v>
      </c>
      <c r="CN24" s="339" t="s">
        <v>106</v>
      </c>
      <c r="CO24" s="339" t="s">
        <v>106</v>
      </c>
      <c r="CP24" s="339" t="s">
        <v>106</v>
      </c>
      <c r="CQ24" s="339" t="s">
        <v>106</v>
      </c>
      <c r="CR24" s="104">
        <v>3</v>
      </c>
      <c r="CS24" s="104">
        <v>1.05</v>
      </c>
      <c r="CT24" s="104">
        <f t="shared" si="32"/>
        <v>1</v>
      </c>
      <c r="CU24" s="107">
        <f t="shared" si="33"/>
        <v>1.05</v>
      </c>
      <c r="CV24" s="107" t="str">
        <f t="shared" si="34"/>
        <v>(na,na,na,na,na,na)</v>
      </c>
      <c r="CW24" s="108">
        <v>1</v>
      </c>
      <c r="CX24" s="108">
        <v>1</v>
      </c>
      <c r="CY24" s="108">
        <v>1</v>
      </c>
      <c r="CZ24" s="108">
        <v>1</v>
      </c>
      <c r="DA24" s="108">
        <v>1</v>
      </c>
      <c r="DB24" s="108">
        <v>1</v>
      </c>
    </row>
    <row r="25" spans="1:106" ht="24">
      <c r="A25" s="330">
        <v>269509</v>
      </c>
      <c r="B25" s="331" t="s">
        <v>375</v>
      </c>
      <c r="C25" s="88"/>
      <c r="D25" s="340">
        <v>5</v>
      </c>
      <c r="E25" s="341" t="s">
        <v>98</v>
      </c>
      <c r="F25" s="432" t="s">
        <v>461</v>
      </c>
      <c r="G25" s="433" t="s">
        <v>93</v>
      </c>
      <c r="H25" s="434" t="s">
        <v>98</v>
      </c>
      <c r="I25" s="434" t="s">
        <v>98</v>
      </c>
      <c r="J25" s="94">
        <v>0</v>
      </c>
      <c r="K25" s="433" t="s">
        <v>96</v>
      </c>
      <c r="L25" s="435">
        <v>0.33122374759152201</v>
      </c>
      <c r="M25" s="95">
        <v>1</v>
      </c>
      <c r="N25" s="96">
        <f t="shared" si="14"/>
        <v>1.0722009304576894</v>
      </c>
      <c r="O25" s="432" t="str">
        <f t="shared" si="15"/>
        <v>(2,1,1,2,1,1); Industry data (French tender)</v>
      </c>
      <c r="P25" s="435">
        <f t="shared" ref="P25:P35" si="35">L25</f>
        <v>0.33122374759152201</v>
      </c>
      <c r="Q25" s="95">
        <v>1</v>
      </c>
      <c r="R25" s="96">
        <f t="shared" ref="R25:R59" si="36">N25</f>
        <v>1.0722009304576894</v>
      </c>
      <c r="S25" s="437" t="str">
        <f t="shared" si="16"/>
        <v>(2,1,1,2,1,1); Industry data (French tender)</v>
      </c>
      <c r="T25" s="435">
        <f t="shared" ref="T25:T36" si="37">P25</f>
        <v>0.33122374759152201</v>
      </c>
      <c r="U25" s="95">
        <v>1</v>
      </c>
      <c r="V25" s="96">
        <f t="shared" ref="V25:V59" si="38">R25</f>
        <v>1.0722009304576894</v>
      </c>
      <c r="W25" s="432" t="str">
        <f t="shared" si="17"/>
        <v>(2,1,1,2,1,1); Industry data (French tender)</v>
      </c>
      <c r="X25" s="435">
        <f t="shared" ref="X25:X36" si="39">T25</f>
        <v>0.33122374759152201</v>
      </c>
      <c r="Y25" s="95">
        <v>1</v>
      </c>
      <c r="Z25" s="96">
        <f t="shared" ref="Z25:Z69" si="40">V25</f>
        <v>1.0722009304576894</v>
      </c>
      <c r="AA25" s="432" t="str">
        <f t="shared" si="18"/>
        <v>(2,1,1,2,1,1); Industry data (French tender)</v>
      </c>
      <c r="AB25" s="435">
        <v>4.7740384615384598E-3</v>
      </c>
      <c r="AC25" s="95">
        <v>1</v>
      </c>
      <c r="AD25" s="96">
        <f t="shared" ref="AD25:AD69" si="41">Z25</f>
        <v>1.0722009304576894</v>
      </c>
      <c r="AE25" s="432" t="str">
        <f t="shared" si="19"/>
        <v>(2,1,1,2,1,1); Industry data (French tender)</v>
      </c>
      <c r="AF25" s="435">
        <f t="shared" ref="AF25:AF40" si="42">AB25</f>
        <v>4.7740384615384598E-3</v>
      </c>
      <c r="AG25" s="95">
        <v>1</v>
      </c>
      <c r="AH25" s="96">
        <f t="shared" ref="AH25:AH69" si="43">AD25</f>
        <v>1.0722009304576894</v>
      </c>
      <c r="AI25" s="432" t="str">
        <f t="shared" si="20"/>
        <v>(2,1,1,2,1,1); Industry data (French tender)</v>
      </c>
      <c r="AJ25" s="435">
        <f t="shared" ref="AJ25:AJ40" si="44">AF25</f>
        <v>4.7740384615384598E-3</v>
      </c>
      <c r="AK25" s="95">
        <v>1</v>
      </c>
      <c r="AL25" s="96">
        <f t="shared" ref="AL25:AL69" si="45">AH25</f>
        <v>1.0722009304576894</v>
      </c>
      <c r="AM25" s="432" t="str">
        <f t="shared" si="21"/>
        <v>(2,1,1,2,1,1); Industry data (French tender)</v>
      </c>
      <c r="AN25" s="435">
        <f t="shared" ref="AN25:AN40" si="46">AJ25</f>
        <v>4.7740384615384598E-3</v>
      </c>
      <c r="AO25" s="95">
        <v>1</v>
      </c>
      <c r="AP25" s="96">
        <f t="shared" ref="AP25:AP69" si="47">AL25</f>
        <v>1.0722009304576894</v>
      </c>
      <c r="AQ25" s="432" t="str">
        <f t="shared" si="22"/>
        <v>(2,1,1,2,1,1); Industry data (French tender)</v>
      </c>
      <c r="AR25" s="435">
        <v>1.3548977167694E-3</v>
      </c>
      <c r="AS25" s="95">
        <v>1</v>
      </c>
      <c r="AT25" s="96">
        <f t="shared" ref="AT25:AT69" si="48">AP25</f>
        <v>1.0722009304576894</v>
      </c>
      <c r="AU25" s="432" t="str">
        <f t="shared" si="23"/>
        <v>(2,1,1,2,1,1); Industry data (French tender)</v>
      </c>
      <c r="AV25" s="435">
        <f t="shared" ref="AV25:AV37" si="49">AR25</f>
        <v>1.3548977167694E-3</v>
      </c>
      <c r="AW25" s="95">
        <v>1</v>
      </c>
      <c r="AX25" s="96">
        <f t="shared" ref="AX25:AX69" si="50">AT25</f>
        <v>1.0722009304576894</v>
      </c>
      <c r="AY25" s="432" t="str">
        <f t="shared" si="24"/>
        <v>(2,1,1,2,1,1); Industry data (French tender)</v>
      </c>
      <c r="AZ25" s="435">
        <f t="shared" ref="AZ25:AZ37" si="51">AV25</f>
        <v>1.3548977167694E-3</v>
      </c>
      <c r="BA25" s="95">
        <v>1</v>
      </c>
      <c r="BB25" s="96">
        <f t="shared" ref="BB25:BB69" si="52">AX25</f>
        <v>1.0722009304576894</v>
      </c>
      <c r="BC25" s="432" t="str">
        <f t="shared" si="25"/>
        <v>(2,1,1,2,1,1); Industry data (French tender)</v>
      </c>
      <c r="BD25" s="435">
        <f t="shared" ref="BD25:BD37" si="53">AZ25</f>
        <v>1.3548977167694E-3</v>
      </c>
      <c r="BE25" s="95">
        <v>1</v>
      </c>
      <c r="BF25" s="96">
        <f t="shared" ref="BF25:BF69" si="54">BB25</f>
        <v>1.0722009304576894</v>
      </c>
      <c r="BG25" s="432" t="str">
        <f t="shared" si="26"/>
        <v>(2,1,1,2,1,1); Industry data (French tender)</v>
      </c>
      <c r="BH25" s="435">
        <v>0</v>
      </c>
      <c r="BI25" s="95">
        <v>1</v>
      </c>
      <c r="BJ25" s="96">
        <f t="shared" ref="BJ25:BJ69" si="55">BF25</f>
        <v>1.0722009304576894</v>
      </c>
      <c r="BK25" s="432" t="str">
        <f t="shared" si="27"/>
        <v xml:space="preserve">(na,na,na,na,na,na); </v>
      </c>
      <c r="BL25" s="435">
        <f t="shared" ref="BL25:BL40" si="56">BH25</f>
        <v>0</v>
      </c>
      <c r="BM25" s="95">
        <v>1</v>
      </c>
      <c r="BN25" s="96">
        <f t="shared" ref="BN25:BN69" si="57">BJ25</f>
        <v>1.0722009304576894</v>
      </c>
      <c r="BO25" s="432" t="str">
        <f t="shared" si="28"/>
        <v xml:space="preserve">(na,na,na,na,na,na); </v>
      </c>
      <c r="BP25" s="432"/>
      <c r="BQ25" s="112"/>
      <c r="BR25" s="705" t="s">
        <v>462</v>
      </c>
      <c r="BS25" s="77">
        <v>2</v>
      </c>
      <c r="BT25" s="339">
        <v>1</v>
      </c>
      <c r="BU25" s="339">
        <v>1</v>
      </c>
      <c r="BV25" s="339">
        <v>2</v>
      </c>
      <c r="BW25" s="339">
        <v>1</v>
      </c>
      <c r="BX25" s="339">
        <v>1</v>
      </c>
      <c r="BY25" s="104">
        <v>3</v>
      </c>
      <c r="BZ25" s="104">
        <v>1.05</v>
      </c>
      <c r="CA25" s="104">
        <f t="shared" si="29"/>
        <v>1.0510550504206344</v>
      </c>
      <c r="CB25" s="107">
        <f t="shared" si="30"/>
        <v>1.0722009304576894</v>
      </c>
      <c r="CC25" s="107" t="str">
        <f t="shared" si="31"/>
        <v>(2,1,1,2,1,1)</v>
      </c>
      <c r="CD25" s="108">
        <v>1.05</v>
      </c>
      <c r="CE25" s="108">
        <v>1</v>
      </c>
      <c r="CF25" s="108">
        <v>1</v>
      </c>
      <c r="CG25" s="108">
        <v>1.01</v>
      </c>
      <c r="CH25" s="108">
        <v>1</v>
      </c>
      <c r="CI25" s="108">
        <v>1</v>
      </c>
      <c r="CK25" s="111"/>
      <c r="CL25" s="77" t="s">
        <v>106</v>
      </c>
      <c r="CM25" s="339" t="s">
        <v>106</v>
      </c>
      <c r="CN25" s="339" t="s">
        <v>106</v>
      </c>
      <c r="CO25" s="339" t="s">
        <v>106</v>
      </c>
      <c r="CP25" s="339" t="s">
        <v>106</v>
      </c>
      <c r="CQ25" s="339" t="s">
        <v>106</v>
      </c>
      <c r="CR25" s="104">
        <v>3</v>
      </c>
      <c r="CS25" s="104">
        <v>1.05</v>
      </c>
      <c r="CT25" s="104">
        <f t="shared" si="32"/>
        <v>1</v>
      </c>
      <c r="CU25" s="107">
        <f t="shared" si="33"/>
        <v>1.05</v>
      </c>
      <c r="CV25" s="107" t="str">
        <f t="shared" si="34"/>
        <v>(na,na,na,na,na,na)</v>
      </c>
      <c r="CW25" s="108">
        <v>1</v>
      </c>
      <c r="CX25" s="108">
        <v>1</v>
      </c>
      <c r="CY25" s="108">
        <v>1</v>
      </c>
      <c r="CZ25" s="108">
        <v>1</v>
      </c>
      <c r="DA25" s="108">
        <v>1</v>
      </c>
      <c r="DB25" s="108">
        <v>1</v>
      </c>
    </row>
    <row r="26" spans="1:106" ht="24">
      <c r="A26" s="330">
        <v>269261</v>
      </c>
      <c r="B26" s="331"/>
      <c r="C26" s="88"/>
      <c r="D26" s="340">
        <v>5</v>
      </c>
      <c r="E26" s="341" t="s">
        <v>98</v>
      </c>
      <c r="F26" s="432" t="s">
        <v>207</v>
      </c>
      <c r="G26" s="433" t="s">
        <v>154</v>
      </c>
      <c r="H26" s="434" t="s">
        <v>98</v>
      </c>
      <c r="I26" s="434" t="s">
        <v>98</v>
      </c>
      <c r="J26" s="94">
        <v>0</v>
      </c>
      <c r="K26" s="433" t="s">
        <v>96</v>
      </c>
      <c r="L26" s="435">
        <v>0</v>
      </c>
      <c r="M26" s="95">
        <v>1</v>
      </c>
      <c r="N26" s="96">
        <f t="shared" si="14"/>
        <v>1.0722009304576894</v>
      </c>
      <c r="O26" s="432" t="str">
        <f t="shared" si="15"/>
        <v>(2,1,1,2,1,1); Industry data (French tender)</v>
      </c>
      <c r="P26" s="435">
        <f t="shared" si="35"/>
        <v>0</v>
      </c>
      <c r="Q26" s="95">
        <v>1</v>
      </c>
      <c r="R26" s="96">
        <f t="shared" si="36"/>
        <v>1.0722009304576894</v>
      </c>
      <c r="S26" s="437" t="str">
        <f t="shared" si="16"/>
        <v>(2,1,1,2,1,1); Industry data (French tender)</v>
      </c>
      <c r="T26" s="435">
        <f t="shared" si="37"/>
        <v>0</v>
      </c>
      <c r="U26" s="95">
        <v>1</v>
      </c>
      <c r="V26" s="96">
        <f t="shared" si="38"/>
        <v>1.0722009304576894</v>
      </c>
      <c r="W26" s="432" t="str">
        <f t="shared" si="17"/>
        <v>(2,1,1,2,1,1); Industry data (French tender)</v>
      </c>
      <c r="X26" s="435">
        <f t="shared" si="39"/>
        <v>0</v>
      </c>
      <c r="Y26" s="95">
        <v>1</v>
      </c>
      <c r="Z26" s="96">
        <f t="shared" si="40"/>
        <v>1.0722009304576894</v>
      </c>
      <c r="AA26" s="432" t="str">
        <f t="shared" si="18"/>
        <v>(2,1,1,2,1,1); Industry data (French tender)</v>
      </c>
      <c r="AB26" s="435">
        <v>0</v>
      </c>
      <c r="AC26" s="95">
        <v>1</v>
      </c>
      <c r="AD26" s="96">
        <f t="shared" si="41"/>
        <v>1.0722009304576894</v>
      </c>
      <c r="AE26" s="432" t="str">
        <f t="shared" si="19"/>
        <v>(2,1,1,2,1,1); Industry data (French tender)</v>
      </c>
      <c r="AF26" s="435">
        <f t="shared" si="42"/>
        <v>0</v>
      </c>
      <c r="AG26" s="95">
        <v>1</v>
      </c>
      <c r="AH26" s="96">
        <f t="shared" si="43"/>
        <v>1.0722009304576894</v>
      </c>
      <c r="AI26" s="432" t="str">
        <f t="shared" si="20"/>
        <v>(2,1,1,2,1,1); Industry data (French tender)</v>
      </c>
      <c r="AJ26" s="435">
        <f t="shared" si="44"/>
        <v>0</v>
      </c>
      <c r="AK26" s="95">
        <v>1</v>
      </c>
      <c r="AL26" s="96">
        <f t="shared" si="45"/>
        <v>1.0722009304576894</v>
      </c>
      <c r="AM26" s="432" t="str">
        <f t="shared" si="21"/>
        <v>(2,1,1,2,1,1); Industry data (French tender)</v>
      </c>
      <c r="AN26" s="435">
        <f t="shared" si="46"/>
        <v>0</v>
      </c>
      <c r="AO26" s="95">
        <v>1</v>
      </c>
      <c r="AP26" s="96">
        <f t="shared" si="47"/>
        <v>1.0722009304576894</v>
      </c>
      <c r="AQ26" s="432" t="str">
        <f t="shared" si="22"/>
        <v>(2,1,1,2,1,1); Industry data (French tender)</v>
      </c>
      <c r="AR26" s="435">
        <v>3.0836474046104902E-3</v>
      </c>
      <c r="AS26" s="95">
        <v>1</v>
      </c>
      <c r="AT26" s="96">
        <f t="shared" si="48"/>
        <v>1.0722009304576894</v>
      </c>
      <c r="AU26" s="432" t="str">
        <f t="shared" si="23"/>
        <v>(2,1,1,2,1,1); Industry data (French tender)</v>
      </c>
      <c r="AV26" s="435">
        <f t="shared" si="49"/>
        <v>3.0836474046104902E-3</v>
      </c>
      <c r="AW26" s="95">
        <v>1</v>
      </c>
      <c r="AX26" s="96">
        <f t="shared" si="50"/>
        <v>1.0722009304576894</v>
      </c>
      <c r="AY26" s="432" t="str">
        <f t="shared" si="24"/>
        <v>(2,1,1,2,1,1); Industry data (French tender)</v>
      </c>
      <c r="AZ26" s="435">
        <f t="shared" si="51"/>
        <v>3.0836474046104902E-3</v>
      </c>
      <c r="BA26" s="95">
        <v>1</v>
      </c>
      <c r="BB26" s="96">
        <f t="shared" si="52"/>
        <v>1.0722009304576894</v>
      </c>
      <c r="BC26" s="432" t="str">
        <f t="shared" si="25"/>
        <v>(2,1,1,2,1,1); Industry data (French tender)</v>
      </c>
      <c r="BD26" s="435">
        <f t="shared" si="53"/>
        <v>3.0836474046104902E-3</v>
      </c>
      <c r="BE26" s="95">
        <v>1</v>
      </c>
      <c r="BF26" s="96">
        <f t="shared" si="54"/>
        <v>1.0722009304576894</v>
      </c>
      <c r="BG26" s="432" t="str">
        <f t="shared" si="26"/>
        <v>(2,1,1,2,1,1); Industry data (French tender)</v>
      </c>
      <c r="BH26" s="435">
        <v>0</v>
      </c>
      <c r="BI26" s="95">
        <v>1</v>
      </c>
      <c r="BJ26" s="96">
        <f t="shared" si="55"/>
        <v>1.0722009304576894</v>
      </c>
      <c r="BK26" s="432" t="str">
        <f t="shared" si="27"/>
        <v xml:space="preserve">(na,na,na,na,na,na); </v>
      </c>
      <c r="BL26" s="435">
        <f t="shared" si="56"/>
        <v>0</v>
      </c>
      <c r="BM26" s="95">
        <v>1</v>
      </c>
      <c r="BN26" s="96">
        <f t="shared" si="57"/>
        <v>1.0722009304576894</v>
      </c>
      <c r="BO26" s="432" t="str">
        <f t="shared" si="28"/>
        <v xml:space="preserve">(na,na,na,na,na,na); </v>
      </c>
      <c r="BP26" s="432"/>
      <c r="BQ26" s="112"/>
      <c r="BR26" s="705" t="s">
        <v>462</v>
      </c>
      <c r="BS26" s="77">
        <v>2</v>
      </c>
      <c r="BT26" s="339">
        <v>1</v>
      </c>
      <c r="BU26" s="339">
        <v>1</v>
      </c>
      <c r="BV26" s="339">
        <v>2</v>
      </c>
      <c r="BW26" s="339">
        <v>1</v>
      </c>
      <c r="BX26" s="339">
        <v>1</v>
      </c>
      <c r="BY26" s="104">
        <v>3</v>
      </c>
      <c r="BZ26" s="104">
        <v>1.05</v>
      </c>
      <c r="CA26" s="104">
        <f t="shared" si="29"/>
        <v>1.0510550504206344</v>
      </c>
      <c r="CB26" s="107">
        <f t="shared" si="30"/>
        <v>1.0722009304576894</v>
      </c>
      <c r="CC26" s="107" t="str">
        <f t="shared" si="31"/>
        <v>(2,1,1,2,1,1)</v>
      </c>
      <c r="CD26" s="108">
        <v>1.05</v>
      </c>
      <c r="CE26" s="108">
        <v>1</v>
      </c>
      <c r="CF26" s="108">
        <v>1</v>
      </c>
      <c r="CG26" s="108">
        <v>1.01</v>
      </c>
      <c r="CH26" s="108">
        <v>1</v>
      </c>
      <c r="CI26" s="108">
        <v>1</v>
      </c>
      <c r="CK26" s="111"/>
      <c r="CL26" s="77" t="s">
        <v>106</v>
      </c>
      <c r="CM26" s="339" t="s">
        <v>106</v>
      </c>
      <c r="CN26" s="339" t="s">
        <v>106</v>
      </c>
      <c r="CO26" s="339" t="s">
        <v>106</v>
      </c>
      <c r="CP26" s="339" t="s">
        <v>106</v>
      </c>
      <c r="CQ26" s="339" t="s">
        <v>106</v>
      </c>
      <c r="CR26" s="104">
        <v>3</v>
      </c>
      <c r="CS26" s="104">
        <v>1.05</v>
      </c>
      <c r="CT26" s="104">
        <f t="shared" si="32"/>
        <v>1</v>
      </c>
      <c r="CU26" s="107">
        <f t="shared" si="33"/>
        <v>1.05</v>
      </c>
      <c r="CV26" s="107" t="str">
        <f t="shared" si="34"/>
        <v>(na,na,na,na,na,na)</v>
      </c>
      <c r="CW26" s="108">
        <v>1</v>
      </c>
      <c r="CX26" s="108">
        <v>1</v>
      </c>
      <c r="CY26" s="108">
        <v>1</v>
      </c>
      <c r="CZ26" s="108">
        <v>1</v>
      </c>
      <c r="DA26" s="108">
        <v>1</v>
      </c>
      <c r="DB26" s="108">
        <v>1</v>
      </c>
    </row>
    <row r="27" spans="1:106" ht="24">
      <c r="A27" s="330">
        <v>269257</v>
      </c>
      <c r="B27" s="331"/>
      <c r="C27" s="88"/>
      <c r="D27" s="340">
        <v>5</v>
      </c>
      <c r="E27" s="341" t="s">
        <v>98</v>
      </c>
      <c r="F27" s="432" t="s">
        <v>463</v>
      </c>
      <c r="G27" s="433" t="s">
        <v>93</v>
      </c>
      <c r="H27" s="434" t="s">
        <v>98</v>
      </c>
      <c r="I27" s="434" t="s">
        <v>98</v>
      </c>
      <c r="J27" s="94">
        <v>0</v>
      </c>
      <c r="K27" s="433" t="s">
        <v>96</v>
      </c>
      <c r="L27" s="435">
        <v>0</v>
      </c>
      <c r="M27" s="95">
        <v>1</v>
      </c>
      <c r="N27" s="96">
        <f t="shared" si="14"/>
        <v>1.0722009304576894</v>
      </c>
      <c r="O27" s="432" t="str">
        <f t="shared" si="15"/>
        <v>(2,1,1,2,1,1); Industry data (French tender)</v>
      </c>
      <c r="P27" s="435">
        <f t="shared" si="35"/>
        <v>0</v>
      </c>
      <c r="Q27" s="95">
        <v>1</v>
      </c>
      <c r="R27" s="96">
        <f t="shared" si="36"/>
        <v>1.0722009304576894</v>
      </c>
      <c r="S27" s="437" t="str">
        <f t="shared" si="16"/>
        <v>(2,1,1,2,1,1); Industry data (French tender)</v>
      </c>
      <c r="T27" s="435">
        <f t="shared" si="37"/>
        <v>0</v>
      </c>
      <c r="U27" s="95">
        <v>1</v>
      </c>
      <c r="V27" s="96">
        <f t="shared" si="38"/>
        <v>1.0722009304576894</v>
      </c>
      <c r="W27" s="432" t="str">
        <f t="shared" si="17"/>
        <v>(2,1,1,2,1,1); Industry data (French tender)</v>
      </c>
      <c r="X27" s="435">
        <f t="shared" si="39"/>
        <v>0</v>
      </c>
      <c r="Y27" s="95">
        <v>1</v>
      </c>
      <c r="Z27" s="96">
        <f t="shared" si="40"/>
        <v>1.0722009304576894</v>
      </c>
      <c r="AA27" s="432" t="str">
        <f t="shared" si="18"/>
        <v>(2,1,1,2,1,1); Industry data (French tender)</v>
      </c>
      <c r="AB27" s="435">
        <v>0</v>
      </c>
      <c r="AC27" s="95">
        <v>1</v>
      </c>
      <c r="AD27" s="96">
        <f t="shared" si="41"/>
        <v>1.0722009304576894</v>
      </c>
      <c r="AE27" s="432" t="str">
        <f t="shared" si="19"/>
        <v>(2,1,1,2,1,1); Industry data (French tender)</v>
      </c>
      <c r="AF27" s="435">
        <f t="shared" si="42"/>
        <v>0</v>
      </c>
      <c r="AG27" s="95">
        <v>1</v>
      </c>
      <c r="AH27" s="96">
        <f t="shared" si="43"/>
        <v>1.0722009304576894</v>
      </c>
      <c r="AI27" s="432" t="str">
        <f t="shared" si="20"/>
        <v>(2,1,1,2,1,1); Industry data (French tender)</v>
      </c>
      <c r="AJ27" s="435">
        <f t="shared" si="44"/>
        <v>0</v>
      </c>
      <c r="AK27" s="95">
        <v>1</v>
      </c>
      <c r="AL27" s="96">
        <f t="shared" si="45"/>
        <v>1.0722009304576894</v>
      </c>
      <c r="AM27" s="432" t="str">
        <f t="shared" si="21"/>
        <v>(2,1,1,2,1,1); Industry data (French tender)</v>
      </c>
      <c r="AN27" s="435">
        <f t="shared" si="46"/>
        <v>0</v>
      </c>
      <c r="AO27" s="95">
        <v>1</v>
      </c>
      <c r="AP27" s="96">
        <f t="shared" si="47"/>
        <v>1.0722009304576894</v>
      </c>
      <c r="AQ27" s="432" t="str">
        <f t="shared" si="22"/>
        <v>(2,1,1,2,1,1); Industry data (French tender)</v>
      </c>
      <c r="AR27" s="435">
        <v>9.3097360423223304E-3</v>
      </c>
      <c r="AS27" s="95">
        <v>1</v>
      </c>
      <c r="AT27" s="96">
        <f t="shared" si="48"/>
        <v>1.0722009304576894</v>
      </c>
      <c r="AU27" s="432" t="str">
        <f t="shared" si="23"/>
        <v>(2,1,1,2,1,1); Industry data (French tender)</v>
      </c>
      <c r="AV27" s="435">
        <f t="shared" si="49"/>
        <v>9.3097360423223304E-3</v>
      </c>
      <c r="AW27" s="95">
        <v>1</v>
      </c>
      <c r="AX27" s="96">
        <f t="shared" si="50"/>
        <v>1.0722009304576894</v>
      </c>
      <c r="AY27" s="432" t="str">
        <f t="shared" si="24"/>
        <v>(2,1,1,2,1,1); Industry data (French tender)</v>
      </c>
      <c r="AZ27" s="435">
        <f t="shared" si="51"/>
        <v>9.3097360423223304E-3</v>
      </c>
      <c r="BA27" s="95">
        <v>1</v>
      </c>
      <c r="BB27" s="96">
        <f t="shared" si="52"/>
        <v>1.0722009304576894</v>
      </c>
      <c r="BC27" s="432" t="str">
        <f t="shared" si="25"/>
        <v>(2,1,1,2,1,1); Industry data (French tender)</v>
      </c>
      <c r="BD27" s="435">
        <f t="shared" si="53"/>
        <v>9.3097360423223304E-3</v>
      </c>
      <c r="BE27" s="95">
        <v>1</v>
      </c>
      <c r="BF27" s="96">
        <f t="shared" si="54"/>
        <v>1.0722009304576894</v>
      </c>
      <c r="BG27" s="432" t="str">
        <f t="shared" si="26"/>
        <v>(2,1,1,2,1,1); Industry data (French tender)</v>
      </c>
      <c r="BH27" s="435">
        <v>0</v>
      </c>
      <c r="BI27" s="95">
        <v>1</v>
      </c>
      <c r="BJ27" s="96">
        <f t="shared" si="55"/>
        <v>1.0722009304576894</v>
      </c>
      <c r="BK27" s="432" t="str">
        <f t="shared" si="27"/>
        <v xml:space="preserve">(na,na,na,na,na,na); </v>
      </c>
      <c r="BL27" s="435">
        <f t="shared" si="56"/>
        <v>0</v>
      </c>
      <c r="BM27" s="95">
        <v>1</v>
      </c>
      <c r="BN27" s="96">
        <f t="shared" si="57"/>
        <v>1.0722009304576894</v>
      </c>
      <c r="BO27" s="432" t="str">
        <f t="shared" si="28"/>
        <v xml:space="preserve">(na,na,na,na,na,na); </v>
      </c>
      <c r="BP27" s="432"/>
      <c r="BQ27" s="112"/>
      <c r="BR27" s="705" t="s">
        <v>462</v>
      </c>
      <c r="BS27" s="77">
        <v>2</v>
      </c>
      <c r="BT27" s="339">
        <v>1</v>
      </c>
      <c r="BU27" s="339">
        <v>1</v>
      </c>
      <c r="BV27" s="339">
        <v>2</v>
      </c>
      <c r="BW27" s="339">
        <v>1</v>
      </c>
      <c r="BX27" s="339">
        <v>1</v>
      </c>
      <c r="BY27" s="104">
        <v>3</v>
      </c>
      <c r="BZ27" s="104">
        <v>1.05</v>
      </c>
      <c r="CA27" s="104">
        <f t="shared" si="29"/>
        <v>1.0510550504206344</v>
      </c>
      <c r="CB27" s="107">
        <f t="shared" si="30"/>
        <v>1.0722009304576894</v>
      </c>
      <c r="CC27" s="107" t="str">
        <f t="shared" si="31"/>
        <v>(2,1,1,2,1,1)</v>
      </c>
      <c r="CD27" s="108">
        <v>1.05</v>
      </c>
      <c r="CE27" s="108">
        <v>1</v>
      </c>
      <c r="CF27" s="108">
        <v>1</v>
      </c>
      <c r="CG27" s="108">
        <v>1.01</v>
      </c>
      <c r="CH27" s="108">
        <v>1</v>
      </c>
      <c r="CI27" s="108">
        <v>1</v>
      </c>
      <c r="CK27" s="111"/>
      <c r="CL27" s="77" t="s">
        <v>106</v>
      </c>
      <c r="CM27" s="339" t="s">
        <v>106</v>
      </c>
      <c r="CN27" s="339" t="s">
        <v>106</v>
      </c>
      <c r="CO27" s="339" t="s">
        <v>106</v>
      </c>
      <c r="CP27" s="339" t="s">
        <v>106</v>
      </c>
      <c r="CQ27" s="339" t="s">
        <v>106</v>
      </c>
      <c r="CR27" s="104">
        <v>3</v>
      </c>
      <c r="CS27" s="104">
        <v>1.05</v>
      </c>
      <c r="CT27" s="104">
        <f t="shared" si="32"/>
        <v>1</v>
      </c>
      <c r="CU27" s="107">
        <f t="shared" si="33"/>
        <v>1.05</v>
      </c>
      <c r="CV27" s="107" t="str">
        <f t="shared" si="34"/>
        <v>(na,na,na,na,na,na)</v>
      </c>
      <c r="CW27" s="108">
        <v>1</v>
      </c>
      <c r="CX27" s="108">
        <v>1</v>
      </c>
      <c r="CY27" s="108">
        <v>1</v>
      </c>
      <c r="CZ27" s="108">
        <v>1</v>
      </c>
      <c r="DA27" s="108">
        <v>1</v>
      </c>
      <c r="DB27" s="108">
        <v>1</v>
      </c>
    </row>
    <row r="28" spans="1:106" ht="24">
      <c r="A28" s="330">
        <v>142507</v>
      </c>
      <c r="B28" s="331"/>
      <c r="C28" s="88"/>
      <c r="D28" s="340">
        <v>5</v>
      </c>
      <c r="E28" s="341" t="s">
        <v>98</v>
      </c>
      <c r="F28" s="432" t="s">
        <v>464</v>
      </c>
      <c r="G28" s="433" t="s">
        <v>93</v>
      </c>
      <c r="H28" s="434" t="s">
        <v>98</v>
      </c>
      <c r="I28" s="434" t="s">
        <v>98</v>
      </c>
      <c r="J28" s="94">
        <v>0</v>
      </c>
      <c r="K28" s="433" t="s">
        <v>96</v>
      </c>
      <c r="L28" s="435">
        <v>0</v>
      </c>
      <c r="M28" s="95">
        <v>1</v>
      </c>
      <c r="N28" s="96">
        <f t="shared" si="14"/>
        <v>1.0722009304576894</v>
      </c>
      <c r="O28" s="432" t="str">
        <f t="shared" si="15"/>
        <v>(2,1,1,2,1,1); Industry data (French tender), proxy for polyacrylamide</v>
      </c>
      <c r="P28" s="435">
        <f t="shared" si="35"/>
        <v>0</v>
      </c>
      <c r="Q28" s="95">
        <v>1</v>
      </c>
      <c r="R28" s="96">
        <f t="shared" si="36"/>
        <v>1.0722009304576894</v>
      </c>
      <c r="S28" s="437" t="str">
        <f t="shared" si="16"/>
        <v>(2,1,1,2,1,1); Industry data (French tender), proxy for polyacrylamide</v>
      </c>
      <c r="T28" s="435">
        <f t="shared" si="37"/>
        <v>0</v>
      </c>
      <c r="U28" s="95">
        <v>1</v>
      </c>
      <c r="V28" s="96">
        <f t="shared" si="38"/>
        <v>1.0722009304576894</v>
      </c>
      <c r="W28" s="432" t="str">
        <f t="shared" si="17"/>
        <v>(2,1,1,2,1,1); Industry data (French tender), proxy for polyacrylamide</v>
      </c>
      <c r="X28" s="435">
        <f t="shared" si="39"/>
        <v>0</v>
      </c>
      <c r="Y28" s="95">
        <v>1</v>
      </c>
      <c r="Z28" s="96">
        <f t="shared" si="40"/>
        <v>1.0722009304576894</v>
      </c>
      <c r="AA28" s="432" t="str">
        <f t="shared" si="18"/>
        <v>(2,1,1,2,1,1); Industry data (French tender), proxy for polyacrylamide</v>
      </c>
      <c r="AB28" s="435">
        <v>0</v>
      </c>
      <c r="AC28" s="95">
        <v>1</v>
      </c>
      <c r="AD28" s="96">
        <f t="shared" si="41"/>
        <v>1.0722009304576894</v>
      </c>
      <c r="AE28" s="432" t="str">
        <f t="shared" si="19"/>
        <v>(2,1,1,2,1,1); Industry data (French tender), proxy for polyacrylamide</v>
      </c>
      <c r="AF28" s="435">
        <f t="shared" si="42"/>
        <v>0</v>
      </c>
      <c r="AG28" s="95">
        <v>1</v>
      </c>
      <c r="AH28" s="96">
        <f t="shared" si="43"/>
        <v>1.0722009304576894</v>
      </c>
      <c r="AI28" s="432" t="str">
        <f t="shared" si="20"/>
        <v>(2,1,1,2,1,1); Industry data (French tender), proxy for polyacrylamide</v>
      </c>
      <c r="AJ28" s="435">
        <f t="shared" si="44"/>
        <v>0</v>
      </c>
      <c r="AK28" s="95">
        <v>1</v>
      </c>
      <c r="AL28" s="96">
        <f t="shared" si="45"/>
        <v>1.0722009304576894</v>
      </c>
      <c r="AM28" s="432" t="str">
        <f t="shared" si="21"/>
        <v>(2,1,1,2,1,1); Industry data (French tender), proxy for polyacrylamide</v>
      </c>
      <c r="AN28" s="435">
        <f t="shared" si="46"/>
        <v>0</v>
      </c>
      <c r="AO28" s="95">
        <v>1</v>
      </c>
      <c r="AP28" s="96">
        <f t="shared" si="47"/>
        <v>1.0722009304576894</v>
      </c>
      <c r="AQ28" s="432" t="str">
        <f t="shared" si="22"/>
        <v>(2,1,1,2,1,1); Industry data (French tender), proxy for polyacrylamide</v>
      </c>
      <c r="AR28" s="435">
        <v>3.4404065827506598E-3</v>
      </c>
      <c r="AS28" s="95">
        <v>1</v>
      </c>
      <c r="AT28" s="96">
        <f t="shared" si="48"/>
        <v>1.0722009304576894</v>
      </c>
      <c r="AU28" s="432" t="str">
        <f t="shared" si="23"/>
        <v>(2,1,1,2,1,1); Industry data (French tender), proxy for polyacrylamide</v>
      </c>
      <c r="AV28" s="435">
        <f t="shared" si="49"/>
        <v>3.4404065827506598E-3</v>
      </c>
      <c r="AW28" s="95">
        <v>1</v>
      </c>
      <c r="AX28" s="96">
        <f t="shared" si="50"/>
        <v>1.0722009304576894</v>
      </c>
      <c r="AY28" s="432" t="str">
        <f t="shared" si="24"/>
        <v>(2,1,1,2,1,1); Industry data (French tender), proxy for polyacrylamide</v>
      </c>
      <c r="AZ28" s="435">
        <f t="shared" si="51"/>
        <v>3.4404065827506598E-3</v>
      </c>
      <c r="BA28" s="95">
        <v>1</v>
      </c>
      <c r="BB28" s="96">
        <f t="shared" si="52"/>
        <v>1.0722009304576894</v>
      </c>
      <c r="BC28" s="432" t="str">
        <f t="shared" si="25"/>
        <v>(2,1,1,2,1,1); Industry data (French tender), proxy for polyacrylamide</v>
      </c>
      <c r="BD28" s="435">
        <f t="shared" si="53"/>
        <v>3.4404065827506598E-3</v>
      </c>
      <c r="BE28" s="95">
        <v>1</v>
      </c>
      <c r="BF28" s="96">
        <f t="shared" si="54"/>
        <v>1.0722009304576894</v>
      </c>
      <c r="BG28" s="432" t="str">
        <f t="shared" si="26"/>
        <v>(2,1,1,2,1,1); Industry data (French tender), proxy for polyacrylamide</v>
      </c>
      <c r="BH28" s="435">
        <v>0</v>
      </c>
      <c r="BI28" s="95">
        <v>1</v>
      </c>
      <c r="BJ28" s="96">
        <f t="shared" si="55"/>
        <v>1.0722009304576894</v>
      </c>
      <c r="BK28" s="432" t="str">
        <f t="shared" si="27"/>
        <v xml:space="preserve">(na,na,na,na,na,na); </v>
      </c>
      <c r="BL28" s="435">
        <f t="shared" si="56"/>
        <v>0</v>
      </c>
      <c r="BM28" s="95">
        <v>1</v>
      </c>
      <c r="BN28" s="96">
        <f t="shared" si="57"/>
        <v>1.0722009304576894</v>
      </c>
      <c r="BO28" s="432" t="str">
        <f t="shared" si="28"/>
        <v xml:space="preserve">(na,na,na,na,na,na); </v>
      </c>
      <c r="BP28" s="432"/>
      <c r="BQ28" s="112"/>
      <c r="BR28" s="705" t="s">
        <v>465</v>
      </c>
      <c r="BS28" s="77">
        <v>2</v>
      </c>
      <c r="BT28" s="339">
        <v>1</v>
      </c>
      <c r="BU28" s="339">
        <v>1</v>
      </c>
      <c r="BV28" s="339">
        <v>2</v>
      </c>
      <c r="BW28" s="339">
        <v>1</v>
      </c>
      <c r="BX28" s="339">
        <v>1</v>
      </c>
      <c r="BY28" s="104">
        <v>3</v>
      </c>
      <c r="BZ28" s="104">
        <v>1.05</v>
      </c>
      <c r="CA28" s="104">
        <f t="shared" si="29"/>
        <v>1.0510550504206344</v>
      </c>
      <c r="CB28" s="107">
        <f t="shared" si="30"/>
        <v>1.0722009304576894</v>
      </c>
      <c r="CC28" s="107" t="str">
        <f t="shared" si="31"/>
        <v>(2,1,1,2,1,1)</v>
      </c>
      <c r="CD28" s="108">
        <v>1.05</v>
      </c>
      <c r="CE28" s="108">
        <v>1</v>
      </c>
      <c r="CF28" s="108">
        <v>1</v>
      </c>
      <c r="CG28" s="108">
        <v>1.01</v>
      </c>
      <c r="CH28" s="108">
        <v>1</v>
      </c>
      <c r="CI28" s="108">
        <v>1</v>
      </c>
      <c r="CK28" s="111"/>
      <c r="CL28" s="77" t="s">
        <v>106</v>
      </c>
      <c r="CM28" s="339" t="s">
        <v>106</v>
      </c>
      <c r="CN28" s="339" t="s">
        <v>106</v>
      </c>
      <c r="CO28" s="339" t="s">
        <v>106</v>
      </c>
      <c r="CP28" s="339" t="s">
        <v>106</v>
      </c>
      <c r="CQ28" s="339" t="s">
        <v>106</v>
      </c>
      <c r="CR28" s="104">
        <v>3</v>
      </c>
      <c r="CS28" s="104">
        <v>1.05</v>
      </c>
      <c r="CT28" s="104">
        <f t="shared" si="32"/>
        <v>1</v>
      </c>
      <c r="CU28" s="107">
        <f t="shared" si="33"/>
        <v>1.05</v>
      </c>
      <c r="CV28" s="107" t="str">
        <f t="shared" si="34"/>
        <v>(na,na,na,na,na,na)</v>
      </c>
      <c r="CW28" s="108">
        <v>1</v>
      </c>
      <c r="CX28" s="108">
        <v>1</v>
      </c>
      <c r="CY28" s="108">
        <v>1</v>
      </c>
      <c r="CZ28" s="108">
        <v>1</v>
      </c>
      <c r="DA28" s="108">
        <v>1</v>
      </c>
      <c r="DB28" s="108">
        <v>1</v>
      </c>
    </row>
    <row r="29" spans="1:106" ht="24">
      <c r="A29" s="330">
        <v>268715</v>
      </c>
      <c r="B29" s="331"/>
      <c r="C29" s="88"/>
      <c r="D29" s="340">
        <v>5</v>
      </c>
      <c r="E29" s="341" t="s">
        <v>98</v>
      </c>
      <c r="F29" s="432" t="s">
        <v>466</v>
      </c>
      <c r="G29" s="433" t="s">
        <v>93</v>
      </c>
      <c r="H29" s="434" t="s">
        <v>98</v>
      </c>
      <c r="I29" s="434" t="s">
        <v>98</v>
      </c>
      <c r="J29" s="94">
        <v>0</v>
      </c>
      <c r="K29" s="433" t="s">
        <v>96</v>
      </c>
      <c r="L29" s="435">
        <v>0</v>
      </c>
      <c r="M29" s="95">
        <v>1</v>
      </c>
      <c r="N29" s="96">
        <f t="shared" si="14"/>
        <v>1.0722009304576894</v>
      </c>
      <c r="O29" s="432" t="str">
        <f t="shared" si="15"/>
        <v>(2,1,1,2,1,1); Industry data (French tender), proxy for polyaluminium chloride</v>
      </c>
      <c r="P29" s="435">
        <f t="shared" si="35"/>
        <v>0</v>
      </c>
      <c r="Q29" s="95">
        <v>1</v>
      </c>
      <c r="R29" s="96">
        <f t="shared" si="36"/>
        <v>1.0722009304576894</v>
      </c>
      <c r="S29" s="437" t="str">
        <f t="shared" si="16"/>
        <v>(2,1,1,2,1,1); Industry data (French tender), proxy for polyaluminium chloride</v>
      </c>
      <c r="T29" s="435">
        <f t="shared" si="37"/>
        <v>0</v>
      </c>
      <c r="U29" s="95">
        <v>1</v>
      </c>
      <c r="V29" s="96">
        <f t="shared" si="38"/>
        <v>1.0722009304576894</v>
      </c>
      <c r="W29" s="432" t="str">
        <f t="shared" si="17"/>
        <v>(2,1,1,2,1,1); Industry data (French tender), proxy for polyaluminium chloride</v>
      </c>
      <c r="X29" s="435">
        <f t="shared" si="39"/>
        <v>0</v>
      </c>
      <c r="Y29" s="95">
        <v>1</v>
      </c>
      <c r="Z29" s="96">
        <f t="shared" si="40"/>
        <v>1.0722009304576894</v>
      </c>
      <c r="AA29" s="432" t="str">
        <f t="shared" si="18"/>
        <v>(2,1,1,2,1,1); Industry data (French tender), proxy for polyaluminium chloride</v>
      </c>
      <c r="AB29" s="435">
        <v>0</v>
      </c>
      <c r="AC29" s="95">
        <v>1</v>
      </c>
      <c r="AD29" s="96">
        <f t="shared" si="41"/>
        <v>1.0722009304576894</v>
      </c>
      <c r="AE29" s="432" t="str">
        <f t="shared" si="19"/>
        <v>(2,1,1,2,1,1); Industry data (French tender), proxy for polyaluminium chloride</v>
      </c>
      <c r="AF29" s="435">
        <f t="shared" si="42"/>
        <v>0</v>
      </c>
      <c r="AG29" s="95">
        <v>1</v>
      </c>
      <c r="AH29" s="96">
        <f t="shared" si="43"/>
        <v>1.0722009304576894</v>
      </c>
      <c r="AI29" s="432" t="str">
        <f t="shared" si="20"/>
        <v>(2,1,1,2,1,1); Industry data (French tender), proxy for polyaluminium chloride</v>
      </c>
      <c r="AJ29" s="435">
        <f t="shared" si="44"/>
        <v>0</v>
      </c>
      <c r="AK29" s="95">
        <v>1</v>
      </c>
      <c r="AL29" s="96">
        <f t="shared" si="45"/>
        <v>1.0722009304576894</v>
      </c>
      <c r="AM29" s="432" t="str">
        <f t="shared" si="21"/>
        <v>(2,1,1,2,1,1); Industry data (French tender), proxy for polyaluminium chloride</v>
      </c>
      <c r="AN29" s="435">
        <f t="shared" si="46"/>
        <v>0</v>
      </c>
      <c r="AO29" s="95">
        <v>1</v>
      </c>
      <c r="AP29" s="96">
        <f t="shared" si="47"/>
        <v>1.0722009304576894</v>
      </c>
      <c r="AQ29" s="432" t="str">
        <f t="shared" si="22"/>
        <v>(2,1,1,2,1,1); Industry data (French tender), proxy for polyaluminium chloride</v>
      </c>
      <c r="AR29" s="435">
        <v>5.0603149438042895E-4</v>
      </c>
      <c r="AS29" s="95">
        <v>1</v>
      </c>
      <c r="AT29" s="96">
        <f t="shared" si="48"/>
        <v>1.0722009304576894</v>
      </c>
      <c r="AU29" s="432" t="str">
        <f t="shared" si="23"/>
        <v>(2,1,1,2,1,1); Industry data (French tender), proxy for polyaluminium chloride</v>
      </c>
      <c r="AV29" s="435">
        <f t="shared" si="49"/>
        <v>5.0603149438042895E-4</v>
      </c>
      <c r="AW29" s="95">
        <v>1</v>
      </c>
      <c r="AX29" s="96">
        <f t="shared" si="50"/>
        <v>1.0722009304576894</v>
      </c>
      <c r="AY29" s="432" t="str">
        <f t="shared" si="24"/>
        <v>(2,1,1,2,1,1); Industry data (French tender), proxy for polyaluminium chloride</v>
      </c>
      <c r="AZ29" s="435">
        <f t="shared" si="51"/>
        <v>5.0603149438042895E-4</v>
      </c>
      <c r="BA29" s="95">
        <v>1</v>
      </c>
      <c r="BB29" s="96">
        <f t="shared" si="52"/>
        <v>1.0722009304576894</v>
      </c>
      <c r="BC29" s="432" t="str">
        <f t="shared" si="25"/>
        <v>(2,1,1,2,1,1); Industry data (French tender), proxy for polyaluminium chloride</v>
      </c>
      <c r="BD29" s="435">
        <f t="shared" si="53"/>
        <v>5.0603149438042895E-4</v>
      </c>
      <c r="BE29" s="95">
        <v>1</v>
      </c>
      <c r="BF29" s="96">
        <f t="shared" si="54"/>
        <v>1.0722009304576894</v>
      </c>
      <c r="BG29" s="432" t="str">
        <f t="shared" si="26"/>
        <v>(2,1,1,2,1,1); Industry data (French tender), proxy for polyaluminium chloride</v>
      </c>
      <c r="BH29" s="435">
        <v>0</v>
      </c>
      <c r="BI29" s="95">
        <v>1</v>
      </c>
      <c r="BJ29" s="96">
        <f t="shared" si="55"/>
        <v>1.0722009304576894</v>
      </c>
      <c r="BK29" s="432" t="str">
        <f t="shared" si="27"/>
        <v xml:space="preserve">(na,na,na,na,na,na); </v>
      </c>
      <c r="BL29" s="435">
        <f t="shared" si="56"/>
        <v>0</v>
      </c>
      <c r="BM29" s="95">
        <v>1</v>
      </c>
      <c r="BN29" s="96">
        <f t="shared" si="57"/>
        <v>1.0722009304576894</v>
      </c>
      <c r="BO29" s="432" t="str">
        <f t="shared" si="28"/>
        <v xml:space="preserve">(na,na,na,na,na,na); </v>
      </c>
      <c r="BP29" s="432"/>
      <c r="BQ29" s="112"/>
      <c r="BR29" s="705" t="s">
        <v>467</v>
      </c>
      <c r="BS29" s="77">
        <v>2</v>
      </c>
      <c r="BT29" s="339">
        <v>1</v>
      </c>
      <c r="BU29" s="339">
        <v>1</v>
      </c>
      <c r="BV29" s="339">
        <v>2</v>
      </c>
      <c r="BW29" s="339">
        <v>1</v>
      </c>
      <c r="BX29" s="339">
        <v>1</v>
      </c>
      <c r="BY29" s="104">
        <v>3</v>
      </c>
      <c r="BZ29" s="104">
        <v>1.05</v>
      </c>
      <c r="CA29" s="104">
        <f t="shared" si="29"/>
        <v>1.0510550504206344</v>
      </c>
      <c r="CB29" s="107">
        <f t="shared" si="30"/>
        <v>1.0722009304576894</v>
      </c>
      <c r="CC29" s="107" t="str">
        <f t="shared" si="31"/>
        <v>(2,1,1,2,1,1)</v>
      </c>
      <c r="CD29" s="108">
        <v>1.05</v>
      </c>
      <c r="CE29" s="108">
        <v>1</v>
      </c>
      <c r="CF29" s="108">
        <v>1</v>
      </c>
      <c r="CG29" s="108">
        <v>1.01</v>
      </c>
      <c r="CH29" s="108">
        <v>1</v>
      </c>
      <c r="CI29" s="108">
        <v>1</v>
      </c>
      <c r="CK29" s="111"/>
      <c r="CL29" s="77" t="s">
        <v>106</v>
      </c>
      <c r="CM29" s="339" t="s">
        <v>106</v>
      </c>
      <c r="CN29" s="339" t="s">
        <v>106</v>
      </c>
      <c r="CO29" s="339" t="s">
        <v>106</v>
      </c>
      <c r="CP29" s="339" t="s">
        <v>106</v>
      </c>
      <c r="CQ29" s="339" t="s">
        <v>106</v>
      </c>
      <c r="CR29" s="104">
        <v>3</v>
      </c>
      <c r="CS29" s="104">
        <v>1.05</v>
      </c>
      <c r="CT29" s="104">
        <f t="shared" si="32"/>
        <v>1</v>
      </c>
      <c r="CU29" s="107">
        <f t="shared" si="33"/>
        <v>1.05</v>
      </c>
      <c r="CV29" s="107" t="str">
        <f t="shared" si="34"/>
        <v>(na,na,na,na,na,na)</v>
      </c>
      <c r="CW29" s="108">
        <v>1</v>
      </c>
      <c r="CX29" s="108">
        <v>1</v>
      </c>
      <c r="CY29" s="108">
        <v>1</v>
      </c>
      <c r="CZ29" s="108">
        <v>1</v>
      </c>
      <c r="DA29" s="108">
        <v>1</v>
      </c>
      <c r="DB29" s="108">
        <v>1</v>
      </c>
    </row>
    <row r="30" spans="1:106" ht="24">
      <c r="A30" s="330">
        <v>269497</v>
      </c>
      <c r="B30" s="331"/>
      <c r="C30" s="88"/>
      <c r="D30" s="340">
        <v>5</v>
      </c>
      <c r="E30" s="341" t="s">
        <v>98</v>
      </c>
      <c r="F30" s="432" t="s">
        <v>468</v>
      </c>
      <c r="G30" s="433" t="s">
        <v>93</v>
      </c>
      <c r="H30" s="434" t="s">
        <v>98</v>
      </c>
      <c r="I30" s="434" t="s">
        <v>98</v>
      </c>
      <c r="J30" s="94">
        <v>0</v>
      </c>
      <c r="K30" s="433" t="s">
        <v>96</v>
      </c>
      <c r="L30" s="435">
        <v>9.6011560693641598E-2</v>
      </c>
      <c r="M30" s="95">
        <v>1</v>
      </c>
      <c r="N30" s="96">
        <f t="shared" si="14"/>
        <v>1.0722009304576894</v>
      </c>
      <c r="O30" s="432" t="str">
        <f t="shared" si="15"/>
        <v>(2,1,1,2,1,1); Industry data (French tender)</v>
      </c>
      <c r="P30" s="435">
        <f t="shared" si="35"/>
        <v>9.6011560693641598E-2</v>
      </c>
      <c r="Q30" s="95">
        <v>1</v>
      </c>
      <c r="R30" s="96">
        <f t="shared" si="36"/>
        <v>1.0722009304576894</v>
      </c>
      <c r="S30" s="437" t="str">
        <f t="shared" si="16"/>
        <v>(2,1,1,2,1,1); Industry data (French tender)</v>
      </c>
      <c r="T30" s="435">
        <f t="shared" si="37"/>
        <v>9.6011560693641598E-2</v>
      </c>
      <c r="U30" s="95">
        <v>1</v>
      </c>
      <c r="V30" s="96">
        <f t="shared" si="38"/>
        <v>1.0722009304576894</v>
      </c>
      <c r="W30" s="432" t="str">
        <f t="shared" si="17"/>
        <v>(2,1,1,2,1,1); Industry data (French tender)</v>
      </c>
      <c r="X30" s="435">
        <f t="shared" si="39"/>
        <v>9.6011560693641598E-2</v>
      </c>
      <c r="Y30" s="95">
        <v>1</v>
      </c>
      <c r="Z30" s="96">
        <f t="shared" si="40"/>
        <v>1.0722009304576894</v>
      </c>
      <c r="AA30" s="432" t="str">
        <f t="shared" si="18"/>
        <v>(2,1,1,2,1,1); Industry data (French tender)</v>
      </c>
      <c r="AB30" s="435">
        <v>0</v>
      </c>
      <c r="AC30" s="95">
        <v>1</v>
      </c>
      <c r="AD30" s="96">
        <f t="shared" si="41"/>
        <v>1.0722009304576894</v>
      </c>
      <c r="AE30" s="432" t="str">
        <f t="shared" si="19"/>
        <v>(2,1,1,2,1,1); Industry data (French tender)</v>
      </c>
      <c r="AF30" s="435">
        <f t="shared" si="42"/>
        <v>0</v>
      </c>
      <c r="AG30" s="95">
        <v>1</v>
      </c>
      <c r="AH30" s="96">
        <f t="shared" si="43"/>
        <v>1.0722009304576894</v>
      </c>
      <c r="AI30" s="432" t="str">
        <f t="shared" si="20"/>
        <v>(2,1,1,2,1,1); Industry data (French tender)</v>
      </c>
      <c r="AJ30" s="435">
        <f t="shared" si="44"/>
        <v>0</v>
      </c>
      <c r="AK30" s="95">
        <v>1</v>
      </c>
      <c r="AL30" s="96">
        <f t="shared" si="45"/>
        <v>1.0722009304576894</v>
      </c>
      <c r="AM30" s="432" t="str">
        <f t="shared" si="21"/>
        <v>(2,1,1,2,1,1); Industry data (French tender)</v>
      </c>
      <c r="AN30" s="435">
        <f t="shared" si="46"/>
        <v>0</v>
      </c>
      <c r="AO30" s="95">
        <v>1</v>
      </c>
      <c r="AP30" s="96">
        <f t="shared" si="47"/>
        <v>1.0722009304576894</v>
      </c>
      <c r="AQ30" s="432" t="str">
        <f t="shared" si="22"/>
        <v>(2,1,1,2,1,1); Industry data (French tender)</v>
      </c>
      <c r="AR30" s="435">
        <v>2.4331098953688898E-3</v>
      </c>
      <c r="AS30" s="95">
        <v>1</v>
      </c>
      <c r="AT30" s="96">
        <f t="shared" si="48"/>
        <v>1.0722009304576894</v>
      </c>
      <c r="AU30" s="432" t="str">
        <f t="shared" si="23"/>
        <v>(2,1,1,2,1,1); Industry data (French tender)</v>
      </c>
      <c r="AV30" s="435">
        <f t="shared" si="49"/>
        <v>2.4331098953688898E-3</v>
      </c>
      <c r="AW30" s="95">
        <v>1</v>
      </c>
      <c r="AX30" s="96">
        <f t="shared" si="50"/>
        <v>1.0722009304576894</v>
      </c>
      <c r="AY30" s="432" t="str">
        <f t="shared" si="24"/>
        <v>(2,1,1,2,1,1); Industry data (French tender)</v>
      </c>
      <c r="AZ30" s="435">
        <f t="shared" si="51"/>
        <v>2.4331098953688898E-3</v>
      </c>
      <c r="BA30" s="95">
        <v>1</v>
      </c>
      <c r="BB30" s="96">
        <f t="shared" si="52"/>
        <v>1.0722009304576894</v>
      </c>
      <c r="BC30" s="432" t="str">
        <f t="shared" si="25"/>
        <v>(2,1,1,2,1,1); Industry data (French tender)</v>
      </c>
      <c r="BD30" s="435">
        <f t="shared" si="53"/>
        <v>2.4331098953688898E-3</v>
      </c>
      <c r="BE30" s="95">
        <v>1</v>
      </c>
      <c r="BF30" s="96">
        <f t="shared" si="54"/>
        <v>1.0722009304576894</v>
      </c>
      <c r="BG30" s="432" t="str">
        <f t="shared" si="26"/>
        <v>(2,1,1,2,1,1); Industry data (French tender)</v>
      </c>
      <c r="BH30" s="435">
        <v>6.2E-2</v>
      </c>
      <c r="BI30" s="95">
        <v>1</v>
      </c>
      <c r="BJ30" s="96">
        <f t="shared" si="55"/>
        <v>1.0722009304576894</v>
      </c>
      <c r="BK30" s="432" t="str">
        <f t="shared" si="27"/>
        <v>(2,4,1,3,1,5); Brailovsky (2026)</v>
      </c>
      <c r="BL30" s="435">
        <f t="shared" si="56"/>
        <v>6.2E-2</v>
      </c>
      <c r="BM30" s="95">
        <v>1</v>
      </c>
      <c r="BN30" s="96">
        <f t="shared" si="57"/>
        <v>1.0722009304576894</v>
      </c>
      <c r="BO30" s="432" t="str">
        <f t="shared" si="28"/>
        <v>(2,4,1,3,1,5); Brailovsky (2026)</v>
      </c>
      <c r="BP30" s="432"/>
      <c r="BQ30" s="112"/>
      <c r="BR30" s="705" t="s">
        <v>462</v>
      </c>
      <c r="BS30" s="77">
        <v>2</v>
      </c>
      <c r="BT30" s="339">
        <v>1</v>
      </c>
      <c r="BU30" s="339">
        <v>1</v>
      </c>
      <c r="BV30" s="339">
        <v>2</v>
      </c>
      <c r="BW30" s="339">
        <v>1</v>
      </c>
      <c r="BX30" s="339">
        <v>1</v>
      </c>
      <c r="BY30" s="104">
        <v>3</v>
      </c>
      <c r="BZ30" s="104">
        <v>1.05</v>
      </c>
      <c r="CA30" s="104">
        <f t="shared" si="29"/>
        <v>1.0510550504206344</v>
      </c>
      <c r="CB30" s="107">
        <f t="shared" si="30"/>
        <v>1.0722009304576894</v>
      </c>
      <c r="CC30" s="107" t="str">
        <f t="shared" si="31"/>
        <v>(2,1,1,2,1,1)</v>
      </c>
      <c r="CD30" s="108">
        <v>1.05</v>
      </c>
      <c r="CE30" s="108">
        <v>1</v>
      </c>
      <c r="CF30" s="108">
        <v>1</v>
      </c>
      <c r="CG30" s="108">
        <v>1.01</v>
      </c>
      <c r="CH30" s="108">
        <v>1</v>
      </c>
      <c r="CI30" s="108">
        <v>1</v>
      </c>
      <c r="CK30" s="111" t="s">
        <v>469</v>
      </c>
      <c r="CL30" s="77">
        <v>2</v>
      </c>
      <c r="CM30" s="339">
        <v>4</v>
      </c>
      <c r="CN30" s="339">
        <v>1</v>
      </c>
      <c r="CO30" s="339">
        <v>3</v>
      </c>
      <c r="CP30" s="339">
        <v>1</v>
      </c>
      <c r="CQ30" s="339">
        <v>5</v>
      </c>
      <c r="CR30" s="104">
        <v>3</v>
      </c>
      <c r="CS30" s="104">
        <v>1.05</v>
      </c>
      <c r="CT30" s="104">
        <f t="shared" si="32"/>
        <v>1.2365959919080913</v>
      </c>
      <c r="CU30" s="107">
        <f t="shared" si="33"/>
        <v>1.2434566510799234</v>
      </c>
      <c r="CV30" s="107" t="str">
        <f t="shared" si="34"/>
        <v>(2,4,1,3,1,5)</v>
      </c>
      <c r="CW30" s="108">
        <v>1.05</v>
      </c>
      <c r="CX30" s="108">
        <v>1.1000000000000001</v>
      </c>
      <c r="CY30" s="108">
        <v>1</v>
      </c>
      <c r="CZ30" s="108">
        <v>1.02</v>
      </c>
      <c r="DA30" s="108">
        <v>1</v>
      </c>
      <c r="DB30" s="108">
        <v>1.2</v>
      </c>
    </row>
    <row r="31" spans="1:106" ht="24">
      <c r="A31" s="330">
        <v>269201</v>
      </c>
      <c r="B31" s="331"/>
      <c r="C31" s="88"/>
      <c r="D31" s="340">
        <v>5</v>
      </c>
      <c r="E31" s="341" t="s">
        <v>98</v>
      </c>
      <c r="F31" s="432" t="s">
        <v>470</v>
      </c>
      <c r="G31" s="433" t="s">
        <v>93</v>
      </c>
      <c r="H31" s="434" t="s">
        <v>98</v>
      </c>
      <c r="I31" s="434" t="s">
        <v>98</v>
      </c>
      <c r="J31" s="94">
        <v>0</v>
      </c>
      <c r="K31" s="433" t="s">
        <v>96</v>
      </c>
      <c r="L31" s="435">
        <v>0.18208092485549099</v>
      </c>
      <c r="M31" s="95">
        <v>1</v>
      </c>
      <c r="N31" s="96">
        <f t="shared" si="14"/>
        <v>1.0722009304576894</v>
      </c>
      <c r="O31" s="432" t="str">
        <f t="shared" si="15"/>
        <v>(2,1,1,2,1,1); Industry data (French tender)</v>
      </c>
      <c r="P31" s="435">
        <f t="shared" si="35"/>
        <v>0.18208092485549099</v>
      </c>
      <c r="Q31" s="95">
        <v>1</v>
      </c>
      <c r="R31" s="96">
        <f t="shared" si="36"/>
        <v>1.0722009304576894</v>
      </c>
      <c r="S31" s="437" t="str">
        <f t="shared" si="16"/>
        <v>(2,1,1,2,1,1); Industry data (French tender)</v>
      </c>
      <c r="T31" s="435">
        <f t="shared" si="37"/>
        <v>0.18208092485549099</v>
      </c>
      <c r="U31" s="95">
        <v>1</v>
      </c>
      <c r="V31" s="96">
        <f t="shared" si="38"/>
        <v>1.0722009304576894</v>
      </c>
      <c r="W31" s="432" t="str">
        <f t="shared" si="17"/>
        <v>(2,1,1,2,1,1); Industry data (French tender)</v>
      </c>
      <c r="X31" s="435">
        <f t="shared" si="39"/>
        <v>0.18208092485549099</v>
      </c>
      <c r="Y31" s="95">
        <v>1</v>
      </c>
      <c r="Z31" s="96">
        <f t="shared" si="40"/>
        <v>1.0722009304576894</v>
      </c>
      <c r="AA31" s="432" t="str">
        <f t="shared" si="18"/>
        <v>(2,1,1,2,1,1); Industry data (French tender)</v>
      </c>
      <c r="AB31" s="435">
        <v>0</v>
      </c>
      <c r="AC31" s="95">
        <v>1</v>
      </c>
      <c r="AD31" s="96">
        <f t="shared" si="41"/>
        <v>1.0722009304576894</v>
      </c>
      <c r="AE31" s="432" t="str">
        <f t="shared" si="19"/>
        <v>(2,1,1,2,1,1); Industry data (French tender)</v>
      </c>
      <c r="AF31" s="435">
        <f t="shared" si="42"/>
        <v>0</v>
      </c>
      <c r="AG31" s="95">
        <v>1</v>
      </c>
      <c r="AH31" s="96">
        <f t="shared" si="43"/>
        <v>1.0722009304576894</v>
      </c>
      <c r="AI31" s="432" t="str">
        <f t="shared" si="20"/>
        <v>(2,1,1,2,1,1); Industry data (French tender)</v>
      </c>
      <c r="AJ31" s="435">
        <f t="shared" si="44"/>
        <v>0</v>
      </c>
      <c r="AK31" s="95">
        <v>1</v>
      </c>
      <c r="AL31" s="96">
        <f t="shared" si="45"/>
        <v>1.0722009304576894</v>
      </c>
      <c r="AM31" s="432" t="str">
        <f t="shared" si="21"/>
        <v>(2,1,1,2,1,1); Industry data (French tender)</v>
      </c>
      <c r="AN31" s="435">
        <f t="shared" si="46"/>
        <v>0</v>
      </c>
      <c r="AO31" s="95">
        <v>1</v>
      </c>
      <c r="AP31" s="96">
        <f t="shared" si="47"/>
        <v>1.0722009304576894</v>
      </c>
      <c r="AQ31" s="432" t="str">
        <f t="shared" si="22"/>
        <v>(2,1,1,2,1,1); Industry data (French tender)</v>
      </c>
      <c r="AR31" s="435">
        <v>0</v>
      </c>
      <c r="AS31" s="95">
        <v>1</v>
      </c>
      <c r="AT31" s="96">
        <f t="shared" si="48"/>
        <v>1.0722009304576894</v>
      </c>
      <c r="AU31" s="432" t="str">
        <f t="shared" si="23"/>
        <v>(2,1,1,2,1,1); Industry data (French tender)</v>
      </c>
      <c r="AV31" s="435">
        <f t="shared" si="49"/>
        <v>0</v>
      </c>
      <c r="AW31" s="95">
        <v>1</v>
      </c>
      <c r="AX31" s="96">
        <f t="shared" si="50"/>
        <v>1.0722009304576894</v>
      </c>
      <c r="AY31" s="432" t="str">
        <f t="shared" si="24"/>
        <v>(2,1,1,2,1,1); Industry data (French tender)</v>
      </c>
      <c r="AZ31" s="435">
        <f t="shared" si="51"/>
        <v>0</v>
      </c>
      <c r="BA31" s="95">
        <v>1</v>
      </c>
      <c r="BB31" s="96">
        <f t="shared" si="52"/>
        <v>1.0722009304576894</v>
      </c>
      <c r="BC31" s="432" t="str">
        <f t="shared" si="25"/>
        <v>(2,1,1,2,1,1); Industry data (French tender)</v>
      </c>
      <c r="BD31" s="435">
        <f t="shared" si="53"/>
        <v>0</v>
      </c>
      <c r="BE31" s="95">
        <v>1</v>
      </c>
      <c r="BF31" s="96">
        <f t="shared" si="54"/>
        <v>1.0722009304576894</v>
      </c>
      <c r="BG31" s="432" t="str">
        <f t="shared" si="26"/>
        <v>(2,1,1,2,1,1); Industry data (French tender)</v>
      </c>
      <c r="BH31" s="435">
        <v>0</v>
      </c>
      <c r="BI31" s="95">
        <v>1</v>
      </c>
      <c r="BJ31" s="96">
        <f t="shared" si="55"/>
        <v>1.0722009304576894</v>
      </c>
      <c r="BK31" s="432" t="str">
        <f t="shared" si="27"/>
        <v xml:space="preserve">(na,na,na,na,na,na); </v>
      </c>
      <c r="BL31" s="435">
        <f t="shared" si="56"/>
        <v>0</v>
      </c>
      <c r="BM31" s="95">
        <v>1</v>
      </c>
      <c r="BN31" s="96">
        <f t="shared" si="57"/>
        <v>1.0722009304576894</v>
      </c>
      <c r="BO31" s="432" t="str">
        <f t="shared" si="28"/>
        <v xml:space="preserve">(na,na,na,na,na,na); </v>
      </c>
      <c r="BP31" s="432"/>
      <c r="BQ31" s="112"/>
      <c r="BR31" s="705" t="s">
        <v>462</v>
      </c>
      <c r="BS31" s="77">
        <v>2</v>
      </c>
      <c r="BT31" s="339">
        <v>1</v>
      </c>
      <c r="BU31" s="339">
        <v>1</v>
      </c>
      <c r="BV31" s="339">
        <v>2</v>
      </c>
      <c r="BW31" s="339">
        <v>1</v>
      </c>
      <c r="BX31" s="339">
        <v>1</v>
      </c>
      <c r="BY31" s="104">
        <v>3</v>
      </c>
      <c r="BZ31" s="104">
        <v>1.05</v>
      </c>
      <c r="CA31" s="104">
        <f t="shared" si="29"/>
        <v>1.0510550504206344</v>
      </c>
      <c r="CB31" s="107">
        <f t="shared" si="30"/>
        <v>1.0722009304576894</v>
      </c>
      <c r="CC31" s="107" t="str">
        <f t="shared" si="31"/>
        <v>(2,1,1,2,1,1)</v>
      </c>
      <c r="CD31" s="108">
        <v>1.05</v>
      </c>
      <c r="CE31" s="108">
        <v>1</v>
      </c>
      <c r="CF31" s="108">
        <v>1</v>
      </c>
      <c r="CG31" s="108">
        <v>1.01</v>
      </c>
      <c r="CH31" s="108">
        <v>1</v>
      </c>
      <c r="CI31" s="108">
        <v>1</v>
      </c>
      <c r="CK31" s="111"/>
      <c r="CL31" s="77" t="s">
        <v>106</v>
      </c>
      <c r="CM31" s="339" t="s">
        <v>106</v>
      </c>
      <c r="CN31" s="339" t="s">
        <v>106</v>
      </c>
      <c r="CO31" s="339" t="s">
        <v>106</v>
      </c>
      <c r="CP31" s="339" t="s">
        <v>106</v>
      </c>
      <c r="CQ31" s="339" t="s">
        <v>106</v>
      </c>
      <c r="CR31" s="104">
        <v>3</v>
      </c>
      <c r="CS31" s="104">
        <v>1.05</v>
      </c>
      <c r="CT31" s="104">
        <f t="shared" si="32"/>
        <v>1</v>
      </c>
      <c r="CU31" s="107">
        <f t="shared" si="33"/>
        <v>1.05</v>
      </c>
      <c r="CV31" s="107" t="str">
        <f t="shared" si="34"/>
        <v>(na,na,na,na,na,na)</v>
      </c>
      <c r="CW31" s="108">
        <v>1</v>
      </c>
      <c r="CX31" s="108">
        <v>1</v>
      </c>
      <c r="CY31" s="108">
        <v>1</v>
      </c>
      <c r="CZ31" s="108">
        <v>1</v>
      </c>
      <c r="DA31" s="108">
        <v>1</v>
      </c>
      <c r="DB31" s="108">
        <v>1</v>
      </c>
    </row>
    <row r="32" spans="1:106" ht="36">
      <c r="A32" s="330">
        <v>139753</v>
      </c>
      <c r="B32" s="331"/>
      <c r="C32" s="88"/>
      <c r="D32" s="340">
        <v>5</v>
      </c>
      <c r="E32" s="341" t="s">
        <v>98</v>
      </c>
      <c r="F32" s="432" t="s">
        <v>471</v>
      </c>
      <c r="G32" s="433" t="s">
        <v>103</v>
      </c>
      <c r="H32" s="434" t="s">
        <v>98</v>
      </c>
      <c r="I32" s="434" t="s">
        <v>98</v>
      </c>
      <c r="J32" s="94">
        <v>0</v>
      </c>
      <c r="K32" s="433" t="s">
        <v>96</v>
      </c>
      <c r="L32" s="435">
        <v>0</v>
      </c>
      <c r="M32" s="95">
        <v>1</v>
      </c>
      <c r="N32" s="96">
        <f t="shared" si="14"/>
        <v>1.05</v>
      </c>
      <c r="O32" s="432" t="str">
        <f t="shared" si="15"/>
        <v xml:space="preserve">(na,na,na,na,na,na); </v>
      </c>
      <c r="P32" s="435">
        <f t="shared" si="35"/>
        <v>0</v>
      </c>
      <c r="Q32" s="95">
        <v>1</v>
      </c>
      <c r="R32" s="96">
        <f t="shared" si="36"/>
        <v>1.05</v>
      </c>
      <c r="S32" s="437" t="str">
        <f t="shared" si="16"/>
        <v xml:space="preserve">(na,na,na,na,na,na); </v>
      </c>
      <c r="T32" s="435">
        <f t="shared" si="37"/>
        <v>0</v>
      </c>
      <c r="U32" s="95">
        <v>1</v>
      </c>
      <c r="V32" s="96">
        <f t="shared" si="38"/>
        <v>1.05</v>
      </c>
      <c r="W32" s="432" t="str">
        <f t="shared" si="17"/>
        <v xml:space="preserve">(na,na,na,na,na,na); </v>
      </c>
      <c r="X32" s="435">
        <f t="shared" si="39"/>
        <v>0</v>
      </c>
      <c r="Y32" s="95">
        <v>1</v>
      </c>
      <c r="Z32" s="96">
        <f t="shared" si="40"/>
        <v>1.05</v>
      </c>
      <c r="AA32" s="432" t="str">
        <f t="shared" si="18"/>
        <v xml:space="preserve">(na,na,na,na,na,na); </v>
      </c>
      <c r="AB32" s="435">
        <v>0</v>
      </c>
      <c r="AC32" s="95">
        <v>1</v>
      </c>
      <c r="AD32" s="96">
        <f t="shared" si="41"/>
        <v>1.05</v>
      </c>
      <c r="AE32" s="432" t="str">
        <f t="shared" si="19"/>
        <v xml:space="preserve">(na,na,na,na,na,na); </v>
      </c>
      <c r="AF32" s="435">
        <f t="shared" si="42"/>
        <v>0</v>
      </c>
      <c r="AG32" s="95">
        <v>1</v>
      </c>
      <c r="AH32" s="96">
        <f t="shared" si="43"/>
        <v>1.05</v>
      </c>
      <c r="AI32" s="432" t="str">
        <f t="shared" si="20"/>
        <v xml:space="preserve">(na,na,na,na,na,na); </v>
      </c>
      <c r="AJ32" s="435">
        <f t="shared" si="44"/>
        <v>0</v>
      </c>
      <c r="AK32" s="95">
        <v>1</v>
      </c>
      <c r="AL32" s="96">
        <f t="shared" si="45"/>
        <v>1.05</v>
      </c>
      <c r="AM32" s="432" t="str">
        <f t="shared" si="21"/>
        <v xml:space="preserve">(na,na,na,na,na,na); </v>
      </c>
      <c r="AN32" s="435">
        <f t="shared" si="46"/>
        <v>0</v>
      </c>
      <c r="AO32" s="95">
        <v>1</v>
      </c>
      <c r="AP32" s="96">
        <f t="shared" si="47"/>
        <v>1.05</v>
      </c>
      <c r="AQ32" s="432" t="str">
        <f t="shared" si="22"/>
        <v xml:space="preserve">(na,na,na,na,na,na); </v>
      </c>
      <c r="AR32" s="435">
        <v>0</v>
      </c>
      <c r="AS32" s="95">
        <v>1</v>
      </c>
      <c r="AT32" s="96">
        <f t="shared" si="48"/>
        <v>1.05</v>
      </c>
      <c r="AU32" s="432" t="str">
        <f t="shared" si="23"/>
        <v xml:space="preserve">(na,na,na,na,na,na); </v>
      </c>
      <c r="AV32" s="435">
        <f t="shared" si="49"/>
        <v>0</v>
      </c>
      <c r="AW32" s="95">
        <v>1</v>
      </c>
      <c r="AX32" s="96">
        <f t="shared" si="50"/>
        <v>1.05</v>
      </c>
      <c r="AY32" s="432" t="str">
        <f t="shared" si="24"/>
        <v xml:space="preserve">(na,na,na,na,na,na); </v>
      </c>
      <c r="AZ32" s="435">
        <f t="shared" si="51"/>
        <v>0</v>
      </c>
      <c r="BA32" s="95">
        <v>1</v>
      </c>
      <c r="BB32" s="96">
        <f t="shared" si="52"/>
        <v>1.05</v>
      </c>
      <c r="BC32" s="432" t="str">
        <f t="shared" si="25"/>
        <v xml:space="preserve">(na,na,na,na,na,na); </v>
      </c>
      <c r="BD32" s="435">
        <f t="shared" si="53"/>
        <v>0</v>
      </c>
      <c r="BE32" s="95">
        <v>1</v>
      </c>
      <c r="BF32" s="96">
        <f t="shared" si="54"/>
        <v>1.05</v>
      </c>
      <c r="BG32" s="432" t="str">
        <f t="shared" si="26"/>
        <v xml:space="preserve">(na,na,na,na,na,na); </v>
      </c>
      <c r="BH32" s="435">
        <v>3.2000000000000001E-2</v>
      </c>
      <c r="BI32" s="95">
        <v>1</v>
      </c>
      <c r="BJ32" s="96">
        <f t="shared" si="55"/>
        <v>1.05</v>
      </c>
      <c r="BK32" s="432" t="str">
        <f t="shared" si="27"/>
        <v>(2,4,1,3,1,5); Brailovsky (2026)</v>
      </c>
      <c r="BL32" s="435">
        <f t="shared" si="56"/>
        <v>3.2000000000000001E-2</v>
      </c>
      <c r="BM32" s="95">
        <v>1</v>
      </c>
      <c r="BN32" s="96">
        <f t="shared" si="57"/>
        <v>1.05</v>
      </c>
      <c r="BO32" s="432" t="str">
        <f t="shared" si="28"/>
        <v>(2,4,1,3,1,5); Brailovsky (2026)</v>
      </c>
      <c r="BP32" s="432"/>
      <c r="BQ32" s="112"/>
      <c r="BR32" s="705"/>
      <c r="BS32" s="77" t="s">
        <v>106</v>
      </c>
      <c r="BT32" s="339" t="s">
        <v>106</v>
      </c>
      <c r="BU32" s="339" t="s">
        <v>106</v>
      </c>
      <c r="BV32" s="339" t="s">
        <v>106</v>
      </c>
      <c r="BW32" s="339" t="s">
        <v>106</v>
      </c>
      <c r="BX32" s="339" t="s">
        <v>106</v>
      </c>
      <c r="BY32" s="104">
        <v>3</v>
      </c>
      <c r="BZ32" s="104">
        <v>1.05</v>
      </c>
      <c r="CA32" s="104">
        <f t="shared" si="29"/>
        <v>1</v>
      </c>
      <c r="CB32" s="107">
        <f t="shared" si="30"/>
        <v>1.05</v>
      </c>
      <c r="CC32" s="107" t="str">
        <f t="shared" si="31"/>
        <v>(na,na,na,na,na,na)</v>
      </c>
      <c r="CD32" s="108">
        <v>1</v>
      </c>
      <c r="CE32" s="108">
        <v>1</v>
      </c>
      <c r="CF32" s="108">
        <v>1</v>
      </c>
      <c r="CG32" s="108">
        <v>1</v>
      </c>
      <c r="CH32" s="108">
        <v>1</v>
      </c>
      <c r="CI32" s="108">
        <v>1</v>
      </c>
      <c r="CK32" s="111" t="s">
        <v>469</v>
      </c>
      <c r="CL32" s="77">
        <v>2</v>
      </c>
      <c r="CM32" s="339">
        <v>4</v>
      </c>
      <c r="CN32" s="339">
        <v>1</v>
      </c>
      <c r="CO32" s="339">
        <v>3</v>
      </c>
      <c r="CP32" s="339">
        <v>1</v>
      </c>
      <c r="CQ32" s="339">
        <v>5</v>
      </c>
      <c r="CR32" s="104">
        <v>3</v>
      </c>
      <c r="CS32" s="104">
        <v>1.05</v>
      </c>
      <c r="CT32" s="104">
        <f t="shared" si="32"/>
        <v>1.2365959919080913</v>
      </c>
      <c r="CU32" s="107">
        <f t="shared" si="33"/>
        <v>1.2434566510799234</v>
      </c>
      <c r="CV32" s="107" t="str">
        <f t="shared" si="34"/>
        <v>(2,4,1,3,1,5)</v>
      </c>
      <c r="CW32" s="108">
        <v>1.05</v>
      </c>
      <c r="CX32" s="108">
        <v>1.1000000000000001</v>
      </c>
      <c r="CY32" s="108">
        <v>1</v>
      </c>
      <c r="CZ32" s="108">
        <v>1.02</v>
      </c>
      <c r="DA32" s="108">
        <v>1</v>
      </c>
      <c r="DB32" s="108">
        <v>1.2</v>
      </c>
    </row>
    <row r="33" spans="1:106">
      <c r="A33" s="330">
        <v>269223</v>
      </c>
      <c r="B33" s="331"/>
      <c r="C33" s="88"/>
      <c r="D33" s="340">
        <v>5</v>
      </c>
      <c r="E33" s="341" t="s">
        <v>98</v>
      </c>
      <c r="F33" s="432" t="s">
        <v>318</v>
      </c>
      <c r="G33" s="433" t="s">
        <v>93</v>
      </c>
      <c r="H33" s="434" t="s">
        <v>98</v>
      </c>
      <c r="I33" s="434" t="s">
        <v>98</v>
      </c>
      <c r="J33" s="94">
        <v>0</v>
      </c>
      <c r="K33" s="433" t="s">
        <v>96</v>
      </c>
      <c r="L33" s="435">
        <v>1.4</v>
      </c>
      <c r="M33" s="95">
        <v>1</v>
      </c>
      <c r="N33" s="96">
        <f t="shared" si="14"/>
        <v>1.0722009304576894</v>
      </c>
      <c r="O33" s="432" t="str">
        <f t="shared" si="15"/>
        <v>(2,1,1,2,1,1); Industry data (French tender)</v>
      </c>
      <c r="P33" s="435">
        <f t="shared" si="35"/>
        <v>1.4</v>
      </c>
      <c r="Q33" s="95">
        <v>1</v>
      </c>
      <c r="R33" s="96">
        <f t="shared" si="36"/>
        <v>1.0722009304576894</v>
      </c>
      <c r="S33" s="437" t="str">
        <f t="shared" si="16"/>
        <v>(2,1,1,2,1,1); Industry data (French tender)</v>
      </c>
      <c r="T33" s="435">
        <f t="shared" si="37"/>
        <v>1.4</v>
      </c>
      <c r="U33" s="95">
        <v>1</v>
      </c>
      <c r="V33" s="96">
        <f t="shared" si="38"/>
        <v>1.0722009304576894</v>
      </c>
      <c r="W33" s="432" t="str">
        <f t="shared" si="17"/>
        <v>(2,1,1,2,1,1); Industry data (French tender)</v>
      </c>
      <c r="X33" s="435">
        <f t="shared" si="39"/>
        <v>1.4</v>
      </c>
      <c r="Y33" s="95">
        <v>1</v>
      </c>
      <c r="Z33" s="96">
        <f t="shared" si="40"/>
        <v>1.0722009304576894</v>
      </c>
      <c r="AA33" s="432" t="str">
        <f t="shared" si="18"/>
        <v>(2,1,1,2,1,1); Industry data (French tender)</v>
      </c>
      <c r="AB33" s="435">
        <v>0.34602243589743598</v>
      </c>
      <c r="AC33" s="95">
        <v>1</v>
      </c>
      <c r="AD33" s="96">
        <f t="shared" si="41"/>
        <v>1.0722009304576894</v>
      </c>
      <c r="AE33" s="432" t="str">
        <f t="shared" si="19"/>
        <v>(2,1,1,2,1,1); Industry data (French tender)</v>
      </c>
      <c r="AF33" s="435">
        <f t="shared" si="42"/>
        <v>0.34602243589743598</v>
      </c>
      <c r="AG33" s="95">
        <v>1</v>
      </c>
      <c r="AH33" s="96">
        <f t="shared" si="43"/>
        <v>1.0722009304576894</v>
      </c>
      <c r="AI33" s="432" t="str">
        <f t="shared" si="20"/>
        <v>(2,1,1,2,1,1); Industry data (French tender)</v>
      </c>
      <c r="AJ33" s="435">
        <f t="shared" si="44"/>
        <v>0.34602243589743598</v>
      </c>
      <c r="AK33" s="95">
        <v>1</v>
      </c>
      <c r="AL33" s="96">
        <f t="shared" si="45"/>
        <v>1.0722009304576894</v>
      </c>
      <c r="AM33" s="432" t="str">
        <f t="shared" si="21"/>
        <v>(2,1,1,2,1,1); Industry data (French tender)</v>
      </c>
      <c r="AN33" s="435">
        <f t="shared" si="46"/>
        <v>0.34602243589743598</v>
      </c>
      <c r="AO33" s="95">
        <v>1</v>
      </c>
      <c r="AP33" s="96">
        <f t="shared" si="47"/>
        <v>1.0722009304576894</v>
      </c>
      <c r="AQ33" s="432" t="str">
        <f t="shared" si="22"/>
        <v>(2,1,1,2,1,1); Industry data (French tender)</v>
      </c>
      <c r="AR33" s="435">
        <v>0</v>
      </c>
      <c r="AS33" s="95">
        <v>1</v>
      </c>
      <c r="AT33" s="96">
        <f t="shared" si="48"/>
        <v>1.0722009304576894</v>
      </c>
      <c r="AU33" s="432" t="str">
        <f t="shared" si="23"/>
        <v>(2,1,1,2,1,1); Industry data (French tender)</v>
      </c>
      <c r="AV33" s="435">
        <f t="shared" si="49"/>
        <v>0</v>
      </c>
      <c r="AW33" s="95">
        <v>1</v>
      </c>
      <c r="AX33" s="96">
        <f t="shared" si="50"/>
        <v>1.0722009304576894</v>
      </c>
      <c r="AY33" s="432" t="str">
        <f t="shared" si="24"/>
        <v>(2,1,1,2,1,1); Industry data (French tender)</v>
      </c>
      <c r="AZ33" s="435">
        <f t="shared" si="51"/>
        <v>0</v>
      </c>
      <c r="BA33" s="95">
        <v>1</v>
      </c>
      <c r="BB33" s="96">
        <f t="shared" si="52"/>
        <v>1.0722009304576894</v>
      </c>
      <c r="BC33" s="432" t="str">
        <f t="shared" si="25"/>
        <v>(2,1,1,2,1,1); Industry data (French tender)</v>
      </c>
      <c r="BD33" s="435">
        <f t="shared" si="53"/>
        <v>0</v>
      </c>
      <c r="BE33" s="95">
        <v>1</v>
      </c>
      <c r="BF33" s="96">
        <f t="shared" si="54"/>
        <v>1.0722009304576894</v>
      </c>
      <c r="BG33" s="432" t="str">
        <f t="shared" si="26"/>
        <v>(2,1,1,2,1,1); Industry data (French tender)</v>
      </c>
      <c r="BH33" s="435">
        <v>0</v>
      </c>
      <c r="BI33" s="95">
        <v>1</v>
      </c>
      <c r="BJ33" s="96">
        <f t="shared" si="55"/>
        <v>1.0722009304576894</v>
      </c>
      <c r="BK33" s="432" t="str">
        <f t="shared" si="27"/>
        <v xml:space="preserve">(na,na,na,na,na,na); </v>
      </c>
      <c r="BL33" s="435">
        <f t="shared" si="56"/>
        <v>0</v>
      </c>
      <c r="BM33" s="95">
        <v>1</v>
      </c>
      <c r="BN33" s="96">
        <f t="shared" si="57"/>
        <v>1.0722009304576894</v>
      </c>
      <c r="BO33" s="432" t="str">
        <f t="shared" si="28"/>
        <v xml:space="preserve">(na,na,na,na,na,na); </v>
      </c>
      <c r="BP33" s="432"/>
      <c r="BQ33" s="112"/>
      <c r="BR33" s="705" t="s">
        <v>462</v>
      </c>
      <c r="BS33" s="77">
        <v>2</v>
      </c>
      <c r="BT33" s="339">
        <v>1</v>
      </c>
      <c r="BU33" s="339">
        <v>1</v>
      </c>
      <c r="BV33" s="339">
        <v>2</v>
      </c>
      <c r="BW33" s="339">
        <v>1</v>
      </c>
      <c r="BX33" s="339">
        <v>1</v>
      </c>
      <c r="BY33" s="104">
        <v>3</v>
      </c>
      <c r="BZ33" s="104">
        <v>1.05</v>
      </c>
      <c r="CA33" s="104">
        <f t="shared" si="29"/>
        <v>1.0510550504206344</v>
      </c>
      <c r="CB33" s="107">
        <f t="shared" si="30"/>
        <v>1.0722009304576894</v>
      </c>
      <c r="CC33" s="107" t="str">
        <f t="shared" si="31"/>
        <v>(2,1,1,2,1,1)</v>
      </c>
      <c r="CD33" s="108">
        <v>1.05</v>
      </c>
      <c r="CE33" s="108">
        <v>1</v>
      </c>
      <c r="CF33" s="108">
        <v>1</v>
      </c>
      <c r="CG33" s="108">
        <v>1.01</v>
      </c>
      <c r="CH33" s="108">
        <v>1</v>
      </c>
      <c r="CI33" s="108">
        <v>1</v>
      </c>
      <c r="CK33" s="111"/>
      <c r="CL33" s="77" t="s">
        <v>106</v>
      </c>
      <c r="CM33" s="339" t="s">
        <v>106</v>
      </c>
      <c r="CN33" s="339" t="s">
        <v>106</v>
      </c>
      <c r="CO33" s="339" t="s">
        <v>106</v>
      </c>
      <c r="CP33" s="339" t="s">
        <v>106</v>
      </c>
      <c r="CQ33" s="339" t="s">
        <v>106</v>
      </c>
      <c r="CR33" s="104">
        <v>3</v>
      </c>
      <c r="CS33" s="104">
        <v>1.05</v>
      </c>
      <c r="CT33" s="104">
        <f t="shared" si="32"/>
        <v>1</v>
      </c>
      <c r="CU33" s="107">
        <f t="shared" si="33"/>
        <v>1.05</v>
      </c>
      <c r="CV33" s="107" t="str">
        <f t="shared" si="34"/>
        <v>(na,na,na,na,na,na)</v>
      </c>
      <c r="CW33" s="108">
        <v>1</v>
      </c>
      <c r="CX33" s="108">
        <v>1</v>
      </c>
      <c r="CY33" s="108">
        <v>1</v>
      </c>
      <c r="CZ33" s="108">
        <v>1</v>
      </c>
      <c r="DA33" s="108">
        <v>1</v>
      </c>
      <c r="DB33" s="108">
        <v>1</v>
      </c>
    </row>
    <row r="34" spans="1:106">
      <c r="A34" s="330">
        <v>266459</v>
      </c>
      <c r="B34" s="331"/>
      <c r="C34" s="88"/>
      <c r="D34" s="340">
        <v>5</v>
      </c>
      <c r="E34" s="341" t="s">
        <v>98</v>
      </c>
      <c r="F34" s="432" t="s">
        <v>472</v>
      </c>
      <c r="G34" s="433" t="s">
        <v>93</v>
      </c>
      <c r="H34" s="434" t="s">
        <v>98</v>
      </c>
      <c r="I34" s="434" t="s">
        <v>98</v>
      </c>
      <c r="J34" s="94">
        <v>0</v>
      </c>
      <c r="K34" s="433" t="s">
        <v>96</v>
      </c>
      <c r="L34" s="435">
        <v>1.8455684007707099E-3</v>
      </c>
      <c r="M34" s="95">
        <v>1</v>
      </c>
      <c r="N34" s="96">
        <f t="shared" si="14"/>
        <v>1.0722009304576894</v>
      </c>
      <c r="O34" s="432" t="str">
        <f t="shared" si="15"/>
        <v>(2,1,1,2,1,1); Industry data (French tender)</v>
      </c>
      <c r="P34" s="435">
        <f t="shared" si="35"/>
        <v>1.8455684007707099E-3</v>
      </c>
      <c r="Q34" s="95">
        <v>1</v>
      </c>
      <c r="R34" s="96">
        <f t="shared" si="36"/>
        <v>1.0722009304576894</v>
      </c>
      <c r="S34" s="437" t="str">
        <f t="shared" si="16"/>
        <v>(2,1,1,2,1,1); Industry data (French tender)</v>
      </c>
      <c r="T34" s="435">
        <f t="shared" si="37"/>
        <v>1.8455684007707099E-3</v>
      </c>
      <c r="U34" s="95">
        <v>1</v>
      </c>
      <c r="V34" s="96">
        <f t="shared" si="38"/>
        <v>1.0722009304576894</v>
      </c>
      <c r="W34" s="432" t="str">
        <f t="shared" si="17"/>
        <v>(2,1,1,2,1,1); Industry data (French tender)</v>
      </c>
      <c r="X34" s="435">
        <f t="shared" si="39"/>
        <v>1.8455684007707099E-3</v>
      </c>
      <c r="Y34" s="95">
        <v>1</v>
      </c>
      <c r="Z34" s="96">
        <f t="shared" si="40"/>
        <v>1.0722009304576894</v>
      </c>
      <c r="AA34" s="432" t="str">
        <f t="shared" si="18"/>
        <v>(2,1,1,2,1,1); Industry data (French tender)</v>
      </c>
      <c r="AB34" s="435">
        <v>5.1317448076923101E-2</v>
      </c>
      <c r="AC34" s="95">
        <v>1</v>
      </c>
      <c r="AD34" s="96">
        <f t="shared" si="41"/>
        <v>1.0722009304576894</v>
      </c>
      <c r="AE34" s="432" t="str">
        <f t="shared" si="19"/>
        <v>(2,1,1,2,1,1); Industry data (French tender)</v>
      </c>
      <c r="AF34" s="435">
        <f t="shared" si="42"/>
        <v>5.1317448076923101E-2</v>
      </c>
      <c r="AG34" s="95">
        <v>1</v>
      </c>
      <c r="AH34" s="96">
        <f t="shared" si="43"/>
        <v>1.0722009304576894</v>
      </c>
      <c r="AI34" s="432" t="str">
        <f t="shared" si="20"/>
        <v>(2,1,1,2,1,1); Industry data (French tender)</v>
      </c>
      <c r="AJ34" s="435">
        <f t="shared" si="44"/>
        <v>5.1317448076923101E-2</v>
      </c>
      <c r="AK34" s="95">
        <v>1</v>
      </c>
      <c r="AL34" s="96">
        <f t="shared" si="45"/>
        <v>1.0722009304576894</v>
      </c>
      <c r="AM34" s="432" t="str">
        <f t="shared" si="21"/>
        <v>(2,1,1,2,1,1); Industry data (French tender)</v>
      </c>
      <c r="AN34" s="435">
        <f t="shared" si="46"/>
        <v>5.1317448076923101E-2</v>
      </c>
      <c r="AO34" s="95">
        <v>1</v>
      </c>
      <c r="AP34" s="96">
        <f t="shared" si="47"/>
        <v>1.0722009304576894</v>
      </c>
      <c r="AQ34" s="432" t="str">
        <f t="shared" si="22"/>
        <v>(2,1,1,2,1,1); Industry data (French tender)</v>
      </c>
      <c r="AR34" s="435">
        <v>0</v>
      </c>
      <c r="AS34" s="95">
        <v>1</v>
      </c>
      <c r="AT34" s="96">
        <f t="shared" si="48"/>
        <v>1.0722009304576894</v>
      </c>
      <c r="AU34" s="432" t="str">
        <f t="shared" si="23"/>
        <v>(2,1,1,2,1,1); Industry data (French tender)</v>
      </c>
      <c r="AV34" s="435">
        <f t="shared" si="49"/>
        <v>0</v>
      </c>
      <c r="AW34" s="95">
        <v>1</v>
      </c>
      <c r="AX34" s="96">
        <f t="shared" si="50"/>
        <v>1.0722009304576894</v>
      </c>
      <c r="AY34" s="432" t="str">
        <f t="shared" si="24"/>
        <v>(2,1,1,2,1,1); Industry data (French tender)</v>
      </c>
      <c r="AZ34" s="435">
        <f t="shared" si="51"/>
        <v>0</v>
      </c>
      <c r="BA34" s="95">
        <v>1</v>
      </c>
      <c r="BB34" s="96">
        <f t="shared" si="52"/>
        <v>1.0722009304576894</v>
      </c>
      <c r="BC34" s="432" t="str">
        <f t="shared" si="25"/>
        <v>(2,1,1,2,1,1); Industry data (French tender)</v>
      </c>
      <c r="BD34" s="435">
        <f t="shared" si="53"/>
        <v>0</v>
      </c>
      <c r="BE34" s="95">
        <v>1</v>
      </c>
      <c r="BF34" s="96">
        <f t="shared" si="54"/>
        <v>1.0722009304576894</v>
      </c>
      <c r="BG34" s="432" t="str">
        <f t="shared" si="26"/>
        <v>(2,1,1,2,1,1); Industry data (French tender)</v>
      </c>
      <c r="BH34" s="435">
        <v>0</v>
      </c>
      <c r="BI34" s="95">
        <v>1</v>
      </c>
      <c r="BJ34" s="96">
        <f t="shared" si="55"/>
        <v>1.0722009304576894</v>
      </c>
      <c r="BK34" s="432" t="str">
        <f t="shared" si="27"/>
        <v xml:space="preserve">(na,na,na,na,na,na); </v>
      </c>
      <c r="BL34" s="435">
        <f t="shared" si="56"/>
        <v>0</v>
      </c>
      <c r="BM34" s="95">
        <v>1</v>
      </c>
      <c r="BN34" s="96">
        <f t="shared" si="57"/>
        <v>1.0722009304576894</v>
      </c>
      <c r="BO34" s="432" t="str">
        <f t="shared" si="28"/>
        <v xml:space="preserve">(na,na,na,na,na,na); </v>
      </c>
      <c r="BP34" s="432"/>
      <c r="BQ34" s="112"/>
      <c r="BR34" s="705" t="s">
        <v>462</v>
      </c>
      <c r="BS34" s="77">
        <v>2</v>
      </c>
      <c r="BT34" s="339">
        <v>1</v>
      </c>
      <c r="BU34" s="339">
        <v>1</v>
      </c>
      <c r="BV34" s="339">
        <v>2</v>
      </c>
      <c r="BW34" s="339">
        <v>1</v>
      </c>
      <c r="BX34" s="339">
        <v>1</v>
      </c>
      <c r="BY34" s="104">
        <v>3</v>
      </c>
      <c r="BZ34" s="104">
        <v>1.05</v>
      </c>
      <c r="CA34" s="104">
        <f t="shared" si="29"/>
        <v>1.0510550504206344</v>
      </c>
      <c r="CB34" s="107">
        <f t="shared" si="30"/>
        <v>1.0722009304576894</v>
      </c>
      <c r="CC34" s="107" t="str">
        <f t="shared" si="31"/>
        <v>(2,1,1,2,1,1)</v>
      </c>
      <c r="CD34" s="108">
        <v>1.05</v>
      </c>
      <c r="CE34" s="108">
        <v>1</v>
      </c>
      <c r="CF34" s="108">
        <v>1</v>
      </c>
      <c r="CG34" s="108">
        <v>1.01</v>
      </c>
      <c r="CH34" s="108">
        <v>1</v>
      </c>
      <c r="CI34" s="108">
        <v>1</v>
      </c>
      <c r="CK34" s="111"/>
      <c r="CL34" s="77" t="s">
        <v>106</v>
      </c>
      <c r="CM34" s="339" t="s">
        <v>106</v>
      </c>
      <c r="CN34" s="339" t="s">
        <v>106</v>
      </c>
      <c r="CO34" s="339" t="s">
        <v>106</v>
      </c>
      <c r="CP34" s="339" t="s">
        <v>106</v>
      </c>
      <c r="CQ34" s="339" t="s">
        <v>106</v>
      </c>
      <c r="CR34" s="104">
        <v>3</v>
      </c>
      <c r="CS34" s="104">
        <v>1.05</v>
      </c>
      <c r="CT34" s="104">
        <f t="shared" si="32"/>
        <v>1</v>
      </c>
      <c r="CU34" s="107">
        <f t="shared" si="33"/>
        <v>1.05</v>
      </c>
      <c r="CV34" s="107" t="str">
        <f t="shared" si="34"/>
        <v>(na,na,na,na,na,na)</v>
      </c>
      <c r="CW34" s="108">
        <v>1</v>
      </c>
      <c r="CX34" s="108">
        <v>1</v>
      </c>
      <c r="CY34" s="108">
        <v>1</v>
      </c>
      <c r="CZ34" s="108">
        <v>1</v>
      </c>
      <c r="DA34" s="108">
        <v>1</v>
      </c>
      <c r="DB34" s="108">
        <v>1</v>
      </c>
    </row>
    <row r="35" spans="1:106">
      <c r="A35" s="330">
        <v>264183</v>
      </c>
      <c r="B35" s="331"/>
      <c r="C35" s="88"/>
      <c r="D35" s="340">
        <v>5</v>
      </c>
      <c r="E35" s="341" t="s">
        <v>98</v>
      </c>
      <c r="F35" s="432" t="s">
        <v>387</v>
      </c>
      <c r="G35" s="433" t="s">
        <v>93</v>
      </c>
      <c r="H35" s="434" t="s">
        <v>98</v>
      </c>
      <c r="I35" s="434" t="s">
        <v>98</v>
      </c>
      <c r="J35" s="94">
        <v>0</v>
      </c>
      <c r="K35" s="433" t="s">
        <v>96</v>
      </c>
      <c r="L35" s="435">
        <v>2.9298805394990398E-3</v>
      </c>
      <c r="M35" s="95">
        <v>1</v>
      </c>
      <c r="N35" s="96">
        <f t="shared" si="14"/>
        <v>1.0722009304576894</v>
      </c>
      <c r="O35" s="432" t="str">
        <f t="shared" si="15"/>
        <v>(2,1,1,2,1,1); Industry data (French tender)</v>
      </c>
      <c r="P35" s="435">
        <f t="shared" si="35"/>
        <v>2.9298805394990398E-3</v>
      </c>
      <c r="Q35" s="95">
        <v>1</v>
      </c>
      <c r="R35" s="96">
        <f t="shared" si="36"/>
        <v>1.0722009304576894</v>
      </c>
      <c r="S35" s="437" t="str">
        <f t="shared" si="16"/>
        <v>(2,1,1,2,1,1); Industry data (French tender)</v>
      </c>
      <c r="T35" s="435">
        <f t="shared" si="37"/>
        <v>2.9298805394990398E-3</v>
      </c>
      <c r="U35" s="95">
        <v>1</v>
      </c>
      <c r="V35" s="96">
        <f t="shared" si="38"/>
        <v>1.0722009304576894</v>
      </c>
      <c r="W35" s="432" t="str">
        <f t="shared" si="17"/>
        <v>(2,1,1,2,1,1); Industry data (French tender)</v>
      </c>
      <c r="X35" s="435">
        <f t="shared" si="39"/>
        <v>2.9298805394990398E-3</v>
      </c>
      <c r="Y35" s="95">
        <v>1</v>
      </c>
      <c r="Z35" s="96">
        <f t="shared" si="40"/>
        <v>1.0722009304576894</v>
      </c>
      <c r="AA35" s="432" t="str">
        <f t="shared" si="18"/>
        <v>(2,1,1,2,1,1); Industry data (French tender)</v>
      </c>
      <c r="AB35" s="435">
        <v>4.5293269230769198E-3</v>
      </c>
      <c r="AC35" s="95">
        <v>1</v>
      </c>
      <c r="AD35" s="96">
        <f t="shared" si="41"/>
        <v>1.0722009304576894</v>
      </c>
      <c r="AE35" s="432" t="str">
        <f t="shared" si="19"/>
        <v>(2,1,1,2,1,1); Industry data (French tender)</v>
      </c>
      <c r="AF35" s="435">
        <f t="shared" si="42"/>
        <v>4.5293269230769198E-3</v>
      </c>
      <c r="AG35" s="95">
        <v>1</v>
      </c>
      <c r="AH35" s="96">
        <f t="shared" si="43"/>
        <v>1.0722009304576894</v>
      </c>
      <c r="AI35" s="432" t="str">
        <f t="shared" si="20"/>
        <v>(2,1,1,2,1,1); Industry data (French tender)</v>
      </c>
      <c r="AJ35" s="435">
        <f t="shared" si="44"/>
        <v>4.5293269230769198E-3</v>
      </c>
      <c r="AK35" s="95">
        <v>1</v>
      </c>
      <c r="AL35" s="96">
        <f t="shared" si="45"/>
        <v>1.0722009304576894</v>
      </c>
      <c r="AM35" s="432" t="str">
        <f t="shared" si="21"/>
        <v>(2,1,1,2,1,1); Industry data (French tender)</v>
      </c>
      <c r="AN35" s="435">
        <f t="shared" si="46"/>
        <v>4.5293269230769198E-3</v>
      </c>
      <c r="AO35" s="95">
        <v>1</v>
      </c>
      <c r="AP35" s="96">
        <f t="shared" si="47"/>
        <v>1.0722009304576894</v>
      </c>
      <c r="AQ35" s="432" t="str">
        <f t="shared" si="22"/>
        <v>(2,1,1,2,1,1); Industry data (French tender)</v>
      </c>
      <c r="AR35" s="435">
        <v>0</v>
      </c>
      <c r="AS35" s="95">
        <v>1</v>
      </c>
      <c r="AT35" s="96">
        <f t="shared" si="48"/>
        <v>1.0722009304576894</v>
      </c>
      <c r="AU35" s="432" t="str">
        <f t="shared" si="23"/>
        <v>(2,1,1,2,1,1); Industry data (French tender)</v>
      </c>
      <c r="AV35" s="435">
        <f t="shared" si="49"/>
        <v>0</v>
      </c>
      <c r="AW35" s="95">
        <v>1</v>
      </c>
      <c r="AX35" s="96">
        <f t="shared" si="50"/>
        <v>1.0722009304576894</v>
      </c>
      <c r="AY35" s="432" t="str">
        <f t="shared" si="24"/>
        <v>(2,1,1,2,1,1); Industry data (French tender)</v>
      </c>
      <c r="AZ35" s="435">
        <f t="shared" si="51"/>
        <v>0</v>
      </c>
      <c r="BA35" s="95">
        <v>1</v>
      </c>
      <c r="BB35" s="96">
        <f t="shared" si="52"/>
        <v>1.0722009304576894</v>
      </c>
      <c r="BC35" s="432" t="str">
        <f t="shared" si="25"/>
        <v>(2,1,1,2,1,1); Industry data (French tender)</v>
      </c>
      <c r="BD35" s="435">
        <f t="shared" si="53"/>
        <v>0</v>
      </c>
      <c r="BE35" s="95">
        <v>1</v>
      </c>
      <c r="BF35" s="96">
        <f t="shared" si="54"/>
        <v>1.0722009304576894</v>
      </c>
      <c r="BG35" s="432" t="str">
        <f t="shared" si="26"/>
        <v>(2,1,1,2,1,1); Industry data (French tender)</v>
      </c>
      <c r="BH35" s="435">
        <v>0</v>
      </c>
      <c r="BI35" s="95">
        <v>1</v>
      </c>
      <c r="BJ35" s="96">
        <f t="shared" si="55"/>
        <v>1.0722009304576894</v>
      </c>
      <c r="BK35" s="432" t="str">
        <f t="shared" si="27"/>
        <v xml:space="preserve">(na,na,na,na,na,na); </v>
      </c>
      <c r="BL35" s="435">
        <f t="shared" si="56"/>
        <v>0</v>
      </c>
      <c r="BM35" s="95">
        <v>1</v>
      </c>
      <c r="BN35" s="96">
        <f t="shared" si="57"/>
        <v>1.0722009304576894</v>
      </c>
      <c r="BO35" s="432" t="str">
        <f t="shared" si="28"/>
        <v xml:space="preserve">(na,na,na,na,na,na); </v>
      </c>
      <c r="BP35" s="432"/>
      <c r="BQ35" s="112"/>
      <c r="BR35" s="705" t="s">
        <v>462</v>
      </c>
      <c r="BS35" s="77">
        <v>2</v>
      </c>
      <c r="BT35" s="339">
        <v>1</v>
      </c>
      <c r="BU35" s="339">
        <v>1</v>
      </c>
      <c r="BV35" s="339">
        <v>2</v>
      </c>
      <c r="BW35" s="339">
        <v>1</v>
      </c>
      <c r="BX35" s="339">
        <v>1</v>
      </c>
      <c r="BY35" s="104">
        <v>3</v>
      </c>
      <c r="BZ35" s="104">
        <v>1.05</v>
      </c>
      <c r="CA35" s="104">
        <f t="shared" si="29"/>
        <v>1.0510550504206344</v>
      </c>
      <c r="CB35" s="107">
        <f t="shared" si="30"/>
        <v>1.0722009304576894</v>
      </c>
      <c r="CC35" s="107" t="str">
        <f t="shared" si="31"/>
        <v>(2,1,1,2,1,1)</v>
      </c>
      <c r="CD35" s="108">
        <v>1.05</v>
      </c>
      <c r="CE35" s="108">
        <v>1</v>
      </c>
      <c r="CF35" s="108">
        <v>1</v>
      </c>
      <c r="CG35" s="108">
        <v>1.01</v>
      </c>
      <c r="CH35" s="108">
        <v>1</v>
      </c>
      <c r="CI35" s="108">
        <v>1</v>
      </c>
      <c r="CK35" s="111"/>
      <c r="CL35" s="77" t="s">
        <v>106</v>
      </c>
      <c r="CM35" s="339" t="s">
        <v>106</v>
      </c>
      <c r="CN35" s="339" t="s">
        <v>106</v>
      </c>
      <c r="CO35" s="339" t="s">
        <v>106</v>
      </c>
      <c r="CP35" s="339" t="s">
        <v>106</v>
      </c>
      <c r="CQ35" s="339" t="s">
        <v>106</v>
      </c>
      <c r="CR35" s="104">
        <v>3</v>
      </c>
      <c r="CS35" s="104">
        <v>1.05</v>
      </c>
      <c r="CT35" s="104">
        <f t="shared" si="32"/>
        <v>1</v>
      </c>
      <c r="CU35" s="107">
        <f t="shared" si="33"/>
        <v>1.05</v>
      </c>
      <c r="CV35" s="107" t="str">
        <f t="shared" si="34"/>
        <v>(na,na,na,na,na,na)</v>
      </c>
      <c r="CW35" s="108">
        <v>1</v>
      </c>
      <c r="CX35" s="108">
        <v>1</v>
      </c>
      <c r="CY35" s="108">
        <v>1</v>
      </c>
      <c r="CZ35" s="108">
        <v>1</v>
      </c>
      <c r="DA35" s="108">
        <v>1</v>
      </c>
      <c r="DB35" s="108">
        <v>1</v>
      </c>
    </row>
    <row r="36" spans="1:106" ht="24">
      <c r="A36" s="330">
        <v>262531</v>
      </c>
      <c r="B36" s="331"/>
      <c r="C36" s="88"/>
      <c r="D36" s="340">
        <v>5</v>
      </c>
      <c r="E36" s="341" t="s">
        <v>98</v>
      </c>
      <c r="F36" s="432" t="s">
        <v>339</v>
      </c>
      <c r="G36" s="433" t="s">
        <v>340</v>
      </c>
      <c r="H36" s="434" t="s">
        <v>98</v>
      </c>
      <c r="I36" s="434" t="s">
        <v>98</v>
      </c>
      <c r="J36" s="94">
        <v>0</v>
      </c>
      <c r="K36" s="433" t="s">
        <v>96</v>
      </c>
      <c r="L36" s="435">
        <v>0</v>
      </c>
      <c r="M36" s="95">
        <v>1</v>
      </c>
      <c r="N36" s="96">
        <f t="shared" si="14"/>
        <v>1.0722009304576894</v>
      </c>
      <c r="O36" s="432" t="str">
        <f t="shared" si="15"/>
        <v>(2,1,1,2,1,1); Industry data (French tender)</v>
      </c>
      <c r="P36" s="435">
        <v>0</v>
      </c>
      <c r="Q36" s="95">
        <v>1</v>
      </c>
      <c r="R36" s="96">
        <f t="shared" si="36"/>
        <v>1.0722009304576894</v>
      </c>
      <c r="S36" s="437" t="str">
        <f t="shared" si="16"/>
        <v>(2,1,1,2,1,1); Industry data (French tender)</v>
      </c>
      <c r="T36" s="435">
        <f t="shared" si="37"/>
        <v>0</v>
      </c>
      <c r="U36" s="95">
        <v>1</v>
      </c>
      <c r="V36" s="96">
        <f t="shared" si="38"/>
        <v>1.0722009304576894</v>
      </c>
      <c r="W36" s="432" t="str">
        <f t="shared" si="17"/>
        <v>(2,1,1,2,1,1); Industry data (French tender)</v>
      </c>
      <c r="X36" s="435">
        <f t="shared" si="39"/>
        <v>0</v>
      </c>
      <c r="Y36" s="95">
        <v>1</v>
      </c>
      <c r="Z36" s="96">
        <f t="shared" si="40"/>
        <v>1.0722009304576894</v>
      </c>
      <c r="AA36" s="432" t="str">
        <f t="shared" si="18"/>
        <v>(2,1,1,2,1,1); Industry data (French tender)</v>
      </c>
      <c r="AB36" s="435">
        <v>0.84097586887509301</v>
      </c>
      <c r="AC36" s="95">
        <v>1</v>
      </c>
      <c r="AD36" s="96">
        <f t="shared" si="41"/>
        <v>1.0722009304576894</v>
      </c>
      <c r="AE36" s="432" t="str">
        <f t="shared" si="19"/>
        <v>(2,1,1,2,1,1); Industry data (French tender)</v>
      </c>
      <c r="AF36" s="435">
        <f t="shared" si="42"/>
        <v>0.84097586887509301</v>
      </c>
      <c r="AG36" s="95">
        <v>1</v>
      </c>
      <c r="AH36" s="96">
        <f t="shared" si="43"/>
        <v>1.0722009304576894</v>
      </c>
      <c r="AI36" s="432" t="str">
        <f t="shared" si="20"/>
        <v>(2,1,1,2,1,1); Industry data (French tender)</v>
      </c>
      <c r="AJ36" s="435">
        <f t="shared" si="44"/>
        <v>0.84097586887509301</v>
      </c>
      <c r="AK36" s="95">
        <v>1</v>
      </c>
      <c r="AL36" s="96">
        <f t="shared" si="45"/>
        <v>1.0722009304576894</v>
      </c>
      <c r="AM36" s="432" t="str">
        <f t="shared" si="21"/>
        <v>(2,1,1,2,1,1); Industry data (French tender)</v>
      </c>
      <c r="AN36" s="435">
        <f t="shared" si="46"/>
        <v>0.84097586887509301</v>
      </c>
      <c r="AO36" s="95">
        <v>1</v>
      </c>
      <c r="AP36" s="96">
        <f t="shared" si="47"/>
        <v>1.0722009304576894</v>
      </c>
      <c r="AQ36" s="432" t="str">
        <f t="shared" si="22"/>
        <v>(2,1,1,2,1,1); Industry data (French tender)</v>
      </c>
      <c r="AR36" s="435">
        <v>0</v>
      </c>
      <c r="AS36" s="95">
        <v>1</v>
      </c>
      <c r="AT36" s="96">
        <f t="shared" si="48"/>
        <v>1.0722009304576894</v>
      </c>
      <c r="AU36" s="432" t="str">
        <f t="shared" si="23"/>
        <v>(2,1,1,2,1,1); Industry data (French tender)</v>
      </c>
      <c r="AV36" s="435">
        <f t="shared" si="49"/>
        <v>0</v>
      </c>
      <c r="AW36" s="95">
        <v>1</v>
      </c>
      <c r="AX36" s="96">
        <f t="shared" si="50"/>
        <v>1.0722009304576894</v>
      </c>
      <c r="AY36" s="432" t="str">
        <f t="shared" si="24"/>
        <v>(2,1,1,2,1,1); Industry data (French tender)</v>
      </c>
      <c r="AZ36" s="435">
        <f t="shared" si="51"/>
        <v>0</v>
      </c>
      <c r="BA36" s="95">
        <v>1</v>
      </c>
      <c r="BB36" s="96">
        <f t="shared" si="52"/>
        <v>1.0722009304576894</v>
      </c>
      <c r="BC36" s="432" t="str">
        <f t="shared" si="25"/>
        <v>(2,1,1,2,1,1); Industry data (French tender)</v>
      </c>
      <c r="BD36" s="435">
        <f t="shared" si="53"/>
        <v>0</v>
      </c>
      <c r="BE36" s="95">
        <v>1</v>
      </c>
      <c r="BF36" s="96">
        <f t="shared" si="54"/>
        <v>1.0722009304576894</v>
      </c>
      <c r="BG36" s="432" t="str">
        <f t="shared" si="26"/>
        <v>(2,1,1,2,1,1); Industry data (French tender)</v>
      </c>
      <c r="BH36" s="435">
        <v>4.4999999999999998E-2</v>
      </c>
      <c r="BI36" s="95">
        <v>1</v>
      </c>
      <c r="BJ36" s="96">
        <f t="shared" si="55"/>
        <v>1.0722009304576894</v>
      </c>
      <c r="BK36" s="432" t="str">
        <f t="shared" si="27"/>
        <v>(2,4,1,3,1,5); Brailovsky (2026)</v>
      </c>
      <c r="BL36" s="435">
        <f t="shared" si="56"/>
        <v>4.4999999999999998E-2</v>
      </c>
      <c r="BM36" s="95">
        <v>1</v>
      </c>
      <c r="BN36" s="96">
        <f t="shared" si="57"/>
        <v>1.0722009304576894</v>
      </c>
      <c r="BO36" s="432" t="str">
        <f t="shared" si="28"/>
        <v>(2,4,1,3,1,5); Brailovsky (2026)</v>
      </c>
      <c r="BP36" s="432"/>
      <c r="BQ36" s="112"/>
      <c r="BR36" s="705" t="s">
        <v>462</v>
      </c>
      <c r="BS36" s="77">
        <v>2</v>
      </c>
      <c r="BT36" s="339">
        <v>1</v>
      </c>
      <c r="BU36" s="339">
        <v>1</v>
      </c>
      <c r="BV36" s="339">
        <v>2</v>
      </c>
      <c r="BW36" s="339">
        <v>1</v>
      </c>
      <c r="BX36" s="339">
        <v>1</v>
      </c>
      <c r="BY36" s="104">
        <v>3</v>
      </c>
      <c r="BZ36" s="104">
        <v>1.05</v>
      </c>
      <c r="CA36" s="104">
        <f t="shared" si="29"/>
        <v>1.0510550504206344</v>
      </c>
      <c r="CB36" s="107">
        <f t="shared" si="30"/>
        <v>1.0722009304576894</v>
      </c>
      <c r="CC36" s="107" t="str">
        <f t="shared" si="31"/>
        <v>(2,1,1,2,1,1)</v>
      </c>
      <c r="CD36" s="108">
        <v>1.05</v>
      </c>
      <c r="CE36" s="108">
        <v>1</v>
      </c>
      <c r="CF36" s="108">
        <v>1</v>
      </c>
      <c r="CG36" s="108">
        <v>1.01</v>
      </c>
      <c r="CH36" s="108">
        <v>1</v>
      </c>
      <c r="CI36" s="108">
        <v>1</v>
      </c>
      <c r="CK36" s="111" t="s">
        <v>469</v>
      </c>
      <c r="CL36" s="77">
        <v>2</v>
      </c>
      <c r="CM36" s="339">
        <v>4</v>
      </c>
      <c r="CN36" s="339">
        <v>1</v>
      </c>
      <c r="CO36" s="339">
        <v>3</v>
      </c>
      <c r="CP36" s="339">
        <v>1</v>
      </c>
      <c r="CQ36" s="339">
        <v>5</v>
      </c>
      <c r="CR36" s="104">
        <v>3</v>
      </c>
      <c r="CS36" s="104">
        <v>1.05</v>
      </c>
      <c r="CT36" s="104">
        <f t="shared" si="32"/>
        <v>1.2365959919080913</v>
      </c>
      <c r="CU36" s="107">
        <f t="shared" si="33"/>
        <v>1.2434566510799234</v>
      </c>
      <c r="CV36" s="107" t="str">
        <f t="shared" si="34"/>
        <v>(2,4,1,3,1,5)</v>
      </c>
      <c r="CW36" s="108">
        <v>1.05</v>
      </c>
      <c r="CX36" s="108">
        <v>1.1000000000000001</v>
      </c>
      <c r="CY36" s="108">
        <v>1</v>
      </c>
      <c r="CZ36" s="108">
        <v>1.02</v>
      </c>
      <c r="DA36" s="108">
        <v>1</v>
      </c>
      <c r="DB36" s="108">
        <v>1.2</v>
      </c>
    </row>
    <row r="37" spans="1:106" ht="24">
      <c r="A37" s="330">
        <v>157715</v>
      </c>
      <c r="B37" s="331"/>
      <c r="C37" s="88"/>
      <c r="D37" s="340">
        <v>5</v>
      </c>
      <c r="E37" s="341" t="s">
        <v>98</v>
      </c>
      <c r="F37" s="432" t="s">
        <v>473</v>
      </c>
      <c r="G37" s="433" t="s">
        <v>154</v>
      </c>
      <c r="H37" s="434" t="s">
        <v>98</v>
      </c>
      <c r="I37" s="434" t="s">
        <v>98</v>
      </c>
      <c r="J37" s="94">
        <v>0</v>
      </c>
      <c r="K37" s="433" t="s">
        <v>96</v>
      </c>
      <c r="L37" s="435">
        <v>0</v>
      </c>
      <c r="M37" s="95">
        <v>1</v>
      </c>
      <c r="N37" s="96">
        <f t="shared" si="14"/>
        <v>1.0722009304576894</v>
      </c>
      <c r="O37" s="432" t="str">
        <f t="shared" si="15"/>
        <v>(2,1,1,2,1,1); Industry data (French tender)</v>
      </c>
      <c r="P37" s="435">
        <v>0</v>
      </c>
      <c r="Q37" s="95">
        <v>1</v>
      </c>
      <c r="R37" s="96">
        <f t="shared" si="36"/>
        <v>1.0722009304576894</v>
      </c>
      <c r="S37" s="437" t="str">
        <f t="shared" si="16"/>
        <v>(2,1,1,2,1,1); Industry data (French tender)</v>
      </c>
      <c r="T37" s="435">
        <v>0</v>
      </c>
      <c r="U37" s="95">
        <v>1</v>
      </c>
      <c r="V37" s="96">
        <f t="shared" si="38"/>
        <v>1.0722009304576894</v>
      </c>
      <c r="W37" s="432" t="str">
        <f t="shared" si="17"/>
        <v>(2,1,1,2,1,1); Industry data (French tender)</v>
      </c>
      <c r="X37" s="435">
        <v>0</v>
      </c>
      <c r="Y37" s="95">
        <v>1</v>
      </c>
      <c r="Z37" s="96">
        <f t="shared" si="40"/>
        <v>1.0722009304576894</v>
      </c>
      <c r="AA37" s="432" t="str">
        <f t="shared" si="18"/>
        <v>(2,1,1,2,1,1); Industry data (French tender)</v>
      </c>
      <c r="AB37" s="435">
        <v>3.6653227564102601E-2</v>
      </c>
      <c r="AC37" s="95">
        <v>1</v>
      </c>
      <c r="AD37" s="96">
        <f t="shared" si="41"/>
        <v>1.0722009304576894</v>
      </c>
      <c r="AE37" s="432" t="str">
        <f t="shared" si="19"/>
        <v>(2,1,1,2,1,1); Industry data (French tender)</v>
      </c>
      <c r="AF37" s="435">
        <f t="shared" si="42"/>
        <v>3.6653227564102601E-2</v>
      </c>
      <c r="AG37" s="95">
        <v>1</v>
      </c>
      <c r="AH37" s="96">
        <f t="shared" si="43"/>
        <v>1.0722009304576894</v>
      </c>
      <c r="AI37" s="432" t="str">
        <f t="shared" si="20"/>
        <v>(2,1,1,2,1,1); Industry data (French tender)</v>
      </c>
      <c r="AJ37" s="435">
        <f t="shared" si="44"/>
        <v>3.6653227564102601E-2</v>
      </c>
      <c r="AK37" s="95">
        <v>1</v>
      </c>
      <c r="AL37" s="96">
        <f t="shared" si="45"/>
        <v>1.0722009304576894</v>
      </c>
      <c r="AM37" s="432" t="str">
        <f t="shared" si="21"/>
        <v>(2,1,1,2,1,1); Industry data (French tender)</v>
      </c>
      <c r="AN37" s="435">
        <f t="shared" si="46"/>
        <v>3.6653227564102601E-2</v>
      </c>
      <c r="AO37" s="95">
        <v>1</v>
      </c>
      <c r="AP37" s="96">
        <f t="shared" si="47"/>
        <v>1.0722009304576894</v>
      </c>
      <c r="AQ37" s="432" t="str">
        <f t="shared" si="22"/>
        <v>(2,1,1,2,1,1); Industry data (French tender)</v>
      </c>
      <c r="AR37" s="435">
        <v>1.7950788711943898E-2</v>
      </c>
      <c r="AS37" s="95">
        <v>1</v>
      </c>
      <c r="AT37" s="96">
        <f t="shared" si="48"/>
        <v>1.0722009304576894</v>
      </c>
      <c r="AU37" s="432" t="str">
        <f t="shared" si="23"/>
        <v>(2,1,1,2,1,1); Industry data (French tender)</v>
      </c>
      <c r="AV37" s="435">
        <f t="shared" si="49"/>
        <v>1.7950788711943898E-2</v>
      </c>
      <c r="AW37" s="95">
        <v>1</v>
      </c>
      <c r="AX37" s="96">
        <f t="shared" si="50"/>
        <v>1.0722009304576894</v>
      </c>
      <c r="AY37" s="432" t="str">
        <f t="shared" si="24"/>
        <v>(2,1,1,2,1,1); Industry data (French tender)</v>
      </c>
      <c r="AZ37" s="435">
        <f t="shared" si="51"/>
        <v>1.7950788711943898E-2</v>
      </c>
      <c r="BA37" s="95">
        <v>1</v>
      </c>
      <c r="BB37" s="96">
        <f t="shared" si="52"/>
        <v>1.0722009304576894</v>
      </c>
      <c r="BC37" s="432" t="str">
        <f t="shared" si="25"/>
        <v>(2,1,1,2,1,1); Industry data (French tender)</v>
      </c>
      <c r="BD37" s="435">
        <f t="shared" si="53"/>
        <v>1.7950788711943898E-2</v>
      </c>
      <c r="BE37" s="95">
        <v>1</v>
      </c>
      <c r="BF37" s="96">
        <f t="shared" si="54"/>
        <v>1.0722009304576894</v>
      </c>
      <c r="BG37" s="432" t="str">
        <f t="shared" si="26"/>
        <v>(2,1,1,2,1,1); Industry data (French tender)</v>
      </c>
      <c r="BH37" s="435">
        <v>0</v>
      </c>
      <c r="BI37" s="95">
        <v>1</v>
      </c>
      <c r="BJ37" s="96">
        <f t="shared" si="55"/>
        <v>1.0722009304576894</v>
      </c>
      <c r="BK37" s="432" t="str">
        <f t="shared" si="27"/>
        <v xml:space="preserve">(na,na,na,na,na,na); </v>
      </c>
      <c r="BL37" s="435">
        <f t="shared" si="56"/>
        <v>0</v>
      </c>
      <c r="BM37" s="95">
        <v>1</v>
      </c>
      <c r="BN37" s="96">
        <f t="shared" si="57"/>
        <v>1.0722009304576894</v>
      </c>
      <c r="BO37" s="432" t="str">
        <f t="shared" si="28"/>
        <v xml:space="preserve">(na,na,na,na,na,na); </v>
      </c>
      <c r="BP37" s="432"/>
      <c r="BQ37" s="112"/>
      <c r="BR37" s="705" t="s">
        <v>462</v>
      </c>
      <c r="BS37" s="77">
        <v>2</v>
      </c>
      <c r="BT37" s="339">
        <v>1</v>
      </c>
      <c r="BU37" s="339">
        <v>1</v>
      </c>
      <c r="BV37" s="339">
        <v>2</v>
      </c>
      <c r="BW37" s="339">
        <v>1</v>
      </c>
      <c r="BX37" s="339">
        <v>1</v>
      </c>
      <c r="BY37" s="104">
        <v>3</v>
      </c>
      <c r="BZ37" s="104">
        <v>1.05</v>
      </c>
      <c r="CA37" s="104">
        <f t="shared" si="29"/>
        <v>1.0510550504206344</v>
      </c>
      <c r="CB37" s="107">
        <f t="shared" si="30"/>
        <v>1.0722009304576894</v>
      </c>
      <c r="CC37" s="107" t="str">
        <f t="shared" si="31"/>
        <v>(2,1,1,2,1,1)</v>
      </c>
      <c r="CD37" s="108">
        <v>1.05</v>
      </c>
      <c r="CE37" s="108">
        <v>1</v>
      </c>
      <c r="CF37" s="108">
        <v>1</v>
      </c>
      <c r="CG37" s="108">
        <v>1.01</v>
      </c>
      <c r="CH37" s="108">
        <v>1</v>
      </c>
      <c r="CI37" s="108">
        <v>1</v>
      </c>
      <c r="CK37" s="111"/>
      <c r="CL37" s="77" t="s">
        <v>106</v>
      </c>
      <c r="CM37" s="339" t="s">
        <v>106</v>
      </c>
      <c r="CN37" s="339" t="s">
        <v>106</v>
      </c>
      <c r="CO37" s="339" t="s">
        <v>106</v>
      </c>
      <c r="CP37" s="339" t="s">
        <v>106</v>
      </c>
      <c r="CQ37" s="339" t="s">
        <v>106</v>
      </c>
      <c r="CR37" s="104">
        <v>3</v>
      </c>
      <c r="CS37" s="104">
        <v>1.05</v>
      </c>
      <c r="CT37" s="104">
        <f t="shared" si="32"/>
        <v>1</v>
      </c>
      <c r="CU37" s="107">
        <f t="shared" si="33"/>
        <v>1.05</v>
      </c>
      <c r="CV37" s="107" t="str">
        <f t="shared" si="34"/>
        <v>(na,na,na,na,na,na)</v>
      </c>
      <c r="CW37" s="108">
        <v>1</v>
      </c>
      <c r="CX37" s="108">
        <v>1</v>
      </c>
      <c r="CY37" s="108">
        <v>1</v>
      </c>
      <c r="CZ37" s="108">
        <v>1</v>
      </c>
      <c r="DA37" s="108">
        <v>1</v>
      </c>
      <c r="DB37" s="108">
        <v>1</v>
      </c>
    </row>
    <row r="38" spans="1:106" ht="24">
      <c r="A38" s="330">
        <v>263267</v>
      </c>
      <c r="B38" s="331"/>
      <c r="C38" s="88"/>
      <c r="D38" s="340">
        <v>5</v>
      </c>
      <c r="E38" s="341" t="s">
        <v>98</v>
      </c>
      <c r="F38" s="432" t="s">
        <v>474</v>
      </c>
      <c r="G38" s="433" t="s">
        <v>93</v>
      </c>
      <c r="H38" s="434" t="s">
        <v>98</v>
      </c>
      <c r="I38" s="434" t="s">
        <v>98</v>
      </c>
      <c r="J38" s="94">
        <v>0</v>
      </c>
      <c r="K38" s="433" t="s">
        <v>96</v>
      </c>
      <c r="L38" s="435">
        <v>3.8786127167630102E-6</v>
      </c>
      <c r="M38" s="95">
        <v>1</v>
      </c>
      <c r="N38" s="96">
        <f t="shared" si="14"/>
        <v>1.0722009304576894</v>
      </c>
      <c r="O38" s="432" t="str">
        <f t="shared" si="15"/>
        <v>(2,1,1,2,1,1); Industry data (French tender)</v>
      </c>
      <c r="P38" s="435">
        <f>L38</f>
        <v>3.8786127167630102E-6</v>
      </c>
      <c r="Q38" s="95">
        <v>1</v>
      </c>
      <c r="R38" s="96">
        <f t="shared" si="36"/>
        <v>1.0722009304576894</v>
      </c>
      <c r="S38" s="437" t="str">
        <f t="shared" si="16"/>
        <v>(2,1,1,2,1,1); Industry data (French tender)</v>
      </c>
      <c r="T38" s="435">
        <f>P38</f>
        <v>3.8786127167630102E-6</v>
      </c>
      <c r="U38" s="95">
        <v>1</v>
      </c>
      <c r="V38" s="96">
        <f t="shared" si="38"/>
        <v>1.0722009304576894</v>
      </c>
      <c r="W38" s="432" t="str">
        <f t="shared" si="17"/>
        <v>(2,1,1,2,1,1); Industry data (French tender)</v>
      </c>
      <c r="X38" s="435">
        <f>T38</f>
        <v>3.8786127167630102E-6</v>
      </c>
      <c r="Y38" s="95">
        <v>1</v>
      </c>
      <c r="Z38" s="96">
        <f t="shared" si="40"/>
        <v>1.0722009304576894</v>
      </c>
      <c r="AA38" s="432" t="str">
        <f t="shared" si="18"/>
        <v>(2,1,1,2,1,1); Industry data (French tender)</v>
      </c>
      <c r="AB38" s="435">
        <v>0</v>
      </c>
      <c r="AC38" s="95">
        <v>1</v>
      </c>
      <c r="AD38" s="96">
        <f t="shared" si="41"/>
        <v>1.0722009304576894</v>
      </c>
      <c r="AE38" s="432" t="str">
        <f t="shared" si="19"/>
        <v>(2,1,1,2,1,1); Industry data (French tender)</v>
      </c>
      <c r="AF38" s="435">
        <f t="shared" si="42"/>
        <v>0</v>
      </c>
      <c r="AG38" s="95">
        <v>1</v>
      </c>
      <c r="AH38" s="96">
        <f t="shared" si="43"/>
        <v>1.0722009304576894</v>
      </c>
      <c r="AI38" s="432" t="str">
        <f t="shared" si="20"/>
        <v>(2,1,1,2,1,1); Industry data (French tender)</v>
      </c>
      <c r="AJ38" s="435">
        <f t="shared" si="44"/>
        <v>0</v>
      </c>
      <c r="AK38" s="95">
        <v>1</v>
      </c>
      <c r="AL38" s="96">
        <f t="shared" si="45"/>
        <v>1.0722009304576894</v>
      </c>
      <c r="AM38" s="432" t="str">
        <f t="shared" si="21"/>
        <v>(2,1,1,2,1,1); Industry data (French tender)</v>
      </c>
      <c r="AN38" s="435">
        <f t="shared" si="46"/>
        <v>0</v>
      </c>
      <c r="AO38" s="95">
        <v>1</v>
      </c>
      <c r="AP38" s="96">
        <f t="shared" si="47"/>
        <v>1.0722009304576894</v>
      </c>
      <c r="AQ38" s="432" t="str">
        <f t="shared" si="22"/>
        <v>(2,1,1,2,1,1); Industry data (French tender)</v>
      </c>
      <c r="AR38" s="435">
        <v>0.58875862518104205</v>
      </c>
      <c r="AS38" s="95">
        <v>1</v>
      </c>
      <c r="AT38" s="96">
        <f t="shared" si="48"/>
        <v>1.0722009304576894</v>
      </c>
      <c r="AU38" s="432" t="str">
        <f t="shared" si="23"/>
        <v>(2,1,1,2,1,1); Industry data (French tender)</v>
      </c>
      <c r="AV38" s="440">
        <v>0</v>
      </c>
      <c r="AW38" s="95">
        <v>1</v>
      </c>
      <c r="AX38" s="96">
        <f t="shared" si="50"/>
        <v>1.0722009304576894</v>
      </c>
      <c r="AY38" s="432" t="str">
        <f t="shared" si="24"/>
        <v>(2,1,1,2,1,1); Industry data (French tender)</v>
      </c>
      <c r="AZ38" s="440">
        <v>0</v>
      </c>
      <c r="BA38" s="95">
        <v>1</v>
      </c>
      <c r="BB38" s="96">
        <f t="shared" si="52"/>
        <v>1.0722009304576894</v>
      </c>
      <c r="BC38" s="432" t="str">
        <f t="shared" si="25"/>
        <v>(2,1,1,2,1,1); Industry data (French tender)</v>
      </c>
      <c r="BD38" s="440">
        <v>0</v>
      </c>
      <c r="BE38" s="95">
        <v>1</v>
      </c>
      <c r="BF38" s="96">
        <f t="shared" si="54"/>
        <v>1.0722009304576894</v>
      </c>
      <c r="BG38" s="432" t="str">
        <f t="shared" si="26"/>
        <v>(2,1,1,2,1,1); Industry data (French tender)</v>
      </c>
      <c r="BH38" s="435">
        <v>0</v>
      </c>
      <c r="BI38" s="95">
        <v>1</v>
      </c>
      <c r="BJ38" s="96">
        <f t="shared" si="55"/>
        <v>1.0722009304576894</v>
      </c>
      <c r="BK38" s="432" t="str">
        <f t="shared" si="27"/>
        <v xml:space="preserve">(na,na,na,na,na,na); </v>
      </c>
      <c r="BL38" s="435">
        <f t="shared" si="56"/>
        <v>0</v>
      </c>
      <c r="BM38" s="95">
        <v>1</v>
      </c>
      <c r="BN38" s="96">
        <f t="shared" si="57"/>
        <v>1.0722009304576894</v>
      </c>
      <c r="BO38" s="432" t="str">
        <f t="shared" si="28"/>
        <v xml:space="preserve">(na,na,na,na,na,na); </v>
      </c>
      <c r="BP38" s="432"/>
      <c r="BQ38" s="112"/>
      <c r="BR38" s="705" t="s">
        <v>462</v>
      </c>
      <c r="BS38" s="77">
        <v>2</v>
      </c>
      <c r="BT38" s="339">
        <v>1</v>
      </c>
      <c r="BU38" s="339">
        <v>1</v>
      </c>
      <c r="BV38" s="339">
        <v>2</v>
      </c>
      <c r="BW38" s="339">
        <v>1</v>
      </c>
      <c r="BX38" s="339">
        <v>1</v>
      </c>
      <c r="BY38" s="104">
        <v>3</v>
      </c>
      <c r="BZ38" s="104">
        <v>1.05</v>
      </c>
      <c r="CA38" s="104">
        <f t="shared" si="29"/>
        <v>1.0510550504206344</v>
      </c>
      <c r="CB38" s="107">
        <f t="shared" si="30"/>
        <v>1.0722009304576894</v>
      </c>
      <c r="CC38" s="107" t="str">
        <f t="shared" si="31"/>
        <v>(2,1,1,2,1,1)</v>
      </c>
      <c r="CD38" s="108">
        <v>1.05</v>
      </c>
      <c r="CE38" s="108">
        <v>1</v>
      </c>
      <c r="CF38" s="108">
        <v>1</v>
      </c>
      <c r="CG38" s="108">
        <v>1.01</v>
      </c>
      <c r="CH38" s="108">
        <v>1</v>
      </c>
      <c r="CI38" s="108">
        <v>1</v>
      </c>
      <c r="CK38" s="111"/>
      <c r="CL38" s="77" t="s">
        <v>106</v>
      </c>
      <c r="CM38" s="339" t="s">
        <v>106</v>
      </c>
      <c r="CN38" s="339" t="s">
        <v>106</v>
      </c>
      <c r="CO38" s="339" t="s">
        <v>106</v>
      </c>
      <c r="CP38" s="339" t="s">
        <v>106</v>
      </c>
      <c r="CQ38" s="339" t="s">
        <v>106</v>
      </c>
      <c r="CR38" s="104">
        <v>3</v>
      </c>
      <c r="CS38" s="104">
        <v>1.05</v>
      </c>
      <c r="CT38" s="104">
        <f t="shared" si="32"/>
        <v>1</v>
      </c>
      <c r="CU38" s="107">
        <f t="shared" si="33"/>
        <v>1.05</v>
      </c>
      <c r="CV38" s="107" t="str">
        <f t="shared" si="34"/>
        <v>(na,na,na,na,na,na)</v>
      </c>
      <c r="CW38" s="108">
        <v>1</v>
      </c>
      <c r="CX38" s="108">
        <v>1</v>
      </c>
      <c r="CY38" s="108">
        <v>1</v>
      </c>
      <c r="CZ38" s="108">
        <v>1</v>
      </c>
      <c r="DA38" s="108">
        <v>1</v>
      </c>
      <c r="DB38" s="108">
        <v>1</v>
      </c>
    </row>
    <row r="39" spans="1:106" ht="24">
      <c r="A39" s="333">
        <v>255819</v>
      </c>
      <c r="B39" s="216"/>
      <c r="C39" s="165"/>
      <c r="D39" s="515">
        <v>5</v>
      </c>
      <c r="E39" s="343" t="s">
        <v>98</v>
      </c>
      <c r="F39" s="437" t="s">
        <v>475</v>
      </c>
      <c r="G39" s="438" t="s">
        <v>372</v>
      </c>
      <c r="H39" s="455" t="s">
        <v>98</v>
      </c>
      <c r="I39" s="455" t="s">
        <v>98</v>
      </c>
      <c r="J39" s="336">
        <v>0</v>
      </c>
      <c r="K39" s="438" t="s">
        <v>96</v>
      </c>
      <c r="L39" s="440">
        <v>3.8786127167630102E-6</v>
      </c>
      <c r="M39" s="336">
        <v>1</v>
      </c>
      <c r="N39" s="337">
        <f t="shared" si="14"/>
        <v>1.0722009304576894</v>
      </c>
      <c r="O39" s="437" t="str">
        <f t="shared" si="15"/>
        <v>(2,1,1,2,1,1); Industry data (French tender)</v>
      </c>
      <c r="P39" s="440">
        <f>L39</f>
        <v>3.8786127167630102E-6</v>
      </c>
      <c r="Q39" s="336">
        <v>1</v>
      </c>
      <c r="R39" s="337">
        <f t="shared" si="36"/>
        <v>1.0722009304576894</v>
      </c>
      <c r="S39" s="437" t="str">
        <f t="shared" si="16"/>
        <v>(2,1,1,2,1,1); Industry data (French tender)</v>
      </c>
      <c r="T39" s="440">
        <f>P39</f>
        <v>3.8786127167630102E-6</v>
      </c>
      <c r="U39" s="336">
        <v>1</v>
      </c>
      <c r="V39" s="337">
        <f t="shared" si="38"/>
        <v>1.0722009304576894</v>
      </c>
      <c r="W39" s="437" t="str">
        <f t="shared" si="17"/>
        <v>(2,1,1,2,1,1); Industry data (French tender)</v>
      </c>
      <c r="X39" s="440">
        <f>T39</f>
        <v>3.8786127167630102E-6</v>
      </c>
      <c r="Y39" s="336">
        <v>1</v>
      </c>
      <c r="Z39" s="337">
        <f t="shared" si="40"/>
        <v>1.0722009304576894</v>
      </c>
      <c r="AA39" s="437" t="str">
        <f t="shared" si="18"/>
        <v>(2,1,1,2,1,1); Industry data (French tender)</v>
      </c>
      <c r="AB39" s="440">
        <v>0</v>
      </c>
      <c r="AC39" s="336">
        <v>1</v>
      </c>
      <c r="AD39" s="337">
        <f t="shared" si="41"/>
        <v>1.0722009304576894</v>
      </c>
      <c r="AE39" s="437" t="str">
        <f t="shared" si="19"/>
        <v>(2,1,1,2,1,1); Industry data (French tender)</v>
      </c>
      <c r="AF39" s="440">
        <f t="shared" si="42"/>
        <v>0</v>
      </c>
      <c r="AG39" s="336">
        <v>1</v>
      </c>
      <c r="AH39" s="337">
        <f t="shared" si="43"/>
        <v>1.0722009304576894</v>
      </c>
      <c r="AI39" s="437" t="str">
        <f t="shared" si="20"/>
        <v>(2,1,1,2,1,1); Industry data (French tender)</v>
      </c>
      <c r="AJ39" s="440">
        <f t="shared" si="44"/>
        <v>0</v>
      </c>
      <c r="AK39" s="336">
        <v>1</v>
      </c>
      <c r="AL39" s="337">
        <f t="shared" si="45"/>
        <v>1.0722009304576894</v>
      </c>
      <c r="AM39" s="437" t="str">
        <f t="shared" si="21"/>
        <v>(2,1,1,2,1,1); Industry data (French tender)</v>
      </c>
      <c r="AN39" s="440">
        <f t="shared" si="46"/>
        <v>0</v>
      </c>
      <c r="AO39" s="336">
        <v>1</v>
      </c>
      <c r="AP39" s="337">
        <f t="shared" si="47"/>
        <v>1.0722009304576894</v>
      </c>
      <c r="AQ39" s="437" t="str">
        <f t="shared" si="22"/>
        <v>(2,1,1,2,1,1); Industry data (French tender)</v>
      </c>
      <c r="AR39" s="440">
        <v>0</v>
      </c>
      <c r="AS39" s="336">
        <v>1</v>
      </c>
      <c r="AT39" s="337">
        <f t="shared" si="48"/>
        <v>1.0722009304576894</v>
      </c>
      <c r="AU39" s="437" t="str">
        <f t="shared" si="23"/>
        <v>(2,1,1,2,1,1); Industry data (French tender)</v>
      </c>
      <c r="AV39" s="435">
        <f>AR38</f>
        <v>0.58875862518104205</v>
      </c>
      <c r="AW39" s="336">
        <v>1</v>
      </c>
      <c r="AX39" s="337">
        <f t="shared" si="50"/>
        <v>1.0722009304576894</v>
      </c>
      <c r="AY39" s="437" t="str">
        <f t="shared" si="24"/>
        <v>(2,1,1,2,1,1); Industry data (French tender)</v>
      </c>
      <c r="AZ39" s="440">
        <v>0</v>
      </c>
      <c r="BA39" s="336">
        <v>1</v>
      </c>
      <c r="BB39" s="337">
        <f t="shared" si="52"/>
        <v>1.0722009304576894</v>
      </c>
      <c r="BC39" s="437" t="str">
        <f t="shared" si="25"/>
        <v>(2,1,1,2,1,1); Industry data (French tender)</v>
      </c>
      <c r="BD39" s="440">
        <f>AZ39</f>
        <v>0</v>
      </c>
      <c r="BE39" s="336">
        <v>1</v>
      </c>
      <c r="BF39" s="337">
        <f t="shared" si="54"/>
        <v>1.0722009304576894</v>
      </c>
      <c r="BG39" s="437" t="str">
        <f t="shared" si="26"/>
        <v>(2,1,1,2,1,1); Industry data (French tender)</v>
      </c>
      <c r="BH39" s="440">
        <v>0</v>
      </c>
      <c r="BI39" s="336">
        <v>1</v>
      </c>
      <c r="BJ39" s="337">
        <f t="shared" si="55"/>
        <v>1.0722009304576894</v>
      </c>
      <c r="BK39" s="437" t="str">
        <f t="shared" si="27"/>
        <v xml:space="preserve">(na,na,na,na,na,na); </v>
      </c>
      <c r="BL39" s="440">
        <f t="shared" si="56"/>
        <v>0</v>
      </c>
      <c r="BM39" s="336">
        <v>1</v>
      </c>
      <c r="BN39" s="337">
        <f t="shared" si="57"/>
        <v>1.0722009304576894</v>
      </c>
      <c r="BO39" s="437" t="str">
        <f t="shared" si="28"/>
        <v xml:space="preserve">(na,na,na,na,na,na); </v>
      </c>
      <c r="BP39" s="437"/>
      <c r="BQ39" s="338"/>
      <c r="BR39" s="705" t="s">
        <v>462</v>
      </c>
      <c r="BS39" s="77">
        <v>2</v>
      </c>
      <c r="BT39" s="83">
        <v>1</v>
      </c>
      <c r="BU39" s="83">
        <v>1</v>
      </c>
      <c r="BV39" s="83">
        <v>2</v>
      </c>
      <c r="BW39" s="83">
        <v>1</v>
      </c>
      <c r="BX39" s="83">
        <v>1</v>
      </c>
      <c r="BY39" s="104">
        <v>3</v>
      </c>
      <c r="BZ39" s="104">
        <v>1.05</v>
      </c>
      <c r="CA39" s="104">
        <f t="shared" si="29"/>
        <v>1.0510550504206344</v>
      </c>
      <c r="CB39" s="107">
        <f t="shared" si="30"/>
        <v>1.0722009304576894</v>
      </c>
      <c r="CC39" s="107" t="str">
        <f t="shared" si="31"/>
        <v>(2,1,1,2,1,1)</v>
      </c>
      <c r="CD39" s="108">
        <v>1.05</v>
      </c>
      <c r="CE39" s="108">
        <v>1</v>
      </c>
      <c r="CF39" s="108">
        <v>1</v>
      </c>
      <c r="CG39" s="108">
        <v>1.01</v>
      </c>
      <c r="CH39" s="108">
        <v>1</v>
      </c>
      <c r="CI39" s="108">
        <v>1</v>
      </c>
      <c r="CJ39" s="514"/>
      <c r="CK39" s="111"/>
      <c r="CL39" s="77" t="s">
        <v>106</v>
      </c>
      <c r="CM39" s="83" t="s">
        <v>106</v>
      </c>
      <c r="CN39" s="83" t="s">
        <v>106</v>
      </c>
      <c r="CO39" s="83" t="s">
        <v>106</v>
      </c>
      <c r="CP39" s="83" t="s">
        <v>106</v>
      </c>
      <c r="CQ39" s="83" t="s">
        <v>106</v>
      </c>
      <c r="CR39" s="104">
        <v>3</v>
      </c>
      <c r="CS39" s="104">
        <v>1.05</v>
      </c>
      <c r="CT39" s="104">
        <f t="shared" si="32"/>
        <v>1</v>
      </c>
      <c r="CU39" s="107">
        <f t="shared" si="33"/>
        <v>1.05</v>
      </c>
      <c r="CV39" s="107" t="str">
        <f t="shared" si="34"/>
        <v>(na,na,na,na,na,na)</v>
      </c>
      <c r="CW39" s="108">
        <v>1</v>
      </c>
      <c r="CX39" s="108">
        <v>1</v>
      </c>
      <c r="CY39" s="108">
        <v>1</v>
      </c>
      <c r="CZ39" s="108">
        <v>1</v>
      </c>
      <c r="DA39" s="108">
        <v>1</v>
      </c>
      <c r="DB39" s="108">
        <v>1</v>
      </c>
    </row>
    <row r="40" spans="1:106" ht="24">
      <c r="A40" s="333">
        <v>255905</v>
      </c>
      <c r="B40" s="216"/>
      <c r="C40" s="165"/>
      <c r="D40" s="515">
        <v>5</v>
      </c>
      <c r="E40" s="343" t="s">
        <v>98</v>
      </c>
      <c r="F40" s="437" t="s">
        <v>476</v>
      </c>
      <c r="G40" s="438" t="s">
        <v>215</v>
      </c>
      <c r="H40" s="455" t="s">
        <v>98</v>
      </c>
      <c r="I40" s="455" t="s">
        <v>98</v>
      </c>
      <c r="J40" s="336">
        <v>0</v>
      </c>
      <c r="K40" s="438" t="s">
        <v>96</v>
      </c>
      <c r="L40" s="440">
        <v>3.8786127167630102E-6</v>
      </c>
      <c r="M40" s="336">
        <v>1</v>
      </c>
      <c r="N40" s="337">
        <f t="shared" si="14"/>
        <v>1.0722009304576894</v>
      </c>
      <c r="O40" s="437" t="str">
        <f t="shared" si="15"/>
        <v>(2,1,1,2,1,1); Industry data (French tender)</v>
      </c>
      <c r="P40" s="440">
        <f>L40</f>
        <v>3.8786127167630102E-6</v>
      </c>
      <c r="Q40" s="336">
        <v>1</v>
      </c>
      <c r="R40" s="337">
        <f t="shared" si="36"/>
        <v>1.0722009304576894</v>
      </c>
      <c r="S40" s="437" t="str">
        <f t="shared" si="16"/>
        <v>(2,1,1,2,1,1); Industry data (French tender)</v>
      </c>
      <c r="T40" s="440">
        <f>P40</f>
        <v>3.8786127167630102E-6</v>
      </c>
      <c r="U40" s="336">
        <v>1</v>
      </c>
      <c r="V40" s="337">
        <f t="shared" si="38"/>
        <v>1.0722009304576894</v>
      </c>
      <c r="W40" s="437" t="str">
        <f t="shared" si="17"/>
        <v>(2,1,1,2,1,1); Industry data (French tender)</v>
      </c>
      <c r="X40" s="440">
        <f>T40</f>
        <v>3.8786127167630102E-6</v>
      </c>
      <c r="Y40" s="336">
        <v>1</v>
      </c>
      <c r="Z40" s="337">
        <f t="shared" si="40"/>
        <v>1.0722009304576894</v>
      </c>
      <c r="AA40" s="437" t="str">
        <f t="shared" si="18"/>
        <v>(2,1,1,2,1,1); Industry data (French tender)</v>
      </c>
      <c r="AB40" s="440">
        <v>0</v>
      </c>
      <c r="AC40" s="336">
        <v>1</v>
      </c>
      <c r="AD40" s="337">
        <f t="shared" si="41"/>
        <v>1.0722009304576894</v>
      </c>
      <c r="AE40" s="437" t="str">
        <f t="shared" si="19"/>
        <v>(2,1,1,2,1,1); Industry data (French tender)</v>
      </c>
      <c r="AF40" s="440">
        <f t="shared" si="42"/>
        <v>0</v>
      </c>
      <c r="AG40" s="336">
        <v>1</v>
      </c>
      <c r="AH40" s="337">
        <f t="shared" si="43"/>
        <v>1.0722009304576894</v>
      </c>
      <c r="AI40" s="437" t="str">
        <f t="shared" si="20"/>
        <v>(2,1,1,2,1,1); Industry data (French tender)</v>
      </c>
      <c r="AJ40" s="440">
        <f t="shared" si="44"/>
        <v>0</v>
      </c>
      <c r="AK40" s="336">
        <v>1</v>
      </c>
      <c r="AL40" s="337">
        <f t="shared" si="45"/>
        <v>1.0722009304576894</v>
      </c>
      <c r="AM40" s="437" t="str">
        <f t="shared" si="21"/>
        <v>(2,1,1,2,1,1); Industry data (French tender)</v>
      </c>
      <c r="AN40" s="440">
        <f t="shared" si="46"/>
        <v>0</v>
      </c>
      <c r="AO40" s="336">
        <v>1</v>
      </c>
      <c r="AP40" s="337">
        <f t="shared" si="47"/>
        <v>1.0722009304576894</v>
      </c>
      <c r="AQ40" s="437" t="str">
        <f t="shared" si="22"/>
        <v>(2,1,1,2,1,1); Industry data (French tender)</v>
      </c>
      <c r="AR40" s="440">
        <v>0</v>
      </c>
      <c r="AS40" s="336">
        <v>1</v>
      </c>
      <c r="AT40" s="337">
        <f t="shared" si="48"/>
        <v>1.0722009304576894</v>
      </c>
      <c r="AU40" s="437" t="str">
        <f t="shared" si="23"/>
        <v>(2,1,1,2,1,1); Industry data (French tender)</v>
      </c>
      <c r="AV40" s="440">
        <f>AR39</f>
        <v>0</v>
      </c>
      <c r="AW40" s="336">
        <v>1</v>
      </c>
      <c r="AX40" s="337">
        <f t="shared" si="50"/>
        <v>1.0722009304576894</v>
      </c>
      <c r="AY40" s="437" t="str">
        <f t="shared" si="24"/>
        <v>(2,1,1,2,1,1); Industry data (French tender)</v>
      </c>
      <c r="AZ40" s="435">
        <f>AV39</f>
        <v>0.58875862518104205</v>
      </c>
      <c r="BA40" s="336">
        <v>1</v>
      </c>
      <c r="BB40" s="337">
        <f t="shared" si="52"/>
        <v>1.0722009304576894</v>
      </c>
      <c r="BC40" s="437" t="str">
        <f t="shared" si="25"/>
        <v>(2,1,1,2,1,1); Industry data (French tender)</v>
      </c>
      <c r="BD40" s="435">
        <f>AZ40</f>
        <v>0.58875862518104205</v>
      </c>
      <c r="BE40" s="336">
        <v>1</v>
      </c>
      <c r="BF40" s="337">
        <f t="shared" si="54"/>
        <v>1.0722009304576894</v>
      </c>
      <c r="BG40" s="437" t="str">
        <f t="shared" si="26"/>
        <v>(2,1,1,2,1,1); Industry data (French tender)</v>
      </c>
      <c r="BH40" s="440">
        <v>0</v>
      </c>
      <c r="BI40" s="336">
        <v>1</v>
      </c>
      <c r="BJ40" s="337">
        <f t="shared" si="55"/>
        <v>1.0722009304576894</v>
      </c>
      <c r="BK40" s="437" t="str">
        <f t="shared" si="27"/>
        <v xml:space="preserve">(na,na,na,na,na,na); </v>
      </c>
      <c r="BL40" s="440">
        <f t="shared" si="56"/>
        <v>0</v>
      </c>
      <c r="BM40" s="336">
        <v>1</v>
      </c>
      <c r="BN40" s="337">
        <f t="shared" si="57"/>
        <v>1.0722009304576894</v>
      </c>
      <c r="BO40" s="437" t="str">
        <f t="shared" si="28"/>
        <v xml:space="preserve">(na,na,na,na,na,na); </v>
      </c>
      <c r="BP40" s="437"/>
      <c r="BQ40" s="338"/>
      <c r="BR40" s="705" t="s">
        <v>462</v>
      </c>
      <c r="BS40" s="77">
        <v>2</v>
      </c>
      <c r="BT40" s="83">
        <v>1</v>
      </c>
      <c r="BU40" s="83">
        <v>1</v>
      </c>
      <c r="BV40" s="83">
        <v>2</v>
      </c>
      <c r="BW40" s="83">
        <v>1</v>
      </c>
      <c r="BX40" s="83">
        <v>1</v>
      </c>
      <c r="BY40" s="104">
        <v>3</v>
      </c>
      <c r="BZ40" s="104">
        <v>1.05</v>
      </c>
      <c r="CA40" s="104">
        <f t="shared" si="29"/>
        <v>1.0510550504206344</v>
      </c>
      <c r="CB40" s="107">
        <f t="shared" si="30"/>
        <v>1.0722009304576894</v>
      </c>
      <c r="CC40" s="107" t="str">
        <f t="shared" si="31"/>
        <v>(2,1,1,2,1,1)</v>
      </c>
      <c r="CD40" s="108">
        <v>1.05</v>
      </c>
      <c r="CE40" s="108">
        <v>1</v>
      </c>
      <c r="CF40" s="108">
        <v>1</v>
      </c>
      <c r="CG40" s="108">
        <v>1.01</v>
      </c>
      <c r="CH40" s="108">
        <v>1</v>
      </c>
      <c r="CI40" s="108">
        <v>1</v>
      </c>
      <c r="CJ40" s="514"/>
      <c r="CK40" s="111"/>
      <c r="CL40" s="77" t="s">
        <v>106</v>
      </c>
      <c r="CM40" s="83" t="s">
        <v>106</v>
      </c>
      <c r="CN40" s="83" t="s">
        <v>106</v>
      </c>
      <c r="CO40" s="83" t="s">
        <v>106</v>
      </c>
      <c r="CP40" s="83" t="s">
        <v>106</v>
      </c>
      <c r="CQ40" s="83" t="s">
        <v>106</v>
      </c>
      <c r="CR40" s="104">
        <v>3</v>
      </c>
      <c r="CS40" s="104">
        <v>1.05</v>
      </c>
      <c r="CT40" s="104">
        <f t="shared" si="32"/>
        <v>1</v>
      </c>
      <c r="CU40" s="107">
        <f t="shared" si="33"/>
        <v>1.05</v>
      </c>
      <c r="CV40" s="107" t="str">
        <f t="shared" si="34"/>
        <v>(na,na,na,na,na,na)</v>
      </c>
      <c r="CW40" s="108">
        <v>1</v>
      </c>
      <c r="CX40" s="108">
        <v>1</v>
      </c>
      <c r="CY40" s="108">
        <v>1</v>
      </c>
      <c r="CZ40" s="108">
        <v>1</v>
      </c>
      <c r="DA40" s="108">
        <v>1</v>
      </c>
      <c r="DB40" s="108">
        <v>1</v>
      </c>
    </row>
    <row r="41" spans="1:106" ht="36">
      <c r="A41" s="330">
        <v>269273</v>
      </c>
      <c r="B41" s="331" t="s">
        <v>191</v>
      </c>
      <c r="C41" s="88"/>
      <c r="D41" s="340">
        <v>5</v>
      </c>
      <c r="E41" s="341" t="s">
        <v>98</v>
      </c>
      <c r="F41" s="432" t="s">
        <v>477</v>
      </c>
      <c r="G41" s="433" t="s">
        <v>93</v>
      </c>
      <c r="H41" s="434" t="s">
        <v>98</v>
      </c>
      <c r="I41" s="434" t="s">
        <v>98</v>
      </c>
      <c r="J41" s="94">
        <v>0</v>
      </c>
      <c r="K41" s="433" t="s">
        <v>96</v>
      </c>
      <c r="L41" s="435">
        <v>59.560886319845899</v>
      </c>
      <c r="M41" s="95">
        <v>1</v>
      </c>
      <c r="N41" s="96">
        <f t="shared" si="14"/>
        <v>1.0722009304576894</v>
      </c>
      <c r="O41" s="432" t="str">
        <f t="shared" si="15"/>
        <v>(2,1,1,2,1,1); Industry data (French tender), RER iso RoW</v>
      </c>
      <c r="P41" s="435">
        <v>0</v>
      </c>
      <c r="Q41" s="95">
        <v>1</v>
      </c>
      <c r="R41" s="96">
        <f t="shared" si="36"/>
        <v>1.0722009304576894</v>
      </c>
      <c r="S41" s="432" t="str">
        <f t="shared" si="16"/>
        <v>(2,1,1,2,1,1); Industry data (French tender), RER iso RoW</v>
      </c>
      <c r="T41" s="435">
        <v>0</v>
      </c>
      <c r="U41" s="95">
        <v>1</v>
      </c>
      <c r="V41" s="96">
        <f t="shared" si="38"/>
        <v>1.0722009304576894</v>
      </c>
      <c r="W41" s="432" t="str">
        <f t="shared" si="17"/>
        <v>(2,1,1,2,1,1); Industry data (French tender), RER iso RoW</v>
      </c>
      <c r="X41" s="435">
        <v>0</v>
      </c>
      <c r="Y41" s="95">
        <v>1</v>
      </c>
      <c r="Z41" s="96">
        <f t="shared" si="40"/>
        <v>1.0722009304576894</v>
      </c>
      <c r="AA41" s="432" t="str">
        <f t="shared" si="18"/>
        <v>(2,1,1,2,1,1); Industry data (French tender), RER iso RoW</v>
      </c>
      <c r="AB41" s="435">
        <v>12.1502884615385</v>
      </c>
      <c r="AC41" s="95">
        <v>1</v>
      </c>
      <c r="AD41" s="96">
        <f t="shared" si="41"/>
        <v>1.0722009304576894</v>
      </c>
      <c r="AE41" s="432" t="str">
        <f t="shared" si="19"/>
        <v>(2,1,1,2,1,1); Industry data (French tender), RER iso RoW</v>
      </c>
      <c r="AF41" s="435">
        <v>0</v>
      </c>
      <c r="AG41" s="95">
        <v>1</v>
      </c>
      <c r="AH41" s="96">
        <f t="shared" si="43"/>
        <v>1.0722009304576894</v>
      </c>
      <c r="AI41" s="432" t="str">
        <f t="shared" si="20"/>
        <v>(2,1,1,2,1,1); Industry data (French tender), RER iso RoW</v>
      </c>
      <c r="AJ41" s="435">
        <v>0</v>
      </c>
      <c r="AK41" s="95">
        <v>1</v>
      </c>
      <c r="AL41" s="96">
        <f t="shared" si="45"/>
        <v>1.0722009304576894</v>
      </c>
      <c r="AM41" s="432" t="str">
        <f t="shared" si="21"/>
        <v>(2,1,1,2,1,1); Industry data (French tender), RER iso RoW</v>
      </c>
      <c r="AN41" s="435">
        <v>0</v>
      </c>
      <c r="AO41" s="95">
        <v>1</v>
      </c>
      <c r="AP41" s="96">
        <f t="shared" si="47"/>
        <v>1.0722009304576894</v>
      </c>
      <c r="AQ41" s="432" t="str">
        <f t="shared" si="22"/>
        <v>(2,1,1,2,1,1); Industry data (French tender), RER iso RoW</v>
      </c>
      <c r="AR41" s="435">
        <v>0</v>
      </c>
      <c r="AS41" s="95">
        <v>1</v>
      </c>
      <c r="AT41" s="96">
        <f t="shared" si="48"/>
        <v>1.0722009304576894</v>
      </c>
      <c r="AU41" s="432" t="str">
        <f t="shared" si="23"/>
        <v>(2,1,1,2,1,1); Industry data (French tender), RER iso RoW</v>
      </c>
      <c r="AV41" s="435">
        <v>0</v>
      </c>
      <c r="AW41" s="95">
        <v>1</v>
      </c>
      <c r="AX41" s="96">
        <f t="shared" si="50"/>
        <v>1.0722009304576894</v>
      </c>
      <c r="AY41" s="432" t="str">
        <f t="shared" si="24"/>
        <v>(2,1,1,2,1,1); Industry data (French tender), RER iso RoW</v>
      </c>
      <c r="AZ41" s="435">
        <v>0</v>
      </c>
      <c r="BA41" s="95">
        <v>1</v>
      </c>
      <c r="BB41" s="96">
        <f t="shared" si="52"/>
        <v>1.0722009304576894</v>
      </c>
      <c r="BC41" s="432" t="str">
        <f t="shared" si="25"/>
        <v>(2,1,1,2,1,1); Industry data (French tender), RER iso RoW</v>
      </c>
      <c r="BD41" s="435">
        <v>0</v>
      </c>
      <c r="BE41" s="95">
        <v>1</v>
      </c>
      <c r="BF41" s="96">
        <f t="shared" si="54"/>
        <v>1.0722009304576894</v>
      </c>
      <c r="BG41" s="432" t="str">
        <f t="shared" si="26"/>
        <v>(2,1,1,2,1,1); Industry data (French tender), RER iso RoW</v>
      </c>
      <c r="BH41" s="435">
        <v>0</v>
      </c>
      <c r="BI41" s="95">
        <v>1</v>
      </c>
      <c r="BJ41" s="96">
        <f t="shared" si="55"/>
        <v>1.0722009304576894</v>
      </c>
      <c r="BK41" s="432" t="str">
        <f t="shared" si="27"/>
        <v xml:space="preserve">(na,na,na,na,na,na); </v>
      </c>
      <c r="BL41" s="435">
        <v>0</v>
      </c>
      <c r="BM41" s="95">
        <v>1</v>
      </c>
      <c r="BN41" s="96">
        <f t="shared" si="57"/>
        <v>1.0722009304576894</v>
      </c>
      <c r="BO41" s="432" t="str">
        <f t="shared" si="28"/>
        <v xml:space="preserve">(na,na,na,na,na,na); </v>
      </c>
      <c r="BP41" s="432"/>
      <c r="BQ41" s="112"/>
      <c r="BR41" s="705" t="s">
        <v>478</v>
      </c>
      <c r="BS41" s="77">
        <v>2</v>
      </c>
      <c r="BT41" s="339">
        <v>1</v>
      </c>
      <c r="BU41" s="339">
        <v>1</v>
      </c>
      <c r="BV41" s="339">
        <v>2</v>
      </c>
      <c r="BW41" s="339">
        <v>1</v>
      </c>
      <c r="BX41" s="339">
        <v>1</v>
      </c>
      <c r="BY41" s="104">
        <v>3</v>
      </c>
      <c r="BZ41" s="104">
        <v>1.05</v>
      </c>
      <c r="CA41" s="104">
        <f t="shared" si="29"/>
        <v>1.0510550504206344</v>
      </c>
      <c r="CB41" s="107">
        <f t="shared" si="30"/>
        <v>1.0722009304576894</v>
      </c>
      <c r="CC41" s="107" t="str">
        <f t="shared" si="31"/>
        <v>(2,1,1,2,1,1)</v>
      </c>
      <c r="CD41" s="108">
        <v>1.05</v>
      </c>
      <c r="CE41" s="108">
        <v>1</v>
      </c>
      <c r="CF41" s="108">
        <v>1</v>
      </c>
      <c r="CG41" s="108">
        <v>1.01</v>
      </c>
      <c r="CH41" s="108">
        <v>1</v>
      </c>
      <c r="CI41" s="108">
        <v>1</v>
      </c>
      <c r="CK41" s="111"/>
      <c r="CL41" s="77" t="s">
        <v>106</v>
      </c>
      <c r="CM41" s="339" t="s">
        <v>106</v>
      </c>
      <c r="CN41" s="339" t="s">
        <v>106</v>
      </c>
      <c r="CO41" s="339" t="s">
        <v>106</v>
      </c>
      <c r="CP41" s="339" t="s">
        <v>106</v>
      </c>
      <c r="CQ41" s="339" t="s">
        <v>106</v>
      </c>
      <c r="CR41" s="104">
        <v>3</v>
      </c>
      <c r="CS41" s="104">
        <v>1.05</v>
      </c>
      <c r="CT41" s="104">
        <f t="shared" si="32"/>
        <v>1</v>
      </c>
      <c r="CU41" s="107">
        <f t="shared" si="33"/>
        <v>1.05</v>
      </c>
      <c r="CV41" s="107" t="str">
        <f t="shared" si="34"/>
        <v>(na,na,na,na,na,na)</v>
      </c>
      <c r="CW41" s="108">
        <v>1</v>
      </c>
      <c r="CX41" s="108">
        <v>1</v>
      </c>
      <c r="CY41" s="108">
        <v>1</v>
      </c>
      <c r="CZ41" s="108">
        <v>1</v>
      </c>
      <c r="DA41" s="108">
        <v>1</v>
      </c>
      <c r="DB41" s="108">
        <v>1</v>
      </c>
    </row>
    <row r="42" spans="1:106" ht="24">
      <c r="A42" s="330">
        <v>269347</v>
      </c>
      <c r="B42" s="331"/>
      <c r="C42" s="88"/>
      <c r="D42" s="340">
        <v>5</v>
      </c>
      <c r="E42" s="341" t="s">
        <v>98</v>
      </c>
      <c r="F42" s="432" t="s">
        <v>479</v>
      </c>
      <c r="G42" s="433" t="s">
        <v>93</v>
      </c>
      <c r="H42" s="434" t="s">
        <v>98</v>
      </c>
      <c r="I42" s="434" t="s">
        <v>98</v>
      </c>
      <c r="J42" s="94">
        <v>0</v>
      </c>
      <c r="K42" s="433" t="s">
        <v>96</v>
      </c>
      <c r="L42" s="435">
        <v>0</v>
      </c>
      <c r="M42" s="95">
        <v>1</v>
      </c>
      <c r="N42" s="96">
        <f t="shared" si="14"/>
        <v>1.05</v>
      </c>
      <c r="O42" s="432" t="str">
        <f t="shared" si="15"/>
        <v xml:space="preserve">(na,na,na,na,na,na); </v>
      </c>
      <c r="P42" s="435">
        <v>0</v>
      </c>
      <c r="Q42" s="95">
        <v>1</v>
      </c>
      <c r="R42" s="96">
        <f t="shared" si="36"/>
        <v>1.05</v>
      </c>
      <c r="S42" s="432" t="str">
        <f t="shared" si="16"/>
        <v xml:space="preserve">(na,na,na,na,na,na); </v>
      </c>
      <c r="T42" s="435">
        <v>0</v>
      </c>
      <c r="U42" s="95">
        <v>1</v>
      </c>
      <c r="V42" s="96">
        <f t="shared" si="38"/>
        <v>1.05</v>
      </c>
      <c r="W42" s="432" t="str">
        <f t="shared" si="17"/>
        <v xml:space="preserve">(na,na,na,na,na,na); </v>
      </c>
      <c r="X42" s="435">
        <v>0</v>
      </c>
      <c r="Y42" s="95">
        <v>1</v>
      </c>
      <c r="Z42" s="96">
        <f t="shared" si="40"/>
        <v>1.05</v>
      </c>
      <c r="AA42" s="432" t="str">
        <f t="shared" si="18"/>
        <v xml:space="preserve">(na,na,na,na,na,na); </v>
      </c>
      <c r="AB42" s="435">
        <v>0</v>
      </c>
      <c r="AC42" s="95">
        <v>1</v>
      </c>
      <c r="AD42" s="96">
        <f t="shared" si="41"/>
        <v>1.05</v>
      </c>
      <c r="AE42" s="432" t="str">
        <f t="shared" si="19"/>
        <v xml:space="preserve">(na,na,na,na,na,na); </v>
      </c>
      <c r="AF42" s="435">
        <v>0</v>
      </c>
      <c r="AG42" s="95">
        <v>1</v>
      </c>
      <c r="AH42" s="96">
        <f t="shared" si="43"/>
        <v>1.05</v>
      </c>
      <c r="AI42" s="432" t="str">
        <f t="shared" si="20"/>
        <v xml:space="preserve">(na,na,na,na,na,na); </v>
      </c>
      <c r="AJ42" s="435">
        <v>0</v>
      </c>
      <c r="AK42" s="95">
        <v>1</v>
      </c>
      <c r="AL42" s="96">
        <f t="shared" si="45"/>
        <v>1.05</v>
      </c>
      <c r="AM42" s="432" t="str">
        <f t="shared" si="21"/>
        <v xml:space="preserve">(na,na,na,na,na,na); </v>
      </c>
      <c r="AN42" s="435">
        <v>0</v>
      </c>
      <c r="AO42" s="95">
        <v>1</v>
      </c>
      <c r="AP42" s="96">
        <f t="shared" si="47"/>
        <v>1.05</v>
      </c>
      <c r="AQ42" s="432" t="str">
        <f t="shared" si="22"/>
        <v xml:space="preserve">(na,na,na,na,na,na); </v>
      </c>
      <c r="AR42" s="435">
        <v>0</v>
      </c>
      <c r="AS42" s="95">
        <v>1</v>
      </c>
      <c r="AT42" s="96">
        <f t="shared" si="48"/>
        <v>1.05</v>
      </c>
      <c r="AU42" s="432" t="str">
        <f t="shared" si="23"/>
        <v xml:space="preserve">(na,na,na,na,na,na); </v>
      </c>
      <c r="AV42" s="435">
        <v>0</v>
      </c>
      <c r="AW42" s="95">
        <v>1</v>
      </c>
      <c r="AX42" s="96">
        <f t="shared" si="50"/>
        <v>1.05</v>
      </c>
      <c r="AY42" s="432" t="str">
        <f t="shared" si="24"/>
        <v xml:space="preserve">(na,na,na,na,na,na); </v>
      </c>
      <c r="AZ42" s="435">
        <v>0</v>
      </c>
      <c r="BA42" s="95">
        <v>1</v>
      </c>
      <c r="BB42" s="96">
        <f t="shared" si="52"/>
        <v>1.05</v>
      </c>
      <c r="BC42" s="432" t="str">
        <f t="shared" si="25"/>
        <v xml:space="preserve">(na,na,na,na,na,na); </v>
      </c>
      <c r="BD42" s="435">
        <v>0</v>
      </c>
      <c r="BE42" s="95">
        <v>1</v>
      </c>
      <c r="BF42" s="96">
        <f t="shared" si="54"/>
        <v>1.05</v>
      </c>
      <c r="BG42" s="432" t="str">
        <f t="shared" si="26"/>
        <v xml:space="preserve">(na,na,na,na,na,na); </v>
      </c>
      <c r="BH42" s="435">
        <f>0.06*1000</f>
        <v>60</v>
      </c>
      <c r="BI42" s="95">
        <v>1</v>
      </c>
      <c r="BJ42" s="96">
        <f t="shared" si="55"/>
        <v>1.05</v>
      </c>
      <c r="BK42" s="432" t="str">
        <f t="shared" si="27"/>
        <v>(2,4,1,3,1,5); Brailovsky (2026)</v>
      </c>
      <c r="BL42" s="435">
        <f>BH42</f>
        <v>60</v>
      </c>
      <c r="BM42" s="95">
        <v>1</v>
      </c>
      <c r="BN42" s="96">
        <f t="shared" si="57"/>
        <v>1.05</v>
      </c>
      <c r="BO42" s="432" t="str">
        <f t="shared" si="28"/>
        <v>(2,4,1,3,1,5); Brailovsky (2026)</v>
      </c>
      <c r="BP42" s="432"/>
      <c r="BQ42" s="112"/>
      <c r="BR42" s="705"/>
      <c r="BS42" s="77" t="s">
        <v>106</v>
      </c>
      <c r="BT42" s="339" t="s">
        <v>106</v>
      </c>
      <c r="BU42" s="339" t="s">
        <v>106</v>
      </c>
      <c r="BV42" s="339" t="s">
        <v>106</v>
      </c>
      <c r="BW42" s="339" t="s">
        <v>106</v>
      </c>
      <c r="BX42" s="339" t="s">
        <v>106</v>
      </c>
      <c r="BY42" s="104">
        <v>3</v>
      </c>
      <c r="BZ42" s="104">
        <v>1.05</v>
      </c>
      <c r="CA42" s="104">
        <f t="shared" si="29"/>
        <v>1</v>
      </c>
      <c r="CB42" s="107">
        <f t="shared" si="30"/>
        <v>1.05</v>
      </c>
      <c r="CC42" s="107" t="str">
        <f t="shared" si="31"/>
        <v>(na,na,na,na,na,na)</v>
      </c>
      <c r="CD42" s="108">
        <v>1</v>
      </c>
      <c r="CE42" s="108">
        <v>1</v>
      </c>
      <c r="CF42" s="108">
        <v>1</v>
      </c>
      <c r="CG42" s="108">
        <v>1</v>
      </c>
      <c r="CH42" s="108">
        <v>1</v>
      </c>
      <c r="CI42" s="108">
        <v>1</v>
      </c>
      <c r="CK42" s="111" t="s">
        <v>469</v>
      </c>
      <c r="CL42" s="77">
        <v>2</v>
      </c>
      <c r="CM42" s="339">
        <v>4</v>
      </c>
      <c r="CN42" s="339">
        <v>1</v>
      </c>
      <c r="CO42" s="339">
        <v>3</v>
      </c>
      <c r="CP42" s="339">
        <v>1</v>
      </c>
      <c r="CQ42" s="339">
        <v>5</v>
      </c>
      <c r="CR42" s="104">
        <v>3</v>
      </c>
      <c r="CS42" s="104">
        <v>1.05</v>
      </c>
      <c r="CT42" s="104">
        <f t="shared" si="32"/>
        <v>1.2365959919080913</v>
      </c>
      <c r="CU42" s="107">
        <f t="shared" si="33"/>
        <v>1.2434566510799234</v>
      </c>
      <c r="CV42" s="107" t="str">
        <f t="shared" si="34"/>
        <v>(2,4,1,3,1,5)</v>
      </c>
      <c r="CW42" s="108">
        <v>1.05</v>
      </c>
      <c r="CX42" s="108">
        <v>1.1000000000000001</v>
      </c>
      <c r="CY42" s="108">
        <v>1</v>
      </c>
      <c r="CZ42" s="108">
        <v>1.02</v>
      </c>
      <c r="DA42" s="108">
        <v>1</v>
      </c>
      <c r="DB42" s="108">
        <v>1.2</v>
      </c>
    </row>
    <row r="43" spans="1:106" ht="36">
      <c r="A43" s="330">
        <v>267756</v>
      </c>
      <c r="B43" s="331"/>
      <c r="C43" s="88"/>
      <c r="D43" s="340">
        <v>5</v>
      </c>
      <c r="E43" s="341" t="s">
        <v>98</v>
      </c>
      <c r="F43" s="432" t="s">
        <v>480</v>
      </c>
      <c r="G43" s="433" t="s">
        <v>372</v>
      </c>
      <c r="H43" s="434" t="s">
        <v>98</v>
      </c>
      <c r="I43" s="434" t="s">
        <v>98</v>
      </c>
      <c r="J43" s="94">
        <v>0</v>
      </c>
      <c r="K43" s="433" t="s">
        <v>96</v>
      </c>
      <c r="L43" s="435">
        <v>0</v>
      </c>
      <c r="M43" s="95">
        <v>1</v>
      </c>
      <c r="N43" s="96">
        <f t="shared" si="14"/>
        <v>1.0722009304576894</v>
      </c>
      <c r="O43" s="432" t="str">
        <f t="shared" si="15"/>
        <v>(2,1,1,2,1,1); Industry data (French tender), CN iso RoW</v>
      </c>
      <c r="P43" s="435">
        <v>59.560886319845899</v>
      </c>
      <c r="Q43" s="95">
        <v>1</v>
      </c>
      <c r="R43" s="96">
        <f t="shared" si="36"/>
        <v>1.0722009304576894</v>
      </c>
      <c r="S43" s="432" t="str">
        <f t="shared" si="16"/>
        <v>(2,1,1,2,1,1); Industry data (French tender), CN iso RoW</v>
      </c>
      <c r="T43" s="435">
        <v>0</v>
      </c>
      <c r="U43" s="95">
        <v>1</v>
      </c>
      <c r="V43" s="96">
        <f t="shared" si="38"/>
        <v>1.0722009304576894</v>
      </c>
      <c r="W43" s="432" t="str">
        <f t="shared" si="17"/>
        <v>(2,1,1,2,1,1); Industry data (French tender), CN iso RoW</v>
      </c>
      <c r="X43" s="435">
        <v>0</v>
      </c>
      <c r="Y43" s="95">
        <v>1</v>
      </c>
      <c r="Z43" s="96">
        <f t="shared" si="40"/>
        <v>1.0722009304576894</v>
      </c>
      <c r="AA43" s="432" t="str">
        <f t="shared" si="18"/>
        <v>(2,1,1,2,1,1); Industry data (French tender), CN iso RoW</v>
      </c>
      <c r="AB43" s="435">
        <v>0</v>
      </c>
      <c r="AC43" s="95">
        <v>1</v>
      </c>
      <c r="AD43" s="96">
        <f t="shared" si="41"/>
        <v>1.0722009304576894</v>
      </c>
      <c r="AE43" s="432" t="str">
        <f t="shared" si="19"/>
        <v>(2,1,1,2,1,1); Industry data (French tender), CN iso RoW</v>
      </c>
      <c r="AF43" s="435">
        <f>AB41</f>
        <v>12.1502884615385</v>
      </c>
      <c r="AG43" s="95">
        <v>1</v>
      </c>
      <c r="AH43" s="96">
        <f t="shared" si="43"/>
        <v>1.0722009304576894</v>
      </c>
      <c r="AI43" s="432" t="str">
        <f t="shared" si="20"/>
        <v>(2,1,1,2,1,1); Industry data (French tender), CN iso RoW</v>
      </c>
      <c r="AJ43" s="435">
        <v>0</v>
      </c>
      <c r="AK43" s="95">
        <v>1</v>
      </c>
      <c r="AL43" s="96">
        <f t="shared" si="45"/>
        <v>1.0722009304576894</v>
      </c>
      <c r="AM43" s="432" t="str">
        <f t="shared" si="21"/>
        <v>(2,1,1,2,1,1); Industry data (French tender), CN iso RoW</v>
      </c>
      <c r="AN43" s="435">
        <v>0</v>
      </c>
      <c r="AO43" s="95">
        <v>1</v>
      </c>
      <c r="AP43" s="96">
        <f t="shared" si="47"/>
        <v>1.0722009304576894</v>
      </c>
      <c r="AQ43" s="432" t="str">
        <f t="shared" si="22"/>
        <v>(2,1,1,2,1,1); Industry data (French tender), CN iso RoW</v>
      </c>
      <c r="AR43" s="435">
        <v>0</v>
      </c>
      <c r="AS43" s="95">
        <v>1</v>
      </c>
      <c r="AT43" s="96">
        <f t="shared" si="48"/>
        <v>1.0722009304576894</v>
      </c>
      <c r="AU43" s="432" t="str">
        <f t="shared" si="23"/>
        <v>(2,1,1,2,1,1); Industry data (French tender), CN iso RoW</v>
      </c>
      <c r="AV43" s="435">
        <v>0</v>
      </c>
      <c r="AW43" s="95">
        <v>1</v>
      </c>
      <c r="AX43" s="96">
        <f t="shared" si="50"/>
        <v>1.0722009304576894</v>
      </c>
      <c r="AY43" s="432" t="str">
        <f t="shared" si="24"/>
        <v>(2,1,1,2,1,1); Industry data (French tender), CN iso RoW</v>
      </c>
      <c r="AZ43" s="435">
        <v>0</v>
      </c>
      <c r="BA43" s="95">
        <v>1</v>
      </c>
      <c r="BB43" s="96">
        <f t="shared" si="52"/>
        <v>1.0722009304576894</v>
      </c>
      <c r="BC43" s="432" t="str">
        <f t="shared" si="25"/>
        <v>(2,1,1,2,1,1); Industry data (French tender), CN iso RoW</v>
      </c>
      <c r="BD43" s="435">
        <v>0</v>
      </c>
      <c r="BE43" s="95">
        <v>1</v>
      </c>
      <c r="BF43" s="96">
        <f t="shared" si="54"/>
        <v>1.0722009304576894</v>
      </c>
      <c r="BG43" s="432" t="str">
        <f t="shared" si="26"/>
        <v>(2,1,1,2,1,1); Industry data (French tender), CN iso RoW</v>
      </c>
      <c r="BH43" s="435">
        <v>0</v>
      </c>
      <c r="BI43" s="95">
        <v>1</v>
      </c>
      <c r="BJ43" s="96">
        <f t="shared" si="55"/>
        <v>1.0722009304576894</v>
      </c>
      <c r="BK43" s="432" t="str">
        <f t="shared" si="27"/>
        <v xml:space="preserve">(na,na,na,na,na,na); </v>
      </c>
      <c r="BL43" s="435">
        <v>0</v>
      </c>
      <c r="BM43" s="95">
        <v>1</v>
      </c>
      <c r="BN43" s="96">
        <f t="shared" si="57"/>
        <v>1.0722009304576894</v>
      </c>
      <c r="BO43" s="432" t="str">
        <f t="shared" si="28"/>
        <v xml:space="preserve">(na,na,na,na,na,na); </v>
      </c>
      <c r="BP43" s="432"/>
      <c r="BQ43" s="112"/>
      <c r="BR43" s="705" t="s">
        <v>481</v>
      </c>
      <c r="BS43" s="77">
        <v>2</v>
      </c>
      <c r="BT43" s="339">
        <v>1</v>
      </c>
      <c r="BU43" s="339">
        <v>1</v>
      </c>
      <c r="BV43" s="339">
        <v>2</v>
      </c>
      <c r="BW43" s="339">
        <v>1</v>
      </c>
      <c r="BX43" s="339">
        <v>1</v>
      </c>
      <c r="BY43" s="104">
        <v>3</v>
      </c>
      <c r="BZ43" s="104">
        <v>1.05</v>
      </c>
      <c r="CA43" s="104">
        <f t="shared" si="29"/>
        <v>1.0510550504206344</v>
      </c>
      <c r="CB43" s="107">
        <f t="shared" si="30"/>
        <v>1.0722009304576894</v>
      </c>
      <c r="CC43" s="107" t="str">
        <f t="shared" si="31"/>
        <v>(2,1,1,2,1,1)</v>
      </c>
      <c r="CD43" s="108">
        <v>1.05</v>
      </c>
      <c r="CE43" s="108">
        <v>1</v>
      </c>
      <c r="CF43" s="108">
        <v>1</v>
      </c>
      <c r="CG43" s="108">
        <v>1.01</v>
      </c>
      <c r="CH43" s="108">
        <v>1</v>
      </c>
      <c r="CI43" s="108">
        <v>1</v>
      </c>
      <c r="CK43" s="111"/>
      <c r="CL43" s="77" t="s">
        <v>106</v>
      </c>
      <c r="CM43" s="339" t="s">
        <v>106</v>
      </c>
      <c r="CN43" s="339" t="s">
        <v>106</v>
      </c>
      <c r="CO43" s="339" t="s">
        <v>106</v>
      </c>
      <c r="CP43" s="339" t="s">
        <v>106</v>
      </c>
      <c r="CQ43" s="339" t="s">
        <v>106</v>
      </c>
      <c r="CR43" s="104">
        <v>3</v>
      </c>
      <c r="CS43" s="104">
        <v>1.05</v>
      </c>
      <c r="CT43" s="104">
        <f t="shared" si="32"/>
        <v>1</v>
      </c>
      <c r="CU43" s="107">
        <f t="shared" si="33"/>
        <v>1.05</v>
      </c>
      <c r="CV43" s="107" t="str">
        <f t="shared" si="34"/>
        <v>(na,na,na,na,na,na)</v>
      </c>
      <c r="CW43" s="108">
        <v>1</v>
      </c>
      <c r="CX43" s="108">
        <v>1</v>
      </c>
      <c r="CY43" s="108">
        <v>1</v>
      </c>
      <c r="CZ43" s="108">
        <v>1</v>
      </c>
      <c r="DA43" s="108">
        <v>1</v>
      </c>
      <c r="DB43" s="108">
        <v>1</v>
      </c>
    </row>
    <row r="44" spans="1:106" ht="36">
      <c r="A44" s="330">
        <v>268735</v>
      </c>
      <c r="B44" s="331"/>
      <c r="C44" s="88"/>
      <c r="D44" s="340">
        <v>5</v>
      </c>
      <c r="E44" s="341" t="s">
        <v>98</v>
      </c>
      <c r="F44" s="432" t="s">
        <v>482</v>
      </c>
      <c r="G44" s="433" t="s">
        <v>215</v>
      </c>
      <c r="H44" s="434" t="s">
        <v>98</v>
      </c>
      <c r="I44" s="434" t="s">
        <v>98</v>
      </c>
      <c r="J44" s="94">
        <v>0</v>
      </c>
      <c r="K44" s="433" t="s">
        <v>96</v>
      </c>
      <c r="L44" s="435">
        <v>0</v>
      </c>
      <c r="M44" s="95">
        <v>1</v>
      </c>
      <c r="N44" s="96">
        <f t="shared" si="14"/>
        <v>1.0722009304576894</v>
      </c>
      <c r="O44" s="432" t="str">
        <f t="shared" si="15"/>
        <v>(2,1,1,2,1,1); Industry data (French tender), US iso RoW</v>
      </c>
      <c r="P44" s="435">
        <v>0</v>
      </c>
      <c r="Q44" s="95">
        <v>1</v>
      </c>
      <c r="R44" s="96">
        <f t="shared" si="36"/>
        <v>1.0722009304576894</v>
      </c>
      <c r="S44" s="432" t="str">
        <f t="shared" si="16"/>
        <v>(2,1,1,2,1,1); Industry data (French tender), US iso RoW</v>
      </c>
      <c r="T44" s="435">
        <v>59.560886319845899</v>
      </c>
      <c r="U44" s="95">
        <v>1</v>
      </c>
      <c r="V44" s="96">
        <f t="shared" si="38"/>
        <v>1.0722009304576894</v>
      </c>
      <c r="W44" s="432" t="str">
        <f t="shared" si="17"/>
        <v>(2,1,1,2,1,1); Industry data (French tender), US iso RoW</v>
      </c>
      <c r="X44" s="435">
        <v>0</v>
      </c>
      <c r="Y44" s="95">
        <v>1</v>
      </c>
      <c r="Z44" s="96">
        <f t="shared" si="40"/>
        <v>1.0722009304576894</v>
      </c>
      <c r="AA44" s="432" t="str">
        <f t="shared" si="18"/>
        <v>(2,1,1,2,1,1); Industry data (French tender), US iso RoW</v>
      </c>
      <c r="AB44" s="435">
        <v>0</v>
      </c>
      <c r="AC44" s="95">
        <v>1</v>
      </c>
      <c r="AD44" s="96">
        <f t="shared" si="41"/>
        <v>1.0722009304576894</v>
      </c>
      <c r="AE44" s="432" t="str">
        <f t="shared" si="19"/>
        <v>(2,1,1,2,1,1); Industry data (French tender), US iso RoW</v>
      </c>
      <c r="AF44" s="435">
        <v>0</v>
      </c>
      <c r="AG44" s="95">
        <v>1</v>
      </c>
      <c r="AH44" s="96">
        <f t="shared" si="43"/>
        <v>1.0722009304576894</v>
      </c>
      <c r="AI44" s="432" t="str">
        <f t="shared" si="20"/>
        <v>(2,1,1,2,1,1); Industry data (French tender), US iso RoW</v>
      </c>
      <c r="AJ44" s="435">
        <f>AF43</f>
        <v>12.1502884615385</v>
      </c>
      <c r="AK44" s="95">
        <v>1</v>
      </c>
      <c r="AL44" s="96">
        <f t="shared" si="45"/>
        <v>1.0722009304576894</v>
      </c>
      <c r="AM44" s="432" t="str">
        <f t="shared" si="21"/>
        <v>(2,1,1,2,1,1); Industry data (French tender), US iso RoW</v>
      </c>
      <c r="AN44" s="435">
        <v>0</v>
      </c>
      <c r="AO44" s="95">
        <v>1</v>
      </c>
      <c r="AP44" s="96">
        <f t="shared" si="47"/>
        <v>1.0722009304576894</v>
      </c>
      <c r="AQ44" s="432" t="str">
        <f t="shared" si="22"/>
        <v>(2,1,1,2,1,1); Industry data (French tender), US iso RoW</v>
      </c>
      <c r="AR44" s="435">
        <v>0</v>
      </c>
      <c r="AS44" s="95">
        <v>1</v>
      </c>
      <c r="AT44" s="96">
        <f t="shared" si="48"/>
        <v>1.0722009304576894</v>
      </c>
      <c r="AU44" s="432" t="str">
        <f t="shared" si="23"/>
        <v>(2,1,1,2,1,1); Industry data (French tender), US iso RoW</v>
      </c>
      <c r="AV44" s="435">
        <v>0</v>
      </c>
      <c r="AW44" s="95">
        <v>1</v>
      </c>
      <c r="AX44" s="96">
        <f t="shared" si="50"/>
        <v>1.0722009304576894</v>
      </c>
      <c r="AY44" s="432" t="str">
        <f t="shared" si="24"/>
        <v>(2,1,1,2,1,1); Industry data (French tender), US iso RoW</v>
      </c>
      <c r="AZ44" s="435">
        <v>0</v>
      </c>
      <c r="BA44" s="95">
        <v>1</v>
      </c>
      <c r="BB44" s="96">
        <f t="shared" si="52"/>
        <v>1.0722009304576894</v>
      </c>
      <c r="BC44" s="432" t="str">
        <f t="shared" si="25"/>
        <v>(2,1,1,2,1,1); Industry data (French tender), US iso RoW</v>
      </c>
      <c r="BD44" s="435">
        <v>0</v>
      </c>
      <c r="BE44" s="95">
        <v>1</v>
      </c>
      <c r="BF44" s="96">
        <f t="shared" si="54"/>
        <v>1.0722009304576894</v>
      </c>
      <c r="BG44" s="432" t="str">
        <f t="shared" si="26"/>
        <v>(2,1,1,2,1,1); Industry data (French tender), US iso RoW</v>
      </c>
      <c r="BH44" s="435">
        <v>0</v>
      </c>
      <c r="BI44" s="95">
        <v>1</v>
      </c>
      <c r="BJ44" s="96">
        <f t="shared" si="55"/>
        <v>1.0722009304576894</v>
      </c>
      <c r="BK44" s="432" t="str">
        <f t="shared" si="27"/>
        <v xml:space="preserve">(na,na,na,na,na,na); </v>
      </c>
      <c r="BL44" s="435">
        <v>0</v>
      </c>
      <c r="BM44" s="95">
        <v>1</v>
      </c>
      <c r="BN44" s="96">
        <f t="shared" si="57"/>
        <v>1.0722009304576894</v>
      </c>
      <c r="BO44" s="432" t="str">
        <f t="shared" si="28"/>
        <v xml:space="preserve">(na,na,na,na,na,na); </v>
      </c>
      <c r="BP44" s="432"/>
      <c r="BQ44" s="112"/>
      <c r="BR44" s="705" t="s">
        <v>483</v>
      </c>
      <c r="BS44" s="77">
        <v>2</v>
      </c>
      <c r="BT44" s="339">
        <v>1</v>
      </c>
      <c r="BU44" s="339">
        <v>1</v>
      </c>
      <c r="BV44" s="339">
        <v>2</v>
      </c>
      <c r="BW44" s="339">
        <v>1</v>
      </c>
      <c r="BX44" s="339">
        <v>1</v>
      </c>
      <c r="BY44" s="104">
        <v>3</v>
      </c>
      <c r="BZ44" s="104">
        <v>1.05</v>
      </c>
      <c r="CA44" s="104">
        <f t="shared" si="29"/>
        <v>1.0510550504206344</v>
      </c>
      <c r="CB44" s="107">
        <f t="shared" si="30"/>
        <v>1.0722009304576894</v>
      </c>
      <c r="CC44" s="107" t="str">
        <f t="shared" si="31"/>
        <v>(2,1,1,2,1,1)</v>
      </c>
      <c r="CD44" s="108">
        <v>1.05</v>
      </c>
      <c r="CE44" s="108">
        <v>1</v>
      </c>
      <c r="CF44" s="108">
        <v>1</v>
      </c>
      <c r="CG44" s="108">
        <v>1.01</v>
      </c>
      <c r="CH44" s="108">
        <v>1</v>
      </c>
      <c r="CI44" s="108">
        <v>1</v>
      </c>
      <c r="CK44" s="111"/>
      <c r="CL44" s="77" t="s">
        <v>106</v>
      </c>
      <c r="CM44" s="339" t="s">
        <v>106</v>
      </c>
      <c r="CN44" s="339" t="s">
        <v>106</v>
      </c>
      <c r="CO44" s="339" t="s">
        <v>106</v>
      </c>
      <c r="CP44" s="339" t="s">
        <v>106</v>
      </c>
      <c r="CQ44" s="339" t="s">
        <v>106</v>
      </c>
      <c r="CR44" s="104">
        <v>3</v>
      </c>
      <c r="CS44" s="104">
        <v>1.05</v>
      </c>
      <c r="CT44" s="104">
        <f t="shared" si="32"/>
        <v>1</v>
      </c>
      <c r="CU44" s="107">
        <f t="shared" si="33"/>
        <v>1.05</v>
      </c>
      <c r="CV44" s="107" t="str">
        <f t="shared" si="34"/>
        <v>(na,na,na,na,na,na)</v>
      </c>
      <c r="CW44" s="108">
        <v>1</v>
      </c>
      <c r="CX44" s="108">
        <v>1</v>
      </c>
      <c r="CY44" s="108">
        <v>1</v>
      </c>
      <c r="CZ44" s="108">
        <v>1</v>
      </c>
      <c r="DA44" s="108">
        <v>1</v>
      </c>
      <c r="DB44" s="108">
        <v>1</v>
      </c>
    </row>
    <row r="45" spans="1:106" ht="36">
      <c r="A45" s="330">
        <v>269615</v>
      </c>
      <c r="B45" s="331"/>
      <c r="C45" s="88"/>
      <c r="D45" s="340">
        <v>5</v>
      </c>
      <c r="E45" s="341" t="s">
        <v>98</v>
      </c>
      <c r="F45" s="432" t="s">
        <v>484</v>
      </c>
      <c r="G45" s="433" t="s">
        <v>485</v>
      </c>
      <c r="H45" s="434" t="s">
        <v>98</v>
      </c>
      <c r="I45" s="434" t="s">
        <v>98</v>
      </c>
      <c r="J45" s="94">
        <v>0</v>
      </c>
      <c r="K45" s="433" t="s">
        <v>96</v>
      </c>
      <c r="L45" s="435">
        <v>0</v>
      </c>
      <c r="M45" s="95">
        <v>1</v>
      </c>
      <c r="N45" s="96">
        <f t="shared" si="14"/>
        <v>1.0722009304576894</v>
      </c>
      <c r="O45" s="432" t="str">
        <f t="shared" si="15"/>
        <v>(2,1,1,2,1,1); Industry data (French tender), KR iso RoW</v>
      </c>
      <c r="P45" s="435">
        <v>0</v>
      </c>
      <c r="Q45" s="95">
        <v>1</v>
      </c>
      <c r="R45" s="96">
        <f t="shared" si="36"/>
        <v>1.0722009304576894</v>
      </c>
      <c r="S45" s="432" t="str">
        <f t="shared" si="16"/>
        <v>(2,1,1,2,1,1); Industry data (French tender), KR iso RoW</v>
      </c>
      <c r="T45" s="435">
        <v>0</v>
      </c>
      <c r="U45" s="95">
        <v>1</v>
      </c>
      <c r="V45" s="96">
        <f t="shared" si="38"/>
        <v>1.0722009304576894</v>
      </c>
      <c r="W45" s="432" t="str">
        <f t="shared" si="17"/>
        <v>(2,1,1,2,1,1); Industry data (French tender), KR iso RoW</v>
      </c>
      <c r="X45" s="435">
        <v>59.560886319845899</v>
      </c>
      <c r="Y45" s="95">
        <v>1</v>
      </c>
      <c r="Z45" s="96">
        <f t="shared" si="40"/>
        <v>1.0722009304576894</v>
      </c>
      <c r="AA45" s="432" t="str">
        <f t="shared" si="18"/>
        <v>(2,1,1,2,1,1); Industry data (French tender), KR iso RoW</v>
      </c>
      <c r="AB45" s="435">
        <v>0</v>
      </c>
      <c r="AC45" s="95">
        <v>1</v>
      </c>
      <c r="AD45" s="96">
        <f t="shared" si="41"/>
        <v>1.0722009304576894</v>
      </c>
      <c r="AE45" s="432" t="str">
        <f t="shared" si="19"/>
        <v>(2,1,1,2,1,1); Industry data (French tender), KR iso RoW</v>
      </c>
      <c r="AF45" s="435">
        <v>0</v>
      </c>
      <c r="AG45" s="95">
        <v>1</v>
      </c>
      <c r="AH45" s="96">
        <f t="shared" si="43"/>
        <v>1.0722009304576894</v>
      </c>
      <c r="AI45" s="432" t="str">
        <f t="shared" si="20"/>
        <v>(2,1,1,2,1,1); Industry data (French tender), KR iso RoW</v>
      </c>
      <c r="AJ45" s="435">
        <v>0</v>
      </c>
      <c r="AK45" s="95">
        <v>1</v>
      </c>
      <c r="AL45" s="96">
        <f t="shared" si="45"/>
        <v>1.0722009304576894</v>
      </c>
      <c r="AM45" s="432" t="str">
        <f t="shared" si="21"/>
        <v>(2,1,1,2,1,1); Industry data (French tender), KR iso RoW</v>
      </c>
      <c r="AN45" s="435">
        <f>AJ44</f>
        <v>12.1502884615385</v>
      </c>
      <c r="AO45" s="95">
        <v>1</v>
      </c>
      <c r="AP45" s="96">
        <f t="shared" si="47"/>
        <v>1.0722009304576894</v>
      </c>
      <c r="AQ45" s="432" t="str">
        <f t="shared" si="22"/>
        <v>(2,1,1,2,1,1); Industry data (French tender), KR iso RoW</v>
      </c>
      <c r="AR45" s="435">
        <v>0</v>
      </c>
      <c r="AS45" s="95">
        <v>1</v>
      </c>
      <c r="AT45" s="96">
        <f t="shared" si="48"/>
        <v>1.0722009304576894</v>
      </c>
      <c r="AU45" s="432" t="str">
        <f t="shared" si="23"/>
        <v>(2,1,1,2,1,1); Industry data (French tender), KR iso RoW</v>
      </c>
      <c r="AV45" s="435">
        <f>AR44</f>
        <v>0</v>
      </c>
      <c r="AW45" s="95">
        <v>1</v>
      </c>
      <c r="AX45" s="96">
        <f t="shared" si="50"/>
        <v>1.0722009304576894</v>
      </c>
      <c r="AY45" s="432" t="str">
        <f t="shared" si="24"/>
        <v>(2,1,1,2,1,1); Industry data (French tender), KR iso RoW</v>
      </c>
      <c r="AZ45" s="435">
        <f>AV44</f>
        <v>0</v>
      </c>
      <c r="BA45" s="95">
        <v>1</v>
      </c>
      <c r="BB45" s="96">
        <f t="shared" si="52"/>
        <v>1.0722009304576894</v>
      </c>
      <c r="BC45" s="432" t="str">
        <f t="shared" si="25"/>
        <v>(2,1,1,2,1,1); Industry data (French tender), KR iso RoW</v>
      </c>
      <c r="BD45" s="435">
        <f>AZ44</f>
        <v>0</v>
      </c>
      <c r="BE45" s="95">
        <v>1</v>
      </c>
      <c r="BF45" s="96">
        <f t="shared" si="54"/>
        <v>1.0722009304576894</v>
      </c>
      <c r="BG45" s="432" t="str">
        <f t="shared" si="26"/>
        <v>(2,1,1,2,1,1); Industry data (French tender), KR iso RoW</v>
      </c>
      <c r="BH45" s="435">
        <f>BD44</f>
        <v>0</v>
      </c>
      <c r="BI45" s="95">
        <v>1</v>
      </c>
      <c r="BJ45" s="96">
        <f t="shared" si="55"/>
        <v>1.0722009304576894</v>
      </c>
      <c r="BK45" s="432" t="str">
        <f t="shared" si="27"/>
        <v xml:space="preserve">(na,na,na,na,na,na); </v>
      </c>
      <c r="BL45" s="435">
        <f>BH44</f>
        <v>0</v>
      </c>
      <c r="BM45" s="95">
        <v>1</v>
      </c>
      <c r="BN45" s="96">
        <f t="shared" si="57"/>
        <v>1.0722009304576894</v>
      </c>
      <c r="BO45" s="432" t="str">
        <f t="shared" si="28"/>
        <v xml:space="preserve">(na,na,na,na,na,na); </v>
      </c>
      <c r="BP45" s="432"/>
      <c r="BQ45" s="112"/>
      <c r="BR45" s="705" t="s">
        <v>486</v>
      </c>
      <c r="BS45" s="77">
        <v>2</v>
      </c>
      <c r="BT45" s="339">
        <v>1</v>
      </c>
      <c r="BU45" s="339">
        <v>1</v>
      </c>
      <c r="BV45" s="339">
        <v>2</v>
      </c>
      <c r="BW45" s="339">
        <v>1</v>
      </c>
      <c r="BX45" s="339">
        <v>1</v>
      </c>
      <c r="BY45" s="104">
        <v>3</v>
      </c>
      <c r="BZ45" s="104">
        <v>1.05</v>
      </c>
      <c r="CA45" s="104">
        <f t="shared" si="29"/>
        <v>1.0510550504206344</v>
      </c>
      <c r="CB45" s="107">
        <f t="shared" si="30"/>
        <v>1.0722009304576894</v>
      </c>
      <c r="CC45" s="107" t="str">
        <f t="shared" si="31"/>
        <v>(2,1,1,2,1,1)</v>
      </c>
      <c r="CD45" s="108">
        <v>1.05</v>
      </c>
      <c r="CE45" s="108">
        <v>1</v>
      </c>
      <c r="CF45" s="108">
        <v>1</v>
      </c>
      <c r="CG45" s="108">
        <v>1.01</v>
      </c>
      <c r="CH45" s="108">
        <v>1</v>
      </c>
      <c r="CI45" s="108">
        <v>1</v>
      </c>
      <c r="CK45" s="111"/>
      <c r="CL45" s="77" t="s">
        <v>106</v>
      </c>
      <c r="CM45" s="339" t="s">
        <v>106</v>
      </c>
      <c r="CN45" s="339" t="s">
        <v>106</v>
      </c>
      <c r="CO45" s="339" t="s">
        <v>106</v>
      </c>
      <c r="CP45" s="339" t="s">
        <v>106</v>
      </c>
      <c r="CQ45" s="339" t="s">
        <v>106</v>
      </c>
      <c r="CR45" s="104">
        <v>3</v>
      </c>
      <c r="CS45" s="104">
        <v>1.05</v>
      </c>
      <c r="CT45" s="104">
        <f t="shared" si="32"/>
        <v>1</v>
      </c>
      <c r="CU45" s="107">
        <f t="shared" si="33"/>
        <v>1.05</v>
      </c>
      <c r="CV45" s="107" t="str">
        <f t="shared" si="34"/>
        <v>(na,na,na,na,na,na)</v>
      </c>
      <c r="CW45" s="108">
        <v>1</v>
      </c>
      <c r="CX45" s="108">
        <v>1</v>
      </c>
      <c r="CY45" s="108">
        <v>1</v>
      </c>
      <c r="CZ45" s="108">
        <v>1</v>
      </c>
      <c r="DA45" s="108">
        <v>1</v>
      </c>
      <c r="DB45" s="108">
        <v>1</v>
      </c>
    </row>
    <row r="46" spans="1:106" ht="36">
      <c r="A46" s="330">
        <v>265573</v>
      </c>
      <c r="B46" s="331"/>
      <c r="C46" s="88"/>
      <c r="D46" s="340">
        <v>5</v>
      </c>
      <c r="E46" s="341" t="s">
        <v>98</v>
      </c>
      <c r="F46" s="432" t="s">
        <v>487</v>
      </c>
      <c r="G46" s="433" t="s">
        <v>93</v>
      </c>
      <c r="H46" s="434" t="s">
        <v>98</v>
      </c>
      <c r="I46" s="434" t="s">
        <v>98</v>
      </c>
      <c r="J46" s="94">
        <v>0</v>
      </c>
      <c r="K46" s="433" t="s">
        <v>96</v>
      </c>
      <c r="L46" s="435">
        <v>0</v>
      </c>
      <c r="M46" s="95">
        <v>1</v>
      </c>
      <c r="N46" s="96">
        <f t="shared" si="14"/>
        <v>1.0722009304576894</v>
      </c>
      <c r="O46" s="432" t="str">
        <f t="shared" si="15"/>
        <v>(2,1,1,2,1,1); Industry data (French tender), RER iso RoW</v>
      </c>
      <c r="P46" s="435">
        <v>0</v>
      </c>
      <c r="Q46" s="95">
        <v>1</v>
      </c>
      <c r="R46" s="96">
        <f t="shared" si="36"/>
        <v>1.0722009304576894</v>
      </c>
      <c r="S46" s="432" t="str">
        <f t="shared" si="16"/>
        <v>(2,1,1,2,1,1); Industry data (French tender), RER iso RoW</v>
      </c>
      <c r="T46" s="435">
        <v>0</v>
      </c>
      <c r="U46" s="95">
        <v>1</v>
      </c>
      <c r="V46" s="96">
        <f t="shared" si="38"/>
        <v>1.0722009304576894</v>
      </c>
      <c r="W46" s="432" t="str">
        <f t="shared" si="17"/>
        <v>(2,1,1,2,1,1); Industry data (French tender), RER iso RoW</v>
      </c>
      <c r="X46" s="435">
        <v>0</v>
      </c>
      <c r="Y46" s="95">
        <v>1</v>
      </c>
      <c r="Z46" s="96">
        <f t="shared" si="40"/>
        <v>1.0722009304576894</v>
      </c>
      <c r="AA46" s="432" t="str">
        <f t="shared" si="18"/>
        <v>(2,1,1,2,1,1); Industry data (French tender), RER iso RoW</v>
      </c>
      <c r="AB46" s="435">
        <v>0</v>
      </c>
      <c r="AC46" s="95">
        <v>1</v>
      </c>
      <c r="AD46" s="96">
        <f t="shared" si="41"/>
        <v>1.0722009304576894</v>
      </c>
      <c r="AE46" s="432" t="str">
        <f t="shared" si="19"/>
        <v>(2,1,1,2,1,1); Industry data (French tender), RER iso RoW</v>
      </c>
      <c r="AF46" s="435">
        <v>0</v>
      </c>
      <c r="AG46" s="95">
        <v>1</v>
      </c>
      <c r="AH46" s="96">
        <f t="shared" si="43"/>
        <v>1.0722009304576894</v>
      </c>
      <c r="AI46" s="432" t="str">
        <f t="shared" si="20"/>
        <v>(2,1,1,2,1,1); Industry data (French tender), RER iso RoW</v>
      </c>
      <c r="AJ46" s="435">
        <v>0</v>
      </c>
      <c r="AK46" s="95">
        <v>1</v>
      </c>
      <c r="AL46" s="96">
        <f t="shared" si="45"/>
        <v>1.0722009304576894</v>
      </c>
      <c r="AM46" s="432" t="str">
        <f t="shared" si="21"/>
        <v>(2,1,1,2,1,1); Industry data (French tender), RER iso RoW</v>
      </c>
      <c r="AN46" s="435">
        <v>0</v>
      </c>
      <c r="AO46" s="95">
        <v>1</v>
      </c>
      <c r="AP46" s="96">
        <f t="shared" si="47"/>
        <v>1.0722009304576894</v>
      </c>
      <c r="AQ46" s="432" t="str">
        <f t="shared" si="22"/>
        <v>(2,1,1,2,1,1); Industry data (French tender), RER iso RoW</v>
      </c>
      <c r="AR46" s="435">
        <v>5.8382190656618604</v>
      </c>
      <c r="AS46" s="95">
        <v>1</v>
      </c>
      <c r="AT46" s="96">
        <f t="shared" si="48"/>
        <v>1.0722009304576894</v>
      </c>
      <c r="AU46" s="432" t="str">
        <f t="shared" si="23"/>
        <v>(2,1,1,2,1,1); Industry data (French tender), RER iso RoW</v>
      </c>
      <c r="AV46" s="435">
        <v>0</v>
      </c>
      <c r="AW46" s="95">
        <v>1</v>
      </c>
      <c r="AX46" s="96">
        <f t="shared" si="50"/>
        <v>1.0722009304576894</v>
      </c>
      <c r="AY46" s="432" t="str">
        <f t="shared" si="24"/>
        <v>(2,1,1,2,1,1); Industry data (French tender), RER iso RoW</v>
      </c>
      <c r="AZ46" s="435">
        <v>0</v>
      </c>
      <c r="BA46" s="95">
        <v>1</v>
      </c>
      <c r="BB46" s="96">
        <f t="shared" si="52"/>
        <v>1.0722009304576894</v>
      </c>
      <c r="BC46" s="432" t="str">
        <f t="shared" si="25"/>
        <v>(2,1,1,2,1,1); Industry data (French tender), RER iso RoW</v>
      </c>
      <c r="BD46" s="435">
        <v>0</v>
      </c>
      <c r="BE46" s="95">
        <v>1</v>
      </c>
      <c r="BF46" s="96">
        <f t="shared" si="54"/>
        <v>1.0722009304576894</v>
      </c>
      <c r="BG46" s="432" t="str">
        <f t="shared" si="26"/>
        <v>(2,1,1,2,1,1); Industry data (French tender), RER iso RoW</v>
      </c>
      <c r="BH46" s="435">
        <v>0</v>
      </c>
      <c r="BI46" s="95">
        <v>1</v>
      </c>
      <c r="BJ46" s="96">
        <f t="shared" si="55"/>
        <v>1.0722009304576894</v>
      </c>
      <c r="BK46" s="432" t="str">
        <f t="shared" si="27"/>
        <v xml:space="preserve">(na,na,na,na,na,na); </v>
      </c>
      <c r="BL46" s="435">
        <v>0</v>
      </c>
      <c r="BM46" s="95">
        <v>1</v>
      </c>
      <c r="BN46" s="96">
        <f t="shared" si="57"/>
        <v>1.0722009304576894</v>
      </c>
      <c r="BO46" s="432" t="str">
        <f t="shared" si="28"/>
        <v xml:space="preserve">(na,na,na,na,na,na); </v>
      </c>
      <c r="BP46" s="432"/>
      <c r="BQ46" s="112"/>
      <c r="BR46" s="705" t="s">
        <v>478</v>
      </c>
      <c r="BS46" s="77">
        <v>2</v>
      </c>
      <c r="BT46" s="339">
        <v>1</v>
      </c>
      <c r="BU46" s="339">
        <v>1</v>
      </c>
      <c r="BV46" s="339">
        <v>2</v>
      </c>
      <c r="BW46" s="339">
        <v>1</v>
      </c>
      <c r="BX46" s="339">
        <v>1</v>
      </c>
      <c r="BY46" s="104">
        <v>3</v>
      </c>
      <c r="BZ46" s="104">
        <v>1.05</v>
      </c>
      <c r="CA46" s="104">
        <f t="shared" si="29"/>
        <v>1.0510550504206344</v>
      </c>
      <c r="CB46" s="107">
        <f t="shared" si="30"/>
        <v>1.0722009304576894</v>
      </c>
      <c r="CC46" s="107" t="str">
        <f t="shared" si="31"/>
        <v>(2,1,1,2,1,1)</v>
      </c>
      <c r="CD46" s="108">
        <v>1.05</v>
      </c>
      <c r="CE46" s="108">
        <v>1</v>
      </c>
      <c r="CF46" s="108">
        <v>1</v>
      </c>
      <c r="CG46" s="108">
        <v>1.01</v>
      </c>
      <c r="CH46" s="108">
        <v>1</v>
      </c>
      <c r="CI46" s="108">
        <v>1</v>
      </c>
      <c r="CK46" s="111"/>
      <c r="CL46" s="77" t="s">
        <v>106</v>
      </c>
      <c r="CM46" s="339" t="s">
        <v>106</v>
      </c>
      <c r="CN46" s="339" t="s">
        <v>106</v>
      </c>
      <c r="CO46" s="339" t="s">
        <v>106</v>
      </c>
      <c r="CP46" s="339" t="s">
        <v>106</v>
      </c>
      <c r="CQ46" s="339" t="s">
        <v>106</v>
      </c>
      <c r="CR46" s="104">
        <v>3</v>
      </c>
      <c r="CS46" s="104">
        <v>1.05</v>
      </c>
      <c r="CT46" s="104">
        <f t="shared" si="32"/>
        <v>1</v>
      </c>
      <c r="CU46" s="107">
        <f t="shared" si="33"/>
        <v>1.05</v>
      </c>
      <c r="CV46" s="107" t="str">
        <f t="shared" si="34"/>
        <v>(na,na,na,na,na,na)</v>
      </c>
      <c r="CW46" s="108">
        <v>1</v>
      </c>
      <c r="CX46" s="108">
        <v>1</v>
      </c>
      <c r="CY46" s="108">
        <v>1</v>
      </c>
      <c r="CZ46" s="108">
        <v>1</v>
      </c>
      <c r="DA46" s="108">
        <v>1</v>
      </c>
      <c r="DB46" s="108">
        <v>1</v>
      </c>
    </row>
    <row r="47" spans="1:106" ht="36">
      <c r="A47" s="330">
        <v>265763</v>
      </c>
      <c r="B47" s="331"/>
      <c r="C47" s="88"/>
      <c r="D47" s="340">
        <v>5</v>
      </c>
      <c r="E47" s="341" t="s">
        <v>98</v>
      </c>
      <c r="F47" s="432" t="s">
        <v>488</v>
      </c>
      <c r="G47" s="433" t="s">
        <v>372</v>
      </c>
      <c r="H47" s="434" t="s">
        <v>98</v>
      </c>
      <c r="I47" s="434" t="s">
        <v>98</v>
      </c>
      <c r="J47" s="94">
        <v>0</v>
      </c>
      <c r="K47" s="433" t="s">
        <v>96</v>
      </c>
      <c r="L47" s="435">
        <v>0</v>
      </c>
      <c r="M47" s="95">
        <v>1</v>
      </c>
      <c r="N47" s="96">
        <f t="shared" si="14"/>
        <v>1.0722009304576894</v>
      </c>
      <c r="O47" s="432" t="str">
        <f t="shared" si="15"/>
        <v>(2,1,1,2,1,1); Industry data (French tender), CN iso RoW</v>
      </c>
      <c r="P47" s="435">
        <v>0</v>
      </c>
      <c r="Q47" s="95">
        <v>1</v>
      </c>
      <c r="R47" s="96">
        <f t="shared" si="36"/>
        <v>1.0722009304576894</v>
      </c>
      <c r="S47" s="432" t="str">
        <f t="shared" si="16"/>
        <v>(2,1,1,2,1,1); Industry data (French tender), CN iso RoW</v>
      </c>
      <c r="T47" s="435">
        <v>0</v>
      </c>
      <c r="U47" s="95">
        <v>1</v>
      </c>
      <c r="V47" s="96">
        <f t="shared" si="38"/>
        <v>1.0722009304576894</v>
      </c>
      <c r="W47" s="432" t="str">
        <f t="shared" si="17"/>
        <v>(2,1,1,2,1,1); Industry data (French tender), CN iso RoW</v>
      </c>
      <c r="X47" s="435">
        <v>0</v>
      </c>
      <c r="Y47" s="95">
        <v>1</v>
      </c>
      <c r="Z47" s="96">
        <f t="shared" si="40"/>
        <v>1.0722009304576894</v>
      </c>
      <c r="AA47" s="432" t="str">
        <f t="shared" si="18"/>
        <v>(2,1,1,2,1,1); Industry data (French tender), CN iso RoW</v>
      </c>
      <c r="AB47" s="435">
        <v>0</v>
      </c>
      <c r="AC47" s="95">
        <v>1</v>
      </c>
      <c r="AD47" s="96">
        <f t="shared" si="41"/>
        <v>1.0722009304576894</v>
      </c>
      <c r="AE47" s="432" t="str">
        <f t="shared" si="19"/>
        <v>(2,1,1,2,1,1); Industry data (French tender), CN iso RoW</v>
      </c>
      <c r="AF47" s="435">
        <v>0</v>
      </c>
      <c r="AG47" s="95">
        <v>1</v>
      </c>
      <c r="AH47" s="96">
        <f t="shared" si="43"/>
        <v>1.0722009304576894</v>
      </c>
      <c r="AI47" s="432" t="str">
        <f t="shared" si="20"/>
        <v>(2,1,1,2,1,1); Industry data (French tender), CN iso RoW</v>
      </c>
      <c r="AJ47" s="435">
        <v>0</v>
      </c>
      <c r="AK47" s="95">
        <v>1</v>
      </c>
      <c r="AL47" s="96">
        <f t="shared" si="45"/>
        <v>1.0722009304576894</v>
      </c>
      <c r="AM47" s="432" t="str">
        <f t="shared" si="21"/>
        <v>(2,1,1,2,1,1); Industry data (French tender), CN iso RoW</v>
      </c>
      <c r="AN47" s="435">
        <f>AJ49</f>
        <v>0</v>
      </c>
      <c r="AO47" s="95">
        <v>1</v>
      </c>
      <c r="AP47" s="96">
        <f t="shared" si="47"/>
        <v>1.0722009304576894</v>
      </c>
      <c r="AQ47" s="432" t="str">
        <f t="shared" si="22"/>
        <v>(2,1,1,2,1,1); Industry data (French tender), CN iso RoW</v>
      </c>
      <c r="AR47" s="435">
        <v>0</v>
      </c>
      <c r="AS47" s="95">
        <v>1</v>
      </c>
      <c r="AT47" s="96">
        <f t="shared" si="48"/>
        <v>1.0722009304576894</v>
      </c>
      <c r="AU47" s="432" t="str">
        <f t="shared" si="23"/>
        <v>(2,1,1,2,1,1); Industry data (French tender), CN iso RoW</v>
      </c>
      <c r="AV47" s="435">
        <f>AR46</f>
        <v>5.8382190656618604</v>
      </c>
      <c r="AW47" s="95">
        <v>1</v>
      </c>
      <c r="AX47" s="96">
        <f t="shared" si="50"/>
        <v>1.0722009304576894</v>
      </c>
      <c r="AY47" s="432" t="str">
        <f t="shared" si="24"/>
        <v>(2,1,1,2,1,1); Industry data (French tender), CN iso RoW</v>
      </c>
      <c r="AZ47" s="435">
        <f>AV49</f>
        <v>0</v>
      </c>
      <c r="BA47" s="95">
        <v>1</v>
      </c>
      <c r="BB47" s="96">
        <f t="shared" si="52"/>
        <v>1.0722009304576894</v>
      </c>
      <c r="BC47" s="432" t="str">
        <f t="shared" si="25"/>
        <v>(2,1,1,2,1,1); Industry data (French tender), CN iso RoW</v>
      </c>
      <c r="BD47" s="435">
        <f>AZ49</f>
        <v>0</v>
      </c>
      <c r="BE47" s="95">
        <v>1</v>
      </c>
      <c r="BF47" s="96">
        <f t="shared" si="54"/>
        <v>1.0722009304576894</v>
      </c>
      <c r="BG47" s="432" t="str">
        <f t="shared" si="26"/>
        <v>(2,1,1,2,1,1); Industry data (French tender), CN iso RoW</v>
      </c>
      <c r="BH47" s="435">
        <v>0</v>
      </c>
      <c r="BI47" s="95">
        <v>1</v>
      </c>
      <c r="BJ47" s="96">
        <f t="shared" si="55"/>
        <v>1.0722009304576894</v>
      </c>
      <c r="BK47" s="432" t="str">
        <f t="shared" si="27"/>
        <v xml:space="preserve">(na,na,na,na,na,na); </v>
      </c>
      <c r="BL47" s="435">
        <f>BH49</f>
        <v>0</v>
      </c>
      <c r="BM47" s="95">
        <v>1</v>
      </c>
      <c r="BN47" s="96">
        <f t="shared" si="57"/>
        <v>1.0722009304576894</v>
      </c>
      <c r="BO47" s="432" t="str">
        <f t="shared" si="28"/>
        <v xml:space="preserve">(na,na,na,na,na,na); </v>
      </c>
      <c r="BP47" s="432"/>
      <c r="BQ47" s="112"/>
      <c r="BR47" s="705" t="s">
        <v>481</v>
      </c>
      <c r="BS47" s="77">
        <v>2</v>
      </c>
      <c r="BT47" s="339">
        <v>1</v>
      </c>
      <c r="BU47" s="339">
        <v>1</v>
      </c>
      <c r="BV47" s="339">
        <v>2</v>
      </c>
      <c r="BW47" s="339">
        <v>1</v>
      </c>
      <c r="BX47" s="339">
        <v>1</v>
      </c>
      <c r="BY47" s="104">
        <v>3</v>
      </c>
      <c r="BZ47" s="104">
        <v>1.05</v>
      </c>
      <c r="CA47" s="104">
        <f t="shared" si="29"/>
        <v>1.0510550504206344</v>
      </c>
      <c r="CB47" s="107">
        <f t="shared" si="30"/>
        <v>1.0722009304576894</v>
      </c>
      <c r="CC47" s="107" t="str">
        <f t="shared" si="31"/>
        <v>(2,1,1,2,1,1)</v>
      </c>
      <c r="CD47" s="108">
        <v>1.05</v>
      </c>
      <c r="CE47" s="108">
        <v>1</v>
      </c>
      <c r="CF47" s="108">
        <v>1</v>
      </c>
      <c r="CG47" s="108">
        <v>1.01</v>
      </c>
      <c r="CH47" s="108">
        <v>1</v>
      </c>
      <c r="CI47" s="108">
        <v>1</v>
      </c>
      <c r="CK47" s="111"/>
      <c r="CL47" s="77" t="s">
        <v>106</v>
      </c>
      <c r="CM47" s="339" t="s">
        <v>106</v>
      </c>
      <c r="CN47" s="339" t="s">
        <v>106</v>
      </c>
      <c r="CO47" s="339" t="s">
        <v>106</v>
      </c>
      <c r="CP47" s="339" t="s">
        <v>106</v>
      </c>
      <c r="CQ47" s="339" t="s">
        <v>106</v>
      </c>
      <c r="CR47" s="104">
        <v>3</v>
      </c>
      <c r="CS47" s="104">
        <v>1.05</v>
      </c>
      <c r="CT47" s="104">
        <f t="shared" si="32"/>
        <v>1</v>
      </c>
      <c r="CU47" s="107">
        <f t="shared" si="33"/>
        <v>1.05</v>
      </c>
      <c r="CV47" s="107" t="str">
        <f t="shared" si="34"/>
        <v>(na,na,na,na,na,na)</v>
      </c>
      <c r="CW47" s="108">
        <v>1</v>
      </c>
      <c r="CX47" s="108">
        <v>1</v>
      </c>
      <c r="CY47" s="108">
        <v>1</v>
      </c>
      <c r="CZ47" s="108">
        <v>1</v>
      </c>
      <c r="DA47" s="108">
        <v>1</v>
      </c>
      <c r="DB47" s="108">
        <v>1</v>
      </c>
    </row>
    <row r="48" spans="1:106" ht="36">
      <c r="A48" s="330">
        <v>265931</v>
      </c>
      <c r="B48" s="331"/>
      <c r="C48" s="88"/>
      <c r="D48" s="340">
        <v>5</v>
      </c>
      <c r="E48" s="341" t="s">
        <v>98</v>
      </c>
      <c r="F48" s="432" t="s">
        <v>489</v>
      </c>
      <c r="G48" s="433" t="s">
        <v>215</v>
      </c>
      <c r="H48" s="434" t="s">
        <v>98</v>
      </c>
      <c r="I48" s="434" t="s">
        <v>98</v>
      </c>
      <c r="J48" s="94">
        <v>0</v>
      </c>
      <c r="K48" s="433" t="s">
        <v>96</v>
      </c>
      <c r="L48" s="435">
        <v>0</v>
      </c>
      <c r="M48" s="95">
        <v>1</v>
      </c>
      <c r="N48" s="96">
        <f t="shared" si="14"/>
        <v>1.0722009304576894</v>
      </c>
      <c r="O48" s="432" t="str">
        <f t="shared" si="15"/>
        <v>(2,1,1,2,1,1); Industry data (French tender), US iso RoW</v>
      </c>
      <c r="P48" s="435">
        <v>0</v>
      </c>
      <c r="Q48" s="95">
        <v>1</v>
      </c>
      <c r="R48" s="96">
        <f t="shared" si="36"/>
        <v>1.0722009304576894</v>
      </c>
      <c r="S48" s="432" t="str">
        <f t="shared" si="16"/>
        <v>(2,1,1,2,1,1); Industry data (French tender), US iso RoW</v>
      </c>
      <c r="T48" s="435">
        <v>0</v>
      </c>
      <c r="U48" s="95">
        <v>1</v>
      </c>
      <c r="V48" s="96">
        <f t="shared" si="38"/>
        <v>1.0722009304576894</v>
      </c>
      <c r="W48" s="432" t="str">
        <f t="shared" si="17"/>
        <v>(2,1,1,2,1,1); Industry data (French tender), US iso RoW</v>
      </c>
      <c r="X48" s="435">
        <v>0</v>
      </c>
      <c r="Y48" s="95">
        <v>1</v>
      </c>
      <c r="Z48" s="96">
        <f t="shared" si="40"/>
        <v>1.0722009304576894</v>
      </c>
      <c r="AA48" s="432" t="str">
        <f t="shared" si="18"/>
        <v>(2,1,1,2,1,1); Industry data (French tender), US iso RoW</v>
      </c>
      <c r="AB48" s="435">
        <v>0</v>
      </c>
      <c r="AC48" s="95">
        <v>1</v>
      </c>
      <c r="AD48" s="96">
        <f t="shared" si="41"/>
        <v>1.0722009304576894</v>
      </c>
      <c r="AE48" s="432" t="str">
        <f t="shared" si="19"/>
        <v>(2,1,1,2,1,1); Industry data (French tender), US iso RoW</v>
      </c>
      <c r="AF48" s="435">
        <f>AB46</f>
        <v>0</v>
      </c>
      <c r="AG48" s="95">
        <v>1</v>
      </c>
      <c r="AH48" s="96">
        <f t="shared" si="43"/>
        <v>1.0722009304576894</v>
      </c>
      <c r="AI48" s="432" t="str">
        <f t="shared" si="20"/>
        <v>(2,1,1,2,1,1); Industry data (French tender), US iso RoW</v>
      </c>
      <c r="AJ48" s="435">
        <v>0</v>
      </c>
      <c r="AK48" s="95">
        <v>1</v>
      </c>
      <c r="AL48" s="96">
        <f t="shared" si="45"/>
        <v>1.0722009304576894</v>
      </c>
      <c r="AM48" s="432" t="str">
        <f t="shared" si="21"/>
        <v>(2,1,1,2,1,1); Industry data (French tender), US iso RoW</v>
      </c>
      <c r="AN48" s="435">
        <v>0</v>
      </c>
      <c r="AO48" s="95">
        <v>1</v>
      </c>
      <c r="AP48" s="96">
        <f t="shared" si="47"/>
        <v>1.0722009304576894</v>
      </c>
      <c r="AQ48" s="432" t="str">
        <f t="shared" si="22"/>
        <v>(2,1,1,2,1,1); Industry data (French tender), US iso RoW</v>
      </c>
      <c r="AR48" s="435">
        <v>0</v>
      </c>
      <c r="AS48" s="95">
        <v>1</v>
      </c>
      <c r="AT48" s="96">
        <f t="shared" si="48"/>
        <v>1.0722009304576894</v>
      </c>
      <c r="AU48" s="432" t="str">
        <f t="shared" si="23"/>
        <v>(2,1,1,2,1,1); Industry data (French tender), US iso RoW</v>
      </c>
      <c r="AV48" s="435">
        <v>0</v>
      </c>
      <c r="AW48" s="95">
        <v>1</v>
      </c>
      <c r="AX48" s="96">
        <f t="shared" si="50"/>
        <v>1.0722009304576894</v>
      </c>
      <c r="AY48" s="432" t="str">
        <f t="shared" si="24"/>
        <v>(2,1,1,2,1,1); Industry data (French tender), US iso RoW</v>
      </c>
      <c r="AZ48" s="435">
        <f>AV47</f>
        <v>5.8382190656618604</v>
      </c>
      <c r="BA48" s="95">
        <v>1</v>
      </c>
      <c r="BB48" s="96">
        <f t="shared" si="52"/>
        <v>1.0722009304576894</v>
      </c>
      <c r="BC48" s="432" t="str">
        <f t="shared" si="25"/>
        <v>(2,1,1,2,1,1); Industry data (French tender), US iso RoW</v>
      </c>
      <c r="BD48" s="435">
        <v>0</v>
      </c>
      <c r="BE48" s="95">
        <v>1</v>
      </c>
      <c r="BF48" s="96">
        <f t="shared" si="54"/>
        <v>1.0722009304576894</v>
      </c>
      <c r="BG48" s="432" t="str">
        <f t="shared" si="26"/>
        <v>(2,1,1,2,1,1); Industry data (French tender), US iso RoW</v>
      </c>
      <c r="BH48" s="435">
        <v>0</v>
      </c>
      <c r="BI48" s="95">
        <v>1</v>
      </c>
      <c r="BJ48" s="96">
        <f t="shared" si="55"/>
        <v>1.0722009304576894</v>
      </c>
      <c r="BK48" s="432" t="str">
        <f t="shared" si="27"/>
        <v xml:space="preserve">(na,na,na,na,na,na); </v>
      </c>
      <c r="BL48" s="435">
        <v>0</v>
      </c>
      <c r="BM48" s="95">
        <v>1</v>
      </c>
      <c r="BN48" s="96">
        <f t="shared" si="57"/>
        <v>1.0722009304576894</v>
      </c>
      <c r="BO48" s="432" t="str">
        <f t="shared" si="28"/>
        <v xml:space="preserve">(na,na,na,na,na,na); </v>
      </c>
      <c r="BP48" s="432"/>
      <c r="BQ48" s="112"/>
      <c r="BR48" s="705" t="s">
        <v>483</v>
      </c>
      <c r="BS48" s="77">
        <v>2</v>
      </c>
      <c r="BT48" s="339">
        <v>1</v>
      </c>
      <c r="BU48" s="339">
        <v>1</v>
      </c>
      <c r="BV48" s="339">
        <v>2</v>
      </c>
      <c r="BW48" s="339">
        <v>1</v>
      </c>
      <c r="BX48" s="339">
        <v>1</v>
      </c>
      <c r="BY48" s="104">
        <v>3</v>
      </c>
      <c r="BZ48" s="104">
        <v>1.05</v>
      </c>
      <c r="CA48" s="104">
        <f t="shared" si="29"/>
        <v>1.0510550504206344</v>
      </c>
      <c r="CB48" s="107">
        <f t="shared" si="30"/>
        <v>1.0722009304576894</v>
      </c>
      <c r="CC48" s="107" t="str">
        <f t="shared" si="31"/>
        <v>(2,1,1,2,1,1)</v>
      </c>
      <c r="CD48" s="108">
        <v>1.05</v>
      </c>
      <c r="CE48" s="108">
        <v>1</v>
      </c>
      <c r="CF48" s="108">
        <v>1</v>
      </c>
      <c r="CG48" s="108">
        <v>1.01</v>
      </c>
      <c r="CH48" s="108">
        <v>1</v>
      </c>
      <c r="CI48" s="108">
        <v>1</v>
      </c>
      <c r="CK48" s="111"/>
      <c r="CL48" s="77" t="s">
        <v>106</v>
      </c>
      <c r="CM48" s="339" t="s">
        <v>106</v>
      </c>
      <c r="CN48" s="339" t="s">
        <v>106</v>
      </c>
      <c r="CO48" s="339" t="s">
        <v>106</v>
      </c>
      <c r="CP48" s="339" t="s">
        <v>106</v>
      </c>
      <c r="CQ48" s="339" t="s">
        <v>106</v>
      </c>
      <c r="CR48" s="104">
        <v>3</v>
      </c>
      <c r="CS48" s="104">
        <v>1.05</v>
      </c>
      <c r="CT48" s="104">
        <f t="shared" si="32"/>
        <v>1</v>
      </c>
      <c r="CU48" s="107">
        <f t="shared" si="33"/>
        <v>1.05</v>
      </c>
      <c r="CV48" s="107" t="str">
        <f t="shared" si="34"/>
        <v>(na,na,na,na,na,na)</v>
      </c>
      <c r="CW48" s="108">
        <v>1</v>
      </c>
      <c r="CX48" s="108">
        <v>1</v>
      </c>
      <c r="CY48" s="108">
        <v>1</v>
      </c>
      <c r="CZ48" s="108">
        <v>1</v>
      </c>
      <c r="DA48" s="108">
        <v>1</v>
      </c>
      <c r="DB48" s="108">
        <v>1</v>
      </c>
    </row>
    <row r="49" spans="1:106" ht="36">
      <c r="A49" s="330">
        <v>257458</v>
      </c>
      <c r="B49" s="331"/>
      <c r="C49" s="88"/>
      <c r="D49" s="340">
        <v>5</v>
      </c>
      <c r="E49" s="341" t="s">
        <v>98</v>
      </c>
      <c r="F49" s="432" t="s">
        <v>490</v>
      </c>
      <c r="G49" s="433" t="s">
        <v>382</v>
      </c>
      <c r="H49" s="434" t="s">
        <v>98</v>
      </c>
      <c r="I49" s="434" t="s">
        <v>98</v>
      </c>
      <c r="J49" s="94">
        <v>0</v>
      </c>
      <c r="K49" s="433" t="s">
        <v>96</v>
      </c>
      <c r="L49" s="435">
        <v>0</v>
      </c>
      <c r="M49" s="95">
        <v>1</v>
      </c>
      <c r="N49" s="96">
        <f t="shared" si="14"/>
        <v>1.0722009304576894</v>
      </c>
      <c r="O49" s="432" t="str">
        <f t="shared" si="15"/>
        <v>(2,1,1,2,1,1); Industry data (French tender), KR iso RoW</v>
      </c>
      <c r="P49" s="435">
        <v>0</v>
      </c>
      <c r="Q49" s="95">
        <v>1</v>
      </c>
      <c r="R49" s="96">
        <f t="shared" si="36"/>
        <v>1.0722009304576894</v>
      </c>
      <c r="S49" s="432" t="str">
        <f t="shared" si="16"/>
        <v>(2,1,1,2,1,1); Industry data (French tender), KR iso RoW</v>
      </c>
      <c r="T49" s="435">
        <v>0</v>
      </c>
      <c r="U49" s="95">
        <v>1</v>
      </c>
      <c r="V49" s="96">
        <f t="shared" si="38"/>
        <v>1.0722009304576894</v>
      </c>
      <c r="W49" s="432" t="str">
        <f t="shared" si="17"/>
        <v>(2,1,1,2,1,1); Industry data (French tender), KR iso RoW</v>
      </c>
      <c r="X49" s="435">
        <v>0</v>
      </c>
      <c r="Y49" s="95">
        <v>1</v>
      </c>
      <c r="Z49" s="96">
        <f t="shared" si="40"/>
        <v>1.0722009304576894</v>
      </c>
      <c r="AA49" s="432" t="str">
        <f t="shared" si="18"/>
        <v>(2,1,1,2,1,1); Industry data (French tender), KR iso RoW</v>
      </c>
      <c r="AB49" s="435">
        <v>0</v>
      </c>
      <c r="AC49" s="95">
        <v>1</v>
      </c>
      <c r="AD49" s="96">
        <f t="shared" si="41"/>
        <v>1.0722009304576894</v>
      </c>
      <c r="AE49" s="432" t="str">
        <f t="shared" si="19"/>
        <v>(2,1,1,2,1,1); Industry data (French tender), KR iso RoW</v>
      </c>
      <c r="AF49" s="435">
        <v>0</v>
      </c>
      <c r="AG49" s="95">
        <v>1</v>
      </c>
      <c r="AH49" s="96">
        <f t="shared" si="43"/>
        <v>1.0722009304576894</v>
      </c>
      <c r="AI49" s="432" t="str">
        <f t="shared" si="20"/>
        <v>(2,1,1,2,1,1); Industry data (French tender), KR iso RoW</v>
      </c>
      <c r="AJ49" s="435">
        <f>AF48</f>
        <v>0</v>
      </c>
      <c r="AK49" s="95">
        <v>1</v>
      </c>
      <c r="AL49" s="96">
        <f t="shared" si="45"/>
        <v>1.0722009304576894</v>
      </c>
      <c r="AM49" s="432" t="str">
        <f t="shared" si="21"/>
        <v>(2,1,1,2,1,1); Industry data (French tender), KR iso RoW</v>
      </c>
      <c r="AN49" s="435">
        <v>0</v>
      </c>
      <c r="AO49" s="95">
        <v>1</v>
      </c>
      <c r="AP49" s="96">
        <f t="shared" si="47"/>
        <v>1.0722009304576894</v>
      </c>
      <c r="AQ49" s="432" t="str">
        <f t="shared" si="22"/>
        <v>(2,1,1,2,1,1); Industry data (French tender), KR iso RoW</v>
      </c>
      <c r="AR49" s="435">
        <v>0</v>
      </c>
      <c r="AS49" s="95">
        <v>1</v>
      </c>
      <c r="AT49" s="96">
        <f t="shared" si="48"/>
        <v>1.0722009304576894</v>
      </c>
      <c r="AU49" s="432" t="str">
        <f t="shared" si="23"/>
        <v>(2,1,1,2,1,1); Industry data (French tender), KR iso RoW</v>
      </c>
      <c r="AV49" s="435">
        <v>0</v>
      </c>
      <c r="AW49" s="95">
        <v>1</v>
      </c>
      <c r="AX49" s="96">
        <f t="shared" si="50"/>
        <v>1.0722009304576894</v>
      </c>
      <c r="AY49" s="432" t="str">
        <f t="shared" si="24"/>
        <v>(2,1,1,2,1,1); Industry data (French tender), KR iso RoW</v>
      </c>
      <c r="AZ49" s="435">
        <v>0</v>
      </c>
      <c r="BA49" s="95">
        <v>1</v>
      </c>
      <c r="BB49" s="96">
        <f t="shared" si="52"/>
        <v>1.0722009304576894</v>
      </c>
      <c r="BC49" s="432" t="str">
        <f t="shared" si="25"/>
        <v>(2,1,1,2,1,1); Industry data (French tender), KR iso RoW</v>
      </c>
      <c r="BD49" s="435">
        <f>AZ48</f>
        <v>5.8382190656618604</v>
      </c>
      <c r="BE49" s="95">
        <v>1</v>
      </c>
      <c r="BF49" s="96">
        <f t="shared" si="54"/>
        <v>1.0722009304576894</v>
      </c>
      <c r="BG49" s="432" t="str">
        <f t="shared" si="26"/>
        <v>(2,1,1,2,1,1); Industry data (French tender), KR iso RoW</v>
      </c>
      <c r="BH49" s="435">
        <f>BD48</f>
        <v>0</v>
      </c>
      <c r="BI49" s="95">
        <v>1</v>
      </c>
      <c r="BJ49" s="96">
        <f t="shared" si="55"/>
        <v>1.0722009304576894</v>
      </c>
      <c r="BK49" s="432" t="str">
        <f t="shared" si="27"/>
        <v xml:space="preserve">(na,na,na,na,na,na); </v>
      </c>
      <c r="BL49" s="435">
        <f>BH48</f>
        <v>0</v>
      </c>
      <c r="BM49" s="95">
        <v>1</v>
      </c>
      <c r="BN49" s="96">
        <f t="shared" si="57"/>
        <v>1.0722009304576894</v>
      </c>
      <c r="BO49" s="432" t="str">
        <f t="shared" si="28"/>
        <v xml:space="preserve">(na,na,na,na,na,na); </v>
      </c>
      <c r="BP49" s="432"/>
      <c r="BQ49" s="112"/>
      <c r="BR49" s="705" t="s">
        <v>486</v>
      </c>
      <c r="BS49" s="77">
        <v>2</v>
      </c>
      <c r="BT49" s="339">
        <v>1</v>
      </c>
      <c r="BU49" s="339">
        <v>1</v>
      </c>
      <c r="BV49" s="339">
        <v>2</v>
      </c>
      <c r="BW49" s="339">
        <v>1</v>
      </c>
      <c r="BX49" s="339">
        <v>1</v>
      </c>
      <c r="BY49" s="104">
        <v>3</v>
      </c>
      <c r="BZ49" s="104">
        <v>1.05</v>
      </c>
      <c r="CA49" s="104">
        <f t="shared" si="29"/>
        <v>1.0510550504206344</v>
      </c>
      <c r="CB49" s="107">
        <f t="shared" si="30"/>
        <v>1.0722009304576894</v>
      </c>
      <c r="CC49" s="107" t="str">
        <f t="shared" si="31"/>
        <v>(2,1,1,2,1,1)</v>
      </c>
      <c r="CD49" s="108">
        <v>1.05</v>
      </c>
      <c r="CE49" s="108">
        <v>1</v>
      </c>
      <c r="CF49" s="108">
        <v>1</v>
      </c>
      <c r="CG49" s="108">
        <v>1.01</v>
      </c>
      <c r="CH49" s="108">
        <v>1</v>
      </c>
      <c r="CI49" s="108">
        <v>1</v>
      </c>
      <c r="CK49" s="111"/>
      <c r="CL49" s="77" t="s">
        <v>106</v>
      </c>
      <c r="CM49" s="339" t="s">
        <v>106</v>
      </c>
      <c r="CN49" s="339" t="s">
        <v>106</v>
      </c>
      <c r="CO49" s="339" t="s">
        <v>106</v>
      </c>
      <c r="CP49" s="339" t="s">
        <v>106</v>
      </c>
      <c r="CQ49" s="339" t="s">
        <v>106</v>
      </c>
      <c r="CR49" s="104">
        <v>3</v>
      </c>
      <c r="CS49" s="104">
        <v>1.05</v>
      </c>
      <c r="CT49" s="104">
        <f t="shared" si="32"/>
        <v>1</v>
      </c>
      <c r="CU49" s="107">
        <f t="shared" si="33"/>
        <v>1.05</v>
      </c>
      <c r="CV49" s="107" t="str">
        <f t="shared" si="34"/>
        <v>(na,na,na,na,na,na)</v>
      </c>
      <c r="CW49" s="108">
        <v>1</v>
      </c>
      <c r="CX49" s="108">
        <v>1</v>
      </c>
      <c r="CY49" s="108">
        <v>1</v>
      </c>
      <c r="CZ49" s="108">
        <v>1</v>
      </c>
      <c r="DA49" s="108">
        <v>1</v>
      </c>
      <c r="DB49" s="108">
        <v>1</v>
      </c>
    </row>
    <row r="50" spans="1:106" ht="24">
      <c r="A50" s="330">
        <v>267492</v>
      </c>
      <c r="B50" s="331"/>
      <c r="C50" s="88"/>
      <c r="D50" s="340">
        <v>5</v>
      </c>
      <c r="E50" s="341" t="s">
        <v>98</v>
      </c>
      <c r="F50" s="432" t="s">
        <v>321</v>
      </c>
      <c r="G50" s="433" t="s">
        <v>93</v>
      </c>
      <c r="H50" s="434" t="s">
        <v>98</v>
      </c>
      <c r="I50" s="434" t="s">
        <v>98</v>
      </c>
      <c r="J50" s="94">
        <v>0</v>
      </c>
      <c r="K50" s="433" t="s">
        <v>96</v>
      </c>
      <c r="L50" s="435">
        <v>6.3872832369942198</v>
      </c>
      <c r="M50" s="95">
        <v>1</v>
      </c>
      <c r="N50" s="96">
        <f t="shared" si="14"/>
        <v>1.0722009304576894</v>
      </c>
      <c r="O50" s="432" t="str">
        <f t="shared" si="15"/>
        <v>(2,1,1,2,1,1); Industry data (French tender)</v>
      </c>
      <c r="P50" s="435">
        <f t="shared" ref="P50:P56" si="58">L50</f>
        <v>6.3872832369942198</v>
      </c>
      <c r="Q50" s="95">
        <v>1</v>
      </c>
      <c r="R50" s="96">
        <f t="shared" si="36"/>
        <v>1.0722009304576894</v>
      </c>
      <c r="S50" s="432" t="str">
        <f t="shared" si="16"/>
        <v>(2,1,1,2,1,1); Industry data (French tender)</v>
      </c>
      <c r="T50" s="435">
        <f>L50</f>
        <v>6.3872832369942198</v>
      </c>
      <c r="U50" s="95">
        <v>1</v>
      </c>
      <c r="V50" s="96">
        <f t="shared" si="38"/>
        <v>1.0722009304576894</v>
      </c>
      <c r="W50" s="432" t="str">
        <f t="shared" si="17"/>
        <v>(2,1,1,2,1,1); Industry data (French tender)</v>
      </c>
      <c r="X50" s="435">
        <f>L50</f>
        <v>6.3872832369942198</v>
      </c>
      <c r="Y50" s="95">
        <v>1</v>
      </c>
      <c r="Z50" s="96">
        <f t="shared" si="40"/>
        <v>1.0722009304576894</v>
      </c>
      <c r="AA50" s="432" t="str">
        <f t="shared" si="18"/>
        <v>(2,1,1,2,1,1); Industry data (French tender)</v>
      </c>
      <c r="AB50" s="435">
        <v>0</v>
      </c>
      <c r="AC50" s="95">
        <v>1</v>
      </c>
      <c r="AD50" s="96">
        <f t="shared" si="41"/>
        <v>1.0722009304576894</v>
      </c>
      <c r="AE50" s="432" t="str">
        <f t="shared" si="19"/>
        <v>(2,1,1,2,1,1); Industry data (French tender)</v>
      </c>
      <c r="AF50" s="435">
        <v>0</v>
      </c>
      <c r="AG50" s="95">
        <v>1</v>
      </c>
      <c r="AH50" s="96">
        <f t="shared" si="43"/>
        <v>1.0722009304576894</v>
      </c>
      <c r="AI50" s="432" t="str">
        <f t="shared" si="20"/>
        <v>(2,1,1,2,1,1); Industry data (French tender)</v>
      </c>
      <c r="AJ50" s="435">
        <v>0</v>
      </c>
      <c r="AK50" s="95">
        <v>1</v>
      </c>
      <c r="AL50" s="96">
        <f t="shared" si="45"/>
        <v>1.0722009304576894</v>
      </c>
      <c r="AM50" s="432" t="str">
        <f t="shared" si="21"/>
        <v>(2,1,1,2,1,1); Industry data (French tender)</v>
      </c>
      <c r="AN50" s="435">
        <v>0</v>
      </c>
      <c r="AO50" s="95">
        <v>1</v>
      </c>
      <c r="AP50" s="96">
        <f t="shared" si="47"/>
        <v>1.0722009304576894</v>
      </c>
      <c r="AQ50" s="432" t="str">
        <f t="shared" si="22"/>
        <v>(2,1,1,2,1,1); Industry data (French tender)</v>
      </c>
      <c r="AR50" s="435">
        <v>0</v>
      </c>
      <c r="AS50" s="95">
        <v>1</v>
      </c>
      <c r="AT50" s="96">
        <f t="shared" si="48"/>
        <v>1.0722009304576894</v>
      </c>
      <c r="AU50" s="432" t="str">
        <f t="shared" si="23"/>
        <v>(2,1,1,2,1,1); Industry data (French tender)</v>
      </c>
      <c r="AV50" s="435">
        <v>0</v>
      </c>
      <c r="AW50" s="95">
        <v>1</v>
      </c>
      <c r="AX50" s="96">
        <f t="shared" si="50"/>
        <v>1.0722009304576894</v>
      </c>
      <c r="AY50" s="432" t="str">
        <f t="shared" si="24"/>
        <v>(2,1,1,2,1,1); Industry data (French tender)</v>
      </c>
      <c r="AZ50" s="435">
        <v>0</v>
      </c>
      <c r="BA50" s="95">
        <v>1</v>
      </c>
      <c r="BB50" s="96">
        <f t="shared" si="52"/>
        <v>1.0722009304576894</v>
      </c>
      <c r="BC50" s="432" t="str">
        <f t="shared" si="25"/>
        <v>(2,1,1,2,1,1); Industry data (French tender)</v>
      </c>
      <c r="BD50" s="435">
        <v>0</v>
      </c>
      <c r="BE50" s="95">
        <v>1</v>
      </c>
      <c r="BF50" s="96">
        <f t="shared" si="54"/>
        <v>1.0722009304576894</v>
      </c>
      <c r="BG50" s="432" t="str">
        <f t="shared" si="26"/>
        <v>(2,1,1,2,1,1); Industry data (French tender)</v>
      </c>
      <c r="BH50" s="435">
        <v>0</v>
      </c>
      <c r="BI50" s="95">
        <v>1</v>
      </c>
      <c r="BJ50" s="96">
        <f t="shared" si="55"/>
        <v>1.0722009304576894</v>
      </c>
      <c r="BK50" s="432" t="str">
        <f t="shared" si="27"/>
        <v xml:space="preserve">(na,na,na,na,na,na); </v>
      </c>
      <c r="BL50" s="435">
        <v>0</v>
      </c>
      <c r="BM50" s="95">
        <v>1</v>
      </c>
      <c r="BN50" s="96">
        <f t="shared" si="57"/>
        <v>1.0722009304576894</v>
      </c>
      <c r="BO50" s="432" t="str">
        <f t="shared" si="28"/>
        <v xml:space="preserve">(na,na,na,na,na,na); </v>
      </c>
      <c r="BP50" s="432"/>
      <c r="BQ50" s="112"/>
      <c r="BR50" s="705" t="s">
        <v>462</v>
      </c>
      <c r="BS50" s="77">
        <v>2</v>
      </c>
      <c r="BT50" s="339">
        <v>1</v>
      </c>
      <c r="BU50" s="339">
        <v>1</v>
      </c>
      <c r="BV50" s="339">
        <v>2</v>
      </c>
      <c r="BW50" s="339">
        <v>1</v>
      </c>
      <c r="BX50" s="339">
        <v>1</v>
      </c>
      <c r="BY50" s="104">
        <v>3</v>
      </c>
      <c r="BZ50" s="104">
        <v>1.05</v>
      </c>
      <c r="CA50" s="104">
        <f t="shared" si="29"/>
        <v>1.0510550504206344</v>
      </c>
      <c r="CB50" s="107">
        <f t="shared" si="30"/>
        <v>1.0722009304576894</v>
      </c>
      <c r="CC50" s="107" t="str">
        <f t="shared" si="31"/>
        <v>(2,1,1,2,1,1)</v>
      </c>
      <c r="CD50" s="108">
        <v>1.05</v>
      </c>
      <c r="CE50" s="108">
        <v>1</v>
      </c>
      <c r="CF50" s="108">
        <v>1</v>
      </c>
      <c r="CG50" s="108">
        <v>1.01</v>
      </c>
      <c r="CH50" s="108">
        <v>1</v>
      </c>
      <c r="CI50" s="108">
        <v>1</v>
      </c>
      <c r="CK50" s="111"/>
      <c r="CL50" s="77" t="s">
        <v>106</v>
      </c>
      <c r="CM50" s="339" t="s">
        <v>106</v>
      </c>
      <c r="CN50" s="339" t="s">
        <v>106</v>
      </c>
      <c r="CO50" s="339" t="s">
        <v>106</v>
      </c>
      <c r="CP50" s="339" t="s">
        <v>106</v>
      </c>
      <c r="CQ50" s="339" t="s">
        <v>106</v>
      </c>
      <c r="CR50" s="104">
        <v>3</v>
      </c>
      <c r="CS50" s="104">
        <v>1.05</v>
      </c>
      <c r="CT50" s="104">
        <f t="shared" si="32"/>
        <v>1</v>
      </c>
      <c r="CU50" s="107">
        <f t="shared" si="33"/>
        <v>1.05</v>
      </c>
      <c r="CV50" s="107" t="str">
        <f t="shared" si="34"/>
        <v>(na,na,na,na,na,na)</v>
      </c>
      <c r="CW50" s="108">
        <v>1</v>
      </c>
      <c r="CX50" s="108">
        <v>1</v>
      </c>
      <c r="CY50" s="108">
        <v>1</v>
      </c>
      <c r="CZ50" s="108">
        <v>1</v>
      </c>
      <c r="DA50" s="108">
        <v>1</v>
      </c>
      <c r="DB50" s="108">
        <v>1</v>
      </c>
    </row>
    <row r="51" spans="1:106" ht="24">
      <c r="A51" s="330">
        <v>269327</v>
      </c>
      <c r="B51" s="331" t="s">
        <v>491</v>
      </c>
      <c r="C51" s="88"/>
      <c r="D51" s="340">
        <v>5</v>
      </c>
      <c r="E51" s="341" t="s">
        <v>98</v>
      </c>
      <c r="F51" s="432" t="s">
        <v>492</v>
      </c>
      <c r="G51" s="433" t="s">
        <v>93</v>
      </c>
      <c r="H51" s="434" t="s">
        <v>98</v>
      </c>
      <c r="I51" s="434" t="s">
        <v>98</v>
      </c>
      <c r="J51" s="94">
        <v>0</v>
      </c>
      <c r="K51" s="433" t="s">
        <v>96</v>
      </c>
      <c r="L51" s="435">
        <v>3.4034798354527898E-2</v>
      </c>
      <c r="M51" s="95">
        <v>1</v>
      </c>
      <c r="N51" s="96">
        <f t="shared" si="14"/>
        <v>1.0722009304576894</v>
      </c>
      <c r="O51" s="432" t="str">
        <f t="shared" si="15"/>
        <v>(2,1,1,2,1,1); Industry data (French tender)</v>
      </c>
      <c r="P51" s="435">
        <f t="shared" si="58"/>
        <v>3.4034798354527898E-2</v>
      </c>
      <c r="Q51" s="95">
        <v>1</v>
      </c>
      <c r="R51" s="96">
        <f t="shared" si="36"/>
        <v>1.0722009304576894</v>
      </c>
      <c r="S51" s="432" t="str">
        <f t="shared" si="16"/>
        <v>(2,1,1,2,1,1); Industry data (French tender)</v>
      </c>
      <c r="T51" s="435">
        <f t="shared" ref="T51:T56" si="59">P51</f>
        <v>3.4034798354527898E-2</v>
      </c>
      <c r="U51" s="95">
        <v>1</v>
      </c>
      <c r="V51" s="96">
        <f t="shared" si="38"/>
        <v>1.0722009304576894</v>
      </c>
      <c r="W51" s="432" t="str">
        <f t="shared" si="17"/>
        <v>(2,1,1,2,1,1); Industry data (French tender)</v>
      </c>
      <c r="X51" s="435">
        <f t="shared" ref="X51:X56" si="60">T51</f>
        <v>3.4034798354527898E-2</v>
      </c>
      <c r="Y51" s="95">
        <v>1</v>
      </c>
      <c r="Z51" s="96">
        <f t="shared" si="40"/>
        <v>1.0722009304576894</v>
      </c>
      <c r="AA51" s="432" t="str">
        <f t="shared" si="18"/>
        <v>(2,1,1,2,1,1); Industry data (French tender)</v>
      </c>
      <c r="AB51" s="435">
        <v>1.88088461538462E-2</v>
      </c>
      <c r="AC51" s="95">
        <v>1</v>
      </c>
      <c r="AD51" s="96">
        <f t="shared" si="41"/>
        <v>1.0722009304576894</v>
      </c>
      <c r="AE51" s="432" t="str">
        <f t="shared" si="19"/>
        <v>(2,1,1,2,1,1); Industry data (French tender)</v>
      </c>
      <c r="AF51" s="435">
        <f t="shared" ref="AF51:AF56" si="61">AB51</f>
        <v>1.88088461538462E-2</v>
      </c>
      <c r="AG51" s="95">
        <v>1</v>
      </c>
      <c r="AH51" s="96">
        <f t="shared" si="43"/>
        <v>1.0722009304576894</v>
      </c>
      <c r="AI51" s="432" t="str">
        <f t="shared" si="20"/>
        <v>(2,1,1,2,1,1); Industry data (French tender)</v>
      </c>
      <c r="AJ51" s="435">
        <f t="shared" ref="AJ51:AJ56" si="62">AF51</f>
        <v>1.88088461538462E-2</v>
      </c>
      <c r="AK51" s="95">
        <v>1</v>
      </c>
      <c r="AL51" s="96">
        <f t="shared" si="45"/>
        <v>1.0722009304576894</v>
      </c>
      <c r="AM51" s="432" t="str">
        <f t="shared" si="21"/>
        <v>(2,1,1,2,1,1); Industry data (French tender)</v>
      </c>
      <c r="AN51" s="435">
        <f t="shared" ref="AN51:AN56" si="63">AJ51</f>
        <v>1.88088461538462E-2</v>
      </c>
      <c r="AO51" s="95">
        <v>1</v>
      </c>
      <c r="AP51" s="96">
        <f t="shared" si="47"/>
        <v>1.0722009304576894</v>
      </c>
      <c r="AQ51" s="432" t="str">
        <f t="shared" si="22"/>
        <v>(2,1,1,2,1,1); Industry data (French tender)</v>
      </c>
      <c r="AR51" s="435">
        <v>3.44383346215205E-3</v>
      </c>
      <c r="AS51" s="95">
        <v>1</v>
      </c>
      <c r="AT51" s="96">
        <f t="shared" si="48"/>
        <v>1.0722009304576894</v>
      </c>
      <c r="AU51" s="432" t="str">
        <f t="shared" si="23"/>
        <v>(2,1,1,2,1,1); Industry data (French tender)</v>
      </c>
      <c r="AV51" s="435">
        <f t="shared" ref="AV51:AV56" si="64">AR51</f>
        <v>3.44383346215205E-3</v>
      </c>
      <c r="AW51" s="95">
        <v>1</v>
      </c>
      <c r="AX51" s="96">
        <f t="shared" si="50"/>
        <v>1.0722009304576894</v>
      </c>
      <c r="AY51" s="432" t="str">
        <f t="shared" si="24"/>
        <v>(2,1,1,2,1,1); Industry data (French tender)</v>
      </c>
      <c r="AZ51" s="435">
        <f t="shared" ref="AZ51:AZ56" si="65">AV51</f>
        <v>3.44383346215205E-3</v>
      </c>
      <c r="BA51" s="95">
        <v>1</v>
      </c>
      <c r="BB51" s="96">
        <f t="shared" si="52"/>
        <v>1.0722009304576894</v>
      </c>
      <c r="BC51" s="432" t="str">
        <f t="shared" si="25"/>
        <v>(2,1,1,2,1,1); Industry data (French tender)</v>
      </c>
      <c r="BD51" s="435">
        <f t="shared" ref="BD51:BD56" si="66">AZ51</f>
        <v>3.44383346215205E-3</v>
      </c>
      <c r="BE51" s="95">
        <v>1</v>
      </c>
      <c r="BF51" s="96">
        <f t="shared" si="54"/>
        <v>1.0722009304576894</v>
      </c>
      <c r="BG51" s="432" t="str">
        <f t="shared" si="26"/>
        <v>(2,1,1,2,1,1); Industry data (French tender)</v>
      </c>
      <c r="BH51" s="435">
        <v>0</v>
      </c>
      <c r="BI51" s="95">
        <v>1</v>
      </c>
      <c r="BJ51" s="96">
        <f t="shared" si="55"/>
        <v>1.0722009304576894</v>
      </c>
      <c r="BK51" s="432" t="str">
        <f t="shared" si="27"/>
        <v xml:space="preserve">(na,na,na,na,na,na); </v>
      </c>
      <c r="BL51" s="435">
        <f>BH51</f>
        <v>0</v>
      </c>
      <c r="BM51" s="95">
        <v>1</v>
      </c>
      <c r="BN51" s="96">
        <f t="shared" si="57"/>
        <v>1.0722009304576894</v>
      </c>
      <c r="BO51" s="432" t="str">
        <f t="shared" si="28"/>
        <v xml:space="preserve">(na,na,na,na,na,na); </v>
      </c>
      <c r="BP51" s="432"/>
      <c r="BQ51" s="112"/>
      <c r="BR51" s="705" t="s">
        <v>462</v>
      </c>
      <c r="BS51" s="77">
        <v>2</v>
      </c>
      <c r="BT51" s="339">
        <v>1</v>
      </c>
      <c r="BU51" s="339">
        <v>1</v>
      </c>
      <c r="BV51" s="339">
        <v>2</v>
      </c>
      <c r="BW51" s="339">
        <v>1</v>
      </c>
      <c r="BX51" s="339">
        <v>1</v>
      </c>
      <c r="BY51" s="104">
        <v>3</v>
      </c>
      <c r="BZ51" s="104">
        <v>1.05</v>
      </c>
      <c r="CA51" s="104">
        <f t="shared" si="29"/>
        <v>1.0510550504206344</v>
      </c>
      <c r="CB51" s="107">
        <f t="shared" si="30"/>
        <v>1.0722009304576894</v>
      </c>
      <c r="CC51" s="107" t="str">
        <f t="shared" si="31"/>
        <v>(2,1,1,2,1,1)</v>
      </c>
      <c r="CD51" s="108">
        <v>1.05</v>
      </c>
      <c r="CE51" s="108">
        <v>1</v>
      </c>
      <c r="CF51" s="108">
        <v>1</v>
      </c>
      <c r="CG51" s="108">
        <v>1.01</v>
      </c>
      <c r="CH51" s="108">
        <v>1</v>
      </c>
      <c r="CI51" s="108">
        <v>1</v>
      </c>
      <c r="CK51" s="111"/>
      <c r="CL51" s="77" t="s">
        <v>106</v>
      </c>
      <c r="CM51" s="339" t="s">
        <v>106</v>
      </c>
      <c r="CN51" s="339" t="s">
        <v>106</v>
      </c>
      <c r="CO51" s="339" t="s">
        <v>106</v>
      </c>
      <c r="CP51" s="339" t="s">
        <v>106</v>
      </c>
      <c r="CQ51" s="339" t="s">
        <v>106</v>
      </c>
      <c r="CR51" s="104">
        <v>3</v>
      </c>
      <c r="CS51" s="104">
        <v>1.05</v>
      </c>
      <c r="CT51" s="104">
        <f t="shared" si="32"/>
        <v>1</v>
      </c>
      <c r="CU51" s="107">
        <f t="shared" si="33"/>
        <v>1.05</v>
      </c>
      <c r="CV51" s="107" t="str">
        <f t="shared" si="34"/>
        <v>(na,na,na,na,na,na)</v>
      </c>
      <c r="CW51" s="108">
        <v>1</v>
      </c>
      <c r="CX51" s="108">
        <v>1</v>
      </c>
      <c r="CY51" s="108">
        <v>1</v>
      </c>
      <c r="CZ51" s="108">
        <v>1</v>
      </c>
      <c r="DA51" s="108">
        <v>1</v>
      </c>
      <c r="DB51" s="108">
        <v>1</v>
      </c>
    </row>
    <row r="52" spans="1:106" ht="24">
      <c r="A52" s="330">
        <v>269335</v>
      </c>
      <c r="B52" s="331"/>
      <c r="C52" s="88"/>
      <c r="D52" s="340">
        <v>5</v>
      </c>
      <c r="E52" s="341" t="s">
        <v>98</v>
      </c>
      <c r="F52" s="432" t="s">
        <v>493</v>
      </c>
      <c r="G52" s="433" t="s">
        <v>93</v>
      </c>
      <c r="H52" s="434" t="s">
        <v>98</v>
      </c>
      <c r="I52" s="434" t="s">
        <v>98</v>
      </c>
      <c r="J52" s="94">
        <v>0</v>
      </c>
      <c r="K52" s="433" t="s">
        <v>144</v>
      </c>
      <c r="L52" s="435">
        <f>0.019324816955684/25</f>
        <v>7.7299267822735992E-4</v>
      </c>
      <c r="M52" s="95">
        <v>1</v>
      </c>
      <c r="N52" s="96">
        <f t="shared" si="14"/>
        <v>1.0722009304576894</v>
      </c>
      <c r="O52" s="432" t="str">
        <f t="shared" si="15"/>
        <v>(2,1,1,2,1,1); Industry data (French tender), converted to p (1p = 25kg)</v>
      </c>
      <c r="P52" s="435">
        <f t="shared" si="58"/>
        <v>7.7299267822735992E-4</v>
      </c>
      <c r="Q52" s="95">
        <v>1</v>
      </c>
      <c r="R52" s="96">
        <f t="shared" si="36"/>
        <v>1.0722009304576894</v>
      </c>
      <c r="S52" s="432" t="str">
        <f t="shared" si="16"/>
        <v>(2,1,1,2,1,1); Industry data (French tender), converted to p (1p = 25kg)</v>
      </c>
      <c r="T52" s="435">
        <f t="shared" si="59"/>
        <v>7.7299267822735992E-4</v>
      </c>
      <c r="U52" s="95">
        <v>1</v>
      </c>
      <c r="V52" s="96">
        <f t="shared" si="38"/>
        <v>1.0722009304576894</v>
      </c>
      <c r="W52" s="432" t="str">
        <f t="shared" si="17"/>
        <v>(2,1,1,2,1,1); Industry data (French tender), converted to p (1p = 25kg)</v>
      </c>
      <c r="X52" s="435">
        <f t="shared" si="60"/>
        <v>7.7299267822735992E-4</v>
      </c>
      <c r="Y52" s="95">
        <v>1</v>
      </c>
      <c r="Z52" s="96">
        <f t="shared" si="40"/>
        <v>1.0722009304576894</v>
      </c>
      <c r="AA52" s="432" t="str">
        <f t="shared" si="18"/>
        <v>(2,1,1,2,1,1); Industry data (French tender), converted to p (1p = 25kg)</v>
      </c>
      <c r="AB52" s="435">
        <f>0.0184490384615385/25</f>
        <v>7.3796153846153998E-4</v>
      </c>
      <c r="AC52" s="95">
        <v>1</v>
      </c>
      <c r="AD52" s="96">
        <f t="shared" si="41"/>
        <v>1.0722009304576894</v>
      </c>
      <c r="AE52" s="432" t="str">
        <f t="shared" si="19"/>
        <v>(2,1,1,2,1,1); Industry data (French tender), converted to p (1p = 25kg)</v>
      </c>
      <c r="AF52" s="435">
        <f t="shared" si="61"/>
        <v>7.3796153846153998E-4</v>
      </c>
      <c r="AG52" s="95">
        <v>1</v>
      </c>
      <c r="AH52" s="96">
        <f t="shared" si="43"/>
        <v>1.0722009304576894</v>
      </c>
      <c r="AI52" s="432" t="str">
        <f t="shared" si="20"/>
        <v>(2,1,1,2,1,1); Industry data (French tender), converted to p (1p = 25kg)</v>
      </c>
      <c r="AJ52" s="435">
        <f t="shared" si="62"/>
        <v>7.3796153846153998E-4</v>
      </c>
      <c r="AK52" s="95">
        <v>1</v>
      </c>
      <c r="AL52" s="96">
        <f t="shared" si="45"/>
        <v>1.0722009304576894</v>
      </c>
      <c r="AM52" s="432" t="str">
        <f t="shared" si="21"/>
        <v>(2,1,1,2,1,1); Industry data (French tender), converted to p (1p = 25kg)</v>
      </c>
      <c r="AN52" s="435">
        <f t="shared" si="63"/>
        <v>7.3796153846153998E-4</v>
      </c>
      <c r="AO52" s="95">
        <v>1</v>
      </c>
      <c r="AP52" s="96">
        <f t="shared" si="47"/>
        <v>1.0722009304576894</v>
      </c>
      <c r="AQ52" s="432" t="str">
        <f t="shared" si="22"/>
        <v>(2,1,1,2,1,1); Industry data (French tender), converted to p (1p = 25kg)</v>
      </c>
      <c r="AR52" s="435">
        <v>0</v>
      </c>
      <c r="AS52" s="95">
        <v>1</v>
      </c>
      <c r="AT52" s="96">
        <f t="shared" si="48"/>
        <v>1.0722009304576894</v>
      </c>
      <c r="AU52" s="432" t="str">
        <f t="shared" si="23"/>
        <v>(2,1,1,2,1,1); Industry data (French tender), converted to p (1p = 25kg)</v>
      </c>
      <c r="AV52" s="435">
        <f t="shared" si="64"/>
        <v>0</v>
      </c>
      <c r="AW52" s="95">
        <v>1</v>
      </c>
      <c r="AX52" s="96">
        <f t="shared" si="50"/>
        <v>1.0722009304576894</v>
      </c>
      <c r="AY52" s="432" t="str">
        <f t="shared" si="24"/>
        <v>(2,1,1,2,1,1); Industry data (French tender), converted to p (1p = 25kg)</v>
      </c>
      <c r="AZ52" s="435">
        <f t="shared" si="65"/>
        <v>0</v>
      </c>
      <c r="BA52" s="95">
        <v>1</v>
      </c>
      <c r="BB52" s="96">
        <f t="shared" si="52"/>
        <v>1.0722009304576894</v>
      </c>
      <c r="BC52" s="432" t="str">
        <f t="shared" si="25"/>
        <v>(2,1,1,2,1,1); Industry data (French tender), converted to p (1p = 25kg)</v>
      </c>
      <c r="BD52" s="435">
        <f t="shared" si="66"/>
        <v>0</v>
      </c>
      <c r="BE52" s="95">
        <v>1</v>
      </c>
      <c r="BF52" s="96">
        <f t="shared" si="54"/>
        <v>1.0722009304576894</v>
      </c>
      <c r="BG52" s="432" t="str">
        <f t="shared" si="26"/>
        <v>(2,1,1,2,1,1); Industry data (French tender), converted to p (1p = 25kg)</v>
      </c>
      <c r="BH52" s="435">
        <f>BD52</f>
        <v>0</v>
      </c>
      <c r="BI52" s="95">
        <v>1</v>
      </c>
      <c r="BJ52" s="96">
        <f t="shared" si="55"/>
        <v>1.0722009304576894</v>
      </c>
      <c r="BK52" s="432" t="str">
        <f t="shared" si="27"/>
        <v xml:space="preserve">(na,na,na,na,na,na); </v>
      </c>
      <c r="BL52" s="435">
        <f>BH52</f>
        <v>0</v>
      </c>
      <c r="BM52" s="95">
        <v>1</v>
      </c>
      <c r="BN52" s="96">
        <f t="shared" si="57"/>
        <v>1.0722009304576894</v>
      </c>
      <c r="BO52" s="432" t="str">
        <f t="shared" si="28"/>
        <v xml:space="preserve">(na,na,na,na,na,na); </v>
      </c>
      <c r="BP52" s="432"/>
      <c r="BQ52" s="112"/>
      <c r="BR52" s="705" t="s">
        <v>494</v>
      </c>
      <c r="BS52" s="77">
        <v>2</v>
      </c>
      <c r="BT52" s="339">
        <v>1</v>
      </c>
      <c r="BU52" s="339">
        <v>1</v>
      </c>
      <c r="BV52" s="339">
        <v>2</v>
      </c>
      <c r="BW52" s="339">
        <v>1</v>
      </c>
      <c r="BX52" s="339">
        <v>1</v>
      </c>
      <c r="BY52" s="104">
        <v>3</v>
      </c>
      <c r="BZ52" s="104">
        <v>1.05</v>
      </c>
      <c r="CA52" s="104">
        <f t="shared" si="29"/>
        <v>1.0510550504206344</v>
      </c>
      <c r="CB52" s="107">
        <f t="shared" si="30"/>
        <v>1.0722009304576894</v>
      </c>
      <c r="CC52" s="107" t="str">
        <f t="shared" si="31"/>
        <v>(2,1,1,2,1,1)</v>
      </c>
      <c r="CD52" s="108">
        <v>1.05</v>
      </c>
      <c r="CE52" s="108">
        <v>1</v>
      </c>
      <c r="CF52" s="108">
        <v>1</v>
      </c>
      <c r="CG52" s="108">
        <v>1.01</v>
      </c>
      <c r="CH52" s="108">
        <v>1</v>
      </c>
      <c r="CI52" s="108">
        <v>1</v>
      </c>
      <c r="CK52" s="111"/>
      <c r="CL52" s="77" t="s">
        <v>106</v>
      </c>
      <c r="CM52" s="339" t="s">
        <v>106</v>
      </c>
      <c r="CN52" s="339" t="s">
        <v>106</v>
      </c>
      <c r="CO52" s="339" t="s">
        <v>106</v>
      </c>
      <c r="CP52" s="339" t="s">
        <v>106</v>
      </c>
      <c r="CQ52" s="339" t="s">
        <v>106</v>
      </c>
      <c r="CR52" s="104">
        <v>3</v>
      </c>
      <c r="CS52" s="104">
        <v>1.05</v>
      </c>
      <c r="CT52" s="104">
        <f t="shared" si="32"/>
        <v>1</v>
      </c>
      <c r="CU52" s="107">
        <f t="shared" si="33"/>
        <v>1.05</v>
      </c>
      <c r="CV52" s="107" t="str">
        <f t="shared" si="34"/>
        <v>(na,na,na,na,na,na)</v>
      </c>
      <c r="CW52" s="108">
        <v>1</v>
      </c>
      <c r="CX52" s="108">
        <v>1</v>
      </c>
      <c r="CY52" s="108">
        <v>1</v>
      </c>
      <c r="CZ52" s="108">
        <v>1</v>
      </c>
      <c r="DA52" s="108">
        <v>1</v>
      </c>
      <c r="DB52" s="108">
        <v>1</v>
      </c>
    </row>
    <row r="53" spans="1:106" ht="36">
      <c r="A53" s="330">
        <v>260534</v>
      </c>
      <c r="B53" s="331"/>
      <c r="C53" s="88"/>
      <c r="D53" s="340">
        <v>5</v>
      </c>
      <c r="E53" s="341" t="s">
        <v>98</v>
      </c>
      <c r="F53" s="432" t="s">
        <v>495</v>
      </c>
      <c r="G53" s="433" t="s">
        <v>93</v>
      </c>
      <c r="H53" s="434" t="s">
        <v>98</v>
      </c>
      <c r="I53" s="434" t="s">
        <v>98</v>
      </c>
      <c r="J53" s="94">
        <v>0</v>
      </c>
      <c r="K53" s="433" t="s">
        <v>96</v>
      </c>
      <c r="L53" s="435">
        <v>3.0944797687861299E-2</v>
      </c>
      <c r="M53" s="95">
        <v>1</v>
      </c>
      <c r="N53" s="96">
        <f t="shared" ref="N53:N84" si="67">$CB53</f>
        <v>1.0722009304576894</v>
      </c>
      <c r="O53" s="432" t="str">
        <f t="shared" ref="O53:O84" si="68">$CC53&amp;"; "&amp;$BR53</f>
        <v>(2,1,1,2,1,1); Industry data (French tender)</v>
      </c>
      <c r="P53" s="435">
        <f t="shared" si="58"/>
        <v>3.0944797687861299E-2</v>
      </c>
      <c r="Q53" s="95">
        <v>1</v>
      </c>
      <c r="R53" s="96">
        <f t="shared" si="36"/>
        <v>1.0722009304576894</v>
      </c>
      <c r="S53" s="432" t="str">
        <f t="shared" ref="S53:S84" si="69">$CC53&amp;"; "&amp;$BR53</f>
        <v>(2,1,1,2,1,1); Industry data (French tender)</v>
      </c>
      <c r="T53" s="435">
        <f t="shared" si="59"/>
        <v>3.0944797687861299E-2</v>
      </c>
      <c r="U53" s="95">
        <v>1</v>
      </c>
      <c r="V53" s="96">
        <f t="shared" si="38"/>
        <v>1.0722009304576894</v>
      </c>
      <c r="W53" s="432" t="str">
        <f t="shared" ref="W53:W84" si="70">$CC53&amp;"; "&amp;$BR53</f>
        <v>(2,1,1,2,1,1); Industry data (French tender)</v>
      </c>
      <c r="X53" s="435">
        <f t="shared" si="60"/>
        <v>3.0944797687861299E-2</v>
      </c>
      <c r="Y53" s="95">
        <v>1</v>
      </c>
      <c r="Z53" s="96">
        <f t="shared" si="40"/>
        <v>1.0722009304576894</v>
      </c>
      <c r="AA53" s="432" t="str">
        <f t="shared" ref="AA53:AA84" si="71">$CC53&amp;"; "&amp;$BR53</f>
        <v>(2,1,1,2,1,1); Industry data (French tender)</v>
      </c>
      <c r="AB53" s="435">
        <v>3.5924519230769197E-2</v>
      </c>
      <c r="AC53" s="95">
        <v>1</v>
      </c>
      <c r="AD53" s="96">
        <f t="shared" si="41"/>
        <v>1.0722009304576894</v>
      </c>
      <c r="AE53" s="432" t="str">
        <f t="shared" ref="AE53:AE84" si="72">$CC53&amp;"; "&amp;$BR53</f>
        <v>(2,1,1,2,1,1); Industry data (French tender)</v>
      </c>
      <c r="AF53" s="435">
        <f t="shared" si="61"/>
        <v>3.5924519230769197E-2</v>
      </c>
      <c r="AG53" s="95">
        <v>1</v>
      </c>
      <c r="AH53" s="96">
        <f t="shared" si="43"/>
        <v>1.0722009304576894</v>
      </c>
      <c r="AI53" s="432" t="str">
        <f t="shared" ref="AI53:AI84" si="73">$CC53&amp;"; "&amp;$BR53</f>
        <v>(2,1,1,2,1,1); Industry data (French tender)</v>
      </c>
      <c r="AJ53" s="435">
        <f t="shared" si="62"/>
        <v>3.5924519230769197E-2</v>
      </c>
      <c r="AK53" s="95">
        <v>1</v>
      </c>
      <c r="AL53" s="96">
        <f t="shared" si="45"/>
        <v>1.0722009304576894</v>
      </c>
      <c r="AM53" s="432" t="str">
        <f t="shared" ref="AM53:AM84" si="74">$CC53&amp;"; "&amp;$BR53</f>
        <v>(2,1,1,2,1,1); Industry data (French tender)</v>
      </c>
      <c r="AN53" s="435">
        <f t="shared" si="63"/>
        <v>3.5924519230769197E-2</v>
      </c>
      <c r="AO53" s="95">
        <v>1</v>
      </c>
      <c r="AP53" s="96">
        <f t="shared" si="47"/>
        <v>1.0722009304576894</v>
      </c>
      <c r="AQ53" s="432" t="str">
        <f t="shared" ref="AQ53:AQ84" si="75">$CC53&amp;"; "&amp;$BR53</f>
        <v>(2,1,1,2,1,1); Industry data (French tender)</v>
      </c>
      <c r="AR53" s="435">
        <v>0</v>
      </c>
      <c r="AS53" s="95">
        <v>1</v>
      </c>
      <c r="AT53" s="96">
        <f t="shared" si="48"/>
        <v>1.0722009304576894</v>
      </c>
      <c r="AU53" s="432" t="str">
        <f t="shared" ref="AU53:AU84" si="76">$CC53&amp;"; "&amp;$BR53</f>
        <v>(2,1,1,2,1,1); Industry data (French tender)</v>
      </c>
      <c r="AV53" s="435">
        <f t="shared" si="64"/>
        <v>0</v>
      </c>
      <c r="AW53" s="95">
        <v>1</v>
      </c>
      <c r="AX53" s="96">
        <f t="shared" si="50"/>
        <v>1.0722009304576894</v>
      </c>
      <c r="AY53" s="432" t="str">
        <f t="shared" ref="AY53:AY84" si="77">$CC53&amp;"; "&amp;$BR53</f>
        <v>(2,1,1,2,1,1); Industry data (French tender)</v>
      </c>
      <c r="AZ53" s="435">
        <f t="shared" si="65"/>
        <v>0</v>
      </c>
      <c r="BA53" s="95">
        <v>1</v>
      </c>
      <c r="BB53" s="96">
        <f t="shared" si="52"/>
        <v>1.0722009304576894</v>
      </c>
      <c r="BC53" s="432" t="str">
        <f t="shared" ref="BC53:BC84" si="78">$CC53&amp;"; "&amp;$BR53</f>
        <v>(2,1,1,2,1,1); Industry data (French tender)</v>
      </c>
      <c r="BD53" s="435">
        <f t="shared" si="66"/>
        <v>0</v>
      </c>
      <c r="BE53" s="95">
        <v>1</v>
      </c>
      <c r="BF53" s="96">
        <f t="shared" si="54"/>
        <v>1.0722009304576894</v>
      </c>
      <c r="BG53" s="432" t="str">
        <f t="shared" ref="BG53:BG84" si="79">$CC53&amp;"; "&amp;$BR53</f>
        <v>(2,1,1,2,1,1); Industry data (French tender)</v>
      </c>
      <c r="BH53" s="435">
        <f>BD53</f>
        <v>0</v>
      </c>
      <c r="BI53" s="95">
        <v>1</v>
      </c>
      <c r="BJ53" s="96">
        <f t="shared" si="55"/>
        <v>1.0722009304576894</v>
      </c>
      <c r="BK53" s="432" t="str">
        <f t="shared" ref="BK53:BK84" si="80">$CV53&amp;"; "&amp;$CK53</f>
        <v xml:space="preserve">(na,na,na,na,na,na); </v>
      </c>
      <c r="BL53" s="435">
        <f>BH53</f>
        <v>0</v>
      </c>
      <c r="BM53" s="95">
        <v>1</v>
      </c>
      <c r="BN53" s="96">
        <f t="shared" si="57"/>
        <v>1.0722009304576894</v>
      </c>
      <c r="BO53" s="432" t="str">
        <f t="shared" ref="BO53:BO84" si="81">$CV53&amp;"; "&amp;$CK53</f>
        <v xml:space="preserve">(na,na,na,na,na,na); </v>
      </c>
      <c r="BP53" s="432"/>
      <c r="BQ53" s="112"/>
      <c r="BR53" s="705" t="s">
        <v>462</v>
      </c>
      <c r="BS53" s="77">
        <v>2</v>
      </c>
      <c r="BT53" s="339">
        <v>1</v>
      </c>
      <c r="BU53" s="339">
        <v>1</v>
      </c>
      <c r="BV53" s="339">
        <v>2</v>
      </c>
      <c r="BW53" s="339">
        <v>1</v>
      </c>
      <c r="BX53" s="339">
        <v>1</v>
      </c>
      <c r="BY53" s="104">
        <v>3</v>
      </c>
      <c r="BZ53" s="104">
        <v>1.05</v>
      </c>
      <c r="CA53" s="104">
        <f t="shared" ref="CA53:CA84" si="82">EXP(SQRT((LN(CD53)^2)+(LN(CE53)^2)+(LN(CF53)^2)+(LN(CG53)^2)+(LN(CH53)^2)+(LN(CI53)^2)))</f>
        <v>1.0510550504206344</v>
      </c>
      <c r="CB53" s="107">
        <f t="shared" si="30"/>
        <v>1.0722009304576894</v>
      </c>
      <c r="CC53" s="107" t="str">
        <f t="shared" ref="CC53:CC84" si="83">CONCATENATE("(",BS53,",",BT53,",",BU53,",",BV53,",",BW53,",",BX53,")")</f>
        <v>(2,1,1,2,1,1)</v>
      </c>
      <c r="CD53" s="108">
        <v>1.05</v>
      </c>
      <c r="CE53" s="108">
        <v>1</v>
      </c>
      <c r="CF53" s="108">
        <v>1</v>
      </c>
      <c r="CG53" s="108">
        <v>1.01</v>
      </c>
      <c r="CH53" s="108">
        <v>1</v>
      </c>
      <c r="CI53" s="108">
        <v>1</v>
      </c>
      <c r="CK53" s="111"/>
      <c r="CL53" s="77" t="s">
        <v>106</v>
      </c>
      <c r="CM53" s="339" t="s">
        <v>106</v>
      </c>
      <c r="CN53" s="339" t="s">
        <v>106</v>
      </c>
      <c r="CO53" s="339" t="s">
        <v>106</v>
      </c>
      <c r="CP53" s="339" t="s">
        <v>106</v>
      </c>
      <c r="CQ53" s="339" t="s">
        <v>106</v>
      </c>
      <c r="CR53" s="104">
        <v>3</v>
      </c>
      <c r="CS53" s="104">
        <v>1.05</v>
      </c>
      <c r="CT53" s="104">
        <f t="shared" ref="CT53:CT84" si="84">EXP(SQRT((LN(CW53)^2)+(LN(CX53)^2)+(LN(CY53)^2)+(LN(CZ53)^2)+(LN(DA53)^2)+(LN(DB53)^2)))</f>
        <v>1</v>
      </c>
      <c r="CU53" s="107">
        <f t="shared" si="33"/>
        <v>1.05</v>
      </c>
      <c r="CV53" s="107" t="str">
        <f t="shared" ref="CV53:CV84" si="85">CONCATENATE("(",CL53,",",CM53,",",CN53,",",CO53,",",CP53,",",CQ53,")")</f>
        <v>(na,na,na,na,na,na)</v>
      </c>
      <c r="CW53" s="108">
        <v>1</v>
      </c>
      <c r="CX53" s="108">
        <v>1</v>
      </c>
      <c r="CY53" s="108">
        <v>1</v>
      </c>
      <c r="CZ53" s="108">
        <v>1</v>
      </c>
      <c r="DA53" s="108">
        <v>1</v>
      </c>
      <c r="DB53" s="108">
        <v>1</v>
      </c>
    </row>
    <row r="54" spans="1:106" ht="24">
      <c r="A54" s="330">
        <v>266445</v>
      </c>
      <c r="B54" s="331"/>
      <c r="C54" s="88"/>
      <c r="D54" s="340">
        <v>5</v>
      </c>
      <c r="E54" s="341" t="s">
        <v>98</v>
      </c>
      <c r="F54" s="432" t="s">
        <v>496</v>
      </c>
      <c r="G54" s="433" t="s">
        <v>93</v>
      </c>
      <c r="H54" s="434" t="s">
        <v>98</v>
      </c>
      <c r="I54" s="434" t="s">
        <v>98</v>
      </c>
      <c r="J54" s="94">
        <v>0</v>
      </c>
      <c r="K54" s="433" t="s">
        <v>96</v>
      </c>
      <c r="L54" s="435">
        <v>0</v>
      </c>
      <c r="M54" s="95">
        <v>1</v>
      </c>
      <c r="N54" s="96">
        <f t="shared" si="67"/>
        <v>1.0722009304576894</v>
      </c>
      <c r="O54" s="432" t="str">
        <f t="shared" si="68"/>
        <v>(2,1,1,2,1,1); Industry data (French tender)</v>
      </c>
      <c r="P54" s="435">
        <f t="shared" si="58"/>
        <v>0</v>
      </c>
      <c r="Q54" s="95">
        <v>1</v>
      </c>
      <c r="R54" s="96">
        <f t="shared" si="36"/>
        <v>1.0722009304576894</v>
      </c>
      <c r="S54" s="432" t="str">
        <f t="shared" si="69"/>
        <v>(2,1,1,2,1,1); Industry data (French tender)</v>
      </c>
      <c r="T54" s="435">
        <f t="shared" si="59"/>
        <v>0</v>
      </c>
      <c r="U54" s="95">
        <v>1</v>
      </c>
      <c r="V54" s="96">
        <f t="shared" si="38"/>
        <v>1.0722009304576894</v>
      </c>
      <c r="W54" s="432" t="str">
        <f t="shared" si="70"/>
        <v>(2,1,1,2,1,1); Industry data (French tender)</v>
      </c>
      <c r="X54" s="435">
        <f t="shared" si="60"/>
        <v>0</v>
      </c>
      <c r="Y54" s="95">
        <v>1</v>
      </c>
      <c r="Z54" s="96">
        <f t="shared" si="40"/>
        <v>1.0722009304576894</v>
      </c>
      <c r="AA54" s="432" t="str">
        <f t="shared" si="71"/>
        <v>(2,1,1,2,1,1); Industry data (French tender)</v>
      </c>
      <c r="AB54" s="435">
        <v>5.0306923076923101E-5</v>
      </c>
      <c r="AC54" s="95">
        <v>1</v>
      </c>
      <c r="AD54" s="96">
        <f t="shared" si="41"/>
        <v>1.0722009304576894</v>
      </c>
      <c r="AE54" s="432" t="str">
        <f t="shared" si="72"/>
        <v>(2,1,1,2,1,1); Industry data (French tender)</v>
      </c>
      <c r="AF54" s="435">
        <f t="shared" si="61"/>
        <v>5.0306923076923101E-5</v>
      </c>
      <c r="AG54" s="95">
        <v>1</v>
      </c>
      <c r="AH54" s="96">
        <f t="shared" si="43"/>
        <v>1.0722009304576894</v>
      </c>
      <c r="AI54" s="432" t="str">
        <f t="shared" si="73"/>
        <v>(2,1,1,2,1,1); Industry data (French tender)</v>
      </c>
      <c r="AJ54" s="435">
        <f t="shared" si="62"/>
        <v>5.0306923076923101E-5</v>
      </c>
      <c r="AK54" s="95">
        <v>1</v>
      </c>
      <c r="AL54" s="96">
        <f t="shared" si="45"/>
        <v>1.0722009304576894</v>
      </c>
      <c r="AM54" s="432" t="str">
        <f t="shared" si="74"/>
        <v>(2,1,1,2,1,1); Industry data (French tender)</v>
      </c>
      <c r="AN54" s="435">
        <f t="shared" si="63"/>
        <v>5.0306923076923101E-5</v>
      </c>
      <c r="AO54" s="95">
        <v>1</v>
      </c>
      <c r="AP54" s="96">
        <f t="shared" si="47"/>
        <v>1.0722009304576894</v>
      </c>
      <c r="AQ54" s="432" t="str">
        <f t="shared" si="75"/>
        <v>(2,1,1,2,1,1); Industry data (French tender)</v>
      </c>
      <c r="AR54" s="435">
        <v>0</v>
      </c>
      <c r="AS54" s="95">
        <v>1</v>
      </c>
      <c r="AT54" s="96">
        <f t="shared" si="48"/>
        <v>1.0722009304576894</v>
      </c>
      <c r="AU54" s="432" t="str">
        <f t="shared" si="76"/>
        <v>(2,1,1,2,1,1); Industry data (French tender)</v>
      </c>
      <c r="AV54" s="435">
        <f t="shared" si="64"/>
        <v>0</v>
      </c>
      <c r="AW54" s="95">
        <v>1</v>
      </c>
      <c r="AX54" s="96">
        <f t="shared" si="50"/>
        <v>1.0722009304576894</v>
      </c>
      <c r="AY54" s="432" t="str">
        <f t="shared" si="77"/>
        <v>(2,1,1,2,1,1); Industry data (French tender)</v>
      </c>
      <c r="AZ54" s="435">
        <f t="shared" si="65"/>
        <v>0</v>
      </c>
      <c r="BA54" s="95">
        <v>1</v>
      </c>
      <c r="BB54" s="96">
        <f t="shared" si="52"/>
        <v>1.0722009304576894</v>
      </c>
      <c r="BC54" s="432" t="str">
        <f t="shared" si="78"/>
        <v>(2,1,1,2,1,1); Industry data (French tender)</v>
      </c>
      <c r="BD54" s="435">
        <f t="shared" si="66"/>
        <v>0</v>
      </c>
      <c r="BE54" s="95">
        <v>1</v>
      </c>
      <c r="BF54" s="96">
        <f t="shared" si="54"/>
        <v>1.0722009304576894</v>
      </c>
      <c r="BG54" s="432" t="str">
        <f t="shared" si="79"/>
        <v>(2,1,1,2,1,1); Industry data (French tender)</v>
      </c>
      <c r="BH54" s="435">
        <f>BD54</f>
        <v>0</v>
      </c>
      <c r="BI54" s="95">
        <v>1</v>
      </c>
      <c r="BJ54" s="96">
        <f t="shared" si="55"/>
        <v>1.0722009304576894</v>
      </c>
      <c r="BK54" s="432" t="str">
        <f t="shared" si="80"/>
        <v xml:space="preserve">(na,na,na,na,na,na); </v>
      </c>
      <c r="BL54" s="435">
        <f>BH54</f>
        <v>0</v>
      </c>
      <c r="BM54" s="95">
        <v>1</v>
      </c>
      <c r="BN54" s="96">
        <f t="shared" si="57"/>
        <v>1.0722009304576894</v>
      </c>
      <c r="BO54" s="432" t="str">
        <f t="shared" si="81"/>
        <v xml:space="preserve">(na,na,na,na,na,na); </v>
      </c>
      <c r="BP54" s="432"/>
      <c r="BQ54" s="112"/>
      <c r="BR54" s="705" t="s">
        <v>462</v>
      </c>
      <c r="BS54" s="77">
        <v>2</v>
      </c>
      <c r="BT54" s="339">
        <v>1</v>
      </c>
      <c r="BU54" s="339">
        <v>1</v>
      </c>
      <c r="BV54" s="339">
        <v>2</v>
      </c>
      <c r="BW54" s="339">
        <v>1</v>
      </c>
      <c r="BX54" s="339">
        <v>1</v>
      </c>
      <c r="BY54" s="104">
        <v>3</v>
      </c>
      <c r="BZ54" s="104">
        <v>1.05</v>
      </c>
      <c r="CA54" s="104">
        <f t="shared" si="82"/>
        <v>1.0510550504206344</v>
      </c>
      <c r="CB54" s="107">
        <f t="shared" si="30"/>
        <v>1.0722009304576894</v>
      </c>
      <c r="CC54" s="107" t="str">
        <f t="shared" si="83"/>
        <v>(2,1,1,2,1,1)</v>
      </c>
      <c r="CD54" s="108">
        <v>1.05</v>
      </c>
      <c r="CE54" s="108">
        <v>1</v>
      </c>
      <c r="CF54" s="108">
        <v>1</v>
      </c>
      <c r="CG54" s="108">
        <v>1.01</v>
      </c>
      <c r="CH54" s="108">
        <v>1</v>
      </c>
      <c r="CI54" s="108">
        <v>1</v>
      </c>
      <c r="CK54" s="111"/>
      <c r="CL54" s="77" t="s">
        <v>106</v>
      </c>
      <c r="CM54" s="339" t="s">
        <v>106</v>
      </c>
      <c r="CN54" s="339" t="s">
        <v>106</v>
      </c>
      <c r="CO54" s="339" t="s">
        <v>106</v>
      </c>
      <c r="CP54" s="339" t="s">
        <v>106</v>
      </c>
      <c r="CQ54" s="339" t="s">
        <v>106</v>
      </c>
      <c r="CR54" s="104">
        <v>3</v>
      </c>
      <c r="CS54" s="104">
        <v>1.05</v>
      </c>
      <c r="CT54" s="104">
        <f t="shared" si="84"/>
        <v>1</v>
      </c>
      <c r="CU54" s="107">
        <f t="shared" si="33"/>
        <v>1.05</v>
      </c>
      <c r="CV54" s="107" t="str">
        <f t="shared" si="85"/>
        <v>(na,na,na,na,na,na)</v>
      </c>
      <c r="CW54" s="108">
        <v>1</v>
      </c>
      <c r="CX54" s="108">
        <v>1</v>
      </c>
      <c r="CY54" s="108">
        <v>1</v>
      </c>
      <c r="CZ54" s="108">
        <v>1</v>
      </c>
      <c r="DA54" s="108">
        <v>1</v>
      </c>
      <c r="DB54" s="108">
        <v>1</v>
      </c>
    </row>
    <row r="55" spans="1:106" ht="36">
      <c r="A55" s="330">
        <v>269641</v>
      </c>
      <c r="B55" s="331" t="s">
        <v>322</v>
      </c>
      <c r="C55" s="88"/>
      <c r="D55" s="340">
        <v>5</v>
      </c>
      <c r="E55" s="341" t="s">
        <v>98</v>
      </c>
      <c r="F55" s="432" t="s">
        <v>240</v>
      </c>
      <c r="G55" s="433" t="s">
        <v>93</v>
      </c>
      <c r="H55" s="434" t="s">
        <v>98</v>
      </c>
      <c r="I55" s="434" t="s">
        <v>98</v>
      </c>
      <c r="J55" s="94">
        <v>0</v>
      </c>
      <c r="K55" s="433" t="s">
        <v>115</v>
      </c>
      <c r="L55" s="435">
        <f>2000*L21/1000+100*(L25/0.3+L30/0.5+SUM(L31:L38)+L51+L53+L52*25)/1000+500*SUM(L65:L67)/1000</f>
        <v>2.8649495100538118</v>
      </c>
      <c r="M55" s="95">
        <v>1</v>
      </c>
      <c r="N55" s="96">
        <f t="shared" si="67"/>
        <v>2.0949941301068096</v>
      </c>
      <c r="O55" s="432" t="str">
        <f t="shared" si="68"/>
        <v>(4,5,na,na,na,na); Transport distance MG-Si: 2000 km; Chemicals: 100 km; Disposal: 500km</v>
      </c>
      <c r="P55" s="435">
        <f t="shared" si="58"/>
        <v>2.8649495100538118</v>
      </c>
      <c r="Q55" s="95">
        <v>1</v>
      </c>
      <c r="R55" s="96">
        <f t="shared" si="36"/>
        <v>2.0949941301068096</v>
      </c>
      <c r="S55" s="432" t="str">
        <f t="shared" si="69"/>
        <v>(4,5,na,na,na,na); Transport distance MG-Si: 2000 km; Chemicals: 100 km; Disposal: 500km</v>
      </c>
      <c r="T55" s="435">
        <f t="shared" si="59"/>
        <v>2.8649495100538118</v>
      </c>
      <c r="U55" s="95">
        <v>1</v>
      </c>
      <c r="V55" s="96">
        <f t="shared" si="38"/>
        <v>2.0949941301068096</v>
      </c>
      <c r="W55" s="432" t="str">
        <f t="shared" si="70"/>
        <v>(4,5,na,na,na,na); Transport distance MG-Si: 2000 km; Chemicals: 100 km; Disposal: 500km</v>
      </c>
      <c r="X55" s="435">
        <f t="shared" si="60"/>
        <v>2.8649495100538118</v>
      </c>
      <c r="Y55" s="95">
        <v>1</v>
      </c>
      <c r="Z55" s="96">
        <f t="shared" si="40"/>
        <v>2.0949941301068096</v>
      </c>
      <c r="AA55" s="432" t="str">
        <f t="shared" si="71"/>
        <v>(4,5,na,na,na,na); Transport distance MG-Si: 2000 km; Chemicals: 100 km; Disposal: 500km</v>
      </c>
      <c r="AB55" s="435">
        <f>2000*AB21/1000+100*(AB25/0.3+AB30/0.5+SUM(AB31:AB38)+AB51+SUM(AB53:AB54)+AB52*25)/1000+500*SUM(AB65:AB67)/1000</f>
        <v>2.4695582734959638</v>
      </c>
      <c r="AC55" s="95">
        <v>1</v>
      </c>
      <c r="AD55" s="96">
        <f t="shared" si="41"/>
        <v>2.0949941301068096</v>
      </c>
      <c r="AE55" s="432" t="str">
        <f t="shared" si="72"/>
        <v>(4,5,na,na,na,na); Transport distance MG-Si: 2000 km; Chemicals: 100 km; Disposal: 500km</v>
      </c>
      <c r="AF55" s="435">
        <f t="shared" si="61"/>
        <v>2.4695582734959638</v>
      </c>
      <c r="AG55" s="95">
        <v>1</v>
      </c>
      <c r="AH55" s="96">
        <f t="shared" si="43"/>
        <v>2.0949941301068096</v>
      </c>
      <c r="AI55" s="432" t="str">
        <f t="shared" si="73"/>
        <v>(4,5,na,na,na,na); Transport distance MG-Si: 2000 km; Chemicals: 100 km; Disposal: 500km</v>
      </c>
      <c r="AJ55" s="435">
        <f t="shared" si="62"/>
        <v>2.4695582734959638</v>
      </c>
      <c r="AK55" s="95">
        <v>1</v>
      </c>
      <c r="AL55" s="96">
        <f t="shared" si="45"/>
        <v>2.0949941301068096</v>
      </c>
      <c r="AM55" s="432" t="str">
        <f t="shared" si="74"/>
        <v>(4,5,na,na,na,na); Transport distance MG-Si: 2000 km; Chemicals: 100 km; Disposal: 500km</v>
      </c>
      <c r="AN55" s="435">
        <f t="shared" si="63"/>
        <v>2.4695582734959638</v>
      </c>
      <c r="AO55" s="95">
        <v>1</v>
      </c>
      <c r="AP55" s="96">
        <f t="shared" si="47"/>
        <v>2.0949941301068096</v>
      </c>
      <c r="AQ55" s="432" t="str">
        <f t="shared" si="75"/>
        <v>(4,5,na,na,na,na); Transport distance MG-Si: 2000 km; Chemicals: 100 km; Disposal: 500km</v>
      </c>
      <c r="AR55" s="435">
        <f>2000*AR21/1000+100*(AR25/0.3+AR30/0.5+SUM(AR26:AR29)+SUM(AR37:AR38)+AR51)/1000+500*SUM(AR65:AR68)/1000</f>
        <v>0.10114454633750136</v>
      </c>
      <c r="AS55" s="95">
        <v>1</v>
      </c>
      <c r="AT55" s="96">
        <f t="shared" si="48"/>
        <v>2.0949941301068096</v>
      </c>
      <c r="AU55" s="432" t="str">
        <f t="shared" si="76"/>
        <v>(4,5,na,na,na,na); Transport distance MG-Si: 2000 km; Chemicals: 100 km; Disposal: 500km</v>
      </c>
      <c r="AV55" s="435">
        <f t="shared" si="64"/>
        <v>0.10114454633750136</v>
      </c>
      <c r="AW55" s="95">
        <v>1</v>
      </c>
      <c r="AX55" s="96">
        <f t="shared" si="50"/>
        <v>2.0949941301068096</v>
      </c>
      <c r="AY55" s="432" t="str">
        <f t="shared" si="77"/>
        <v>(4,5,na,na,na,na); Transport distance MG-Si: 2000 km; Chemicals: 100 km; Disposal: 500km</v>
      </c>
      <c r="AZ55" s="435">
        <f t="shared" si="65"/>
        <v>0.10114454633750136</v>
      </c>
      <c r="BA55" s="95">
        <v>1</v>
      </c>
      <c r="BB55" s="96">
        <f t="shared" si="52"/>
        <v>2.0949941301068096</v>
      </c>
      <c r="BC55" s="432" t="str">
        <f t="shared" si="78"/>
        <v>(4,5,na,na,na,na); Transport distance MG-Si: 2000 km; Chemicals: 100 km; Disposal: 500km</v>
      </c>
      <c r="BD55" s="435">
        <f t="shared" si="66"/>
        <v>0.10114454633750136</v>
      </c>
      <c r="BE55" s="95">
        <v>1</v>
      </c>
      <c r="BF55" s="96">
        <f t="shared" si="54"/>
        <v>2.0949941301068096</v>
      </c>
      <c r="BG55" s="432" t="str">
        <f t="shared" si="79"/>
        <v>(4,5,na,na,na,na); Transport distance MG-Si: 2000 km; Chemicals: 100 km; Disposal: 500km</v>
      </c>
      <c r="BH55" s="435">
        <f>2000*BH21/1000+100*(BH30/0.5+SUM(BH31:BH38))/1000</f>
        <v>2.1120999999999999</v>
      </c>
      <c r="BI55" s="95">
        <v>1</v>
      </c>
      <c r="BJ55" s="96">
        <f t="shared" si="55"/>
        <v>2.0949941301068096</v>
      </c>
      <c r="BK55" s="432" t="str">
        <f t="shared" si="80"/>
        <v>(4,5,na,na,na,na); Transport distance MG-Si: 2000 km; Chemicals: 100 km</v>
      </c>
      <c r="BL55" s="435">
        <f>2000*BL22/1000+100*(BL30/0.5+SUM(BL31:BL38))/1000</f>
        <v>2.1120999999999999</v>
      </c>
      <c r="BM55" s="95">
        <v>1</v>
      </c>
      <c r="BN55" s="96">
        <f t="shared" si="57"/>
        <v>2.0949941301068096</v>
      </c>
      <c r="BO55" s="432" t="str">
        <f t="shared" si="81"/>
        <v>(4,5,na,na,na,na); Transport distance MG-Si: 2000 km; Chemicals: 100 km</v>
      </c>
      <c r="BP55" s="432"/>
      <c r="BQ55" s="112"/>
      <c r="BR55" s="705" t="s">
        <v>497</v>
      </c>
      <c r="BS55" s="77">
        <v>4</v>
      </c>
      <c r="BT55" s="339">
        <v>5</v>
      </c>
      <c r="BU55" s="339" t="s">
        <v>106</v>
      </c>
      <c r="BV55" s="339" t="s">
        <v>106</v>
      </c>
      <c r="BW55" s="339" t="s">
        <v>106</v>
      </c>
      <c r="BX55" s="339" t="s">
        <v>106</v>
      </c>
      <c r="BY55" s="104">
        <v>5</v>
      </c>
      <c r="BZ55" s="104">
        <v>2</v>
      </c>
      <c r="CA55" s="104">
        <f t="shared" si="82"/>
        <v>1.2941338353151037</v>
      </c>
      <c r="CB55" s="107">
        <f t="shared" si="30"/>
        <v>2.0949941301068096</v>
      </c>
      <c r="CC55" s="107" t="str">
        <f t="shared" si="83"/>
        <v>(4,5,na,na,na,na)</v>
      </c>
      <c r="CD55" s="108">
        <v>1.2</v>
      </c>
      <c r="CE55" s="108">
        <v>1.2</v>
      </c>
      <c r="CF55" s="108">
        <v>1</v>
      </c>
      <c r="CG55" s="108">
        <v>1</v>
      </c>
      <c r="CH55" s="108">
        <v>1</v>
      </c>
      <c r="CI55" s="108">
        <v>1</v>
      </c>
      <c r="CK55" s="111" t="s">
        <v>498</v>
      </c>
      <c r="CL55" s="77">
        <v>4</v>
      </c>
      <c r="CM55" s="339">
        <v>5</v>
      </c>
      <c r="CN55" s="339" t="s">
        <v>106</v>
      </c>
      <c r="CO55" s="339" t="s">
        <v>106</v>
      </c>
      <c r="CP55" s="339" t="s">
        <v>106</v>
      </c>
      <c r="CQ55" s="339" t="s">
        <v>106</v>
      </c>
      <c r="CR55" s="104">
        <v>5</v>
      </c>
      <c r="CS55" s="104">
        <v>2</v>
      </c>
      <c r="CT55" s="104">
        <f t="shared" si="84"/>
        <v>1.2941338353151037</v>
      </c>
      <c r="CU55" s="107">
        <f t="shared" si="33"/>
        <v>2.0949941301068096</v>
      </c>
      <c r="CV55" s="107" t="str">
        <f t="shared" si="85"/>
        <v>(4,5,na,na,na,na)</v>
      </c>
      <c r="CW55" s="108">
        <v>1.2</v>
      </c>
      <c r="CX55" s="108">
        <v>1.2</v>
      </c>
      <c r="CY55" s="108">
        <v>1</v>
      </c>
      <c r="CZ55" s="108">
        <v>1</v>
      </c>
      <c r="DA55" s="108">
        <v>1</v>
      </c>
      <c r="DB55" s="108">
        <v>1</v>
      </c>
    </row>
    <row r="56" spans="1:106" ht="24">
      <c r="A56" s="330">
        <v>160371</v>
      </c>
      <c r="B56" s="331"/>
      <c r="C56" s="88"/>
      <c r="D56" s="340">
        <v>5</v>
      </c>
      <c r="E56" s="341" t="s">
        <v>98</v>
      </c>
      <c r="F56" s="432" t="s">
        <v>242</v>
      </c>
      <c r="G56" s="433" t="s">
        <v>93</v>
      </c>
      <c r="H56" s="434" t="s">
        <v>98</v>
      </c>
      <c r="I56" s="434" t="s">
        <v>98</v>
      </c>
      <c r="J56" s="94">
        <v>0</v>
      </c>
      <c r="K56" s="433" t="s">
        <v>115</v>
      </c>
      <c r="L56" s="435">
        <f>600*(L25/0.3+L30/0.5+SUM(L31:L38)+L51+L53+L52*25)/1000</f>
        <v>1.7803601672593443</v>
      </c>
      <c r="M56" s="95">
        <v>1</v>
      </c>
      <c r="N56" s="96">
        <f t="shared" si="67"/>
        <v>2.0949941301068096</v>
      </c>
      <c r="O56" s="432" t="str">
        <f t="shared" si="68"/>
        <v>(4,5,na,na,na,na); Transport distance chemicals: 600 km</v>
      </c>
      <c r="P56" s="435">
        <f t="shared" si="58"/>
        <v>1.7803601672593443</v>
      </c>
      <c r="Q56" s="95">
        <v>1</v>
      </c>
      <c r="R56" s="96">
        <f t="shared" si="36"/>
        <v>2.0949941301068096</v>
      </c>
      <c r="S56" s="432" t="str">
        <f t="shared" si="69"/>
        <v>(4,5,na,na,na,na); Transport distance chemicals: 600 km</v>
      </c>
      <c r="T56" s="435">
        <f t="shared" si="59"/>
        <v>1.7803601672593443</v>
      </c>
      <c r="U56" s="95">
        <v>1</v>
      </c>
      <c r="V56" s="96">
        <f t="shared" si="38"/>
        <v>2.0949941301068096</v>
      </c>
      <c r="W56" s="432" t="str">
        <f t="shared" si="70"/>
        <v>(4,5,na,na,na,na); Transport distance chemicals: 600 km</v>
      </c>
      <c r="X56" s="435">
        <f t="shared" si="60"/>
        <v>1.7803601672593443</v>
      </c>
      <c r="Y56" s="95">
        <v>1</v>
      </c>
      <c r="Z56" s="96">
        <f t="shared" si="40"/>
        <v>2.0949941301068096</v>
      </c>
      <c r="AA56" s="432" t="str">
        <f t="shared" si="71"/>
        <v>(4,5,na,na,na,na); Transport distance chemicals: 600 km</v>
      </c>
      <c r="AB56" s="435">
        <f>600*(AB25/0.3+AB30/0.5+SUM(AB33:AB38)+AB51+SUM(AB53:AB54)+AB52*25)/1000</f>
        <v>0.82118668778659432</v>
      </c>
      <c r="AC56" s="95">
        <v>1</v>
      </c>
      <c r="AD56" s="96">
        <f t="shared" si="41"/>
        <v>2.0949941301068096</v>
      </c>
      <c r="AE56" s="432" t="str">
        <f t="shared" si="72"/>
        <v>(4,5,na,na,na,na); Transport distance chemicals: 600 km</v>
      </c>
      <c r="AF56" s="440">
        <f t="shared" si="61"/>
        <v>0.82118668778659432</v>
      </c>
      <c r="AG56" s="95">
        <v>1</v>
      </c>
      <c r="AH56" s="96">
        <f t="shared" si="43"/>
        <v>2.0949941301068096</v>
      </c>
      <c r="AI56" s="432" t="str">
        <f t="shared" si="73"/>
        <v>(4,5,na,na,na,na); Transport distance chemicals: 600 km</v>
      </c>
      <c r="AJ56" s="435">
        <f t="shared" si="62"/>
        <v>0.82118668778659432</v>
      </c>
      <c r="AK56" s="95">
        <v>1</v>
      </c>
      <c r="AL56" s="96">
        <f t="shared" si="45"/>
        <v>2.0949941301068096</v>
      </c>
      <c r="AM56" s="432" t="str">
        <f t="shared" si="74"/>
        <v>(4,5,na,na,na,na); Transport distance chemicals: 600 km</v>
      </c>
      <c r="AN56" s="435">
        <f t="shared" si="63"/>
        <v>0.82118668778659432</v>
      </c>
      <c r="AO56" s="95">
        <v>1</v>
      </c>
      <c r="AP56" s="96">
        <f t="shared" si="47"/>
        <v>2.0949941301068096</v>
      </c>
      <c r="AQ56" s="432" t="str">
        <f t="shared" si="75"/>
        <v>(4,5,na,na,na,na); Transport distance chemicals: 600 km</v>
      </c>
      <c r="AR56" s="435">
        <f>600*(AR25/0.3+SUM(AR26:AR29)+AR30/0.5+SUM(AR37:AR38)+AR51)/1000</f>
        <v>0.38152536863550263</v>
      </c>
      <c r="AS56" s="95">
        <v>1</v>
      </c>
      <c r="AT56" s="96">
        <f t="shared" si="48"/>
        <v>2.0949941301068096</v>
      </c>
      <c r="AU56" s="432" t="str">
        <f t="shared" si="76"/>
        <v>(4,5,na,na,na,na); Transport distance chemicals: 600 km</v>
      </c>
      <c r="AV56" s="435">
        <f t="shared" si="64"/>
        <v>0.38152536863550263</v>
      </c>
      <c r="AW56" s="95">
        <v>1</v>
      </c>
      <c r="AX56" s="96">
        <f t="shared" si="50"/>
        <v>2.0949941301068096</v>
      </c>
      <c r="AY56" s="432" t="str">
        <f t="shared" si="77"/>
        <v>(4,5,na,na,na,na); Transport distance chemicals: 600 km</v>
      </c>
      <c r="AZ56" s="435">
        <f t="shared" si="65"/>
        <v>0.38152536863550263</v>
      </c>
      <c r="BA56" s="95">
        <v>1</v>
      </c>
      <c r="BB56" s="96">
        <f t="shared" si="52"/>
        <v>2.0949941301068096</v>
      </c>
      <c r="BC56" s="432" t="str">
        <f t="shared" si="78"/>
        <v>(4,5,na,na,na,na); Transport distance chemicals: 600 km</v>
      </c>
      <c r="BD56" s="435">
        <f t="shared" si="66"/>
        <v>0.38152536863550263</v>
      </c>
      <c r="BE56" s="95">
        <v>1</v>
      </c>
      <c r="BF56" s="96">
        <f t="shared" si="54"/>
        <v>2.0949941301068096</v>
      </c>
      <c r="BG56" s="432" t="str">
        <f t="shared" si="79"/>
        <v>(4,5,na,na,na,na); Transport distance chemicals: 600 km</v>
      </c>
      <c r="BH56" s="435">
        <f>600*(BH30/0.5+SUM(BH31:BH38))/1000</f>
        <v>0.12060000000000001</v>
      </c>
      <c r="BI56" s="95">
        <v>1</v>
      </c>
      <c r="BJ56" s="96">
        <f t="shared" si="55"/>
        <v>2.0949941301068096</v>
      </c>
      <c r="BK56" s="432" t="str">
        <f t="shared" si="80"/>
        <v>(4,5,na,na,na,na); Transport distance chemicals: 600 km</v>
      </c>
      <c r="BL56" s="435">
        <f>600*(BL30/0.5+SUM(BL31:BL38))/1000</f>
        <v>0.12060000000000001</v>
      </c>
      <c r="BM56" s="95">
        <v>1</v>
      </c>
      <c r="BN56" s="96">
        <f t="shared" si="57"/>
        <v>2.0949941301068096</v>
      </c>
      <c r="BO56" s="432" t="str">
        <f t="shared" si="81"/>
        <v>(4,5,na,na,na,na); Transport distance chemicals: 600 km</v>
      </c>
      <c r="BP56" s="432"/>
      <c r="BQ56" s="112"/>
      <c r="BR56" s="705" t="s">
        <v>499</v>
      </c>
      <c r="BS56" s="77">
        <v>4</v>
      </c>
      <c r="BT56" s="339">
        <v>5</v>
      </c>
      <c r="BU56" s="339" t="s">
        <v>106</v>
      </c>
      <c r="BV56" s="339" t="s">
        <v>106</v>
      </c>
      <c r="BW56" s="339" t="s">
        <v>106</v>
      </c>
      <c r="BX56" s="339" t="s">
        <v>106</v>
      </c>
      <c r="BY56" s="104">
        <v>5</v>
      </c>
      <c r="BZ56" s="104">
        <v>2</v>
      </c>
      <c r="CA56" s="104">
        <f t="shared" si="82"/>
        <v>1.2941338353151037</v>
      </c>
      <c r="CB56" s="107">
        <f t="shared" si="30"/>
        <v>2.0949941301068096</v>
      </c>
      <c r="CC56" s="107" t="str">
        <f t="shared" si="83"/>
        <v>(4,5,na,na,na,na)</v>
      </c>
      <c r="CD56" s="108">
        <v>1.2</v>
      </c>
      <c r="CE56" s="108">
        <v>1.2</v>
      </c>
      <c r="CF56" s="108">
        <v>1</v>
      </c>
      <c r="CG56" s="108">
        <v>1</v>
      </c>
      <c r="CH56" s="108">
        <v>1</v>
      </c>
      <c r="CI56" s="108">
        <v>1</v>
      </c>
      <c r="CK56" s="111" t="s">
        <v>499</v>
      </c>
      <c r="CL56" s="77">
        <v>4</v>
      </c>
      <c r="CM56" s="339">
        <v>5</v>
      </c>
      <c r="CN56" s="339" t="s">
        <v>106</v>
      </c>
      <c r="CO56" s="339" t="s">
        <v>106</v>
      </c>
      <c r="CP56" s="339" t="s">
        <v>106</v>
      </c>
      <c r="CQ56" s="339" t="s">
        <v>106</v>
      </c>
      <c r="CR56" s="104">
        <v>5</v>
      </c>
      <c r="CS56" s="104">
        <v>2</v>
      </c>
      <c r="CT56" s="104">
        <f t="shared" si="84"/>
        <v>1.2941338353151037</v>
      </c>
      <c r="CU56" s="107">
        <f t="shared" si="33"/>
        <v>2.0949941301068096</v>
      </c>
      <c r="CV56" s="107" t="str">
        <f t="shared" si="85"/>
        <v>(4,5,na,na,na,na)</v>
      </c>
      <c r="CW56" s="108">
        <v>1.2</v>
      </c>
      <c r="CX56" s="108">
        <v>1.2</v>
      </c>
      <c r="CY56" s="108">
        <v>1</v>
      </c>
      <c r="CZ56" s="108">
        <v>1</v>
      </c>
      <c r="DA56" s="108">
        <v>1</v>
      </c>
      <c r="DB56" s="108">
        <v>1</v>
      </c>
    </row>
    <row r="57" spans="1:106" ht="24">
      <c r="A57" s="330">
        <v>73586</v>
      </c>
      <c r="B57" s="331" t="s">
        <v>500</v>
      </c>
      <c r="C57" s="88"/>
      <c r="D57" s="340">
        <v>5</v>
      </c>
      <c r="E57" s="341" t="s">
        <v>98</v>
      </c>
      <c r="F57" s="432" t="s">
        <v>376</v>
      </c>
      <c r="G57" s="433" t="s">
        <v>336</v>
      </c>
      <c r="H57" s="434" t="s">
        <v>98</v>
      </c>
      <c r="I57" s="434" t="s">
        <v>98</v>
      </c>
      <c r="J57" s="94">
        <v>0</v>
      </c>
      <c r="K57" s="433" t="s">
        <v>109</v>
      </c>
      <c r="L57" s="435">
        <v>52.661464354527901</v>
      </c>
      <c r="M57" s="95">
        <v>1</v>
      </c>
      <c r="N57" s="96">
        <f t="shared" si="67"/>
        <v>1.0722009304576894</v>
      </c>
      <c r="O57" s="432" t="str">
        <f t="shared" si="68"/>
        <v>(2,1,1,2,1,1); Industry data (French tender), NO iso CN</v>
      </c>
      <c r="P57" s="435">
        <v>0</v>
      </c>
      <c r="Q57" s="95">
        <v>1</v>
      </c>
      <c r="R57" s="96">
        <f t="shared" si="36"/>
        <v>1.0722009304576894</v>
      </c>
      <c r="S57" s="432" t="str">
        <f t="shared" si="69"/>
        <v>(2,1,1,2,1,1); Industry data (French tender), NO iso CN</v>
      </c>
      <c r="T57" s="435">
        <v>0</v>
      </c>
      <c r="U57" s="95">
        <v>1</v>
      </c>
      <c r="V57" s="96">
        <f t="shared" si="38"/>
        <v>1.0722009304576894</v>
      </c>
      <c r="W57" s="432" t="str">
        <f t="shared" si="70"/>
        <v>(2,1,1,2,1,1); Industry data (French tender), NO iso CN</v>
      </c>
      <c r="X57" s="435">
        <v>0</v>
      </c>
      <c r="Y57" s="95">
        <v>1</v>
      </c>
      <c r="Z57" s="96">
        <f t="shared" si="40"/>
        <v>1.0722009304576894</v>
      </c>
      <c r="AA57" s="432" t="str">
        <f t="shared" si="71"/>
        <v>(2,1,1,2,1,1); Industry data (French tender), NO iso CN</v>
      </c>
      <c r="AB57" s="435">
        <v>10.8325</v>
      </c>
      <c r="AC57" s="95">
        <v>1</v>
      </c>
      <c r="AD57" s="96">
        <f t="shared" si="41"/>
        <v>1.0722009304576894</v>
      </c>
      <c r="AE57" s="432" t="str">
        <f t="shared" si="72"/>
        <v>(2,1,1,2,1,1); Industry data (French tender), NO iso CN</v>
      </c>
      <c r="AF57" s="435">
        <v>0</v>
      </c>
      <c r="AG57" s="95">
        <v>1</v>
      </c>
      <c r="AH57" s="96">
        <f t="shared" si="43"/>
        <v>1.0722009304576894</v>
      </c>
      <c r="AI57" s="432" t="str">
        <f t="shared" si="73"/>
        <v>(2,1,1,2,1,1); Industry data (French tender), NO iso CN</v>
      </c>
      <c r="AJ57" s="435">
        <v>0</v>
      </c>
      <c r="AK57" s="95">
        <v>1</v>
      </c>
      <c r="AL57" s="96">
        <f t="shared" si="45"/>
        <v>1.0722009304576894</v>
      </c>
      <c r="AM57" s="432" t="str">
        <f t="shared" si="74"/>
        <v>(2,1,1,2,1,1); Industry data (French tender), NO iso CN</v>
      </c>
      <c r="AN57" s="435">
        <v>0</v>
      </c>
      <c r="AO57" s="95">
        <v>1</v>
      </c>
      <c r="AP57" s="96">
        <f t="shared" si="47"/>
        <v>1.0722009304576894</v>
      </c>
      <c r="AQ57" s="432" t="str">
        <f t="shared" si="75"/>
        <v>(2,1,1,2,1,1); Industry data (French tender), NO iso CN</v>
      </c>
      <c r="AR57" s="435">
        <v>0</v>
      </c>
      <c r="AS57" s="95">
        <v>1</v>
      </c>
      <c r="AT57" s="96">
        <f t="shared" si="48"/>
        <v>1.0722009304576894</v>
      </c>
      <c r="AU57" s="432" t="str">
        <f t="shared" si="76"/>
        <v>(2,1,1,2,1,1); Industry data (French tender), NO iso CN</v>
      </c>
      <c r="AV57" s="435">
        <v>0</v>
      </c>
      <c r="AW57" s="95">
        <v>1</v>
      </c>
      <c r="AX57" s="96">
        <f t="shared" si="50"/>
        <v>1.0722009304576894</v>
      </c>
      <c r="AY57" s="432" t="str">
        <f t="shared" si="77"/>
        <v>(2,1,1,2,1,1); Industry data (French tender), NO iso CN</v>
      </c>
      <c r="AZ57" s="435">
        <v>0</v>
      </c>
      <c r="BA57" s="95">
        <v>1</v>
      </c>
      <c r="BB57" s="96">
        <f t="shared" si="52"/>
        <v>1.0722009304576894</v>
      </c>
      <c r="BC57" s="432" t="str">
        <f t="shared" si="78"/>
        <v>(2,1,1,2,1,1); Industry data (French tender), NO iso CN</v>
      </c>
      <c r="BD57" s="435">
        <v>0</v>
      </c>
      <c r="BE57" s="95">
        <v>1</v>
      </c>
      <c r="BF57" s="96">
        <f t="shared" si="54"/>
        <v>1.0722009304576894</v>
      </c>
      <c r="BG57" s="432" t="str">
        <f t="shared" si="79"/>
        <v>(2,1,1,2,1,1); Industry data (French tender), NO iso CN</v>
      </c>
      <c r="BH57" s="435">
        <v>54.5</v>
      </c>
      <c r="BI57" s="95">
        <v>1</v>
      </c>
      <c r="BJ57" s="96">
        <f t="shared" si="55"/>
        <v>1.0722009304576894</v>
      </c>
      <c r="BK57" s="432" t="str">
        <f t="shared" si="80"/>
        <v>(2,4,1,3,1,5); Brailovsky (2026), NO iso RER</v>
      </c>
      <c r="BL57" s="435">
        <v>0</v>
      </c>
      <c r="BM57" s="95">
        <v>1</v>
      </c>
      <c r="BN57" s="96">
        <f t="shared" si="57"/>
        <v>1.0722009304576894</v>
      </c>
      <c r="BO57" s="432" t="str">
        <f t="shared" si="81"/>
        <v>(2,4,1,3,1,5); Brailovsky (2026), NO iso RER</v>
      </c>
      <c r="BP57" s="432"/>
      <c r="BQ57" s="112"/>
      <c r="BR57" s="705" t="s">
        <v>501</v>
      </c>
      <c r="BS57" s="77">
        <v>2</v>
      </c>
      <c r="BT57" s="339">
        <v>1</v>
      </c>
      <c r="BU57" s="339">
        <v>1</v>
      </c>
      <c r="BV57" s="339">
        <v>2</v>
      </c>
      <c r="BW57" s="339">
        <v>1</v>
      </c>
      <c r="BX57" s="339">
        <v>1</v>
      </c>
      <c r="BY57" s="104">
        <v>3</v>
      </c>
      <c r="BZ57" s="104">
        <v>1.05</v>
      </c>
      <c r="CA57" s="104">
        <f t="shared" si="82"/>
        <v>1.0510550504206344</v>
      </c>
      <c r="CB57" s="107">
        <f t="shared" si="30"/>
        <v>1.0722009304576894</v>
      </c>
      <c r="CC57" s="107" t="str">
        <f t="shared" si="83"/>
        <v>(2,1,1,2,1,1)</v>
      </c>
      <c r="CD57" s="108">
        <v>1.05</v>
      </c>
      <c r="CE57" s="108">
        <v>1</v>
      </c>
      <c r="CF57" s="108">
        <v>1</v>
      </c>
      <c r="CG57" s="108">
        <v>1.01</v>
      </c>
      <c r="CH57" s="108">
        <v>1</v>
      </c>
      <c r="CI57" s="108">
        <v>1</v>
      </c>
      <c r="CK57" s="111" t="s">
        <v>502</v>
      </c>
      <c r="CL57" s="77">
        <v>2</v>
      </c>
      <c r="CM57" s="339">
        <v>4</v>
      </c>
      <c r="CN57" s="339">
        <v>1</v>
      </c>
      <c r="CO57" s="339">
        <v>3</v>
      </c>
      <c r="CP57" s="339">
        <v>1</v>
      </c>
      <c r="CQ57" s="339">
        <v>5</v>
      </c>
      <c r="CR57" s="104">
        <v>3</v>
      </c>
      <c r="CS57" s="104">
        <v>1.05</v>
      </c>
      <c r="CT57" s="104">
        <f t="shared" si="84"/>
        <v>1.2365959919080913</v>
      </c>
      <c r="CU57" s="107">
        <f t="shared" si="33"/>
        <v>1.2434566510799234</v>
      </c>
      <c r="CV57" s="107" t="str">
        <f t="shared" si="85"/>
        <v>(2,4,1,3,1,5)</v>
      </c>
      <c r="CW57" s="108">
        <v>1.05</v>
      </c>
      <c r="CX57" s="108">
        <v>1.1000000000000001</v>
      </c>
      <c r="CY57" s="108">
        <v>1</v>
      </c>
      <c r="CZ57" s="108">
        <v>1.02</v>
      </c>
      <c r="DA57" s="108">
        <v>1</v>
      </c>
      <c r="DB57" s="108">
        <v>1.2</v>
      </c>
    </row>
    <row r="58" spans="1:106" ht="36">
      <c r="A58" s="330">
        <v>269603</v>
      </c>
      <c r="B58" s="331"/>
      <c r="C58" s="88"/>
      <c r="D58" s="340">
        <v>5</v>
      </c>
      <c r="E58" s="341" t="s">
        <v>98</v>
      </c>
      <c r="F58" s="432" t="s">
        <v>222</v>
      </c>
      <c r="G58" s="433" t="s">
        <v>223</v>
      </c>
      <c r="H58" s="434" t="s">
        <v>98</v>
      </c>
      <c r="I58" s="434" t="s">
        <v>98</v>
      </c>
      <c r="J58" s="94">
        <v>0</v>
      </c>
      <c r="K58" s="433" t="s">
        <v>109</v>
      </c>
      <c r="L58" s="435">
        <v>0</v>
      </c>
      <c r="M58" s="95">
        <v>1</v>
      </c>
      <c r="N58" s="96">
        <f t="shared" si="67"/>
        <v>1.0722009304576894</v>
      </c>
      <c r="O58" s="432" t="str">
        <f t="shared" si="68"/>
        <v>(2,1,1,2,1,1); Industry data (French tender), ENTSO iso CN</v>
      </c>
      <c r="P58" s="435">
        <v>0</v>
      </c>
      <c r="Q58" s="95">
        <v>1</v>
      </c>
      <c r="R58" s="96">
        <f t="shared" si="36"/>
        <v>1.0722009304576894</v>
      </c>
      <c r="S58" s="432" t="str">
        <f t="shared" si="69"/>
        <v>(2,1,1,2,1,1); Industry data (French tender), ENTSO iso CN</v>
      </c>
      <c r="T58" s="435">
        <v>0</v>
      </c>
      <c r="U58" s="95">
        <v>1</v>
      </c>
      <c r="V58" s="96">
        <f t="shared" si="38"/>
        <v>1.0722009304576894</v>
      </c>
      <c r="W58" s="432" t="str">
        <f t="shared" si="70"/>
        <v>(2,1,1,2,1,1); Industry data (French tender), ENTSO iso CN</v>
      </c>
      <c r="X58" s="435">
        <v>0</v>
      </c>
      <c r="Y58" s="95">
        <v>1</v>
      </c>
      <c r="Z58" s="96">
        <f t="shared" si="40"/>
        <v>1.0722009304576894</v>
      </c>
      <c r="AA58" s="432" t="str">
        <f t="shared" si="71"/>
        <v>(2,1,1,2,1,1); Industry data (French tender), ENTSO iso CN</v>
      </c>
      <c r="AB58" s="435">
        <v>0</v>
      </c>
      <c r="AC58" s="95">
        <v>1</v>
      </c>
      <c r="AD58" s="96">
        <f t="shared" si="41"/>
        <v>1.0722009304576894</v>
      </c>
      <c r="AE58" s="432" t="str">
        <f t="shared" si="72"/>
        <v>(2,1,1,2,1,1); Industry data (French tender), ENTSO iso CN</v>
      </c>
      <c r="AF58" s="435">
        <v>0</v>
      </c>
      <c r="AG58" s="95">
        <v>1</v>
      </c>
      <c r="AH58" s="96">
        <f t="shared" si="43"/>
        <v>1.0722009304576894</v>
      </c>
      <c r="AI58" s="432" t="str">
        <f t="shared" si="73"/>
        <v>(2,1,1,2,1,1); Industry data (French tender), ENTSO iso CN</v>
      </c>
      <c r="AJ58" s="435">
        <v>0</v>
      </c>
      <c r="AK58" s="95">
        <v>1</v>
      </c>
      <c r="AL58" s="96">
        <f t="shared" si="45"/>
        <v>1.0722009304576894</v>
      </c>
      <c r="AM58" s="432" t="str">
        <f t="shared" si="74"/>
        <v>(2,1,1,2,1,1); Industry data (French tender), ENTSO iso CN</v>
      </c>
      <c r="AN58" s="435">
        <v>0</v>
      </c>
      <c r="AO58" s="95">
        <v>1</v>
      </c>
      <c r="AP58" s="96">
        <f t="shared" si="47"/>
        <v>1.0722009304576894</v>
      </c>
      <c r="AQ58" s="432" t="str">
        <f t="shared" si="75"/>
        <v>(2,1,1,2,1,1); Industry data (French tender), ENTSO iso CN</v>
      </c>
      <c r="AR58" s="435">
        <v>0.25525009933383602</v>
      </c>
      <c r="AS58" s="95">
        <v>1</v>
      </c>
      <c r="AT58" s="96">
        <f t="shared" si="48"/>
        <v>1.0722009304576894</v>
      </c>
      <c r="AU58" s="432" t="str">
        <f t="shared" si="76"/>
        <v>(2,1,1,2,1,1); Industry data (French tender), ENTSO iso CN</v>
      </c>
      <c r="AV58" s="435">
        <v>0</v>
      </c>
      <c r="AW58" s="95">
        <v>1</v>
      </c>
      <c r="AX58" s="96">
        <f t="shared" si="50"/>
        <v>1.0722009304576894</v>
      </c>
      <c r="AY58" s="432" t="str">
        <f t="shared" si="77"/>
        <v>(2,1,1,2,1,1); Industry data (French tender), ENTSO iso CN</v>
      </c>
      <c r="AZ58" s="435">
        <v>0</v>
      </c>
      <c r="BA58" s="95">
        <v>1</v>
      </c>
      <c r="BB58" s="96">
        <f t="shared" si="52"/>
        <v>1.0722009304576894</v>
      </c>
      <c r="BC58" s="432" t="str">
        <f t="shared" si="78"/>
        <v>(2,1,1,2,1,1); Industry data (French tender), ENTSO iso CN</v>
      </c>
      <c r="BD58" s="435">
        <v>0</v>
      </c>
      <c r="BE58" s="95">
        <v>1</v>
      </c>
      <c r="BF58" s="96">
        <f t="shared" si="54"/>
        <v>1.0722009304576894</v>
      </c>
      <c r="BG58" s="432" t="str">
        <f t="shared" si="79"/>
        <v>(2,1,1,2,1,1); Industry data (French tender), ENTSO iso CN</v>
      </c>
      <c r="BH58" s="435">
        <v>0</v>
      </c>
      <c r="BI58" s="95">
        <v>1</v>
      </c>
      <c r="BJ58" s="96">
        <f t="shared" si="55"/>
        <v>1.0722009304576894</v>
      </c>
      <c r="BK58" s="432" t="str">
        <f t="shared" si="80"/>
        <v xml:space="preserve">(na,na,na,na,na,na); </v>
      </c>
      <c r="BL58" s="435">
        <v>0</v>
      </c>
      <c r="BM58" s="95">
        <v>1</v>
      </c>
      <c r="BN58" s="96">
        <f t="shared" si="57"/>
        <v>1.0722009304576894</v>
      </c>
      <c r="BO58" s="432" t="str">
        <f t="shared" si="81"/>
        <v xml:space="preserve">(na,na,na,na,na,na); </v>
      </c>
      <c r="BP58" s="432"/>
      <c r="BQ58" s="112"/>
      <c r="BR58" s="705" t="s">
        <v>503</v>
      </c>
      <c r="BS58" s="77">
        <v>2</v>
      </c>
      <c r="BT58" s="339">
        <v>1</v>
      </c>
      <c r="BU58" s="339">
        <v>1</v>
      </c>
      <c r="BV58" s="339">
        <v>2</v>
      </c>
      <c r="BW58" s="339">
        <v>1</v>
      </c>
      <c r="BX58" s="339">
        <v>1</v>
      </c>
      <c r="BY58" s="104">
        <v>2</v>
      </c>
      <c r="BZ58" s="104">
        <v>1.05</v>
      </c>
      <c r="CA58" s="104">
        <f t="shared" si="82"/>
        <v>1.0510550504206344</v>
      </c>
      <c r="CB58" s="107">
        <f t="shared" si="30"/>
        <v>1.0722009304576894</v>
      </c>
      <c r="CC58" s="107" t="str">
        <f t="shared" si="83"/>
        <v>(2,1,1,2,1,1)</v>
      </c>
      <c r="CD58" s="108">
        <v>1.05</v>
      </c>
      <c r="CE58" s="108">
        <v>1</v>
      </c>
      <c r="CF58" s="108">
        <v>1</v>
      </c>
      <c r="CG58" s="108">
        <v>1.01</v>
      </c>
      <c r="CH58" s="108">
        <v>1</v>
      </c>
      <c r="CI58" s="108">
        <v>1</v>
      </c>
      <c r="CK58" s="111"/>
      <c r="CL58" s="77" t="s">
        <v>106</v>
      </c>
      <c r="CM58" s="339" t="s">
        <v>106</v>
      </c>
      <c r="CN58" s="339" t="s">
        <v>106</v>
      </c>
      <c r="CO58" s="339" t="s">
        <v>106</v>
      </c>
      <c r="CP58" s="339" t="s">
        <v>106</v>
      </c>
      <c r="CQ58" s="339" t="s">
        <v>106</v>
      </c>
      <c r="CR58" s="104">
        <v>2</v>
      </c>
      <c r="CS58" s="104">
        <v>1.05</v>
      </c>
      <c r="CT58" s="104">
        <f t="shared" si="84"/>
        <v>1</v>
      </c>
      <c r="CU58" s="107">
        <f t="shared" si="33"/>
        <v>1.05</v>
      </c>
      <c r="CV58" s="107" t="str">
        <f t="shared" si="85"/>
        <v>(na,na,na,na,na,na)</v>
      </c>
      <c r="CW58" s="108">
        <v>1</v>
      </c>
      <c r="CX58" s="108">
        <v>1</v>
      </c>
      <c r="CY58" s="108">
        <v>1</v>
      </c>
      <c r="CZ58" s="108">
        <v>1</v>
      </c>
      <c r="DA58" s="108">
        <v>1</v>
      </c>
      <c r="DB58" s="108">
        <v>1</v>
      </c>
    </row>
    <row r="59" spans="1:106" ht="24">
      <c r="A59" s="330">
        <v>267914</v>
      </c>
      <c r="B59" s="331"/>
      <c r="C59" s="88"/>
      <c r="D59" s="340">
        <v>5</v>
      </c>
      <c r="E59" s="341" t="s">
        <v>98</v>
      </c>
      <c r="F59" s="432" t="s">
        <v>380</v>
      </c>
      <c r="G59" s="433" t="s">
        <v>372</v>
      </c>
      <c r="H59" s="434" t="s">
        <v>98</v>
      </c>
      <c r="I59" s="434" t="s">
        <v>98</v>
      </c>
      <c r="J59" s="94">
        <v>0</v>
      </c>
      <c r="K59" s="433" t="s">
        <v>109</v>
      </c>
      <c r="L59" s="435">
        <v>0</v>
      </c>
      <c r="M59" s="95">
        <v>1</v>
      </c>
      <c r="N59" s="96">
        <f t="shared" si="67"/>
        <v>1.0722009304576894</v>
      </c>
      <c r="O59" s="432" t="str">
        <f t="shared" si="68"/>
        <v>(2,1,1,2,1,1); Industry data (French tender)</v>
      </c>
      <c r="P59" s="440">
        <f>L57</f>
        <v>52.661464354527901</v>
      </c>
      <c r="Q59" s="95">
        <v>1</v>
      </c>
      <c r="R59" s="96">
        <f t="shared" si="36"/>
        <v>1.0722009304576894</v>
      </c>
      <c r="S59" s="432" t="str">
        <f t="shared" si="69"/>
        <v>(2,1,1,2,1,1); Industry data (French tender)</v>
      </c>
      <c r="T59" s="435">
        <f>P122</f>
        <v>0</v>
      </c>
      <c r="U59" s="95">
        <v>1</v>
      </c>
      <c r="V59" s="96">
        <f t="shared" si="38"/>
        <v>1.0722009304576894</v>
      </c>
      <c r="W59" s="432" t="str">
        <f t="shared" si="70"/>
        <v>(2,1,1,2,1,1); Industry data (French tender)</v>
      </c>
      <c r="X59" s="435">
        <f>T122</f>
        <v>0</v>
      </c>
      <c r="Y59" s="95">
        <v>1</v>
      </c>
      <c r="Z59" s="96">
        <f t="shared" si="40"/>
        <v>1.0722009304576894</v>
      </c>
      <c r="AA59" s="432" t="str">
        <f t="shared" si="71"/>
        <v>(2,1,1,2,1,1); Industry data (French tender)</v>
      </c>
      <c r="AB59" s="435">
        <f>X122</f>
        <v>0</v>
      </c>
      <c r="AC59" s="95">
        <v>1</v>
      </c>
      <c r="AD59" s="96">
        <f t="shared" si="41"/>
        <v>1.0722009304576894</v>
      </c>
      <c r="AE59" s="432" t="str">
        <f t="shared" si="72"/>
        <v>(2,1,1,2,1,1); Industry data (French tender)</v>
      </c>
      <c r="AF59" s="440">
        <f>AB57</f>
        <v>10.8325</v>
      </c>
      <c r="AG59" s="95">
        <v>1</v>
      </c>
      <c r="AH59" s="96">
        <f t="shared" si="43"/>
        <v>1.0722009304576894</v>
      </c>
      <c r="AI59" s="432" t="str">
        <f t="shared" si="73"/>
        <v>(2,1,1,2,1,1); Industry data (French tender)</v>
      </c>
      <c r="AJ59" s="435">
        <f>AF122</f>
        <v>0</v>
      </c>
      <c r="AK59" s="95">
        <v>1</v>
      </c>
      <c r="AL59" s="96">
        <f t="shared" si="45"/>
        <v>1.0722009304576894</v>
      </c>
      <c r="AM59" s="432" t="str">
        <f t="shared" si="74"/>
        <v>(2,1,1,2,1,1); Industry data (French tender)</v>
      </c>
      <c r="AN59" s="435">
        <f>AJ122</f>
        <v>0</v>
      </c>
      <c r="AO59" s="95">
        <v>1</v>
      </c>
      <c r="AP59" s="96">
        <f t="shared" si="47"/>
        <v>1.0722009304576894</v>
      </c>
      <c r="AQ59" s="432" t="str">
        <f t="shared" si="75"/>
        <v>(2,1,1,2,1,1); Industry data (French tender)</v>
      </c>
      <c r="AR59" s="435">
        <v>0</v>
      </c>
      <c r="AS59" s="95">
        <v>1</v>
      </c>
      <c r="AT59" s="96">
        <f t="shared" si="48"/>
        <v>1.0722009304576894</v>
      </c>
      <c r="AU59" s="432" t="str">
        <f t="shared" si="76"/>
        <v>(2,1,1,2,1,1); Industry data (French tender)</v>
      </c>
      <c r="AV59" s="440">
        <f>AR58</f>
        <v>0.25525009933383602</v>
      </c>
      <c r="AW59" s="95">
        <v>1</v>
      </c>
      <c r="AX59" s="96">
        <f t="shared" si="50"/>
        <v>1.0722009304576894</v>
      </c>
      <c r="AY59" s="432" t="str">
        <f t="shared" si="77"/>
        <v>(2,1,1,2,1,1); Industry data (French tender)</v>
      </c>
      <c r="AZ59" s="435">
        <f>AV122</f>
        <v>0</v>
      </c>
      <c r="BA59" s="95">
        <v>1</v>
      </c>
      <c r="BB59" s="96">
        <f t="shared" si="52"/>
        <v>1.0722009304576894</v>
      </c>
      <c r="BC59" s="432" t="str">
        <f t="shared" si="78"/>
        <v>(2,1,1,2,1,1); Industry data (French tender)</v>
      </c>
      <c r="BD59" s="435">
        <f>AZ122</f>
        <v>0</v>
      </c>
      <c r="BE59" s="95">
        <v>1</v>
      </c>
      <c r="BF59" s="96">
        <f t="shared" si="54"/>
        <v>1.0722009304576894</v>
      </c>
      <c r="BG59" s="432" t="str">
        <f t="shared" si="79"/>
        <v>(2,1,1,2,1,1); Industry data (French tender)</v>
      </c>
      <c r="BH59" s="435">
        <f>BD122</f>
        <v>0</v>
      </c>
      <c r="BI59" s="95">
        <v>1</v>
      </c>
      <c r="BJ59" s="96">
        <f t="shared" si="55"/>
        <v>1.0722009304576894</v>
      </c>
      <c r="BK59" s="432" t="str">
        <f t="shared" si="80"/>
        <v>(2,4,1,3,1,5); Brailovsky (2026), CN iso RER</v>
      </c>
      <c r="BL59" s="435">
        <f>BH57</f>
        <v>54.5</v>
      </c>
      <c r="BM59" s="95">
        <v>1</v>
      </c>
      <c r="BN59" s="96">
        <f t="shared" si="57"/>
        <v>1.0722009304576894</v>
      </c>
      <c r="BO59" s="432" t="str">
        <f t="shared" si="81"/>
        <v>(2,4,1,3,1,5); Brailovsky (2026), CN iso RER</v>
      </c>
      <c r="BP59" s="432"/>
      <c r="BQ59" s="112"/>
      <c r="BR59" s="705" t="s">
        <v>462</v>
      </c>
      <c r="BS59" s="77">
        <v>2</v>
      </c>
      <c r="BT59" s="339">
        <v>1</v>
      </c>
      <c r="BU59" s="339">
        <v>1</v>
      </c>
      <c r="BV59" s="339">
        <v>2</v>
      </c>
      <c r="BW59" s="339">
        <v>1</v>
      </c>
      <c r="BX59" s="339">
        <v>1</v>
      </c>
      <c r="BY59" s="104">
        <v>3</v>
      </c>
      <c r="BZ59" s="104">
        <v>1.05</v>
      </c>
      <c r="CA59" s="104">
        <f t="shared" si="82"/>
        <v>1.0510550504206344</v>
      </c>
      <c r="CB59" s="107">
        <f t="shared" si="30"/>
        <v>1.0722009304576894</v>
      </c>
      <c r="CC59" s="107" t="str">
        <f t="shared" si="83"/>
        <v>(2,1,1,2,1,1)</v>
      </c>
      <c r="CD59" s="108">
        <v>1.05</v>
      </c>
      <c r="CE59" s="108">
        <v>1</v>
      </c>
      <c r="CF59" s="108">
        <v>1</v>
      </c>
      <c r="CG59" s="108">
        <v>1.01</v>
      </c>
      <c r="CH59" s="108">
        <v>1</v>
      </c>
      <c r="CI59" s="108">
        <v>1</v>
      </c>
      <c r="CK59" s="111" t="s">
        <v>504</v>
      </c>
      <c r="CL59" s="77">
        <v>2</v>
      </c>
      <c r="CM59" s="339">
        <v>4</v>
      </c>
      <c r="CN59" s="339">
        <v>1</v>
      </c>
      <c r="CO59" s="339">
        <v>3</v>
      </c>
      <c r="CP59" s="339">
        <v>1</v>
      </c>
      <c r="CQ59" s="339">
        <v>5</v>
      </c>
      <c r="CR59" s="104">
        <v>3</v>
      </c>
      <c r="CS59" s="104">
        <v>1.05</v>
      </c>
      <c r="CT59" s="104">
        <f t="shared" si="84"/>
        <v>1.2365959919080913</v>
      </c>
      <c r="CU59" s="107">
        <f t="shared" si="33"/>
        <v>1.2434566510799234</v>
      </c>
      <c r="CV59" s="107" t="str">
        <f t="shared" si="85"/>
        <v>(2,4,1,3,1,5)</v>
      </c>
      <c r="CW59" s="108">
        <v>1.05</v>
      </c>
      <c r="CX59" s="108">
        <v>1.1000000000000001</v>
      </c>
      <c r="CY59" s="108">
        <v>1</v>
      </c>
      <c r="CZ59" s="108">
        <v>1.02</v>
      </c>
      <c r="DA59" s="108">
        <v>1</v>
      </c>
      <c r="DB59" s="108">
        <v>1.2</v>
      </c>
    </row>
    <row r="60" spans="1:106" ht="24">
      <c r="A60" s="330">
        <v>19772</v>
      </c>
      <c r="B60" s="331"/>
      <c r="C60" s="88"/>
      <c r="D60" s="340">
        <v>5</v>
      </c>
      <c r="E60" s="341" t="s">
        <v>98</v>
      </c>
      <c r="F60" s="432" t="s">
        <v>225</v>
      </c>
      <c r="G60" s="433" t="s">
        <v>215</v>
      </c>
      <c r="H60" s="434" t="s">
        <v>98</v>
      </c>
      <c r="I60" s="434" t="s">
        <v>98</v>
      </c>
      <c r="J60" s="94">
        <v>0</v>
      </c>
      <c r="K60" s="433" t="s">
        <v>109</v>
      </c>
      <c r="L60" s="435">
        <v>0</v>
      </c>
      <c r="M60" s="95">
        <v>1</v>
      </c>
      <c r="N60" s="96">
        <f t="shared" si="67"/>
        <v>1.0722009304576894</v>
      </c>
      <c r="O60" s="432" t="str">
        <f t="shared" si="68"/>
        <v>(2,1,1,2,1,1); Industry data (French tender), US iso CN</v>
      </c>
      <c r="P60" s="435">
        <v>0</v>
      </c>
      <c r="Q60" s="95">
        <f>Q57</f>
        <v>1</v>
      </c>
      <c r="R60" s="96">
        <f>R57</f>
        <v>1.0722009304576894</v>
      </c>
      <c r="S60" s="432" t="str">
        <f t="shared" si="69"/>
        <v>(2,1,1,2,1,1); Industry data (French tender), US iso CN</v>
      </c>
      <c r="T60" s="435">
        <f>L57</f>
        <v>52.661464354527901</v>
      </c>
      <c r="U60" s="95">
        <f>U57</f>
        <v>1</v>
      </c>
      <c r="V60" s="96">
        <f>V57</f>
        <v>1.0722009304576894</v>
      </c>
      <c r="W60" s="432" t="str">
        <f t="shared" si="70"/>
        <v>(2,1,1,2,1,1); Industry data (French tender), US iso CN</v>
      </c>
      <c r="X60" s="435">
        <v>0</v>
      </c>
      <c r="Y60" s="95">
        <f>Y57</f>
        <v>1</v>
      </c>
      <c r="Z60" s="96">
        <f t="shared" si="40"/>
        <v>1.0722009304576894</v>
      </c>
      <c r="AA60" s="432" t="str">
        <f t="shared" si="71"/>
        <v>(2,1,1,2,1,1); Industry data (French tender), US iso CN</v>
      </c>
      <c r="AB60" s="435">
        <v>0</v>
      </c>
      <c r="AC60" s="95">
        <f>AC57</f>
        <v>1</v>
      </c>
      <c r="AD60" s="96">
        <f t="shared" si="41"/>
        <v>1.0722009304576894</v>
      </c>
      <c r="AE60" s="432" t="str">
        <f t="shared" si="72"/>
        <v>(2,1,1,2,1,1); Industry data (French tender), US iso CN</v>
      </c>
      <c r="AF60" s="435">
        <v>0</v>
      </c>
      <c r="AG60" s="95">
        <f>AG57</f>
        <v>1</v>
      </c>
      <c r="AH60" s="96">
        <f t="shared" si="43"/>
        <v>1.0722009304576894</v>
      </c>
      <c r="AI60" s="432" t="str">
        <f t="shared" si="73"/>
        <v>(2,1,1,2,1,1); Industry data (French tender), US iso CN</v>
      </c>
      <c r="AJ60" s="435">
        <f>AF59</f>
        <v>10.8325</v>
      </c>
      <c r="AK60" s="95">
        <f>AK57</f>
        <v>1</v>
      </c>
      <c r="AL60" s="96">
        <f t="shared" si="45"/>
        <v>1.0722009304576894</v>
      </c>
      <c r="AM60" s="432" t="str">
        <f t="shared" si="74"/>
        <v>(2,1,1,2,1,1); Industry data (French tender), US iso CN</v>
      </c>
      <c r="AN60" s="435">
        <v>0</v>
      </c>
      <c r="AO60" s="95">
        <f>AO57</f>
        <v>1</v>
      </c>
      <c r="AP60" s="96">
        <f t="shared" si="47"/>
        <v>1.0722009304576894</v>
      </c>
      <c r="AQ60" s="432" t="str">
        <f t="shared" si="75"/>
        <v>(2,1,1,2,1,1); Industry data (French tender), US iso CN</v>
      </c>
      <c r="AR60" s="435">
        <v>0</v>
      </c>
      <c r="AS60" s="95">
        <f>AS57</f>
        <v>1</v>
      </c>
      <c r="AT60" s="96">
        <f t="shared" si="48"/>
        <v>1.0722009304576894</v>
      </c>
      <c r="AU60" s="432" t="str">
        <f t="shared" si="76"/>
        <v>(2,1,1,2,1,1); Industry data (French tender), US iso CN</v>
      </c>
      <c r="AV60" s="435">
        <v>0</v>
      </c>
      <c r="AW60" s="95">
        <f>AW57</f>
        <v>1</v>
      </c>
      <c r="AX60" s="96">
        <f t="shared" si="50"/>
        <v>1.0722009304576894</v>
      </c>
      <c r="AY60" s="432" t="str">
        <f t="shared" si="77"/>
        <v>(2,1,1,2,1,1); Industry data (French tender), US iso CN</v>
      </c>
      <c r="AZ60" s="440">
        <f>AV59</f>
        <v>0.25525009933383602</v>
      </c>
      <c r="BA60" s="95">
        <f>BA57</f>
        <v>1</v>
      </c>
      <c r="BB60" s="96">
        <f t="shared" si="52"/>
        <v>1.0722009304576894</v>
      </c>
      <c r="BC60" s="432" t="str">
        <f t="shared" si="78"/>
        <v>(2,1,1,2,1,1); Industry data (French tender), US iso CN</v>
      </c>
      <c r="BD60" s="435">
        <v>0</v>
      </c>
      <c r="BE60" s="95">
        <f>BE57</f>
        <v>1</v>
      </c>
      <c r="BF60" s="96">
        <f t="shared" si="54"/>
        <v>1.0722009304576894</v>
      </c>
      <c r="BG60" s="432" t="str">
        <f t="shared" si="79"/>
        <v>(2,1,1,2,1,1); Industry data (French tender), US iso CN</v>
      </c>
      <c r="BH60" s="435">
        <v>0</v>
      </c>
      <c r="BI60" s="95">
        <f>BI57</f>
        <v>1</v>
      </c>
      <c r="BJ60" s="96">
        <f t="shared" si="55"/>
        <v>1.0722009304576894</v>
      </c>
      <c r="BK60" s="432" t="str">
        <f t="shared" si="80"/>
        <v xml:space="preserve">(na,na,na,na,na,na); </v>
      </c>
      <c r="BL60" s="435">
        <v>0</v>
      </c>
      <c r="BM60" s="95">
        <f>BM57</f>
        <v>1</v>
      </c>
      <c r="BN60" s="96">
        <f t="shared" si="57"/>
        <v>1.0722009304576894</v>
      </c>
      <c r="BO60" s="432" t="str">
        <f t="shared" si="81"/>
        <v xml:space="preserve">(na,na,na,na,na,na); </v>
      </c>
      <c r="BP60" s="432"/>
      <c r="BQ60" s="112"/>
      <c r="BR60" s="705" t="s">
        <v>505</v>
      </c>
      <c r="BS60" s="77">
        <v>2</v>
      </c>
      <c r="BT60" s="339">
        <v>1</v>
      </c>
      <c r="BU60" s="339">
        <v>1</v>
      </c>
      <c r="BV60" s="339">
        <v>2</v>
      </c>
      <c r="BW60" s="339">
        <v>1</v>
      </c>
      <c r="BX60" s="339">
        <v>1</v>
      </c>
      <c r="BY60" s="104">
        <v>3</v>
      </c>
      <c r="BZ60" s="104">
        <v>1.05</v>
      </c>
      <c r="CA60" s="104">
        <f t="shared" si="82"/>
        <v>1.0510550504206344</v>
      </c>
      <c r="CB60" s="107">
        <f t="shared" si="30"/>
        <v>1.0722009304576894</v>
      </c>
      <c r="CC60" s="107" t="str">
        <f t="shared" si="83"/>
        <v>(2,1,1,2,1,1)</v>
      </c>
      <c r="CD60" s="108">
        <v>1.05</v>
      </c>
      <c r="CE60" s="108">
        <v>1</v>
      </c>
      <c r="CF60" s="108">
        <v>1</v>
      </c>
      <c r="CG60" s="108">
        <v>1.01</v>
      </c>
      <c r="CH60" s="108">
        <v>1</v>
      </c>
      <c r="CI60" s="108">
        <v>1</v>
      </c>
      <c r="CK60" s="111"/>
      <c r="CL60" s="77" t="s">
        <v>106</v>
      </c>
      <c r="CM60" s="339" t="s">
        <v>106</v>
      </c>
      <c r="CN60" s="339" t="s">
        <v>106</v>
      </c>
      <c r="CO60" s="339" t="s">
        <v>106</v>
      </c>
      <c r="CP60" s="339" t="s">
        <v>106</v>
      </c>
      <c r="CQ60" s="339" t="s">
        <v>106</v>
      </c>
      <c r="CR60" s="104">
        <v>3</v>
      </c>
      <c r="CS60" s="104">
        <v>1.05</v>
      </c>
      <c r="CT60" s="104">
        <f t="shared" si="84"/>
        <v>1</v>
      </c>
      <c r="CU60" s="107">
        <f t="shared" si="33"/>
        <v>1.05</v>
      </c>
      <c r="CV60" s="107" t="str">
        <f t="shared" si="85"/>
        <v>(na,na,na,na,na,na)</v>
      </c>
      <c r="CW60" s="108">
        <v>1</v>
      </c>
      <c r="CX60" s="108">
        <v>1</v>
      </c>
      <c r="CY60" s="108">
        <v>1</v>
      </c>
      <c r="CZ60" s="108">
        <v>1</v>
      </c>
      <c r="DA60" s="108">
        <v>1</v>
      </c>
      <c r="DB60" s="108">
        <v>1</v>
      </c>
    </row>
    <row r="61" spans="1:106" ht="24">
      <c r="A61" s="330">
        <v>259809</v>
      </c>
      <c r="B61" s="331"/>
      <c r="C61" s="88"/>
      <c r="D61" s="340">
        <v>5</v>
      </c>
      <c r="E61" s="341" t="s">
        <v>98</v>
      </c>
      <c r="F61" s="432" t="s">
        <v>381</v>
      </c>
      <c r="G61" s="433" t="s">
        <v>382</v>
      </c>
      <c r="H61" s="434" t="s">
        <v>98</v>
      </c>
      <c r="I61" s="434" t="s">
        <v>98</v>
      </c>
      <c r="J61" s="94">
        <v>0</v>
      </c>
      <c r="K61" s="433" t="s">
        <v>109</v>
      </c>
      <c r="L61" s="435">
        <v>0</v>
      </c>
      <c r="M61" s="95">
        <v>1</v>
      </c>
      <c r="N61" s="96">
        <f t="shared" si="67"/>
        <v>1.0722009304576894</v>
      </c>
      <c r="O61" s="432" t="str">
        <f t="shared" si="68"/>
        <v>(2,1,1,2,1,1); Industry data (French tender), VN iso CN</v>
      </c>
      <c r="P61" s="435">
        <f>L124</f>
        <v>0</v>
      </c>
      <c r="Q61" s="95">
        <f>Q59</f>
        <v>1</v>
      </c>
      <c r="R61" s="96">
        <f>R59</f>
        <v>1.0722009304576894</v>
      </c>
      <c r="S61" s="432" t="str">
        <f t="shared" si="69"/>
        <v>(2,1,1,2,1,1); Industry data (French tender), VN iso CN</v>
      </c>
      <c r="T61" s="435">
        <f>P124</f>
        <v>0</v>
      </c>
      <c r="U61" s="95">
        <f>U59</f>
        <v>1</v>
      </c>
      <c r="V61" s="96">
        <f>V59</f>
        <v>1.0722009304576894</v>
      </c>
      <c r="W61" s="432" t="str">
        <f t="shared" si="70"/>
        <v>(2,1,1,2,1,1); Industry data (French tender), VN iso CN</v>
      </c>
      <c r="X61" s="435">
        <f>T60</f>
        <v>52.661464354527901</v>
      </c>
      <c r="Y61" s="95">
        <f>Y59</f>
        <v>1</v>
      </c>
      <c r="Z61" s="96">
        <f t="shared" si="40"/>
        <v>1.0722009304576894</v>
      </c>
      <c r="AA61" s="432" t="str">
        <f t="shared" si="71"/>
        <v>(2,1,1,2,1,1); Industry data (French tender), VN iso CN</v>
      </c>
      <c r="AB61" s="435">
        <f>X60</f>
        <v>0</v>
      </c>
      <c r="AC61" s="95">
        <f>AC59</f>
        <v>1</v>
      </c>
      <c r="AD61" s="96">
        <f t="shared" si="41"/>
        <v>1.0722009304576894</v>
      </c>
      <c r="AE61" s="432" t="str">
        <f t="shared" si="72"/>
        <v>(2,1,1,2,1,1); Industry data (French tender), VN iso CN</v>
      </c>
      <c r="AF61" s="435">
        <f>AB60</f>
        <v>0</v>
      </c>
      <c r="AG61" s="95">
        <f>AG59</f>
        <v>1</v>
      </c>
      <c r="AH61" s="96">
        <f t="shared" si="43"/>
        <v>1.0722009304576894</v>
      </c>
      <c r="AI61" s="432" t="str">
        <f t="shared" si="73"/>
        <v>(2,1,1,2,1,1); Industry data (French tender), VN iso CN</v>
      </c>
      <c r="AJ61" s="435">
        <f>AF60</f>
        <v>0</v>
      </c>
      <c r="AK61" s="95">
        <f>AK59</f>
        <v>1</v>
      </c>
      <c r="AL61" s="96">
        <f t="shared" si="45"/>
        <v>1.0722009304576894</v>
      </c>
      <c r="AM61" s="432" t="str">
        <f t="shared" si="74"/>
        <v>(2,1,1,2,1,1); Industry data (French tender), VN iso CN</v>
      </c>
      <c r="AN61" s="435">
        <f>AJ60</f>
        <v>10.8325</v>
      </c>
      <c r="AO61" s="95">
        <f>AO59</f>
        <v>1</v>
      </c>
      <c r="AP61" s="96">
        <f t="shared" si="47"/>
        <v>1.0722009304576894</v>
      </c>
      <c r="AQ61" s="432" t="str">
        <f t="shared" si="75"/>
        <v>(2,1,1,2,1,1); Industry data (French tender), VN iso CN</v>
      </c>
      <c r="AR61" s="435">
        <v>0</v>
      </c>
      <c r="AS61" s="95">
        <f>AS59</f>
        <v>1</v>
      </c>
      <c r="AT61" s="96">
        <f t="shared" si="48"/>
        <v>1.0722009304576894</v>
      </c>
      <c r="AU61" s="432" t="str">
        <f t="shared" si="76"/>
        <v>(2,1,1,2,1,1); Industry data (French tender), VN iso CN</v>
      </c>
      <c r="AV61" s="435">
        <f>AR60</f>
        <v>0</v>
      </c>
      <c r="AW61" s="95">
        <f>AW59</f>
        <v>1</v>
      </c>
      <c r="AX61" s="96">
        <f t="shared" si="50"/>
        <v>1.0722009304576894</v>
      </c>
      <c r="AY61" s="432" t="str">
        <f t="shared" si="77"/>
        <v>(2,1,1,2,1,1); Industry data (French tender), VN iso CN</v>
      </c>
      <c r="AZ61" s="435">
        <f>AV60</f>
        <v>0</v>
      </c>
      <c r="BA61" s="95">
        <f>BA59</f>
        <v>1</v>
      </c>
      <c r="BB61" s="96">
        <f t="shared" si="52"/>
        <v>1.0722009304576894</v>
      </c>
      <c r="BC61" s="432" t="str">
        <f t="shared" si="78"/>
        <v>(2,1,1,2,1,1); Industry data (French tender), VN iso CN</v>
      </c>
      <c r="BD61" s="435">
        <f>AZ60</f>
        <v>0.25525009933383602</v>
      </c>
      <c r="BE61" s="95">
        <f>BE59</f>
        <v>1</v>
      </c>
      <c r="BF61" s="96">
        <f t="shared" si="54"/>
        <v>1.0722009304576894</v>
      </c>
      <c r="BG61" s="432" t="str">
        <f t="shared" si="79"/>
        <v>(2,1,1,2,1,1); Industry data (French tender), VN iso CN</v>
      </c>
      <c r="BH61" s="435">
        <f>BD60</f>
        <v>0</v>
      </c>
      <c r="BI61" s="95">
        <f>BI59</f>
        <v>1</v>
      </c>
      <c r="BJ61" s="96">
        <f t="shared" si="55"/>
        <v>1.0722009304576894</v>
      </c>
      <c r="BK61" s="432" t="str">
        <f t="shared" si="80"/>
        <v xml:space="preserve">(na,na,na,na,na,na); </v>
      </c>
      <c r="BL61" s="435">
        <f>BH60</f>
        <v>0</v>
      </c>
      <c r="BM61" s="95">
        <f>BM59</f>
        <v>1</v>
      </c>
      <c r="BN61" s="96">
        <f t="shared" si="57"/>
        <v>1.0722009304576894</v>
      </c>
      <c r="BO61" s="432" t="str">
        <f t="shared" si="81"/>
        <v xml:space="preserve">(na,na,na,na,na,na); </v>
      </c>
      <c r="BP61" s="432"/>
      <c r="BQ61" s="112"/>
      <c r="BR61" s="705" t="s">
        <v>506</v>
      </c>
      <c r="BS61" s="77">
        <v>2</v>
      </c>
      <c r="BT61" s="339">
        <v>1</v>
      </c>
      <c r="BU61" s="339">
        <v>1</v>
      </c>
      <c r="BV61" s="339">
        <v>2</v>
      </c>
      <c r="BW61" s="339">
        <v>1</v>
      </c>
      <c r="BX61" s="339">
        <v>1</v>
      </c>
      <c r="BY61" s="104">
        <v>3</v>
      </c>
      <c r="BZ61" s="104">
        <v>1.05</v>
      </c>
      <c r="CA61" s="104">
        <f t="shared" si="82"/>
        <v>1.0510550504206344</v>
      </c>
      <c r="CB61" s="107">
        <f t="shared" si="30"/>
        <v>1.0722009304576894</v>
      </c>
      <c r="CC61" s="107" t="str">
        <f t="shared" si="83"/>
        <v>(2,1,1,2,1,1)</v>
      </c>
      <c r="CD61" s="108">
        <v>1.05</v>
      </c>
      <c r="CE61" s="108">
        <v>1</v>
      </c>
      <c r="CF61" s="108">
        <v>1</v>
      </c>
      <c r="CG61" s="108">
        <v>1.01</v>
      </c>
      <c r="CH61" s="108">
        <v>1</v>
      </c>
      <c r="CI61" s="108">
        <v>1</v>
      </c>
      <c r="CK61" s="111"/>
      <c r="CL61" s="77" t="s">
        <v>106</v>
      </c>
      <c r="CM61" s="339" t="s">
        <v>106</v>
      </c>
      <c r="CN61" s="339" t="s">
        <v>106</v>
      </c>
      <c r="CO61" s="339" t="s">
        <v>106</v>
      </c>
      <c r="CP61" s="339" t="s">
        <v>106</v>
      </c>
      <c r="CQ61" s="339" t="s">
        <v>106</v>
      </c>
      <c r="CR61" s="104">
        <v>3</v>
      </c>
      <c r="CS61" s="104">
        <v>1.05</v>
      </c>
      <c r="CT61" s="104">
        <f t="shared" si="84"/>
        <v>1</v>
      </c>
      <c r="CU61" s="107">
        <f t="shared" si="33"/>
        <v>1.05</v>
      </c>
      <c r="CV61" s="107" t="str">
        <f t="shared" si="85"/>
        <v>(na,na,na,na,na,na)</v>
      </c>
      <c r="CW61" s="108">
        <v>1</v>
      </c>
      <c r="CX61" s="108">
        <v>1</v>
      </c>
      <c r="CY61" s="108">
        <v>1</v>
      </c>
      <c r="CZ61" s="108">
        <v>1</v>
      </c>
      <c r="DA61" s="108">
        <v>1</v>
      </c>
      <c r="DB61" s="108">
        <v>1</v>
      </c>
    </row>
    <row r="62" spans="1:106" ht="36">
      <c r="A62" s="330">
        <v>254029</v>
      </c>
      <c r="B62" s="331"/>
      <c r="C62" s="88"/>
      <c r="D62" s="340">
        <v>5</v>
      </c>
      <c r="E62" s="341" t="s">
        <v>98</v>
      </c>
      <c r="F62" s="432" t="s">
        <v>507</v>
      </c>
      <c r="G62" s="433" t="s">
        <v>103</v>
      </c>
      <c r="H62" s="434" t="s">
        <v>98</v>
      </c>
      <c r="I62" s="434" t="s">
        <v>98</v>
      </c>
      <c r="J62" s="94">
        <v>0</v>
      </c>
      <c r="K62" s="433" t="s">
        <v>104</v>
      </c>
      <c r="L62" s="435">
        <v>21.402312138728298</v>
      </c>
      <c r="M62" s="95">
        <v>1</v>
      </c>
      <c r="N62" s="96">
        <f t="shared" si="67"/>
        <v>1.0722009304576894</v>
      </c>
      <c r="O62" s="432" t="str">
        <f t="shared" si="68"/>
        <v>(2,1,1,2,1,1); Industry data (French tender)</v>
      </c>
      <c r="P62" s="435">
        <f t="shared" ref="P62:P69" si="86">L62</f>
        <v>21.402312138728298</v>
      </c>
      <c r="Q62" s="95">
        <f>Q60</f>
        <v>1</v>
      </c>
      <c r="R62" s="96">
        <f>R60</f>
        <v>1.0722009304576894</v>
      </c>
      <c r="S62" s="432" t="str">
        <f t="shared" si="69"/>
        <v>(2,1,1,2,1,1); Industry data (French tender)</v>
      </c>
      <c r="T62" s="435">
        <f>L62</f>
        <v>21.402312138728298</v>
      </c>
      <c r="U62" s="95">
        <v>1</v>
      </c>
      <c r="V62" s="96">
        <f>$CB62</f>
        <v>1.0722009304576894</v>
      </c>
      <c r="W62" s="432" t="str">
        <f t="shared" si="70"/>
        <v>(2,1,1,2,1,1); Industry data (French tender)</v>
      </c>
      <c r="X62" s="435">
        <f>L62</f>
        <v>21.402312138728298</v>
      </c>
      <c r="Y62" s="95">
        <f>Y60</f>
        <v>1</v>
      </c>
      <c r="Z62" s="96">
        <f t="shared" si="40"/>
        <v>1.0722009304576894</v>
      </c>
      <c r="AA62" s="432" t="str">
        <f t="shared" si="71"/>
        <v>(2,1,1,2,1,1); Industry data (French tender)</v>
      </c>
      <c r="AB62" s="435">
        <v>24.039358974359001</v>
      </c>
      <c r="AC62" s="95">
        <v>1</v>
      </c>
      <c r="AD62" s="96">
        <f t="shared" si="41"/>
        <v>1.0722009304576894</v>
      </c>
      <c r="AE62" s="432" t="str">
        <f t="shared" si="72"/>
        <v>(2,1,1,2,1,1); Industry data (French tender)</v>
      </c>
      <c r="AF62" s="435">
        <f t="shared" ref="AF62:AF69" si="87">AB62</f>
        <v>24.039358974359001</v>
      </c>
      <c r="AG62" s="95">
        <v>1</v>
      </c>
      <c r="AH62" s="96">
        <f t="shared" si="43"/>
        <v>1.0722009304576894</v>
      </c>
      <c r="AI62" s="432" t="str">
        <f t="shared" si="73"/>
        <v>(2,1,1,2,1,1); Industry data (French tender)</v>
      </c>
      <c r="AJ62" s="435">
        <f>AB62</f>
        <v>24.039358974359001</v>
      </c>
      <c r="AK62" s="95">
        <v>1</v>
      </c>
      <c r="AL62" s="96">
        <f t="shared" si="45"/>
        <v>1.0722009304576894</v>
      </c>
      <c r="AM62" s="432" t="str">
        <f t="shared" si="74"/>
        <v>(2,1,1,2,1,1); Industry data (French tender)</v>
      </c>
      <c r="AN62" s="435">
        <f>AB62</f>
        <v>24.039358974359001</v>
      </c>
      <c r="AO62" s="95">
        <v>1</v>
      </c>
      <c r="AP62" s="96">
        <f t="shared" si="47"/>
        <v>1.0722009304576894</v>
      </c>
      <c r="AQ62" s="432" t="str">
        <f t="shared" si="75"/>
        <v>(2,1,1,2,1,1); Industry data (French tender)</v>
      </c>
      <c r="AR62" s="435">
        <v>0</v>
      </c>
      <c r="AS62" s="95">
        <v>1</v>
      </c>
      <c r="AT62" s="96">
        <f t="shared" si="48"/>
        <v>1.0722009304576894</v>
      </c>
      <c r="AU62" s="432" t="str">
        <f t="shared" si="76"/>
        <v>(2,1,1,2,1,1); Industry data (French tender)</v>
      </c>
      <c r="AV62" s="435">
        <v>0</v>
      </c>
      <c r="AW62" s="95">
        <v>1</v>
      </c>
      <c r="AX62" s="96">
        <f t="shared" si="50"/>
        <v>1.0722009304576894</v>
      </c>
      <c r="AY62" s="432" t="str">
        <f t="shared" si="77"/>
        <v>(2,1,1,2,1,1); Industry data (French tender)</v>
      </c>
      <c r="AZ62" s="435">
        <v>0</v>
      </c>
      <c r="BA62" s="95">
        <v>1</v>
      </c>
      <c r="BB62" s="96">
        <f t="shared" si="52"/>
        <v>1.0722009304576894</v>
      </c>
      <c r="BC62" s="432" t="str">
        <f t="shared" si="78"/>
        <v>(2,1,1,2,1,1); Industry data (French tender)</v>
      </c>
      <c r="BD62" s="435">
        <f>AR62</f>
        <v>0</v>
      </c>
      <c r="BE62" s="95">
        <v>1</v>
      </c>
      <c r="BF62" s="96">
        <f t="shared" si="54"/>
        <v>1.0722009304576894</v>
      </c>
      <c r="BG62" s="432" t="str">
        <f t="shared" si="79"/>
        <v>(2,1,1,2,1,1); Industry data (French tender)</v>
      </c>
      <c r="BH62" s="435">
        <f>AV62</f>
        <v>0</v>
      </c>
      <c r="BI62" s="95">
        <v>1</v>
      </c>
      <c r="BJ62" s="96">
        <f t="shared" si="55"/>
        <v>1.0722009304576894</v>
      </c>
      <c r="BK62" s="432" t="str">
        <f t="shared" si="80"/>
        <v xml:space="preserve">(na,na,na,na,na,na); </v>
      </c>
      <c r="BL62" s="435">
        <f>AZ62</f>
        <v>0</v>
      </c>
      <c r="BM62" s="95">
        <v>1</v>
      </c>
      <c r="BN62" s="96">
        <f t="shared" si="57"/>
        <v>1.0722009304576894</v>
      </c>
      <c r="BO62" s="432" t="str">
        <f t="shared" si="81"/>
        <v xml:space="preserve">(na,na,na,na,na,na); </v>
      </c>
      <c r="BP62" s="432"/>
      <c r="BQ62" s="112"/>
      <c r="BR62" s="705" t="s">
        <v>462</v>
      </c>
      <c r="BS62" s="77">
        <v>2</v>
      </c>
      <c r="BT62" s="339">
        <v>1</v>
      </c>
      <c r="BU62" s="339">
        <v>1</v>
      </c>
      <c r="BV62" s="339">
        <v>2</v>
      </c>
      <c r="BW62" s="339">
        <v>1</v>
      </c>
      <c r="BX62" s="339">
        <v>1</v>
      </c>
      <c r="BY62" s="104">
        <v>1</v>
      </c>
      <c r="BZ62" s="104">
        <v>1.05</v>
      </c>
      <c r="CA62" s="104">
        <f t="shared" si="82"/>
        <v>1.0510550504206344</v>
      </c>
      <c r="CB62" s="107">
        <f t="shared" si="30"/>
        <v>1.0722009304576894</v>
      </c>
      <c r="CC62" s="107" t="str">
        <f t="shared" si="83"/>
        <v>(2,1,1,2,1,1)</v>
      </c>
      <c r="CD62" s="108">
        <v>1.05</v>
      </c>
      <c r="CE62" s="108">
        <v>1</v>
      </c>
      <c r="CF62" s="108">
        <v>1</v>
      </c>
      <c r="CG62" s="108">
        <v>1.01</v>
      </c>
      <c r="CH62" s="108">
        <v>1</v>
      </c>
      <c r="CI62" s="108">
        <v>1</v>
      </c>
      <c r="CK62" s="111"/>
      <c r="CL62" s="77" t="s">
        <v>106</v>
      </c>
      <c r="CM62" s="339" t="s">
        <v>106</v>
      </c>
      <c r="CN62" s="339" t="s">
        <v>106</v>
      </c>
      <c r="CO62" s="339" t="s">
        <v>106</v>
      </c>
      <c r="CP62" s="339" t="s">
        <v>106</v>
      </c>
      <c r="CQ62" s="339" t="s">
        <v>106</v>
      </c>
      <c r="CR62" s="104">
        <v>1</v>
      </c>
      <c r="CS62" s="104">
        <v>1.05</v>
      </c>
      <c r="CT62" s="104">
        <f t="shared" si="84"/>
        <v>1</v>
      </c>
      <c r="CU62" s="107">
        <f t="shared" si="33"/>
        <v>1.05</v>
      </c>
      <c r="CV62" s="107" t="str">
        <f t="shared" si="85"/>
        <v>(na,na,na,na,na,na)</v>
      </c>
      <c r="CW62" s="108">
        <v>1</v>
      </c>
      <c r="CX62" s="108">
        <v>1</v>
      </c>
      <c r="CY62" s="108">
        <v>1</v>
      </c>
      <c r="CZ62" s="108">
        <v>1</v>
      </c>
      <c r="DA62" s="108">
        <v>1</v>
      </c>
      <c r="DB62" s="108">
        <v>1</v>
      </c>
    </row>
    <row r="63" spans="1:106" ht="36">
      <c r="A63" s="330">
        <v>268399</v>
      </c>
      <c r="B63" s="331" t="s">
        <v>508</v>
      </c>
      <c r="C63" s="88"/>
      <c r="D63" s="340">
        <v>5</v>
      </c>
      <c r="E63" s="341" t="s">
        <v>98</v>
      </c>
      <c r="F63" s="432" t="s">
        <v>342</v>
      </c>
      <c r="G63" s="433" t="s">
        <v>93</v>
      </c>
      <c r="H63" s="434" t="s">
        <v>98</v>
      </c>
      <c r="I63" s="434" t="s">
        <v>98</v>
      </c>
      <c r="J63" s="94">
        <v>1</v>
      </c>
      <c r="K63" s="433" t="s">
        <v>144</v>
      </c>
      <c r="L63" s="435">
        <f>L99</f>
        <v>2.3403959325509748E-11</v>
      </c>
      <c r="M63" s="95">
        <v>1</v>
      </c>
      <c r="N63" s="96">
        <f t="shared" si="67"/>
        <v>3.0520641172448602</v>
      </c>
      <c r="O63" s="432" t="str">
        <f t="shared" si="68"/>
        <v>(2,1,1,2,1,1); Industry data (French tender), converted to silicon factory modelled by Brailovsky (2026)</v>
      </c>
      <c r="P63" s="435">
        <f t="shared" si="86"/>
        <v>2.3403959325509748E-11</v>
      </c>
      <c r="Q63" s="95">
        <v>1</v>
      </c>
      <c r="R63" s="96">
        <f t="shared" ref="R63:R69" si="88">N63</f>
        <v>3.0520641172448602</v>
      </c>
      <c r="S63" s="432" t="str">
        <f t="shared" si="69"/>
        <v>(2,1,1,2,1,1); Industry data (French tender), converted to silicon factory modelled by Brailovsky (2026)</v>
      </c>
      <c r="T63" s="435">
        <f t="shared" ref="T63:T69" si="89">P63</f>
        <v>2.3403959325509748E-11</v>
      </c>
      <c r="U63" s="95">
        <v>1</v>
      </c>
      <c r="V63" s="96">
        <f t="shared" ref="V63:V69" si="90">R63</f>
        <v>3.0520641172448602</v>
      </c>
      <c r="W63" s="432" t="str">
        <f t="shared" si="70"/>
        <v>(2,1,1,2,1,1); Industry data (French tender), converted to silicon factory modelled by Brailovsky (2026)</v>
      </c>
      <c r="X63" s="435">
        <f t="shared" ref="X63:X69" si="91">T63</f>
        <v>2.3403959325509748E-11</v>
      </c>
      <c r="Y63" s="95">
        <v>1</v>
      </c>
      <c r="Z63" s="96">
        <f t="shared" si="40"/>
        <v>3.0520641172448602</v>
      </c>
      <c r="AA63" s="432" t="str">
        <f t="shared" si="71"/>
        <v>(2,1,1,2,1,1); Industry data (French tender), converted to silicon factory modelled by Brailovsky (2026)</v>
      </c>
      <c r="AB63" s="435">
        <f>AB99</f>
        <v>5.3098240640455079E-11</v>
      </c>
      <c r="AC63" s="95">
        <v>1</v>
      </c>
      <c r="AD63" s="96">
        <f t="shared" si="41"/>
        <v>3.0520641172448602</v>
      </c>
      <c r="AE63" s="432" t="str">
        <f t="shared" si="72"/>
        <v>(2,1,1,2,1,1); Industry data (French tender), converted to silicon factory modelled by Brailovsky (2026)</v>
      </c>
      <c r="AF63" s="435">
        <f t="shared" si="87"/>
        <v>5.3098240640455079E-11</v>
      </c>
      <c r="AG63" s="95">
        <v>1</v>
      </c>
      <c r="AH63" s="96">
        <f t="shared" si="43"/>
        <v>3.0520641172448602</v>
      </c>
      <c r="AI63" s="432" t="str">
        <f t="shared" si="73"/>
        <v>(2,1,1,2,1,1); Industry data (French tender), converted to silicon factory modelled by Brailovsky (2026)</v>
      </c>
      <c r="AJ63" s="435">
        <f t="shared" ref="AJ63:AJ69" si="92">AF63</f>
        <v>5.3098240640455079E-11</v>
      </c>
      <c r="AK63" s="95">
        <v>1</v>
      </c>
      <c r="AL63" s="96">
        <f t="shared" si="45"/>
        <v>3.0520641172448602</v>
      </c>
      <c r="AM63" s="432" t="str">
        <f t="shared" si="74"/>
        <v>(2,1,1,2,1,1); Industry data (French tender), converted to silicon factory modelled by Brailovsky (2026)</v>
      </c>
      <c r="AN63" s="435">
        <f t="shared" ref="AN63:AN69" si="93">AJ63</f>
        <v>5.3098240640455079E-11</v>
      </c>
      <c r="AO63" s="95">
        <v>1</v>
      </c>
      <c r="AP63" s="96">
        <f t="shared" si="47"/>
        <v>3.0520641172448602</v>
      </c>
      <c r="AQ63" s="432" t="str">
        <f t="shared" si="75"/>
        <v>(2,1,1,2,1,1); Industry data (French tender), converted to silicon factory modelled by Brailovsky (2026)</v>
      </c>
      <c r="AR63" s="435">
        <f>AR99</f>
        <v>8.3248562231807273E-12</v>
      </c>
      <c r="AS63" s="95">
        <v>1</v>
      </c>
      <c r="AT63" s="96">
        <f t="shared" si="48"/>
        <v>3.0520641172448602</v>
      </c>
      <c r="AU63" s="432" t="str">
        <f t="shared" si="76"/>
        <v>(2,1,1,2,1,1); Industry data (French tender), converted to silicon factory modelled by Brailovsky (2026)</v>
      </c>
      <c r="AV63" s="435">
        <f t="shared" ref="AV63:AV69" si="94">AR63</f>
        <v>8.3248562231807273E-12</v>
      </c>
      <c r="AW63" s="95">
        <v>1</v>
      </c>
      <c r="AX63" s="96">
        <f t="shared" si="50"/>
        <v>3.0520641172448602</v>
      </c>
      <c r="AY63" s="432" t="str">
        <f t="shared" si="77"/>
        <v>(2,1,1,2,1,1); Industry data (French tender), converted to silicon factory modelled by Brailovsky (2026)</v>
      </c>
      <c r="AZ63" s="435">
        <f t="shared" ref="AZ63:AZ69" si="95">AV63</f>
        <v>8.3248562231807273E-12</v>
      </c>
      <c r="BA63" s="95">
        <v>1</v>
      </c>
      <c r="BB63" s="96">
        <f t="shared" si="52"/>
        <v>3.0520641172448602</v>
      </c>
      <c r="BC63" s="432" t="str">
        <f t="shared" si="78"/>
        <v>(2,1,1,2,1,1); Industry data (French tender), converted to silicon factory modelled by Brailovsky (2026)</v>
      </c>
      <c r="BD63" s="435">
        <f t="shared" ref="BD63:BD69" si="96">AZ63</f>
        <v>8.3248562231807273E-12</v>
      </c>
      <c r="BE63" s="95">
        <v>1</v>
      </c>
      <c r="BF63" s="96">
        <f t="shared" si="54"/>
        <v>3.0520641172448602</v>
      </c>
      <c r="BG63" s="432" t="str">
        <f t="shared" si="79"/>
        <v>(2,1,1,2,1,1); Industry data (French tender), converted to silicon factory modelled by Brailovsky (2026)</v>
      </c>
      <c r="BH63" s="435">
        <v>9.9999999999999994E-12</v>
      </c>
      <c r="BI63" s="95">
        <v>1</v>
      </c>
      <c r="BJ63" s="96">
        <f t="shared" si="55"/>
        <v>3.0520641172448602</v>
      </c>
      <c r="BK63" s="432" t="str">
        <f t="shared" si="80"/>
        <v>(2,4,1,3,1,5); Brailovsky (2026)</v>
      </c>
      <c r="BL63" s="435">
        <f t="shared" ref="BL63:BL69" si="97">BH63</f>
        <v>9.9999999999999994E-12</v>
      </c>
      <c r="BM63" s="95">
        <v>1</v>
      </c>
      <c r="BN63" s="96">
        <f t="shared" si="57"/>
        <v>3.0520641172448602</v>
      </c>
      <c r="BO63" s="432" t="str">
        <f t="shared" si="81"/>
        <v>(2,4,1,3,1,5); Brailovsky (2026)</v>
      </c>
      <c r="BP63" s="432"/>
      <c r="BQ63" s="112"/>
      <c r="BR63" s="705" t="s">
        <v>509</v>
      </c>
      <c r="BS63" s="77">
        <v>2</v>
      </c>
      <c r="BT63" s="339">
        <v>1</v>
      </c>
      <c r="BU63" s="339">
        <v>1</v>
      </c>
      <c r="BV63" s="339">
        <v>2</v>
      </c>
      <c r="BW63" s="339">
        <v>1</v>
      </c>
      <c r="BX63" s="339">
        <v>1</v>
      </c>
      <c r="BY63" s="104">
        <v>9</v>
      </c>
      <c r="BZ63" s="104">
        <v>3</v>
      </c>
      <c r="CA63" s="104">
        <f t="shared" si="82"/>
        <v>1.0510550504206344</v>
      </c>
      <c r="CB63" s="107">
        <v>3.0520641172448602</v>
      </c>
      <c r="CC63" s="107" t="str">
        <f t="shared" si="83"/>
        <v>(2,1,1,2,1,1)</v>
      </c>
      <c r="CD63" s="108">
        <v>1.05</v>
      </c>
      <c r="CE63" s="108">
        <v>1</v>
      </c>
      <c r="CF63" s="108">
        <v>1</v>
      </c>
      <c r="CG63" s="108">
        <v>1.01</v>
      </c>
      <c r="CH63" s="108">
        <v>1</v>
      </c>
      <c r="CI63" s="108">
        <v>1</v>
      </c>
      <c r="CK63" s="111" t="s">
        <v>469</v>
      </c>
      <c r="CL63" s="77">
        <v>2</v>
      </c>
      <c r="CM63" s="339">
        <v>4</v>
      </c>
      <c r="CN63" s="339">
        <v>1</v>
      </c>
      <c r="CO63" s="339">
        <v>3</v>
      </c>
      <c r="CP63" s="339">
        <v>1</v>
      </c>
      <c r="CQ63" s="339">
        <v>5</v>
      </c>
      <c r="CR63" s="104">
        <v>9</v>
      </c>
      <c r="CS63" s="104">
        <v>3</v>
      </c>
      <c r="CT63" s="104">
        <f t="shared" si="84"/>
        <v>1.2365959919080913</v>
      </c>
      <c r="CU63" s="107">
        <v>3.0520641172448602</v>
      </c>
      <c r="CV63" s="107" t="str">
        <f t="shared" si="85"/>
        <v>(2,4,1,3,1,5)</v>
      </c>
      <c r="CW63" s="108">
        <v>1.05</v>
      </c>
      <c r="CX63" s="108">
        <v>1.1000000000000001</v>
      </c>
      <c r="CY63" s="108">
        <v>1</v>
      </c>
      <c r="CZ63" s="108">
        <v>1.02</v>
      </c>
      <c r="DA63" s="108">
        <v>1</v>
      </c>
      <c r="DB63" s="108">
        <v>1.2</v>
      </c>
    </row>
    <row r="64" spans="1:106" ht="24">
      <c r="A64" s="330">
        <v>264499</v>
      </c>
      <c r="B64" s="331"/>
      <c r="C64" s="88"/>
      <c r="D64" s="340">
        <v>5</v>
      </c>
      <c r="E64" s="341" t="s">
        <v>98</v>
      </c>
      <c r="F64" s="432" t="s">
        <v>510</v>
      </c>
      <c r="G64" s="433" t="s">
        <v>93</v>
      </c>
      <c r="H64" s="434" t="s">
        <v>98</v>
      </c>
      <c r="I64" s="434" t="s">
        <v>98</v>
      </c>
      <c r="J64" s="94">
        <v>1</v>
      </c>
      <c r="K64" s="433" t="s">
        <v>96</v>
      </c>
      <c r="L64" s="435">
        <v>5.6165317919075197E-3</v>
      </c>
      <c r="M64" s="95">
        <v>1</v>
      </c>
      <c r="N64" s="96">
        <f t="shared" si="67"/>
        <v>3.0520641172448602</v>
      </c>
      <c r="O64" s="432" t="str">
        <f t="shared" si="68"/>
        <v>(2,1,1,2,1,1); Industry data (French tender)</v>
      </c>
      <c r="P64" s="435">
        <f t="shared" si="86"/>
        <v>5.6165317919075197E-3</v>
      </c>
      <c r="Q64" s="95">
        <v>1</v>
      </c>
      <c r="R64" s="96">
        <f t="shared" si="88"/>
        <v>3.0520641172448602</v>
      </c>
      <c r="S64" s="432" t="str">
        <f t="shared" si="69"/>
        <v>(2,1,1,2,1,1); Industry data (French tender)</v>
      </c>
      <c r="T64" s="435">
        <f t="shared" si="89"/>
        <v>5.6165317919075197E-3</v>
      </c>
      <c r="U64" s="95">
        <v>1</v>
      </c>
      <c r="V64" s="96">
        <f t="shared" si="90"/>
        <v>3.0520641172448602</v>
      </c>
      <c r="W64" s="432" t="str">
        <f t="shared" si="70"/>
        <v>(2,1,1,2,1,1); Industry data (French tender)</v>
      </c>
      <c r="X64" s="435">
        <f t="shared" si="91"/>
        <v>5.6165317919075197E-3</v>
      </c>
      <c r="Y64" s="95">
        <v>1</v>
      </c>
      <c r="Z64" s="96">
        <f t="shared" si="40"/>
        <v>3.0520641172448602</v>
      </c>
      <c r="AA64" s="432" t="str">
        <f t="shared" si="71"/>
        <v>(2,1,1,2,1,1); Industry data (French tender)</v>
      </c>
      <c r="AB64" s="435">
        <v>1.4419807692307701E-2</v>
      </c>
      <c r="AC64" s="95">
        <v>1</v>
      </c>
      <c r="AD64" s="96">
        <f t="shared" si="41"/>
        <v>3.0520641172448602</v>
      </c>
      <c r="AE64" s="432" t="str">
        <f t="shared" si="72"/>
        <v>(2,1,1,2,1,1); Industry data (French tender)</v>
      </c>
      <c r="AF64" s="435">
        <f t="shared" si="87"/>
        <v>1.4419807692307701E-2</v>
      </c>
      <c r="AG64" s="95">
        <v>1</v>
      </c>
      <c r="AH64" s="96">
        <f t="shared" si="43"/>
        <v>3.0520641172448602</v>
      </c>
      <c r="AI64" s="432" t="str">
        <f t="shared" si="73"/>
        <v>(2,1,1,2,1,1); Industry data (French tender)</v>
      </c>
      <c r="AJ64" s="435">
        <f t="shared" si="92"/>
        <v>1.4419807692307701E-2</v>
      </c>
      <c r="AK64" s="95">
        <v>1</v>
      </c>
      <c r="AL64" s="96">
        <f t="shared" si="45"/>
        <v>3.0520641172448602</v>
      </c>
      <c r="AM64" s="432" t="str">
        <f t="shared" si="74"/>
        <v>(2,1,1,2,1,1); Industry data (French tender)</v>
      </c>
      <c r="AN64" s="435">
        <f t="shared" si="93"/>
        <v>1.4419807692307701E-2</v>
      </c>
      <c r="AO64" s="95">
        <v>1</v>
      </c>
      <c r="AP64" s="96">
        <f t="shared" si="47"/>
        <v>3.0520641172448602</v>
      </c>
      <c r="AQ64" s="432" t="str">
        <f t="shared" si="75"/>
        <v>(2,1,1,2,1,1); Industry data (French tender)</v>
      </c>
      <c r="AR64" s="435">
        <v>2.7907024993155302E-4</v>
      </c>
      <c r="AS64" s="95">
        <v>1</v>
      </c>
      <c r="AT64" s="96">
        <f t="shared" si="48"/>
        <v>3.0520641172448602</v>
      </c>
      <c r="AU64" s="432" t="str">
        <f t="shared" si="76"/>
        <v>(2,1,1,2,1,1); Industry data (French tender)</v>
      </c>
      <c r="AV64" s="435">
        <f t="shared" si="94"/>
        <v>2.7907024993155302E-4</v>
      </c>
      <c r="AW64" s="95">
        <v>1</v>
      </c>
      <c r="AX64" s="96">
        <f t="shared" si="50"/>
        <v>3.0520641172448602</v>
      </c>
      <c r="AY64" s="432" t="str">
        <f t="shared" si="77"/>
        <v>(2,1,1,2,1,1); Industry data (French tender)</v>
      </c>
      <c r="AZ64" s="435">
        <f t="shared" si="95"/>
        <v>2.7907024993155302E-4</v>
      </c>
      <c r="BA64" s="95">
        <v>1</v>
      </c>
      <c r="BB64" s="96">
        <f t="shared" si="52"/>
        <v>3.0520641172448602</v>
      </c>
      <c r="BC64" s="432" t="str">
        <f t="shared" si="78"/>
        <v>(2,1,1,2,1,1); Industry data (French tender)</v>
      </c>
      <c r="BD64" s="435">
        <f t="shared" si="96"/>
        <v>2.7907024993155302E-4</v>
      </c>
      <c r="BE64" s="95">
        <v>1</v>
      </c>
      <c r="BF64" s="96">
        <f t="shared" si="54"/>
        <v>3.0520641172448602</v>
      </c>
      <c r="BG64" s="432" t="str">
        <f t="shared" si="79"/>
        <v>(2,1,1,2,1,1); Industry data (French tender)</v>
      </c>
      <c r="BH64" s="435">
        <v>0</v>
      </c>
      <c r="BI64" s="95">
        <v>1</v>
      </c>
      <c r="BJ64" s="96">
        <f t="shared" si="55"/>
        <v>3.0520641172448602</v>
      </c>
      <c r="BK64" s="432" t="str">
        <f t="shared" si="80"/>
        <v xml:space="preserve">(na,na,na,na,na,na); </v>
      </c>
      <c r="BL64" s="435">
        <f t="shared" si="97"/>
        <v>0</v>
      </c>
      <c r="BM64" s="95">
        <v>1</v>
      </c>
      <c r="BN64" s="96">
        <f t="shared" si="57"/>
        <v>3.0520641172448602</v>
      </c>
      <c r="BO64" s="432" t="str">
        <f t="shared" si="81"/>
        <v xml:space="preserve">(na,na,na,na,na,na); </v>
      </c>
      <c r="BP64" s="432"/>
      <c r="BQ64" s="112"/>
      <c r="BR64" s="705" t="s">
        <v>462</v>
      </c>
      <c r="BS64" s="77">
        <v>2</v>
      </c>
      <c r="BT64" s="339">
        <v>1</v>
      </c>
      <c r="BU64" s="339">
        <v>1</v>
      </c>
      <c r="BV64" s="339">
        <v>2</v>
      </c>
      <c r="BW64" s="339">
        <v>1</v>
      </c>
      <c r="BX64" s="339">
        <v>1</v>
      </c>
      <c r="BY64" s="104">
        <v>9</v>
      </c>
      <c r="BZ64" s="104">
        <v>3</v>
      </c>
      <c r="CA64" s="104">
        <f t="shared" si="82"/>
        <v>1.0510550504206344</v>
      </c>
      <c r="CB64" s="107">
        <v>3.0520641172448602</v>
      </c>
      <c r="CC64" s="107" t="str">
        <f t="shared" si="83"/>
        <v>(2,1,1,2,1,1)</v>
      </c>
      <c r="CD64" s="108">
        <v>1.05</v>
      </c>
      <c r="CE64" s="108">
        <v>1</v>
      </c>
      <c r="CF64" s="108">
        <v>1</v>
      </c>
      <c r="CG64" s="108">
        <v>1.01</v>
      </c>
      <c r="CH64" s="108">
        <v>1</v>
      </c>
      <c r="CI64" s="108">
        <v>1</v>
      </c>
      <c r="CK64" s="111"/>
      <c r="CL64" s="77" t="s">
        <v>106</v>
      </c>
      <c r="CM64" s="339" t="s">
        <v>106</v>
      </c>
      <c r="CN64" s="339" t="s">
        <v>106</v>
      </c>
      <c r="CO64" s="339" t="s">
        <v>106</v>
      </c>
      <c r="CP64" s="339" t="s">
        <v>106</v>
      </c>
      <c r="CQ64" s="339" t="s">
        <v>106</v>
      </c>
      <c r="CR64" s="104">
        <v>9</v>
      </c>
      <c r="CS64" s="104">
        <v>3</v>
      </c>
      <c r="CT64" s="104">
        <f t="shared" si="84"/>
        <v>1</v>
      </c>
      <c r="CU64" s="107">
        <v>3.0520641172448602</v>
      </c>
      <c r="CV64" s="107" t="str">
        <f t="shared" si="85"/>
        <v>(na,na,na,na,na,na)</v>
      </c>
      <c r="CW64" s="108">
        <v>1</v>
      </c>
      <c r="CX64" s="108">
        <v>1</v>
      </c>
      <c r="CY64" s="108">
        <v>1</v>
      </c>
      <c r="CZ64" s="108">
        <v>1</v>
      </c>
      <c r="DA64" s="108">
        <v>1</v>
      </c>
      <c r="DB64" s="108">
        <v>1</v>
      </c>
    </row>
    <row r="65" spans="1:106" ht="36">
      <c r="A65" s="330">
        <v>79239</v>
      </c>
      <c r="B65" s="331" t="s">
        <v>511</v>
      </c>
      <c r="C65" s="88"/>
      <c r="D65" s="340">
        <v>5</v>
      </c>
      <c r="E65" s="341" t="s">
        <v>98</v>
      </c>
      <c r="F65" s="432" t="s">
        <v>512</v>
      </c>
      <c r="G65" s="433" t="s">
        <v>103</v>
      </c>
      <c r="H65" s="434" t="s">
        <v>98</v>
      </c>
      <c r="I65" s="434" t="s">
        <v>98</v>
      </c>
      <c r="J65" s="94">
        <v>0</v>
      </c>
      <c r="K65" s="433" t="s">
        <v>96</v>
      </c>
      <c r="L65" s="435">
        <v>9.5333333333333298E-2</v>
      </c>
      <c r="M65" s="95">
        <v>1</v>
      </c>
      <c r="N65" s="96">
        <f t="shared" si="67"/>
        <v>3.0520641172448602</v>
      </c>
      <c r="O65" s="432" t="str">
        <f t="shared" si="68"/>
        <v>(2,1,1,2,1,1); Industry data (French tender), incl. PAC</v>
      </c>
      <c r="P65" s="435">
        <f t="shared" si="86"/>
        <v>9.5333333333333298E-2</v>
      </c>
      <c r="Q65" s="95">
        <v>1</v>
      </c>
      <c r="R65" s="96">
        <f t="shared" si="88"/>
        <v>3.0520641172448602</v>
      </c>
      <c r="S65" s="432" t="str">
        <f t="shared" si="69"/>
        <v>(2,1,1,2,1,1); Industry data (French tender), incl. PAC</v>
      </c>
      <c r="T65" s="435">
        <f t="shared" si="89"/>
        <v>9.5333333333333298E-2</v>
      </c>
      <c r="U65" s="95">
        <v>1</v>
      </c>
      <c r="V65" s="96">
        <f t="shared" si="90"/>
        <v>3.0520641172448602</v>
      </c>
      <c r="W65" s="432" t="str">
        <f t="shared" si="70"/>
        <v>(2,1,1,2,1,1); Industry data (French tender), incl. PAC</v>
      </c>
      <c r="X65" s="435">
        <f t="shared" si="91"/>
        <v>9.5333333333333298E-2</v>
      </c>
      <c r="Y65" s="95">
        <v>1</v>
      </c>
      <c r="Z65" s="96">
        <f t="shared" si="40"/>
        <v>3.0520641172448602</v>
      </c>
      <c r="AA65" s="432" t="str">
        <f t="shared" si="71"/>
        <v>(2,1,1,2,1,1); Industry data (French tender), incl. PAC</v>
      </c>
      <c r="AB65" s="435">
        <v>5.3108076923076897E-2</v>
      </c>
      <c r="AC65" s="95">
        <v>1</v>
      </c>
      <c r="AD65" s="96">
        <f t="shared" si="41"/>
        <v>3.0520641172448602</v>
      </c>
      <c r="AE65" s="432" t="str">
        <f t="shared" si="72"/>
        <v>(2,1,1,2,1,1); Industry data (French tender), incl. PAC</v>
      </c>
      <c r="AF65" s="435">
        <f t="shared" si="87"/>
        <v>5.3108076923076897E-2</v>
      </c>
      <c r="AG65" s="95">
        <v>1</v>
      </c>
      <c r="AH65" s="96">
        <f t="shared" si="43"/>
        <v>3.0520641172448602</v>
      </c>
      <c r="AI65" s="432" t="str">
        <f t="shared" si="73"/>
        <v>(2,1,1,2,1,1); Industry data (French tender), incl. PAC</v>
      </c>
      <c r="AJ65" s="435">
        <f t="shared" si="92"/>
        <v>5.3108076923076897E-2</v>
      </c>
      <c r="AK65" s="95">
        <v>1</v>
      </c>
      <c r="AL65" s="96">
        <f t="shared" si="45"/>
        <v>3.0520641172448602</v>
      </c>
      <c r="AM65" s="432" t="str">
        <f t="shared" si="74"/>
        <v>(2,1,1,2,1,1); Industry data (French tender), incl. PAC</v>
      </c>
      <c r="AN65" s="435">
        <f t="shared" si="93"/>
        <v>5.3108076923076897E-2</v>
      </c>
      <c r="AO65" s="95">
        <v>1</v>
      </c>
      <c r="AP65" s="96">
        <f t="shared" si="47"/>
        <v>3.0520641172448602</v>
      </c>
      <c r="AQ65" s="432" t="str">
        <f t="shared" si="75"/>
        <v>(2,1,1,2,1,1); Industry data (French tender), incl. PAC</v>
      </c>
      <c r="AR65" s="435">
        <f>0.0306448405905272+0.00028847890553129</f>
        <v>3.093331949605849E-2</v>
      </c>
      <c r="AS65" s="95">
        <v>1</v>
      </c>
      <c r="AT65" s="96">
        <f t="shared" si="48"/>
        <v>3.0520641172448602</v>
      </c>
      <c r="AU65" s="432" t="str">
        <f t="shared" si="76"/>
        <v>(2,1,1,2,1,1); Industry data (French tender), incl. PAC</v>
      </c>
      <c r="AV65" s="435">
        <f t="shared" si="94"/>
        <v>3.093331949605849E-2</v>
      </c>
      <c r="AW65" s="95">
        <v>1</v>
      </c>
      <c r="AX65" s="96">
        <f t="shared" si="50"/>
        <v>3.0520641172448602</v>
      </c>
      <c r="AY65" s="432" t="str">
        <f t="shared" si="77"/>
        <v>(2,1,1,2,1,1); Industry data (French tender), incl. PAC</v>
      </c>
      <c r="AZ65" s="435">
        <f t="shared" si="95"/>
        <v>3.093331949605849E-2</v>
      </c>
      <c r="BA65" s="95">
        <v>1</v>
      </c>
      <c r="BB65" s="96">
        <f t="shared" si="52"/>
        <v>3.0520641172448602</v>
      </c>
      <c r="BC65" s="432" t="str">
        <f t="shared" si="78"/>
        <v>(2,1,1,2,1,1); Industry data (French tender), incl. PAC</v>
      </c>
      <c r="BD65" s="435">
        <f t="shared" si="96"/>
        <v>3.093331949605849E-2</v>
      </c>
      <c r="BE65" s="95">
        <v>1</v>
      </c>
      <c r="BF65" s="96">
        <f t="shared" si="54"/>
        <v>3.0520641172448602</v>
      </c>
      <c r="BG65" s="432" t="str">
        <f t="shared" si="79"/>
        <v>(2,1,1,2,1,1); Industry data (French tender), incl. PAC</v>
      </c>
      <c r="BH65" s="435">
        <v>0</v>
      </c>
      <c r="BI65" s="95">
        <v>1</v>
      </c>
      <c r="BJ65" s="96">
        <f t="shared" si="55"/>
        <v>3.0520641172448602</v>
      </c>
      <c r="BK65" s="432" t="str">
        <f t="shared" si="80"/>
        <v xml:space="preserve">(na,na,na,na,na,na); </v>
      </c>
      <c r="BL65" s="435">
        <f t="shared" si="97"/>
        <v>0</v>
      </c>
      <c r="BM65" s="95">
        <v>1</v>
      </c>
      <c r="BN65" s="96">
        <f t="shared" si="57"/>
        <v>3.0520641172448602</v>
      </c>
      <c r="BO65" s="432" t="str">
        <f t="shared" si="81"/>
        <v xml:space="preserve">(na,na,na,na,na,na); </v>
      </c>
      <c r="BP65" s="432"/>
      <c r="BQ65" s="112"/>
      <c r="BR65" s="705" t="s">
        <v>513</v>
      </c>
      <c r="BS65" s="77">
        <v>2</v>
      </c>
      <c r="BT65" s="339">
        <v>1</v>
      </c>
      <c r="BU65" s="339">
        <v>1</v>
      </c>
      <c r="BV65" s="339">
        <v>2</v>
      </c>
      <c r="BW65" s="339">
        <v>1</v>
      </c>
      <c r="BX65" s="339">
        <v>1</v>
      </c>
      <c r="BY65" s="104">
        <v>6</v>
      </c>
      <c r="BZ65" s="104">
        <v>1.05</v>
      </c>
      <c r="CA65" s="104">
        <f t="shared" si="82"/>
        <v>1.0510550504206344</v>
      </c>
      <c r="CB65" s="107">
        <v>3.0520641172448602</v>
      </c>
      <c r="CC65" s="107" t="str">
        <f t="shared" si="83"/>
        <v>(2,1,1,2,1,1)</v>
      </c>
      <c r="CD65" s="108">
        <v>1.05</v>
      </c>
      <c r="CE65" s="108">
        <v>1</v>
      </c>
      <c r="CF65" s="108">
        <v>1</v>
      </c>
      <c r="CG65" s="108">
        <v>1.01</v>
      </c>
      <c r="CH65" s="108">
        <v>1</v>
      </c>
      <c r="CI65" s="108">
        <v>1</v>
      </c>
      <c r="CK65" s="111"/>
      <c r="CL65" s="77" t="s">
        <v>106</v>
      </c>
      <c r="CM65" s="339" t="s">
        <v>106</v>
      </c>
      <c r="CN65" s="339" t="s">
        <v>106</v>
      </c>
      <c r="CO65" s="339" t="s">
        <v>106</v>
      </c>
      <c r="CP65" s="339" t="s">
        <v>106</v>
      </c>
      <c r="CQ65" s="339" t="s">
        <v>106</v>
      </c>
      <c r="CR65" s="104">
        <v>6</v>
      </c>
      <c r="CS65" s="104">
        <v>1.05</v>
      </c>
      <c r="CT65" s="104">
        <f t="shared" si="84"/>
        <v>1</v>
      </c>
      <c r="CU65" s="107">
        <v>3.0520641172448602</v>
      </c>
      <c r="CV65" s="107" t="str">
        <f t="shared" si="85"/>
        <v>(na,na,na,na,na,na)</v>
      </c>
      <c r="CW65" s="108">
        <v>1</v>
      </c>
      <c r="CX65" s="108">
        <v>1</v>
      </c>
      <c r="CY65" s="108">
        <v>1</v>
      </c>
      <c r="CZ65" s="108">
        <v>1</v>
      </c>
      <c r="DA65" s="108">
        <v>1</v>
      </c>
      <c r="DB65" s="108">
        <v>1</v>
      </c>
    </row>
    <row r="66" spans="1:106" ht="36">
      <c r="A66" s="330">
        <v>268853</v>
      </c>
      <c r="B66" s="331"/>
      <c r="C66" s="88"/>
      <c r="D66" s="340">
        <v>5</v>
      </c>
      <c r="E66" s="341" t="s">
        <v>98</v>
      </c>
      <c r="F66" s="432" t="s">
        <v>514</v>
      </c>
      <c r="G66" s="433" t="s">
        <v>103</v>
      </c>
      <c r="H66" s="434" t="s">
        <v>98</v>
      </c>
      <c r="I66" s="434" t="s">
        <v>98</v>
      </c>
      <c r="J66" s="94">
        <v>0</v>
      </c>
      <c r="K66" s="433" t="s">
        <v>96</v>
      </c>
      <c r="L66" s="435">
        <v>0.64850959441233103</v>
      </c>
      <c r="M66" s="95">
        <v>1</v>
      </c>
      <c r="N66" s="96">
        <f t="shared" si="67"/>
        <v>3.0520641172448602</v>
      </c>
      <c r="O66" s="432" t="str">
        <f t="shared" si="68"/>
        <v>(2,1,1,2,1,1); Industry data (French tender)</v>
      </c>
      <c r="P66" s="435">
        <f t="shared" si="86"/>
        <v>0.64850959441233103</v>
      </c>
      <c r="Q66" s="95">
        <v>1</v>
      </c>
      <c r="R66" s="96">
        <f t="shared" si="88"/>
        <v>3.0520641172448602</v>
      </c>
      <c r="S66" s="432" t="str">
        <f t="shared" si="69"/>
        <v>(2,1,1,2,1,1); Industry data (French tender)</v>
      </c>
      <c r="T66" s="435">
        <f t="shared" si="89"/>
        <v>0.64850959441233103</v>
      </c>
      <c r="U66" s="95">
        <v>1</v>
      </c>
      <c r="V66" s="96">
        <f t="shared" si="90"/>
        <v>3.0520641172448602</v>
      </c>
      <c r="W66" s="432" t="str">
        <f t="shared" si="70"/>
        <v>(2,1,1,2,1,1); Industry data (French tender)</v>
      </c>
      <c r="X66" s="435">
        <f t="shared" si="91"/>
        <v>0.64850959441233103</v>
      </c>
      <c r="Y66" s="95">
        <v>1</v>
      </c>
      <c r="Z66" s="96">
        <f t="shared" si="40"/>
        <v>3.0520641172448602</v>
      </c>
      <c r="AA66" s="432" t="str">
        <f t="shared" si="71"/>
        <v>(2,1,1,2,1,1); Industry data (French tender)</v>
      </c>
      <c r="AB66" s="435">
        <v>1.24615384615385E-5</v>
      </c>
      <c r="AC66" s="95">
        <v>1</v>
      </c>
      <c r="AD66" s="96">
        <f t="shared" si="41"/>
        <v>3.0520641172448602</v>
      </c>
      <c r="AE66" s="432" t="str">
        <f t="shared" si="72"/>
        <v>(2,1,1,2,1,1); Industry data (French tender)</v>
      </c>
      <c r="AF66" s="435">
        <f t="shared" si="87"/>
        <v>1.24615384615385E-5</v>
      </c>
      <c r="AG66" s="95">
        <v>1</v>
      </c>
      <c r="AH66" s="96">
        <f t="shared" si="43"/>
        <v>3.0520641172448602</v>
      </c>
      <c r="AI66" s="432" t="str">
        <f t="shared" si="73"/>
        <v>(2,1,1,2,1,1); Industry data (French tender)</v>
      </c>
      <c r="AJ66" s="435">
        <f t="shared" si="92"/>
        <v>1.24615384615385E-5</v>
      </c>
      <c r="AK66" s="95">
        <v>1</v>
      </c>
      <c r="AL66" s="96">
        <f t="shared" si="45"/>
        <v>3.0520641172448602</v>
      </c>
      <c r="AM66" s="432" t="str">
        <f t="shared" si="74"/>
        <v>(2,1,1,2,1,1); Industry data (French tender)</v>
      </c>
      <c r="AN66" s="435">
        <f t="shared" si="93"/>
        <v>1.24615384615385E-5</v>
      </c>
      <c r="AO66" s="95">
        <v>1</v>
      </c>
      <c r="AP66" s="96">
        <f t="shared" si="47"/>
        <v>3.0520641172448602</v>
      </c>
      <c r="AQ66" s="432" t="str">
        <f t="shared" si="75"/>
        <v>(2,1,1,2,1,1); Industry data (French tender)</v>
      </c>
      <c r="AR66" s="435">
        <v>5.4963495834219897E-3</v>
      </c>
      <c r="AS66" s="95">
        <v>1</v>
      </c>
      <c r="AT66" s="96">
        <f t="shared" si="48"/>
        <v>3.0520641172448602</v>
      </c>
      <c r="AU66" s="432" t="str">
        <f t="shared" si="76"/>
        <v>(2,1,1,2,1,1); Industry data (French tender)</v>
      </c>
      <c r="AV66" s="435">
        <f t="shared" si="94"/>
        <v>5.4963495834219897E-3</v>
      </c>
      <c r="AW66" s="95">
        <v>1</v>
      </c>
      <c r="AX66" s="96">
        <f t="shared" si="50"/>
        <v>3.0520641172448602</v>
      </c>
      <c r="AY66" s="432" t="str">
        <f t="shared" si="77"/>
        <v>(2,1,1,2,1,1); Industry data (French tender)</v>
      </c>
      <c r="AZ66" s="435">
        <f t="shared" si="95"/>
        <v>5.4963495834219897E-3</v>
      </c>
      <c r="BA66" s="95">
        <v>1</v>
      </c>
      <c r="BB66" s="96">
        <f t="shared" si="52"/>
        <v>3.0520641172448602</v>
      </c>
      <c r="BC66" s="432" t="str">
        <f t="shared" si="78"/>
        <v>(2,1,1,2,1,1); Industry data (French tender)</v>
      </c>
      <c r="BD66" s="435">
        <f t="shared" si="96"/>
        <v>5.4963495834219897E-3</v>
      </c>
      <c r="BE66" s="95">
        <v>1</v>
      </c>
      <c r="BF66" s="96">
        <f t="shared" si="54"/>
        <v>3.0520641172448602</v>
      </c>
      <c r="BG66" s="432" t="str">
        <f t="shared" si="79"/>
        <v>(2,1,1,2,1,1); Industry data (French tender)</v>
      </c>
      <c r="BH66" s="435">
        <v>0</v>
      </c>
      <c r="BI66" s="95">
        <v>1</v>
      </c>
      <c r="BJ66" s="96">
        <f t="shared" si="55"/>
        <v>3.0520641172448602</v>
      </c>
      <c r="BK66" s="432" t="str">
        <f t="shared" si="80"/>
        <v xml:space="preserve">(na,na,na,na,na,na); </v>
      </c>
      <c r="BL66" s="435">
        <f t="shared" si="97"/>
        <v>0</v>
      </c>
      <c r="BM66" s="95">
        <v>1</v>
      </c>
      <c r="BN66" s="96">
        <f t="shared" si="57"/>
        <v>3.0520641172448602</v>
      </c>
      <c r="BO66" s="432" t="str">
        <f t="shared" si="81"/>
        <v xml:space="preserve">(na,na,na,na,na,na); </v>
      </c>
      <c r="BP66" s="432"/>
      <c r="BQ66" s="112"/>
      <c r="BR66" s="705" t="s">
        <v>462</v>
      </c>
      <c r="BS66" s="77">
        <v>2</v>
      </c>
      <c r="BT66" s="339">
        <v>1</v>
      </c>
      <c r="BU66" s="339">
        <v>1</v>
      </c>
      <c r="BV66" s="339">
        <v>2</v>
      </c>
      <c r="BW66" s="339">
        <v>1</v>
      </c>
      <c r="BX66" s="339">
        <v>1</v>
      </c>
      <c r="BY66" s="104">
        <v>6</v>
      </c>
      <c r="BZ66" s="104">
        <v>1.05</v>
      </c>
      <c r="CA66" s="104">
        <f t="shared" si="82"/>
        <v>1.0510550504206344</v>
      </c>
      <c r="CB66" s="107">
        <v>3.0520641172448602</v>
      </c>
      <c r="CC66" s="107" t="str">
        <f t="shared" si="83"/>
        <v>(2,1,1,2,1,1)</v>
      </c>
      <c r="CD66" s="108">
        <v>1.05</v>
      </c>
      <c r="CE66" s="108">
        <v>1</v>
      </c>
      <c r="CF66" s="108">
        <v>1</v>
      </c>
      <c r="CG66" s="108">
        <v>1.01</v>
      </c>
      <c r="CH66" s="108">
        <v>1</v>
      </c>
      <c r="CI66" s="108">
        <v>1</v>
      </c>
      <c r="CK66" s="111"/>
      <c r="CL66" s="77" t="s">
        <v>106</v>
      </c>
      <c r="CM66" s="339" t="s">
        <v>106</v>
      </c>
      <c r="CN66" s="339" t="s">
        <v>106</v>
      </c>
      <c r="CO66" s="339" t="s">
        <v>106</v>
      </c>
      <c r="CP66" s="339" t="s">
        <v>106</v>
      </c>
      <c r="CQ66" s="339" t="s">
        <v>106</v>
      </c>
      <c r="CR66" s="104">
        <v>6</v>
      </c>
      <c r="CS66" s="104">
        <v>1.05</v>
      </c>
      <c r="CT66" s="104">
        <f t="shared" si="84"/>
        <v>1</v>
      </c>
      <c r="CU66" s="107">
        <v>3.0520641172448602</v>
      </c>
      <c r="CV66" s="107" t="str">
        <f t="shared" si="85"/>
        <v>(na,na,na,na,na,na)</v>
      </c>
      <c r="CW66" s="108">
        <v>1</v>
      </c>
      <c r="CX66" s="108">
        <v>1</v>
      </c>
      <c r="CY66" s="108">
        <v>1</v>
      </c>
      <c r="CZ66" s="108">
        <v>1</v>
      </c>
      <c r="DA66" s="108">
        <v>1</v>
      </c>
      <c r="DB66" s="108">
        <v>1</v>
      </c>
    </row>
    <row r="67" spans="1:106" ht="36">
      <c r="A67" s="330">
        <v>157753</v>
      </c>
      <c r="B67" s="331"/>
      <c r="C67" s="88"/>
      <c r="D67" s="340">
        <v>5</v>
      </c>
      <c r="E67" s="341" t="s">
        <v>98</v>
      </c>
      <c r="F67" s="432" t="s">
        <v>515</v>
      </c>
      <c r="G67" s="433" t="s">
        <v>103</v>
      </c>
      <c r="H67" s="434" t="s">
        <v>98</v>
      </c>
      <c r="I67" s="434" t="s">
        <v>98</v>
      </c>
      <c r="J67" s="94">
        <v>0</v>
      </c>
      <c r="K67" s="433" t="s">
        <v>96</v>
      </c>
      <c r="L67" s="435">
        <v>8.2423743737957605E-2</v>
      </c>
      <c r="M67" s="95">
        <v>1</v>
      </c>
      <c r="N67" s="96">
        <f t="shared" si="67"/>
        <v>3.0520641172448602</v>
      </c>
      <c r="O67" s="432" t="str">
        <f t="shared" si="68"/>
        <v>(2,1,1,2,1,1); Industry data (French tender), incl. PAM</v>
      </c>
      <c r="P67" s="435">
        <f t="shared" si="86"/>
        <v>8.2423743737957605E-2</v>
      </c>
      <c r="Q67" s="95">
        <v>1</v>
      </c>
      <c r="R67" s="96">
        <f t="shared" si="88"/>
        <v>3.0520641172448602</v>
      </c>
      <c r="S67" s="432" t="str">
        <f t="shared" si="69"/>
        <v>(2,1,1,2,1,1); Industry data (French tender), incl. PAM</v>
      </c>
      <c r="T67" s="435">
        <f t="shared" si="89"/>
        <v>8.2423743737957605E-2</v>
      </c>
      <c r="U67" s="95">
        <v>1</v>
      </c>
      <c r="V67" s="96">
        <f t="shared" si="90"/>
        <v>3.0520641172448602</v>
      </c>
      <c r="W67" s="432" t="str">
        <f t="shared" si="70"/>
        <v>(2,1,1,2,1,1); Industry data (French tender), incl. PAM</v>
      </c>
      <c r="X67" s="435">
        <f t="shared" si="91"/>
        <v>8.2423743737957605E-2</v>
      </c>
      <c r="Y67" s="95">
        <v>1</v>
      </c>
      <c r="Z67" s="96">
        <f t="shared" si="40"/>
        <v>3.0520641172448602</v>
      </c>
      <c r="AA67" s="432" t="str">
        <f t="shared" si="71"/>
        <v>(2,1,1,2,1,1); Industry data (French tender), incl. PAM</v>
      </c>
      <c r="AB67" s="435">
        <v>1.81676602564103E-4</v>
      </c>
      <c r="AC67" s="95">
        <v>1</v>
      </c>
      <c r="AD67" s="96">
        <f t="shared" si="41"/>
        <v>3.0520641172448602</v>
      </c>
      <c r="AE67" s="432" t="str">
        <f t="shared" si="72"/>
        <v>(2,1,1,2,1,1); Industry data (French tender), incl. PAM</v>
      </c>
      <c r="AF67" s="435">
        <f t="shared" si="87"/>
        <v>1.81676602564103E-4</v>
      </c>
      <c r="AG67" s="95">
        <v>1</v>
      </c>
      <c r="AH67" s="96">
        <f t="shared" si="43"/>
        <v>3.0520641172448602</v>
      </c>
      <c r="AI67" s="432" t="str">
        <f t="shared" si="73"/>
        <v>(2,1,1,2,1,1); Industry data (French tender), incl. PAM</v>
      </c>
      <c r="AJ67" s="435">
        <f t="shared" si="92"/>
        <v>1.81676602564103E-4</v>
      </c>
      <c r="AK67" s="95">
        <v>1</v>
      </c>
      <c r="AL67" s="96">
        <f t="shared" si="45"/>
        <v>3.0520641172448602</v>
      </c>
      <c r="AM67" s="432" t="str">
        <f t="shared" si="74"/>
        <v>(2,1,1,2,1,1); Industry data (French tender), incl. PAM</v>
      </c>
      <c r="AN67" s="435">
        <f t="shared" si="93"/>
        <v>1.81676602564103E-4</v>
      </c>
      <c r="AO67" s="95">
        <v>1</v>
      </c>
      <c r="AP67" s="96">
        <f t="shared" si="47"/>
        <v>3.0520641172448602</v>
      </c>
      <c r="AQ67" s="432" t="str">
        <f t="shared" si="75"/>
        <v>(2,1,1,2,1,1); Industry data (French tender), incl. PAM</v>
      </c>
      <c r="AR67" s="435">
        <f>0.0111029453468501+0.00249407798990106</f>
        <v>1.359702333675116E-2</v>
      </c>
      <c r="AS67" s="95">
        <v>1</v>
      </c>
      <c r="AT67" s="96">
        <f t="shared" si="48"/>
        <v>3.0520641172448602</v>
      </c>
      <c r="AU67" s="432" t="str">
        <f t="shared" si="76"/>
        <v>(2,1,1,2,1,1); Industry data (French tender), incl. PAM</v>
      </c>
      <c r="AV67" s="435">
        <f t="shared" si="94"/>
        <v>1.359702333675116E-2</v>
      </c>
      <c r="AW67" s="95">
        <v>1</v>
      </c>
      <c r="AX67" s="96">
        <f t="shared" si="50"/>
        <v>3.0520641172448602</v>
      </c>
      <c r="AY67" s="432" t="str">
        <f t="shared" si="77"/>
        <v>(2,1,1,2,1,1); Industry data (French tender), incl. PAM</v>
      </c>
      <c r="AZ67" s="435">
        <f t="shared" si="95"/>
        <v>1.359702333675116E-2</v>
      </c>
      <c r="BA67" s="95">
        <v>1</v>
      </c>
      <c r="BB67" s="96">
        <f t="shared" si="52"/>
        <v>3.0520641172448602</v>
      </c>
      <c r="BC67" s="432" t="str">
        <f t="shared" si="78"/>
        <v>(2,1,1,2,1,1); Industry data (French tender), incl. PAM</v>
      </c>
      <c r="BD67" s="435">
        <f t="shared" si="96"/>
        <v>1.359702333675116E-2</v>
      </c>
      <c r="BE67" s="95">
        <v>1</v>
      </c>
      <c r="BF67" s="96">
        <f t="shared" si="54"/>
        <v>3.0520641172448602</v>
      </c>
      <c r="BG67" s="432" t="str">
        <f t="shared" si="79"/>
        <v>(2,1,1,2,1,1); Industry data (French tender), incl. PAM</v>
      </c>
      <c r="BH67" s="435">
        <v>0</v>
      </c>
      <c r="BI67" s="95">
        <v>1</v>
      </c>
      <c r="BJ67" s="96">
        <f t="shared" si="55"/>
        <v>3.0520641172448602</v>
      </c>
      <c r="BK67" s="432" t="str">
        <f t="shared" si="80"/>
        <v xml:space="preserve">(na,na,na,na,na,na); </v>
      </c>
      <c r="BL67" s="435">
        <f t="shared" si="97"/>
        <v>0</v>
      </c>
      <c r="BM67" s="95">
        <v>1</v>
      </c>
      <c r="BN67" s="96">
        <f t="shared" si="57"/>
        <v>3.0520641172448602</v>
      </c>
      <c r="BO67" s="432" t="str">
        <f t="shared" si="81"/>
        <v xml:space="preserve">(na,na,na,na,na,na); </v>
      </c>
      <c r="BP67" s="432"/>
      <c r="BQ67" s="112"/>
      <c r="BR67" s="705" t="s">
        <v>516</v>
      </c>
      <c r="BS67" s="77">
        <v>2</v>
      </c>
      <c r="BT67" s="339">
        <v>1</v>
      </c>
      <c r="BU67" s="339">
        <v>1</v>
      </c>
      <c r="BV67" s="339">
        <v>2</v>
      </c>
      <c r="BW67" s="339">
        <v>1</v>
      </c>
      <c r="BX67" s="339">
        <v>1</v>
      </c>
      <c r="BY67" s="104">
        <v>6</v>
      </c>
      <c r="BZ67" s="104">
        <v>1.05</v>
      </c>
      <c r="CA67" s="104">
        <f t="shared" si="82"/>
        <v>1.0510550504206344</v>
      </c>
      <c r="CB67" s="107">
        <v>3.0520641172448602</v>
      </c>
      <c r="CC67" s="107" t="str">
        <f t="shared" si="83"/>
        <v>(2,1,1,2,1,1)</v>
      </c>
      <c r="CD67" s="108">
        <v>1.05</v>
      </c>
      <c r="CE67" s="108">
        <v>1</v>
      </c>
      <c r="CF67" s="108">
        <v>1</v>
      </c>
      <c r="CG67" s="108">
        <v>1.01</v>
      </c>
      <c r="CH67" s="108">
        <v>1</v>
      </c>
      <c r="CI67" s="108">
        <v>1</v>
      </c>
      <c r="CK67" s="111"/>
      <c r="CL67" s="77" t="s">
        <v>106</v>
      </c>
      <c r="CM67" s="339" t="s">
        <v>106</v>
      </c>
      <c r="CN67" s="339" t="s">
        <v>106</v>
      </c>
      <c r="CO67" s="339" t="s">
        <v>106</v>
      </c>
      <c r="CP67" s="339" t="s">
        <v>106</v>
      </c>
      <c r="CQ67" s="339" t="s">
        <v>106</v>
      </c>
      <c r="CR67" s="104">
        <v>6</v>
      </c>
      <c r="CS67" s="104">
        <v>1.05</v>
      </c>
      <c r="CT67" s="104">
        <f t="shared" si="84"/>
        <v>1</v>
      </c>
      <c r="CU67" s="107">
        <v>3.0520641172448602</v>
      </c>
      <c r="CV67" s="107" t="str">
        <f t="shared" si="85"/>
        <v>(na,na,na,na,na,na)</v>
      </c>
      <c r="CW67" s="108">
        <v>1</v>
      </c>
      <c r="CX67" s="108">
        <v>1</v>
      </c>
      <c r="CY67" s="108">
        <v>1</v>
      </c>
      <c r="CZ67" s="108">
        <v>1</v>
      </c>
      <c r="DA67" s="108">
        <v>1</v>
      </c>
      <c r="DB67" s="108">
        <v>1</v>
      </c>
    </row>
    <row r="68" spans="1:106" ht="36">
      <c r="A68" s="330">
        <v>268064</v>
      </c>
      <c r="B68" s="331"/>
      <c r="C68" s="88"/>
      <c r="D68" s="340">
        <v>5</v>
      </c>
      <c r="E68" s="341" t="s">
        <v>98</v>
      </c>
      <c r="F68" s="432" t="s">
        <v>517</v>
      </c>
      <c r="G68" s="433" t="s">
        <v>103</v>
      </c>
      <c r="H68" s="434" t="s">
        <v>98</v>
      </c>
      <c r="I68" s="434" t="s">
        <v>98</v>
      </c>
      <c r="J68" s="94">
        <v>0</v>
      </c>
      <c r="K68" s="433" t="s">
        <v>96</v>
      </c>
      <c r="L68" s="435">
        <v>0</v>
      </c>
      <c r="M68" s="95">
        <v>1</v>
      </c>
      <c r="N68" s="96">
        <f t="shared" si="67"/>
        <v>3.0520641172448602</v>
      </c>
      <c r="O68" s="432" t="str">
        <f t="shared" si="68"/>
        <v>(2,1,1,2,1,1); Industry data (French tender)</v>
      </c>
      <c r="P68" s="435">
        <f t="shared" si="86"/>
        <v>0</v>
      </c>
      <c r="Q68" s="95">
        <v>1</v>
      </c>
      <c r="R68" s="96">
        <f t="shared" si="88"/>
        <v>3.0520641172448602</v>
      </c>
      <c r="S68" s="432" t="str">
        <f t="shared" si="69"/>
        <v>(2,1,1,2,1,1); Industry data (French tender)</v>
      </c>
      <c r="T68" s="435">
        <f t="shared" si="89"/>
        <v>0</v>
      </c>
      <c r="U68" s="95">
        <v>1</v>
      </c>
      <c r="V68" s="96">
        <f t="shared" si="90"/>
        <v>3.0520641172448602</v>
      </c>
      <c r="W68" s="432" t="str">
        <f t="shared" si="70"/>
        <v>(2,1,1,2,1,1); Industry data (French tender)</v>
      </c>
      <c r="X68" s="435">
        <f t="shared" si="91"/>
        <v>0</v>
      </c>
      <c r="Y68" s="95">
        <v>1</v>
      </c>
      <c r="Z68" s="96">
        <f t="shared" si="40"/>
        <v>3.0520641172448602</v>
      </c>
      <c r="AA68" s="432" t="str">
        <f t="shared" si="71"/>
        <v>(2,1,1,2,1,1); Industry data (French tender)</v>
      </c>
      <c r="AB68" s="435">
        <v>0</v>
      </c>
      <c r="AC68" s="95">
        <v>1</v>
      </c>
      <c r="AD68" s="96">
        <f t="shared" si="41"/>
        <v>3.0520641172448602</v>
      </c>
      <c r="AE68" s="432" t="str">
        <f t="shared" si="72"/>
        <v>(2,1,1,2,1,1); Industry data (French tender)</v>
      </c>
      <c r="AF68" s="435">
        <f t="shared" si="87"/>
        <v>0</v>
      </c>
      <c r="AG68" s="95">
        <v>1</v>
      </c>
      <c r="AH68" s="96">
        <f t="shared" si="43"/>
        <v>3.0520641172448602</v>
      </c>
      <c r="AI68" s="432" t="str">
        <f t="shared" si="73"/>
        <v>(2,1,1,2,1,1); Industry data (French tender)</v>
      </c>
      <c r="AJ68" s="435">
        <f t="shared" si="92"/>
        <v>0</v>
      </c>
      <c r="AK68" s="95">
        <v>1</v>
      </c>
      <c r="AL68" s="96">
        <f t="shared" si="45"/>
        <v>3.0520641172448602</v>
      </c>
      <c r="AM68" s="432" t="str">
        <f t="shared" si="74"/>
        <v>(2,1,1,2,1,1); Industry data (French tender)</v>
      </c>
      <c r="AN68" s="435">
        <f t="shared" si="93"/>
        <v>0</v>
      </c>
      <c r="AO68" s="95">
        <v>1</v>
      </c>
      <c r="AP68" s="96">
        <f t="shared" si="47"/>
        <v>3.0520641172448602</v>
      </c>
      <c r="AQ68" s="432" t="str">
        <f t="shared" si="75"/>
        <v>(2,1,1,2,1,1); Industry data (French tender)</v>
      </c>
      <c r="AR68" s="435">
        <v>2.5087277380270199E-2</v>
      </c>
      <c r="AS68" s="95">
        <v>1</v>
      </c>
      <c r="AT68" s="96">
        <f t="shared" si="48"/>
        <v>3.0520641172448602</v>
      </c>
      <c r="AU68" s="432" t="str">
        <f t="shared" si="76"/>
        <v>(2,1,1,2,1,1); Industry data (French tender)</v>
      </c>
      <c r="AV68" s="435">
        <f t="shared" si="94"/>
        <v>2.5087277380270199E-2</v>
      </c>
      <c r="AW68" s="95">
        <v>1</v>
      </c>
      <c r="AX68" s="96">
        <f t="shared" si="50"/>
        <v>3.0520641172448602</v>
      </c>
      <c r="AY68" s="432" t="str">
        <f t="shared" si="77"/>
        <v>(2,1,1,2,1,1); Industry data (French tender)</v>
      </c>
      <c r="AZ68" s="435">
        <f t="shared" si="95"/>
        <v>2.5087277380270199E-2</v>
      </c>
      <c r="BA68" s="95">
        <v>1</v>
      </c>
      <c r="BB68" s="96">
        <f t="shared" si="52"/>
        <v>3.0520641172448602</v>
      </c>
      <c r="BC68" s="432" t="str">
        <f t="shared" si="78"/>
        <v>(2,1,1,2,1,1); Industry data (French tender)</v>
      </c>
      <c r="BD68" s="435">
        <f t="shared" si="96"/>
        <v>2.5087277380270199E-2</v>
      </c>
      <c r="BE68" s="95">
        <v>1</v>
      </c>
      <c r="BF68" s="96">
        <f t="shared" si="54"/>
        <v>3.0520641172448602</v>
      </c>
      <c r="BG68" s="432" t="str">
        <f t="shared" si="79"/>
        <v>(2,1,1,2,1,1); Industry data (French tender)</v>
      </c>
      <c r="BH68" s="435">
        <v>0</v>
      </c>
      <c r="BI68" s="95">
        <v>1</v>
      </c>
      <c r="BJ68" s="96">
        <f t="shared" si="55"/>
        <v>3.0520641172448602</v>
      </c>
      <c r="BK68" s="432" t="str">
        <f t="shared" si="80"/>
        <v xml:space="preserve">(na,na,na,na,na,na); </v>
      </c>
      <c r="BL68" s="435">
        <f t="shared" si="97"/>
        <v>0</v>
      </c>
      <c r="BM68" s="95">
        <v>1</v>
      </c>
      <c r="BN68" s="96">
        <f t="shared" si="57"/>
        <v>3.0520641172448602</v>
      </c>
      <c r="BO68" s="432" t="str">
        <f t="shared" si="81"/>
        <v xml:space="preserve">(na,na,na,na,na,na); </v>
      </c>
      <c r="BP68" s="432"/>
      <c r="BQ68" s="112"/>
      <c r="BR68" s="705" t="s">
        <v>462</v>
      </c>
      <c r="BS68" s="77">
        <v>2</v>
      </c>
      <c r="BT68" s="339">
        <v>1</v>
      </c>
      <c r="BU68" s="339">
        <v>1</v>
      </c>
      <c r="BV68" s="339">
        <v>2</v>
      </c>
      <c r="BW68" s="339">
        <v>1</v>
      </c>
      <c r="BX68" s="339">
        <v>1</v>
      </c>
      <c r="BY68" s="104">
        <v>6</v>
      </c>
      <c r="BZ68" s="104">
        <v>1.05</v>
      </c>
      <c r="CA68" s="104">
        <f t="shared" si="82"/>
        <v>1.0510550504206344</v>
      </c>
      <c r="CB68" s="107">
        <v>3.0520641172448602</v>
      </c>
      <c r="CC68" s="107" t="str">
        <f t="shared" si="83"/>
        <v>(2,1,1,2,1,1)</v>
      </c>
      <c r="CD68" s="108">
        <v>1.05</v>
      </c>
      <c r="CE68" s="108">
        <v>1</v>
      </c>
      <c r="CF68" s="108">
        <v>1</v>
      </c>
      <c r="CG68" s="108">
        <v>1.01</v>
      </c>
      <c r="CH68" s="108">
        <v>1</v>
      </c>
      <c r="CI68" s="108">
        <v>1</v>
      </c>
      <c r="CK68" s="111"/>
      <c r="CL68" s="77" t="s">
        <v>106</v>
      </c>
      <c r="CM68" s="339" t="s">
        <v>106</v>
      </c>
      <c r="CN68" s="339" t="s">
        <v>106</v>
      </c>
      <c r="CO68" s="339" t="s">
        <v>106</v>
      </c>
      <c r="CP68" s="339" t="s">
        <v>106</v>
      </c>
      <c r="CQ68" s="339" t="s">
        <v>106</v>
      </c>
      <c r="CR68" s="104">
        <v>6</v>
      </c>
      <c r="CS68" s="104">
        <v>1.05</v>
      </c>
      <c r="CT68" s="104">
        <f t="shared" si="84"/>
        <v>1</v>
      </c>
      <c r="CU68" s="107">
        <v>3.0520641172448602</v>
      </c>
      <c r="CV68" s="107" t="str">
        <f t="shared" si="85"/>
        <v>(na,na,na,na,na,na)</v>
      </c>
      <c r="CW68" s="108">
        <v>1</v>
      </c>
      <c r="CX68" s="108">
        <v>1</v>
      </c>
      <c r="CY68" s="108">
        <v>1</v>
      </c>
      <c r="CZ68" s="108">
        <v>1</v>
      </c>
      <c r="DA68" s="108">
        <v>1</v>
      </c>
      <c r="DB68" s="108">
        <v>1</v>
      </c>
    </row>
    <row r="69" spans="1:106" ht="24">
      <c r="A69" s="330">
        <v>269385</v>
      </c>
      <c r="B69" s="331"/>
      <c r="C69" s="88"/>
      <c r="D69" s="340">
        <v>5</v>
      </c>
      <c r="E69" s="341" t="s">
        <v>98</v>
      </c>
      <c r="F69" s="432" t="s">
        <v>518</v>
      </c>
      <c r="G69" s="433" t="s">
        <v>103</v>
      </c>
      <c r="H69" s="434" t="s">
        <v>98</v>
      </c>
      <c r="I69" s="434" t="s">
        <v>98</v>
      </c>
      <c r="J69" s="94">
        <v>0</v>
      </c>
      <c r="K69" s="433" t="s">
        <v>119</v>
      </c>
      <c r="L69" s="435">
        <f>L41*0.9*0.001</f>
        <v>5.3604797687861305E-2</v>
      </c>
      <c r="M69" s="95">
        <v>1</v>
      </c>
      <c r="N69" s="96">
        <f t="shared" si="67"/>
        <v>3.0520641172448602</v>
      </c>
      <c r="O69" s="432" t="str">
        <f t="shared" si="68"/>
        <v>(2,1,1,2,1,1); Industry data (French tender) or Calculation 90% of water input</v>
      </c>
      <c r="P69" s="435">
        <f t="shared" si="86"/>
        <v>5.3604797687861305E-2</v>
      </c>
      <c r="Q69" s="95">
        <v>1</v>
      </c>
      <c r="R69" s="96">
        <f t="shared" si="88"/>
        <v>3.0520641172448602</v>
      </c>
      <c r="S69" s="432" t="str">
        <f t="shared" si="69"/>
        <v>(2,1,1,2,1,1); Industry data (French tender) or Calculation 90% of water input</v>
      </c>
      <c r="T69" s="435">
        <f t="shared" si="89"/>
        <v>5.3604797687861305E-2</v>
      </c>
      <c r="U69" s="95">
        <v>1</v>
      </c>
      <c r="V69" s="96">
        <f t="shared" si="90"/>
        <v>3.0520641172448602</v>
      </c>
      <c r="W69" s="432" t="str">
        <f t="shared" si="70"/>
        <v>(2,1,1,2,1,1); Industry data (French tender) or Calculation 90% of water input</v>
      </c>
      <c r="X69" s="435">
        <f t="shared" si="91"/>
        <v>5.3604797687861305E-2</v>
      </c>
      <c r="Y69" s="95">
        <v>1</v>
      </c>
      <c r="Z69" s="96">
        <f t="shared" si="40"/>
        <v>3.0520641172448602</v>
      </c>
      <c r="AA69" s="432" t="str">
        <f t="shared" si="71"/>
        <v>(2,1,1,2,1,1); Industry data (French tender) or Calculation 90% of water input</v>
      </c>
      <c r="AB69" s="435">
        <v>1.02867628205128E-2</v>
      </c>
      <c r="AC69" s="95">
        <v>1</v>
      </c>
      <c r="AD69" s="96">
        <f t="shared" si="41"/>
        <v>3.0520641172448602</v>
      </c>
      <c r="AE69" s="432" t="str">
        <f t="shared" si="72"/>
        <v>(2,1,1,2,1,1); Industry data (French tender) or Calculation 90% of water input</v>
      </c>
      <c r="AF69" s="435">
        <f t="shared" si="87"/>
        <v>1.02867628205128E-2</v>
      </c>
      <c r="AG69" s="95">
        <v>1</v>
      </c>
      <c r="AH69" s="96">
        <f t="shared" si="43"/>
        <v>3.0520641172448602</v>
      </c>
      <c r="AI69" s="432" t="str">
        <f t="shared" si="73"/>
        <v>(2,1,1,2,1,1); Industry data (French tender) or Calculation 90% of water input</v>
      </c>
      <c r="AJ69" s="435">
        <f t="shared" si="92"/>
        <v>1.02867628205128E-2</v>
      </c>
      <c r="AK69" s="95">
        <v>1</v>
      </c>
      <c r="AL69" s="96">
        <f t="shared" si="45"/>
        <v>3.0520641172448602</v>
      </c>
      <c r="AM69" s="432" t="str">
        <f t="shared" si="74"/>
        <v>(2,1,1,2,1,1); Industry data (French tender) or Calculation 90% of water input</v>
      </c>
      <c r="AN69" s="435">
        <f t="shared" si="93"/>
        <v>1.02867628205128E-2</v>
      </c>
      <c r="AO69" s="95">
        <v>1</v>
      </c>
      <c r="AP69" s="96">
        <f t="shared" si="47"/>
        <v>3.0520641172448602</v>
      </c>
      <c r="AQ69" s="432" t="str">
        <f t="shared" si="75"/>
        <v>(2,1,1,2,1,1); Industry data (French tender) or Calculation 90% of water input</v>
      </c>
      <c r="AR69" s="435">
        <f>AR46*0.9/1000</f>
        <v>5.2543971590956742E-3</v>
      </c>
      <c r="AS69" s="95">
        <v>1</v>
      </c>
      <c r="AT69" s="96">
        <f t="shared" si="48"/>
        <v>3.0520641172448602</v>
      </c>
      <c r="AU69" s="432" t="str">
        <f t="shared" si="76"/>
        <v>(2,1,1,2,1,1); Industry data (French tender) or Calculation 90% of water input</v>
      </c>
      <c r="AV69" s="435">
        <f t="shared" si="94"/>
        <v>5.2543971590956742E-3</v>
      </c>
      <c r="AW69" s="95">
        <v>1</v>
      </c>
      <c r="AX69" s="96">
        <f t="shared" si="50"/>
        <v>3.0520641172448602</v>
      </c>
      <c r="AY69" s="432" t="str">
        <f t="shared" si="77"/>
        <v>(2,1,1,2,1,1); Industry data (French tender) or Calculation 90% of water input</v>
      </c>
      <c r="AZ69" s="435">
        <f t="shared" si="95"/>
        <v>5.2543971590956742E-3</v>
      </c>
      <c r="BA69" s="95">
        <v>1</v>
      </c>
      <c r="BB69" s="96">
        <f t="shared" si="52"/>
        <v>3.0520641172448602</v>
      </c>
      <c r="BC69" s="432" t="str">
        <f t="shared" si="78"/>
        <v>(2,1,1,2,1,1); Industry data (French tender) or Calculation 90% of water input</v>
      </c>
      <c r="BD69" s="435">
        <f t="shared" si="96"/>
        <v>5.2543971590956742E-3</v>
      </c>
      <c r="BE69" s="95">
        <v>1</v>
      </c>
      <c r="BF69" s="96">
        <f t="shared" si="54"/>
        <v>3.0520641172448602</v>
      </c>
      <c r="BG69" s="432" t="str">
        <f t="shared" si="79"/>
        <v>(2,1,1,2,1,1); Industry data (French tender) or Calculation 90% of water input</v>
      </c>
      <c r="BH69" s="435">
        <v>0</v>
      </c>
      <c r="BI69" s="95">
        <v>1</v>
      </c>
      <c r="BJ69" s="96">
        <f t="shared" si="55"/>
        <v>3.0520641172448602</v>
      </c>
      <c r="BK69" s="432" t="str">
        <f t="shared" si="80"/>
        <v xml:space="preserve">(na,na,na,na,na,na); </v>
      </c>
      <c r="BL69" s="435">
        <f t="shared" si="97"/>
        <v>0</v>
      </c>
      <c r="BM69" s="95">
        <v>1</v>
      </c>
      <c r="BN69" s="96">
        <f t="shared" si="57"/>
        <v>3.0520641172448602</v>
      </c>
      <c r="BO69" s="432" t="str">
        <f t="shared" si="81"/>
        <v xml:space="preserve">(na,na,na,na,na,na); </v>
      </c>
      <c r="BP69" s="432"/>
      <c r="BQ69" s="112"/>
      <c r="BR69" s="705" t="s">
        <v>519</v>
      </c>
      <c r="BS69" s="77">
        <v>2</v>
      </c>
      <c r="BT69" s="339">
        <v>1</v>
      </c>
      <c r="BU69" s="339">
        <v>1</v>
      </c>
      <c r="BV69" s="339">
        <v>2</v>
      </c>
      <c r="BW69" s="339">
        <v>1</v>
      </c>
      <c r="BX69" s="339">
        <v>1</v>
      </c>
      <c r="BY69" s="104">
        <v>6</v>
      </c>
      <c r="BZ69" s="104">
        <v>1.05</v>
      </c>
      <c r="CA69" s="104">
        <f t="shared" si="82"/>
        <v>1.0510550504206344</v>
      </c>
      <c r="CB69" s="107">
        <v>3.0520641172448602</v>
      </c>
      <c r="CC69" s="107" t="str">
        <f t="shared" si="83"/>
        <v>(2,1,1,2,1,1)</v>
      </c>
      <c r="CD69" s="108">
        <v>1.05</v>
      </c>
      <c r="CE69" s="108">
        <v>1</v>
      </c>
      <c r="CF69" s="108">
        <v>1</v>
      </c>
      <c r="CG69" s="108">
        <v>1.01</v>
      </c>
      <c r="CH69" s="108">
        <v>1</v>
      </c>
      <c r="CI69" s="108">
        <v>1</v>
      </c>
      <c r="CK69" s="111"/>
      <c r="CL69" s="77" t="s">
        <v>106</v>
      </c>
      <c r="CM69" s="339" t="s">
        <v>106</v>
      </c>
      <c r="CN69" s="339" t="s">
        <v>106</v>
      </c>
      <c r="CO69" s="339" t="s">
        <v>106</v>
      </c>
      <c r="CP69" s="339" t="s">
        <v>106</v>
      </c>
      <c r="CQ69" s="339" t="s">
        <v>106</v>
      </c>
      <c r="CR69" s="104">
        <v>6</v>
      </c>
      <c r="CS69" s="104">
        <v>1.05</v>
      </c>
      <c r="CT69" s="104">
        <f t="shared" si="84"/>
        <v>1</v>
      </c>
      <c r="CU69" s="107">
        <v>3.0520641172448602</v>
      </c>
      <c r="CV69" s="107" t="str">
        <f t="shared" si="85"/>
        <v>(na,na,na,na,na,na)</v>
      </c>
      <c r="CW69" s="108">
        <v>1</v>
      </c>
      <c r="CX69" s="108">
        <v>1</v>
      </c>
      <c r="CY69" s="108">
        <v>1</v>
      </c>
      <c r="CZ69" s="108">
        <v>1</v>
      </c>
      <c r="DA69" s="108">
        <v>1</v>
      </c>
      <c r="DB69" s="108">
        <v>1</v>
      </c>
    </row>
    <row r="70" spans="1:106" ht="48">
      <c r="A70" s="330">
        <v>21844</v>
      </c>
      <c r="B70" s="331" t="s">
        <v>287</v>
      </c>
      <c r="C70" s="88"/>
      <c r="D70" s="340" t="s">
        <v>98</v>
      </c>
      <c r="E70" s="341">
        <v>4</v>
      </c>
      <c r="F70" s="432" t="s">
        <v>121</v>
      </c>
      <c r="G70" s="433" t="s">
        <v>98</v>
      </c>
      <c r="H70" s="434" t="s">
        <v>247</v>
      </c>
      <c r="I70" s="434" t="s">
        <v>258</v>
      </c>
      <c r="J70" s="94" t="s">
        <v>98</v>
      </c>
      <c r="K70" s="433" t="s">
        <v>104</v>
      </c>
      <c r="L70" s="435">
        <f>SUM(L57:L62)*3.6</f>
        <v>266.62959537572232</v>
      </c>
      <c r="M70" s="95">
        <v>1</v>
      </c>
      <c r="N70" s="96">
        <f t="shared" si="67"/>
        <v>1.3965935359732646</v>
      </c>
      <c r="O70" s="432" t="str">
        <f t="shared" si="68"/>
        <v>(4,4,4,3,1,5); Calculation</v>
      </c>
      <c r="P70" s="435">
        <f>SUM(P57:P62)*3.6</f>
        <v>266.62959537572232</v>
      </c>
      <c r="Q70" s="95">
        <v>1</v>
      </c>
      <c r="R70" s="96">
        <f t="shared" ref="R70:R75" si="98">$CB70</f>
        <v>1.3965935359732646</v>
      </c>
      <c r="S70" s="432" t="str">
        <f t="shared" si="69"/>
        <v>(4,4,4,3,1,5); Calculation</v>
      </c>
      <c r="T70" s="435">
        <f>SUM(T57:T62)*3.6</f>
        <v>266.62959537572232</v>
      </c>
      <c r="U70" s="95">
        <v>1</v>
      </c>
      <c r="V70" s="96">
        <f t="shared" ref="V70:V75" si="99">$CB70</f>
        <v>1.3965935359732646</v>
      </c>
      <c r="W70" s="432" t="str">
        <f t="shared" si="70"/>
        <v>(4,4,4,3,1,5); Calculation</v>
      </c>
      <c r="X70" s="435">
        <f>SUM(X57:X62)*3.6</f>
        <v>266.62959537572232</v>
      </c>
      <c r="Y70" s="95">
        <v>1</v>
      </c>
      <c r="Z70" s="96">
        <f t="shared" ref="Z70:Z75" si="100">$CB70</f>
        <v>1.3965935359732646</v>
      </c>
      <c r="AA70" s="432" t="str">
        <f t="shared" si="71"/>
        <v>(4,4,4,3,1,5); Calculation</v>
      </c>
      <c r="AB70" s="435">
        <f>SUM(AB57:AB62)*3.6</f>
        <v>125.5386923076924</v>
      </c>
      <c r="AC70" s="95">
        <v>1</v>
      </c>
      <c r="AD70" s="96">
        <f t="shared" ref="AD70:AD75" si="101">$CB70</f>
        <v>1.3965935359732646</v>
      </c>
      <c r="AE70" s="432" t="str">
        <f t="shared" si="72"/>
        <v>(4,4,4,3,1,5); Calculation</v>
      </c>
      <c r="AF70" s="435">
        <f>SUM(AF57:AF62)*3.6</f>
        <v>125.5386923076924</v>
      </c>
      <c r="AG70" s="95">
        <v>1</v>
      </c>
      <c r="AH70" s="96">
        <f t="shared" ref="AH70:AH75" si="102">$CB70</f>
        <v>1.3965935359732646</v>
      </c>
      <c r="AI70" s="432" t="str">
        <f t="shared" si="73"/>
        <v>(4,4,4,3,1,5); Calculation</v>
      </c>
      <c r="AJ70" s="435">
        <f>SUM(AJ57:AJ62)*3.6</f>
        <v>125.5386923076924</v>
      </c>
      <c r="AK70" s="95">
        <v>1</v>
      </c>
      <c r="AL70" s="96">
        <f t="shared" ref="AL70:AL75" si="103">$CB70</f>
        <v>1.3965935359732646</v>
      </c>
      <c r="AM70" s="432" t="str">
        <f t="shared" si="74"/>
        <v>(4,4,4,3,1,5); Calculation</v>
      </c>
      <c r="AN70" s="435">
        <f>SUM(AN57:AN62)*3.6</f>
        <v>125.5386923076924</v>
      </c>
      <c r="AO70" s="95">
        <v>1</v>
      </c>
      <c r="AP70" s="96">
        <f t="shared" ref="AP70:AP75" si="104">$CB70</f>
        <v>1.3965935359732646</v>
      </c>
      <c r="AQ70" s="432" t="str">
        <f t="shared" si="75"/>
        <v>(4,4,4,3,1,5); Calculation</v>
      </c>
      <c r="AR70" s="435">
        <f>SUM(AR57:AR62)*3.6</f>
        <v>0.91890035760180966</v>
      </c>
      <c r="AS70" s="95">
        <v>1</v>
      </c>
      <c r="AT70" s="96">
        <f t="shared" ref="AT70:AT75" si="105">$CB70</f>
        <v>1.3965935359732646</v>
      </c>
      <c r="AU70" s="432" t="str">
        <f t="shared" si="76"/>
        <v>(4,4,4,3,1,5); Calculation</v>
      </c>
      <c r="AV70" s="435">
        <f>SUM(AV57:AV62)*3.6</f>
        <v>0.91890035760180966</v>
      </c>
      <c r="AW70" s="95">
        <v>1</v>
      </c>
      <c r="AX70" s="96">
        <f t="shared" ref="AX70:AX75" si="106">$CB70</f>
        <v>1.3965935359732646</v>
      </c>
      <c r="AY70" s="432" t="str">
        <f t="shared" si="77"/>
        <v>(4,4,4,3,1,5); Calculation</v>
      </c>
      <c r="AZ70" s="435">
        <f>SUM(AZ57:AZ62)*3.6</f>
        <v>0.91890035760180966</v>
      </c>
      <c r="BA70" s="95">
        <v>1</v>
      </c>
      <c r="BB70" s="96">
        <f t="shared" ref="BB70:BB75" si="107">$CB70</f>
        <v>1.3965935359732646</v>
      </c>
      <c r="BC70" s="432" t="str">
        <f t="shared" si="78"/>
        <v>(4,4,4,3,1,5); Calculation</v>
      </c>
      <c r="BD70" s="435">
        <f>SUM(BD57:BD62)*3.6</f>
        <v>0.91890035760180966</v>
      </c>
      <c r="BE70" s="95">
        <v>1</v>
      </c>
      <c r="BF70" s="96">
        <f t="shared" ref="BF70:BF75" si="108">$CB70</f>
        <v>1.3965935359732646</v>
      </c>
      <c r="BG70" s="432" t="str">
        <f t="shared" si="79"/>
        <v>(4,4,4,3,1,5); Calculation</v>
      </c>
      <c r="BH70" s="435">
        <f>SUM(BH57:BH62)*3.6</f>
        <v>196.20000000000002</v>
      </c>
      <c r="BI70" s="95">
        <v>1</v>
      </c>
      <c r="BJ70" s="96">
        <f t="shared" ref="BJ70:BJ75" si="109">$CB70</f>
        <v>1.3965935359732646</v>
      </c>
      <c r="BK70" s="432" t="str">
        <f t="shared" si="80"/>
        <v>(4,4,4,3,1,5); Calculation</v>
      </c>
      <c r="BL70" s="435">
        <f>SUM(BL57:BL62)*3.6</f>
        <v>196.20000000000002</v>
      </c>
      <c r="BM70" s="95">
        <v>1</v>
      </c>
      <c r="BN70" s="96">
        <f t="shared" ref="BN70:BN75" si="110">$CB70</f>
        <v>1.3965935359732646</v>
      </c>
      <c r="BO70" s="432" t="str">
        <f t="shared" si="81"/>
        <v>(4,4,4,3,1,5); Calculation</v>
      </c>
      <c r="BP70" s="432"/>
      <c r="BQ70" s="112"/>
      <c r="BR70" s="705" t="s">
        <v>249</v>
      </c>
      <c r="BS70" s="77">
        <v>4</v>
      </c>
      <c r="BT70" s="339">
        <v>4</v>
      </c>
      <c r="BU70" s="339">
        <v>4</v>
      </c>
      <c r="BV70" s="339">
        <v>3</v>
      </c>
      <c r="BW70" s="339">
        <v>1</v>
      </c>
      <c r="BX70" s="339">
        <v>5</v>
      </c>
      <c r="BY70" s="104">
        <v>13</v>
      </c>
      <c r="BZ70" s="104">
        <v>1.05</v>
      </c>
      <c r="CA70" s="104">
        <f t="shared" si="82"/>
        <v>1.3915993050235766</v>
      </c>
      <c r="CB70" s="107">
        <f t="shared" ref="CB70:CB90" si="111">EXP(SQRT((LN(CD70)^2)+(LN(CE70)^2)+(LN(CF70)^2)+(LN(CG70)^2)+(LN(CH70)^2)+(LN(CI70)^2)+LN(BZ70)^2))</f>
        <v>1.3965935359732646</v>
      </c>
      <c r="CC70" s="107" t="str">
        <f t="shared" si="83"/>
        <v>(4,4,4,3,1,5)</v>
      </c>
      <c r="CD70" s="108">
        <v>1.2</v>
      </c>
      <c r="CE70" s="108">
        <v>1.1000000000000001</v>
      </c>
      <c r="CF70" s="108">
        <v>1.2</v>
      </c>
      <c r="CG70" s="108">
        <v>1.02</v>
      </c>
      <c r="CH70" s="108">
        <v>1</v>
      </c>
      <c r="CI70" s="108">
        <v>1.2</v>
      </c>
      <c r="CK70" s="111" t="s">
        <v>249</v>
      </c>
      <c r="CL70" s="77">
        <v>4</v>
      </c>
      <c r="CM70" s="339">
        <v>4</v>
      </c>
      <c r="CN70" s="339">
        <v>4</v>
      </c>
      <c r="CO70" s="339">
        <v>3</v>
      </c>
      <c r="CP70" s="339">
        <v>1</v>
      </c>
      <c r="CQ70" s="339">
        <v>5</v>
      </c>
      <c r="CR70" s="104">
        <v>13</v>
      </c>
      <c r="CS70" s="104">
        <v>1.05</v>
      </c>
      <c r="CT70" s="104">
        <f t="shared" si="84"/>
        <v>1.3915993050235766</v>
      </c>
      <c r="CU70" s="107">
        <f t="shared" ref="CU70:CU90" si="112">EXP(SQRT((LN(CW70)^2)+(LN(CX70)^2)+(LN(CY70)^2)+(LN(CZ70)^2)+(LN(DA70)^2)+(LN(DB70)^2)+LN(CS70)^2))</f>
        <v>1.3965935359732646</v>
      </c>
      <c r="CV70" s="107" t="str">
        <f t="shared" si="85"/>
        <v>(4,4,4,3,1,5)</v>
      </c>
      <c r="CW70" s="108">
        <v>1.2</v>
      </c>
      <c r="CX70" s="108">
        <v>1.1000000000000001</v>
      </c>
      <c r="CY70" s="108">
        <v>1.2</v>
      </c>
      <c r="CZ70" s="108">
        <v>1.02</v>
      </c>
      <c r="DA70" s="108">
        <v>1</v>
      </c>
      <c r="DB70" s="108">
        <v>1.2</v>
      </c>
    </row>
    <row r="71" spans="1:106">
      <c r="A71" s="333">
        <v>50312</v>
      </c>
      <c r="B71" s="331"/>
      <c r="C71" s="88"/>
      <c r="D71" s="340" t="s">
        <v>98</v>
      </c>
      <c r="E71" s="341">
        <v>4</v>
      </c>
      <c r="F71" s="432" t="s">
        <v>520</v>
      </c>
      <c r="G71" s="433" t="s">
        <v>98</v>
      </c>
      <c r="H71" s="434" t="s">
        <v>247</v>
      </c>
      <c r="I71" s="434" t="s">
        <v>248</v>
      </c>
      <c r="J71" s="94" t="s">
        <v>98</v>
      </c>
      <c r="K71" s="433" t="s">
        <v>96</v>
      </c>
      <c r="L71" s="435">
        <v>0</v>
      </c>
      <c r="M71" s="95">
        <v>1</v>
      </c>
      <c r="N71" s="96">
        <f t="shared" si="67"/>
        <v>1.5</v>
      </c>
      <c r="O71" s="432" t="str">
        <f t="shared" si="68"/>
        <v xml:space="preserve">(na,na,na,na,na,na); </v>
      </c>
      <c r="P71" s="435">
        <v>0</v>
      </c>
      <c r="Q71" s="95">
        <v>1</v>
      </c>
      <c r="R71" s="96">
        <f t="shared" si="98"/>
        <v>1.5</v>
      </c>
      <c r="S71" s="432" t="str">
        <f t="shared" si="69"/>
        <v xml:space="preserve">(na,na,na,na,na,na); </v>
      </c>
      <c r="T71" s="435">
        <v>0</v>
      </c>
      <c r="U71" s="95">
        <v>1</v>
      </c>
      <c r="V71" s="96">
        <f t="shared" si="99"/>
        <v>1.5</v>
      </c>
      <c r="W71" s="432" t="str">
        <f t="shared" si="70"/>
        <v xml:space="preserve">(na,na,na,na,na,na); </v>
      </c>
      <c r="X71" s="435">
        <v>0</v>
      </c>
      <c r="Y71" s="95">
        <v>1</v>
      </c>
      <c r="Z71" s="96">
        <f t="shared" si="100"/>
        <v>1.5</v>
      </c>
      <c r="AA71" s="432" t="str">
        <f t="shared" si="71"/>
        <v xml:space="preserve">(na,na,na,na,na,na); </v>
      </c>
      <c r="AB71" s="435">
        <v>0</v>
      </c>
      <c r="AC71" s="95">
        <v>1</v>
      </c>
      <c r="AD71" s="96">
        <f t="shared" si="101"/>
        <v>1.5</v>
      </c>
      <c r="AE71" s="432" t="str">
        <f t="shared" si="72"/>
        <v xml:space="preserve">(na,na,na,na,na,na); </v>
      </c>
      <c r="AF71" s="435">
        <v>0</v>
      </c>
      <c r="AG71" s="95">
        <v>1</v>
      </c>
      <c r="AH71" s="96">
        <f t="shared" si="102"/>
        <v>1.5</v>
      </c>
      <c r="AI71" s="432" t="str">
        <f t="shared" si="73"/>
        <v xml:space="preserve">(na,na,na,na,na,na); </v>
      </c>
      <c r="AJ71" s="435">
        <v>0</v>
      </c>
      <c r="AK71" s="95">
        <v>1</v>
      </c>
      <c r="AL71" s="96">
        <f t="shared" si="103"/>
        <v>1.5</v>
      </c>
      <c r="AM71" s="432" t="str">
        <f t="shared" si="74"/>
        <v xml:space="preserve">(na,na,na,na,na,na); </v>
      </c>
      <c r="AN71" s="435">
        <v>0</v>
      </c>
      <c r="AO71" s="95">
        <v>1</v>
      </c>
      <c r="AP71" s="96">
        <f t="shared" si="104"/>
        <v>1.5</v>
      </c>
      <c r="AQ71" s="432" t="str">
        <f t="shared" si="75"/>
        <v xml:space="preserve">(na,na,na,na,na,na); </v>
      </c>
      <c r="AR71" s="435">
        <v>0</v>
      </c>
      <c r="AS71" s="95">
        <v>1</v>
      </c>
      <c r="AT71" s="96">
        <f t="shared" si="105"/>
        <v>1.5</v>
      </c>
      <c r="AU71" s="432" t="str">
        <f t="shared" si="76"/>
        <v xml:space="preserve">(na,na,na,na,na,na); </v>
      </c>
      <c r="AV71" s="435">
        <v>0</v>
      </c>
      <c r="AW71" s="95">
        <v>1</v>
      </c>
      <c r="AX71" s="96">
        <f t="shared" si="106"/>
        <v>1.5</v>
      </c>
      <c r="AY71" s="432" t="str">
        <f t="shared" si="77"/>
        <v xml:space="preserve">(na,na,na,na,na,na); </v>
      </c>
      <c r="AZ71" s="435">
        <v>0</v>
      </c>
      <c r="BA71" s="95">
        <v>1</v>
      </c>
      <c r="BB71" s="96">
        <f t="shared" si="107"/>
        <v>1.5</v>
      </c>
      <c r="BC71" s="432" t="str">
        <f t="shared" si="78"/>
        <v xml:space="preserve">(na,na,na,na,na,na); </v>
      </c>
      <c r="BD71" s="435">
        <v>0</v>
      </c>
      <c r="BE71" s="95">
        <v>1</v>
      </c>
      <c r="BF71" s="96">
        <f t="shared" si="108"/>
        <v>1.5</v>
      </c>
      <c r="BG71" s="432" t="str">
        <f t="shared" si="79"/>
        <v xml:space="preserve">(na,na,na,na,na,na); </v>
      </c>
      <c r="BH71" s="435">
        <v>5.3999999999999999E-2</v>
      </c>
      <c r="BI71" s="95">
        <v>1</v>
      </c>
      <c r="BJ71" s="96">
        <f t="shared" si="109"/>
        <v>1.5</v>
      </c>
      <c r="BK71" s="432" t="str">
        <f t="shared" si="80"/>
        <v>(2,4,1,3,1,5); Brailovsky (2026)</v>
      </c>
      <c r="BL71" s="435">
        <v>0</v>
      </c>
      <c r="BM71" s="95">
        <v>1</v>
      </c>
      <c r="BN71" s="96">
        <f t="shared" si="110"/>
        <v>1.5</v>
      </c>
      <c r="BO71" s="432" t="str">
        <f t="shared" si="81"/>
        <v>(2,4,1,3,1,5); Brailovsky (2026)</v>
      </c>
      <c r="BP71" s="432"/>
      <c r="BQ71" s="112"/>
      <c r="BR71" s="216"/>
      <c r="BS71" s="77" t="s">
        <v>106</v>
      </c>
      <c r="BT71" s="339" t="s">
        <v>106</v>
      </c>
      <c r="BU71" s="339" t="s">
        <v>106</v>
      </c>
      <c r="BV71" s="339" t="s">
        <v>106</v>
      </c>
      <c r="BW71" s="339" t="s">
        <v>106</v>
      </c>
      <c r="BX71" s="339" t="s">
        <v>106</v>
      </c>
      <c r="BY71" s="104">
        <v>31</v>
      </c>
      <c r="BZ71" s="104">
        <v>1.5</v>
      </c>
      <c r="CA71" s="104">
        <f t="shared" si="82"/>
        <v>1</v>
      </c>
      <c r="CB71" s="107">
        <f t="shared" si="111"/>
        <v>1.5</v>
      </c>
      <c r="CC71" s="107" t="str">
        <f t="shared" si="83"/>
        <v>(na,na,na,na,na,na)</v>
      </c>
      <c r="CD71" s="108">
        <v>1</v>
      </c>
      <c r="CE71" s="108">
        <v>1</v>
      </c>
      <c r="CF71" s="108">
        <v>1</v>
      </c>
      <c r="CG71" s="108">
        <v>1</v>
      </c>
      <c r="CH71" s="108">
        <v>1</v>
      </c>
      <c r="CI71" s="108">
        <v>1</v>
      </c>
      <c r="CK71" s="77" t="s">
        <v>469</v>
      </c>
      <c r="CL71" s="77">
        <v>2</v>
      </c>
      <c r="CM71" s="339">
        <v>4</v>
      </c>
      <c r="CN71" s="339">
        <v>1</v>
      </c>
      <c r="CO71" s="339">
        <v>3</v>
      </c>
      <c r="CP71" s="339">
        <v>1</v>
      </c>
      <c r="CQ71" s="339">
        <v>5</v>
      </c>
      <c r="CR71" s="104">
        <v>31</v>
      </c>
      <c r="CS71" s="104">
        <v>1.5</v>
      </c>
      <c r="CT71" s="104">
        <f t="shared" si="84"/>
        <v>1.2365959919080913</v>
      </c>
      <c r="CU71" s="107">
        <f t="shared" si="112"/>
        <v>1.5804528752110836</v>
      </c>
      <c r="CV71" s="107" t="str">
        <f t="shared" si="85"/>
        <v>(2,4,1,3,1,5)</v>
      </c>
      <c r="CW71" s="108">
        <v>1.05</v>
      </c>
      <c r="CX71" s="108">
        <v>1.1000000000000001</v>
      </c>
      <c r="CY71" s="108">
        <v>1</v>
      </c>
      <c r="CZ71" s="108">
        <v>1.02</v>
      </c>
      <c r="DA71" s="108">
        <v>1</v>
      </c>
      <c r="DB71" s="108">
        <v>1.2</v>
      </c>
    </row>
    <row r="72" spans="1:106" ht="48">
      <c r="A72" s="333">
        <v>75740</v>
      </c>
      <c r="B72" s="331"/>
      <c r="C72" s="88"/>
      <c r="D72" s="340" t="s">
        <v>98</v>
      </c>
      <c r="E72" s="341">
        <v>4</v>
      </c>
      <c r="F72" s="432" t="s">
        <v>521</v>
      </c>
      <c r="G72" s="433" t="s">
        <v>98</v>
      </c>
      <c r="H72" s="434" t="s">
        <v>247</v>
      </c>
      <c r="I72" s="434" t="s">
        <v>248</v>
      </c>
      <c r="J72" s="94" t="s">
        <v>98</v>
      </c>
      <c r="K72" s="433" t="s">
        <v>96</v>
      </c>
      <c r="L72" s="435">
        <f>L41*0.1</f>
        <v>5.9560886319845903</v>
      </c>
      <c r="M72" s="95">
        <v>1</v>
      </c>
      <c r="N72" s="96">
        <f t="shared" si="67"/>
        <v>1.6871983667168997</v>
      </c>
      <c r="O72" s="432" t="str">
        <f t="shared" si="68"/>
        <v>(4,4,4,3,1,5); Assumption: 10% evaporation of process water; Frischknecht &amp; Büsser Knöpfel (2013); or calculation Water Input - Waste water</v>
      </c>
      <c r="P72" s="435">
        <v>0</v>
      </c>
      <c r="Q72" s="95">
        <v>1</v>
      </c>
      <c r="R72" s="96">
        <f t="shared" si="98"/>
        <v>1.6871983667168997</v>
      </c>
      <c r="S72" s="432" t="str">
        <f t="shared" si="69"/>
        <v>(4,4,4,3,1,5); Assumption: 10% evaporation of process water; Frischknecht &amp; Büsser Knöpfel (2013); or calculation Water Input - Waste water</v>
      </c>
      <c r="T72" s="435">
        <v>0</v>
      </c>
      <c r="U72" s="95">
        <v>1</v>
      </c>
      <c r="V72" s="96">
        <f t="shared" si="99"/>
        <v>1.6871983667168997</v>
      </c>
      <c r="W72" s="432" t="str">
        <f t="shared" si="70"/>
        <v>(4,4,4,3,1,5); Assumption: 10% evaporation of process water; Frischknecht &amp; Büsser Knöpfel (2013); or calculation Water Input - Waste water</v>
      </c>
      <c r="X72" s="435">
        <v>0</v>
      </c>
      <c r="Y72" s="95">
        <v>1</v>
      </c>
      <c r="Z72" s="96">
        <f t="shared" si="100"/>
        <v>1.6871983667168997</v>
      </c>
      <c r="AA72" s="432" t="str">
        <f t="shared" si="71"/>
        <v>(4,4,4,3,1,5); Assumption: 10% evaporation of process water; Frischknecht &amp; Büsser Knöpfel (2013); or calculation Water Input - Waste water</v>
      </c>
      <c r="AB72" s="435">
        <f>AB41-AB69*1000</f>
        <v>1.8635256410256993</v>
      </c>
      <c r="AC72" s="95">
        <v>1</v>
      </c>
      <c r="AD72" s="96">
        <f t="shared" si="101"/>
        <v>1.6871983667168997</v>
      </c>
      <c r="AE72" s="432" t="str">
        <f t="shared" si="72"/>
        <v>(4,4,4,3,1,5); Assumption: 10% evaporation of process water; Frischknecht &amp; Büsser Knöpfel (2013); or calculation Water Input - Waste water</v>
      </c>
      <c r="AF72" s="435">
        <v>0</v>
      </c>
      <c r="AG72" s="95">
        <v>1</v>
      </c>
      <c r="AH72" s="96">
        <f t="shared" si="102"/>
        <v>1.6871983667168997</v>
      </c>
      <c r="AI72" s="432" t="str">
        <f t="shared" si="73"/>
        <v>(4,4,4,3,1,5); Assumption: 10% evaporation of process water; Frischknecht &amp; Büsser Knöpfel (2013); or calculation Water Input - Waste water</v>
      </c>
      <c r="AJ72" s="435">
        <v>0</v>
      </c>
      <c r="AK72" s="95">
        <v>1</v>
      </c>
      <c r="AL72" s="96">
        <f t="shared" si="103"/>
        <v>1.6871983667168997</v>
      </c>
      <c r="AM72" s="432" t="str">
        <f t="shared" si="74"/>
        <v>(4,4,4,3,1,5); Assumption: 10% evaporation of process water; Frischknecht &amp; Büsser Knöpfel (2013); or calculation Water Input - Waste water</v>
      </c>
      <c r="AN72" s="435">
        <v>0</v>
      </c>
      <c r="AO72" s="95">
        <v>1</v>
      </c>
      <c r="AP72" s="96">
        <f t="shared" si="104"/>
        <v>1.6871983667168997</v>
      </c>
      <c r="AQ72" s="432" t="str">
        <f t="shared" si="75"/>
        <v>(4,4,4,3,1,5); Assumption: 10% evaporation of process water; Frischknecht &amp; Büsser Knöpfel (2013); or calculation Water Input - Waste water</v>
      </c>
      <c r="AR72" s="435">
        <f>0.1*SUM(AR38:AR49)</f>
        <v>0.64269776908429033</v>
      </c>
      <c r="AS72" s="95">
        <v>1</v>
      </c>
      <c r="AT72" s="96">
        <f t="shared" si="105"/>
        <v>1.6871983667168997</v>
      </c>
      <c r="AU72" s="432" t="str">
        <f t="shared" si="76"/>
        <v>(4,4,4,3,1,5); Assumption: 10% evaporation of process water; Frischknecht &amp; Büsser Knöpfel (2013); or calculation Water Input - Waste water</v>
      </c>
      <c r="AV72" s="435">
        <v>0</v>
      </c>
      <c r="AW72" s="95">
        <v>1</v>
      </c>
      <c r="AX72" s="96">
        <f t="shared" si="106"/>
        <v>1.6871983667168997</v>
      </c>
      <c r="AY72" s="432" t="str">
        <f t="shared" si="77"/>
        <v>(4,4,4,3,1,5); Assumption: 10% evaporation of process water; Frischknecht &amp; Büsser Knöpfel (2013); or calculation Water Input - Waste water</v>
      </c>
      <c r="AZ72" s="435">
        <v>0</v>
      </c>
      <c r="BA72" s="95">
        <v>1</v>
      </c>
      <c r="BB72" s="96">
        <f t="shared" si="107"/>
        <v>1.6871983667168997</v>
      </c>
      <c r="BC72" s="432" t="str">
        <f t="shared" si="78"/>
        <v>(4,4,4,3,1,5); Assumption: 10% evaporation of process water; Frischknecht &amp; Büsser Knöpfel (2013); or calculation Water Input - Waste water</v>
      </c>
      <c r="BD72" s="435">
        <v>0</v>
      </c>
      <c r="BE72" s="95">
        <v>1</v>
      </c>
      <c r="BF72" s="96">
        <f t="shared" si="108"/>
        <v>1.6871983667168997</v>
      </c>
      <c r="BG72" s="432" t="str">
        <f t="shared" si="79"/>
        <v>(4,4,4,3,1,5); Assumption: 10% evaporation of process water; Frischknecht &amp; Büsser Knöpfel (2013); or calculation Water Input - Waste water</v>
      </c>
      <c r="BH72" s="435">
        <v>0</v>
      </c>
      <c r="BI72" s="95">
        <v>1</v>
      </c>
      <c r="BJ72" s="96">
        <f t="shared" si="109"/>
        <v>1.6871983667168997</v>
      </c>
      <c r="BK72" s="432" t="str">
        <f t="shared" si="80"/>
        <v xml:space="preserve">(na,na,na,na,na,na); </v>
      </c>
      <c r="BL72" s="435">
        <v>0</v>
      </c>
      <c r="BM72" s="95">
        <v>1</v>
      </c>
      <c r="BN72" s="96">
        <f t="shared" si="110"/>
        <v>1.6871983667168997</v>
      </c>
      <c r="BO72" s="432" t="str">
        <f t="shared" si="81"/>
        <v xml:space="preserve">(na,na,na,na,na,na); </v>
      </c>
      <c r="BP72" s="432"/>
      <c r="BQ72" s="112"/>
      <c r="BR72" s="216" t="s">
        <v>522</v>
      </c>
      <c r="BS72" s="77">
        <v>4</v>
      </c>
      <c r="BT72" s="339">
        <v>4</v>
      </c>
      <c r="BU72" s="339">
        <v>4</v>
      </c>
      <c r="BV72" s="339">
        <v>3</v>
      </c>
      <c r="BW72" s="339">
        <v>1</v>
      </c>
      <c r="BX72" s="339">
        <v>5</v>
      </c>
      <c r="BY72" s="104">
        <v>31</v>
      </c>
      <c r="BZ72" s="104">
        <v>1.5</v>
      </c>
      <c r="CA72" s="104">
        <f t="shared" si="82"/>
        <v>1.3915993050235766</v>
      </c>
      <c r="CB72" s="107">
        <f t="shared" si="111"/>
        <v>1.6871983667168997</v>
      </c>
      <c r="CC72" s="107" t="str">
        <f t="shared" si="83"/>
        <v>(4,4,4,3,1,5)</v>
      </c>
      <c r="CD72" s="108">
        <v>1.2</v>
      </c>
      <c r="CE72" s="108">
        <v>1.1000000000000001</v>
      </c>
      <c r="CF72" s="108">
        <v>1.2</v>
      </c>
      <c r="CG72" s="108">
        <v>1.02</v>
      </c>
      <c r="CH72" s="108">
        <v>1</v>
      </c>
      <c r="CI72" s="108">
        <v>1.2</v>
      </c>
      <c r="CK72" s="77"/>
      <c r="CL72" s="77" t="s">
        <v>106</v>
      </c>
      <c r="CM72" s="339" t="s">
        <v>106</v>
      </c>
      <c r="CN72" s="339" t="s">
        <v>106</v>
      </c>
      <c r="CO72" s="339" t="s">
        <v>106</v>
      </c>
      <c r="CP72" s="339" t="s">
        <v>106</v>
      </c>
      <c r="CQ72" s="339" t="s">
        <v>106</v>
      </c>
      <c r="CR72" s="104">
        <v>31</v>
      </c>
      <c r="CS72" s="104">
        <v>1.5</v>
      </c>
      <c r="CT72" s="104">
        <f t="shared" si="84"/>
        <v>1</v>
      </c>
      <c r="CU72" s="107">
        <f t="shared" si="112"/>
        <v>1.5</v>
      </c>
      <c r="CV72" s="107" t="str">
        <f t="shared" si="85"/>
        <v>(na,na,na,na,na,na)</v>
      </c>
      <c r="CW72" s="108">
        <v>1</v>
      </c>
      <c r="CX72" s="108">
        <v>1</v>
      </c>
      <c r="CY72" s="108">
        <v>1</v>
      </c>
      <c r="CZ72" s="108">
        <v>1</v>
      </c>
      <c r="DA72" s="108">
        <v>1</v>
      </c>
      <c r="DB72" s="108">
        <v>1</v>
      </c>
    </row>
    <row r="73" spans="1:106" ht="48">
      <c r="A73" s="333">
        <v>50430</v>
      </c>
      <c r="B73" s="331"/>
      <c r="C73" s="88"/>
      <c r="D73" s="340" t="s">
        <v>98</v>
      </c>
      <c r="E73" s="341">
        <v>4</v>
      </c>
      <c r="F73" s="432" t="s">
        <v>523</v>
      </c>
      <c r="G73" s="433" t="s">
        <v>98</v>
      </c>
      <c r="H73" s="434" t="s">
        <v>247</v>
      </c>
      <c r="I73" s="434" t="s">
        <v>248</v>
      </c>
      <c r="J73" s="94" t="s">
        <v>98</v>
      </c>
      <c r="K73" s="433" t="s">
        <v>96</v>
      </c>
      <c r="L73" s="435">
        <v>0</v>
      </c>
      <c r="M73" s="95">
        <v>1</v>
      </c>
      <c r="N73" s="96">
        <f t="shared" si="67"/>
        <v>1.6871983667168997</v>
      </c>
      <c r="O73" s="432" t="str">
        <f t="shared" si="68"/>
        <v>(4,4,4,3,1,5); Assumption: 10% evaporation of process water; Frischknecht &amp; Büsser Knöpfel (2013); or calculation Water Input - Waste water</v>
      </c>
      <c r="P73" s="435">
        <f>L72</f>
        <v>5.9560886319845903</v>
      </c>
      <c r="Q73" s="95">
        <v>1</v>
      </c>
      <c r="R73" s="96">
        <f t="shared" si="98"/>
        <v>1.6871983667168997</v>
      </c>
      <c r="S73" s="432" t="str">
        <f t="shared" si="69"/>
        <v>(4,4,4,3,1,5); Assumption: 10% evaporation of process water; Frischknecht &amp; Büsser Knöpfel (2013); or calculation Water Input - Waste water</v>
      </c>
      <c r="T73" s="435">
        <v>0</v>
      </c>
      <c r="U73" s="95">
        <v>1</v>
      </c>
      <c r="V73" s="96">
        <f t="shared" si="99"/>
        <v>1.6871983667168997</v>
      </c>
      <c r="W73" s="432" t="str">
        <f t="shared" si="70"/>
        <v>(4,4,4,3,1,5); Assumption: 10% evaporation of process water; Frischknecht &amp; Büsser Knöpfel (2013); or calculation Water Input - Waste water</v>
      </c>
      <c r="X73" s="435">
        <v>0</v>
      </c>
      <c r="Y73" s="95">
        <v>1</v>
      </c>
      <c r="Z73" s="96">
        <f t="shared" si="100"/>
        <v>1.6871983667168997</v>
      </c>
      <c r="AA73" s="432" t="str">
        <f t="shared" si="71"/>
        <v>(4,4,4,3,1,5); Assumption: 10% evaporation of process water; Frischknecht &amp; Büsser Knöpfel (2013); or calculation Water Input - Waste water</v>
      </c>
      <c r="AB73" s="435">
        <v>0</v>
      </c>
      <c r="AC73" s="95">
        <v>1</v>
      </c>
      <c r="AD73" s="96">
        <f t="shared" si="101"/>
        <v>1.6871983667168997</v>
      </c>
      <c r="AE73" s="432" t="str">
        <f t="shared" si="72"/>
        <v>(4,4,4,3,1,5); Assumption: 10% evaporation of process water; Frischknecht &amp; Büsser Knöpfel (2013); or calculation Water Input - Waste water</v>
      </c>
      <c r="AF73" s="435">
        <f>AB72</f>
        <v>1.8635256410256993</v>
      </c>
      <c r="AG73" s="95">
        <v>1</v>
      </c>
      <c r="AH73" s="96">
        <f t="shared" si="102"/>
        <v>1.6871983667168997</v>
      </c>
      <c r="AI73" s="432" t="str">
        <f t="shared" si="73"/>
        <v>(4,4,4,3,1,5); Assumption: 10% evaporation of process water; Frischknecht &amp; Büsser Knöpfel (2013); or calculation Water Input - Waste water</v>
      </c>
      <c r="AJ73" s="435">
        <v>0</v>
      </c>
      <c r="AK73" s="95">
        <v>1</v>
      </c>
      <c r="AL73" s="96">
        <f t="shared" si="103"/>
        <v>1.6871983667168997</v>
      </c>
      <c r="AM73" s="432" t="str">
        <f t="shared" si="74"/>
        <v>(4,4,4,3,1,5); Assumption: 10% evaporation of process water; Frischknecht &amp; Büsser Knöpfel (2013); or calculation Water Input - Waste water</v>
      </c>
      <c r="AN73" s="435">
        <v>0</v>
      </c>
      <c r="AO73" s="95">
        <v>1</v>
      </c>
      <c r="AP73" s="96">
        <f t="shared" si="104"/>
        <v>1.6871983667168997</v>
      </c>
      <c r="AQ73" s="432" t="str">
        <f t="shared" si="75"/>
        <v>(4,4,4,3,1,5); Assumption: 10% evaporation of process water; Frischknecht &amp; Büsser Knöpfel (2013); or calculation Water Input - Waste water</v>
      </c>
      <c r="AR73" s="435">
        <v>0</v>
      </c>
      <c r="AS73" s="95">
        <v>1</v>
      </c>
      <c r="AT73" s="96">
        <f t="shared" si="105"/>
        <v>1.6871983667168997</v>
      </c>
      <c r="AU73" s="432" t="str">
        <f t="shared" si="76"/>
        <v>(4,4,4,3,1,5); Assumption: 10% evaporation of process water; Frischknecht &amp; Büsser Knöpfel (2013); or calculation Water Input - Waste water</v>
      </c>
      <c r="AV73" s="435">
        <f>AR72</f>
        <v>0.64269776908429033</v>
      </c>
      <c r="AW73" s="95">
        <v>1</v>
      </c>
      <c r="AX73" s="96">
        <f t="shared" si="106"/>
        <v>1.6871983667168997</v>
      </c>
      <c r="AY73" s="432" t="str">
        <f t="shared" si="77"/>
        <v>(4,4,4,3,1,5); Assumption: 10% evaporation of process water; Frischknecht &amp; Büsser Knöpfel (2013); or calculation Water Input - Waste water</v>
      </c>
      <c r="AZ73" s="435">
        <v>0</v>
      </c>
      <c r="BA73" s="95">
        <v>1</v>
      </c>
      <c r="BB73" s="96">
        <f t="shared" si="107"/>
        <v>1.6871983667168997</v>
      </c>
      <c r="BC73" s="432" t="str">
        <f t="shared" si="78"/>
        <v>(4,4,4,3,1,5); Assumption: 10% evaporation of process water; Frischknecht &amp; Büsser Knöpfel (2013); or calculation Water Input - Waste water</v>
      </c>
      <c r="BD73" s="435">
        <v>0</v>
      </c>
      <c r="BE73" s="95">
        <v>1</v>
      </c>
      <c r="BF73" s="96">
        <f t="shared" si="108"/>
        <v>1.6871983667168997</v>
      </c>
      <c r="BG73" s="432" t="str">
        <f t="shared" si="79"/>
        <v>(4,4,4,3,1,5); Assumption: 10% evaporation of process water; Frischknecht &amp; Büsser Knöpfel (2013); or calculation Water Input - Waste water</v>
      </c>
      <c r="BH73" s="435">
        <v>0</v>
      </c>
      <c r="BI73" s="95">
        <v>1</v>
      </c>
      <c r="BJ73" s="96">
        <f t="shared" si="109"/>
        <v>1.6871983667168997</v>
      </c>
      <c r="BK73" s="432" t="str">
        <f t="shared" si="80"/>
        <v>(2,4,1,3,1,5); Brailovsky (2026)</v>
      </c>
      <c r="BL73" s="435">
        <f>BH71</f>
        <v>5.3999999999999999E-2</v>
      </c>
      <c r="BM73" s="95">
        <v>1</v>
      </c>
      <c r="BN73" s="96">
        <f t="shared" si="110"/>
        <v>1.6871983667168997</v>
      </c>
      <c r="BO73" s="432" t="str">
        <f t="shared" si="81"/>
        <v>(2,4,1,3,1,5); Brailovsky (2026)</v>
      </c>
      <c r="BP73" s="432"/>
      <c r="BQ73" s="112"/>
      <c r="BR73" s="216" t="s">
        <v>522</v>
      </c>
      <c r="BS73" s="77">
        <v>4</v>
      </c>
      <c r="BT73" s="339">
        <v>4</v>
      </c>
      <c r="BU73" s="339">
        <v>4</v>
      </c>
      <c r="BV73" s="339">
        <v>3</v>
      </c>
      <c r="BW73" s="339">
        <v>1</v>
      </c>
      <c r="BX73" s="339">
        <v>5</v>
      </c>
      <c r="BY73" s="104">
        <v>31</v>
      </c>
      <c r="BZ73" s="104">
        <v>1.5</v>
      </c>
      <c r="CA73" s="104">
        <f t="shared" si="82"/>
        <v>1.3915993050235766</v>
      </c>
      <c r="CB73" s="107">
        <f t="shared" si="111"/>
        <v>1.6871983667168997</v>
      </c>
      <c r="CC73" s="107" t="str">
        <f t="shared" si="83"/>
        <v>(4,4,4,3,1,5)</v>
      </c>
      <c r="CD73" s="108">
        <v>1.2</v>
      </c>
      <c r="CE73" s="108">
        <v>1.1000000000000001</v>
      </c>
      <c r="CF73" s="108">
        <v>1.2</v>
      </c>
      <c r="CG73" s="108">
        <v>1.02</v>
      </c>
      <c r="CH73" s="108">
        <v>1</v>
      </c>
      <c r="CI73" s="108">
        <v>1.2</v>
      </c>
      <c r="CK73" s="77" t="s">
        <v>469</v>
      </c>
      <c r="CL73" s="77">
        <v>2</v>
      </c>
      <c r="CM73" s="339">
        <v>4</v>
      </c>
      <c r="CN73" s="339">
        <v>1</v>
      </c>
      <c r="CO73" s="339">
        <v>3</v>
      </c>
      <c r="CP73" s="339">
        <v>1</v>
      </c>
      <c r="CQ73" s="339">
        <v>5</v>
      </c>
      <c r="CR73" s="104">
        <v>31</v>
      </c>
      <c r="CS73" s="104">
        <v>1.5</v>
      </c>
      <c r="CT73" s="104">
        <f t="shared" si="84"/>
        <v>1.2365959919080913</v>
      </c>
      <c r="CU73" s="107">
        <f t="shared" si="112"/>
        <v>1.5804528752110836</v>
      </c>
      <c r="CV73" s="107" t="str">
        <f t="shared" si="85"/>
        <v>(2,4,1,3,1,5)</v>
      </c>
      <c r="CW73" s="108">
        <v>1.05</v>
      </c>
      <c r="CX73" s="108">
        <v>1.1000000000000001</v>
      </c>
      <c r="CY73" s="108">
        <v>1</v>
      </c>
      <c r="CZ73" s="108">
        <v>1.02</v>
      </c>
      <c r="DA73" s="108">
        <v>1</v>
      </c>
      <c r="DB73" s="108">
        <v>1.2</v>
      </c>
    </row>
    <row r="74" spans="1:106" ht="48">
      <c r="A74" s="333">
        <v>156329</v>
      </c>
      <c r="B74" s="331"/>
      <c r="C74" s="88"/>
      <c r="D74" s="340" t="s">
        <v>98</v>
      </c>
      <c r="E74" s="341">
        <v>4</v>
      </c>
      <c r="F74" s="432" t="s">
        <v>524</v>
      </c>
      <c r="G74" s="433" t="s">
        <v>98</v>
      </c>
      <c r="H74" s="434" t="s">
        <v>247</v>
      </c>
      <c r="I74" s="434" t="s">
        <v>248</v>
      </c>
      <c r="J74" s="94" t="s">
        <v>98</v>
      </c>
      <c r="K74" s="433" t="s">
        <v>96</v>
      </c>
      <c r="L74" s="435">
        <v>0</v>
      </c>
      <c r="M74" s="95">
        <v>1</v>
      </c>
      <c r="N74" s="96">
        <f t="shared" si="67"/>
        <v>1.6871983667168997</v>
      </c>
      <c r="O74" s="432" t="str">
        <f t="shared" si="68"/>
        <v>(4,4,4,3,1,5); Assumption: 10% evaporation of process water; Frischknecht &amp; Büsser Knöpfel (2013); or calculation Water Input - Waste water</v>
      </c>
      <c r="P74" s="435">
        <v>0</v>
      </c>
      <c r="Q74" s="95">
        <v>1</v>
      </c>
      <c r="R74" s="96">
        <f t="shared" si="98"/>
        <v>1.6871983667168997</v>
      </c>
      <c r="S74" s="432" t="str">
        <f t="shared" si="69"/>
        <v>(4,4,4,3,1,5); Assumption: 10% evaporation of process water; Frischknecht &amp; Büsser Knöpfel (2013); or calculation Water Input - Waste water</v>
      </c>
      <c r="T74" s="435">
        <f>L72</f>
        <v>5.9560886319845903</v>
      </c>
      <c r="U74" s="95">
        <v>1</v>
      </c>
      <c r="V74" s="96">
        <f t="shared" si="99"/>
        <v>1.6871983667168997</v>
      </c>
      <c r="W74" s="432" t="str">
        <f t="shared" si="70"/>
        <v>(4,4,4,3,1,5); Assumption: 10% evaporation of process water; Frischknecht &amp; Büsser Knöpfel (2013); or calculation Water Input - Waste water</v>
      </c>
      <c r="X74" s="435">
        <v>0</v>
      </c>
      <c r="Y74" s="95">
        <v>1</v>
      </c>
      <c r="Z74" s="96">
        <f t="shared" si="100"/>
        <v>1.6871983667168997</v>
      </c>
      <c r="AA74" s="432" t="str">
        <f t="shared" si="71"/>
        <v>(4,4,4,3,1,5); Assumption: 10% evaporation of process water; Frischknecht &amp; Büsser Knöpfel (2013); or calculation Water Input - Waste water</v>
      </c>
      <c r="AB74" s="435">
        <v>0</v>
      </c>
      <c r="AC74" s="95">
        <v>1</v>
      </c>
      <c r="AD74" s="96">
        <f t="shared" si="101"/>
        <v>1.6871983667168997</v>
      </c>
      <c r="AE74" s="432" t="str">
        <f t="shared" si="72"/>
        <v>(4,4,4,3,1,5); Assumption: 10% evaporation of process water; Frischknecht &amp; Büsser Knöpfel (2013); or calculation Water Input - Waste water</v>
      </c>
      <c r="AF74" s="435">
        <v>0</v>
      </c>
      <c r="AG74" s="95">
        <v>1</v>
      </c>
      <c r="AH74" s="96">
        <f t="shared" si="102"/>
        <v>1.6871983667168997</v>
      </c>
      <c r="AI74" s="432" t="str">
        <f t="shared" si="73"/>
        <v>(4,4,4,3,1,5); Assumption: 10% evaporation of process water; Frischknecht &amp; Büsser Knöpfel (2013); or calculation Water Input - Waste water</v>
      </c>
      <c r="AJ74" s="435">
        <f>AB72</f>
        <v>1.8635256410256993</v>
      </c>
      <c r="AK74" s="95">
        <v>1</v>
      </c>
      <c r="AL74" s="96">
        <f t="shared" si="103"/>
        <v>1.6871983667168997</v>
      </c>
      <c r="AM74" s="432" t="str">
        <f t="shared" si="74"/>
        <v>(4,4,4,3,1,5); Assumption: 10% evaporation of process water; Frischknecht &amp; Büsser Knöpfel (2013); or calculation Water Input - Waste water</v>
      </c>
      <c r="AN74" s="435">
        <v>0</v>
      </c>
      <c r="AO74" s="95">
        <v>1</v>
      </c>
      <c r="AP74" s="96">
        <f t="shared" si="104"/>
        <v>1.6871983667168997</v>
      </c>
      <c r="AQ74" s="432" t="str">
        <f t="shared" si="75"/>
        <v>(4,4,4,3,1,5); Assumption: 10% evaporation of process water; Frischknecht &amp; Büsser Knöpfel (2013); or calculation Water Input - Waste water</v>
      </c>
      <c r="AR74" s="435">
        <v>0</v>
      </c>
      <c r="AS74" s="95">
        <v>1</v>
      </c>
      <c r="AT74" s="96">
        <f t="shared" si="105"/>
        <v>1.6871983667168997</v>
      </c>
      <c r="AU74" s="432" t="str">
        <f t="shared" si="76"/>
        <v>(4,4,4,3,1,5); Assumption: 10% evaporation of process water; Frischknecht &amp; Büsser Knöpfel (2013); or calculation Water Input - Waste water</v>
      </c>
      <c r="AV74" s="435">
        <v>0</v>
      </c>
      <c r="AW74" s="95">
        <v>1</v>
      </c>
      <c r="AX74" s="96">
        <f t="shared" si="106"/>
        <v>1.6871983667168997</v>
      </c>
      <c r="AY74" s="432" t="str">
        <f t="shared" si="77"/>
        <v>(4,4,4,3,1,5); Assumption: 10% evaporation of process water; Frischknecht &amp; Büsser Knöpfel (2013); or calculation Water Input - Waste water</v>
      </c>
      <c r="AZ74" s="435">
        <f>AR72</f>
        <v>0.64269776908429033</v>
      </c>
      <c r="BA74" s="95">
        <v>1</v>
      </c>
      <c r="BB74" s="96">
        <f t="shared" si="107"/>
        <v>1.6871983667168997</v>
      </c>
      <c r="BC74" s="432" t="str">
        <f t="shared" si="78"/>
        <v>(4,4,4,3,1,5); Assumption: 10% evaporation of process water; Frischknecht &amp; Büsser Knöpfel (2013); or calculation Water Input - Waste water</v>
      </c>
      <c r="BD74" s="435">
        <v>0</v>
      </c>
      <c r="BE74" s="95">
        <v>1</v>
      </c>
      <c r="BF74" s="96">
        <f t="shared" si="108"/>
        <v>1.6871983667168997</v>
      </c>
      <c r="BG74" s="432" t="str">
        <f t="shared" si="79"/>
        <v>(4,4,4,3,1,5); Assumption: 10% evaporation of process water; Frischknecht &amp; Büsser Knöpfel (2013); or calculation Water Input - Waste water</v>
      </c>
      <c r="BH74" s="435">
        <v>0</v>
      </c>
      <c r="BI74" s="95">
        <v>1</v>
      </c>
      <c r="BJ74" s="96">
        <f t="shared" si="109"/>
        <v>1.6871983667168997</v>
      </c>
      <c r="BK74" s="432" t="str">
        <f t="shared" si="80"/>
        <v xml:space="preserve">(na,na,na,na,na,na); </v>
      </c>
      <c r="BL74" s="435">
        <v>0</v>
      </c>
      <c r="BM74" s="95">
        <v>1</v>
      </c>
      <c r="BN74" s="96">
        <f t="shared" si="110"/>
        <v>1.6871983667168997</v>
      </c>
      <c r="BO74" s="432" t="str">
        <f t="shared" si="81"/>
        <v xml:space="preserve">(na,na,na,na,na,na); </v>
      </c>
      <c r="BP74" s="432"/>
      <c r="BQ74" s="112"/>
      <c r="BR74" s="216" t="s">
        <v>522</v>
      </c>
      <c r="BS74" s="77">
        <v>4</v>
      </c>
      <c r="BT74" s="339">
        <v>4</v>
      </c>
      <c r="BU74" s="339">
        <v>4</v>
      </c>
      <c r="BV74" s="339">
        <v>3</v>
      </c>
      <c r="BW74" s="339">
        <v>1</v>
      </c>
      <c r="BX74" s="339">
        <v>5</v>
      </c>
      <c r="BY74" s="104">
        <v>31</v>
      </c>
      <c r="BZ74" s="104">
        <v>1.5</v>
      </c>
      <c r="CA74" s="104">
        <f t="shared" si="82"/>
        <v>1.3915993050235766</v>
      </c>
      <c r="CB74" s="107">
        <f t="shared" si="111"/>
        <v>1.6871983667168997</v>
      </c>
      <c r="CC74" s="107" t="str">
        <f t="shared" si="83"/>
        <v>(4,4,4,3,1,5)</v>
      </c>
      <c r="CD74" s="108">
        <v>1.2</v>
      </c>
      <c r="CE74" s="108">
        <v>1.1000000000000001</v>
      </c>
      <c r="CF74" s="108">
        <v>1.2</v>
      </c>
      <c r="CG74" s="108">
        <v>1.02</v>
      </c>
      <c r="CH74" s="108">
        <v>1</v>
      </c>
      <c r="CI74" s="108">
        <v>1.2</v>
      </c>
      <c r="CK74" s="77"/>
      <c r="CL74" s="77" t="s">
        <v>106</v>
      </c>
      <c r="CM74" s="339" t="s">
        <v>106</v>
      </c>
      <c r="CN74" s="339" t="s">
        <v>106</v>
      </c>
      <c r="CO74" s="339" t="s">
        <v>106</v>
      </c>
      <c r="CP74" s="339" t="s">
        <v>106</v>
      </c>
      <c r="CQ74" s="339" t="s">
        <v>106</v>
      </c>
      <c r="CR74" s="104">
        <v>31</v>
      </c>
      <c r="CS74" s="104">
        <v>1.5</v>
      </c>
      <c r="CT74" s="104">
        <f t="shared" si="84"/>
        <v>1</v>
      </c>
      <c r="CU74" s="107">
        <f t="shared" si="112"/>
        <v>1.5</v>
      </c>
      <c r="CV74" s="107" t="str">
        <f t="shared" si="85"/>
        <v>(na,na,na,na,na,na)</v>
      </c>
      <c r="CW74" s="108">
        <v>1</v>
      </c>
      <c r="CX74" s="108">
        <v>1</v>
      </c>
      <c r="CY74" s="108">
        <v>1</v>
      </c>
      <c r="CZ74" s="108">
        <v>1</v>
      </c>
      <c r="DA74" s="108">
        <v>1</v>
      </c>
      <c r="DB74" s="108">
        <v>1</v>
      </c>
    </row>
    <row r="75" spans="1:106" ht="48">
      <c r="A75" s="333">
        <v>51378</v>
      </c>
      <c r="B75" s="331"/>
      <c r="C75" s="88"/>
      <c r="D75" s="340" t="s">
        <v>98</v>
      </c>
      <c r="E75" s="341">
        <v>4</v>
      </c>
      <c r="F75" s="432" t="s">
        <v>525</v>
      </c>
      <c r="G75" s="433" t="s">
        <v>98</v>
      </c>
      <c r="H75" s="434" t="s">
        <v>247</v>
      </c>
      <c r="I75" s="434" t="s">
        <v>248</v>
      </c>
      <c r="J75" s="94" t="s">
        <v>98</v>
      </c>
      <c r="K75" s="433" t="s">
        <v>96</v>
      </c>
      <c r="L75" s="435">
        <v>0</v>
      </c>
      <c r="M75" s="95">
        <v>1</v>
      </c>
      <c r="N75" s="96">
        <f t="shared" si="67"/>
        <v>1.6871983667168997</v>
      </c>
      <c r="O75" s="432" t="str">
        <f t="shared" si="68"/>
        <v>(4,4,4,3,1,5); Assumption: 10% evaporation of process water; Frischknecht &amp; Büsser Knöpfel (2013); or calculation Water Input - Waste water</v>
      </c>
      <c r="P75" s="435">
        <v>0</v>
      </c>
      <c r="Q75" s="95">
        <v>1</v>
      </c>
      <c r="R75" s="96">
        <f t="shared" si="98"/>
        <v>1.6871983667168997</v>
      </c>
      <c r="S75" s="432" t="str">
        <f t="shared" si="69"/>
        <v>(4,4,4,3,1,5); Assumption: 10% evaporation of process water; Frischknecht &amp; Büsser Knöpfel (2013); or calculation Water Input - Waste water</v>
      </c>
      <c r="T75" s="435">
        <v>0</v>
      </c>
      <c r="U75" s="95">
        <v>1</v>
      </c>
      <c r="V75" s="96">
        <f t="shared" si="99"/>
        <v>1.6871983667168997</v>
      </c>
      <c r="W75" s="432" t="str">
        <f t="shared" si="70"/>
        <v>(4,4,4,3,1,5); Assumption: 10% evaporation of process water; Frischknecht &amp; Büsser Knöpfel (2013); or calculation Water Input - Waste water</v>
      </c>
      <c r="X75" s="435">
        <f>L72</f>
        <v>5.9560886319845903</v>
      </c>
      <c r="Y75" s="95">
        <v>1</v>
      </c>
      <c r="Z75" s="96">
        <f t="shared" si="100"/>
        <v>1.6871983667168997</v>
      </c>
      <c r="AA75" s="432" t="str">
        <f t="shared" si="71"/>
        <v>(4,4,4,3,1,5); Assumption: 10% evaporation of process water; Frischknecht &amp; Büsser Knöpfel (2013); or calculation Water Input - Waste water</v>
      </c>
      <c r="AB75" s="435">
        <v>0</v>
      </c>
      <c r="AC75" s="95">
        <v>1</v>
      </c>
      <c r="AD75" s="96">
        <f t="shared" si="101"/>
        <v>1.6871983667168997</v>
      </c>
      <c r="AE75" s="432" t="str">
        <f t="shared" si="72"/>
        <v>(4,4,4,3,1,5); Assumption: 10% evaporation of process water; Frischknecht &amp; Büsser Knöpfel (2013); or calculation Water Input - Waste water</v>
      </c>
      <c r="AF75" s="435">
        <v>0</v>
      </c>
      <c r="AG75" s="95">
        <v>1</v>
      </c>
      <c r="AH75" s="96">
        <f t="shared" si="102"/>
        <v>1.6871983667168997</v>
      </c>
      <c r="AI75" s="432" t="str">
        <f t="shared" si="73"/>
        <v>(4,4,4,3,1,5); Assumption: 10% evaporation of process water; Frischknecht &amp; Büsser Knöpfel (2013); or calculation Water Input - Waste water</v>
      </c>
      <c r="AJ75" s="435">
        <v>0</v>
      </c>
      <c r="AK75" s="95">
        <v>1</v>
      </c>
      <c r="AL75" s="96">
        <f t="shared" si="103"/>
        <v>1.6871983667168997</v>
      </c>
      <c r="AM75" s="432" t="str">
        <f t="shared" si="74"/>
        <v>(4,4,4,3,1,5); Assumption: 10% evaporation of process water; Frischknecht &amp; Büsser Knöpfel (2013); or calculation Water Input - Waste water</v>
      </c>
      <c r="AN75" s="435">
        <f>AB72</f>
        <v>1.8635256410256993</v>
      </c>
      <c r="AO75" s="95">
        <v>1</v>
      </c>
      <c r="AP75" s="96">
        <f t="shared" si="104"/>
        <v>1.6871983667168997</v>
      </c>
      <c r="AQ75" s="432" t="str">
        <f t="shared" si="75"/>
        <v>(4,4,4,3,1,5); Assumption: 10% evaporation of process water; Frischknecht &amp; Büsser Knöpfel (2013); or calculation Water Input - Waste water</v>
      </c>
      <c r="AR75" s="435">
        <v>0</v>
      </c>
      <c r="AS75" s="95">
        <v>1</v>
      </c>
      <c r="AT75" s="96">
        <f t="shared" si="105"/>
        <v>1.6871983667168997</v>
      </c>
      <c r="AU75" s="432" t="str">
        <f t="shared" si="76"/>
        <v>(4,4,4,3,1,5); Assumption: 10% evaporation of process water; Frischknecht &amp; Büsser Knöpfel (2013); or calculation Water Input - Waste water</v>
      </c>
      <c r="AV75" s="435">
        <v>0</v>
      </c>
      <c r="AW75" s="95">
        <v>1</v>
      </c>
      <c r="AX75" s="96">
        <f t="shared" si="106"/>
        <v>1.6871983667168997</v>
      </c>
      <c r="AY75" s="432" t="str">
        <f t="shared" si="77"/>
        <v>(4,4,4,3,1,5); Assumption: 10% evaporation of process water; Frischknecht &amp; Büsser Knöpfel (2013); or calculation Water Input - Waste water</v>
      </c>
      <c r="AZ75" s="435">
        <v>0</v>
      </c>
      <c r="BA75" s="95">
        <v>1</v>
      </c>
      <c r="BB75" s="96">
        <f t="shared" si="107"/>
        <v>1.6871983667168997</v>
      </c>
      <c r="BC75" s="432" t="str">
        <f t="shared" si="78"/>
        <v>(4,4,4,3,1,5); Assumption: 10% evaporation of process water; Frischknecht &amp; Büsser Knöpfel (2013); or calculation Water Input - Waste water</v>
      </c>
      <c r="BD75" s="435">
        <f>AR72</f>
        <v>0.64269776908429033</v>
      </c>
      <c r="BE75" s="95">
        <v>1</v>
      </c>
      <c r="BF75" s="96">
        <f t="shared" si="108"/>
        <v>1.6871983667168997</v>
      </c>
      <c r="BG75" s="432" t="str">
        <f t="shared" si="79"/>
        <v>(4,4,4,3,1,5); Assumption: 10% evaporation of process water; Frischknecht &amp; Büsser Knöpfel (2013); or calculation Water Input - Waste water</v>
      </c>
      <c r="BH75" s="435">
        <v>0</v>
      </c>
      <c r="BI75" s="95">
        <v>1</v>
      </c>
      <c r="BJ75" s="96">
        <f t="shared" si="109"/>
        <v>1.6871983667168997</v>
      </c>
      <c r="BK75" s="432" t="str">
        <f t="shared" si="80"/>
        <v xml:space="preserve">(na,na,na,na,na,na); </v>
      </c>
      <c r="BL75" s="435">
        <f>AZ72</f>
        <v>0</v>
      </c>
      <c r="BM75" s="95">
        <v>1</v>
      </c>
      <c r="BN75" s="96">
        <f t="shared" si="110"/>
        <v>1.6871983667168997</v>
      </c>
      <c r="BO75" s="432" t="str">
        <f t="shared" si="81"/>
        <v xml:space="preserve">(na,na,na,na,na,na); </v>
      </c>
      <c r="BP75" s="432"/>
      <c r="BQ75" s="112"/>
      <c r="BR75" s="216" t="s">
        <v>522</v>
      </c>
      <c r="BS75" s="77">
        <v>4</v>
      </c>
      <c r="BT75" s="339">
        <v>4</v>
      </c>
      <c r="BU75" s="339">
        <v>4</v>
      </c>
      <c r="BV75" s="339">
        <v>3</v>
      </c>
      <c r="BW75" s="339">
        <v>1</v>
      </c>
      <c r="BX75" s="339">
        <v>5</v>
      </c>
      <c r="BY75" s="104">
        <v>31</v>
      </c>
      <c r="BZ75" s="104">
        <v>1.5</v>
      </c>
      <c r="CA75" s="104">
        <f t="shared" si="82"/>
        <v>1.3915993050235766</v>
      </c>
      <c r="CB75" s="107">
        <f t="shared" si="111"/>
        <v>1.6871983667168997</v>
      </c>
      <c r="CC75" s="107" t="str">
        <f t="shared" si="83"/>
        <v>(4,4,4,3,1,5)</v>
      </c>
      <c r="CD75" s="108">
        <v>1.2</v>
      </c>
      <c r="CE75" s="108">
        <v>1.1000000000000001</v>
      </c>
      <c r="CF75" s="108">
        <v>1.2</v>
      </c>
      <c r="CG75" s="108">
        <v>1.02</v>
      </c>
      <c r="CH75" s="108">
        <v>1</v>
      </c>
      <c r="CI75" s="108">
        <v>1.2</v>
      </c>
      <c r="CK75" s="77"/>
      <c r="CL75" s="77" t="s">
        <v>106</v>
      </c>
      <c r="CM75" s="339" t="s">
        <v>106</v>
      </c>
      <c r="CN75" s="339" t="s">
        <v>106</v>
      </c>
      <c r="CO75" s="339" t="s">
        <v>106</v>
      </c>
      <c r="CP75" s="339" t="s">
        <v>106</v>
      </c>
      <c r="CQ75" s="339" t="s">
        <v>106</v>
      </c>
      <c r="CR75" s="104">
        <v>31</v>
      </c>
      <c r="CS75" s="104">
        <v>1.5</v>
      </c>
      <c r="CT75" s="104">
        <f t="shared" si="84"/>
        <v>1</v>
      </c>
      <c r="CU75" s="107">
        <f t="shared" si="112"/>
        <v>1.5</v>
      </c>
      <c r="CV75" s="107" t="str">
        <f t="shared" si="85"/>
        <v>(na,na,na,na,na,na)</v>
      </c>
      <c r="CW75" s="108">
        <v>1</v>
      </c>
      <c r="CX75" s="108">
        <v>1</v>
      </c>
      <c r="CY75" s="108">
        <v>1</v>
      </c>
      <c r="CZ75" s="108">
        <v>1</v>
      </c>
      <c r="DA75" s="108">
        <v>1</v>
      </c>
      <c r="DB75" s="108">
        <v>1</v>
      </c>
    </row>
    <row r="76" spans="1:106" s="351" customFormat="1" ht="36">
      <c r="A76" s="333">
        <v>81549</v>
      </c>
      <c r="B76" s="216" t="s">
        <v>526</v>
      </c>
      <c r="C76" s="165"/>
      <c r="D76" s="342" t="s">
        <v>98</v>
      </c>
      <c r="E76" s="343">
        <v>4</v>
      </c>
      <c r="F76" s="437" t="s">
        <v>351</v>
      </c>
      <c r="G76" s="438" t="s">
        <v>98</v>
      </c>
      <c r="H76" s="439" t="s">
        <v>344</v>
      </c>
      <c r="I76" s="439" t="s">
        <v>192</v>
      </c>
      <c r="J76" s="335" t="s">
        <v>98</v>
      </c>
      <c r="K76" s="438" t="s">
        <v>96</v>
      </c>
      <c r="L76" s="440">
        <v>1.26191348973607E-5</v>
      </c>
      <c r="M76" s="336">
        <v>1</v>
      </c>
      <c r="N76" s="337">
        <f t="shared" si="67"/>
        <v>1.6763549201521841</v>
      </c>
      <c r="O76" s="437" t="str">
        <f t="shared" si="68"/>
        <v>(4,2,4,1,3,3); Environmental report 2002, average Si product</v>
      </c>
      <c r="P76" s="440">
        <f t="shared" ref="P76:P90" si="113">L76</f>
        <v>1.26191348973607E-5</v>
      </c>
      <c r="Q76" s="336">
        <v>1</v>
      </c>
      <c r="R76" s="337">
        <f t="shared" ref="R76:R90" si="114">N76</f>
        <v>1.6763549201521841</v>
      </c>
      <c r="S76" s="437" t="str">
        <f t="shared" si="69"/>
        <v>(4,2,4,1,3,3); Environmental report 2002, average Si product</v>
      </c>
      <c r="T76" s="440">
        <f t="shared" ref="T76:T90" si="115">P76</f>
        <v>1.26191348973607E-5</v>
      </c>
      <c r="U76" s="336">
        <v>1</v>
      </c>
      <c r="V76" s="337">
        <f t="shared" ref="V76:V90" si="116">R76</f>
        <v>1.6763549201521841</v>
      </c>
      <c r="W76" s="437" t="str">
        <f t="shared" si="70"/>
        <v>(4,2,4,1,3,3); Environmental report 2002, average Si product</v>
      </c>
      <c r="X76" s="440">
        <f t="shared" ref="X76:X90" si="117">T76</f>
        <v>1.26191348973607E-5</v>
      </c>
      <c r="Y76" s="336">
        <v>1</v>
      </c>
      <c r="Z76" s="337">
        <f t="shared" ref="Z76:Z90" si="118">V76</f>
        <v>1.6763549201521841</v>
      </c>
      <c r="AA76" s="437" t="str">
        <f t="shared" si="71"/>
        <v>(4,2,4,1,3,3); Environmental report 2002, average Si product</v>
      </c>
      <c r="AB76" s="440">
        <v>0</v>
      </c>
      <c r="AC76" s="336">
        <v>1</v>
      </c>
      <c r="AD76" s="337">
        <f t="shared" ref="AD76:AD90" si="119">Z76</f>
        <v>1.6763549201521841</v>
      </c>
      <c r="AE76" s="437" t="str">
        <f t="shared" si="72"/>
        <v>(4,2,4,1,3,3); Environmental report 2002, average Si product</v>
      </c>
      <c r="AF76" s="440">
        <f t="shared" ref="AF76:AF90" si="120">AB76</f>
        <v>0</v>
      </c>
      <c r="AG76" s="336">
        <v>1</v>
      </c>
      <c r="AH76" s="337">
        <f t="shared" ref="AH76:AH90" si="121">AD76</f>
        <v>1.6763549201521841</v>
      </c>
      <c r="AI76" s="437" t="str">
        <f t="shared" si="73"/>
        <v>(4,2,4,1,3,3); Environmental report 2002, average Si product</v>
      </c>
      <c r="AJ76" s="440">
        <f t="shared" ref="AJ76:AJ90" si="122">AF76</f>
        <v>0</v>
      </c>
      <c r="AK76" s="336">
        <v>1</v>
      </c>
      <c r="AL76" s="337">
        <f t="shared" ref="AL76:AL90" si="123">AH76</f>
        <v>1.6763549201521841</v>
      </c>
      <c r="AM76" s="437" t="str">
        <f t="shared" si="74"/>
        <v>(4,2,4,1,3,3); Environmental report 2002, average Si product</v>
      </c>
      <c r="AN76" s="440">
        <f t="shared" ref="AN76:AN90" si="124">AJ76</f>
        <v>0</v>
      </c>
      <c r="AO76" s="336">
        <v>1</v>
      </c>
      <c r="AP76" s="337">
        <f t="shared" ref="AP76:AP90" si="125">AL76</f>
        <v>1.6763549201521841</v>
      </c>
      <c r="AQ76" s="437" t="str">
        <f t="shared" si="75"/>
        <v>(4,2,4,1,3,3); Environmental report 2002, average Si product</v>
      </c>
      <c r="AR76" s="440">
        <f t="shared" ref="AR76:AR90" si="126">AN76</f>
        <v>0</v>
      </c>
      <c r="AS76" s="336">
        <v>1</v>
      </c>
      <c r="AT76" s="337">
        <f t="shared" ref="AT76:AT90" si="127">AP76</f>
        <v>1.6763549201521841</v>
      </c>
      <c r="AU76" s="437" t="str">
        <f t="shared" si="76"/>
        <v>(4,2,4,1,3,3); Environmental report 2002, average Si product</v>
      </c>
      <c r="AV76" s="440">
        <f t="shared" ref="AV76:AV90" si="128">AR76</f>
        <v>0</v>
      </c>
      <c r="AW76" s="336">
        <v>1</v>
      </c>
      <c r="AX76" s="337">
        <f t="shared" ref="AX76:AX90" si="129">AT76</f>
        <v>1.6763549201521841</v>
      </c>
      <c r="AY76" s="437" t="str">
        <f t="shared" si="77"/>
        <v>(4,2,4,1,3,3); Environmental report 2002, average Si product</v>
      </c>
      <c r="AZ76" s="440">
        <f t="shared" ref="AZ76:AZ90" si="130">AV76</f>
        <v>0</v>
      </c>
      <c r="BA76" s="336">
        <v>1</v>
      </c>
      <c r="BB76" s="337">
        <f t="shared" ref="BB76:BB90" si="131">AX76</f>
        <v>1.6763549201521841</v>
      </c>
      <c r="BC76" s="437" t="str">
        <f t="shared" si="78"/>
        <v>(4,2,4,1,3,3); Environmental report 2002, average Si product</v>
      </c>
      <c r="BD76" s="440">
        <f t="shared" ref="BD76:BD90" si="132">AZ76</f>
        <v>0</v>
      </c>
      <c r="BE76" s="336">
        <v>1</v>
      </c>
      <c r="BF76" s="337">
        <f t="shared" ref="BF76:BF90" si="133">BB76</f>
        <v>1.6763549201521841</v>
      </c>
      <c r="BG76" s="437" t="str">
        <f t="shared" si="79"/>
        <v>(4,2,4,1,3,3); Environmental report 2002, average Si product</v>
      </c>
      <c r="BH76" s="440">
        <v>1.2619000000000001E-5</v>
      </c>
      <c r="BI76" s="336">
        <v>1</v>
      </c>
      <c r="BJ76" s="337">
        <f t="shared" ref="BJ76:BJ90" si="134">BF76</f>
        <v>1.6763549201521841</v>
      </c>
      <c r="BK76" s="432" t="str">
        <f t="shared" si="80"/>
        <v>(2,4,1,3,1,5); Brailovsky (2026)</v>
      </c>
      <c r="BL76" s="440">
        <f t="shared" ref="BL76:BL88" si="135">BH76</f>
        <v>1.2619000000000001E-5</v>
      </c>
      <c r="BM76" s="336">
        <v>1</v>
      </c>
      <c r="BN76" s="337">
        <f t="shared" ref="BN76:BN90" si="136">BJ76</f>
        <v>1.6763549201521841</v>
      </c>
      <c r="BO76" s="432" t="str">
        <f t="shared" si="81"/>
        <v>(2,4,1,3,1,5); Brailovsky (2026)</v>
      </c>
      <c r="BP76" s="441"/>
      <c r="BQ76" s="329"/>
      <c r="BR76" s="705" t="s">
        <v>527</v>
      </c>
      <c r="BS76" s="77">
        <v>4</v>
      </c>
      <c r="BT76" s="83">
        <v>2</v>
      </c>
      <c r="BU76" s="83">
        <v>4</v>
      </c>
      <c r="BV76" s="83">
        <v>1</v>
      </c>
      <c r="BW76" s="83">
        <v>3</v>
      </c>
      <c r="BX76" s="83">
        <v>3</v>
      </c>
      <c r="BY76" s="104">
        <v>32</v>
      </c>
      <c r="BZ76" s="104">
        <v>1.5</v>
      </c>
      <c r="CA76" s="104">
        <f t="shared" si="82"/>
        <v>1.3773344605979911</v>
      </c>
      <c r="CB76" s="107">
        <f t="shared" si="111"/>
        <v>1.6763549201521841</v>
      </c>
      <c r="CC76" s="107" t="str">
        <f t="shared" si="83"/>
        <v>(4,2,4,1,3,3)</v>
      </c>
      <c r="CD76" s="108">
        <v>1.2</v>
      </c>
      <c r="CE76" s="108">
        <v>1.02</v>
      </c>
      <c r="CF76" s="108">
        <v>1.2</v>
      </c>
      <c r="CG76" s="108">
        <v>1</v>
      </c>
      <c r="CH76" s="108">
        <v>1.2</v>
      </c>
      <c r="CI76" s="108">
        <v>1.05</v>
      </c>
      <c r="CK76" s="111" t="s">
        <v>469</v>
      </c>
      <c r="CL76" s="77">
        <v>2</v>
      </c>
      <c r="CM76" s="83">
        <v>4</v>
      </c>
      <c r="CN76" s="83">
        <v>1</v>
      </c>
      <c r="CO76" s="83">
        <v>3</v>
      </c>
      <c r="CP76" s="83">
        <v>1</v>
      </c>
      <c r="CQ76" s="83">
        <v>5</v>
      </c>
      <c r="CR76" s="104">
        <v>32</v>
      </c>
      <c r="CS76" s="104">
        <v>1.5</v>
      </c>
      <c r="CT76" s="104">
        <f t="shared" si="84"/>
        <v>1.2365959919080913</v>
      </c>
      <c r="CU76" s="107">
        <f t="shared" si="112"/>
        <v>1.5804528752110836</v>
      </c>
      <c r="CV76" s="107" t="str">
        <f t="shared" si="85"/>
        <v>(2,4,1,3,1,5)</v>
      </c>
      <c r="CW76" s="108">
        <v>1.05</v>
      </c>
      <c r="CX76" s="108">
        <v>1.1000000000000001</v>
      </c>
      <c r="CY76" s="108">
        <v>1</v>
      </c>
      <c r="CZ76" s="108">
        <v>1.02</v>
      </c>
      <c r="DA76" s="108">
        <v>1</v>
      </c>
      <c r="DB76" s="108">
        <v>1.2</v>
      </c>
    </row>
    <row r="77" spans="1:106" s="351" customFormat="1" ht="24">
      <c r="A77" s="333">
        <v>13296</v>
      </c>
      <c r="B77" s="216"/>
      <c r="C77" s="165"/>
      <c r="D77" s="342" t="s">
        <v>98</v>
      </c>
      <c r="E77" s="343">
        <v>4</v>
      </c>
      <c r="F77" s="437" t="s">
        <v>297</v>
      </c>
      <c r="G77" s="438" t="s">
        <v>98</v>
      </c>
      <c r="H77" s="439" t="s">
        <v>344</v>
      </c>
      <c r="I77" s="439" t="s">
        <v>192</v>
      </c>
      <c r="J77" s="335" t="s">
        <v>98</v>
      </c>
      <c r="K77" s="438" t="s">
        <v>96</v>
      </c>
      <c r="L77" s="440">
        <v>2.0471041055718499E-4</v>
      </c>
      <c r="M77" s="336">
        <v>1</v>
      </c>
      <c r="N77" s="337">
        <f t="shared" si="67"/>
        <v>1.6763549201521841</v>
      </c>
      <c r="O77" s="437" t="str">
        <f t="shared" si="68"/>
        <v>(4,2,4,1,3,3); Environmental report 2002, average Si product</v>
      </c>
      <c r="P77" s="440">
        <f t="shared" si="113"/>
        <v>2.0471041055718499E-4</v>
      </c>
      <c r="Q77" s="336">
        <v>1</v>
      </c>
      <c r="R77" s="337">
        <f t="shared" si="114"/>
        <v>1.6763549201521841</v>
      </c>
      <c r="S77" s="437" t="str">
        <f t="shared" si="69"/>
        <v>(4,2,4,1,3,3); Environmental report 2002, average Si product</v>
      </c>
      <c r="T77" s="440">
        <f t="shared" si="115"/>
        <v>2.0471041055718499E-4</v>
      </c>
      <c r="U77" s="336">
        <v>1</v>
      </c>
      <c r="V77" s="337">
        <f t="shared" si="116"/>
        <v>1.6763549201521841</v>
      </c>
      <c r="W77" s="437" t="str">
        <f t="shared" si="70"/>
        <v>(4,2,4,1,3,3); Environmental report 2002, average Si product</v>
      </c>
      <c r="X77" s="440">
        <f t="shared" si="117"/>
        <v>2.0471041055718499E-4</v>
      </c>
      <c r="Y77" s="336">
        <v>1</v>
      </c>
      <c r="Z77" s="337">
        <f t="shared" si="118"/>
        <v>1.6763549201521841</v>
      </c>
      <c r="AA77" s="437" t="str">
        <f t="shared" si="71"/>
        <v>(4,2,4,1,3,3); Environmental report 2002, average Si product</v>
      </c>
      <c r="AB77" s="440">
        <v>0</v>
      </c>
      <c r="AC77" s="336">
        <v>1</v>
      </c>
      <c r="AD77" s="337">
        <f t="shared" si="119"/>
        <v>1.6763549201521841</v>
      </c>
      <c r="AE77" s="437" t="str">
        <f t="shared" si="72"/>
        <v>(4,2,4,1,3,3); Environmental report 2002, average Si product</v>
      </c>
      <c r="AF77" s="440">
        <f t="shared" si="120"/>
        <v>0</v>
      </c>
      <c r="AG77" s="336">
        <v>1</v>
      </c>
      <c r="AH77" s="337">
        <f t="shared" si="121"/>
        <v>1.6763549201521841</v>
      </c>
      <c r="AI77" s="437" t="str">
        <f t="shared" si="73"/>
        <v>(4,2,4,1,3,3); Environmental report 2002, average Si product</v>
      </c>
      <c r="AJ77" s="440">
        <f t="shared" si="122"/>
        <v>0</v>
      </c>
      <c r="AK77" s="336">
        <v>1</v>
      </c>
      <c r="AL77" s="337">
        <f t="shared" si="123"/>
        <v>1.6763549201521841</v>
      </c>
      <c r="AM77" s="437" t="str">
        <f t="shared" si="74"/>
        <v>(4,2,4,1,3,3); Environmental report 2002, average Si product</v>
      </c>
      <c r="AN77" s="440">
        <f t="shared" si="124"/>
        <v>0</v>
      </c>
      <c r="AO77" s="336">
        <v>1</v>
      </c>
      <c r="AP77" s="337">
        <f t="shared" si="125"/>
        <v>1.6763549201521841</v>
      </c>
      <c r="AQ77" s="437" t="str">
        <f t="shared" si="75"/>
        <v>(4,2,4,1,3,3); Environmental report 2002, average Si product</v>
      </c>
      <c r="AR77" s="440">
        <f t="shared" si="126"/>
        <v>0</v>
      </c>
      <c r="AS77" s="336">
        <v>1</v>
      </c>
      <c r="AT77" s="337">
        <f t="shared" si="127"/>
        <v>1.6763549201521841</v>
      </c>
      <c r="AU77" s="437" t="str">
        <f t="shared" si="76"/>
        <v>(4,2,4,1,3,3); Environmental report 2002, average Si product</v>
      </c>
      <c r="AV77" s="440">
        <f t="shared" si="128"/>
        <v>0</v>
      </c>
      <c r="AW77" s="336">
        <v>1</v>
      </c>
      <c r="AX77" s="337">
        <f t="shared" si="129"/>
        <v>1.6763549201521841</v>
      </c>
      <c r="AY77" s="437" t="str">
        <f t="shared" si="77"/>
        <v>(4,2,4,1,3,3); Environmental report 2002, average Si product</v>
      </c>
      <c r="AZ77" s="440">
        <f t="shared" si="130"/>
        <v>0</v>
      </c>
      <c r="BA77" s="336">
        <v>1</v>
      </c>
      <c r="BB77" s="337">
        <f t="shared" si="131"/>
        <v>1.6763549201521841</v>
      </c>
      <c r="BC77" s="437" t="str">
        <f t="shared" si="78"/>
        <v>(4,2,4,1,3,3); Environmental report 2002, average Si product</v>
      </c>
      <c r="BD77" s="440">
        <f t="shared" si="132"/>
        <v>0</v>
      </c>
      <c r="BE77" s="336">
        <v>1</v>
      </c>
      <c r="BF77" s="337">
        <f t="shared" si="133"/>
        <v>1.6763549201521841</v>
      </c>
      <c r="BG77" s="437" t="str">
        <f t="shared" si="79"/>
        <v>(4,2,4,1,3,3); Environmental report 2002, average Si product</v>
      </c>
      <c r="BH77" s="440">
        <v>2.0471000000000001E-4</v>
      </c>
      <c r="BI77" s="336">
        <v>1</v>
      </c>
      <c r="BJ77" s="337">
        <f t="shared" si="134"/>
        <v>1.6763549201521841</v>
      </c>
      <c r="BK77" s="432" t="str">
        <f t="shared" si="80"/>
        <v>(2,4,1,3,1,5); Brailovsky (2026)</v>
      </c>
      <c r="BL77" s="440">
        <f t="shared" si="135"/>
        <v>2.0471000000000001E-4</v>
      </c>
      <c r="BM77" s="336">
        <v>1</v>
      </c>
      <c r="BN77" s="337">
        <f t="shared" si="136"/>
        <v>1.6763549201521841</v>
      </c>
      <c r="BO77" s="432" t="str">
        <f t="shared" si="81"/>
        <v>(2,4,1,3,1,5); Brailovsky (2026)</v>
      </c>
      <c r="BP77" s="441"/>
      <c r="BQ77" s="329"/>
      <c r="BR77" s="705" t="s">
        <v>527</v>
      </c>
      <c r="BS77" s="77">
        <v>4</v>
      </c>
      <c r="BT77" s="83">
        <v>2</v>
      </c>
      <c r="BU77" s="83">
        <v>4</v>
      </c>
      <c r="BV77" s="83">
        <v>1</v>
      </c>
      <c r="BW77" s="83">
        <v>3</v>
      </c>
      <c r="BX77" s="83">
        <v>3</v>
      </c>
      <c r="BY77" s="104">
        <v>32</v>
      </c>
      <c r="BZ77" s="104">
        <v>1.5</v>
      </c>
      <c r="CA77" s="104">
        <f t="shared" si="82"/>
        <v>1.3773344605979911</v>
      </c>
      <c r="CB77" s="107">
        <f t="shared" si="111"/>
        <v>1.6763549201521841</v>
      </c>
      <c r="CC77" s="107" t="str">
        <f t="shared" si="83"/>
        <v>(4,2,4,1,3,3)</v>
      </c>
      <c r="CD77" s="108">
        <v>1.2</v>
      </c>
      <c r="CE77" s="108">
        <v>1.02</v>
      </c>
      <c r="CF77" s="108">
        <v>1.2</v>
      </c>
      <c r="CG77" s="108">
        <v>1</v>
      </c>
      <c r="CH77" s="108">
        <v>1.2</v>
      </c>
      <c r="CI77" s="108">
        <v>1.05</v>
      </c>
      <c r="CK77" s="111" t="s">
        <v>469</v>
      </c>
      <c r="CL77" s="77">
        <v>2</v>
      </c>
      <c r="CM77" s="83">
        <v>4</v>
      </c>
      <c r="CN77" s="83">
        <v>1</v>
      </c>
      <c r="CO77" s="83">
        <v>3</v>
      </c>
      <c r="CP77" s="83">
        <v>1</v>
      </c>
      <c r="CQ77" s="83">
        <v>5</v>
      </c>
      <c r="CR77" s="104">
        <v>32</v>
      </c>
      <c r="CS77" s="104">
        <v>1.5</v>
      </c>
      <c r="CT77" s="104">
        <f t="shared" si="84"/>
        <v>1.2365959919080913</v>
      </c>
      <c r="CU77" s="107">
        <f t="shared" si="112"/>
        <v>1.5804528752110836</v>
      </c>
      <c r="CV77" s="107" t="str">
        <f t="shared" si="85"/>
        <v>(2,4,1,3,1,5)</v>
      </c>
      <c r="CW77" s="108">
        <v>1.05</v>
      </c>
      <c r="CX77" s="108">
        <v>1.1000000000000001</v>
      </c>
      <c r="CY77" s="108">
        <v>1</v>
      </c>
      <c r="CZ77" s="108">
        <v>1.02</v>
      </c>
      <c r="DA77" s="108">
        <v>1</v>
      </c>
      <c r="DB77" s="108">
        <v>1.2</v>
      </c>
    </row>
    <row r="78" spans="1:106" s="351" customFormat="1" ht="24">
      <c r="A78" s="333">
        <v>68218</v>
      </c>
      <c r="B78" s="216"/>
      <c r="C78" s="165"/>
      <c r="D78" s="342" t="s">
        <v>98</v>
      </c>
      <c r="E78" s="343">
        <v>4</v>
      </c>
      <c r="F78" s="437" t="s">
        <v>296</v>
      </c>
      <c r="G78" s="438" t="s">
        <v>98</v>
      </c>
      <c r="H78" s="439" t="s">
        <v>344</v>
      </c>
      <c r="I78" s="439" t="s">
        <v>192</v>
      </c>
      <c r="J78" s="335" t="s">
        <v>98</v>
      </c>
      <c r="K78" s="438" t="s">
        <v>96</v>
      </c>
      <c r="L78" s="440">
        <v>2.0199799761730199E-3</v>
      </c>
      <c r="M78" s="336">
        <v>1</v>
      </c>
      <c r="N78" s="337">
        <f t="shared" si="67"/>
        <v>1.6763549201521841</v>
      </c>
      <c r="O78" s="437" t="str">
        <f t="shared" si="68"/>
        <v>(4,2,4,1,3,3); Environmental report 2002, average Si product</v>
      </c>
      <c r="P78" s="440">
        <f t="shared" si="113"/>
        <v>2.0199799761730199E-3</v>
      </c>
      <c r="Q78" s="336">
        <v>1</v>
      </c>
      <c r="R78" s="337">
        <f t="shared" si="114"/>
        <v>1.6763549201521841</v>
      </c>
      <c r="S78" s="437" t="str">
        <f t="shared" si="69"/>
        <v>(4,2,4,1,3,3); Environmental report 2002, average Si product</v>
      </c>
      <c r="T78" s="440">
        <f t="shared" si="115"/>
        <v>2.0199799761730199E-3</v>
      </c>
      <c r="U78" s="336">
        <v>1</v>
      </c>
      <c r="V78" s="337">
        <f t="shared" si="116"/>
        <v>1.6763549201521841</v>
      </c>
      <c r="W78" s="437" t="str">
        <f t="shared" si="70"/>
        <v>(4,2,4,1,3,3); Environmental report 2002, average Si product</v>
      </c>
      <c r="X78" s="440">
        <f t="shared" si="117"/>
        <v>2.0199799761730199E-3</v>
      </c>
      <c r="Y78" s="336">
        <v>1</v>
      </c>
      <c r="Z78" s="337">
        <f t="shared" si="118"/>
        <v>1.6763549201521841</v>
      </c>
      <c r="AA78" s="437" t="str">
        <f t="shared" si="71"/>
        <v>(4,2,4,1,3,3); Environmental report 2002, average Si product</v>
      </c>
      <c r="AB78" s="440">
        <v>0</v>
      </c>
      <c r="AC78" s="336">
        <v>1</v>
      </c>
      <c r="AD78" s="337">
        <f t="shared" si="119"/>
        <v>1.6763549201521841</v>
      </c>
      <c r="AE78" s="437" t="str">
        <f t="shared" si="72"/>
        <v>(4,2,4,1,3,3); Environmental report 2002, average Si product</v>
      </c>
      <c r="AF78" s="440">
        <f t="shared" si="120"/>
        <v>0</v>
      </c>
      <c r="AG78" s="336">
        <v>1</v>
      </c>
      <c r="AH78" s="337">
        <f t="shared" si="121"/>
        <v>1.6763549201521841</v>
      </c>
      <c r="AI78" s="437" t="str">
        <f t="shared" si="73"/>
        <v>(4,2,4,1,3,3); Environmental report 2002, average Si product</v>
      </c>
      <c r="AJ78" s="440">
        <f t="shared" si="122"/>
        <v>0</v>
      </c>
      <c r="AK78" s="336">
        <v>1</v>
      </c>
      <c r="AL78" s="337">
        <f t="shared" si="123"/>
        <v>1.6763549201521841</v>
      </c>
      <c r="AM78" s="437" t="str">
        <f t="shared" si="74"/>
        <v>(4,2,4,1,3,3); Environmental report 2002, average Si product</v>
      </c>
      <c r="AN78" s="440">
        <f t="shared" si="124"/>
        <v>0</v>
      </c>
      <c r="AO78" s="336">
        <v>1</v>
      </c>
      <c r="AP78" s="337">
        <f t="shared" si="125"/>
        <v>1.6763549201521841</v>
      </c>
      <c r="AQ78" s="437" t="str">
        <f t="shared" si="75"/>
        <v>(4,2,4,1,3,3); Environmental report 2002, average Si product</v>
      </c>
      <c r="AR78" s="440">
        <f t="shared" si="126"/>
        <v>0</v>
      </c>
      <c r="AS78" s="336">
        <v>1</v>
      </c>
      <c r="AT78" s="337">
        <f t="shared" si="127"/>
        <v>1.6763549201521841</v>
      </c>
      <c r="AU78" s="437" t="str">
        <f t="shared" si="76"/>
        <v>(4,2,4,1,3,3); Environmental report 2002, average Si product</v>
      </c>
      <c r="AV78" s="440">
        <f t="shared" si="128"/>
        <v>0</v>
      </c>
      <c r="AW78" s="336">
        <v>1</v>
      </c>
      <c r="AX78" s="337">
        <f t="shared" si="129"/>
        <v>1.6763549201521841</v>
      </c>
      <c r="AY78" s="437" t="str">
        <f t="shared" si="77"/>
        <v>(4,2,4,1,3,3); Environmental report 2002, average Si product</v>
      </c>
      <c r="AZ78" s="440">
        <f t="shared" si="130"/>
        <v>0</v>
      </c>
      <c r="BA78" s="336">
        <v>1</v>
      </c>
      <c r="BB78" s="337">
        <f t="shared" si="131"/>
        <v>1.6763549201521841</v>
      </c>
      <c r="BC78" s="437" t="str">
        <f t="shared" si="78"/>
        <v>(4,2,4,1,3,3); Environmental report 2002, average Si product</v>
      </c>
      <c r="BD78" s="440">
        <f t="shared" si="132"/>
        <v>0</v>
      </c>
      <c r="BE78" s="336">
        <v>1</v>
      </c>
      <c r="BF78" s="337">
        <f t="shared" si="133"/>
        <v>1.6763549201521841</v>
      </c>
      <c r="BG78" s="437" t="str">
        <f t="shared" si="79"/>
        <v>(4,2,4,1,3,3); Environmental report 2002, average Si product</v>
      </c>
      <c r="BH78" s="440">
        <v>2.0200000000000001E-3</v>
      </c>
      <c r="BI78" s="336">
        <v>1</v>
      </c>
      <c r="BJ78" s="337">
        <f t="shared" si="134"/>
        <v>1.6763549201521841</v>
      </c>
      <c r="BK78" s="432" t="str">
        <f t="shared" si="80"/>
        <v>(2,4,1,3,1,5); Brailovsky (2026)</v>
      </c>
      <c r="BL78" s="440">
        <f t="shared" si="135"/>
        <v>2.0200000000000001E-3</v>
      </c>
      <c r="BM78" s="336">
        <v>1</v>
      </c>
      <c r="BN78" s="337">
        <f t="shared" si="136"/>
        <v>1.6763549201521841</v>
      </c>
      <c r="BO78" s="432" t="str">
        <f t="shared" si="81"/>
        <v>(2,4,1,3,1,5); Brailovsky (2026)</v>
      </c>
      <c r="BP78" s="441"/>
      <c r="BQ78" s="329"/>
      <c r="BR78" s="705" t="s">
        <v>527</v>
      </c>
      <c r="BS78" s="77">
        <v>4</v>
      </c>
      <c r="BT78" s="83">
        <v>2</v>
      </c>
      <c r="BU78" s="83">
        <v>4</v>
      </c>
      <c r="BV78" s="83">
        <v>1</v>
      </c>
      <c r="BW78" s="83">
        <v>3</v>
      </c>
      <c r="BX78" s="83">
        <v>3</v>
      </c>
      <c r="BY78" s="104">
        <v>32</v>
      </c>
      <c r="BZ78" s="104">
        <v>1.5</v>
      </c>
      <c r="CA78" s="104">
        <f t="shared" si="82"/>
        <v>1.3773344605979911</v>
      </c>
      <c r="CB78" s="107">
        <f t="shared" si="111"/>
        <v>1.6763549201521841</v>
      </c>
      <c r="CC78" s="107" t="str">
        <f t="shared" si="83"/>
        <v>(4,2,4,1,3,3)</v>
      </c>
      <c r="CD78" s="108">
        <v>1.2</v>
      </c>
      <c r="CE78" s="108">
        <v>1.02</v>
      </c>
      <c r="CF78" s="108">
        <v>1.2</v>
      </c>
      <c r="CG78" s="108">
        <v>1</v>
      </c>
      <c r="CH78" s="108">
        <v>1.2</v>
      </c>
      <c r="CI78" s="108">
        <v>1.05</v>
      </c>
      <c r="CK78" s="111" t="s">
        <v>469</v>
      </c>
      <c r="CL78" s="77">
        <v>2</v>
      </c>
      <c r="CM78" s="83">
        <v>4</v>
      </c>
      <c r="CN78" s="83">
        <v>1</v>
      </c>
      <c r="CO78" s="83">
        <v>3</v>
      </c>
      <c r="CP78" s="83">
        <v>1</v>
      </c>
      <c r="CQ78" s="83">
        <v>5</v>
      </c>
      <c r="CR78" s="104">
        <v>32</v>
      </c>
      <c r="CS78" s="104">
        <v>1.5</v>
      </c>
      <c r="CT78" s="104">
        <f t="shared" si="84"/>
        <v>1.2365959919080913</v>
      </c>
      <c r="CU78" s="107">
        <f t="shared" si="112"/>
        <v>1.5804528752110836</v>
      </c>
      <c r="CV78" s="107" t="str">
        <f t="shared" si="85"/>
        <v>(2,4,1,3,1,5)</v>
      </c>
      <c r="CW78" s="108">
        <v>1.05</v>
      </c>
      <c r="CX78" s="108">
        <v>1.1000000000000001</v>
      </c>
      <c r="CY78" s="108">
        <v>1</v>
      </c>
      <c r="CZ78" s="108">
        <v>1.02</v>
      </c>
      <c r="DA78" s="108">
        <v>1</v>
      </c>
      <c r="DB78" s="108">
        <v>1.2</v>
      </c>
    </row>
    <row r="79" spans="1:106" s="351" customFormat="1" ht="24">
      <c r="A79" s="333">
        <v>34061</v>
      </c>
      <c r="B79" s="216"/>
      <c r="C79" s="165"/>
      <c r="D79" s="342" t="s">
        <v>98</v>
      </c>
      <c r="E79" s="343">
        <v>4</v>
      </c>
      <c r="F79" s="437" t="s">
        <v>300</v>
      </c>
      <c r="G79" s="438" t="s">
        <v>98</v>
      </c>
      <c r="H79" s="439" t="s">
        <v>344</v>
      </c>
      <c r="I79" s="439" t="s">
        <v>192</v>
      </c>
      <c r="J79" s="335" t="s">
        <v>98</v>
      </c>
      <c r="K79" s="438" t="s">
        <v>96</v>
      </c>
      <c r="L79" s="440">
        <v>3.5991174853372401E-2</v>
      </c>
      <c r="M79" s="336">
        <v>1</v>
      </c>
      <c r="N79" s="337">
        <f t="shared" si="67"/>
        <v>3.1402733524252149</v>
      </c>
      <c r="O79" s="437" t="str">
        <f t="shared" si="68"/>
        <v>(4,2,4,1,3,3); Environmental report 2002, average Si product</v>
      </c>
      <c r="P79" s="440">
        <f t="shared" si="113"/>
        <v>3.5991174853372401E-2</v>
      </c>
      <c r="Q79" s="336">
        <v>1</v>
      </c>
      <c r="R79" s="337">
        <f t="shared" si="114"/>
        <v>3.1402733524252149</v>
      </c>
      <c r="S79" s="437" t="str">
        <f t="shared" si="69"/>
        <v>(4,2,4,1,3,3); Environmental report 2002, average Si product</v>
      </c>
      <c r="T79" s="440">
        <f t="shared" si="115"/>
        <v>3.5991174853372401E-2</v>
      </c>
      <c r="U79" s="336">
        <v>1</v>
      </c>
      <c r="V79" s="337">
        <f t="shared" si="116"/>
        <v>3.1402733524252149</v>
      </c>
      <c r="W79" s="437" t="str">
        <f t="shared" si="70"/>
        <v>(4,2,4,1,3,3); Environmental report 2002, average Si product</v>
      </c>
      <c r="X79" s="440">
        <f t="shared" si="117"/>
        <v>3.5991174853372401E-2</v>
      </c>
      <c r="Y79" s="336">
        <v>1</v>
      </c>
      <c r="Z79" s="337">
        <f t="shared" si="118"/>
        <v>3.1402733524252149</v>
      </c>
      <c r="AA79" s="437" t="str">
        <f t="shared" si="71"/>
        <v>(4,2,4,1,3,3); Environmental report 2002, average Si product</v>
      </c>
      <c r="AB79" s="440">
        <v>0</v>
      </c>
      <c r="AC79" s="336">
        <v>1</v>
      </c>
      <c r="AD79" s="337">
        <f t="shared" si="119"/>
        <v>3.1402733524252149</v>
      </c>
      <c r="AE79" s="437" t="str">
        <f t="shared" si="72"/>
        <v>(4,2,4,1,3,3); Environmental report 2002, average Si product</v>
      </c>
      <c r="AF79" s="440">
        <f t="shared" si="120"/>
        <v>0</v>
      </c>
      <c r="AG79" s="336">
        <v>1</v>
      </c>
      <c r="AH79" s="337">
        <f t="shared" si="121"/>
        <v>3.1402733524252149</v>
      </c>
      <c r="AI79" s="437" t="str">
        <f t="shared" si="73"/>
        <v>(4,2,4,1,3,3); Environmental report 2002, average Si product</v>
      </c>
      <c r="AJ79" s="440">
        <f t="shared" si="122"/>
        <v>0</v>
      </c>
      <c r="AK79" s="336">
        <v>1</v>
      </c>
      <c r="AL79" s="337">
        <f t="shared" si="123"/>
        <v>3.1402733524252149</v>
      </c>
      <c r="AM79" s="437" t="str">
        <f t="shared" si="74"/>
        <v>(4,2,4,1,3,3); Environmental report 2002, average Si product</v>
      </c>
      <c r="AN79" s="440">
        <f t="shared" si="124"/>
        <v>0</v>
      </c>
      <c r="AO79" s="336">
        <v>1</v>
      </c>
      <c r="AP79" s="337">
        <f t="shared" si="125"/>
        <v>3.1402733524252149</v>
      </c>
      <c r="AQ79" s="437" t="str">
        <f t="shared" si="75"/>
        <v>(4,2,4,1,3,3); Environmental report 2002, average Si product</v>
      </c>
      <c r="AR79" s="440">
        <f t="shared" si="126"/>
        <v>0</v>
      </c>
      <c r="AS79" s="336">
        <v>1</v>
      </c>
      <c r="AT79" s="337">
        <f t="shared" si="127"/>
        <v>3.1402733524252149</v>
      </c>
      <c r="AU79" s="437" t="str">
        <f t="shared" si="76"/>
        <v>(4,2,4,1,3,3); Environmental report 2002, average Si product</v>
      </c>
      <c r="AV79" s="440">
        <f t="shared" si="128"/>
        <v>0</v>
      </c>
      <c r="AW79" s="336">
        <v>1</v>
      </c>
      <c r="AX79" s="337">
        <f t="shared" si="129"/>
        <v>3.1402733524252149</v>
      </c>
      <c r="AY79" s="437" t="str">
        <f t="shared" si="77"/>
        <v>(4,2,4,1,3,3); Environmental report 2002, average Si product</v>
      </c>
      <c r="AZ79" s="440">
        <f t="shared" si="130"/>
        <v>0</v>
      </c>
      <c r="BA79" s="336">
        <v>1</v>
      </c>
      <c r="BB79" s="337">
        <f t="shared" si="131"/>
        <v>3.1402733524252149</v>
      </c>
      <c r="BC79" s="437" t="str">
        <f t="shared" si="78"/>
        <v>(4,2,4,1,3,3); Environmental report 2002, average Si product</v>
      </c>
      <c r="BD79" s="440">
        <f t="shared" si="132"/>
        <v>0</v>
      </c>
      <c r="BE79" s="336">
        <v>1</v>
      </c>
      <c r="BF79" s="337">
        <f t="shared" si="133"/>
        <v>3.1402733524252149</v>
      </c>
      <c r="BG79" s="437" t="str">
        <f t="shared" si="79"/>
        <v>(4,2,4,1,3,3); Environmental report 2002, average Si product</v>
      </c>
      <c r="BH79" s="440">
        <v>3.7900000000000003E-2</v>
      </c>
      <c r="BI79" s="336">
        <v>1</v>
      </c>
      <c r="BJ79" s="337">
        <f t="shared" si="134"/>
        <v>3.1402733524252149</v>
      </c>
      <c r="BK79" s="432" t="str">
        <f t="shared" si="80"/>
        <v>(2,4,1,3,1,5); Brailovsky (2026)</v>
      </c>
      <c r="BL79" s="440">
        <f t="shared" si="135"/>
        <v>3.7900000000000003E-2</v>
      </c>
      <c r="BM79" s="336">
        <v>1</v>
      </c>
      <c r="BN79" s="337">
        <f t="shared" si="136"/>
        <v>3.1402733524252149</v>
      </c>
      <c r="BO79" s="432" t="str">
        <f t="shared" si="81"/>
        <v>(2,4,1,3,1,5); Brailovsky (2026)</v>
      </c>
      <c r="BP79" s="441"/>
      <c r="BQ79" s="329"/>
      <c r="BR79" s="705" t="s">
        <v>527</v>
      </c>
      <c r="BS79" s="77">
        <v>4</v>
      </c>
      <c r="BT79" s="83">
        <v>2</v>
      </c>
      <c r="BU79" s="83">
        <v>4</v>
      </c>
      <c r="BV79" s="83">
        <v>1</v>
      </c>
      <c r="BW79" s="83">
        <v>3</v>
      </c>
      <c r="BX79" s="83">
        <v>3</v>
      </c>
      <c r="BY79" s="104">
        <v>34</v>
      </c>
      <c r="BZ79" s="104">
        <v>3</v>
      </c>
      <c r="CA79" s="104">
        <f t="shared" si="82"/>
        <v>1.3773344605979911</v>
      </c>
      <c r="CB79" s="107">
        <f t="shared" si="111"/>
        <v>3.1402733524252149</v>
      </c>
      <c r="CC79" s="107" t="str">
        <f t="shared" si="83"/>
        <v>(4,2,4,1,3,3)</v>
      </c>
      <c r="CD79" s="108">
        <v>1.2</v>
      </c>
      <c r="CE79" s="108">
        <v>1.02</v>
      </c>
      <c r="CF79" s="108">
        <v>1.2</v>
      </c>
      <c r="CG79" s="108">
        <v>1</v>
      </c>
      <c r="CH79" s="108">
        <v>1.2</v>
      </c>
      <c r="CI79" s="108">
        <v>1.05</v>
      </c>
      <c r="CK79" s="111" t="s">
        <v>469</v>
      </c>
      <c r="CL79" s="77">
        <v>2</v>
      </c>
      <c r="CM79" s="83">
        <v>4</v>
      </c>
      <c r="CN79" s="83">
        <v>1</v>
      </c>
      <c r="CO79" s="83">
        <v>3</v>
      </c>
      <c r="CP79" s="83">
        <v>1</v>
      </c>
      <c r="CQ79" s="83">
        <v>5</v>
      </c>
      <c r="CR79" s="104">
        <v>34</v>
      </c>
      <c r="CS79" s="104">
        <v>3</v>
      </c>
      <c r="CT79" s="104">
        <f t="shared" si="84"/>
        <v>1.2365959919080913</v>
      </c>
      <c r="CU79" s="107">
        <f t="shared" si="112"/>
        <v>3.0616345979734279</v>
      </c>
      <c r="CV79" s="107" t="str">
        <f t="shared" si="85"/>
        <v>(2,4,1,3,1,5)</v>
      </c>
      <c r="CW79" s="108">
        <v>1.05</v>
      </c>
      <c r="CX79" s="108">
        <v>1.1000000000000001</v>
      </c>
      <c r="CY79" s="108">
        <v>1</v>
      </c>
      <c r="CZ79" s="108">
        <v>1.02</v>
      </c>
      <c r="DA79" s="108">
        <v>1</v>
      </c>
      <c r="DB79" s="108">
        <v>1.2</v>
      </c>
    </row>
    <row r="80" spans="1:106" s="351" customFormat="1" ht="24">
      <c r="A80" s="333">
        <v>91271</v>
      </c>
      <c r="B80" s="216"/>
      <c r="C80" s="165"/>
      <c r="D80" s="342" t="s">
        <v>98</v>
      </c>
      <c r="E80" s="343">
        <v>4</v>
      </c>
      <c r="F80" s="437" t="s">
        <v>346</v>
      </c>
      <c r="G80" s="438" t="s">
        <v>98</v>
      </c>
      <c r="H80" s="439" t="s">
        <v>344</v>
      </c>
      <c r="I80" s="439" t="s">
        <v>192</v>
      </c>
      <c r="J80" s="335" t="s">
        <v>98</v>
      </c>
      <c r="K80" s="438" t="s">
        <v>96</v>
      </c>
      <c r="L80" s="440">
        <v>1.02355205278592E-7</v>
      </c>
      <c r="M80" s="336">
        <v>1</v>
      </c>
      <c r="N80" s="337">
        <f t="shared" si="67"/>
        <v>3.1402733524252149</v>
      </c>
      <c r="O80" s="437" t="str">
        <f t="shared" si="68"/>
        <v>(4,2,4,1,3,3); Environmental report 2002, average Si product</v>
      </c>
      <c r="P80" s="440">
        <f t="shared" si="113"/>
        <v>1.02355205278592E-7</v>
      </c>
      <c r="Q80" s="336">
        <v>1</v>
      </c>
      <c r="R80" s="337">
        <f t="shared" si="114"/>
        <v>3.1402733524252149</v>
      </c>
      <c r="S80" s="437" t="str">
        <f t="shared" si="69"/>
        <v>(4,2,4,1,3,3); Environmental report 2002, average Si product</v>
      </c>
      <c r="T80" s="440">
        <f t="shared" si="115"/>
        <v>1.02355205278592E-7</v>
      </c>
      <c r="U80" s="336">
        <v>1</v>
      </c>
      <c r="V80" s="337">
        <f t="shared" si="116"/>
        <v>3.1402733524252149</v>
      </c>
      <c r="W80" s="437" t="str">
        <f t="shared" si="70"/>
        <v>(4,2,4,1,3,3); Environmental report 2002, average Si product</v>
      </c>
      <c r="X80" s="440">
        <f t="shared" si="117"/>
        <v>1.02355205278592E-7</v>
      </c>
      <c r="Y80" s="336">
        <v>1</v>
      </c>
      <c r="Z80" s="337">
        <f t="shared" si="118"/>
        <v>3.1402733524252149</v>
      </c>
      <c r="AA80" s="437" t="str">
        <f t="shared" si="71"/>
        <v>(4,2,4,1,3,3); Environmental report 2002, average Si product</v>
      </c>
      <c r="AB80" s="440">
        <v>0</v>
      </c>
      <c r="AC80" s="336">
        <v>1</v>
      </c>
      <c r="AD80" s="337">
        <f t="shared" si="119"/>
        <v>3.1402733524252149</v>
      </c>
      <c r="AE80" s="437" t="str">
        <f t="shared" si="72"/>
        <v>(4,2,4,1,3,3); Environmental report 2002, average Si product</v>
      </c>
      <c r="AF80" s="440">
        <f t="shared" si="120"/>
        <v>0</v>
      </c>
      <c r="AG80" s="336">
        <v>1</v>
      </c>
      <c r="AH80" s="337">
        <f t="shared" si="121"/>
        <v>3.1402733524252149</v>
      </c>
      <c r="AI80" s="437" t="str">
        <f t="shared" si="73"/>
        <v>(4,2,4,1,3,3); Environmental report 2002, average Si product</v>
      </c>
      <c r="AJ80" s="440">
        <f t="shared" si="122"/>
        <v>0</v>
      </c>
      <c r="AK80" s="336">
        <v>1</v>
      </c>
      <c r="AL80" s="337">
        <f t="shared" si="123"/>
        <v>3.1402733524252149</v>
      </c>
      <c r="AM80" s="437" t="str">
        <f t="shared" si="74"/>
        <v>(4,2,4,1,3,3); Environmental report 2002, average Si product</v>
      </c>
      <c r="AN80" s="440">
        <f t="shared" si="124"/>
        <v>0</v>
      </c>
      <c r="AO80" s="336">
        <v>1</v>
      </c>
      <c r="AP80" s="337">
        <f t="shared" si="125"/>
        <v>3.1402733524252149</v>
      </c>
      <c r="AQ80" s="437" t="str">
        <f t="shared" si="75"/>
        <v>(4,2,4,1,3,3); Environmental report 2002, average Si product</v>
      </c>
      <c r="AR80" s="440">
        <f t="shared" si="126"/>
        <v>0</v>
      </c>
      <c r="AS80" s="336">
        <v>1</v>
      </c>
      <c r="AT80" s="337">
        <f t="shared" si="127"/>
        <v>3.1402733524252149</v>
      </c>
      <c r="AU80" s="437" t="str">
        <f t="shared" si="76"/>
        <v>(4,2,4,1,3,3); Environmental report 2002, average Si product</v>
      </c>
      <c r="AV80" s="440">
        <f t="shared" si="128"/>
        <v>0</v>
      </c>
      <c r="AW80" s="336">
        <v>1</v>
      </c>
      <c r="AX80" s="337">
        <f t="shared" si="129"/>
        <v>3.1402733524252149</v>
      </c>
      <c r="AY80" s="437" t="str">
        <f t="shared" si="77"/>
        <v>(4,2,4,1,3,3); Environmental report 2002, average Si product</v>
      </c>
      <c r="AZ80" s="440">
        <f t="shared" si="130"/>
        <v>0</v>
      </c>
      <c r="BA80" s="336">
        <v>1</v>
      </c>
      <c r="BB80" s="337">
        <f t="shared" si="131"/>
        <v>3.1402733524252149</v>
      </c>
      <c r="BC80" s="437" t="str">
        <f t="shared" si="78"/>
        <v>(4,2,4,1,3,3); Environmental report 2002, average Si product</v>
      </c>
      <c r="BD80" s="440">
        <f t="shared" si="132"/>
        <v>0</v>
      </c>
      <c r="BE80" s="336">
        <v>1</v>
      </c>
      <c r="BF80" s="337">
        <f t="shared" si="133"/>
        <v>3.1402733524252149</v>
      </c>
      <c r="BG80" s="437" t="str">
        <f t="shared" si="79"/>
        <v>(4,2,4,1,3,3); Environmental report 2002, average Si product</v>
      </c>
      <c r="BH80" s="440">
        <v>1.0236E-7</v>
      </c>
      <c r="BI80" s="336">
        <v>1</v>
      </c>
      <c r="BJ80" s="337">
        <f t="shared" si="134"/>
        <v>3.1402733524252149</v>
      </c>
      <c r="BK80" s="432" t="str">
        <f t="shared" si="80"/>
        <v>(2,4,1,3,1,5); Brailovsky (2026)</v>
      </c>
      <c r="BL80" s="440">
        <f t="shared" si="135"/>
        <v>1.0236E-7</v>
      </c>
      <c r="BM80" s="336">
        <v>1</v>
      </c>
      <c r="BN80" s="337">
        <f t="shared" si="136"/>
        <v>3.1402733524252149</v>
      </c>
      <c r="BO80" s="432" t="str">
        <f t="shared" si="81"/>
        <v>(2,4,1,3,1,5); Brailovsky (2026)</v>
      </c>
      <c r="BP80" s="441"/>
      <c r="BQ80" s="329"/>
      <c r="BR80" s="705" t="s">
        <v>527</v>
      </c>
      <c r="BS80" s="77">
        <v>4</v>
      </c>
      <c r="BT80" s="83">
        <v>2</v>
      </c>
      <c r="BU80" s="83">
        <v>4</v>
      </c>
      <c r="BV80" s="83">
        <v>1</v>
      </c>
      <c r="BW80" s="83">
        <v>3</v>
      </c>
      <c r="BX80" s="83">
        <v>3</v>
      </c>
      <c r="BY80" s="104">
        <v>34</v>
      </c>
      <c r="BZ80" s="104">
        <v>3</v>
      </c>
      <c r="CA80" s="104">
        <f t="shared" si="82"/>
        <v>1.3773344605979911</v>
      </c>
      <c r="CB80" s="107">
        <f t="shared" si="111"/>
        <v>3.1402733524252149</v>
      </c>
      <c r="CC80" s="107" t="str">
        <f t="shared" si="83"/>
        <v>(4,2,4,1,3,3)</v>
      </c>
      <c r="CD80" s="108">
        <v>1.2</v>
      </c>
      <c r="CE80" s="108">
        <v>1.02</v>
      </c>
      <c r="CF80" s="108">
        <v>1.2</v>
      </c>
      <c r="CG80" s="108">
        <v>1</v>
      </c>
      <c r="CH80" s="108">
        <v>1.2</v>
      </c>
      <c r="CI80" s="108">
        <v>1.05</v>
      </c>
      <c r="CK80" s="111" t="s">
        <v>469</v>
      </c>
      <c r="CL80" s="77">
        <v>2</v>
      </c>
      <c r="CM80" s="83">
        <v>4</v>
      </c>
      <c r="CN80" s="83">
        <v>1</v>
      </c>
      <c r="CO80" s="83">
        <v>3</v>
      </c>
      <c r="CP80" s="83">
        <v>1</v>
      </c>
      <c r="CQ80" s="83">
        <v>5</v>
      </c>
      <c r="CR80" s="104">
        <v>34</v>
      </c>
      <c r="CS80" s="104">
        <v>3</v>
      </c>
      <c r="CT80" s="104">
        <f t="shared" si="84"/>
        <v>1.2365959919080913</v>
      </c>
      <c r="CU80" s="107">
        <f t="shared" si="112"/>
        <v>3.0616345979734279</v>
      </c>
      <c r="CV80" s="107" t="str">
        <f t="shared" si="85"/>
        <v>(2,4,1,3,1,5)</v>
      </c>
      <c r="CW80" s="108">
        <v>1.05</v>
      </c>
      <c r="CX80" s="108">
        <v>1.1000000000000001</v>
      </c>
      <c r="CY80" s="108">
        <v>1</v>
      </c>
      <c r="CZ80" s="108">
        <v>1.02</v>
      </c>
      <c r="DA80" s="108">
        <v>1</v>
      </c>
      <c r="DB80" s="108">
        <v>1.2</v>
      </c>
    </row>
    <row r="81" spans="1:106" s="351" customFormat="1" ht="24">
      <c r="A81" s="333">
        <v>78458</v>
      </c>
      <c r="B81" s="216"/>
      <c r="C81" s="165"/>
      <c r="D81" s="342" t="s">
        <v>98</v>
      </c>
      <c r="E81" s="343">
        <v>4</v>
      </c>
      <c r="F81" s="437" t="s">
        <v>194</v>
      </c>
      <c r="G81" s="438" t="s">
        <v>98</v>
      </c>
      <c r="H81" s="439" t="s">
        <v>344</v>
      </c>
      <c r="I81" s="439" t="s">
        <v>192</v>
      </c>
      <c r="J81" s="335" t="s">
        <v>98</v>
      </c>
      <c r="K81" s="438" t="s">
        <v>96</v>
      </c>
      <c r="L81" s="440">
        <v>2.0751466275659801E-4</v>
      </c>
      <c r="M81" s="336">
        <v>1</v>
      </c>
      <c r="N81" s="337">
        <f t="shared" si="67"/>
        <v>1.6763549201521841</v>
      </c>
      <c r="O81" s="437" t="str">
        <f t="shared" si="68"/>
        <v>(4,2,4,1,3,3); Environmental report 2002, average Si product</v>
      </c>
      <c r="P81" s="440">
        <f t="shared" si="113"/>
        <v>2.0751466275659801E-4</v>
      </c>
      <c r="Q81" s="336">
        <v>1</v>
      </c>
      <c r="R81" s="337">
        <f t="shared" si="114"/>
        <v>1.6763549201521841</v>
      </c>
      <c r="S81" s="437" t="str">
        <f t="shared" si="69"/>
        <v>(4,2,4,1,3,3); Environmental report 2002, average Si product</v>
      </c>
      <c r="T81" s="440">
        <f t="shared" si="115"/>
        <v>2.0751466275659801E-4</v>
      </c>
      <c r="U81" s="336">
        <v>1</v>
      </c>
      <c r="V81" s="337">
        <f t="shared" si="116"/>
        <v>1.6763549201521841</v>
      </c>
      <c r="W81" s="437" t="str">
        <f t="shared" si="70"/>
        <v>(4,2,4,1,3,3); Environmental report 2002, average Si product</v>
      </c>
      <c r="X81" s="440">
        <f t="shared" si="117"/>
        <v>2.0751466275659801E-4</v>
      </c>
      <c r="Y81" s="336">
        <v>1</v>
      </c>
      <c r="Z81" s="337">
        <f t="shared" si="118"/>
        <v>1.6763549201521841</v>
      </c>
      <c r="AA81" s="437" t="str">
        <f t="shared" si="71"/>
        <v>(4,2,4,1,3,3); Environmental report 2002, average Si product</v>
      </c>
      <c r="AB81" s="440">
        <v>0</v>
      </c>
      <c r="AC81" s="336">
        <v>1</v>
      </c>
      <c r="AD81" s="337">
        <f t="shared" si="119"/>
        <v>1.6763549201521841</v>
      </c>
      <c r="AE81" s="437" t="str">
        <f t="shared" si="72"/>
        <v>(4,2,4,1,3,3); Environmental report 2002, average Si product</v>
      </c>
      <c r="AF81" s="440">
        <f t="shared" si="120"/>
        <v>0</v>
      </c>
      <c r="AG81" s="336">
        <v>1</v>
      </c>
      <c r="AH81" s="337">
        <f t="shared" si="121"/>
        <v>1.6763549201521841</v>
      </c>
      <c r="AI81" s="437" t="str">
        <f t="shared" si="73"/>
        <v>(4,2,4,1,3,3); Environmental report 2002, average Si product</v>
      </c>
      <c r="AJ81" s="440">
        <f t="shared" si="122"/>
        <v>0</v>
      </c>
      <c r="AK81" s="336">
        <v>1</v>
      </c>
      <c r="AL81" s="337">
        <f t="shared" si="123"/>
        <v>1.6763549201521841</v>
      </c>
      <c r="AM81" s="437" t="str">
        <f t="shared" si="74"/>
        <v>(4,2,4,1,3,3); Environmental report 2002, average Si product</v>
      </c>
      <c r="AN81" s="440">
        <f t="shared" si="124"/>
        <v>0</v>
      </c>
      <c r="AO81" s="336">
        <v>1</v>
      </c>
      <c r="AP81" s="337">
        <f t="shared" si="125"/>
        <v>1.6763549201521841</v>
      </c>
      <c r="AQ81" s="437" t="str">
        <f t="shared" si="75"/>
        <v>(4,2,4,1,3,3); Environmental report 2002, average Si product</v>
      </c>
      <c r="AR81" s="440">
        <f t="shared" si="126"/>
        <v>0</v>
      </c>
      <c r="AS81" s="336">
        <v>1</v>
      </c>
      <c r="AT81" s="337">
        <f t="shared" si="127"/>
        <v>1.6763549201521841</v>
      </c>
      <c r="AU81" s="437" t="str">
        <f t="shared" si="76"/>
        <v>(4,2,4,1,3,3); Environmental report 2002, average Si product</v>
      </c>
      <c r="AV81" s="440">
        <f t="shared" si="128"/>
        <v>0</v>
      </c>
      <c r="AW81" s="336">
        <v>1</v>
      </c>
      <c r="AX81" s="337">
        <f t="shared" si="129"/>
        <v>1.6763549201521841</v>
      </c>
      <c r="AY81" s="437" t="str">
        <f t="shared" si="77"/>
        <v>(4,2,4,1,3,3); Environmental report 2002, average Si product</v>
      </c>
      <c r="AZ81" s="440">
        <f t="shared" si="130"/>
        <v>0</v>
      </c>
      <c r="BA81" s="336">
        <v>1</v>
      </c>
      <c r="BB81" s="337">
        <f t="shared" si="131"/>
        <v>1.6763549201521841</v>
      </c>
      <c r="BC81" s="437" t="str">
        <f t="shared" si="78"/>
        <v>(4,2,4,1,3,3); Environmental report 2002, average Si product</v>
      </c>
      <c r="BD81" s="440">
        <f t="shared" si="132"/>
        <v>0</v>
      </c>
      <c r="BE81" s="336">
        <v>1</v>
      </c>
      <c r="BF81" s="337">
        <f t="shared" si="133"/>
        <v>1.6763549201521841</v>
      </c>
      <c r="BG81" s="437" t="str">
        <f t="shared" si="79"/>
        <v>(4,2,4,1,3,3); Environmental report 2002, average Si product</v>
      </c>
      <c r="BH81" s="440">
        <v>2.0751E-4</v>
      </c>
      <c r="BI81" s="336">
        <v>1</v>
      </c>
      <c r="BJ81" s="337">
        <f t="shared" si="134"/>
        <v>1.6763549201521841</v>
      </c>
      <c r="BK81" s="432" t="str">
        <f t="shared" si="80"/>
        <v>(2,4,1,3,1,5); Brailovsky (2026)</v>
      </c>
      <c r="BL81" s="440">
        <f t="shared" si="135"/>
        <v>2.0751E-4</v>
      </c>
      <c r="BM81" s="336">
        <v>1</v>
      </c>
      <c r="BN81" s="337">
        <f t="shared" si="136"/>
        <v>1.6763549201521841</v>
      </c>
      <c r="BO81" s="432" t="str">
        <f t="shared" si="81"/>
        <v>(2,4,1,3,1,5); Brailovsky (2026)</v>
      </c>
      <c r="BP81" s="441"/>
      <c r="BQ81" s="329"/>
      <c r="BR81" s="705" t="s">
        <v>527</v>
      </c>
      <c r="BS81" s="77">
        <v>4</v>
      </c>
      <c r="BT81" s="83">
        <v>2</v>
      </c>
      <c r="BU81" s="83">
        <v>4</v>
      </c>
      <c r="BV81" s="83">
        <v>1</v>
      </c>
      <c r="BW81" s="83">
        <v>3</v>
      </c>
      <c r="BX81" s="83">
        <v>3</v>
      </c>
      <c r="BY81" s="104">
        <v>33</v>
      </c>
      <c r="BZ81" s="104">
        <v>1.5</v>
      </c>
      <c r="CA81" s="104">
        <f t="shared" si="82"/>
        <v>1.3773344605979911</v>
      </c>
      <c r="CB81" s="107">
        <f t="shared" si="111"/>
        <v>1.6763549201521841</v>
      </c>
      <c r="CC81" s="107" t="str">
        <f t="shared" si="83"/>
        <v>(4,2,4,1,3,3)</v>
      </c>
      <c r="CD81" s="108">
        <v>1.2</v>
      </c>
      <c r="CE81" s="108">
        <v>1.02</v>
      </c>
      <c r="CF81" s="108">
        <v>1.2</v>
      </c>
      <c r="CG81" s="108">
        <v>1</v>
      </c>
      <c r="CH81" s="108">
        <v>1.2</v>
      </c>
      <c r="CI81" s="108">
        <v>1.05</v>
      </c>
      <c r="CK81" s="111" t="s">
        <v>469</v>
      </c>
      <c r="CL81" s="77">
        <v>2</v>
      </c>
      <c r="CM81" s="83">
        <v>4</v>
      </c>
      <c r="CN81" s="83">
        <v>1</v>
      </c>
      <c r="CO81" s="83">
        <v>3</v>
      </c>
      <c r="CP81" s="83">
        <v>1</v>
      </c>
      <c r="CQ81" s="83">
        <v>5</v>
      </c>
      <c r="CR81" s="104">
        <v>33</v>
      </c>
      <c r="CS81" s="104">
        <v>1.5</v>
      </c>
      <c r="CT81" s="104">
        <f t="shared" si="84"/>
        <v>1.2365959919080913</v>
      </c>
      <c r="CU81" s="107">
        <f t="shared" si="112"/>
        <v>1.5804528752110836</v>
      </c>
      <c r="CV81" s="107" t="str">
        <f t="shared" si="85"/>
        <v>(2,4,1,3,1,5)</v>
      </c>
      <c r="CW81" s="108">
        <v>1.05</v>
      </c>
      <c r="CX81" s="108">
        <v>1.1000000000000001</v>
      </c>
      <c r="CY81" s="108">
        <v>1</v>
      </c>
      <c r="CZ81" s="108">
        <v>1.02</v>
      </c>
      <c r="DA81" s="108">
        <v>1</v>
      </c>
      <c r="DB81" s="108">
        <v>1.2</v>
      </c>
    </row>
    <row r="82" spans="1:106" s="351" customFormat="1" ht="24">
      <c r="A82" s="333">
        <v>77566</v>
      </c>
      <c r="B82" s="216"/>
      <c r="C82" s="165"/>
      <c r="D82" s="342" t="s">
        <v>98</v>
      </c>
      <c r="E82" s="343">
        <v>4</v>
      </c>
      <c r="F82" s="437" t="s">
        <v>347</v>
      </c>
      <c r="G82" s="438" t="s">
        <v>98</v>
      </c>
      <c r="H82" s="439" t="s">
        <v>344</v>
      </c>
      <c r="I82" s="439" t="s">
        <v>192</v>
      </c>
      <c r="J82" s="335" t="s">
        <v>98</v>
      </c>
      <c r="K82" s="438" t="s">
        <v>96</v>
      </c>
      <c r="L82" s="440">
        <v>2.8042521994134901E-6</v>
      </c>
      <c r="M82" s="336">
        <v>1</v>
      </c>
      <c r="N82" s="337">
        <f t="shared" si="67"/>
        <v>1.6763549201521841</v>
      </c>
      <c r="O82" s="437" t="str">
        <f t="shared" si="68"/>
        <v>(4,2,4,1,3,3); Environmental report 2002, average Si product</v>
      </c>
      <c r="P82" s="440">
        <f t="shared" si="113"/>
        <v>2.8042521994134901E-6</v>
      </c>
      <c r="Q82" s="336">
        <v>1</v>
      </c>
      <c r="R82" s="337">
        <f t="shared" si="114"/>
        <v>1.6763549201521841</v>
      </c>
      <c r="S82" s="437" t="str">
        <f t="shared" si="69"/>
        <v>(4,2,4,1,3,3); Environmental report 2002, average Si product</v>
      </c>
      <c r="T82" s="440">
        <f t="shared" si="115"/>
        <v>2.8042521994134901E-6</v>
      </c>
      <c r="U82" s="336">
        <v>1</v>
      </c>
      <c r="V82" s="337">
        <f t="shared" si="116"/>
        <v>1.6763549201521841</v>
      </c>
      <c r="W82" s="437" t="str">
        <f t="shared" si="70"/>
        <v>(4,2,4,1,3,3); Environmental report 2002, average Si product</v>
      </c>
      <c r="X82" s="440">
        <f t="shared" si="117"/>
        <v>2.8042521994134901E-6</v>
      </c>
      <c r="Y82" s="336">
        <v>1</v>
      </c>
      <c r="Z82" s="337">
        <f t="shared" si="118"/>
        <v>1.6763549201521841</v>
      </c>
      <c r="AA82" s="437" t="str">
        <f t="shared" si="71"/>
        <v>(4,2,4,1,3,3); Environmental report 2002, average Si product</v>
      </c>
      <c r="AB82" s="440">
        <v>0</v>
      </c>
      <c r="AC82" s="336">
        <v>1</v>
      </c>
      <c r="AD82" s="337">
        <f t="shared" si="119"/>
        <v>1.6763549201521841</v>
      </c>
      <c r="AE82" s="437" t="str">
        <f t="shared" si="72"/>
        <v>(4,2,4,1,3,3); Environmental report 2002, average Si product</v>
      </c>
      <c r="AF82" s="440">
        <f t="shared" si="120"/>
        <v>0</v>
      </c>
      <c r="AG82" s="336">
        <v>1</v>
      </c>
      <c r="AH82" s="337">
        <f t="shared" si="121"/>
        <v>1.6763549201521841</v>
      </c>
      <c r="AI82" s="437" t="str">
        <f t="shared" si="73"/>
        <v>(4,2,4,1,3,3); Environmental report 2002, average Si product</v>
      </c>
      <c r="AJ82" s="440">
        <f t="shared" si="122"/>
        <v>0</v>
      </c>
      <c r="AK82" s="336">
        <v>1</v>
      </c>
      <c r="AL82" s="337">
        <f t="shared" si="123"/>
        <v>1.6763549201521841</v>
      </c>
      <c r="AM82" s="437" t="str">
        <f t="shared" si="74"/>
        <v>(4,2,4,1,3,3); Environmental report 2002, average Si product</v>
      </c>
      <c r="AN82" s="440">
        <f t="shared" si="124"/>
        <v>0</v>
      </c>
      <c r="AO82" s="336">
        <v>1</v>
      </c>
      <c r="AP82" s="337">
        <f t="shared" si="125"/>
        <v>1.6763549201521841</v>
      </c>
      <c r="AQ82" s="437" t="str">
        <f t="shared" si="75"/>
        <v>(4,2,4,1,3,3); Environmental report 2002, average Si product</v>
      </c>
      <c r="AR82" s="440">
        <f t="shared" si="126"/>
        <v>0</v>
      </c>
      <c r="AS82" s="336">
        <v>1</v>
      </c>
      <c r="AT82" s="337">
        <f t="shared" si="127"/>
        <v>1.6763549201521841</v>
      </c>
      <c r="AU82" s="437" t="str">
        <f t="shared" si="76"/>
        <v>(4,2,4,1,3,3); Environmental report 2002, average Si product</v>
      </c>
      <c r="AV82" s="440">
        <f t="shared" si="128"/>
        <v>0</v>
      </c>
      <c r="AW82" s="336">
        <v>1</v>
      </c>
      <c r="AX82" s="337">
        <f t="shared" si="129"/>
        <v>1.6763549201521841</v>
      </c>
      <c r="AY82" s="437" t="str">
        <f t="shared" si="77"/>
        <v>(4,2,4,1,3,3); Environmental report 2002, average Si product</v>
      </c>
      <c r="AZ82" s="440">
        <f t="shared" si="130"/>
        <v>0</v>
      </c>
      <c r="BA82" s="336">
        <v>1</v>
      </c>
      <c r="BB82" s="337">
        <f t="shared" si="131"/>
        <v>1.6763549201521841</v>
      </c>
      <c r="BC82" s="437" t="str">
        <f t="shared" si="78"/>
        <v>(4,2,4,1,3,3); Environmental report 2002, average Si product</v>
      </c>
      <c r="BD82" s="440">
        <f t="shared" si="132"/>
        <v>0</v>
      </c>
      <c r="BE82" s="336">
        <v>1</v>
      </c>
      <c r="BF82" s="337">
        <f t="shared" si="133"/>
        <v>1.6763549201521841</v>
      </c>
      <c r="BG82" s="437" t="str">
        <f t="shared" si="79"/>
        <v>(4,2,4,1,3,3); Environmental report 2002, average Si product</v>
      </c>
      <c r="BH82" s="440">
        <v>2.8043E-6</v>
      </c>
      <c r="BI82" s="336">
        <v>1</v>
      </c>
      <c r="BJ82" s="337">
        <f t="shared" si="134"/>
        <v>1.6763549201521841</v>
      </c>
      <c r="BK82" s="432" t="str">
        <f t="shared" si="80"/>
        <v>(2,4,1,3,1,5); Brailovsky (2026)</v>
      </c>
      <c r="BL82" s="440">
        <f t="shared" si="135"/>
        <v>2.8043E-6</v>
      </c>
      <c r="BM82" s="336">
        <v>1</v>
      </c>
      <c r="BN82" s="337">
        <f t="shared" si="136"/>
        <v>1.6763549201521841</v>
      </c>
      <c r="BO82" s="432" t="str">
        <f t="shared" si="81"/>
        <v>(2,4,1,3,1,5); Brailovsky (2026)</v>
      </c>
      <c r="BP82" s="441"/>
      <c r="BQ82" s="329"/>
      <c r="BR82" s="705" t="s">
        <v>527</v>
      </c>
      <c r="BS82" s="77">
        <v>4</v>
      </c>
      <c r="BT82" s="83">
        <v>2</v>
      </c>
      <c r="BU82" s="83">
        <v>4</v>
      </c>
      <c r="BV82" s="83">
        <v>1</v>
      </c>
      <c r="BW82" s="83">
        <v>3</v>
      </c>
      <c r="BX82" s="83">
        <v>3</v>
      </c>
      <c r="BY82" s="104">
        <v>33</v>
      </c>
      <c r="BZ82" s="104">
        <v>1.5</v>
      </c>
      <c r="CA82" s="104">
        <f t="shared" si="82"/>
        <v>1.3773344605979911</v>
      </c>
      <c r="CB82" s="107">
        <f t="shared" si="111"/>
        <v>1.6763549201521841</v>
      </c>
      <c r="CC82" s="107" t="str">
        <f t="shared" si="83"/>
        <v>(4,2,4,1,3,3)</v>
      </c>
      <c r="CD82" s="108">
        <v>1.2</v>
      </c>
      <c r="CE82" s="108">
        <v>1.02</v>
      </c>
      <c r="CF82" s="108">
        <v>1.2</v>
      </c>
      <c r="CG82" s="108">
        <v>1</v>
      </c>
      <c r="CH82" s="108">
        <v>1.2</v>
      </c>
      <c r="CI82" s="108">
        <v>1.05</v>
      </c>
      <c r="CK82" s="111" t="s">
        <v>469</v>
      </c>
      <c r="CL82" s="77">
        <v>2</v>
      </c>
      <c r="CM82" s="83">
        <v>4</v>
      </c>
      <c r="CN82" s="83">
        <v>1</v>
      </c>
      <c r="CO82" s="83">
        <v>3</v>
      </c>
      <c r="CP82" s="83">
        <v>1</v>
      </c>
      <c r="CQ82" s="83">
        <v>5</v>
      </c>
      <c r="CR82" s="104">
        <v>33</v>
      </c>
      <c r="CS82" s="104">
        <v>1.5</v>
      </c>
      <c r="CT82" s="104">
        <f t="shared" si="84"/>
        <v>1.2365959919080913</v>
      </c>
      <c r="CU82" s="107">
        <f t="shared" si="112"/>
        <v>1.5804528752110836</v>
      </c>
      <c r="CV82" s="107" t="str">
        <f t="shared" si="85"/>
        <v>(2,4,1,3,1,5)</v>
      </c>
      <c r="CW82" s="108">
        <v>1.05</v>
      </c>
      <c r="CX82" s="108">
        <v>1.1000000000000001</v>
      </c>
      <c r="CY82" s="108">
        <v>1</v>
      </c>
      <c r="CZ82" s="108">
        <v>1.02</v>
      </c>
      <c r="DA82" s="108">
        <v>1</v>
      </c>
      <c r="DB82" s="108">
        <v>1.2</v>
      </c>
    </row>
    <row r="83" spans="1:106" s="351" customFormat="1" ht="24">
      <c r="A83" s="333">
        <v>2848</v>
      </c>
      <c r="B83" s="216"/>
      <c r="C83" s="165"/>
      <c r="D83" s="342" t="s">
        <v>98</v>
      </c>
      <c r="E83" s="343">
        <v>4</v>
      </c>
      <c r="F83" s="437" t="s">
        <v>348</v>
      </c>
      <c r="G83" s="438" t="s">
        <v>98</v>
      </c>
      <c r="H83" s="439" t="s">
        <v>344</v>
      </c>
      <c r="I83" s="439" t="s">
        <v>192</v>
      </c>
      <c r="J83" s="335" t="s">
        <v>98</v>
      </c>
      <c r="K83" s="438" t="s">
        <v>96</v>
      </c>
      <c r="L83" s="440">
        <v>3.3789836876832798E-2</v>
      </c>
      <c r="M83" s="336">
        <v>1</v>
      </c>
      <c r="N83" s="337">
        <f t="shared" si="67"/>
        <v>5.1601786278209127</v>
      </c>
      <c r="O83" s="437" t="str">
        <f t="shared" si="68"/>
        <v>(4,2,4,1,3,3); Environmental report 2002, average Si product</v>
      </c>
      <c r="P83" s="440">
        <f t="shared" si="113"/>
        <v>3.3789836876832798E-2</v>
      </c>
      <c r="Q83" s="336">
        <v>1</v>
      </c>
      <c r="R83" s="337">
        <f t="shared" si="114"/>
        <v>5.1601786278209127</v>
      </c>
      <c r="S83" s="437" t="str">
        <f t="shared" si="69"/>
        <v>(4,2,4,1,3,3); Environmental report 2002, average Si product</v>
      </c>
      <c r="T83" s="440">
        <f t="shared" si="115"/>
        <v>3.3789836876832798E-2</v>
      </c>
      <c r="U83" s="336">
        <v>1</v>
      </c>
      <c r="V83" s="337">
        <f t="shared" si="116"/>
        <v>5.1601786278209127</v>
      </c>
      <c r="W83" s="437" t="str">
        <f t="shared" si="70"/>
        <v>(4,2,4,1,3,3); Environmental report 2002, average Si product</v>
      </c>
      <c r="X83" s="440">
        <f t="shared" si="117"/>
        <v>3.3789836876832798E-2</v>
      </c>
      <c r="Y83" s="336">
        <v>1</v>
      </c>
      <c r="Z83" s="337">
        <f t="shared" si="118"/>
        <v>5.1601786278209127</v>
      </c>
      <c r="AA83" s="437" t="str">
        <f t="shared" si="71"/>
        <v>(4,2,4,1,3,3); Environmental report 2002, average Si product</v>
      </c>
      <c r="AB83" s="440">
        <v>0</v>
      </c>
      <c r="AC83" s="336">
        <v>1</v>
      </c>
      <c r="AD83" s="337">
        <f t="shared" si="119"/>
        <v>5.1601786278209127</v>
      </c>
      <c r="AE83" s="437" t="str">
        <f t="shared" si="72"/>
        <v>(4,2,4,1,3,3); Environmental report 2002, average Si product</v>
      </c>
      <c r="AF83" s="440">
        <f t="shared" si="120"/>
        <v>0</v>
      </c>
      <c r="AG83" s="336">
        <v>1</v>
      </c>
      <c r="AH83" s="337">
        <f t="shared" si="121"/>
        <v>5.1601786278209127</v>
      </c>
      <c r="AI83" s="437" t="str">
        <f t="shared" si="73"/>
        <v>(4,2,4,1,3,3); Environmental report 2002, average Si product</v>
      </c>
      <c r="AJ83" s="440">
        <f t="shared" si="122"/>
        <v>0</v>
      </c>
      <c r="AK83" s="336">
        <v>1</v>
      </c>
      <c r="AL83" s="337">
        <f t="shared" si="123"/>
        <v>5.1601786278209127</v>
      </c>
      <c r="AM83" s="437" t="str">
        <f t="shared" si="74"/>
        <v>(4,2,4,1,3,3); Environmental report 2002, average Si product</v>
      </c>
      <c r="AN83" s="440">
        <f t="shared" si="124"/>
        <v>0</v>
      </c>
      <c r="AO83" s="336">
        <v>1</v>
      </c>
      <c r="AP83" s="337">
        <f t="shared" si="125"/>
        <v>5.1601786278209127</v>
      </c>
      <c r="AQ83" s="437" t="str">
        <f t="shared" si="75"/>
        <v>(4,2,4,1,3,3); Environmental report 2002, average Si product</v>
      </c>
      <c r="AR83" s="440">
        <f t="shared" si="126"/>
        <v>0</v>
      </c>
      <c r="AS83" s="336">
        <v>1</v>
      </c>
      <c r="AT83" s="337">
        <f t="shared" si="127"/>
        <v>5.1601786278209127</v>
      </c>
      <c r="AU83" s="437" t="str">
        <f t="shared" si="76"/>
        <v>(4,2,4,1,3,3); Environmental report 2002, average Si product</v>
      </c>
      <c r="AV83" s="440">
        <f t="shared" si="128"/>
        <v>0</v>
      </c>
      <c r="AW83" s="336">
        <v>1</v>
      </c>
      <c r="AX83" s="337">
        <f t="shared" si="129"/>
        <v>5.1601786278209127</v>
      </c>
      <c r="AY83" s="437" t="str">
        <f t="shared" si="77"/>
        <v>(4,2,4,1,3,3); Environmental report 2002, average Si product</v>
      </c>
      <c r="AZ83" s="440">
        <f t="shared" si="130"/>
        <v>0</v>
      </c>
      <c r="BA83" s="336">
        <v>1</v>
      </c>
      <c r="BB83" s="337">
        <f t="shared" si="131"/>
        <v>5.1601786278209127</v>
      </c>
      <c r="BC83" s="437" t="str">
        <f t="shared" si="78"/>
        <v>(4,2,4,1,3,3); Environmental report 2002, average Si product</v>
      </c>
      <c r="BD83" s="440">
        <f t="shared" si="132"/>
        <v>0</v>
      </c>
      <c r="BE83" s="336">
        <v>1</v>
      </c>
      <c r="BF83" s="337">
        <f t="shared" si="133"/>
        <v>5.1601786278209127</v>
      </c>
      <c r="BG83" s="437" t="str">
        <f t="shared" si="79"/>
        <v>(4,2,4,1,3,3); Environmental report 2002, average Si product</v>
      </c>
      <c r="BH83" s="440">
        <v>3.5799999999999998E-2</v>
      </c>
      <c r="BI83" s="336">
        <v>1</v>
      </c>
      <c r="BJ83" s="337">
        <f t="shared" si="134"/>
        <v>5.1601786278209127</v>
      </c>
      <c r="BK83" s="432" t="str">
        <f t="shared" si="80"/>
        <v>(2,4,1,3,1,5); Brailovsky (2026)</v>
      </c>
      <c r="BL83" s="440">
        <f t="shared" si="135"/>
        <v>3.5799999999999998E-2</v>
      </c>
      <c r="BM83" s="336">
        <v>1</v>
      </c>
      <c r="BN83" s="337">
        <f t="shared" si="136"/>
        <v>5.1601786278209127</v>
      </c>
      <c r="BO83" s="432" t="str">
        <f t="shared" si="81"/>
        <v>(2,4,1,3,1,5); Brailovsky (2026)</v>
      </c>
      <c r="BP83" s="441"/>
      <c r="BQ83" s="329"/>
      <c r="BR83" s="705" t="s">
        <v>527</v>
      </c>
      <c r="BS83" s="77">
        <v>4</v>
      </c>
      <c r="BT83" s="83">
        <v>2</v>
      </c>
      <c r="BU83" s="83">
        <v>4</v>
      </c>
      <c r="BV83" s="83">
        <v>1</v>
      </c>
      <c r="BW83" s="83">
        <v>3</v>
      </c>
      <c r="BX83" s="83">
        <v>3</v>
      </c>
      <c r="BY83" s="104">
        <v>35</v>
      </c>
      <c r="BZ83" s="104">
        <v>5</v>
      </c>
      <c r="CA83" s="104">
        <f t="shared" si="82"/>
        <v>1.3773344605979911</v>
      </c>
      <c r="CB83" s="107">
        <f t="shared" si="111"/>
        <v>5.1601786278209127</v>
      </c>
      <c r="CC83" s="107" t="str">
        <f t="shared" si="83"/>
        <v>(4,2,4,1,3,3)</v>
      </c>
      <c r="CD83" s="108">
        <v>1.2</v>
      </c>
      <c r="CE83" s="108">
        <v>1.02</v>
      </c>
      <c r="CF83" s="108">
        <v>1.2</v>
      </c>
      <c r="CG83" s="108">
        <v>1</v>
      </c>
      <c r="CH83" s="108">
        <v>1.2</v>
      </c>
      <c r="CI83" s="108">
        <v>1.05</v>
      </c>
      <c r="CK83" s="111" t="s">
        <v>469</v>
      </c>
      <c r="CL83" s="77">
        <v>2</v>
      </c>
      <c r="CM83" s="83">
        <v>4</v>
      </c>
      <c r="CN83" s="83">
        <v>1</v>
      </c>
      <c r="CO83" s="83">
        <v>3</v>
      </c>
      <c r="CP83" s="83">
        <v>1</v>
      </c>
      <c r="CQ83" s="83">
        <v>5</v>
      </c>
      <c r="CR83" s="104">
        <v>35</v>
      </c>
      <c r="CS83" s="104">
        <v>5</v>
      </c>
      <c r="CT83" s="104">
        <f t="shared" si="84"/>
        <v>1.2365959919080913</v>
      </c>
      <c r="CU83" s="107">
        <f t="shared" si="112"/>
        <v>5.0702385958245433</v>
      </c>
      <c r="CV83" s="107" t="str">
        <f t="shared" si="85"/>
        <v>(2,4,1,3,1,5)</v>
      </c>
      <c r="CW83" s="108">
        <v>1.05</v>
      </c>
      <c r="CX83" s="108">
        <v>1.1000000000000001</v>
      </c>
      <c r="CY83" s="108">
        <v>1</v>
      </c>
      <c r="CZ83" s="108">
        <v>1.02</v>
      </c>
      <c r="DA83" s="108">
        <v>1</v>
      </c>
      <c r="DB83" s="108">
        <v>1.2</v>
      </c>
    </row>
    <row r="84" spans="1:106" s="351" customFormat="1" ht="24">
      <c r="A84" s="333">
        <v>91143</v>
      </c>
      <c r="B84" s="216"/>
      <c r="C84" s="165"/>
      <c r="D84" s="342" t="s">
        <v>98</v>
      </c>
      <c r="E84" s="343">
        <v>4</v>
      </c>
      <c r="F84" s="437" t="s">
        <v>349</v>
      </c>
      <c r="G84" s="438" t="s">
        <v>98</v>
      </c>
      <c r="H84" s="439" t="s">
        <v>344</v>
      </c>
      <c r="I84" s="439" t="s">
        <v>192</v>
      </c>
      <c r="J84" s="335" t="s">
        <v>98</v>
      </c>
      <c r="K84" s="438" t="s">
        <v>96</v>
      </c>
      <c r="L84" s="440">
        <v>1.9629765395894399E-6</v>
      </c>
      <c r="M84" s="336">
        <v>1</v>
      </c>
      <c r="N84" s="337">
        <f t="shared" si="67"/>
        <v>5.1601786278209127</v>
      </c>
      <c r="O84" s="437" t="str">
        <f t="shared" si="68"/>
        <v>(4,2,4,1,3,3); Environmental report 2002, average Si product</v>
      </c>
      <c r="P84" s="440">
        <f t="shared" si="113"/>
        <v>1.9629765395894399E-6</v>
      </c>
      <c r="Q84" s="336">
        <v>1</v>
      </c>
      <c r="R84" s="337">
        <f t="shared" si="114"/>
        <v>5.1601786278209127</v>
      </c>
      <c r="S84" s="437" t="str">
        <f t="shared" si="69"/>
        <v>(4,2,4,1,3,3); Environmental report 2002, average Si product</v>
      </c>
      <c r="T84" s="440">
        <f t="shared" si="115"/>
        <v>1.9629765395894399E-6</v>
      </c>
      <c r="U84" s="336">
        <v>1</v>
      </c>
      <c r="V84" s="337">
        <f t="shared" si="116"/>
        <v>5.1601786278209127</v>
      </c>
      <c r="W84" s="437" t="str">
        <f t="shared" si="70"/>
        <v>(4,2,4,1,3,3); Environmental report 2002, average Si product</v>
      </c>
      <c r="X84" s="440">
        <f t="shared" si="117"/>
        <v>1.9629765395894399E-6</v>
      </c>
      <c r="Y84" s="336">
        <v>1</v>
      </c>
      <c r="Z84" s="337">
        <f t="shared" si="118"/>
        <v>5.1601786278209127</v>
      </c>
      <c r="AA84" s="437" t="str">
        <f t="shared" si="71"/>
        <v>(4,2,4,1,3,3); Environmental report 2002, average Si product</v>
      </c>
      <c r="AB84" s="440">
        <v>0</v>
      </c>
      <c r="AC84" s="336">
        <v>1</v>
      </c>
      <c r="AD84" s="337">
        <f t="shared" si="119"/>
        <v>5.1601786278209127</v>
      </c>
      <c r="AE84" s="437" t="str">
        <f t="shared" si="72"/>
        <v>(4,2,4,1,3,3); Environmental report 2002, average Si product</v>
      </c>
      <c r="AF84" s="440">
        <f t="shared" si="120"/>
        <v>0</v>
      </c>
      <c r="AG84" s="336">
        <v>1</v>
      </c>
      <c r="AH84" s="337">
        <f t="shared" si="121"/>
        <v>5.1601786278209127</v>
      </c>
      <c r="AI84" s="437" t="str">
        <f t="shared" si="73"/>
        <v>(4,2,4,1,3,3); Environmental report 2002, average Si product</v>
      </c>
      <c r="AJ84" s="440">
        <f t="shared" si="122"/>
        <v>0</v>
      </c>
      <c r="AK84" s="336">
        <v>1</v>
      </c>
      <c r="AL84" s="337">
        <f t="shared" si="123"/>
        <v>5.1601786278209127</v>
      </c>
      <c r="AM84" s="437" t="str">
        <f t="shared" si="74"/>
        <v>(4,2,4,1,3,3); Environmental report 2002, average Si product</v>
      </c>
      <c r="AN84" s="440">
        <f t="shared" si="124"/>
        <v>0</v>
      </c>
      <c r="AO84" s="336">
        <v>1</v>
      </c>
      <c r="AP84" s="337">
        <f t="shared" si="125"/>
        <v>5.1601786278209127</v>
      </c>
      <c r="AQ84" s="437" t="str">
        <f t="shared" si="75"/>
        <v>(4,2,4,1,3,3); Environmental report 2002, average Si product</v>
      </c>
      <c r="AR84" s="440">
        <f t="shared" si="126"/>
        <v>0</v>
      </c>
      <c r="AS84" s="336">
        <v>1</v>
      </c>
      <c r="AT84" s="337">
        <f t="shared" si="127"/>
        <v>5.1601786278209127</v>
      </c>
      <c r="AU84" s="437" t="str">
        <f t="shared" si="76"/>
        <v>(4,2,4,1,3,3); Environmental report 2002, average Si product</v>
      </c>
      <c r="AV84" s="440">
        <f t="shared" si="128"/>
        <v>0</v>
      </c>
      <c r="AW84" s="336">
        <v>1</v>
      </c>
      <c r="AX84" s="337">
        <f t="shared" si="129"/>
        <v>5.1601786278209127</v>
      </c>
      <c r="AY84" s="437" t="str">
        <f t="shared" si="77"/>
        <v>(4,2,4,1,3,3); Environmental report 2002, average Si product</v>
      </c>
      <c r="AZ84" s="440">
        <f t="shared" si="130"/>
        <v>0</v>
      </c>
      <c r="BA84" s="336">
        <v>1</v>
      </c>
      <c r="BB84" s="337">
        <f t="shared" si="131"/>
        <v>5.1601786278209127</v>
      </c>
      <c r="BC84" s="437" t="str">
        <f t="shared" si="78"/>
        <v>(4,2,4,1,3,3); Environmental report 2002, average Si product</v>
      </c>
      <c r="BD84" s="440">
        <f t="shared" si="132"/>
        <v>0</v>
      </c>
      <c r="BE84" s="336">
        <v>1</v>
      </c>
      <c r="BF84" s="337">
        <f t="shared" si="133"/>
        <v>5.1601786278209127</v>
      </c>
      <c r="BG84" s="437" t="str">
        <f t="shared" si="79"/>
        <v>(4,2,4,1,3,3); Environmental report 2002, average Si product</v>
      </c>
      <c r="BH84" s="440">
        <v>1.9630000000000001E-6</v>
      </c>
      <c r="BI84" s="336">
        <v>1</v>
      </c>
      <c r="BJ84" s="337">
        <f t="shared" si="134"/>
        <v>5.1601786278209127</v>
      </c>
      <c r="BK84" s="432" t="str">
        <f t="shared" si="80"/>
        <v>(2,4,1,3,1,5); Brailovsky (2026)</v>
      </c>
      <c r="BL84" s="440">
        <f t="shared" si="135"/>
        <v>1.9630000000000001E-6</v>
      </c>
      <c r="BM84" s="336">
        <v>1</v>
      </c>
      <c r="BN84" s="337">
        <f t="shared" si="136"/>
        <v>5.1601786278209127</v>
      </c>
      <c r="BO84" s="432" t="str">
        <f t="shared" si="81"/>
        <v>(2,4,1,3,1,5); Brailovsky (2026)</v>
      </c>
      <c r="BP84" s="441"/>
      <c r="BQ84" s="329"/>
      <c r="BR84" s="705" t="s">
        <v>527</v>
      </c>
      <c r="BS84" s="77">
        <v>4</v>
      </c>
      <c r="BT84" s="83">
        <v>2</v>
      </c>
      <c r="BU84" s="83">
        <v>4</v>
      </c>
      <c r="BV84" s="83">
        <v>1</v>
      </c>
      <c r="BW84" s="83">
        <v>3</v>
      </c>
      <c r="BX84" s="83">
        <v>3</v>
      </c>
      <c r="BY84" s="104">
        <v>35</v>
      </c>
      <c r="BZ84" s="104">
        <v>5</v>
      </c>
      <c r="CA84" s="104">
        <f t="shared" si="82"/>
        <v>1.3773344605979911</v>
      </c>
      <c r="CB84" s="107">
        <f t="shared" si="111"/>
        <v>5.1601786278209127</v>
      </c>
      <c r="CC84" s="107" t="str">
        <f t="shared" si="83"/>
        <v>(4,2,4,1,3,3)</v>
      </c>
      <c r="CD84" s="108">
        <v>1.2</v>
      </c>
      <c r="CE84" s="108">
        <v>1.02</v>
      </c>
      <c r="CF84" s="108">
        <v>1.2</v>
      </c>
      <c r="CG84" s="108">
        <v>1</v>
      </c>
      <c r="CH84" s="108">
        <v>1.2</v>
      </c>
      <c r="CI84" s="108">
        <v>1.05</v>
      </c>
      <c r="CK84" s="111" t="s">
        <v>469</v>
      </c>
      <c r="CL84" s="77">
        <v>2</v>
      </c>
      <c r="CM84" s="83">
        <v>4</v>
      </c>
      <c r="CN84" s="83">
        <v>1</v>
      </c>
      <c r="CO84" s="83">
        <v>3</v>
      </c>
      <c r="CP84" s="83">
        <v>1</v>
      </c>
      <c r="CQ84" s="83">
        <v>5</v>
      </c>
      <c r="CR84" s="104">
        <v>35</v>
      </c>
      <c r="CS84" s="104">
        <v>5</v>
      </c>
      <c r="CT84" s="104">
        <f t="shared" si="84"/>
        <v>1.2365959919080913</v>
      </c>
      <c r="CU84" s="107">
        <f t="shared" si="112"/>
        <v>5.0702385958245433</v>
      </c>
      <c r="CV84" s="107" t="str">
        <f t="shared" si="85"/>
        <v>(2,4,1,3,1,5)</v>
      </c>
      <c r="CW84" s="108">
        <v>1.05</v>
      </c>
      <c r="CX84" s="108">
        <v>1.1000000000000001</v>
      </c>
      <c r="CY84" s="108">
        <v>1</v>
      </c>
      <c r="CZ84" s="108">
        <v>1.02</v>
      </c>
      <c r="DA84" s="108">
        <v>1</v>
      </c>
      <c r="DB84" s="108">
        <v>1.2</v>
      </c>
    </row>
    <row r="85" spans="1:106" s="351" customFormat="1" ht="24">
      <c r="A85" s="333">
        <v>91273</v>
      </c>
      <c r="B85" s="216"/>
      <c r="C85" s="165"/>
      <c r="D85" s="342" t="s">
        <v>98</v>
      </c>
      <c r="E85" s="343">
        <v>4</v>
      </c>
      <c r="F85" s="437" t="s">
        <v>350</v>
      </c>
      <c r="G85" s="438" t="s">
        <v>98</v>
      </c>
      <c r="H85" s="439" t="s">
        <v>344</v>
      </c>
      <c r="I85" s="439" t="s">
        <v>192</v>
      </c>
      <c r="J85" s="335" t="s">
        <v>98</v>
      </c>
      <c r="K85" s="438" t="s">
        <v>96</v>
      </c>
      <c r="L85" s="440">
        <v>5.6085043988269801E-6</v>
      </c>
      <c r="M85" s="336">
        <v>1</v>
      </c>
      <c r="N85" s="337">
        <f t="shared" ref="N85:N90" si="137">$CB85</f>
        <v>5.1601786278209127</v>
      </c>
      <c r="O85" s="437" t="str">
        <f t="shared" ref="O85:O90" si="138">$CC85&amp;"; "&amp;$BR85</f>
        <v>(4,2,4,1,3,3); Environmental report 2002, average Si product</v>
      </c>
      <c r="P85" s="440">
        <f t="shared" si="113"/>
        <v>5.6085043988269801E-6</v>
      </c>
      <c r="Q85" s="336">
        <v>1</v>
      </c>
      <c r="R85" s="337">
        <f t="shared" si="114"/>
        <v>5.1601786278209127</v>
      </c>
      <c r="S85" s="437" t="str">
        <f t="shared" ref="S85:S90" si="139">$CC85&amp;"; "&amp;$BR85</f>
        <v>(4,2,4,1,3,3); Environmental report 2002, average Si product</v>
      </c>
      <c r="T85" s="440">
        <f t="shared" si="115"/>
        <v>5.6085043988269801E-6</v>
      </c>
      <c r="U85" s="336">
        <v>1</v>
      </c>
      <c r="V85" s="337">
        <f t="shared" si="116"/>
        <v>5.1601786278209127</v>
      </c>
      <c r="W85" s="437" t="str">
        <f t="shared" ref="W85:W90" si="140">$CC85&amp;"; "&amp;$BR85</f>
        <v>(4,2,4,1,3,3); Environmental report 2002, average Si product</v>
      </c>
      <c r="X85" s="440">
        <f t="shared" si="117"/>
        <v>5.6085043988269801E-6</v>
      </c>
      <c r="Y85" s="336">
        <v>1</v>
      </c>
      <c r="Z85" s="337">
        <f t="shared" si="118"/>
        <v>5.1601786278209127</v>
      </c>
      <c r="AA85" s="437" t="str">
        <f t="shared" ref="AA85:AA90" si="141">$CC85&amp;"; "&amp;$BR85</f>
        <v>(4,2,4,1,3,3); Environmental report 2002, average Si product</v>
      </c>
      <c r="AB85" s="440">
        <v>0</v>
      </c>
      <c r="AC85" s="336">
        <v>1</v>
      </c>
      <c r="AD85" s="337">
        <f t="shared" si="119"/>
        <v>5.1601786278209127</v>
      </c>
      <c r="AE85" s="437" t="str">
        <f t="shared" ref="AE85:AE90" si="142">$CC85&amp;"; "&amp;$BR85</f>
        <v>(4,2,4,1,3,3); Environmental report 2002, average Si product</v>
      </c>
      <c r="AF85" s="440">
        <f t="shared" si="120"/>
        <v>0</v>
      </c>
      <c r="AG85" s="336">
        <v>1</v>
      </c>
      <c r="AH85" s="337">
        <f t="shared" si="121"/>
        <v>5.1601786278209127</v>
      </c>
      <c r="AI85" s="437" t="str">
        <f t="shared" ref="AI85:AI90" si="143">$CC85&amp;"; "&amp;$BR85</f>
        <v>(4,2,4,1,3,3); Environmental report 2002, average Si product</v>
      </c>
      <c r="AJ85" s="440">
        <f t="shared" si="122"/>
        <v>0</v>
      </c>
      <c r="AK85" s="336">
        <v>1</v>
      </c>
      <c r="AL85" s="337">
        <f t="shared" si="123"/>
        <v>5.1601786278209127</v>
      </c>
      <c r="AM85" s="437" t="str">
        <f t="shared" ref="AM85:AM90" si="144">$CC85&amp;"; "&amp;$BR85</f>
        <v>(4,2,4,1,3,3); Environmental report 2002, average Si product</v>
      </c>
      <c r="AN85" s="440">
        <f t="shared" si="124"/>
        <v>0</v>
      </c>
      <c r="AO85" s="336">
        <v>1</v>
      </c>
      <c r="AP85" s="337">
        <f t="shared" si="125"/>
        <v>5.1601786278209127</v>
      </c>
      <c r="AQ85" s="437" t="str">
        <f t="shared" ref="AQ85:AQ90" si="145">$CC85&amp;"; "&amp;$BR85</f>
        <v>(4,2,4,1,3,3); Environmental report 2002, average Si product</v>
      </c>
      <c r="AR85" s="440">
        <f t="shared" si="126"/>
        <v>0</v>
      </c>
      <c r="AS85" s="336">
        <v>1</v>
      </c>
      <c r="AT85" s="337">
        <f t="shared" si="127"/>
        <v>5.1601786278209127</v>
      </c>
      <c r="AU85" s="437" t="str">
        <f t="shared" ref="AU85:AU90" si="146">$CC85&amp;"; "&amp;$BR85</f>
        <v>(4,2,4,1,3,3); Environmental report 2002, average Si product</v>
      </c>
      <c r="AV85" s="440">
        <f t="shared" si="128"/>
        <v>0</v>
      </c>
      <c r="AW85" s="336">
        <v>1</v>
      </c>
      <c r="AX85" s="337">
        <f t="shared" si="129"/>
        <v>5.1601786278209127</v>
      </c>
      <c r="AY85" s="437" t="str">
        <f t="shared" ref="AY85:AY90" si="147">$CC85&amp;"; "&amp;$BR85</f>
        <v>(4,2,4,1,3,3); Environmental report 2002, average Si product</v>
      </c>
      <c r="AZ85" s="440">
        <f t="shared" si="130"/>
        <v>0</v>
      </c>
      <c r="BA85" s="336">
        <v>1</v>
      </c>
      <c r="BB85" s="337">
        <f t="shared" si="131"/>
        <v>5.1601786278209127</v>
      </c>
      <c r="BC85" s="437" t="str">
        <f t="shared" ref="BC85:BC90" si="148">$CC85&amp;"; "&amp;$BR85</f>
        <v>(4,2,4,1,3,3); Environmental report 2002, average Si product</v>
      </c>
      <c r="BD85" s="440">
        <f t="shared" si="132"/>
        <v>0</v>
      </c>
      <c r="BE85" s="336">
        <v>1</v>
      </c>
      <c r="BF85" s="337">
        <f t="shared" si="133"/>
        <v>5.1601786278209127</v>
      </c>
      <c r="BG85" s="437" t="str">
        <f t="shared" ref="BG85:BG90" si="149">$CC85&amp;"; "&amp;$BR85</f>
        <v>(4,2,4,1,3,3); Environmental report 2002, average Si product</v>
      </c>
      <c r="BH85" s="440">
        <v>5.6084999999999997E-6</v>
      </c>
      <c r="BI85" s="336">
        <v>1</v>
      </c>
      <c r="BJ85" s="337">
        <f t="shared" si="134"/>
        <v>5.1601786278209127</v>
      </c>
      <c r="BK85" s="432" t="str">
        <f t="shared" ref="BK85:BK90" si="150">$CV85&amp;"; "&amp;$CK85</f>
        <v>(2,4,1,3,1,5); Brailovsky (2026)</v>
      </c>
      <c r="BL85" s="440">
        <f t="shared" si="135"/>
        <v>5.6084999999999997E-6</v>
      </c>
      <c r="BM85" s="336">
        <v>1</v>
      </c>
      <c r="BN85" s="337">
        <f t="shared" si="136"/>
        <v>5.1601786278209127</v>
      </c>
      <c r="BO85" s="432" t="str">
        <f t="shared" ref="BO85:BO90" si="151">$CV85&amp;"; "&amp;$CK85</f>
        <v>(2,4,1,3,1,5); Brailovsky (2026)</v>
      </c>
      <c r="BP85" s="441"/>
      <c r="BQ85" s="329"/>
      <c r="BR85" s="705" t="s">
        <v>527</v>
      </c>
      <c r="BS85" s="77">
        <v>4</v>
      </c>
      <c r="BT85" s="83">
        <v>2</v>
      </c>
      <c r="BU85" s="83">
        <v>4</v>
      </c>
      <c r="BV85" s="83">
        <v>1</v>
      </c>
      <c r="BW85" s="83">
        <v>3</v>
      </c>
      <c r="BX85" s="83">
        <v>3</v>
      </c>
      <c r="BY85" s="104">
        <v>35</v>
      </c>
      <c r="BZ85" s="104">
        <v>5</v>
      </c>
      <c r="CA85" s="104">
        <f t="shared" ref="CA85:CA90" si="152">EXP(SQRT((LN(CD85)^2)+(LN(CE85)^2)+(LN(CF85)^2)+(LN(CG85)^2)+(LN(CH85)^2)+(LN(CI85)^2)))</f>
        <v>1.3773344605979911</v>
      </c>
      <c r="CB85" s="107">
        <f t="shared" si="111"/>
        <v>5.1601786278209127</v>
      </c>
      <c r="CC85" s="107" t="str">
        <f t="shared" ref="CC85:CC90" si="153">CONCATENATE("(",BS85,",",BT85,",",BU85,",",BV85,",",BW85,",",BX85,")")</f>
        <v>(4,2,4,1,3,3)</v>
      </c>
      <c r="CD85" s="108">
        <v>1.2</v>
      </c>
      <c r="CE85" s="108">
        <v>1.02</v>
      </c>
      <c r="CF85" s="108">
        <v>1.2</v>
      </c>
      <c r="CG85" s="108">
        <v>1</v>
      </c>
      <c r="CH85" s="108">
        <v>1.2</v>
      </c>
      <c r="CI85" s="108">
        <v>1.05</v>
      </c>
      <c r="CK85" s="111" t="s">
        <v>469</v>
      </c>
      <c r="CL85" s="77">
        <v>2</v>
      </c>
      <c r="CM85" s="83">
        <v>4</v>
      </c>
      <c r="CN85" s="83">
        <v>1</v>
      </c>
      <c r="CO85" s="83">
        <v>3</v>
      </c>
      <c r="CP85" s="83">
        <v>1</v>
      </c>
      <c r="CQ85" s="83">
        <v>5</v>
      </c>
      <c r="CR85" s="104">
        <v>35</v>
      </c>
      <c r="CS85" s="104">
        <v>5</v>
      </c>
      <c r="CT85" s="104">
        <f t="shared" ref="CT85:CT90" si="154">EXP(SQRT((LN(CW85)^2)+(LN(CX85)^2)+(LN(CY85)^2)+(LN(CZ85)^2)+(LN(DA85)^2)+(LN(DB85)^2)))</f>
        <v>1.2365959919080913</v>
      </c>
      <c r="CU85" s="107">
        <f t="shared" si="112"/>
        <v>5.0702385958245433</v>
      </c>
      <c r="CV85" s="107" t="str">
        <f t="shared" ref="CV85:CV90" si="155">CONCATENATE("(",CL85,",",CM85,",",CN85,",",CO85,",",CP85,",",CQ85,")")</f>
        <v>(2,4,1,3,1,5)</v>
      </c>
      <c r="CW85" s="108">
        <v>1.05</v>
      </c>
      <c r="CX85" s="108">
        <v>1.1000000000000001</v>
      </c>
      <c r="CY85" s="108">
        <v>1</v>
      </c>
      <c r="CZ85" s="108">
        <v>1.02</v>
      </c>
      <c r="DA85" s="108">
        <v>1</v>
      </c>
      <c r="DB85" s="108">
        <v>1.2</v>
      </c>
    </row>
    <row r="86" spans="1:106" s="351" customFormat="1" ht="24">
      <c r="A86" s="333" t="s">
        <v>292</v>
      </c>
      <c r="B86" s="216"/>
      <c r="C86" s="165"/>
      <c r="D86" s="342" t="s">
        <v>98</v>
      </c>
      <c r="E86" s="343">
        <v>4</v>
      </c>
      <c r="F86" s="437" t="s">
        <v>293</v>
      </c>
      <c r="G86" s="438" t="s">
        <v>98</v>
      </c>
      <c r="H86" s="439" t="s">
        <v>344</v>
      </c>
      <c r="I86" s="439" t="s">
        <v>192</v>
      </c>
      <c r="J86" s="335" t="s">
        <v>98</v>
      </c>
      <c r="K86" s="438" t="s">
        <v>96</v>
      </c>
      <c r="L86" s="440">
        <v>9.0997983870967701E-4</v>
      </c>
      <c r="M86" s="336">
        <v>1</v>
      </c>
      <c r="N86" s="337">
        <f t="shared" si="137"/>
        <v>1.6763549201521841</v>
      </c>
      <c r="O86" s="437" t="str">
        <f t="shared" si="138"/>
        <v>(4,2,4,1,3,3); Environmental report 2002, average Si product</v>
      </c>
      <c r="P86" s="440">
        <f t="shared" si="113"/>
        <v>9.0997983870967701E-4</v>
      </c>
      <c r="Q86" s="336">
        <v>1</v>
      </c>
      <c r="R86" s="337">
        <f t="shared" si="114"/>
        <v>1.6763549201521841</v>
      </c>
      <c r="S86" s="437" t="str">
        <f t="shared" si="139"/>
        <v>(4,2,4,1,3,3); Environmental report 2002, average Si product</v>
      </c>
      <c r="T86" s="440">
        <f t="shared" si="115"/>
        <v>9.0997983870967701E-4</v>
      </c>
      <c r="U86" s="336">
        <v>1</v>
      </c>
      <c r="V86" s="337">
        <f t="shared" si="116"/>
        <v>1.6763549201521841</v>
      </c>
      <c r="W86" s="437" t="str">
        <f t="shared" si="140"/>
        <v>(4,2,4,1,3,3); Environmental report 2002, average Si product</v>
      </c>
      <c r="X86" s="440">
        <f t="shared" si="117"/>
        <v>9.0997983870967701E-4</v>
      </c>
      <c r="Y86" s="336">
        <v>1</v>
      </c>
      <c r="Z86" s="337">
        <f t="shared" si="118"/>
        <v>1.6763549201521841</v>
      </c>
      <c r="AA86" s="437" t="str">
        <f t="shared" si="141"/>
        <v>(4,2,4,1,3,3); Environmental report 2002, average Si product</v>
      </c>
      <c r="AB86" s="440">
        <v>0</v>
      </c>
      <c r="AC86" s="336">
        <v>1</v>
      </c>
      <c r="AD86" s="337">
        <f t="shared" si="119"/>
        <v>1.6763549201521841</v>
      </c>
      <c r="AE86" s="437" t="str">
        <f t="shared" si="142"/>
        <v>(4,2,4,1,3,3); Environmental report 2002, average Si product</v>
      </c>
      <c r="AF86" s="440">
        <f t="shared" si="120"/>
        <v>0</v>
      </c>
      <c r="AG86" s="336">
        <v>1</v>
      </c>
      <c r="AH86" s="337">
        <f t="shared" si="121"/>
        <v>1.6763549201521841</v>
      </c>
      <c r="AI86" s="437" t="str">
        <f t="shared" si="143"/>
        <v>(4,2,4,1,3,3); Environmental report 2002, average Si product</v>
      </c>
      <c r="AJ86" s="440">
        <f t="shared" si="122"/>
        <v>0</v>
      </c>
      <c r="AK86" s="336">
        <v>1</v>
      </c>
      <c r="AL86" s="337">
        <f t="shared" si="123"/>
        <v>1.6763549201521841</v>
      </c>
      <c r="AM86" s="437" t="str">
        <f t="shared" si="144"/>
        <v>(4,2,4,1,3,3); Environmental report 2002, average Si product</v>
      </c>
      <c r="AN86" s="440">
        <f t="shared" si="124"/>
        <v>0</v>
      </c>
      <c r="AO86" s="336">
        <v>1</v>
      </c>
      <c r="AP86" s="337">
        <f t="shared" si="125"/>
        <v>1.6763549201521841</v>
      </c>
      <c r="AQ86" s="437" t="str">
        <f t="shared" si="145"/>
        <v>(4,2,4,1,3,3); Environmental report 2002, average Si product</v>
      </c>
      <c r="AR86" s="440">
        <f t="shared" si="126"/>
        <v>0</v>
      </c>
      <c r="AS86" s="336">
        <v>1</v>
      </c>
      <c r="AT86" s="337">
        <f t="shared" si="127"/>
        <v>1.6763549201521841</v>
      </c>
      <c r="AU86" s="437" t="str">
        <f t="shared" si="146"/>
        <v>(4,2,4,1,3,3); Environmental report 2002, average Si product</v>
      </c>
      <c r="AV86" s="440">
        <f t="shared" si="128"/>
        <v>0</v>
      </c>
      <c r="AW86" s="336">
        <v>1</v>
      </c>
      <c r="AX86" s="337">
        <f t="shared" si="129"/>
        <v>1.6763549201521841</v>
      </c>
      <c r="AY86" s="437" t="str">
        <f t="shared" si="147"/>
        <v>(4,2,4,1,3,3); Environmental report 2002, average Si product</v>
      </c>
      <c r="AZ86" s="440">
        <f t="shared" si="130"/>
        <v>0</v>
      </c>
      <c r="BA86" s="336">
        <v>1</v>
      </c>
      <c r="BB86" s="337">
        <f t="shared" si="131"/>
        <v>1.6763549201521841</v>
      </c>
      <c r="BC86" s="437" t="str">
        <f t="shared" si="148"/>
        <v>(4,2,4,1,3,3); Environmental report 2002, average Si product</v>
      </c>
      <c r="BD86" s="440">
        <f t="shared" si="132"/>
        <v>0</v>
      </c>
      <c r="BE86" s="336">
        <v>1</v>
      </c>
      <c r="BF86" s="337">
        <f t="shared" si="133"/>
        <v>1.6763549201521841</v>
      </c>
      <c r="BG86" s="437" t="str">
        <f t="shared" si="149"/>
        <v>(4,2,4,1,3,3); Environmental report 2002, average Si product</v>
      </c>
      <c r="BH86" s="440">
        <v>9.0998000000000001E-4</v>
      </c>
      <c r="BI86" s="336">
        <v>1</v>
      </c>
      <c r="BJ86" s="337">
        <f t="shared" si="134"/>
        <v>1.6763549201521841</v>
      </c>
      <c r="BK86" s="432" t="str">
        <f t="shared" si="150"/>
        <v>(2,4,1,3,1,5); Brailovsky (2026)</v>
      </c>
      <c r="BL86" s="440">
        <f t="shared" si="135"/>
        <v>9.0998000000000001E-4</v>
      </c>
      <c r="BM86" s="336">
        <v>1</v>
      </c>
      <c r="BN86" s="337">
        <f t="shared" si="136"/>
        <v>1.6763549201521841</v>
      </c>
      <c r="BO86" s="432" t="str">
        <f t="shared" si="151"/>
        <v>(2,4,1,3,1,5); Brailovsky (2026)</v>
      </c>
      <c r="BP86" s="441"/>
      <c r="BQ86" s="329"/>
      <c r="BR86" s="705" t="s">
        <v>527</v>
      </c>
      <c r="BS86" s="77">
        <v>4</v>
      </c>
      <c r="BT86" s="83">
        <v>2</v>
      </c>
      <c r="BU86" s="83">
        <v>4</v>
      </c>
      <c r="BV86" s="83">
        <v>1</v>
      </c>
      <c r="BW86" s="83">
        <v>3</v>
      </c>
      <c r="BX86" s="83">
        <v>3</v>
      </c>
      <c r="BY86" s="104">
        <v>32</v>
      </c>
      <c r="BZ86" s="104">
        <v>1.5</v>
      </c>
      <c r="CA86" s="104">
        <f t="shared" si="152"/>
        <v>1.3773344605979911</v>
      </c>
      <c r="CB86" s="107">
        <f t="shared" si="111"/>
        <v>1.6763549201521841</v>
      </c>
      <c r="CC86" s="107" t="str">
        <f t="shared" si="153"/>
        <v>(4,2,4,1,3,3)</v>
      </c>
      <c r="CD86" s="108">
        <v>1.2</v>
      </c>
      <c r="CE86" s="108">
        <v>1.02</v>
      </c>
      <c r="CF86" s="108">
        <v>1.2</v>
      </c>
      <c r="CG86" s="108">
        <v>1</v>
      </c>
      <c r="CH86" s="108">
        <v>1.2</v>
      </c>
      <c r="CI86" s="108">
        <v>1.05</v>
      </c>
      <c r="CK86" s="111" t="s">
        <v>469</v>
      </c>
      <c r="CL86" s="77">
        <v>2</v>
      </c>
      <c r="CM86" s="83">
        <v>4</v>
      </c>
      <c r="CN86" s="83">
        <v>1</v>
      </c>
      <c r="CO86" s="83">
        <v>3</v>
      </c>
      <c r="CP86" s="83">
        <v>1</v>
      </c>
      <c r="CQ86" s="83">
        <v>5</v>
      </c>
      <c r="CR86" s="104">
        <v>32</v>
      </c>
      <c r="CS86" s="104">
        <v>1.5</v>
      </c>
      <c r="CT86" s="104">
        <f t="shared" si="154"/>
        <v>1.2365959919080913</v>
      </c>
      <c r="CU86" s="107">
        <f t="shared" si="112"/>
        <v>1.5804528752110836</v>
      </c>
      <c r="CV86" s="107" t="str">
        <f t="shared" si="155"/>
        <v>(2,4,1,3,1,5)</v>
      </c>
      <c r="CW86" s="108">
        <v>1.05</v>
      </c>
      <c r="CX86" s="108">
        <v>1.1000000000000001</v>
      </c>
      <c r="CY86" s="108">
        <v>1</v>
      </c>
      <c r="CZ86" s="108">
        <v>1.02</v>
      </c>
      <c r="DA86" s="108">
        <v>1</v>
      </c>
      <c r="DB86" s="108">
        <v>1.2</v>
      </c>
    </row>
    <row r="87" spans="1:106" s="351" customFormat="1" ht="24">
      <c r="A87" s="333">
        <v>2278</v>
      </c>
      <c r="B87" s="216"/>
      <c r="C87" s="165"/>
      <c r="D87" s="342" t="s">
        <v>98</v>
      </c>
      <c r="E87" s="343">
        <v>4</v>
      </c>
      <c r="F87" s="437" t="s">
        <v>298</v>
      </c>
      <c r="G87" s="438" t="s">
        <v>98</v>
      </c>
      <c r="H87" s="439" t="s">
        <v>344</v>
      </c>
      <c r="I87" s="439" t="s">
        <v>192</v>
      </c>
      <c r="J87" s="335" t="s">
        <v>98</v>
      </c>
      <c r="K87" s="438" t="s">
        <v>96</v>
      </c>
      <c r="L87" s="440">
        <v>9.0997983870967701E-4</v>
      </c>
      <c r="M87" s="336">
        <v>1</v>
      </c>
      <c r="N87" s="337">
        <f t="shared" si="137"/>
        <v>1.6763549201521841</v>
      </c>
      <c r="O87" s="437" t="str">
        <f t="shared" si="138"/>
        <v>(4,2,4,1,3,3); Environmental report 2002, average Si product</v>
      </c>
      <c r="P87" s="440">
        <f t="shared" si="113"/>
        <v>9.0997983870967701E-4</v>
      </c>
      <c r="Q87" s="336">
        <v>1</v>
      </c>
      <c r="R87" s="337">
        <f t="shared" si="114"/>
        <v>1.6763549201521841</v>
      </c>
      <c r="S87" s="437" t="str">
        <f t="shared" si="139"/>
        <v>(4,2,4,1,3,3); Environmental report 2002, average Si product</v>
      </c>
      <c r="T87" s="440">
        <f t="shared" si="115"/>
        <v>9.0997983870967701E-4</v>
      </c>
      <c r="U87" s="336">
        <v>1</v>
      </c>
      <c r="V87" s="337">
        <f t="shared" si="116"/>
        <v>1.6763549201521841</v>
      </c>
      <c r="W87" s="437" t="str">
        <f t="shared" si="140"/>
        <v>(4,2,4,1,3,3); Environmental report 2002, average Si product</v>
      </c>
      <c r="X87" s="440">
        <f t="shared" si="117"/>
        <v>9.0997983870967701E-4</v>
      </c>
      <c r="Y87" s="336">
        <v>1</v>
      </c>
      <c r="Z87" s="337">
        <f t="shared" si="118"/>
        <v>1.6763549201521841</v>
      </c>
      <c r="AA87" s="437" t="str">
        <f t="shared" si="141"/>
        <v>(4,2,4,1,3,3); Environmental report 2002, average Si product</v>
      </c>
      <c r="AB87" s="440">
        <v>0</v>
      </c>
      <c r="AC87" s="336">
        <v>1</v>
      </c>
      <c r="AD87" s="337">
        <f t="shared" si="119"/>
        <v>1.6763549201521841</v>
      </c>
      <c r="AE87" s="437" t="str">
        <f t="shared" si="142"/>
        <v>(4,2,4,1,3,3); Environmental report 2002, average Si product</v>
      </c>
      <c r="AF87" s="440">
        <f t="shared" si="120"/>
        <v>0</v>
      </c>
      <c r="AG87" s="336">
        <v>1</v>
      </c>
      <c r="AH87" s="337">
        <f t="shared" si="121"/>
        <v>1.6763549201521841</v>
      </c>
      <c r="AI87" s="437" t="str">
        <f t="shared" si="143"/>
        <v>(4,2,4,1,3,3); Environmental report 2002, average Si product</v>
      </c>
      <c r="AJ87" s="440">
        <f t="shared" si="122"/>
        <v>0</v>
      </c>
      <c r="AK87" s="336">
        <v>1</v>
      </c>
      <c r="AL87" s="337">
        <f t="shared" si="123"/>
        <v>1.6763549201521841</v>
      </c>
      <c r="AM87" s="437" t="str">
        <f t="shared" si="144"/>
        <v>(4,2,4,1,3,3); Environmental report 2002, average Si product</v>
      </c>
      <c r="AN87" s="440">
        <f t="shared" si="124"/>
        <v>0</v>
      </c>
      <c r="AO87" s="336">
        <v>1</v>
      </c>
      <c r="AP87" s="337">
        <f t="shared" si="125"/>
        <v>1.6763549201521841</v>
      </c>
      <c r="AQ87" s="437" t="str">
        <f t="shared" si="145"/>
        <v>(4,2,4,1,3,3); Environmental report 2002, average Si product</v>
      </c>
      <c r="AR87" s="440">
        <f t="shared" si="126"/>
        <v>0</v>
      </c>
      <c r="AS87" s="336">
        <v>1</v>
      </c>
      <c r="AT87" s="337">
        <f t="shared" si="127"/>
        <v>1.6763549201521841</v>
      </c>
      <c r="AU87" s="437" t="str">
        <f t="shared" si="146"/>
        <v>(4,2,4,1,3,3); Environmental report 2002, average Si product</v>
      </c>
      <c r="AV87" s="440">
        <f t="shared" si="128"/>
        <v>0</v>
      </c>
      <c r="AW87" s="336">
        <v>1</v>
      </c>
      <c r="AX87" s="337">
        <f t="shared" si="129"/>
        <v>1.6763549201521841</v>
      </c>
      <c r="AY87" s="437" t="str">
        <f t="shared" si="147"/>
        <v>(4,2,4,1,3,3); Environmental report 2002, average Si product</v>
      </c>
      <c r="AZ87" s="440">
        <f t="shared" si="130"/>
        <v>0</v>
      </c>
      <c r="BA87" s="336">
        <v>1</v>
      </c>
      <c r="BB87" s="337">
        <f t="shared" si="131"/>
        <v>1.6763549201521841</v>
      </c>
      <c r="BC87" s="437" t="str">
        <f t="shared" si="148"/>
        <v>(4,2,4,1,3,3); Environmental report 2002, average Si product</v>
      </c>
      <c r="BD87" s="440">
        <f t="shared" si="132"/>
        <v>0</v>
      </c>
      <c r="BE87" s="336">
        <v>1</v>
      </c>
      <c r="BF87" s="337">
        <f t="shared" si="133"/>
        <v>1.6763549201521841</v>
      </c>
      <c r="BG87" s="437" t="str">
        <f t="shared" si="149"/>
        <v>(4,2,4,1,3,3); Environmental report 2002, average Si product</v>
      </c>
      <c r="BH87" s="440">
        <v>9.0998000000000001E-4</v>
      </c>
      <c r="BI87" s="336">
        <v>1</v>
      </c>
      <c r="BJ87" s="337">
        <f t="shared" si="134"/>
        <v>1.6763549201521841</v>
      </c>
      <c r="BK87" s="432" t="str">
        <f t="shared" si="150"/>
        <v>(2,4,1,3,1,5); Brailovsky (2026)</v>
      </c>
      <c r="BL87" s="440">
        <f t="shared" si="135"/>
        <v>9.0998000000000001E-4</v>
      </c>
      <c r="BM87" s="336">
        <v>1</v>
      </c>
      <c r="BN87" s="337">
        <f t="shared" si="136"/>
        <v>1.6763549201521841</v>
      </c>
      <c r="BO87" s="432" t="str">
        <f t="shared" si="151"/>
        <v>(2,4,1,3,1,5); Brailovsky (2026)</v>
      </c>
      <c r="BP87" s="441"/>
      <c r="BQ87" s="329"/>
      <c r="BR87" s="705" t="s">
        <v>527</v>
      </c>
      <c r="BS87" s="77">
        <v>4</v>
      </c>
      <c r="BT87" s="83">
        <v>2</v>
      </c>
      <c r="BU87" s="83">
        <v>4</v>
      </c>
      <c r="BV87" s="83">
        <v>1</v>
      </c>
      <c r="BW87" s="83">
        <v>3</v>
      </c>
      <c r="BX87" s="83">
        <v>3</v>
      </c>
      <c r="BY87" s="104">
        <v>32</v>
      </c>
      <c r="BZ87" s="104">
        <v>1.5</v>
      </c>
      <c r="CA87" s="104">
        <f t="shared" si="152"/>
        <v>1.3773344605979911</v>
      </c>
      <c r="CB87" s="107">
        <f t="shared" si="111"/>
        <v>1.6763549201521841</v>
      </c>
      <c r="CC87" s="107" t="str">
        <f t="shared" si="153"/>
        <v>(4,2,4,1,3,3)</v>
      </c>
      <c r="CD87" s="108">
        <v>1.2</v>
      </c>
      <c r="CE87" s="108">
        <v>1.02</v>
      </c>
      <c r="CF87" s="108">
        <v>1.2</v>
      </c>
      <c r="CG87" s="108">
        <v>1</v>
      </c>
      <c r="CH87" s="108">
        <v>1.2</v>
      </c>
      <c r="CI87" s="108">
        <v>1.05</v>
      </c>
      <c r="CK87" s="111" t="s">
        <v>469</v>
      </c>
      <c r="CL87" s="77">
        <v>2</v>
      </c>
      <c r="CM87" s="83">
        <v>4</v>
      </c>
      <c r="CN87" s="83">
        <v>1</v>
      </c>
      <c r="CO87" s="83">
        <v>3</v>
      </c>
      <c r="CP87" s="83">
        <v>1</v>
      </c>
      <c r="CQ87" s="83">
        <v>5</v>
      </c>
      <c r="CR87" s="104">
        <v>32</v>
      </c>
      <c r="CS87" s="104">
        <v>1.5</v>
      </c>
      <c r="CT87" s="104">
        <f t="shared" si="154"/>
        <v>1.2365959919080913</v>
      </c>
      <c r="CU87" s="107">
        <f t="shared" si="112"/>
        <v>1.5804528752110836</v>
      </c>
      <c r="CV87" s="107" t="str">
        <f t="shared" si="155"/>
        <v>(2,4,1,3,1,5)</v>
      </c>
      <c r="CW87" s="108">
        <v>1.05</v>
      </c>
      <c r="CX87" s="108">
        <v>1.1000000000000001</v>
      </c>
      <c r="CY87" s="108">
        <v>1</v>
      </c>
      <c r="CZ87" s="108">
        <v>1.02</v>
      </c>
      <c r="DA87" s="108">
        <v>1</v>
      </c>
      <c r="DB87" s="108">
        <v>1.2</v>
      </c>
    </row>
    <row r="88" spans="1:106" s="351" customFormat="1">
      <c r="A88" s="333">
        <v>79975</v>
      </c>
      <c r="B88" s="216"/>
      <c r="C88" s="165"/>
      <c r="D88" s="342" t="s">
        <v>98</v>
      </c>
      <c r="E88" s="343">
        <v>4</v>
      </c>
      <c r="F88" s="437" t="s">
        <v>528</v>
      </c>
      <c r="G88" s="438" t="s">
        <v>98</v>
      </c>
      <c r="H88" s="439" t="s">
        <v>344</v>
      </c>
      <c r="I88" s="439" t="s">
        <v>192</v>
      </c>
      <c r="J88" s="335" t="s">
        <v>98</v>
      </c>
      <c r="K88" s="438" t="s">
        <v>96</v>
      </c>
      <c r="L88" s="440">
        <v>0</v>
      </c>
      <c r="M88" s="336">
        <v>1</v>
      </c>
      <c r="N88" s="337">
        <f t="shared" si="137"/>
        <v>1.5</v>
      </c>
      <c r="O88" s="437" t="str">
        <f t="shared" si="138"/>
        <v xml:space="preserve">(na,na,na,na,na,na); </v>
      </c>
      <c r="P88" s="440">
        <f t="shared" si="113"/>
        <v>0</v>
      </c>
      <c r="Q88" s="336">
        <v>1</v>
      </c>
      <c r="R88" s="337">
        <f t="shared" si="114"/>
        <v>1.5</v>
      </c>
      <c r="S88" s="437" t="str">
        <f t="shared" si="139"/>
        <v xml:space="preserve">(na,na,na,na,na,na); </v>
      </c>
      <c r="T88" s="440">
        <f t="shared" si="115"/>
        <v>0</v>
      </c>
      <c r="U88" s="336">
        <v>1</v>
      </c>
      <c r="V88" s="337">
        <f t="shared" si="116"/>
        <v>1.5</v>
      </c>
      <c r="W88" s="437" t="str">
        <f t="shared" si="140"/>
        <v xml:space="preserve">(na,na,na,na,na,na); </v>
      </c>
      <c r="X88" s="440">
        <f t="shared" si="117"/>
        <v>0</v>
      </c>
      <c r="Y88" s="336">
        <v>1</v>
      </c>
      <c r="Z88" s="337">
        <f t="shared" si="118"/>
        <v>1.5</v>
      </c>
      <c r="AA88" s="437" t="str">
        <f t="shared" si="141"/>
        <v xml:space="preserve">(na,na,na,na,na,na); </v>
      </c>
      <c r="AB88" s="440">
        <v>0</v>
      </c>
      <c r="AC88" s="336">
        <v>1</v>
      </c>
      <c r="AD88" s="337">
        <f t="shared" si="119"/>
        <v>1.5</v>
      </c>
      <c r="AE88" s="437" t="str">
        <f t="shared" si="142"/>
        <v xml:space="preserve">(na,na,na,na,na,na); </v>
      </c>
      <c r="AF88" s="440">
        <f t="shared" si="120"/>
        <v>0</v>
      </c>
      <c r="AG88" s="336">
        <v>1</v>
      </c>
      <c r="AH88" s="337">
        <f t="shared" si="121"/>
        <v>1.5</v>
      </c>
      <c r="AI88" s="437" t="str">
        <f t="shared" si="143"/>
        <v xml:space="preserve">(na,na,na,na,na,na); </v>
      </c>
      <c r="AJ88" s="440">
        <f t="shared" si="122"/>
        <v>0</v>
      </c>
      <c r="AK88" s="336">
        <v>1</v>
      </c>
      <c r="AL88" s="337">
        <f t="shared" si="123"/>
        <v>1.5</v>
      </c>
      <c r="AM88" s="437" t="str">
        <f t="shared" si="144"/>
        <v xml:space="preserve">(na,na,na,na,na,na); </v>
      </c>
      <c r="AN88" s="440">
        <f t="shared" si="124"/>
        <v>0</v>
      </c>
      <c r="AO88" s="336">
        <v>1</v>
      </c>
      <c r="AP88" s="337">
        <f t="shared" si="125"/>
        <v>1.5</v>
      </c>
      <c r="AQ88" s="437" t="str">
        <f t="shared" si="145"/>
        <v xml:space="preserve">(na,na,na,na,na,na); </v>
      </c>
      <c r="AR88" s="440">
        <f t="shared" si="126"/>
        <v>0</v>
      </c>
      <c r="AS88" s="336">
        <v>1</v>
      </c>
      <c r="AT88" s="337">
        <f t="shared" si="127"/>
        <v>1.5</v>
      </c>
      <c r="AU88" s="437" t="str">
        <f t="shared" si="146"/>
        <v xml:space="preserve">(na,na,na,na,na,na); </v>
      </c>
      <c r="AV88" s="440">
        <f t="shared" si="128"/>
        <v>0</v>
      </c>
      <c r="AW88" s="336">
        <v>1</v>
      </c>
      <c r="AX88" s="337">
        <f t="shared" si="129"/>
        <v>1.5</v>
      </c>
      <c r="AY88" s="437" t="str">
        <f t="shared" si="147"/>
        <v xml:space="preserve">(na,na,na,na,na,na); </v>
      </c>
      <c r="AZ88" s="440">
        <f t="shared" si="130"/>
        <v>0</v>
      </c>
      <c r="BA88" s="336">
        <v>1</v>
      </c>
      <c r="BB88" s="337">
        <f t="shared" si="131"/>
        <v>1.5</v>
      </c>
      <c r="BC88" s="437" t="str">
        <f t="shared" si="148"/>
        <v xml:space="preserve">(na,na,na,na,na,na); </v>
      </c>
      <c r="BD88" s="440">
        <f t="shared" si="132"/>
        <v>0</v>
      </c>
      <c r="BE88" s="336">
        <v>1</v>
      </c>
      <c r="BF88" s="337">
        <f t="shared" si="133"/>
        <v>1.5</v>
      </c>
      <c r="BG88" s="437" t="str">
        <f t="shared" si="149"/>
        <v xml:space="preserve">(na,na,na,na,na,na); </v>
      </c>
      <c r="BH88" s="440">
        <v>2.6499999999999999E-2</v>
      </c>
      <c r="BI88" s="336">
        <v>1</v>
      </c>
      <c r="BJ88" s="337">
        <f t="shared" si="134"/>
        <v>1.5</v>
      </c>
      <c r="BK88" s="432" t="str">
        <f t="shared" si="150"/>
        <v>(2,4,1,3,1,5); Brailovsky (2026)</v>
      </c>
      <c r="BL88" s="440">
        <f t="shared" si="135"/>
        <v>2.6499999999999999E-2</v>
      </c>
      <c r="BM88" s="336">
        <v>1</v>
      </c>
      <c r="BN88" s="337">
        <f t="shared" si="136"/>
        <v>1.5</v>
      </c>
      <c r="BO88" s="432" t="str">
        <f t="shared" si="151"/>
        <v>(2,4,1,3,1,5); Brailovsky (2026)</v>
      </c>
      <c r="BP88" s="441"/>
      <c r="BQ88" s="329"/>
      <c r="BR88" s="706"/>
      <c r="BS88" s="77" t="s">
        <v>106</v>
      </c>
      <c r="BT88" s="83" t="s">
        <v>106</v>
      </c>
      <c r="BU88" s="83" t="s">
        <v>106</v>
      </c>
      <c r="BV88" s="83" t="s">
        <v>106</v>
      </c>
      <c r="BW88" s="83" t="s">
        <v>106</v>
      </c>
      <c r="BX88" s="83" t="s">
        <v>106</v>
      </c>
      <c r="BY88" s="104">
        <v>33</v>
      </c>
      <c r="BZ88" s="104">
        <v>1.5</v>
      </c>
      <c r="CA88" s="104">
        <f t="shared" si="152"/>
        <v>1</v>
      </c>
      <c r="CB88" s="107">
        <f t="shared" si="111"/>
        <v>1.5</v>
      </c>
      <c r="CC88" s="107" t="str">
        <f t="shared" si="153"/>
        <v>(na,na,na,na,na,na)</v>
      </c>
      <c r="CD88" s="108">
        <v>1</v>
      </c>
      <c r="CE88" s="108">
        <v>1</v>
      </c>
      <c r="CF88" s="108">
        <v>1</v>
      </c>
      <c r="CG88" s="108">
        <v>1</v>
      </c>
      <c r="CH88" s="108">
        <v>1</v>
      </c>
      <c r="CI88" s="108">
        <v>1</v>
      </c>
      <c r="CK88" s="111" t="s">
        <v>469</v>
      </c>
      <c r="CL88" s="77">
        <v>2</v>
      </c>
      <c r="CM88" s="83">
        <v>4</v>
      </c>
      <c r="CN88" s="83">
        <v>1</v>
      </c>
      <c r="CO88" s="83">
        <v>3</v>
      </c>
      <c r="CP88" s="83">
        <v>1</v>
      </c>
      <c r="CQ88" s="83">
        <v>5</v>
      </c>
      <c r="CR88" s="104">
        <v>33</v>
      </c>
      <c r="CS88" s="104">
        <v>1.5</v>
      </c>
      <c r="CT88" s="104">
        <f t="shared" si="154"/>
        <v>1.2365959919080913</v>
      </c>
      <c r="CU88" s="107">
        <f t="shared" si="112"/>
        <v>1.5804528752110836</v>
      </c>
      <c r="CV88" s="107" t="str">
        <f t="shared" si="155"/>
        <v>(2,4,1,3,1,5)</v>
      </c>
      <c r="CW88" s="108">
        <v>1.05</v>
      </c>
      <c r="CX88" s="108">
        <v>1.1000000000000001</v>
      </c>
      <c r="CY88" s="108">
        <v>1</v>
      </c>
      <c r="CZ88" s="108">
        <v>1.02</v>
      </c>
      <c r="DA88" s="108">
        <v>1</v>
      </c>
      <c r="DB88" s="108">
        <v>1.2</v>
      </c>
    </row>
    <row r="89" spans="1:106" s="351" customFormat="1">
      <c r="A89" s="333">
        <v>50312</v>
      </c>
      <c r="B89" s="216"/>
      <c r="C89" s="165"/>
      <c r="D89" s="342" t="s">
        <v>98</v>
      </c>
      <c r="E89" s="343">
        <v>4</v>
      </c>
      <c r="F89" s="437" t="s">
        <v>520</v>
      </c>
      <c r="G89" s="438" t="s">
        <v>98</v>
      </c>
      <c r="H89" s="439" t="s">
        <v>247</v>
      </c>
      <c r="I89" s="439" t="s">
        <v>248</v>
      </c>
      <c r="J89" s="335" t="s">
        <v>98</v>
      </c>
      <c r="K89" s="438" t="s">
        <v>96</v>
      </c>
      <c r="L89" s="440">
        <v>0</v>
      </c>
      <c r="M89" s="336">
        <v>1</v>
      </c>
      <c r="N89" s="337">
        <f t="shared" si="137"/>
        <v>1.5</v>
      </c>
      <c r="O89" s="437" t="str">
        <f t="shared" si="138"/>
        <v xml:space="preserve">(na,na,na,na,na,na); </v>
      </c>
      <c r="P89" s="440">
        <f t="shared" si="113"/>
        <v>0</v>
      </c>
      <c r="Q89" s="336">
        <v>1</v>
      </c>
      <c r="R89" s="337">
        <f t="shared" si="114"/>
        <v>1.5</v>
      </c>
      <c r="S89" s="437" t="str">
        <f t="shared" si="139"/>
        <v xml:space="preserve">(na,na,na,na,na,na); </v>
      </c>
      <c r="T89" s="440">
        <f t="shared" si="115"/>
        <v>0</v>
      </c>
      <c r="U89" s="336">
        <v>1</v>
      </c>
      <c r="V89" s="337">
        <f t="shared" si="116"/>
        <v>1.5</v>
      </c>
      <c r="W89" s="437" t="str">
        <f t="shared" si="140"/>
        <v xml:space="preserve">(na,na,na,na,na,na); </v>
      </c>
      <c r="X89" s="440">
        <f t="shared" si="117"/>
        <v>0</v>
      </c>
      <c r="Y89" s="336">
        <v>1</v>
      </c>
      <c r="Z89" s="337">
        <f t="shared" si="118"/>
        <v>1.5</v>
      </c>
      <c r="AA89" s="437" t="str">
        <f t="shared" si="141"/>
        <v xml:space="preserve">(na,na,na,na,na,na); </v>
      </c>
      <c r="AB89" s="440">
        <v>0</v>
      </c>
      <c r="AC89" s="336">
        <v>1</v>
      </c>
      <c r="AD89" s="337">
        <f t="shared" si="119"/>
        <v>1.5</v>
      </c>
      <c r="AE89" s="437" t="str">
        <f t="shared" si="142"/>
        <v xml:space="preserve">(na,na,na,na,na,na); </v>
      </c>
      <c r="AF89" s="440">
        <f t="shared" si="120"/>
        <v>0</v>
      </c>
      <c r="AG89" s="336">
        <v>1</v>
      </c>
      <c r="AH89" s="337">
        <f t="shared" si="121"/>
        <v>1.5</v>
      </c>
      <c r="AI89" s="437" t="str">
        <f t="shared" si="143"/>
        <v xml:space="preserve">(na,na,na,na,na,na); </v>
      </c>
      <c r="AJ89" s="440">
        <f t="shared" si="122"/>
        <v>0</v>
      </c>
      <c r="AK89" s="336">
        <v>1</v>
      </c>
      <c r="AL89" s="337">
        <f t="shared" si="123"/>
        <v>1.5</v>
      </c>
      <c r="AM89" s="437" t="str">
        <f t="shared" si="144"/>
        <v xml:space="preserve">(na,na,na,na,na,na); </v>
      </c>
      <c r="AN89" s="440">
        <f t="shared" si="124"/>
        <v>0</v>
      </c>
      <c r="AO89" s="336">
        <v>1</v>
      </c>
      <c r="AP89" s="337">
        <f t="shared" si="125"/>
        <v>1.5</v>
      </c>
      <c r="AQ89" s="437" t="str">
        <f t="shared" si="145"/>
        <v xml:space="preserve">(na,na,na,na,na,na); </v>
      </c>
      <c r="AR89" s="440">
        <f t="shared" si="126"/>
        <v>0</v>
      </c>
      <c r="AS89" s="336">
        <v>1</v>
      </c>
      <c r="AT89" s="337">
        <f t="shared" si="127"/>
        <v>1.5</v>
      </c>
      <c r="AU89" s="437" t="str">
        <f t="shared" si="146"/>
        <v xml:space="preserve">(na,na,na,na,na,na); </v>
      </c>
      <c r="AV89" s="440">
        <f t="shared" si="128"/>
        <v>0</v>
      </c>
      <c r="AW89" s="336">
        <v>1</v>
      </c>
      <c r="AX89" s="337">
        <f t="shared" si="129"/>
        <v>1.5</v>
      </c>
      <c r="AY89" s="437" t="str">
        <f t="shared" si="147"/>
        <v xml:space="preserve">(na,na,na,na,na,na); </v>
      </c>
      <c r="AZ89" s="440">
        <f t="shared" si="130"/>
        <v>0</v>
      </c>
      <c r="BA89" s="336">
        <v>1</v>
      </c>
      <c r="BB89" s="337">
        <f t="shared" si="131"/>
        <v>1.5</v>
      </c>
      <c r="BC89" s="437" t="str">
        <f t="shared" si="148"/>
        <v xml:space="preserve">(na,na,na,na,na,na); </v>
      </c>
      <c r="BD89" s="440">
        <f t="shared" si="132"/>
        <v>0</v>
      </c>
      <c r="BE89" s="336">
        <v>1</v>
      </c>
      <c r="BF89" s="337">
        <f t="shared" si="133"/>
        <v>1.5</v>
      </c>
      <c r="BG89" s="437" t="str">
        <f t="shared" si="149"/>
        <v xml:space="preserve">(na,na,na,na,na,na); </v>
      </c>
      <c r="BH89" s="440">
        <v>6</v>
      </c>
      <c r="BI89" s="336">
        <v>1</v>
      </c>
      <c r="BJ89" s="337">
        <f t="shared" si="134"/>
        <v>1.5</v>
      </c>
      <c r="BK89" s="432" t="str">
        <f t="shared" si="150"/>
        <v>(2,4,1,3,1,5); Brailovsky (2026)</v>
      </c>
      <c r="BL89" s="440">
        <v>0</v>
      </c>
      <c r="BM89" s="336">
        <v>1</v>
      </c>
      <c r="BN89" s="337">
        <f t="shared" si="136"/>
        <v>1.5</v>
      </c>
      <c r="BO89" s="432" t="str">
        <f t="shared" si="151"/>
        <v>(2,4,1,3,1,5); Brailovsky (2026)</v>
      </c>
      <c r="BP89" s="441"/>
      <c r="BQ89" s="329"/>
      <c r="BR89" s="706"/>
      <c r="BS89" s="77" t="s">
        <v>106</v>
      </c>
      <c r="BT89" s="83" t="s">
        <v>106</v>
      </c>
      <c r="BU89" s="83" t="s">
        <v>106</v>
      </c>
      <c r="BV89" s="83" t="s">
        <v>106</v>
      </c>
      <c r="BW89" s="83" t="s">
        <v>106</v>
      </c>
      <c r="BX89" s="83" t="s">
        <v>106</v>
      </c>
      <c r="BY89" s="104">
        <v>31</v>
      </c>
      <c r="BZ89" s="104">
        <v>1.5</v>
      </c>
      <c r="CA89" s="104">
        <f t="shared" si="152"/>
        <v>1</v>
      </c>
      <c r="CB89" s="107">
        <f t="shared" si="111"/>
        <v>1.5</v>
      </c>
      <c r="CC89" s="107" t="str">
        <f t="shared" si="153"/>
        <v>(na,na,na,na,na,na)</v>
      </c>
      <c r="CD89" s="108">
        <v>1</v>
      </c>
      <c r="CE89" s="108">
        <v>1</v>
      </c>
      <c r="CF89" s="108">
        <v>1</v>
      </c>
      <c r="CG89" s="108">
        <v>1</v>
      </c>
      <c r="CH89" s="108">
        <v>1</v>
      </c>
      <c r="CI89" s="108">
        <v>1</v>
      </c>
      <c r="CK89" s="111" t="s">
        <v>469</v>
      </c>
      <c r="CL89" s="77">
        <v>2</v>
      </c>
      <c r="CM89" s="83">
        <v>4</v>
      </c>
      <c r="CN89" s="83">
        <v>1</v>
      </c>
      <c r="CO89" s="83">
        <v>3</v>
      </c>
      <c r="CP89" s="83">
        <v>1</v>
      </c>
      <c r="CQ89" s="83">
        <v>5</v>
      </c>
      <c r="CR89" s="104">
        <v>31</v>
      </c>
      <c r="CS89" s="104">
        <v>1.5</v>
      </c>
      <c r="CT89" s="104">
        <f t="shared" si="154"/>
        <v>1.2365959919080913</v>
      </c>
      <c r="CU89" s="107">
        <f t="shared" si="112"/>
        <v>1.5804528752110836</v>
      </c>
      <c r="CV89" s="107" t="str">
        <f t="shared" si="155"/>
        <v>(2,4,1,3,1,5)</v>
      </c>
      <c r="CW89" s="108">
        <v>1.05</v>
      </c>
      <c r="CX89" s="108">
        <v>1.1000000000000001</v>
      </c>
      <c r="CY89" s="108">
        <v>1</v>
      </c>
      <c r="CZ89" s="108">
        <v>1.02</v>
      </c>
      <c r="DA89" s="108">
        <v>1</v>
      </c>
      <c r="DB89" s="108">
        <v>1.2</v>
      </c>
    </row>
    <row r="90" spans="1:106" s="351" customFormat="1">
      <c r="A90" s="333">
        <v>50430</v>
      </c>
      <c r="B90" s="216"/>
      <c r="C90" s="165"/>
      <c r="D90" s="342" t="s">
        <v>98</v>
      </c>
      <c r="E90" s="343">
        <v>4</v>
      </c>
      <c r="F90" s="437" t="s">
        <v>523</v>
      </c>
      <c r="G90" s="438" t="s">
        <v>98</v>
      </c>
      <c r="H90" s="455" t="s">
        <v>247</v>
      </c>
      <c r="I90" s="455" t="s">
        <v>248</v>
      </c>
      <c r="J90" s="336" t="s">
        <v>98</v>
      </c>
      <c r="K90" s="438" t="s">
        <v>96</v>
      </c>
      <c r="L90" s="440">
        <v>0</v>
      </c>
      <c r="M90" s="336">
        <v>1</v>
      </c>
      <c r="N90" s="337">
        <f t="shared" si="137"/>
        <v>1.5</v>
      </c>
      <c r="O90" s="437" t="str">
        <f t="shared" si="138"/>
        <v xml:space="preserve">(na,na,na,na,na,na); </v>
      </c>
      <c r="P90" s="440">
        <f t="shared" si="113"/>
        <v>0</v>
      </c>
      <c r="Q90" s="336">
        <v>1</v>
      </c>
      <c r="R90" s="337">
        <f t="shared" si="114"/>
        <v>1.5</v>
      </c>
      <c r="S90" s="437" t="str">
        <f t="shared" si="139"/>
        <v xml:space="preserve">(na,na,na,na,na,na); </v>
      </c>
      <c r="T90" s="440">
        <f t="shared" si="115"/>
        <v>0</v>
      </c>
      <c r="U90" s="336">
        <v>1</v>
      </c>
      <c r="V90" s="337">
        <f t="shared" si="116"/>
        <v>1.5</v>
      </c>
      <c r="W90" s="437" t="str">
        <f t="shared" si="140"/>
        <v xml:space="preserve">(na,na,na,na,na,na); </v>
      </c>
      <c r="X90" s="440">
        <f t="shared" si="117"/>
        <v>0</v>
      </c>
      <c r="Y90" s="336">
        <v>1</v>
      </c>
      <c r="Z90" s="337">
        <f t="shared" si="118"/>
        <v>1.5</v>
      </c>
      <c r="AA90" s="437" t="str">
        <f t="shared" si="141"/>
        <v xml:space="preserve">(na,na,na,na,na,na); </v>
      </c>
      <c r="AB90" s="440">
        <v>0</v>
      </c>
      <c r="AC90" s="336">
        <v>1</v>
      </c>
      <c r="AD90" s="337">
        <f t="shared" si="119"/>
        <v>1.5</v>
      </c>
      <c r="AE90" s="437" t="str">
        <f t="shared" si="142"/>
        <v xml:space="preserve">(na,na,na,na,na,na); </v>
      </c>
      <c r="AF90" s="440">
        <f t="shared" si="120"/>
        <v>0</v>
      </c>
      <c r="AG90" s="336">
        <v>1</v>
      </c>
      <c r="AH90" s="337">
        <f t="shared" si="121"/>
        <v>1.5</v>
      </c>
      <c r="AI90" s="437" t="str">
        <f t="shared" si="143"/>
        <v xml:space="preserve">(na,na,na,na,na,na); </v>
      </c>
      <c r="AJ90" s="440">
        <f t="shared" si="122"/>
        <v>0</v>
      </c>
      <c r="AK90" s="336">
        <v>1</v>
      </c>
      <c r="AL90" s="337">
        <f t="shared" si="123"/>
        <v>1.5</v>
      </c>
      <c r="AM90" s="437" t="str">
        <f t="shared" si="144"/>
        <v xml:space="preserve">(na,na,na,na,na,na); </v>
      </c>
      <c r="AN90" s="440">
        <f t="shared" si="124"/>
        <v>0</v>
      </c>
      <c r="AO90" s="336">
        <v>1</v>
      </c>
      <c r="AP90" s="337">
        <f t="shared" si="125"/>
        <v>1.5</v>
      </c>
      <c r="AQ90" s="437" t="str">
        <f t="shared" si="145"/>
        <v xml:space="preserve">(na,na,na,na,na,na); </v>
      </c>
      <c r="AR90" s="440">
        <f t="shared" si="126"/>
        <v>0</v>
      </c>
      <c r="AS90" s="336">
        <v>1</v>
      </c>
      <c r="AT90" s="337">
        <f t="shared" si="127"/>
        <v>1.5</v>
      </c>
      <c r="AU90" s="437" t="str">
        <f t="shared" si="146"/>
        <v xml:space="preserve">(na,na,na,na,na,na); </v>
      </c>
      <c r="AV90" s="440">
        <f t="shared" si="128"/>
        <v>0</v>
      </c>
      <c r="AW90" s="336">
        <v>1</v>
      </c>
      <c r="AX90" s="337">
        <f t="shared" si="129"/>
        <v>1.5</v>
      </c>
      <c r="AY90" s="437" t="str">
        <f t="shared" si="147"/>
        <v xml:space="preserve">(na,na,na,na,na,na); </v>
      </c>
      <c r="AZ90" s="440">
        <f t="shared" si="130"/>
        <v>0</v>
      </c>
      <c r="BA90" s="336">
        <v>1</v>
      </c>
      <c r="BB90" s="337">
        <f t="shared" si="131"/>
        <v>1.5</v>
      </c>
      <c r="BC90" s="437" t="str">
        <f t="shared" si="148"/>
        <v xml:space="preserve">(na,na,na,na,na,na); </v>
      </c>
      <c r="BD90" s="440">
        <f t="shared" si="132"/>
        <v>0</v>
      </c>
      <c r="BE90" s="336">
        <v>1</v>
      </c>
      <c r="BF90" s="337">
        <f t="shared" si="133"/>
        <v>1.5</v>
      </c>
      <c r="BG90" s="437" t="str">
        <f t="shared" si="149"/>
        <v xml:space="preserve">(na,na,na,na,na,na); </v>
      </c>
      <c r="BH90" s="440">
        <v>0</v>
      </c>
      <c r="BI90" s="336">
        <v>1</v>
      </c>
      <c r="BJ90" s="337">
        <f t="shared" si="134"/>
        <v>1.5</v>
      </c>
      <c r="BK90" s="437" t="str">
        <f t="shared" si="150"/>
        <v>(2,4,1,3,1,5); Brailovsky (2026)</v>
      </c>
      <c r="BL90" s="440">
        <f>BH89</f>
        <v>6</v>
      </c>
      <c r="BM90" s="336">
        <v>1</v>
      </c>
      <c r="BN90" s="337">
        <f t="shared" si="136"/>
        <v>1.5</v>
      </c>
      <c r="BO90" s="437" t="str">
        <f t="shared" si="151"/>
        <v>(2,4,1,3,1,5); Brailovsky (2026)</v>
      </c>
      <c r="BP90" s="441"/>
      <c r="BQ90" s="329"/>
      <c r="BR90" s="706"/>
      <c r="BS90" s="77" t="s">
        <v>106</v>
      </c>
      <c r="BT90" s="83" t="s">
        <v>106</v>
      </c>
      <c r="BU90" s="83" t="s">
        <v>106</v>
      </c>
      <c r="BV90" s="83" t="s">
        <v>106</v>
      </c>
      <c r="BW90" s="83" t="s">
        <v>106</v>
      </c>
      <c r="BX90" s="83" t="s">
        <v>106</v>
      </c>
      <c r="BY90" s="104">
        <v>31</v>
      </c>
      <c r="BZ90" s="104">
        <v>1.5</v>
      </c>
      <c r="CA90" s="104">
        <f t="shared" si="152"/>
        <v>1</v>
      </c>
      <c r="CB90" s="107">
        <f t="shared" si="111"/>
        <v>1.5</v>
      </c>
      <c r="CC90" s="107" t="str">
        <f t="shared" si="153"/>
        <v>(na,na,na,na,na,na)</v>
      </c>
      <c r="CD90" s="108">
        <v>1</v>
      </c>
      <c r="CE90" s="108">
        <v>1</v>
      </c>
      <c r="CF90" s="108">
        <v>1</v>
      </c>
      <c r="CG90" s="108">
        <v>1</v>
      </c>
      <c r="CH90" s="108">
        <v>1</v>
      </c>
      <c r="CI90" s="108">
        <v>1</v>
      </c>
      <c r="CK90" s="111" t="s">
        <v>469</v>
      </c>
      <c r="CL90" s="77">
        <v>2</v>
      </c>
      <c r="CM90" s="83">
        <v>4</v>
      </c>
      <c r="CN90" s="83">
        <v>1</v>
      </c>
      <c r="CO90" s="83">
        <v>3</v>
      </c>
      <c r="CP90" s="83">
        <v>1</v>
      </c>
      <c r="CQ90" s="83">
        <v>5</v>
      </c>
      <c r="CR90" s="104">
        <v>31</v>
      </c>
      <c r="CS90" s="104">
        <v>1.5</v>
      </c>
      <c r="CT90" s="104">
        <f t="shared" si="154"/>
        <v>1.2365959919080913</v>
      </c>
      <c r="CU90" s="107">
        <f t="shared" si="112"/>
        <v>1.5804528752110836</v>
      </c>
      <c r="CV90" s="107" t="str">
        <f t="shared" si="155"/>
        <v>(2,4,1,3,1,5)</v>
      </c>
      <c r="CW90" s="108">
        <v>1.05</v>
      </c>
      <c r="CX90" s="108">
        <v>1.1000000000000001</v>
      </c>
      <c r="CY90" s="108">
        <v>1</v>
      </c>
      <c r="CZ90" s="108">
        <v>1.02</v>
      </c>
      <c r="DA90" s="108">
        <v>1</v>
      </c>
      <c r="DB90" s="108">
        <v>1.2</v>
      </c>
    </row>
    <row r="91" spans="1:106" s="179" customFormat="1"/>
    <row r="92" spans="1:106">
      <c r="BQ92" s="112"/>
      <c r="BR92" s="122"/>
    </row>
    <row r="93" spans="1:106" s="578" customFormat="1" ht="24" customHeight="1">
      <c r="A93" s="578" t="s">
        <v>529</v>
      </c>
      <c r="B93" s="566" t="s">
        <v>530</v>
      </c>
      <c r="C93" s="567" t="s">
        <v>529</v>
      </c>
      <c r="D93" s="568" t="s">
        <v>529</v>
      </c>
      <c r="E93" s="569" t="s">
        <v>529</v>
      </c>
      <c r="F93" s="570" t="s">
        <v>531</v>
      </c>
      <c r="G93" s="571" t="s">
        <v>529</v>
      </c>
      <c r="H93" s="563" t="s">
        <v>529</v>
      </c>
      <c r="I93" s="563" t="s">
        <v>529</v>
      </c>
      <c r="J93" s="563" t="s">
        <v>529</v>
      </c>
      <c r="K93" s="563" t="s">
        <v>96</v>
      </c>
      <c r="L93" s="563" t="s">
        <v>529</v>
      </c>
      <c r="M93" s="563" t="s">
        <v>529</v>
      </c>
      <c r="N93" s="563" t="s">
        <v>529</v>
      </c>
      <c r="O93" s="563" t="s">
        <v>529</v>
      </c>
      <c r="P93" s="563" t="s">
        <v>529</v>
      </c>
      <c r="Q93" s="563" t="s">
        <v>529</v>
      </c>
      <c r="R93" s="563" t="s">
        <v>529</v>
      </c>
      <c r="S93" s="563" t="s">
        <v>529</v>
      </c>
      <c r="T93" s="563" t="s">
        <v>529</v>
      </c>
      <c r="U93" s="563" t="s">
        <v>529</v>
      </c>
      <c r="V93" s="563" t="s">
        <v>529</v>
      </c>
      <c r="W93" s="563" t="s">
        <v>529</v>
      </c>
      <c r="X93" s="563" t="s">
        <v>529</v>
      </c>
      <c r="Y93" s="563" t="s">
        <v>529</v>
      </c>
      <c r="Z93" s="563" t="s">
        <v>529</v>
      </c>
      <c r="AA93" s="563" t="s">
        <v>529</v>
      </c>
      <c r="AB93" s="563" t="s">
        <v>529</v>
      </c>
      <c r="AC93" s="563" t="s">
        <v>529</v>
      </c>
      <c r="AD93" s="563" t="s">
        <v>529</v>
      </c>
      <c r="AE93" s="563" t="s">
        <v>529</v>
      </c>
      <c r="AF93" s="563" t="s">
        <v>529</v>
      </c>
      <c r="AG93" s="563" t="s">
        <v>529</v>
      </c>
      <c r="AH93" s="563" t="s">
        <v>529</v>
      </c>
      <c r="AI93" s="563" t="s">
        <v>529</v>
      </c>
      <c r="AJ93" s="563" t="s">
        <v>529</v>
      </c>
      <c r="AK93" s="563" t="s">
        <v>529</v>
      </c>
      <c r="AL93" s="563" t="s">
        <v>529</v>
      </c>
      <c r="AM93" s="563" t="s">
        <v>529</v>
      </c>
      <c r="AN93" s="563" t="s">
        <v>529</v>
      </c>
      <c r="AO93" s="563" t="s">
        <v>529</v>
      </c>
      <c r="AP93" s="563" t="s">
        <v>529</v>
      </c>
      <c r="AQ93" s="563" t="s">
        <v>529</v>
      </c>
      <c r="AR93" s="574">
        <v>1.0473705801359401</v>
      </c>
      <c r="AS93" s="571" t="s">
        <v>529</v>
      </c>
      <c r="AT93" s="571" t="s">
        <v>529</v>
      </c>
      <c r="AU93" s="570" t="s">
        <v>529</v>
      </c>
      <c r="AV93" s="574" t="s">
        <v>532</v>
      </c>
      <c r="AW93" s="571" t="s">
        <v>529</v>
      </c>
      <c r="AX93" s="571" t="s">
        <v>529</v>
      </c>
      <c r="AY93" s="570" t="s">
        <v>529</v>
      </c>
      <c r="AZ93" s="574" t="s">
        <v>532</v>
      </c>
      <c r="BA93" s="571" t="s">
        <v>529</v>
      </c>
      <c r="BB93" s="571" t="s">
        <v>529</v>
      </c>
      <c r="BC93" s="570" t="s">
        <v>529</v>
      </c>
      <c r="BD93" s="574" t="s">
        <v>532</v>
      </c>
      <c r="BE93" s="571" t="s">
        <v>529</v>
      </c>
      <c r="BF93" s="571" t="s">
        <v>529</v>
      </c>
      <c r="BG93" s="570" t="s">
        <v>533</v>
      </c>
      <c r="BH93" s="570" t="s">
        <v>529</v>
      </c>
      <c r="BI93" s="570" t="s">
        <v>529</v>
      </c>
      <c r="BJ93" s="570" t="s">
        <v>529</v>
      </c>
      <c r="BK93" s="570" t="s">
        <v>529</v>
      </c>
      <c r="BL93" s="570" t="s">
        <v>529</v>
      </c>
      <c r="BM93" s="570" t="s">
        <v>529</v>
      </c>
      <c r="BN93" s="570" t="s">
        <v>529</v>
      </c>
      <c r="BO93" s="570" t="s">
        <v>529</v>
      </c>
      <c r="BP93" s="570" t="s">
        <v>529</v>
      </c>
      <c r="BQ93" s="579" t="s">
        <v>529</v>
      </c>
      <c r="BR93" s="576" t="s">
        <v>534</v>
      </c>
      <c r="BS93" s="576" t="s">
        <v>529</v>
      </c>
      <c r="BT93" s="574" t="s">
        <v>529</v>
      </c>
      <c r="BU93" s="394"/>
      <c r="BV93" s="394"/>
      <c r="BW93" s="394"/>
      <c r="BX93" s="394"/>
      <c r="BY93" s="394"/>
      <c r="BZ93" s="394"/>
      <c r="CA93" s="394"/>
      <c r="CB93" s="394"/>
      <c r="CC93" s="394"/>
      <c r="CD93" s="110"/>
      <c r="CE93" s="110"/>
      <c r="CF93" s="110"/>
      <c r="CG93" s="110"/>
      <c r="CH93" s="110"/>
      <c r="CI93" s="110"/>
      <c r="CJ93" s="578" t="s">
        <v>529</v>
      </c>
      <c r="CK93" s="578" t="s">
        <v>529</v>
      </c>
      <c r="CL93" s="578" t="s">
        <v>529</v>
      </c>
      <c r="CM93" s="578" t="s">
        <v>529</v>
      </c>
      <c r="CN93" s="578" t="s">
        <v>529</v>
      </c>
      <c r="CO93" s="578" t="s">
        <v>529</v>
      </c>
      <c r="CP93" s="578" t="s">
        <v>529</v>
      </c>
      <c r="CQ93" s="578" t="s">
        <v>529</v>
      </c>
      <c r="CR93" s="578" t="s">
        <v>529</v>
      </c>
      <c r="CS93" s="578" t="s">
        <v>529</v>
      </c>
      <c r="CT93" s="578" t="s">
        <v>529</v>
      </c>
      <c r="CU93" s="578" t="s">
        <v>529</v>
      </c>
      <c r="CV93" s="578" t="s">
        <v>529</v>
      </c>
      <c r="CW93" s="578" t="s">
        <v>529</v>
      </c>
      <c r="CX93" s="578" t="s">
        <v>529</v>
      </c>
      <c r="CY93" s="578" t="s">
        <v>529</v>
      </c>
      <c r="CZ93" s="578" t="s">
        <v>529</v>
      </c>
      <c r="DA93" s="578" t="s">
        <v>529</v>
      </c>
      <c r="DB93" s="578" t="s">
        <v>529</v>
      </c>
    </row>
    <row r="94" spans="1:106">
      <c r="BQ94" s="112"/>
      <c r="BR94" s="122"/>
    </row>
    <row r="95" spans="1:106">
      <c r="F95" s="352" t="s">
        <v>535</v>
      </c>
      <c r="G95" s="353"/>
      <c r="H95" s="353"/>
      <c r="I95" s="353"/>
      <c r="J95" s="353"/>
      <c r="K95" s="353"/>
      <c r="BQ95" s="112"/>
      <c r="BR95" s="122"/>
    </row>
    <row r="96" spans="1:106">
      <c r="F96" s="354" t="s">
        <v>536</v>
      </c>
      <c r="G96" s="353"/>
      <c r="H96" s="353"/>
      <c r="I96" s="353"/>
      <c r="J96" s="353"/>
      <c r="K96" s="353"/>
      <c r="BQ96" s="112"/>
      <c r="BR96" s="122"/>
    </row>
    <row r="97" spans="6:70">
      <c r="F97" s="355" t="s">
        <v>537</v>
      </c>
      <c r="G97" s="353"/>
      <c r="H97" s="353"/>
      <c r="I97" s="353"/>
      <c r="J97" s="353"/>
      <c r="K97" s="353"/>
      <c r="L97" s="353">
        <v>8.1082080924855501E-5</v>
      </c>
      <c r="M97" s="353"/>
      <c r="N97" s="353"/>
      <c r="O97" s="353" t="s">
        <v>538</v>
      </c>
      <c r="P97" s="353" t="s">
        <v>462</v>
      </c>
      <c r="Q97" s="353"/>
      <c r="R97" s="353"/>
      <c r="S97" s="353"/>
      <c r="T97" s="353"/>
      <c r="U97" s="353"/>
      <c r="V97" s="353"/>
      <c r="W97" s="353"/>
      <c r="X97" s="353"/>
      <c r="Y97" s="353"/>
      <c r="Z97" s="353"/>
      <c r="AA97" s="353"/>
      <c r="AB97" s="353">
        <v>1.83956730769231E-4</v>
      </c>
      <c r="AC97" s="353"/>
      <c r="AD97" s="353"/>
      <c r="AE97" s="353"/>
      <c r="AF97" s="353" t="s">
        <v>462</v>
      </c>
      <c r="AG97" s="353"/>
      <c r="AH97" s="353"/>
      <c r="AI97" s="353"/>
      <c r="AJ97" s="353"/>
      <c r="AK97" s="353"/>
      <c r="AL97" s="353"/>
      <c r="AM97" s="353"/>
      <c r="AN97" s="353"/>
      <c r="AO97" s="353"/>
      <c r="AP97" s="353"/>
      <c r="AQ97" s="353"/>
      <c r="AR97" s="353">
        <v>2.88411313909607E-5</v>
      </c>
      <c r="AS97" s="353"/>
      <c r="AT97" s="353"/>
      <c r="AU97" s="353"/>
      <c r="AV97" s="353" t="s">
        <v>462</v>
      </c>
      <c r="BQ97" s="112"/>
      <c r="BR97" s="122"/>
    </row>
    <row r="98" spans="6:70">
      <c r="F98" s="355" t="s">
        <v>539</v>
      </c>
      <c r="G98" s="322"/>
      <c r="H98" s="321"/>
      <c r="I98" s="321"/>
      <c r="J98" s="321"/>
      <c r="K98" s="321"/>
      <c r="L98" s="529">
        <v>3464460</v>
      </c>
      <c r="M98" s="321"/>
      <c r="N98" s="321"/>
      <c r="O98" s="321" t="s">
        <v>538</v>
      </c>
      <c r="P98" s="353" t="s">
        <v>540</v>
      </c>
      <c r="Q98" s="353"/>
      <c r="R98" s="353"/>
      <c r="S98" s="353"/>
      <c r="T98" s="353"/>
      <c r="U98" s="353"/>
      <c r="V98" s="353"/>
      <c r="W98" s="353"/>
      <c r="X98" s="353"/>
      <c r="Y98" s="353"/>
      <c r="Z98" s="353"/>
      <c r="AA98" s="353"/>
      <c r="AB98" s="529">
        <v>3464460</v>
      </c>
      <c r="AC98" s="353"/>
      <c r="AD98" s="353"/>
      <c r="AE98" s="353"/>
      <c r="AF98" s="353" t="s">
        <v>541</v>
      </c>
      <c r="AG98" s="353"/>
      <c r="AH98" s="353"/>
      <c r="AI98" s="353"/>
      <c r="AJ98" s="353"/>
      <c r="AK98" s="353"/>
      <c r="AL98" s="353"/>
      <c r="AM98" s="353"/>
      <c r="AN98" s="353"/>
      <c r="AO98" s="353"/>
      <c r="AP98" s="353"/>
      <c r="AQ98" s="353"/>
      <c r="AR98" s="529">
        <v>3464460</v>
      </c>
      <c r="AS98" s="353"/>
      <c r="AT98" s="353"/>
      <c r="AU98" s="353"/>
      <c r="AV98" s="353" t="s">
        <v>541</v>
      </c>
    </row>
    <row r="99" spans="6:70">
      <c r="F99" s="355" t="s">
        <v>542</v>
      </c>
      <c r="G99" s="353"/>
      <c r="H99" s="353"/>
      <c r="I99" s="353"/>
      <c r="J99" s="353"/>
      <c r="K99" s="353"/>
      <c r="L99" s="353">
        <f>L97/L98</f>
        <v>2.3403959325509748E-11</v>
      </c>
      <c r="M99" s="353"/>
      <c r="N99" s="353"/>
      <c r="O99" s="353" t="s">
        <v>144</v>
      </c>
      <c r="P99" s="353" t="s">
        <v>543</v>
      </c>
      <c r="Q99" s="353"/>
      <c r="R99" s="353"/>
      <c r="S99" s="353"/>
      <c r="T99" s="353"/>
      <c r="U99" s="353"/>
      <c r="V99" s="353"/>
      <c r="W99" s="353"/>
      <c r="X99" s="353"/>
      <c r="Y99" s="353"/>
      <c r="Z99" s="353"/>
      <c r="AA99" s="353"/>
      <c r="AB99" s="353">
        <f>AB97/AB98</f>
        <v>5.3098240640455079E-11</v>
      </c>
      <c r="AC99" s="353"/>
      <c r="AD99" s="353"/>
      <c r="AE99" s="353"/>
      <c r="AF99" s="353" t="s">
        <v>543</v>
      </c>
      <c r="AG99" s="353"/>
      <c r="AH99" s="353"/>
      <c r="AI99" s="353"/>
      <c r="AJ99" s="353"/>
      <c r="AK99" s="353"/>
      <c r="AL99" s="353"/>
      <c r="AM99" s="353"/>
      <c r="AN99" s="353"/>
      <c r="AO99" s="353"/>
      <c r="AP99" s="353"/>
      <c r="AQ99" s="353"/>
      <c r="AR99" s="353">
        <f>AR97/AR98</f>
        <v>8.3248562231807273E-12</v>
      </c>
      <c r="AS99" s="353"/>
      <c r="AT99" s="353"/>
      <c r="AU99" s="353"/>
      <c r="AV99" s="353" t="s">
        <v>543</v>
      </c>
    </row>
    <row r="100" spans="6:70">
      <c r="F100" s="355"/>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row>
    <row r="102" spans="6:70" ht="24">
      <c r="F102" s="371" t="s">
        <v>544</v>
      </c>
      <c r="G102" s="353" t="s">
        <v>545</v>
      </c>
      <c r="H102" s="353"/>
      <c r="I102" s="353"/>
      <c r="J102" s="353"/>
      <c r="K102" s="353"/>
    </row>
    <row r="103" spans="6:70">
      <c r="F103" s="355"/>
      <c r="G103" s="353"/>
      <c r="H103" s="353"/>
      <c r="I103" s="353"/>
      <c r="J103" s="353"/>
      <c r="K103" s="353"/>
    </row>
    <row r="104" spans="6:70">
      <c r="F104" s="355"/>
      <c r="G104" s="353" t="s">
        <v>546</v>
      </c>
      <c r="H104" s="353"/>
      <c r="I104" s="353"/>
      <c r="J104" s="353" t="s">
        <v>547</v>
      </c>
      <c r="K104" s="353"/>
    </row>
    <row r="105" spans="6:70">
      <c r="F105" s="355" t="s">
        <v>548</v>
      </c>
      <c r="G105" s="372">
        <v>1.4E-2</v>
      </c>
      <c r="H105" s="372"/>
      <c r="I105" s="372"/>
      <c r="J105" s="372">
        <f>G105/G105</f>
        <v>1</v>
      </c>
      <c r="K105" s="353"/>
    </row>
  </sheetData>
  <mergeCells count="1">
    <mergeCell ref="BT1:BY1"/>
  </mergeCells>
  <conditionalFormatting sqref="D21:BP21 BR21:BY90 BD22:BP40 D22:AT58 AY22:AY86 BK41:BP89 H59:N61 O59:O63 P59:AT64 D59:G70 L62:AN62 H62:L64 M64:O64 H65:AT70 D90:BP90 D93:BP93 BR93:BT93">
    <cfRule type="expression" dxfId="364" priority="29">
      <formula>MOD(ROW(),2)=0</formula>
    </cfRule>
  </conditionalFormatting>
  <conditionalFormatting sqref="M62:N63">
    <cfRule type="expression" dxfId="363" priority="13">
      <formula>MOD(ROW(),2)=0</formula>
    </cfRule>
  </conditionalFormatting>
  <conditionalFormatting sqref="AU22:AX78 AZ22:BC83 BD41:BJ83 D71:AT78 D79:AX86 AZ84:BJ86 D87:BJ89">
    <cfRule type="expression" dxfId="362" priority="1">
      <formula>MOD(ROW(),2)=0</formula>
    </cfRule>
  </conditionalFormatting>
  <conditionalFormatting sqref="BY21:CI90">
    <cfRule type="expression" dxfId="361" priority="40">
      <formula>MOD(ROW(),2)=0</formula>
    </cfRule>
  </conditionalFormatting>
  <conditionalFormatting sqref="CK21:CR90">
    <cfRule type="expression" dxfId="360" priority="2">
      <formula>MOD(ROW(),2)=0</formula>
    </cfRule>
  </conditionalFormatting>
  <conditionalFormatting sqref="CR21:DB90">
    <cfRule type="expression" dxfId="359" priority="4">
      <formula>MOD(ROW(),2)=0</formula>
    </cfRule>
  </conditionalFormatting>
  <dataValidations count="10">
    <dataValidation allowBlank="1" showInputMessage="1" showErrorMessage="1" promptTitle="Do not change" prompt="This field is automatically updated from the names-list" sqref="CR21:CR90 BY122 BY21:BY90" xr:uid="{00000000-0002-0000-0E00-000000000000}"/>
    <dataValidation allowBlank="1" showInputMessage="1" showErrorMessage="1" prompt="always 1" sqref="L7:L20 P7:P20 T7:T20 X7:X20 AB7:AB20 AF7:AF20 AJ7:AJ20 AN7:AN20 AR7:AR20 AV7:AV20 AZ7:AZ20 BD7:BD20 BH7:BH20 BL7:BL20" xr:uid="{00000000-0002-0000-0E00-000001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S3 CL3" xr:uid="{00000000-0002-0000-0E00-000002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X3 CQ3" xr:uid="{00000000-0002-0000-0E00-000003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W3 CP3" xr:uid="{00000000-0002-0000-0E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V3 CO3" xr:uid="{00000000-0002-0000-0E00-000005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U3 CN3" xr:uid="{00000000-0002-0000-0E00-000006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T3 CM3" xr:uid="{00000000-0002-0000-0E00-000007000000}"/>
    <dataValidation allowBlank="1" showInputMessage="1" showErrorMessage="1" prompt="Do not change." sqref="BY3:CC4 CD3:CI3 CD4:CH4 CR3:CV4 CW3:DB3 CW4:DA4" xr:uid="{00000000-0002-0000-0E00-000008000000}"/>
    <dataValidation allowBlank="1" showInputMessage="1" showErrorMessage="1" promptTitle="Remarks" prompt="A general comment (data source, calculation procedure, ...) can be made about each individual exchange. The remarks are added to the GeneralComment-field." sqref="BR3 CK3" xr:uid="{00000000-0002-0000-0E00-000009000000}"/>
  </dataValidations>
  <pageMargins left="0.78740157499999996" right="0.78740157499999996" top="0.984251969" bottom="0.984251969" header="0.4921259845" footer="0.4921259845"/>
  <pageSetup paperSize="9" scale="1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4">
    <tabColor rgb="FF9CD9F0"/>
    <pageSetUpPr fitToPage="1"/>
  </sheetPr>
  <dimension ref="A1:AU51"/>
  <sheetViews>
    <sheetView topLeftCell="A3" workbookViewId="0">
      <selection activeCell="P19" sqref="P19"/>
    </sheetView>
  </sheetViews>
  <sheetFormatPr baseColWidth="10" defaultColWidth="11.42578125" defaultRowHeight="12"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8.5703125" style="109" hidden="1" customWidth="1" outlineLevel="1"/>
    <col min="15" max="15" width="40.7109375" style="109" hidden="1" customWidth="1" outlineLevel="1"/>
    <col min="16" max="16" width="15.7109375" style="277" customWidth="1" collapsed="1"/>
    <col min="17" max="18" width="5.7109375" style="109" hidden="1" customWidth="1" outlineLevel="1"/>
    <col min="19" max="19" width="40.7109375" style="109" hidden="1" customWidth="1" outlineLevel="1"/>
    <col min="20" max="20" width="15.7109375" style="277" customWidth="1" collapsed="1"/>
    <col min="21" max="22" width="5.7109375" style="109" hidden="1" customWidth="1" outlineLevel="1"/>
    <col min="23" max="23" width="40.7109375" style="109" hidden="1" customWidth="1" outlineLevel="1"/>
    <col min="24" max="24" width="15.7109375" style="277" customWidth="1" collapsed="1"/>
    <col min="25" max="26" width="5.7109375" style="109" hidden="1" customWidth="1" outlineLevel="1"/>
    <col min="27" max="27" width="40.7109375" style="109" hidden="1" customWidth="1" outlineLevel="1"/>
    <col min="28" max="28" width="4.140625" style="109" customWidth="1" collapsed="1"/>
    <col min="29" max="29" width="40.7109375" style="128" customWidth="1"/>
    <col min="30" max="30" width="4.7109375" style="402" hidden="1" customWidth="1" outlineLevel="1"/>
    <col min="31" max="39" width="4.7109375" style="395" hidden="1" customWidth="1" outlineLevel="1"/>
    <col min="40" max="40" width="12.7109375" style="395" hidden="1" customWidth="1" outlineLevel="1"/>
    <col min="41" max="46" width="4.7109375" style="277" hidden="1" customWidth="1" outlineLevel="1"/>
    <col min="47" max="47" width="11.42578125" style="277" customWidth="1" collapsed="1"/>
    <col min="48" max="48" width="11.42578125" style="277" customWidth="1"/>
    <col min="49" max="16384" width="11.42578125" style="277"/>
  </cols>
  <sheetData>
    <row r="1" spans="1:46">
      <c r="A1" s="77"/>
      <c r="B1" s="78"/>
      <c r="C1" s="79"/>
      <c r="D1" s="77"/>
      <c r="E1" s="77"/>
      <c r="F1" s="80" t="s">
        <v>65</v>
      </c>
      <c r="G1" s="77"/>
      <c r="H1" s="77"/>
      <c r="I1" s="77"/>
      <c r="J1" s="77"/>
      <c r="K1" s="77"/>
      <c r="L1" s="330" t="str">
        <f>A7</f>
        <v>Z-PV-156</v>
      </c>
      <c r="M1" s="81"/>
      <c r="N1" s="81"/>
      <c r="O1" s="81"/>
      <c r="P1" s="330" t="str">
        <f>A8</f>
        <v>Z-PV-157</v>
      </c>
      <c r="Q1" s="81"/>
      <c r="R1" s="81"/>
      <c r="S1" s="81"/>
      <c r="T1" s="330" t="str">
        <f>A9</f>
        <v>Z-PV-158</v>
      </c>
      <c r="U1" s="81"/>
      <c r="V1" s="81"/>
      <c r="W1" s="81"/>
      <c r="X1" s="330" t="str">
        <f>A10</f>
        <v>Z-PV-159</v>
      </c>
      <c r="Y1" s="81"/>
      <c r="Z1" s="81"/>
      <c r="AA1" s="81"/>
      <c r="AC1" s="378"/>
      <c r="AD1" s="1586"/>
      <c r="AE1" s="1588"/>
      <c r="AF1" s="1588"/>
      <c r="AG1" s="1588"/>
      <c r="AH1" s="1588"/>
      <c r="AI1" s="1588"/>
      <c r="AJ1" s="406"/>
      <c r="AK1" s="406"/>
      <c r="AL1" s="406"/>
      <c r="AM1" s="406"/>
      <c r="AN1" s="406"/>
      <c r="AO1" s="378"/>
      <c r="AP1" s="378"/>
      <c r="AQ1" s="378"/>
      <c r="AR1" s="378"/>
      <c r="AS1" s="378"/>
      <c r="AT1" s="378"/>
    </row>
    <row r="2" spans="1:46">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421"/>
      <c r="AC2" s="406"/>
      <c r="AD2" s="406"/>
      <c r="AE2" s="406"/>
      <c r="AF2" s="406"/>
      <c r="AG2" s="406"/>
      <c r="AH2" s="406"/>
      <c r="AI2" s="406"/>
      <c r="AJ2" s="406"/>
      <c r="AK2" s="378"/>
      <c r="AL2" s="378"/>
      <c r="AM2" s="378"/>
      <c r="AN2" s="378"/>
      <c r="AO2" s="378"/>
      <c r="AP2" s="378"/>
      <c r="AQ2" s="378"/>
      <c r="AR2" s="378"/>
      <c r="AS2" s="378"/>
      <c r="AT2" s="378"/>
    </row>
    <row r="3" spans="1:46" ht="95.25" customHeight="1">
      <c r="A3" s="83" t="s">
        <v>68</v>
      </c>
      <c r="B3" s="84"/>
      <c r="C3" s="79">
        <v>401</v>
      </c>
      <c r="D3" s="85" t="s">
        <v>69</v>
      </c>
      <c r="E3" s="85" t="s">
        <v>70</v>
      </c>
      <c r="F3" s="86" t="s">
        <v>71</v>
      </c>
      <c r="G3" s="85" t="s">
        <v>72</v>
      </c>
      <c r="H3" s="85" t="s">
        <v>73</v>
      </c>
      <c r="I3" s="85" t="s">
        <v>74</v>
      </c>
      <c r="J3" s="85" t="s">
        <v>75</v>
      </c>
      <c r="K3" s="85" t="s">
        <v>76</v>
      </c>
      <c r="L3" s="87" t="s">
        <v>549</v>
      </c>
      <c r="M3" s="422" t="s">
        <v>78</v>
      </c>
      <c r="N3" s="422" t="s">
        <v>79</v>
      </c>
      <c r="O3" s="423" t="s">
        <v>80</v>
      </c>
      <c r="P3" s="87" t="s">
        <v>550</v>
      </c>
      <c r="Q3" s="422" t="s">
        <v>78</v>
      </c>
      <c r="R3" s="422" t="s">
        <v>79</v>
      </c>
      <c r="S3" s="423" t="s">
        <v>80</v>
      </c>
      <c r="T3" s="87" t="s">
        <v>551</v>
      </c>
      <c r="U3" s="422" t="s">
        <v>78</v>
      </c>
      <c r="V3" s="422" t="s">
        <v>79</v>
      </c>
      <c r="W3" s="423" t="s">
        <v>80</v>
      </c>
      <c r="X3" s="87" t="s">
        <v>552</v>
      </c>
      <c r="Y3" s="422" t="s">
        <v>78</v>
      </c>
      <c r="Z3" s="422" t="s">
        <v>79</v>
      </c>
      <c r="AA3" s="423" t="s">
        <v>80</v>
      </c>
      <c r="AB3" s="424"/>
      <c r="AC3" s="97" t="s">
        <v>363</v>
      </c>
      <c r="AD3" s="98" t="s">
        <v>364</v>
      </c>
      <c r="AE3" s="98" t="s">
        <v>365</v>
      </c>
      <c r="AF3" s="98" t="s">
        <v>366</v>
      </c>
      <c r="AG3" s="98" t="s">
        <v>367</v>
      </c>
      <c r="AH3" s="98" t="s">
        <v>368</v>
      </c>
      <c r="AI3" s="98" t="s">
        <v>369</v>
      </c>
      <c r="AJ3" s="99" t="s">
        <v>88</v>
      </c>
      <c r="AK3" s="99" t="s">
        <v>370</v>
      </c>
      <c r="AL3" s="99" t="s">
        <v>90</v>
      </c>
      <c r="AM3" s="99" t="s">
        <v>91</v>
      </c>
      <c r="AN3" s="99" t="s">
        <v>371</v>
      </c>
      <c r="AO3" s="100" t="s">
        <v>364</v>
      </c>
      <c r="AP3" s="100" t="s">
        <v>365</v>
      </c>
      <c r="AQ3" s="100" t="s">
        <v>366</v>
      </c>
      <c r="AR3" s="100" t="s">
        <v>367</v>
      </c>
      <c r="AS3" s="100" t="s">
        <v>368</v>
      </c>
      <c r="AT3" s="100" t="s">
        <v>369</v>
      </c>
    </row>
    <row r="4" spans="1:46" ht="24" customHeight="1">
      <c r="A4" s="77"/>
      <c r="B4" s="84"/>
      <c r="C4" s="79">
        <v>662</v>
      </c>
      <c r="D4" s="86"/>
      <c r="E4" s="86"/>
      <c r="F4" s="86" t="s">
        <v>72</v>
      </c>
      <c r="G4" s="86"/>
      <c r="H4" s="86"/>
      <c r="I4" s="86"/>
      <c r="J4" s="86"/>
      <c r="K4" s="86"/>
      <c r="L4" s="87" t="s">
        <v>372</v>
      </c>
      <c r="M4" s="425"/>
      <c r="N4" s="425"/>
      <c r="O4" s="426"/>
      <c r="P4" s="87" t="s">
        <v>373</v>
      </c>
      <c r="Q4" s="425"/>
      <c r="R4" s="425"/>
      <c r="S4" s="426"/>
      <c r="T4" s="87" t="s">
        <v>215</v>
      </c>
      <c r="U4" s="425"/>
      <c r="V4" s="425"/>
      <c r="W4" s="426"/>
      <c r="X4" s="87" t="s">
        <v>93</v>
      </c>
      <c r="Y4" s="425"/>
      <c r="Z4" s="425"/>
      <c r="AA4" s="426"/>
      <c r="AB4" s="427"/>
      <c r="AC4" s="101"/>
      <c r="AD4" s="102" t="s">
        <v>94</v>
      </c>
      <c r="AE4" s="97"/>
      <c r="AF4" s="97"/>
      <c r="AG4" s="97"/>
      <c r="AH4" s="97"/>
      <c r="AI4" s="97"/>
      <c r="AJ4" s="103"/>
      <c r="AK4" s="103"/>
      <c r="AL4" s="103" t="s">
        <v>95</v>
      </c>
      <c r="AM4" s="103" t="s">
        <v>95</v>
      </c>
      <c r="AN4" s="104"/>
      <c r="AO4" s="105"/>
      <c r="AP4" s="105"/>
      <c r="AQ4" s="105"/>
      <c r="AR4" s="105"/>
      <c r="AS4" s="105"/>
      <c r="AT4" s="105"/>
    </row>
    <row r="5" spans="1:46">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427"/>
      <c r="AC5" s="101"/>
      <c r="AD5" s="97"/>
      <c r="AE5" s="97"/>
      <c r="AF5" s="97"/>
      <c r="AG5" s="97"/>
      <c r="AH5" s="97"/>
      <c r="AI5" s="97"/>
      <c r="AJ5" s="104"/>
      <c r="AK5" s="104"/>
      <c r="AL5" s="104"/>
      <c r="AM5" s="104"/>
      <c r="AN5" s="104"/>
      <c r="AO5" s="105"/>
      <c r="AP5" s="105"/>
      <c r="AQ5" s="105"/>
      <c r="AR5" s="105"/>
      <c r="AS5" s="105"/>
      <c r="AT5" s="105"/>
    </row>
    <row r="6" spans="1:46">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427"/>
      <c r="AC6" s="101"/>
      <c r="AD6" s="106"/>
      <c r="AE6" s="106"/>
      <c r="AF6" s="106"/>
      <c r="AG6" s="106"/>
      <c r="AH6" s="106"/>
      <c r="AI6" s="106"/>
      <c r="AJ6" s="104"/>
      <c r="AK6" s="104"/>
      <c r="AL6" s="428"/>
      <c r="AM6" s="428"/>
      <c r="AN6" s="107"/>
      <c r="AO6" s="105"/>
      <c r="AP6" s="105"/>
      <c r="AQ6" s="105"/>
      <c r="AR6" s="105"/>
      <c r="AS6" s="105"/>
      <c r="AT6" s="105"/>
    </row>
    <row r="7" spans="1:46" ht="24" customHeight="1">
      <c r="A7" s="330" t="s">
        <v>553</v>
      </c>
      <c r="B7" s="331" t="s">
        <v>97</v>
      </c>
      <c r="C7" s="88"/>
      <c r="D7" s="290" t="s">
        <v>98</v>
      </c>
      <c r="E7" s="291">
        <v>0</v>
      </c>
      <c r="F7" s="429" t="s">
        <v>549</v>
      </c>
      <c r="G7" s="430" t="s">
        <v>372</v>
      </c>
      <c r="H7" s="431" t="s">
        <v>98</v>
      </c>
      <c r="I7" s="431" t="s">
        <v>98</v>
      </c>
      <c r="J7" s="89">
        <v>0</v>
      </c>
      <c r="K7" s="430" t="s">
        <v>96</v>
      </c>
      <c r="L7" s="90">
        <f>IF($A7=L$1,1,0)</f>
        <v>1</v>
      </c>
      <c r="M7" s="91"/>
      <c r="N7" s="92"/>
      <c r="O7" s="93"/>
      <c r="P7" s="90">
        <f>IF($A7=P$1,1,0)</f>
        <v>0</v>
      </c>
      <c r="Q7" s="91"/>
      <c r="R7" s="92"/>
      <c r="S7" s="93"/>
      <c r="T7" s="90">
        <f>IF($A7=T$1,1,0)</f>
        <v>0</v>
      </c>
      <c r="U7" s="91"/>
      <c r="V7" s="92"/>
      <c r="W7" s="93"/>
      <c r="X7" s="90">
        <f>IF($A7=X$1,1,0)</f>
        <v>0</v>
      </c>
      <c r="Y7" s="91"/>
      <c r="Z7" s="92"/>
      <c r="AA7" s="93"/>
      <c r="AB7" s="427"/>
      <c r="AC7" s="101"/>
      <c r="AD7" s="97"/>
      <c r="AE7" s="97"/>
      <c r="AF7" s="97"/>
      <c r="AG7" s="97"/>
      <c r="AH7" s="97"/>
      <c r="AI7" s="97"/>
      <c r="AJ7" s="104"/>
      <c r="AK7" s="104"/>
      <c r="AL7" s="104"/>
      <c r="AM7" s="104"/>
      <c r="AN7" s="104"/>
      <c r="AO7" s="104"/>
      <c r="AP7" s="104"/>
      <c r="AQ7" s="104"/>
      <c r="AR7" s="104"/>
      <c r="AS7" s="104"/>
      <c r="AT7" s="104"/>
    </row>
    <row r="8" spans="1:46" ht="24" customHeight="1">
      <c r="A8" s="330" t="s">
        <v>554</v>
      </c>
      <c r="B8" s="331"/>
      <c r="C8" s="88"/>
      <c r="D8" s="290" t="s">
        <v>98</v>
      </c>
      <c r="E8" s="291">
        <v>0</v>
      </c>
      <c r="F8" s="429" t="s">
        <v>550</v>
      </c>
      <c r="G8" s="430" t="s">
        <v>373</v>
      </c>
      <c r="H8" s="431" t="s">
        <v>98</v>
      </c>
      <c r="I8" s="431" t="s">
        <v>98</v>
      </c>
      <c r="J8" s="89">
        <v>0</v>
      </c>
      <c r="K8" s="430" t="s">
        <v>96</v>
      </c>
      <c r="L8" s="90">
        <f>IF($A8=L$1,1,0)</f>
        <v>0</v>
      </c>
      <c r="M8" s="91"/>
      <c r="N8" s="92"/>
      <c r="O8" s="93"/>
      <c r="P8" s="90">
        <f>IF($A8=P$1,1,0)</f>
        <v>1</v>
      </c>
      <c r="Q8" s="91"/>
      <c r="R8" s="92"/>
      <c r="S8" s="93"/>
      <c r="T8" s="90">
        <f>IF($A8=T$1,1,0)</f>
        <v>0</v>
      </c>
      <c r="U8" s="91"/>
      <c r="V8" s="92"/>
      <c r="W8" s="93"/>
      <c r="X8" s="90">
        <f>IF($A8=X$1,1,0)</f>
        <v>0</v>
      </c>
      <c r="Y8" s="91"/>
      <c r="Z8" s="92"/>
      <c r="AA8" s="93"/>
      <c r="AB8" s="427"/>
      <c r="AC8" s="101"/>
      <c r="AD8" s="97"/>
      <c r="AE8" s="97"/>
      <c r="AF8" s="97"/>
      <c r="AG8" s="97"/>
      <c r="AH8" s="97"/>
      <c r="AI8" s="97"/>
      <c r="AJ8" s="104"/>
      <c r="AK8" s="104"/>
      <c r="AL8" s="104"/>
      <c r="AM8" s="104"/>
      <c r="AN8" s="104"/>
      <c r="AO8" s="104"/>
      <c r="AP8" s="104"/>
      <c r="AQ8" s="104"/>
      <c r="AR8" s="104"/>
      <c r="AS8" s="104"/>
      <c r="AT8" s="104"/>
    </row>
    <row r="9" spans="1:46" ht="24" customHeight="1">
      <c r="A9" s="330" t="s">
        <v>555</v>
      </c>
      <c r="B9" s="331"/>
      <c r="C9" s="88"/>
      <c r="D9" s="290" t="s">
        <v>98</v>
      </c>
      <c r="E9" s="291">
        <v>0</v>
      </c>
      <c r="F9" s="429" t="s">
        <v>551</v>
      </c>
      <c r="G9" s="430" t="s">
        <v>215</v>
      </c>
      <c r="H9" s="431" t="s">
        <v>98</v>
      </c>
      <c r="I9" s="431" t="s">
        <v>98</v>
      </c>
      <c r="J9" s="89">
        <v>0</v>
      </c>
      <c r="K9" s="430" t="s">
        <v>96</v>
      </c>
      <c r="L9" s="90">
        <f>IF($A9=L$1,1,0)</f>
        <v>0</v>
      </c>
      <c r="M9" s="91"/>
      <c r="N9" s="92"/>
      <c r="O9" s="93"/>
      <c r="P9" s="90">
        <f>IF($A9=P$1,1,0)</f>
        <v>0</v>
      </c>
      <c r="Q9" s="91"/>
      <c r="R9" s="92"/>
      <c r="S9" s="93"/>
      <c r="T9" s="90">
        <f>IF($A9=T$1,1,0)</f>
        <v>1</v>
      </c>
      <c r="U9" s="91"/>
      <c r="V9" s="92"/>
      <c r="W9" s="93"/>
      <c r="X9" s="90">
        <f>IF($A9=X$1,1,0)</f>
        <v>0</v>
      </c>
      <c r="Y9" s="91"/>
      <c r="Z9" s="92"/>
      <c r="AA9" s="93"/>
      <c r="AB9" s="427"/>
      <c r="AC9" s="101"/>
      <c r="AD9" s="97"/>
      <c r="AE9" s="97"/>
      <c r="AF9" s="97"/>
      <c r="AG9" s="97"/>
      <c r="AH9" s="97"/>
      <c r="AI9" s="97"/>
      <c r="AJ9" s="104"/>
      <c r="AK9" s="104"/>
      <c r="AL9" s="104"/>
      <c r="AM9" s="104"/>
      <c r="AN9" s="104"/>
      <c r="AO9" s="104"/>
      <c r="AP9" s="104"/>
      <c r="AQ9" s="104"/>
      <c r="AR9" s="104"/>
      <c r="AS9" s="104"/>
      <c r="AT9" s="104"/>
    </row>
    <row r="10" spans="1:46" ht="24" customHeight="1">
      <c r="A10" s="330" t="s">
        <v>556</v>
      </c>
      <c r="B10" s="331"/>
      <c r="C10" s="88"/>
      <c r="D10" s="290" t="s">
        <v>98</v>
      </c>
      <c r="E10" s="291">
        <v>0</v>
      </c>
      <c r="F10" s="429" t="s">
        <v>552</v>
      </c>
      <c r="G10" s="430" t="s">
        <v>93</v>
      </c>
      <c r="H10" s="431" t="s">
        <v>98</v>
      </c>
      <c r="I10" s="431" t="s">
        <v>98</v>
      </c>
      <c r="J10" s="89">
        <v>0</v>
      </c>
      <c r="K10" s="430" t="s">
        <v>96</v>
      </c>
      <c r="L10" s="90">
        <f>IF($A10=L$1,1,0)</f>
        <v>0</v>
      </c>
      <c r="M10" s="91"/>
      <c r="N10" s="92"/>
      <c r="O10" s="93"/>
      <c r="P10" s="90">
        <f>IF($A10=P$1,1,0)</f>
        <v>0</v>
      </c>
      <c r="Q10" s="91"/>
      <c r="R10" s="92"/>
      <c r="S10" s="93"/>
      <c r="T10" s="90">
        <f>IF($A10=T$1,1,0)</f>
        <v>0</v>
      </c>
      <c r="U10" s="91"/>
      <c r="V10" s="92"/>
      <c r="W10" s="93"/>
      <c r="X10" s="90">
        <f>IF($A10=X$1,1,0)</f>
        <v>1</v>
      </c>
      <c r="Y10" s="91"/>
      <c r="Z10" s="92"/>
      <c r="AA10" s="93"/>
      <c r="AB10" s="427"/>
      <c r="AC10" s="101"/>
      <c r="AD10" s="97"/>
      <c r="AE10" s="97"/>
      <c r="AF10" s="97"/>
      <c r="AG10" s="97"/>
      <c r="AH10" s="97"/>
      <c r="AI10" s="97"/>
      <c r="AJ10" s="104"/>
      <c r="AK10" s="104"/>
      <c r="AL10" s="104"/>
      <c r="AM10" s="104"/>
      <c r="AN10" s="104"/>
      <c r="AO10" s="104"/>
      <c r="AP10" s="104"/>
      <c r="AQ10" s="104"/>
      <c r="AR10" s="104"/>
      <c r="AS10" s="104"/>
      <c r="AT10" s="104"/>
    </row>
    <row r="11" spans="1:46" ht="24" customHeight="1">
      <c r="A11" s="330">
        <v>262913</v>
      </c>
      <c r="B11" s="331"/>
      <c r="C11" s="88"/>
      <c r="D11" s="340">
        <v>5</v>
      </c>
      <c r="E11" s="293" t="s">
        <v>98</v>
      </c>
      <c r="F11" s="432" t="s">
        <v>432</v>
      </c>
      <c r="G11" s="433" t="s">
        <v>372</v>
      </c>
      <c r="H11" s="434" t="s">
        <v>98</v>
      </c>
      <c r="I11" s="434" t="s">
        <v>98</v>
      </c>
      <c r="J11" s="94">
        <v>0</v>
      </c>
      <c r="K11" s="433" t="s">
        <v>96</v>
      </c>
      <c r="L11" s="376">
        <v>0.86835444348397695</v>
      </c>
      <c r="M11" s="96">
        <v>1</v>
      </c>
      <c r="N11" s="96">
        <f t="shared" ref="N11:N21" si="0">$AM11</f>
        <v>1.207723199572867</v>
      </c>
      <c r="O11" s="377" t="str">
        <f t="shared" ref="O11:O21" si="1">$AN11&amp;"; "&amp;$AC11</f>
        <v>(4,1,1,1,1,1); Market share Chinese Polysilicon</v>
      </c>
      <c r="P11" s="376">
        <v>0</v>
      </c>
      <c r="Q11" s="96">
        <v>1</v>
      </c>
      <c r="R11" s="96">
        <f t="shared" ref="R11:R21" si="2">$AM11</f>
        <v>1.207723199572867</v>
      </c>
      <c r="S11" s="377" t="str">
        <f t="shared" ref="S11:S21" si="3">$AN11&amp;"; "&amp;$AC11</f>
        <v>(4,1,1,1,1,1); Market share Chinese Polysilicon</v>
      </c>
      <c r="T11" s="376">
        <v>0</v>
      </c>
      <c r="U11" s="96">
        <v>1</v>
      </c>
      <c r="V11" s="96">
        <f t="shared" ref="V11:V21" si="4">$AM11</f>
        <v>1.207723199572867</v>
      </c>
      <c r="W11" s="377" t="str">
        <f t="shared" ref="W11:W21" si="5">$AN11&amp;"; "&amp;$AC11</f>
        <v>(4,1,1,1,1,1); Market share Chinese Polysilicon</v>
      </c>
      <c r="X11" s="376">
        <v>0</v>
      </c>
      <c r="Y11" s="96">
        <v>1</v>
      </c>
      <c r="Z11" s="96">
        <f t="shared" ref="Z11:Z21" si="6">$AM11</f>
        <v>1.207723199572867</v>
      </c>
      <c r="AA11" s="442" t="str">
        <f t="shared" ref="AA11:AA21" si="7">$AN11&amp;"; "&amp;$AC11</f>
        <v>(4,1,1,1,1,1); Market share Chinese Polysilicon</v>
      </c>
      <c r="AB11" s="112"/>
      <c r="AC11" s="77" t="s">
        <v>557</v>
      </c>
      <c r="AD11" s="339">
        <v>4</v>
      </c>
      <c r="AE11" s="339">
        <v>1</v>
      </c>
      <c r="AF11" s="339">
        <v>1</v>
      </c>
      <c r="AG11" s="339">
        <v>1</v>
      </c>
      <c r="AH11" s="339">
        <v>1</v>
      </c>
      <c r="AI11" s="339">
        <v>1</v>
      </c>
      <c r="AJ11" s="104">
        <v>3</v>
      </c>
      <c r="AK11" s="104">
        <v>1.05</v>
      </c>
      <c r="AL11" s="107">
        <f t="shared" ref="AL11:AL21" si="8">EXP(SQRT((LN(AO11)^2)+(LN(AP11)^2)+(LN(AQ11)^2)+(LN(AR11)^2)+(LN(AS11)^2)+(LN(AT11)^2)))</f>
        <v>1.2</v>
      </c>
      <c r="AM11" s="107">
        <f t="shared" ref="AM11:AM21" si="9">EXP(SQRT((LN(AO11)^2)+(LN(AP11)^2)+(LN(AQ11)^2)+(LN(AR11)^2)+(LN(AS11)^2)+(LN(AT11)^2)+LN(AK11)^2))</f>
        <v>1.207723199572867</v>
      </c>
      <c r="AN11" s="107" t="str">
        <f t="shared" ref="AN11:AN21" si="10">CONCATENATE("(",AD11,",",AE11,",",AF11,",",AG11,",",AH11,",",AI11,")")</f>
        <v>(4,1,1,1,1,1)</v>
      </c>
      <c r="AO11" s="108">
        <v>1.2</v>
      </c>
      <c r="AP11" s="108">
        <v>1</v>
      </c>
      <c r="AQ11" s="108">
        <v>1</v>
      </c>
      <c r="AR11" s="108">
        <v>1</v>
      </c>
      <c r="AS11" s="108">
        <v>1</v>
      </c>
      <c r="AT11" s="108">
        <v>1</v>
      </c>
    </row>
    <row r="12" spans="1:46" ht="24" customHeight="1">
      <c r="A12" s="330">
        <v>262829</v>
      </c>
      <c r="B12" s="331"/>
      <c r="C12" s="88"/>
      <c r="D12" s="340">
        <v>5</v>
      </c>
      <c r="E12" s="293" t="s">
        <v>98</v>
      </c>
      <c r="F12" s="432" t="s">
        <v>434</v>
      </c>
      <c r="G12" s="433" t="s">
        <v>373</v>
      </c>
      <c r="H12" s="434" t="s">
        <v>98</v>
      </c>
      <c r="I12" s="434" t="s">
        <v>98</v>
      </c>
      <c r="J12" s="94">
        <v>0</v>
      </c>
      <c r="K12" s="433" t="s">
        <v>96</v>
      </c>
      <c r="L12" s="376">
        <v>0</v>
      </c>
      <c r="M12" s="96">
        <v>1</v>
      </c>
      <c r="N12" s="96">
        <f t="shared" si="0"/>
        <v>1.207723199572867</v>
      </c>
      <c r="O12" s="377" t="str">
        <f t="shared" si="1"/>
        <v>(4,1,1,1,1,1); Market share APAC Polysilicon</v>
      </c>
      <c r="P12" s="376">
        <v>0.56514913657770804</v>
      </c>
      <c r="Q12" s="96">
        <v>1</v>
      </c>
      <c r="R12" s="96">
        <f t="shared" si="2"/>
        <v>1.207723199572867</v>
      </c>
      <c r="S12" s="377" t="str">
        <f t="shared" si="3"/>
        <v>(4,1,1,1,1,1); Market share APAC Polysilicon</v>
      </c>
      <c r="T12" s="376">
        <v>0</v>
      </c>
      <c r="U12" s="96">
        <v>1</v>
      </c>
      <c r="V12" s="96">
        <f t="shared" si="4"/>
        <v>1.207723199572867</v>
      </c>
      <c r="W12" s="377" t="str">
        <f t="shared" si="5"/>
        <v>(4,1,1,1,1,1); Market share APAC Polysilicon</v>
      </c>
      <c r="X12" s="376">
        <v>0</v>
      </c>
      <c r="Y12" s="96">
        <v>1</v>
      </c>
      <c r="Z12" s="96">
        <f t="shared" si="6"/>
        <v>1.207723199572867</v>
      </c>
      <c r="AA12" s="442" t="str">
        <f t="shared" si="7"/>
        <v>(4,1,1,1,1,1); Market share APAC Polysilicon</v>
      </c>
      <c r="AB12" s="112"/>
      <c r="AC12" s="77" t="s">
        <v>558</v>
      </c>
      <c r="AD12" s="339">
        <v>4</v>
      </c>
      <c r="AE12" s="339">
        <v>1</v>
      </c>
      <c r="AF12" s="339">
        <v>1</v>
      </c>
      <c r="AG12" s="339">
        <v>1</v>
      </c>
      <c r="AH12" s="339">
        <v>1</v>
      </c>
      <c r="AI12" s="339">
        <v>1</v>
      </c>
      <c r="AJ12" s="104">
        <v>3</v>
      </c>
      <c r="AK12" s="104">
        <v>1.05</v>
      </c>
      <c r="AL12" s="107">
        <f t="shared" si="8"/>
        <v>1.2</v>
      </c>
      <c r="AM12" s="107">
        <f t="shared" si="9"/>
        <v>1.207723199572867</v>
      </c>
      <c r="AN12" s="107" t="str">
        <f t="shared" si="10"/>
        <v>(4,1,1,1,1,1)</v>
      </c>
      <c r="AO12" s="108">
        <v>1.2</v>
      </c>
      <c r="AP12" s="108">
        <v>1</v>
      </c>
      <c r="AQ12" s="108">
        <v>1</v>
      </c>
      <c r="AR12" s="108">
        <v>1</v>
      </c>
      <c r="AS12" s="108">
        <v>1</v>
      </c>
      <c r="AT12" s="108">
        <v>1</v>
      </c>
    </row>
    <row r="13" spans="1:46" ht="24" customHeight="1">
      <c r="A13" s="330">
        <v>262893</v>
      </c>
      <c r="B13" s="331"/>
      <c r="C13" s="88"/>
      <c r="D13" s="340">
        <v>5</v>
      </c>
      <c r="E13" s="293" t="s">
        <v>98</v>
      </c>
      <c r="F13" s="432" t="s">
        <v>433</v>
      </c>
      <c r="G13" s="433" t="s">
        <v>215</v>
      </c>
      <c r="H13" s="434" t="s">
        <v>98</v>
      </c>
      <c r="I13" s="434" t="s">
        <v>98</v>
      </c>
      <c r="J13" s="94">
        <v>0</v>
      </c>
      <c r="K13" s="433" t="s">
        <v>96</v>
      </c>
      <c r="L13" s="376">
        <v>1.07729554097099E-2</v>
      </c>
      <c r="M13" s="96">
        <v>1</v>
      </c>
      <c r="N13" s="96">
        <f t="shared" si="0"/>
        <v>1.207723199572867</v>
      </c>
      <c r="O13" s="377" t="str">
        <f t="shared" si="1"/>
        <v>(4,1,1,1,1,1); Market share US Polysilicon</v>
      </c>
      <c r="P13" s="376">
        <v>0.11399178329269501</v>
      </c>
      <c r="Q13" s="96">
        <v>1</v>
      </c>
      <c r="R13" s="96">
        <f t="shared" si="2"/>
        <v>1.207723199572867</v>
      </c>
      <c r="S13" s="377" t="str">
        <f t="shared" si="3"/>
        <v>(4,1,1,1,1,1); Market share US Polysilicon</v>
      </c>
      <c r="T13" s="376">
        <v>0.9</v>
      </c>
      <c r="U13" s="96">
        <v>1</v>
      </c>
      <c r="V13" s="96">
        <f t="shared" si="4"/>
        <v>1.207723199572867</v>
      </c>
      <c r="W13" s="377" t="str">
        <f t="shared" si="5"/>
        <v>(4,1,1,1,1,1); Market share US Polysilicon</v>
      </c>
      <c r="X13" s="376">
        <v>0</v>
      </c>
      <c r="Y13" s="96">
        <v>1</v>
      </c>
      <c r="Z13" s="96">
        <f t="shared" si="6"/>
        <v>1.207723199572867</v>
      </c>
      <c r="AA13" s="442" t="str">
        <f t="shared" si="7"/>
        <v>(4,1,1,1,1,1); Market share US Polysilicon</v>
      </c>
      <c r="AB13" s="112"/>
      <c r="AC13" s="77" t="s">
        <v>559</v>
      </c>
      <c r="AD13" s="339">
        <v>4</v>
      </c>
      <c r="AE13" s="339">
        <v>1</v>
      </c>
      <c r="AF13" s="339">
        <v>1</v>
      </c>
      <c r="AG13" s="339">
        <v>1</v>
      </c>
      <c r="AH13" s="339">
        <v>1</v>
      </c>
      <c r="AI13" s="339">
        <v>1</v>
      </c>
      <c r="AJ13" s="104">
        <v>3</v>
      </c>
      <c r="AK13" s="104">
        <v>1.05</v>
      </c>
      <c r="AL13" s="107">
        <f t="shared" si="8"/>
        <v>1.2</v>
      </c>
      <c r="AM13" s="107">
        <f t="shared" si="9"/>
        <v>1.207723199572867</v>
      </c>
      <c r="AN13" s="107" t="str">
        <f t="shared" si="10"/>
        <v>(4,1,1,1,1,1)</v>
      </c>
      <c r="AO13" s="108">
        <v>1.2</v>
      </c>
      <c r="AP13" s="108">
        <v>1</v>
      </c>
      <c r="AQ13" s="108">
        <v>1</v>
      </c>
      <c r="AR13" s="108">
        <v>1</v>
      </c>
      <c r="AS13" s="108">
        <v>1</v>
      </c>
      <c r="AT13" s="108">
        <v>1</v>
      </c>
    </row>
    <row r="14" spans="1:46" ht="24" customHeight="1">
      <c r="A14" s="330">
        <v>262907</v>
      </c>
      <c r="B14" s="331"/>
      <c r="C14" s="88"/>
      <c r="D14" s="340">
        <v>5</v>
      </c>
      <c r="E14" s="293" t="s">
        <v>98</v>
      </c>
      <c r="F14" s="432" t="s">
        <v>431</v>
      </c>
      <c r="G14" s="433" t="s">
        <v>93</v>
      </c>
      <c r="H14" s="434" t="s">
        <v>98</v>
      </c>
      <c r="I14" s="434" t="s">
        <v>98</v>
      </c>
      <c r="J14" s="94">
        <v>0</v>
      </c>
      <c r="K14" s="433" t="s">
        <v>96</v>
      </c>
      <c r="L14" s="376">
        <v>2.08726011063129E-2</v>
      </c>
      <c r="M14" s="96">
        <v>1</v>
      </c>
      <c r="N14" s="96">
        <f t="shared" si="0"/>
        <v>1.207723199572867</v>
      </c>
      <c r="O14" s="377" t="str">
        <f t="shared" si="1"/>
        <v>(4,1,1,1,1,1); Market share European Polysilicon</v>
      </c>
      <c r="P14" s="376">
        <v>0.22085908012959701</v>
      </c>
      <c r="Q14" s="96">
        <v>1</v>
      </c>
      <c r="R14" s="96">
        <f t="shared" si="2"/>
        <v>1.207723199572867</v>
      </c>
      <c r="S14" s="377" t="str">
        <f t="shared" si="3"/>
        <v>(4,1,1,1,1,1); Market share European Polysilicon</v>
      </c>
      <c r="T14" s="376">
        <v>0</v>
      </c>
      <c r="U14" s="96">
        <v>1</v>
      </c>
      <c r="V14" s="96">
        <f t="shared" si="4"/>
        <v>1.207723199572867</v>
      </c>
      <c r="W14" s="377" t="str">
        <f t="shared" si="5"/>
        <v>(4,1,1,1,1,1); Market share European Polysilicon</v>
      </c>
      <c r="X14" s="376">
        <v>0.9</v>
      </c>
      <c r="Y14" s="96">
        <v>1</v>
      </c>
      <c r="Z14" s="96">
        <f t="shared" si="6"/>
        <v>1.207723199572867</v>
      </c>
      <c r="AA14" s="442" t="str">
        <f t="shared" si="7"/>
        <v>(4,1,1,1,1,1); Market share European Polysilicon</v>
      </c>
      <c r="AB14" s="112"/>
      <c r="AC14" s="77" t="s">
        <v>560</v>
      </c>
      <c r="AD14" s="339">
        <v>4</v>
      </c>
      <c r="AE14" s="339">
        <v>1</v>
      </c>
      <c r="AF14" s="339">
        <v>1</v>
      </c>
      <c r="AG14" s="339">
        <v>1</v>
      </c>
      <c r="AH14" s="339">
        <v>1</v>
      </c>
      <c r="AI14" s="339">
        <v>1</v>
      </c>
      <c r="AJ14" s="104">
        <v>3</v>
      </c>
      <c r="AK14" s="104">
        <v>1.05</v>
      </c>
      <c r="AL14" s="107">
        <f t="shared" si="8"/>
        <v>1.2</v>
      </c>
      <c r="AM14" s="107">
        <f t="shared" si="9"/>
        <v>1.207723199572867</v>
      </c>
      <c r="AN14" s="107" t="str">
        <f t="shared" si="10"/>
        <v>(4,1,1,1,1,1)</v>
      </c>
      <c r="AO14" s="108">
        <v>1.2</v>
      </c>
      <c r="AP14" s="108">
        <v>1</v>
      </c>
      <c r="AQ14" s="108">
        <v>1</v>
      </c>
      <c r="AR14" s="108">
        <v>1</v>
      </c>
      <c r="AS14" s="108">
        <v>1</v>
      </c>
      <c r="AT14" s="108">
        <v>1</v>
      </c>
    </row>
    <row r="15" spans="1:46">
      <c r="A15" s="330" t="s">
        <v>446</v>
      </c>
      <c r="B15" s="331"/>
      <c r="C15" s="88"/>
      <c r="D15" s="340">
        <v>5</v>
      </c>
      <c r="E15" s="293" t="s">
        <v>98</v>
      </c>
      <c r="F15" s="432" t="s">
        <v>436</v>
      </c>
      <c r="G15" s="433" t="s">
        <v>372</v>
      </c>
      <c r="H15" s="434" t="s">
        <v>98</v>
      </c>
      <c r="I15" s="434" t="s">
        <v>98</v>
      </c>
      <c r="J15" s="94">
        <v>0</v>
      </c>
      <c r="K15" s="433" t="s">
        <v>96</v>
      </c>
      <c r="L15" s="376">
        <v>9.6483827053775201E-2</v>
      </c>
      <c r="M15" s="96">
        <v>1</v>
      </c>
      <c r="N15" s="96">
        <f t="shared" si="0"/>
        <v>1.207723199572867</v>
      </c>
      <c r="O15" s="377" t="str">
        <f t="shared" si="1"/>
        <v>(4,1,1,1,1,1); Market share Chinese Polysilicon</v>
      </c>
      <c r="P15" s="376">
        <v>0</v>
      </c>
      <c r="Q15" s="96">
        <v>1</v>
      </c>
      <c r="R15" s="96">
        <f t="shared" si="2"/>
        <v>1.207723199572867</v>
      </c>
      <c r="S15" s="377" t="str">
        <f t="shared" si="3"/>
        <v>(4,1,1,1,1,1); Market share Chinese Polysilicon</v>
      </c>
      <c r="T15" s="376">
        <v>0</v>
      </c>
      <c r="U15" s="96">
        <v>1</v>
      </c>
      <c r="V15" s="96">
        <f t="shared" si="4"/>
        <v>1.207723199572867</v>
      </c>
      <c r="W15" s="377" t="str">
        <f t="shared" si="5"/>
        <v>(4,1,1,1,1,1); Market share Chinese Polysilicon</v>
      </c>
      <c r="X15" s="376">
        <v>0</v>
      </c>
      <c r="Y15" s="96">
        <v>1</v>
      </c>
      <c r="Z15" s="96">
        <f t="shared" si="6"/>
        <v>1.207723199572867</v>
      </c>
      <c r="AA15" s="442" t="str">
        <f t="shared" si="7"/>
        <v>(4,1,1,1,1,1); Market share Chinese Polysilicon</v>
      </c>
      <c r="AB15" s="112"/>
      <c r="AC15" s="77" t="s">
        <v>557</v>
      </c>
      <c r="AD15" s="339">
        <v>4</v>
      </c>
      <c r="AE15" s="339">
        <v>1</v>
      </c>
      <c r="AF15" s="339">
        <v>1</v>
      </c>
      <c r="AG15" s="339">
        <v>1</v>
      </c>
      <c r="AH15" s="339">
        <v>1</v>
      </c>
      <c r="AI15" s="339">
        <v>1</v>
      </c>
      <c r="AJ15" s="104">
        <v>3</v>
      </c>
      <c r="AK15" s="104">
        <v>1.05</v>
      </c>
      <c r="AL15" s="107">
        <f t="shared" si="8"/>
        <v>1.2</v>
      </c>
      <c r="AM15" s="107">
        <f t="shared" si="9"/>
        <v>1.207723199572867</v>
      </c>
      <c r="AN15" s="107" t="str">
        <f t="shared" si="10"/>
        <v>(4,1,1,1,1,1)</v>
      </c>
      <c r="AO15" s="108">
        <v>1.2</v>
      </c>
      <c r="AP15" s="108">
        <v>1</v>
      </c>
      <c r="AQ15" s="108">
        <v>1</v>
      </c>
      <c r="AR15" s="108">
        <v>1</v>
      </c>
      <c r="AS15" s="108">
        <v>1</v>
      </c>
      <c r="AT15" s="108">
        <v>1</v>
      </c>
    </row>
    <row r="16" spans="1:46">
      <c r="A16" s="330" t="s">
        <v>448</v>
      </c>
      <c r="B16" s="331"/>
      <c r="C16" s="88"/>
      <c r="D16" s="340">
        <v>5</v>
      </c>
      <c r="E16" s="293" t="s">
        <v>98</v>
      </c>
      <c r="F16" s="432" t="s">
        <v>438</v>
      </c>
      <c r="G16" s="433" t="s">
        <v>373</v>
      </c>
      <c r="H16" s="434" t="s">
        <v>98</v>
      </c>
      <c r="I16" s="434" t="s">
        <v>98</v>
      </c>
      <c r="J16" s="94">
        <v>0</v>
      </c>
      <c r="K16" s="433" t="s">
        <v>96</v>
      </c>
      <c r="L16" s="376">
        <v>0</v>
      </c>
      <c r="M16" s="96">
        <v>1</v>
      </c>
      <c r="N16" s="96">
        <f t="shared" si="0"/>
        <v>1.207723199572867</v>
      </c>
      <c r="O16" s="377" t="str">
        <f t="shared" si="1"/>
        <v>(4,1,1,1,1,1); Market share APAC Polysilicon</v>
      </c>
      <c r="P16" s="376">
        <v>6.2794348508634204E-2</v>
      </c>
      <c r="Q16" s="96">
        <v>1</v>
      </c>
      <c r="R16" s="96">
        <f t="shared" si="2"/>
        <v>1.207723199572867</v>
      </c>
      <c r="S16" s="377" t="str">
        <f t="shared" si="3"/>
        <v>(4,1,1,1,1,1); Market share APAC Polysilicon</v>
      </c>
      <c r="T16" s="376">
        <v>0</v>
      </c>
      <c r="U16" s="96">
        <v>1</v>
      </c>
      <c r="V16" s="96">
        <f t="shared" si="4"/>
        <v>1.207723199572867</v>
      </c>
      <c r="W16" s="377" t="str">
        <f t="shared" si="5"/>
        <v>(4,1,1,1,1,1); Market share APAC Polysilicon</v>
      </c>
      <c r="X16" s="376">
        <v>0</v>
      </c>
      <c r="Y16" s="96">
        <v>1</v>
      </c>
      <c r="Z16" s="96">
        <f t="shared" si="6"/>
        <v>1.207723199572867</v>
      </c>
      <c r="AA16" s="442" t="str">
        <f t="shared" si="7"/>
        <v>(4,1,1,1,1,1); Market share APAC Polysilicon</v>
      </c>
      <c r="AB16" s="112"/>
      <c r="AC16" s="77" t="s">
        <v>558</v>
      </c>
      <c r="AD16" s="339">
        <v>4</v>
      </c>
      <c r="AE16" s="339">
        <v>1</v>
      </c>
      <c r="AF16" s="339">
        <v>1</v>
      </c>
      <c r="AG16" s="339">
        <v>1</v>
      </c>
      <c r="AH16" s="339">
        <v>1</v>
      </c>
      <c r="AI16" s="339">
        <v>1</v>
      </c>
      <c r="AJ16" s="104">
        <v>3</v>
      </c>
      <c r="AK16" s="104">
        <v>1.05</v>
      </c>
      <c r="AL16" s="107">
        <f t="shared" si="8"/>
        <v>1.2</v>
      </c>
      <c r="AM16" s="107">
        <f t="shared" si="9"/>
        <v>1.207723199572867</v>
      </c>
      <c r="AN16" s="107" t="str">
        <f t="shared" si="10"/>
        <v>(4,1,1,1,1,1)</v>
      </c>
      <c r="AO16" s="108">
        <v>1.2</v>
      </c>
      <c r="AP16" s="108">
        <v>1</v>
      </c>
      <c r="AQ16" s="108">
        <v>1</v>
      </c>
      <c r="AR16" s="108">
        <v>1</v>
      </c>
      <c r="AS16" s="108">
        <v>1</v>
      </c>
      <c r="AT16" s="108">
        <v>1</v>
      </c>
    </row>
    <row r="17" spans="1:46">
      <c r="A17" s="330" t="s">
        <v>447</v>
      </c>
      <c r="B17" s="331"/>
      <c r="C17" s="88"/>
      <c r="D17" s="340">
        <v>5</v>
      </c>
      <c r="E17" s="293" t="s">
        <v>98</v>
      </c>
      <c r="F17" s="432" t="s">
        <v>437</v>
      </c>
      <c r="G17" s="433" t="s">
        <v>215</v>
      </c>
      <c r="H17" s="434" t="s">
        <v>98</v>
      </c>
      <c r="I17" s="434" t="s">
        <v>98</v>
      </c>
      <c r="J17" s="94">
        <v>0</v>
      </c>
      <c r="K17" s="433" t="s">
        <v>96</v>
      </c>
      <c r="L17" s="376">
        <v>1.1969950455233201E-3</v>
      </c>
      <c r="M17" s="96">
        <v>1</v>
      </c>
      <c r="N17" s="96">
        <f t="shared" si="0"/>
        <v>1.207723199572867</v>
      </c>
      <c r="O17" s="377" t="str">
        <f t="shared" si="1"/>
        <v>(4,1,1,1,1,1); Market share US Polysilicon</v>
      </c>
      <c r="P17" s="376">
        <v>1.26657536991884E-2</v>
      </c>
      <c r="Q17" s="96">
        <v>1</v>
      </c>
      <c r="R17" s="96">
        <f t="shared" si="2"/>
        <v>1.207723199572867</v>
      </c>
      <c r="S17" s="377" t="str">
        <f t="shared" si="3"/>
        <v>(4,1,1,1,1,1); Market share US Polysilicon</v>
      </c>
      <c r="T17" s="376">
        <v>0.1</v>
      </c>
      <c r="U17" s="96">
        <v>1</v>
      </c>
      <c r="V17" s="96">
        <f t="shared" si="4"/>
        <v>1.207723199572867</v>
      </c>
      <c r="W17" s="377" t="str">
        <f t="shared" si="5"/>
        <v>(4,1,1,1,1,1); Market share US Polysilicon</v>
      </c>
      <c r="X17" s="376">
        <v>0</v>
      </c>
      <c r="Y17" s="96">
        <v>1</v>
      </c>
      <c r="Z17" s="96">
        <f t="shared" si="6"/>
        <v>1.207723199572867</v>
      </c>
      <c r="AA17" s="442" t="str">
        <f t="shared" si="7"/>
        <v>(4,1,1,1,1,1); Market share US Polysilicon</v>
      </c>
      <c r="AB17" s="112"/>
      <c r="AC17" s="77" t="s">
        <v>559</v>
      </c>
      <c r="AD17" s="339">
        <v>4</v>
      </c>
      <c r="AE17" s="339">
        <v>1</v>
      </c>
      <c r="AF17" s="339">
        <v>1</v>
      </c>
      <c r="AG17" s="339">
        <v>1</v>
      </c>
      <c r="AH17" s="339">
        <v>1</v>
      </c>
      <c r="AI17" s="339">
        <v>1</v>
      </c>
      <c r="AJ17" s="104">
        <v>3</v>
      </c>
      <c r="AK17" s="104">
        <v>1.05</v>
      </c>
      <c r="AL17" s="107">
        <f t="shared" si="8"/>
        <v>1.2</v>
      </c>
      <c r="AM17" s="107">
        <f t="shared" si="9"/>
        <v>1.207723199572867</v>
      </c>
      <c r="AN17" s="107" t="str">
        <f t="shared" si="10"/>
        <v>(4,1,1,1,1,1)</v>
      </c>
      <c r="AO17" s="108">
        <v>1.2</v>
      </c>
      <c r="AP17" s="108">
        <v>1</v>
      </c>
      <c r="AQ17" s="108">
        <v>1</v>
      </c>
      <c r="AR17" s="108">
        <v>1</v>
      </c>
      <c r="AS17" s="108">
        <v>1</v>
      </c>
      <c r="AT17" s="108">
        <v>1</v>
      </c>
    </row>
    <row r="18" spans="1:46">
      <c r="A18" s="330" t="s">
        <v>445</v>
      </c>
      <c r="B18" s="331"/>
      <c r="C18" s="88"/>
      <c r="D18" s="340">
        <v>5</v>
      </c>
      <c r="E18" s="293" t="s">
        <v>98</v>
      </c>
      <c r="F18" s="432" t="s">
        <v>435</v>
      </c>
      <c r="G18" s="433" t="s">
        <v>93</v>
      </c>
      <c r="H18" s="434" t="s">
        <v>98</v>
      </c>
      <c r="I18" s="434" t="s">
        <v>98</v>
      </c>
      <c r="J18" s="94">
        <v>0</v>
      </c>
      <c r="K18" s="433" t="s">
        <v>96</v>
      </c>
      <c r="L18" s="376">
        <v>2.31917790070144E-3</v>
      </c>
      <c r="M18" s="96">
        <v>1</v>
      </c>
      <c r="N18" s="96">
        <f t="shared" si="0"/>
        <v>1.207723199572867</v>
      </c>
      <c r="O18" s="377" t="str">
        <f t="shared" si="1"/>
        <v>(4,1,1,1,1,1); Market share European Polysilicon</v>
      </c>
      <c r="P18" s="376">
        <v>2.4539897792177402E-2</v>
      </c>
      <c r="Q18" s="96">
        <v>1</v>
      </c>
      <c r="R18" s="96">
        <f t="shared" si="2"/>
        <v>1.207723199572867</v>
      </c>
      <c r="S18" s="377" t="str">
        <f t="shared" si="3"/>
        <v>(4,1,1,1,1,1); Market share European Polysilicon</v>
      </c>
      <c r="T18" s="376">
        <v>0</v>
      </c>
      <c r="U18" s="96">
        <v>1</v>
      </c>
      <c r="V18" s="96">
        <f t="shared" si="4"/>
        <v>1.207723199572867</v>
      </c>
      <c r="W18" s="377" t="str">
        <f t="shared" si="5"/>
        <v>(4,1,1,1,1,1); Market share European Polysilicon</v>
      </c>
      <c r="X18" s="376">
        <v>0.1</v>
      </c>
      <c r="Y18" s="96">
        <v>1</v>
      </c>
      <c r="Z18" s="96">
        <f t="shared" si="6"/>
        <v>1.207723199572867</v>
      </c>
      <c r="AA18" s="442" t="str">
        <f t="shared" si="7"/>
        <v>(4,1,1,1,1,1); Market share European Polysilicon</v>
      </c>
      <c r="AB18" s="112"/>
      <c r="AC18" s="77" t="s">
        <v>560</v>
      </c>
      <c r="AD18" s="339">
        <v>4</v>
      </c>
      <c r="AE18" s="339">
        <v>1</v>
      </c>
      <c r="AF18" s="339">
        <v>1</v>
      </c>
      <c r="AG18" s="339">
        <v>1</v>
      </c>
      <c r="AH18" s="339">
        <v>1</v>
      </c>
      <c r="AI18" s="339">
        <v>1</v>
      </c>
      <c r="AJ18" s="104">
        <v>3</v>
      </c>
      <c r="AK18" s="104">
        <v>1.05</v>
      </c>
      <c r="AL18" s="107">
        <f t="shared" si="8"/>
        <v>1.2</v>
      </c>
      <c r="AM18" s="107">
        <f t="shared" si="9"/>
        <v>1.207723199572867</v>
      </c>
      <c r="AN18" s="107" t="str">
        <f t="shared" si="10"/>
        <v>(4,1,1,1,1,1)</v>
      </c>
      <c r="AO18" s="108">
        <v>1.2</v>
      </c>
      <c r="AP18" s="108">
        <v>1</v>
      </c>
      <c r="AQ18" s="108">
        <v>1</v>
      </c>
      <c r="AR18" s="108">
        <v>1</v>
      </c>
      <c r="AS18" s="108">
        <v>1</v>
      </c>
      <c r="AT18" s="108">
        <v>1</v>
      </c>
    </row>
    <row r="19" spans="1:46" ht="36" customHeight="1">
      <c r="A19" s="330">
        <v>269599</v>
      </c>
      <c r="B19" s="331"/>
      <c r="C19" s="88"/>
      <c r="D19" s="340">
        <v>5</v>
      </c>
      <c r="E19" s="293" t="s">
        <v>98</v>
      </c>
      <c r="F19" s="432" t="s">
        <v>244</v>
      </c>
      <c r="G19" s="433" t="s">
        <v>245</v>
      </c>
      <c r="H19" s="434" t="s">
        <v>98</v>
      </c>
      <c r="I19" s="434" t="s">
        <v>98</v>
      </c>
      <c r="J19" s="94">
        <v>0</v>
      </c>
      <c r="K19" s="433" t="s">
        <v>115</v>
      </c>
      <c r="L19" s="123">
        <f>((L12+L16)*L31+(L13+L17)*L32+(L14+L18)*L33)/1000</f>
        <v>0.71214156104814541</v>
      </c>
      <c r="M19" s="96">
        <v>1</v>
      </c>
      <c r="N19" s="96">
        <f t="shared" si="0"/>
        <v>2.0949941301068096</v>
      </c>
      <c r="O19" s="442" t="str">
        <f t="shared" si="1"/>
        <v>(4,5,na,na,na,na); Transport distance CN-EU: 19994 km, CN-US: 20755 km, CN-APAC: 4584 km</v>
      </c>
      <c r="P19" s="123">
        <f>((P13+P17)*P35+(P14+P18)*P36)/1000</f>
        <v>6.0192569558101479</v>
      </c>
      <c r="Q19" s="96">
        <v>1</v>
      </c>
      <c r="R19" s="96">
        <f t="shared" si="2"/>
        <v>2.0949941301068096</v>
      </c>
      <c r="S19" s="442" t="str">
        <f t="shared" si="3"/>
        <v>(4,5,na,na,na,na); Transport distance CN-EU: 19994 km, CN-US: 20755 km, CN-APAC: 4584 km</v>
      </c>
      <c r="T19" s="123">
        <v>0</v>
      </c>
      <c r="U19" s="96">
        <v>1</v>
      </c>
      <c r="V19" s="96">
        <f t="shared" si="4"/>
        <v>2.0949941301068096</v>
      </c>
      <c r="W19" s="442" t="str">
        <f t="shared" si="5"/>
        <v>(4,5,na,na,na,na); Transport distance CN-EU: 19994 km, CN-US: 20755 km, CN-APAC: 4584 km</v>
      </c>
      <c r="X19" s="123">
        <v>0</v>
      </c>
      <c r="Y19" s="96">
        <v>1</v>
      </c>
      <c r="Z19" s="96">
        <f t="shared" si="6"/>
        <v>2.0949941301068096</v>
      </c>
      <c r="AA19" s="442" t="str">
        <f t="shared" si="7"/>
        <v>(4,5,na,na,na,na); Transport distance CN-EU: 19994 km, CN-US: 20755 km, CN-APAC: 4584 km</v>
      </c>
      <c r="AB19" s="112"/>
      <c r="AC19" s="77" t="s">
        <v>561</v>
      </c>
      <c r="AD19" s="339">
        <v>4</v>
      </c>
      <c r="AE19" s="339">
        <v>5</v>
      </c>
      <c r="AF19" s="339" t="s">
        <v>106</v>
      </c>
      <c r="AG19" s="339" t="s">
        <v>106</v>
      </c>
      <c r="AH19" s="339" t="s">
        <v>106</v>
      </c>
      <c r="AI19" s="339" t="s">
        <v>106</v>
      </c>
      <c r="AJ19" s="104">
        <v>5</v>
      </c>
      <c r="AK19" s="104">
        <v>2</v>
      </c>
      <c r="AL19" s="107">
        <f t="shared" si="8"/>
        <v>1.2941338353151037</v>
      </c>
      <c r="AM19" s="107">
        <f t="shared" si="9"/>
        <v>2.0949941301068096</v>
      </c>
      <c r="AN19" s="107" t="str">
        <f t="shared" si="10"/>
        <v>(4,5,na,na,na,na)</v>
      </c>
      <c r="AO19" s="108">
        <v>1.2</v>
      </c>
      <c r="AP19" s="108">
        <v>1.2</v>
      </c>
      <c r="AQ19" s="108">
        <v>1</v>
      </c>
      <c r="AR19" s="108">
        <v>1</v>
      </c>
      <c r="AS19" s="108">
        <v>1</v>
      </c>
      <c r="AT19" s="108">
        <v>1</v>
      </c>
    </row>
    <row r="20" spans="1:46">
      <c r="A20" s="330">
        <v>160371</v>
      </c>
      <c r="B20" s="331"/>
      <c r="C20" s="88"/>
      <c r="D20" s="340">
        <v>5</v>
      </c>
      <c r="E20" s="293" t="s">
        <v>98</v>
      </c>
      <c r="F20" s="432" t="s">
        <v>242</v>
      </c>
      <c r="G20" s="433" t="s">
        <v>93</v>
      </c>
      <c r="H20" s="434" t="s">
        <v>98</v>
      </c>
      <c r="I20" s="434" t="s">
        <v>98</v>
      </c>
      <c r="J20" s="94">
        <v>0</v>
      </c>
      <c r="K20" s="433" t="s">
        <v>115</v>
      </c>
      <c r="L20" s="123">
        <f>200/1000*L$29</f>
        <v>0.19999999999999996</v>
      </c>
      <c r="M20" s="96">
        <v>1</v>
      </c>
      <c r="N20" s="96">
        <f t="shared" si="0"/>
        <v>2.0949941301068096</v>
      </c>
      <c r="O20" s="442" t="str">
        <f t="shared" si="1"/>
        <v>(4,5,na,na,na,na); Standard distance 200km</v>
      </c>
      <c r="P20" s="123">
        <f>200/1000*P$29</f>
        <v>0.2</v>
      </c>
      <c r="Q20" s="96">
        <v>1</v>
      </c>
      <c r="R20" s="96">
        <f t="shared" si="2"/>
        <v>2.0949941301068096</v>
      </c>
      <c r="S20" s="442" t="str">
        <f t="shared" si="3"/>
        <v>(4,5,na,na,na,na); Standard distance 200km</v>
      </c>
      <c r="T20" s="123">
        <f>200/1000*T$29</f>
        <v>0.2</v>
      </c>
      <c r="U20" s="96">
        <v>1</v>
      </c>
      <c r="V20" s="96">
        <f t="shared" si="4"/>
        <v>2.0949941301068096</v>
      </c>
      <c r="W20" s="442" t="str">
        <f t="shared" si="5"/>
        <v>(4,5,na,na,na,na); Standard distance 200km</v>
      </c>
      <c r="X20" s="123">
        <f>200/1000*X$29</f>
        <v>0.2</v>
      </c>
      <c r="Y20" s="96">
        <v>1</v>
      </c>
      <c r="Z20" s="96">
        <f t="shared" si="6"/>
        <v>2.0949941301068096</v>
      </c>
      <c r="AA20" s="442" t="str">
        <f t="shared" si="7"/>
        <v>(4,5,na,na,na,na); Standard distance 200km</v>
      </c>
      <c r="AB20" s="112"/>
      <c r="AC20" s="77" t="s">
        <v>562</v>
      </c>
      <c r="AD20" s="339">
        <v>4</v>
      </c>
      <c r="AE20" s="339">
        <v>5</v>
      </c>
      <c r="AF20" s="339" t="s">
        <v>106</v>
      </c>
      <c r="AG20" s="339" t="s">
        <v>106</v>
      </c>
      <c r="AH20" s="339" t="s">
        <v>106</v>
      </c>
      <c r="AI20" s="339" t="s">
        <v>106</v>
      </c>
      <c r="AJ20" s="104">
        <v>5</v>
      </c>
      <c r="AK20" s="104">
        <v>2</v>
      </c>
      <c r="AL20" s="107">
        <f t="shared" si="8"/>
        <v>1.2941338353151037</v>
      </c>
      <c r="AM20" s="107">
        <f t="shared" si="9"/>
        <v>2.0949941301068096</v>
      </c>
      <c r="AN20" s="107" t="str">
        <f t="shared" si="10"/>
        <v>(4,5,na,na,na,na)</v>
      </c>
      <c r="AO20" s="108">
        <v>1.2</v>
      </c>
      <c r="AP20" s="108">
        <v>1.2</v>
      </c>
      <c r="AQ20" s="108">
        <v>1</v>
      </c>
      <c r="AR20" s="108">
        <v>1</v>
      </c>
      <c r="AS20" s="108">
        <v>1</v>
      </c>
      <c r="AT20" s="108">
        <v>1</v>
      </c>
    </row>
    <row r="21" spans="1:46">
      <c r="A21" s="330">
        <v>269641</v>
      </c>
      <c r="B21" s="331"/>
      <c r="C21" s="88"/>
      <c r="D21" s="340">
        <v>5</v>
      </c>
      <c r="E21" s="293" t="s">
        <v>98</v>
      </c>
      <c r="F21" s="432" t="s">
        <v>240</v>
      </c>
      <c r="G21" s="433" t="s">
        <v>93</v>
      </c>
      <c r="H21" s="434" t="s">
        <v>98</v>
      </c>
      <c r="I21" s="434" t="s">
        <v>98</v>
      </c>
      <c r="J21" s="94">
        <v>0</v>
      </c>
      <c r="K21" s="433" t="s">
        <v>115</v>
      </c>
      <c r="L21" s="123">
        <f>50/1000*L$29</f>
        <v>4.9999999999999989E-2</v>
      </c>
      <c r="M21" s="96">
        <v>1</v>
      </c>
      <c r="N21" s="96">
        <f t="shared" si="0"/>
        <v>2.0949941301068096</v>
      </c>
      <c r="O21" s="442" t="str">
        <f t="shared" si="1"/>
        <v>(4,5,na,na,na,na); Standard distance 50km</v>
      </c>
      <c r="P21" s="123">
        <f>50/1000*P$29</f>
        <v>0.05</v>
      </c>
      <c r="Q21" s="96">
        <v>1</v>
      </c>
      <c r="R21" s="96">
        <f t="shared" si="2"/>
        <v>2.0949941301068096</v>
      </c>
      <c r="S21" s="442" t="str">
        <f t="shared" si="3"/>
        <v>(4,5,na,na,na,na); Standard distance 50km</v>
      </c>
      <c r="T21" s="123">
        <f>50/1000*T$29</f>
        <v>0.05</v>
      </c>
      <c r="U21" s="96">
        <v>1</v>
      </c>
      <c r="V21" s="96">
        <f t="shared" si="4"/>
        <v>2.0949941301068096</v>
      </c>
      <c r="W21" s="442" t="str">
        <f t="shared" si="5"/>
        <v>(4,5,na,na,na,na); Standard distance 50km</v>
      </c>
      <c r="X21" s="123">
        <f>50/1000*X$29</f>
        <v>0.05</v>
      </c>
      <c r="Y21" s="96">
        <v>1</v>
      </c>
      <c r="Z21" s="96">
        <f t="shared" si="6"/>
        <v>2.0949941301068096</v>
      </c>
      <c r="AA21" s="442" t="str">
        <f t="shared" si="7"/>
        <v>(4,5,na,na,na,na); Standard distance 50km</v>
      </c>
      <c r="AB21" s="112"/>
      <c r="AC21" s="77" t="s">
        <v>563</v>
      </c>
      <c r="AD21" s="339">
        <v>4</v>
      </c>
      <c r="AE21" s="339">
        <v>5</v>
      </c>
      <c r="AF21" s="339" t="s">
        <v>106</v>
      </c>
      <c r="AG21" s="339" t="s">
        <v>106</v>
      </c>
      <c r="AH21" s="339" t="s">
        <v>106</v>
      </c>
      <c r="AI21" s="339" t="s">
        <v>106</v>
      </c>
      <c r="AJ21" s="104">
        <v>5</v>
      </c>
      <c r="AK21" s="104">
        <v>2</v>
      </c>
      <c r="AL21" s="107">
        <f t="shared" si="8"/>
        <v>1.2941338353151037</v>
      </c>
      <c r="AM21" s="107">
        <f t="shared" si="9"/>
        <v>2.0949941301068096</v>
      </c>
      <c r="AN21" s="107" t="str">
        <f t="shared" si="10"/>
        <v>(4,5,na,na,na,na)</v>
      </c>
      <c r="AO21" s="108">
        <v>1.2</v>
      </c>
      <c r="AP21" s="108">
        <v>1.2</v>
      </c>
      <c r="AQ21" s="108">
        <v>1</v>
      </c>
      <c r="AR21" s="108">
        <v>1</v>
      </c>
      <c r="AS21" s="108">
        <v>1</v>
      </c>
      <c r="AT21" s="108">
        <v>1</v>
      </c>
    </row>
    <row r="22" spans="1:46">
      <c r="L22" s="443"/>
      <c r="M22" s="127"/>
      <c r="N22" s="127"/>
      <c r="P22" s="443"/>
      <c r="Q22" s="127"/>
      <c r="R22" s="127"/>
      <c r="T22" s="443"/>
      <c r="U22" s="127"/>
      <c r="V22" s="127"/>
      <c r="X22" s="443"/>
      <c r="Y22" s="127"/>
      <c r="Z22" s="127"/>
      <c r="AB22" s="112"/>
    </row>
    <row r="23" spans="1:46">
      <c r="F23" s="346" t="s">
        <v>564</v>
      </c>
      <c r="L23" s="443"/>
      <c r="M23" s="127"/>
      <c r="N23" s="127"/>
      <c r="P23" s="443"/>
      <c r="Q23" s="127"/>
      <c r="R23" s="127"/>
      <c r="T23" s="443"/>
      <c r="U23" s="127"/>
      <c r="V23" s="127"/>
      <c r="X23" s="443"/>
      <c r="Y23" s="127"/>
      <c r="Z23" s="127"/>
      <c r="AB23" s="112"/>
    </row>
    <row r="24" spans="1:46" ht="24" customHeight="1">
      <c r="F24" s="362" t="s">
        <v>565</v>
      </c>
      <c r="G24" s="321"/>
      <c r="L24" s="443"/>
      <c r="M24" s="127"/>
      <c r="N24" s="127"/>
      <c r="P24" s="443"/>
      <c r="Q24" s="127"/>
      <c r="R24" s="127"/>
      <c r="T24" s="443"/>
      <c r="U24" s="127"/>
      <c r="V24" s="127"/>
      <c r="X24" s="443"/>
      <c r="Y24" s="127"/>
      <c r="Z24" s="127"/>
      <c r="AB24" s="112"/>
    </row>
    <row r="25" spans="1:46">
      <c r="F25" s="320" t="s">
        <v>566</v>
      </c>
      <c r="G25" s="363">
        <v>0.9</v>
      </c>
      <c r="L25" s="443"/>
      <c r="M25" s="127"/>
      <c r="N25" s="127"/>
      <c r="P25" s="443"/>
      <c r="Q25" s="127"/>
      <c r="R25" s="127"/>
      <c r="T25" s="443"/>
      <c r="U25" s="127"/>
      <c r="V25" s="127"/>
      <c r="X25" s="443"/>
      <c r="Y25" s="127"/>
      <c r="Z25" s="127"/>
      <c r="AB25" s="112"/>
    </row>
    <row r="26" spans="1:46">
      <c r="F26" s="320" t="s">
        <v>567</v>
      </c>
      <c r="G26" s="363">
        <v>0.1</v>
      </c>
      <c r="L26" s="443"/>
      <c r="M26" s="127"/>
      <c r="N26" s="127"/>
      <c r="P26" s="443"/>
      <c r="Q26" s="127"/>
      <c r="R26" s="127"/>
      <c r="T26" s="443"/>
      <c r="U26" s="127"/>
      <c r="V26" s="127"/>
      <c r="X26" s="443"/>
      <c r="Y26" s="127"/>
      <c r="Z26" s="127"/>
      <c r="AB26" s="112"/>
    </row>
    <row r="27" spans="1:46">
      <c r="L27" s="443"/>
      <c r="M27" s="127"/>
      <c r="N27" s="127"/>
      <c r="P27" s="443"/>
      <c r="Q27" s="127"/>
      <c r="R27" s="127"/>
      <c r="T27" s="443"/>
      <c r="U27" s="127"/>
      <c r="V27" s="127"/>
      <c r="X27" s="443"/>
      <c r="Y27" s="127"/>
      <c r="Z27" s="127"/>
      <c r="AB27" s="112"/>
    </row>
    <row r="28" spans="1:46">
      <c r="L28" s="443"/>
      <c r="M28" s="127"/>
      <c r="N28" s="127"/>
      <c r="P28" s="443"/>
      <c r="Q28" s="127"/>
      <c r="R28" s="127"/>
      <c r="T28" s="443"/>
      <c r="U28" s="127"/>
      <c r="V28" s="127"/>
      <c r="X28" s="443"/>
      <c r="Y28" s="127"/>
      <c r="Z28" s="127"/>
      <c r="AB28" s="112"/>
    </row>
    <row r="29" spans="1:46" s="402" customFormat="1">
      <c r="A29" s="277"/>
      <c r="B29" s="124"/>
      <c r="C29" s="125"/>
      <c r="D29" s="277"/>
      <c r="E29" s="277"/>
      <c r="F29" s="126" t="s">
        <v>568</v>
      </c>
      <c r="G29" s="277"/>
      <c r="H29" s="277"/>
      <c r="I29" s="277"/>
      <c r="J29" s="277"/>
      <c r="K29" s="277"/>
      <c r="L29" s="129">
        <f>SUM(L11:L18)</f>
        <v>0.99999999999999978</v>
      </c>
      <c r="M29" s="127"/>
      <c r="N29" s="127"/>
      <c r="O29" s="109"/>
      <c r="P29" s="129">
        <f>SUM(P11:P18)</f>
        <v>1</v>
      </c>
      <c r="Q29" s="127"/>
      <c r="R29" s="127"/>
      <c r="S29" s="109"/>
      <c r="T29" s="129">
        <f>SUM(T11:T18)</f>
        <v>1</v>
      </c>
      <c r="U29" s="127"/>
      <c r="V29" s="127"/>
      <c r="W29" s="109"/>
      <c r="X29" s="129">
        <f>SUM(X11:X18)</f>
        <v>1</v>
      </c>
      <c r="Y29" s="127"/>
      <c r="Z29" s="127"/>
      <c r="AA29" s="109"/>
      <c r="AB29" s="112"/>
      <c r="AC29" s="128"/>
      <c r="AE29" s="395"/>
      <c r="AF29" s="395"/>
      <c r="AG29" s="395"/>
      <c r="AH29" s="395"/>
      <c r="AI29" s="395"/>
      <c r="AJ29" s="395"/>
      <c r="AK29" s="395"/>
      <c r="AL29" s="395"/>
      <c r="AM29" s="395"/>
      <c r="AN29" s="395"/>
      <c r="AO29" s="277"/>
      <c r="AP29" s="277"/>
      <c r="AQ29" s="277"/>
      <c r="AR29" s="277"/>
      <c r="AS29" s="277"/>
      <c r="AT29" s="277"/>
    </row>
    <row r="30" spans="1:46">
      <c r="M30" s="127"/>
      <c r="N30" s="127"/>
      <c r="Q30" s="127"/>
      <c r="R30" s="127"/>
      <c r="U30" s="127"/>
      <c r="V30" s="127"/>
      <c r="Y30" s="127"/>
      <c r="Z30" s="127"/>
      <c r="AB30" s="113"/>
    </row>
    <row r="31" spans="1:46" s="402" customFormat="1">
      <c r="A31" s="277"/>
      <c r="B31" s="124"/>
      <c r="C31" s="125"/>
      <c r="D31" s="277"/>
      <c r="E31" s="277"/>
      <c r="F31" s="126" t="s">
        <v>569</v>
      </c>
      <c r="G31" s="277" t="s">
        <v>168</v>
      </c>
      <c r="H31" s="130">
        <f>L31</f>
        <v>4583.7</v>
      </c>
      <c r="I31" s="277"/>
      <c r="J31" s="277"/>
      <c r="K31" s="277" t="s">
        <v>168</v>
      </c>
      <c r="L31" s="131">
        <f>1.852*2475</f>
        <v>4583.7</v>
      </c>
      <c r="M31" s="127"/>
      <c r="N31" s="127"/>
      <c r="O31" s="109"/>
      <c r="P31" s="131">
        <v>0</v>
      </c>
      <c r="Q31" s="127"/>
      <c r="R31" s="127"/>
      <c r="S31" s="109"/>
      <c r="T31" s="131">
        <v>0</v>
      </c>
      <c r="U31" s="127"/>
      <c r="V31" s="127"/>
      <c r="W31" s="109"/>
      <c r="X31" s="131">
        <v>0</v>
      </c>
      <c r="Y31" s="127"/>
      <c r="Z31" s="127"/>
      <c r="AA31" s="109"/>
      <c r="AB31" s="112"/>
      <c r="AC31" s="132"/>
      <c r="AE31" s="395"/>
      <c r="AF31" s="395"/>
      <c r="AG31" s="395"/>
      <c r="AH31" s="395"/>
      <c r="AI31" s="395"/>
      <c r="AJ31" s="395"/>
      <c r="AK31" s="395"/>
      <c r="AL31" s="395"/>
      <c r="AM31" s="395"/>
      <c r="AN31" s="395"/>
      <c r="AO31" s="277"/>
      <c r="AP31" s="277"/>
      <c r="AQ31" s="277"/>
      <c r="AR31" s="277"/>
      <c r="AS31" s="277"/>
      <c r="AT31" s="277"/>
    </row>
    <row r="32" spans="1:46" s="402" customFormat="1">
      <c r="A32" s="277"/>
      <c r="B32" s="124"/>
      <c r="C32" s="125"/>
      <c r="D32" s="277"/>
      <c r="E32" s="277"/>
      <c r="F32" s="126" t="s">
        <v>570</v>
      </c>
      <c r="G32" s="277" t="s">
        <v>168</v>
      </c>
      <c r="H32" s="130">
        <f>L32</f>
        <v>20755.364000000001</v>
      </c>
      <c r="I32" s="277"/>
      <c r="J32" s="277"/>
      <c r="K32" s="277" t="s">
        <v>168</v>
      </c>
      <c r="L32" s="131">
        <f>1.852*11207</f>
        <v>20755.364000000001</v>
      </c>
      <c r="M32" s="127"/>
      <c r="N32" s="127"/>
      <c r="O32" s="109"/>
      <c r="P32" s="131">
        <v>0</v>
      </c>
      <c r="Q32" s="127"/>
      <c r="R32" s="127"/>
      <c r="S32" s="109"/>
      <c r="T32" s="131">
        <v>0</v>
      </c>
      <c r="U32" s="127"/>
      <c r="V32" s="127"/>
      <c r="W32" s="109"/>
      <c r="X32" s="131">
        <v>0</v>
      </c>
      <c r="Y32" s="127"/>
      <c r="Z32" s="127"/>
      <c r="AA32" s="109"/>
      <c r="AB32" s="112"/>
      <c r="AC32" s="133"/>
      <c r="AE32" s="395"/>
      <c r="AF32" s="395"/>
      <c r="AG32" s="395"/>
      <c r="AH32" s="395"/>
      <c r="AI32" s="395"/>
      <c r="AJ32" s="395"/>
      <c r="AK32" s="395"/>
      <c r="AL32" s="395"/>
      <c r="AM32" s="395"/>
      <c r="AN32" s="395"/>
      <c r="AO32" s="277"/>
      <c r="AP32" s="277"/>
      <c r="AQ32" s="277"/>
      <c r="AR32" s="277"/>
      <c r="AS32" s="277"/>
      <c r="AT32" s="277"/>
    </row>
    <row r="33" spans="6:25" s="402" customFormat="1">
      <c r="F33" s="126" t="s">
        <v>571</v>
      </c>
      <c r="G33" s="277" t="s">
        <v>168</v>
      </c>
      <c r="H33" s="130">
        <f>L33</f>
        <v>19994.192000000003</v>
      </c>
      <c r="I33" s="277"/>
      <c r="J33" s="277"/>
      <c r="K33" s="277" t="s">
        <v>168</v>
      </c>
      <c r="L33" s="131">
        <f>1.852*10796</f>
        <v>19994.192000000003</v>
      </c>
      <c r="M33" s="127"/>
      <c r="N33" s="127"/>
      <c r="O33" s="109"/>
      <c r="P33" s="131">
        <v>0</v>
      </c>
      <c r="Q33" s="127"/>
      <c r="R33" s="127"/>
      <c r="S33" s="109"/>
      <c r="T33" s="131">
        <v>0</v>
      </c>
      <c r="U33" s="127"/>
      <c r="V33" s="127"/>
      <c r="W33" s="128"/>
      <c r="X33" s="131">
        <v>0</v>
      </c>
      <c r="Y33" s="127"/>
    </row>
    <row r="34" spans="6:25">
      <c r="M34" s="127"/>
      <c r="N34" s="127"/>
      <c r="Q34" s="127"/>
      <c r="R34" s="127"/>
      <c r="U34" s="127"/>
      <c r="V34" s="127"/>
      <c r="Y34" s="127"/>
    </row>
    <row r="35" spans="6:25">
      <c r="F35" s="126" t="s">
        <v>572</v>
      </c>
      <c r="G35" s="277" t="s">
        <v>168</v>
      </c>
      <c r="K35" s="277" t="s">
        <v>168</v>
      </c>
      <c r="M35" s="127"/>
      <c r="N35" s="127"/>
      <c r="P35" s="277">
        <v>18411</v>
      </c>
      <c r="Q35" s="127"/>
      <c r="R35" s="127"/>
      <c r="U35" s="127"/>
      <c r="V35" s="127"/>
      <c r="Y35" s="127"/>
    </row>
    <row r="36" spans="6:25">
      <c r="F36" s="126" t="s">
        <v>573</v>
      </c>
      <c r="G36" s="277" t="s">
        <v>168</v>
      </c>
      <c r="K36" s="277" t="s">
        <v>168</v>
      </c>
      <c r="P36" s="133">
        <v>15026</v>
      </c>
    </row>
    <row r="41" spans="6:25">
      <c r="T41" s="109"/>
      <c r="X41" s="109"/>
    </row>
    <row r="42" spans="6:25" ht="24" customHeight="1">
      <c r="T42" s="109"/>
      <c r="X42" s="109"/>
      <c r="Y42" s="256"/>
    </row>
    <row r="43" spans="6:25">
      <c r="T43" s="109"/>
      <c r="X43" s="109"/>
      <c r="Y43" s="255"/>
    </row>
    <row r="44" spans="6:25">
      <c r="T44" s="109"/>
      <c r="X44" s="109"/>
      <c r="Y44" s="255"/>
    </row>
    <row r="45" spans="6:25">
      <c r="T45" s="109"/>
      <c r="X45" s="109"/>
      <c r="Y45" s="255"/>
    </row>
    <row r="46" spans="6:25">
      <c r="T46" s="109"/>
      <c r="X46" s="109"/>
      <c r="Y46" s="255"/>
    </row>
    <row r="47" spans="6:25">
      <c r="T47" s="109"/>
      <c r="X47" s="109"/>
      <c r="Y47" s="255"/>
    </row>
    <row r="48" spans="6:25">
      <c r="T48" s="109"/>
      <c r="X48" s="109"/>
      <c r="Y48" s="255"/>
    </row>
    <row r="49" spans="20:25">
      <c r="T49" s="109"/>
      <c r="X49" s="109"/>
      <c r="Y49" s="255"/>
    </row>
    <row r="50" spans="20:25" s="128" customFormat="1">
      <c r="T50" s="109"/>
      <c r="U50" s="109"/>
      <c r="V50" s="109"/>
      <c r="W50" s="109"/>
      <c r="X50" s="109"/>
      <c r="Y50" s="255"/>
    </row>
    <row r="51" spans="20:25" s="128" customFormat="1">
      <c r="T51" s="109"/>
      <c r="U51" s="109"/>
      <c r="V51" s="109"/>
      <c r="W51" s="109"/>
      <c r="X51" s="109"/>
      <c r="Y51" s="255"/>
    </row>
  </sheetData>
  <mergeCells count="1">
    <mergeCell ref="AD1:AI1"/>
  </mergeCells>
  <conditionalFormatting sqref="D11:AA21 AC11:AI21">
    <cfRule type="expression" dxfId="358" priority="3">
      <formula>MOD(ROW(),2)=0</formula>
    </cfRule>
  </conditionalFormatting>
  <conditionalFormatting sqref="AJ11:AT21">
    <cfRule type="expression" dxfId="357" priority="6">
      <formula>MOD(ROW(),2)=0</formula>
    </cfRule>
  </conditionalFormatting>
  <dataValidations disablePrompts="1" count="10">
    <dataValidation allowBlank="1" showInputMessage="1" showErrorMessage="1" prompt="always 1" sqref="L7:L10 P7:P10 T7:T10 X7:X10" xr:uid="{00000000-0002-0000-1000-000000000000}"/>
    <dataValidation allowBlank="1" showInputMessage="1" showErrorMessage="1" promptTitle="Remarks" prompt="A general comment (data source, calculation procedure, ...) can be made about each individual exchange. The remarks are added to the GeneralComment-field." sqref="AC3" xr:uid="{00000000-0002-0000-1000-000001000000}"/>
    <dataValidation allowBlank="1" showInputMessage="1" showErrorMessage="1" prompt="Do not change." sqref="AJ3:AT4" xr:uid="{00000000-0002-0000-1000-00000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E3" xr:uid="{00000000-0002-0000-10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F3" xr:uid="{00000000-0002-0000-10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G3" xr:uid="{00000000-0002-0000-1000-00000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H3" xr:uid="{00000000-0002-0000-1000-000006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I3" xr:uid="{00000000-0002-0000-1000-000007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D3" xr:uid="{00000000-0002-0000-1000-000008000000}"/>
    <dataValidation allowBlank="1" showInputMessage="1" showErrorMessage="1" promptTitle="Do not change" prompt="This field is automatically updated from the names-list" sqref="AJ7:AJ21" xr:uid="{00000000-0002-0000-1000-000009000000}"/>
  </dataValidations>
  <pageMargins left="0.78740157499999996" right="0.78740157499999996" top="0.984251969" bottom="0.984251969" header="0.4921259845" footer="0.4921259845"/>
  <pageSetup paperSize="9" scale="4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tabColor rgb="FF9CD9F0"/>
    <pageSetUpPr fitToPage="1"/>
  </sheetPr>
  <dimension ref="A1:AW65"/>
  <sheetViews>
    <sheetView topLeftCell="A34" workbookViewId="0">
      <selection activeCell="L15" sqref="L15"/>
    </sheetView>
  </sheetViews>
  <sheetFormatPr baseColWidth="10" defaultColWidth="11.42578125" defaultRowHeight="34.5" customHeight="1"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3.28515625" style="126" customWidth="1" collapsed="1"/>
    <col min="7" max="7" width="7.5703125" style="277" customWidth="1"/>
    <col min="8" max="8" width="8.7109375" style="277" hidden="1" customWidth="1" outlineLevel="1"/>
    <col min="9" max="9" width="20.7109375" style="277" hidden="1" customWidth="1" outlineLevel="1"/>
    <col min="10" max="10" width="10.140625" style="277" customWidth="1" collapsed="1"/>
    <col min="11" max="11" width="6.7109375" style="277" bestFit="1" customWidth="1"/>
    <col min="12" max="12" width="10.85546875" style="277" customWidth="1" collapsed="1"/>
    <col min="13" max="14" width="5.7109375" style="120" hidden="1" customWidth="1" outlineLevel="1"/>
    <col min="15" max="15" width="42.42578125" style="120" hidden="1" customWidth="1" outlineLevel="1"/>
    <col min="16" max="16" width="11" style="277" customWidth="1" collapsed="1"/>
    <col min="17" max="18" width="5.7109375" style="120" hidden="1" customWidth="1" outlineLevel="1"/>
    <col min="19" max="19" width="40.7109375" style="109" hidden="1" customWidth="1" outlineLevel="1"/>
    <col min="20" max="20" width="11" style="277" customWidth="1" collapsed="1"/>
    <col min="21" max="22" width="5.7109375" style="120" hidden="1" customWidth="1" outlineLevel="1"/>
    <col min="23" max="23" width="40.7109375" style="109" hidden="1" customWidth="1" outlineLevel="1"/>
    <col min="24" max="24" width="12.42578125" style="277" customWidth="1" collapsed="1"/>
    <col min="25" max="26" width="5.7109375" style="120" hidden="1" customWidth="1" outlineLevel="1"/>
    <col min="27" max="27" width="45.7109375" style="109" hidden="1" customWidth="1" outlineLevel="1"/>
    <col min="28" max="28" width="4.140625" style="109" customWidth="1" collapsed="1"/>
    <col min="29" max="29" width="40.7109375" style="128" customWidth="1"/>
    <col min="30" max="30" width="4.7109375" style="402" hidden="1" customWidth="1" outlineLevel="1"/>
    <col min="31" max="35" width="4.7109375" style="395" hidden="1" customWidth="1" outlineLevel="1"/>
    <col min="36" max="36" width="7.140625" style="395" hidden="1" customWidth="1" outlineLevel="1"/>
    <col min="37" max="39" width="4.7109375" style="395" hidden="1" customWidth="1" outlineLevel="1"/>
    <col min="40" max="40" width="12.7109375" style="395" hidden="1" customWidth="1" outlineLevel="1"/>
    <col min="41" max="46" width="4.7109375" style="277" hidden="1" customWidth="1" outlineLevel="1"/>
    <col min="47" max="47" width="11.42578125" style="277" customWidth="1" collapsed="1"/>
    <col min="48" max="49" width="11.42578125" style="277" customWidth="1"/>
    <col min="50" max="51" width="11.42578125" style="399" customWidth="1"/>
    <col min="52" max="16384" width="11.42578125" style="399"/>
  </cols>
  <sheetData>
    <row r="1" spans="1:46" ht="34.5" customHeight="1">
      <c r="A1" s="77"/>
      <c r="B1" s="78"/>
      <c r="C1" s="79"/>
      <c r="D1" s="77"/>
      <c r="E1" s="77"/>
      <c r="F1" s="80" t="s">
        <v>65</v>
      </c>
      <c r="G1" s="77"/>
      <c r="H1" s="77"/>
      <c r="I1" s="77"/>
      <c r="J1" s="77"/>
      <c r="K1" s="77"/>
      <c r="L1" s="330" t="str">
        <f>A7</f>
        <v>Z-PV-132</v>
      </c>
      <c r="M1" s="81"/>
      <c r="N1" s="81"/>
      <c r="O1" s="81"/>
      <c r="P1" s="330" t="str">
        <f>A8</f>
        <v>Z-PV-133</v>
      </c>
      <c r="Q1" s="81"/>
      <c r="R1" s="81"/>
      <c r="S1" s="81"/>
      <c r="T1" s="330" t="str">
        <f>A9</f>
        <v>Z-PV-134</v>
      </c>
      <c r="U1" s="81"/>
      <c r="V1" s="81"/>
      <c r="W1" s="81"/>
      <c r="X1" s="330" t="str">
        <f>A10</f>
        <v>Z-PV-135</v>
      </c>
      <c r="Y1" s="81"/>
      <c r="Z1" s="81"/>
      <c r="AA1" s="81"/>
      <c r="AC1" s="378"/>
      <c r="AD1" s="1586"/>
      <c r="AE1" s="1588"/>
      <c r="AF1" s="1588"/>
      <c r="AG1" s="1588"/>
      <c r="AH1" s="1588"/>
      <c r="AI1" s="1588"/>
      <c r="AJ1" s="406"/>
      <c r="AK1" s="406"/>
      <c r="AL1" s="406"/>
      <c r="AM1" s="406"/>
      <c r="AN1" s="406"/>
      <c r="AO1" s="378"/>
      <c r="AP1" s="378"/>
      <c r="AQ1" s="378"/>
      <c r="AR1" s="378"/>
      <c r="AS1" s="378"/>
      <c r="AT1" s="378"/>
    </row>
    <row r="2" spans="1:46" ht="34.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421"/>
      <c r="AC2" s="406"/>
      <c r="AD2" s="406"/>
      <c r="AE2" s="406"/>
      <c r="AF2" s="406"/>
      <c r="AG2" s="406"/>
      <c r="AH2" s="406"/>
      <c r="AI2" s="406"/>
      <c r="AJ2" s="406"/>
      <c r="AK2" s="378"/>
      <c r="AL2" s="378"/>
      <c r="AM2" s="378"/>
      <c r="AN2" s="378"/>
      <c r="AO2" s="378"/>
      <c r="AP2" s="378"/>
      <c r="AQ2" s="378"/>
      <c r="AR2" s="378"/>
      <c r="AS2" s="378"/>
      <c r="AT2" s="378"/>
    </row>
    <row r="3" spans="1:46" ht="86.25" customHeight="1">
      <c r="A3" s="83" t="s">
        <v>68</v>
      </c>
      <c r="B3" s="84"/>
      <c r="C3" s="79">
        <v>401</v>
      </c>
      <c r="D3" s="85" t="s">
        <v>69</v>
      </c>
      <c r="E3" s="85" t="s">
        <v>70</v>
      </c>
      <c r="F3" s="86" t="s">
        <v>71</v>
      </c>
      <c r="G3" s="85" t="s">
        <v>72</v>
      </c>
      <c r="H3" s="85" t="s">
        <v>73</v>
      </c>
      <c r="I3" s="85" t="s">
        <v>74</v>
      </c>
      <c r="J3" s="85" t="s">
        <v>75</v>
      </c>
      <c r="K3" s="85" t="s">
        <v>76</v>
      </c>
      <c r="L3" s="87" t="s">
        <v>574</v>
      </c>
      <c r="M3" s="422" t="s">
        <v>78</v>
      </c>
      <c r="N3" s="422" t="s">
        <v>79</v>
      </c>
      <c r="O3" s="423" t="s">
        <v>80</v>
      </c>
      <c r="P3" s="87" t="s">
        <v>575</v>
      </c>
      <c r="Q3" s="422" t="s">
        <v>78</v>
      </c>
      <c r="R3" s="422" t="s">
        <v>79</v>
      </c>
      <c r="S3" s="423" t="s">
        <v>80</v>
      </c>
      <c r="T3" s="87" t="s">
        <v>576</v>
      </c>
      <c r="U3" s="422" t="s">
        <v>78</v>
      </c>
      <c r="V3" s="422" t="s">
        <v>79</v>
      </c>
      <c r="W3" s="423" t="s">
        <v>80</v>
      </c>
      <c r="X3" s="87" t="s">
        <v>577</v>
      </c>
      <c r="Y3" s="422" t="s">
        <v>78</v>
      </c>
      <c r="Z3" s="422" t="s">
        <v>79</v>
      </c>
      <c r="AA3" s="423" t="s">
        <v>80</v>
      </c>
      <c r="AB3" s="424"/>
      <c r="AC3" s="97" t="s">
        <v>363</v>
      </c>
      <c r="AD3" s="98" t="s">
        <v>364</v>
      </c>
      <c r="AE3" s="98" t="s">
        <v>365</v>
      </c>
      <c r="AF3" s="98" t="s">
        <v>366</v>
      </c>
      <c r="AG3" s="98" t="s">
        <v>367</v>
      </c>
      <c r="AH3" s="98" t="s">
        <v>368</v>
      </c>
      <c r="AI3" s="98" t="s">
        <v>369</v>
      </c>
      <c r="AJ3" s="99" t="s">
        <v>88</v>
      </c>
      <c r="AK3" s="99" t="s">
        <v>370</v>
      </c>
      <c r="AL3" s="99" t="s">
        <v>90</v>
      </c>
      <c r="AM3" s="99" t="s">
        <v>91</v>
      </c>
      <c r="AN3" s="99" t="s">
        <v>371</v>
      </c>
      <c r="AO3" s="100" t="s">
        <v>364</v>
      </c>
      <c r="AP3" s="100" t="s">
        <v>365</v>
      </c>
      <c r="AQ3" s="100" t="s">
        <v>366</v>
      </c>
      <c r="AR3" s="100" t="s">
        <v>367</v>
      </c>
      <c r="AS3" s="100" t="s">
        <v>368</v>
      </c>
      <c r="AT3" s="100" t="s">
        <v>369</v>
      </c>
    </row>
    <row r="4" spans="1:46" ht="24" customHeight="1">
      <c r="A4" s="77"/>
      <c r="B4" s="84"/>
      <c r="C4" s="79">
        <v>662</v>
      </c>
      <c r="D4" s="86"/>
      <c r="E4" s="86"/>
      <c r="F4" s="86" t="s">
        <v>72</v>
      </c>
      <c r="G4" s="86"/>
      <c r="H4" s="86"/>
      <c r="I4" s="86"/>
      <c r="J4" s="86"/>
      <c r="K4" s="86"/>
      <c r="L4" s="87" t="s">
        <v>93</v>
      </c>
      <c r="M4" s="425"/>
      <c r="N4" s="425"/>
      <c r="O4" s="426"/>
      <c r="P4" s="87" t="s">
        <v>372</v>
      </c>
      <c r="Q4" s="425"/>
      <c r="R4" s="425"/>
      <c r="S4" s="426"/>
      <c r="T4" s="87" t="s">
        <v>215</v>
      </c>
      <c r="U4" s="425"/>
      <c r="V4" s="425"/>
      <c r="W4" s="426"/>
      <c r="X4" s="87" t="s">
        <v>373</v>
      </c>
      <c r="Y4" s="425"/>
      <c r="Z4" s="425"/>
      <c r="AA4" s="426"/>
      <c r="AB4" s="427"/>
      <c r="AC4" s="101"/>
      <c r="AD4" s="102" t="s">
        <v>94</v>
      </c>
      <c r="AE4" s="97"/>
      <c r="AF4" s="97"/>
      <c r="AG4" s="97"/>
      <c r="AH4" s="97"/>
      <c r="AI4" s="97"/>
      <c r="AJ4" s="103"/>
      <c r="AK4" s="103"/>
      <c r="AL4" s="103" t="s">
        <v>95</v>
      </c>
      <c r="AM4" s="103" t="s">
        <v>95</v>
      </c>
      <c r="AN4" s="104"/>
      <c r="AO4" s="105"/>
      <c r="AP4" s="105"/>
      <c r="AQ4" s="105"/>
      <c r="AR4" s="105"/>
      <c r="AS4" s="105"/>
      <c r="AT4" s="105"/>
    </row>
    <row r="5" spans="1:46" ht="12"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427"/>
      <c r="AC5" s="101"/>
      <c r="AD5" s="97"/>
      <c r="AE5" s="97"/>
      <c r="AF5" s="97"/>
      <c r="AG5" s="97"/>
      <c r="AH5" s="97"/>
      <c r="AI5" s="97"/>
      <c r="AJ5" s="104"/>
      <c r="AK5" s="104"/>
      <c r="AL5" s="104"/>
      <c r="AM5" s="104"/>
      <c r="AN5" s="104"/>
      <c r="AO5" s="105"/>
      <c r="AP5" s="105"/>
      <c r="AQ5" s="105"/>
      <c r="AR5" s="105"/>
      <c r="AS5" s="105"/>
      <c r="AT5" s="105"/>
    </row>
    <row r="6" spans="1:46" ht="12"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427"/>
      <c r="AC6" s="101"/>
      <c r="AD6" s="106"/>
      <c r="AE6" s="106"/>
      <c r="AF6" s="106"/>
      <c r="AG6" s="106"/>
      <c r="AH6" s="106"/>
      <c r="AI6" s="106"/>
      <c r="AJ6" s="104"/>
      <c r="AK6" s="104"/>
      <c r="AL6" s="428"/>
      <c r="AM6" s="428"/>
      <c r="AN6" s="107"/>
      <c r="AO6" s="105"/>
      <c r="AP6" s="105"/>
      <c r="AQ6" s="105"/>
      <c r="AR6" s="105"/>
      <c r="AS6" s="105"/>
      <c r="AT6" s="105"/>
    </row>
    <row r="7" spans="1:46" ht="24">
      <c r="A7" s="330" t="s">
        <v>578</v>
      </c>
      <c r="B7" s="331" t="s">
        <v>97</v>
      </c>
      <c r="C7" s="88"/>
      <c r="D7" s="294" t="s">
        <v>98</v>
      </c>
      <c r="E7" s="295">
        <v>0</v>
      </c>
      <c r="F7" s="537" t="s">
        <v>574</v>
      </c>
      <c r="G7" s="430" t="s">
        <v>93</v>
      </c>
      <c r="H7" s="431" t="s">
        <v>98</v>
      </c>
      <c r="I7" s="431" t="s">
        <v>98</v>
      </c>
      <c r="J7" s="89">
        <v>0</v>
      </c>
      <c r="K7" s="430" t="s">
        <v>96</v>
      </c>
      <c r="L7" s="90">
        <f>IF($A7=L$1,1,0)</f>
        <v>1</v>
      </c>
      <c r="M7" s="91"/>
      <c r="N7" s="92"/>
      <c r="O7" s="93"/>
      <c r="P7" s="90">
        <f>IF($A7=P$1,1,0)</f>
        <v>0</v>
      </c>
      <c r="Q7" s="91"/>
      <c r="R7" s="92"/>
      <c r="S7" s="93"/>
      <c r="T7" s="90">
        <f>IF($A7=T$1,1,0)</f>
        <v>0</v>
      </c>
      <c r="U7" s="91"/>
      <c r="V7" s="92"/>
      <c r="W7" s="93"/>
      <c r="X7" s="90">
        <f>IF($A7=X$1,1,0)</f>
        <v>0</v>
      </c>
      <c r="Y7" s="91"/>
      <c r="Z7" s="92"/>
      <c r="AA7" s="93"/>
      <c r="AB7" s="427"/>
      <c r="AC7" s="101"/>
      <c r="AD7" s="97"/>
      <c r="AE7" s="97"/>
      <c r="AF7" s="97"/>
      <c r="AG7" s="97"/>
      <c r="AH7" s="97"/>
      <c r="AI7" s="97"/>
      <c r="AJ7" s="104"/>
      <c r="AK7" s="104"/>
      <c r="AL7" s="104"/>
      <c r="AM7" s="104"/>
      <c r="AN7" s="104"/>
      <c r="AO7" s="104"/>
      <c r="AP7" s="104"/>
      <c r="AQ7" s="104"/>
      <c r="AR7" s="104"/>
      <c r="AS7" s="104"/>
      <c r="AT7" s="104"/>
    </row>
    <row r="8" spans="1:46" ht="24">
      <c r="A8" s="330" t="s">
        <v>579</v>
      </c>
      <c r="B8" s="331"/>
      <c r="C8" s="88"/>
      <c r="D8" s="294" t="s">
        <v>98</v>
      </c>
      <c r="E8" s="295">
        <v>0</v>
      </c>
      <c r="F8" s="537" t="s">
        <v>575</v>
      </c>
      <c r="G8" s="430" t="s">
        <v>372</v>
      </c>
      <c r="H8" s="431" t="s">
        <v>98</v>
      </c>
      <c r="I8" s="431" t="s">
        <v>98</v>
      </c>
      <c r="J8" s="89">
        <v>0</v>
      </c>
      <c r="K8" s="430" t="s">
        <v>96</v>
      </c>
      <c r="L8" s="90">
        <f>IF($A8=L$1,1,0)</f>
        <v>0</v>
      </c>
      <c r="M8" s="91"/>
      <c r="N8" s="92"/>
      <c r="O8" s="93"/>
      <c r="P8" s="90">
        <f>IF($A8=P$1,1,0)</f>
        <v>1</v>
      </c>
      <c r="Q8" s="91"/>
      <c r="R8" s="92"/>
      <c r="S8" s="93"/>
      <c r="T8" s="90">
        <f>IF($A8=T$1,1,0)</f>
        <v>0</v>
      </c>
      <c r="U8" s="91"/>
      <c r="V8" s="92"/>
      <c r="W8" s="93"/>
      <c r="X8" s="90">
        <f>IF($A8=X$1,1,0)</f>
        <v>0</v>
      </c>
      <c r="Y8" s="91"/>
      <c r="Z8" s="92"/>
      <c r="AA8" s="93"/>
      <c r="AB8" s="427"/>
      <c r="AC8" s="101"/>
      <c r="AD8" s="97"/>
      <c r="AE8" s="97"/>
      <c r="AF8" s="97"/>
      <c r="AG8" s="97"/>
      <c r="AH8" s="97"/>
      <c r="AI8" s="97"/>
      <c r="AJ8" s="104"/>
      <c r="AK8" s="104"/>
      <c r="AL8" s="104"/>
      <c r="AM8" s="104"/>
      <c r="AN8" s="104"/>
      <c r="AO8" s="104"/>
      <c r="AP8" s="104"/>
      <c r="AQ8" s="104"/>
      <c r="AR8" s="104"/>
      <c r="AS8" s="104"/>
      <c r="AT8" s="104"/>
    </row>
    <row r="9" spans="1:46" ht="24">
      <c r="A9" s="330" t="s">
        <v>580</v>
      </c>
      <c r="B9" s="331"/>
      <c r="C9" s="88"/>
      <c r="D9" s="294" t="s">
        <v>98</v>
      </c>
      <c r="E9" s="295">
        <v>0</v>
      </c>
      <c r="F9" s="537" t="s">
        <v>576</v>
      </c>
      <c r="G9" s="430" t="s">
        <v>215</v>
      </c>
      <c r="H9" s="431" t="s">
        <v>98</v>
      </c>
      <c r="I9" s="431" t="s">
        <v>98</v>
      </c>
      <c r="J9" s="89">
        <v>0</v>
      </c>
      <c r="K9" s="430" t="s">
        <v>96</v>
      </c>
      <c r="L9" s="90">
        <f>IF($A9=L$1,1,0)</f>
        <v>0</v>
      </c>
      <c r="M9" s="91"/>
      <c r="N9" s="92"/>
      <c r="O9" s="93"/>
      <c r="P9" s="90">
        <f>IF($A9=P$1,1,0)</f>
        <v>0</v>
      </c>
      <c r="Q9" s="91"/>
      <c r="R9" s="92"/>
      <c r="S9" s="93"/>
      <c r="T9" s="90">
        <f>IF($A9=T$1,1,0)</f>
        <v>1</v>
      </c>
      <c r="U9" s="91"/>
      <c r="V9" s="92"/>
      <c r="W9" s="93"/>
      <c r="X9" s="90">
        <f>IF($A9=X$1,1,0)</f>
        <v>0</v>
      </c>
      <c r="Y9" s="91"/>
      <c r="Z9" s="92"/>
      <c r="AA9" s="93"/>
      <c r="AB9" s="427"/>
      <c r="AC9" s="101"/>
      <c r="AD9" s="97"/>
      <c r="AE9" s="97"/>
      <c r="AF9" s="97"/>
      <c r="AG9" s="97"/>
      <c r="AH9" s="97"/>
      <c r="AI9" s="97"/>
      <c r="AJ9" s="104"/>
      <c r="AK9" s="104"/>
      <c r="AL9" s="104"/>
      <c r="AM9" s="104"/>
      <c r="AN9" s="104"/>
      <c r="AO9" s="104"/>
      <c r="AP9" s="104"/>
      <c r="AQ9" s="104"/>
      <c r="AR9" s="104"/>
      <c r="AS9" s="104"/>
      <c r="AT9" s="104"/>
    </row>
    <row r="10" spans="1:46" ht="24">
      <c r="A10" s="330" t="s">
        <v>581</v>
      </c>
      <c r="B10" s="331"/>
      <c r="C10" s="88"/>
      <c r="D10" s="294" t="s">
        <v>98</v>
      </c>
      <c r="E10" s="295">
        <v>0</v>
      </c>
      <c r="F10" s="537" t="s">
        <v>577</v>
      </c>
      <c r="G10" s="430" t="s">
        <v>373</v>
      </c>
      <c r="H10" s="431" t="s">
        <v>98</v>
      </c>
      <c r="I10" s="431" t="s">
        <v>98</v>
      </c>
      <c r="J10" s="89">
        <v>0</v>
      </c>
      <c r="K10" s="430" t="s">
        <v>96</v>
      </c>
      <c r="L10" s="90">
        <f>IF($A10=L$1,1,0)</f>
        <v>0</v>
      </c>
      <c r="M10" s="91"/>
      <c r="N10" s="92"/>
      <c r="O10" s="93"/>
      <c r="P10" s="90">
        <f>IF($A10=P$1,1,0)</f>
        <v>0</v>
      </c>
      <c r="Q10" s="91"/>
      <c r="R10" s="92"/>
      <c r="S10" s="93"/>
      <c r="T10" s="90">
        <f>IF($A10=T$1,1,0)</f>
        <v>0</v>
      </c>
      <c r="U10" s="91"/>
      <c r="V10" s="92"/>
      <c r="W10" s="93"/>
      <c r="X10" s="90">
        <f>IF($A10=X$1,1,0)</f>
        <v>1</v>
      </c>
      <c r="Y10" s="91"/>
      <c r="Z10" s="92"/>
      <c r="AA10" s="93"/>
      <c r="AB10" s="427"/>
      <c r="AC10" s="101"/>
      <c r="AD10" s="97"/>
      <c r="AE10" s="97"/>
      <c r="AF10" s="97"/>
      <c r="AG10" s="97"/>
      <c r="AH10" s="97"/>
      <c r="AI10" s="97"/>
      <c r="AJ10" s="104"/>
      <c r="AK10" s="104"/>
      <c r="AL10" s="104"/>
      <c r="AM10" s="104"/>
      <c r="AN10" s="104"/>
      <c r="AO10" s="104"/>
      <c r="AP10" s="104"/>
      <c r="AQ10" s="104"/>
      <c r="AR10" s="104"/>
      <c r="AS10" s="104"/>
      <c r="AT10" s="104"/>
    </row>
    <row r="11" spans="1:46" ht="24">
      <c r="A11" s="330" t="s">
        <v>553</v>
      </c>
      <c r="B11" s="331" t="s">
        <v>221</v>
      </c>
      <c r="C11" s="88"/>
      <c r="D11" s="340">
        <v>5</v>
      </c>
      <c r="E11" s="293" t="s">
        <v>98</v>
      </c>
      <c r="F11" s="432" t="s">
        <v>549</v>
      </c>
      <c r="G11" s="433" t="s">
        <v>372</v>
      </c>
      <c r="H11" s="434" t="s">
        <v>98</v>
      </c>
      <c r="I11" s="434" t="s">
        <v>98</v>
      </c>
      <c r="J11" s="94">
        <v>0</v>
      </c>
      <c r="K11" s="433" t="s">
        <v>96</v>
      </c>
      <c r="L11" s="435">
        <v>0</v>
      </c>
      <c r="M11" s="95">
        <v>1</v>
      </c>
      <c r="N11" s="96">
        <f t="shared" ref="N11:N54" si="0">$AM11</f>
        <v>1.0722009304576894</v>
      </c>
      <c r="O11" s="432" t="str">
        <f t="shared" ref="O11:O54" si="1">$AN11&amp;"; "&amp;$AC11</f>
        <v>(2,1,1,2,1,1); Industry data (French tender)</v>
      </c>
      <c r="P11" s="435">
        <f>L14</f>
        <v>0.58405779712591299</v>
      </c>
      <c r="Q11" s="95">
        <v>1</v>
      </c>
      <c r="R11" s="96">
        <f t="shared" ref="R11:R54" si="2">$AM11</f>
        <v>1.0722009304576894</v>
      </c>
      <c r="S11" s="432" t="str">
        <f t="shared" ref="S11:S54" si="3">$AN11&amp;"; "&amp;$AC11</f>
        <v>(2,1,1,2,1,1); Industry data (French tender)</v>
      </c>
      <c r="T11" s="435">
        <v>0</v>
      </c>
      <c r="U11" s="95">
        <v>1</v>
      </c>
      <c r="V11" s="96">
        <f t="shared" ref="V11:V54" si="4">$AM11</f>
        <v>1.0722009304576894</v>
      </c>
      <c r="W11" s="432" t="str">
        <f t="shared" ref="W11:W54" si="5">$AN11&amp;"; "&amp;$AC11</f>
        <v>(2,1,1,2,1,1); Industry data (French tender)</v>
      </c>
      <c r="X11" s="435">
        <v>0</v>
      </c>
      <c r="Y11" s="95">
        <v>1</v>
      </c>
      <c r="Z11" s="96">
        <f t="shared" ref="Z11:Z54" si="6">$AM11</f>
        <v>1.0722009304576894</v>
      </c>
      <c r="AA11" s="432" t="str">
        <f t="shared" ref="AA11:AA54" si="7">$AN11&amp;"; "&amp;$AC11</f>
        <v>(2,1,1,2,1,1); Industry data (French tender)</v>
      </c>
      <c r="AB11" s="112"/>
      <c r="AC11" s="77" t="s">
        <v>462</v>
      </c>
      <c r="AD11" s="339">
        <v>2</v>
      </c>
      <c r="AE11" s="339">
        <v>1</v>
      </c>
      <c r="AF11" s="339">
        <v>1</v>
      </c>
      <c r="AG11" s="339">
        <v>2</v>
      </c>
      <c r="AH11" s="339">
        <v>1</v>
      </c>
      <c r="AI11" s="339">
        <v>1</v>
      </c>
      <c r="AJ11" s="104">
        <v>3</v>
      </c>
      <c r="AK11" s="104">
        <v>1.05</v>
      </c>
      <c r="AL11" s="107">
        <f t="shared" ref="AL11:AL54" si="8">EXP(SQRT((LN(AO11)^2)+(LN(AP11)^2)+(LN(AQ11)^2)+(LN(AR11)^2)+(LN(AS11)^2)+(LN(AT11)^2)))</f>
        <v>1.0510550504206344</v>
      </c>
      <c r="AM11" s="107">
        <f t="shared" ref="AM11:AM54" si="9">EXP(SQRT((LN(AO11)^2)+(LN(AP11)^2)+(LN(AQ11)^2)+(LN(AR11)^2)+(LN(AS11)^2)+(LN(AT11)^2)+LN(AK11)^2))</f>
        <v>1.0722009304576894</v>
      </c>
      <c r="AN11" s="107" t="str">
        <f t="shared" ref="AN11:AN54" si="10">CONCATENATE("(",AD11,",",AE11,",",AF11,",",AG11,",",AH11,",",AI11,")")</f>
        <v>(2,1,1,2,1,1)</v>
      </c>
      <c r="AO11" s="108">
        <v>1.05</v>
      </c>
      <c r="AP11" s="108">
        <v>1</v>
      </c>
      <c r="AQ11" s="108">
        <v>1</v>
      </c>
      <c r="AR11" s="108">
        <v>1.01</v>
      </c>
      <c r="AS11" s="108">
        <v>1</v>
      </c>
      <c r="AT11" s="108">
        <v>1</v>
      </c>
    </row>
    <row r="12" spans="1:46" ht="24">
      <c r="A12" s="330" t="s">
        <v>554</v>
      </c>
      <c r="B12" s="331"/>
      <c r="C12" s="88"/>
      <c r="D12" s="340">
        <v>5</v>
      </c>
      <c r="E12" s="293" t="s">
        <v>98</v>
      </c>
      <c r="F12" s="432" t="s">
        <v>550</v>
      </c>
      <c r="G12" s="433" t="s">
        <v>373</v>
      </c>
      <c r="H12" s="434" t="s">
        <v>98</v>
      </c>
      <c r="I12" s="434" t="s">
        <v>98</v>
      </c>
      <c r="J12" s="94">
        <v>0</v>
      </c>
      <c r="K12" s="433" t="s">
        <v>96</v>
      </c>
      <c r="L12" s="435">
        <v>0</v>
      </c>
      <c r="M12" s="95">
        <v>1</v>
      </c>
      <c r="N12" s="96">
        <f t="shared" si="0"/>
        <v>1.0722009304576894</v>
      </c>
      <c r="O12" s="432" t="str">
        <f t="shared" si="1"/>
        <v>(2,1,1,2,1,1); Industry data (French tender)</v>
      </c>
      <c r="P12" s="435">
        <v>0</v>
      </c>
      <c r="Q12" s="95">
        <v>1</v>
      </c>
      <c r="R12" s="96">
        <f t="shared" si="2"/>
        <v>1.0722009304576894</v>
      </c>
      <c r="S12" s="432" t="str">
        <f t="shared" si="3"/>
        <v>(2,1,1,2,1,1); Industry data (French tender)</v>
      </c>
      <c r="T12" s="435">
        <v>0</v>
      </c>
      <c r="U12" s="95">
        <v>1</v>
      </c>
      <c r="V12" s="96">
        <f t="shared" si="4"/>
        <v>1.0722009304576894</v>
      </c>
      <c r="W12" s="432" t="str">
        <f t="shared" si="5"/>
        <v>(2,1,1,2,1,1); Industry data (French tender)</v>
      </c>
      <c r="X12" s="435">
        <f>L14</f>
        <v>0.58405779712591299</v>
      </c>
      <c r="Y12" s="95">
        <v>1</v>
      </c>
      <c r="Z12" s="96">
        <f t="shared" si="6"/>
        <v>1.0722009304576894</v>
      </c>
      <c r="AA12" s="432" t="str">
        <f t="shared" si="7"/>
        <v>(2,1,1,2,1,1); Industry data (French tender)</v>
      </c>
      <c r="AB12" s="113"/>
      <c r="AC12" s="77" t="s">
        <v>462</v>
      </c>
      <c r="AD12" s="339">
        <v>2</v>
      </c>
      <c r="AE12" s="339">
        <v>1</v>
      </c>
      <c r="AF12" s="339">
        <v>1</v>
      </c>
      <c r="AG12" s="339">
        <v>2</v>
      </c>
      <c r="AH12" s="339">
        <v>1</v>
      </c>
      <c r="AI12" s="339">
        <v>1</v>
      </c>
      <c r="AJ12" s="104">
        <v>3</v>
      </c>
      <c r="AK12" s="104">
        <v>1.05</v>
      </c>
      <c r="AL12" s="107">
        <f t="shared" si="8"/>
        <v>1.0510550504206344</v>
      </c>
      <c r="AM12" s="107">
        <f t="shared" si="9"/>
        <v>1.0722009304576894</v>
      </c>
      <c r="AN12" s="107" t="str">
        <f t="shared" si="10"/>
        <v>(2,1,1,2,1,1)</v>
      </c>
      <c r="AO12" s="108">
        <v>1.05</v>
      </c>
      <c r="AP12" s="108">
        <v>1</v>
      </c>
      <c r="AQ12" s="108">
        <v>1</v>
      </c>
      <c r="AR12" s="108">
        <v>1.01</v>
      </c>
      <c r="AS12" s="108">
        <v>1</v>
      </c>
      <c r="AT12" s="108">
        <v>1</v>
      </c>
    </row>
    <row r="13" spans="1:46" ht="24">
      <c r="A13" s="330" t="s">
        <v>555</v>
      </c>
      <c r="B13" s="331"/>
      <c r="C13" s="88"/>
      <c r="D13" s="340">
        <v>5</v>
      </c>
      <c r="E13" s="293" t="s">
        <v>98</v>
      </c>
      <c r="F13" s="437" t="s">
        <v>551</v>
      </c>
      <c r="G13" s="433" t="s">
        <v>215</v>
      </c>
      <c r="H13" s="434" t="s">
        <v>98</v>
      </c>
      <c r="I13" s="434" t="s">
        <v>98</v>
      </c>
      <c r="J13" s="94">
        <v>0</v>
      </c>
      <c r="K13" s="433" t="s">
        <v>96</v>
      </c>
      <c r="L13" s="435">
        <v>0</v>
      </c>
      <c r="M13" s="95">
        <v>1</v>
      </c>
      <c r="N13" s="96">
        <f t="shared" si="0"/>
        <v>1.0722009304576894</v>
      </c>
      <c r="O13" s="432" t="str">
        <f t="shared" si="1"/>
        <v>(2,1,1,2,1,1); Industry data (French tender)</v>
      </c>
      <c r="P13" s="435">
        <f>L12</f>
        <v>0</v>
      </c>
      <c r="Q13" s="95">
        <v>1</v>
      </c>
      <c r="R13" s="96">
        <f t="shared" si="2"/>
        <v>1.0722009304576894</v>
      </c>
      <c r="S13" s="432" t="str">
        <f t="shared" si="3"/>
        <v>(2,1,1,2,1,1); Industry data (French tender)</v>
      </c>
      <c r="T13" s="435">
        <f>L14</f>
        <v>0.58405779712591299</v>
      </c>
      <c r="U13" s="95">
        <v>1</v>
      </c>
      <c r="V13" s="96">
        <f t="shared" si="4"/>
        <v>1.0722009304576894</v>
      </c>
      <c r="W13" s="432" t="str">
        <f t="shared" si="5"/>
        <v>(2,1,1,2,1,1); Industry data (French tender)</v>
      </c>
      <c r="X13" s="435">
        <v>0</v>
      </c>
      <c r="Y13" s="95">
        <v>1</v>
      </c>
      <c r="Z13" s="96">
        <f t="shared" si="6"/>
        <v>1.0722009304576894</v>
      </c>
      <c r="AA13" s="432" t="str">
        <f t="shared" si="7"/>
        <v>(2,1,1,2,1,1); Industry data (French tender)</v>
      </c>
      <c r="AB13" s="112"/>
      <c r="AC13" s="77" t="s">
        <v>462</v>
      </c>
      <c r="AD13" s="339">
        <v>2</v>
      </c>
      <c r="AE13" s="339">
        <v>1</v>
      </c>
      <c r="AF13" s="339">
        <v>1</v>
      </c>
      <c r="AG13" s="339">
        <v>2</v>
      </c>
      <c r="AH13" s="339">
        <v>1</v>
      </c>
      <c r="AI13" s="339">
        <v>1</v>
      </c>
      <c r="AJ13" s="104">
        <v>3</v>
      </c>
      <c r="AK13" s="104">
        <v>1.05</v>
      </c>
      <c r="AL13" s="107">
        <f t="shared" si="8"/>
        <v>1.0510550504206344</v>
      </c>
      <c r="AM13" s="107">
        <f t="shared" si="9"/>
        <v>1.0722009304576894</v>
      </c>
      <c r="AN13" s="107" t="str">
        <f t="shared" si="10"/>
        <v>(2,1,1,2,1,1)</v>
      </c>
      <c r="AO13" s="108">
        <v>1.05</v>
      </c>
      <c r="AP13" s="108">
        <v>1</v>
      </c>
      <c r="AQ13" s="108">
        <v>1</v>
      </c>
      <c r="AR13" s="108">
        <v>1.01</v>
      </c>
      <c r="AS13" s="108">
        <v>1</v>
      </c>
      <c r="AT13" s="108">
        <v>1</v>
      </c>
    </row>
    <row r="14" spans="1:46" ht="24">
      <c r="A14" s="330" t="s">
        <v>556</v>
      </c>
      <c r="B14" s="331"/>
      <c r="C14" s="88"/>
      <c r="D14" s="340">
        <v>5</v>
      </c>
      <c r="E14" s="293" t="s">
        <v>98</v>
      </c>
      <c r="F14" s="432" t="s">
        <v>552</v>
      </c>
      <c r="G14" s="433" t="s">
        <v>93</v>
      </c>
      <c r="H14" s="434" t="s">
        <v>98</v>
      </c>
      <c r="I14" s="434" t="s">
        <v>98</v>
      </c>
      <c r="J14" s="94">
        <v>0</v>
      </c>
      <c r="K14" s="433" t="s">
        <v>96</v>
      </c>
      <c r="L14" s="435">
        <v>0.58405779712591299</v>
      </c>
      <c r="M14" s="95">
        <v>1</v>
      </c>
      <c r="N14" s="96">
        <f t="shared" si="0"/>
        <v>1.0722009304576894</v>
      </c>
      <c r="O14" s="432" t="str">
        <f t="shared" si="1"/>
        <v>(2,1,1,2,1,1); Industry data (French tender)</v>
      </c>
      <c r="P14" s="435">
        <v>0</v>
      </c>
      <c r="Q14" s="95">
        <v>1</v>
      </c>
      <c r="R14" s="96">
        <f t="shared" si="2"/>
        <v>1.0722009304576894</v>
      </c>
      <c r="S14" s="432" t="str">
        <f t="shared" si="3"/>
        <v>(2,1,1,2,1,1); Industry data (French tender)</v>
      </c>
      <c r="T14" s="435">
        <f>P14</f>
        <v>0</v>
      </c>
      <c r="U14" s="95">
        <v>1</v>
      </c>
      <c r="V14" s="96">
        <f t="shared" si="4"/>
        <v>1.0722009304576894</v>
      </c>
      <c r="W14" s="432" t="str">
        <f t="shared" si="5"/>
        <v>(2,1,1,2,1,1); Industry data (French tender)</v>
      </c>
      <c r="X14" s="435">
        <v>0</v>
      </c>
      <c r="Y14" s="95">
        <v>1</v>
      </c>
      <c r="Z14" s="96">
        <f t="shared" si="6"/>
        <v>1.0722009304576894</v>
      </c>
      <c r="AA14" s="432" t="str">
        <f t="shared" si="7"/>
        <v>(2,1,1,2,1,1); Industry data (French tender)</v>
      </c>
      <c r="AB14" s="112"/>
      <c r="AC14" s="77" t="s">
        <v>462</v>
      </c>
      <c r="AD14" s="339">
        <v>2</v>
      </c>
      <c r="AE14" s="339">
        <v>1</v>
      </c>
      <c r="AF14" s="339">
        <v>1</v>
      </c>
      <c r="AG14" s="339">
        <v>2</v>
      </c>
      <c r="AH14" s="339">
        <v>1</v>
      </c>
      <c r="AI14" s="339">
        <v>1</v>
      </c>
      <c r="AJ14" s="104">
        <v>3</v>
      </c>
      <c r="AK14" s="104">
        <v>1.05</v>
      </c>
      <c r="AL14" s="107">
        <f t="shared" si="8"/>
        <v>1.0510550504206344</v>
      </c>
      <c r="AM14" s="107">
        <f t="shared" si="9"/>
        <v>1.0722009304576894</v>
      </c>
      <c r="AN14" s="107" t="str">
        <f t="shared" si="10"/>
        <v>(2,1,1,2,1,1)</v>
      </c>
      <c r="AO14" s="108">
        <v>1.05</v>
      </c>
      <c r="AP14" s="108">
        <v>1</v>
      </c>
      <c r="AQ14" s="108">
        <v>1</v>
      </c>
      <c r="AR14" s="108">
        <v>1.01</v>
      </c>
      <c r="AS14" s="108">
        <v>1</v>
      </c>
      <c r="AT14" s="108">
        <v>1</v>
      </c>
    </row>
    <row r="15" spans="1:46" ht="12">
      <c r="A15" s="330" t="s">
        <v>449</v>
      </c>
      <c r="B15" s="331"/>
      <c r="C15" s="88"/>
      <c r="D15" s="340">
        <v>5</v>
      </c>
      <c r="E15" s="293" t="s">
        <v>98</v>
      </c>
      <c r="F15" s="432" t="s">
        <v>439</v>
      </c>
      <c r="G15" s="433" t="s">
        <v>93</v>
      </c>
      <c r="H15" s="434" t="s">
        <v>98</v>
      </c>
      <c r="I15" s="434" t="s">
        <v>98</v>
      </c>
      <c r="J15" s="94">
        <v>0</v>
      </c>
      <c r="K15" s="433" t="s">
        <v>96</v>
      </c>
      <c r="L15" s="435">
        <v>0.54105971683389997</v>
      </c>
      <c r="M15" s="95">
        <v>1</v>
      </c>
      <c r="N15" s="96">
        <f t="shared" si="0"/>
        <v>1.0722009304576894</v>
      </c>
      <c r="O15" s="432" t="str">
        <f t="shared" si="1"/>
        <v>(2,1,1,2,1,1); Industry data (French tender)</v>
      </c>
      <c r="P15" s="435">
        <v>0</v>
      </c>
      <c r="Q15" s="95">
        <v>1</v>
      </c>
      <c r="R15" s="96">
        <f t="shared" si="2"/>
        <v>1.0722009304576894</v>
      </c>
      <c r="S15" s="432" t="str">
        <f t="shared" si="3"/>
        <v>(2,1,1,2,1,1); Industry data (French tender)</v>
      </c>
      <c r="T15" s="435">
        <v>0</v>
      </c>
      <c r="U15" s="95">
        <v>1</v>
      </c>
      <c r="V15" s="96">
        <f t="shared" si="4"/>
        <v>1.0722009304576894</v>
      </c>
      <c r="W15" s="432" t="str">
        <f t="shared" si="5"/>
        <v>(2,1,1,2,1,1); Industry data (French tender)</v>
      </c>
      <c r="X15" s="435">
        <v>0</v>
      </c>
      <c r="Y15" s="95">
        <v>1</v>
      </c>
      <c r="Z15" s="96">
        <f t="shared" si="6"/>
        <v>1.0722009304576894</v>
      </c>
      <c r="AA15" s="432" t="str">
        <f t="shared" si="7"/>
        <v>(2,1,1,2,1,1); Industry data (French tender)</v>
      </c>
      <c r="AB15" s="112"/>
      <c r="AC15" s="77" t="s">
        <v>462</v>
      </c>
      <c r="AD15" s="339">
        <v>2</v>
      </c>
      <c r="AE15" s="339">
        <v>1</v>
      </c>
      <c r="AF15" s="339">
        <v>1</v>
      </c>
      <c r="AG15" s="339">
        <v>2</v>
      </c>
      <c r="AH15" s="339">
        <v>1</v>
      </c>
      <c r="AI15" s="339">
        <v>1</v>
      </c>
      <c r="AJ15" s="104">
        <v>3</v>
      </c>
      <c r="AK15" s="104">
        <v>1.05</v>
      </c>
      <c r="AL15" s="107">
        <f t="shared" si="8"/>
        <v>1.0510550504206344</v>
      </c>
      <c r="AM15" s="107">
        <f t="shared" si="9"/>
        <v>1.0722009304576894</v>
      </c>
      <c r="AN15" s="107" t="str">
        <f t="shared" si="10"/>
        <v>(2,1,1,2,1,1)</v>
      </c>
      <c r="AO15" s="108">
        <v>1.05</v>
      </c>
      <c r="AP15" s="108">
        <v>1</v>
      </c>
      <c r="AQ15" s="108">
        <v>1</v>
      </c>
      <c r="AR15" s="108">
        <v>1.01</v>
      </c>
      <c r="AS15" s="108">
        <v>1</v>
      </c>
      <c r="AT15" s="108">
        <v>1</v>
      </c>
    </row>
    <row r="16" spans="1:46" ht="12">
      <c r="A16" s="330" t="s">
        <v>450</v>
      </c>
      <c r="B16" s="331"/>
      <c r="C16" s="88"/>
      <c r="D16" s="340">
        <v>5</v>
      </c>
      <c r="E16" s="293" t="s">
        <v>98</v>
      </c>
      <c r="F16" s="432" t="s">
        <v>440</v>
      </c>
      <c r="G16" s="433" t="s">
        <v>372</v>
      </c>
      <c r="H16" s="434" t="s">
        <v>98</v>
      </c>
      <c r="I16" s="434" t="s">
        <v>98</v>
      </c>
      <c r="J16" s="94">
        <v>0</v>
      </c>
      <c r="K16" s="433" t="s">
        <v>96</v>
      </c>
      <c r="L16" s="435">
        <v>0</v>
      </c>
      <c r="M16" s="95">
        <v>1</v>
      </c>
      <c r="N16" s="96">
        <f t="shared" si="0"/>
        <v>1.0722009304576894</v>
      </c>
      <c r="O16" s="432" t="str">
        <f t="shared" si="1"/>
        <v>(2,1,1,2,1,1); Industry data (French tender)</v>
      </c>
      <c r="P16" s="435">
        <f>L15</f>
        <v>0.54105971683389997</v>
      </c>
      <c r="Q16" s="95">
        <v>1</v>
      </c>
      <c r="R16" s="96">
        <f t="shared" si="2"/>
        <v>1.0722009304576894</v>
      </c>
      <c r="S16" s="432" t="str">
        <f t="shared" si="3"/>
        <v>(2,1,1,2,1,1); Industry data (French tender)</v>
      </c>
      <c r="T16" s="435">
        <f>P15</f>
        <v>0</v>
      </c>
      <c r="U16" s="95">
        <v>1</v>
      </c>
      <c r="V16" s="96">
        <f t="shared" si="4"/>
        <v>1.0722009304576894</v>
      </c>
      <c r="W16" s="432" t="str">
        <f t="shared" si="5"/>
        <v>(2,1,1,2,1,1); Industry data (French tender)</v>
      </c>
      <c r="X16" s="435">
        <v>0</v>
      </c>
      <c r="Y16" s="95">
        <v>1</v>
      </c>
      <c r="Z16" s="96">
        <f t="shared" si="6"/>
        <v>1.0722009304576894</v>
      </c>
      <c r="AA16" s="432" t="str">
        <f t="shared" si="7"/>
        <v>(2,1,1,2,1,1); Industry data (French tender)</v>
      </c>
      <c r="AB16" s="113"/>
      <c r="AC16" s="77" t="s">
        <v>462</v>
      </c>
      <c r="AD16" s="339">
        <v>2</v>
      </c>
      <c r="AE16" s="339">
        <v>1</v>
      </c>
      <c r="AF16" s="339">
        <v>1</v>
      </c>
      <c r="AG16" s="339">
        <v>2</v>
      </c>
      <c r="AH16" s="339">
        <v>1</v>
      </c>
      <c r="AI16" s="339">
        <v>1</v>
      </c>
      <c r="AJ16" s="104">
        <v>3</v>
      </c>
      <c r="AK16" s="104">
        <v>1.05</v>
      </c>
      <c r="AL16" s="107">
        <f t="shared" si="8"/>
        <v>1.0510550504206344</v>
      </c>
      <c r="AM16" s="107">
        <f t="shared" si="9"/>
        <v>1.0722009304576894</v>
      </c>
      <c r="AN16" s="107" t="str">
        <f t="shared" si="10"/>
        <v>(2,1,1,2,1,1)</v>
      </c>
      <c r="AO16" s="108">
        <v>1.05</v>
      </c>
      <c r="AP16" s="108">
        <v>1</v>
      </c>
      <c r="AQ16" s="108">
        <v>1</v>
      </c>
      <c r="AR16" s="108">
        <v>1.01</v>
      </c>
      <c r="AS16" s="108">
        <v>1</v>
      </c>
      <c r="AT16" s="108">
        <v>1</v>
      </c>
    </row>
    <row r="17" spans="1:46" ht="12">
      <c r="A17" s="330" t="s">
        <v>451</v>
      </c>
      <c r="B17" s="331"/>
      <c r="C17" s="88"/>
      <c r="D17" s="340">
        <v>5</v>
      </c>
      <c r="E17" s="293" t="s">
        <v>98</v>
      </c>
      <c r="F17" s="432" t="s">
        <v>441</v>
      </c>
      <c r="G17" s="433" t="s">
        <v>215</v>
      </c>
      <c r="H17" s="434" t="s">
        <v>98</v>
      </c>
      <c r="I17" s="434" t="s">
        <v>98</v>
      </c>
      <c r="J17" s="94">
        <v>0</v>
      </c>
      <c r="K17" s="433" t="s">
        <v>96</v>
      </c>
      <c r="L17" s="435">
        <v>0</v>
      </c>
      <c r="M17" s="95">
        <v>1</v>
      </c>
      <c r="N17" s="96">
        <f t="shared" si="0"/>
        <v>1.0722009304576894</v>
      </c>
      <c r="O17" s="432" t="str">
        <f t="shared" si="1"/>
        <v>(2,1,1,2,1,1); Industry data (French tender)</v>
      </c>
      <c r="P17" s="435">
        <f>L16</f>
        <v>0</v>
      </c>
      <c r="Q17" s="95">
        <v>1</v>
      </c>
      <c r="R17" s="96">
        <f t="shared" si="2"/>
        <v>1.0722009304576894</v>
      </c>
      <c r="S17" s="432" t="str">
        <f t="shared" si="3"/>
        <v>(2,1,1,2,1,1); Industry data (French tender)</v>
      </c>
      <c r="T17" s="435">
        <f>L15</f>
        <v>0.54105971683389997</v>
      </c>
      <c r="U17" s="95">
        <v>1</v>
      </c>
      <c r="V17" s="96">
        <f t="shared" si="4"/>
        <v>1.0722009304576894</v>
      </c>
      <c r="W17" s="432" t="str">
        <f t="shared" si="5"/>
        <v>(2,1,1,2,1,1); Industry data (French tender)</v>
      </c>
      <c r="X17" s="435">
        <f>T16</f>
        <v>0</v>
      </c>
      <c r="Y17" s="95">
        <v>1</v>
      </c>
      <c r="Z17" s="96">
        <f t="shared" si="6"/>
        <v>1.0722009304576894</v>
      </c>
      <c r="AA17" s="432" t="str">
        <f t="shared" si="7"/>
        <v>(2,1,1,2,1,1); Industry data (French tender)</v>
      </c>
      <c r="AB17" s="112"/>
      <c r="AC17" s="77" t="s">
        <v>462</v>
      </c>
      <c r="AD17" s="339">
        <v>2</v>
      </c>
      <c r="AE17" s="339">
        <v>1</v>
      </c>
      <c r="AF17" s="339">
        <v>1</v>
      </c>
      <c r="AG17" s="339">
        <v>2</v>
      </c>
      <c r="AH17" s="339">
        <v>1</v>
      </c>
      <c r="AI17" s="339">
        <v>1</v>
      </c>
      <c r="AJ17" s="104">
        <v>3</v>
      </c>
      <c r="AK17" s="104">
        <v>1.05</v>
      </c>
      <c r="AL17" s="107">
        <f t="shared" si="8"/>
        <v>1.0510550504206344</v>
      </c>
      <c r="AM17" s="107">
        <f t="shared" si="9"/>
        <v>1.0722009304576894</v>
      </c>
      <c r="AN17" s="107" t="str">
        <f t="shared" si="10"/>
        <v>(2,1,1,2,1,1)</v>
      </c>
      <c r="AO17" s="108">
        <v>1.05</v>
      </c>
      <c r="AP17" s="108">
        <v>1</v>
      </c>
      <c r="AQ17" s="108">
        <v>1</v>
      </c>
      <c r="AR17" s="108">
        <v>1.01</v>
      </c>
      <c r="AS17" s="108">
        <v>1</v>
      </c>
      <c r="AT17" s="108">
        <v>1</v>
      </c>
    </row>
    <row r="18" spans="1:46" ht="12">
      <c r="A18" s="330" t="s">
        <v>452</v>
      </c>
      <c r="B18" s="331"/>
      <c r="C18" s="88"/>
      <c r="D18" s="340">
        <v>5</v>
      </c>
      <c r="E18" s="293" t="s">
        <v>98</v>
      </c>
      <c r="F18" s="432" t="s">
        <v>442</v>
      </c>
      <c r="G18" s="433" t="s">
        <v>373</v>
      </c>
      <c r="H18" s="434" t="s">
        <v>98</v>
      </c>
      <c r="I18" s="434" t="s">
        <v>98</v>
      </c>
      <c r="J18" s="94">
        <v>0</v>
      </c>
      <c r="K18" s="433" t="s">
        <v>96</v>
      </c>
      <c r="L18" s="435">
        <v>0</v>
      </c>
      <c r="M18" s="95">
        <v>1</v>
      </c>
      <c r="N18" s="96">
        <f t="shared" si="0"/>
        <v>1.0722009304576894</v>
      </c>
      <c r="O18" s="432" t="str">
        <f t="shared" si="1"/>
        <v>(2,1,1,2,1,1); Industry data (French tender)</v>
      </c>
      <c r="P18" s="435">
        <v>0</v>
      </c>
      <c r="Q18" s="95">
        <v>1</v>
      </c>
      <c r="R18" s="96">
        <f t="shared" si="2"/>
        <v>1.0722009304576894</v>
      </c>
      <c r="S18" s="432" t="str">
        <f t="shared" si="3"/>
        <v>(2,1,1,2,1,1); Industry data (French tender)</v>
      </c>
      <c r="T18" s="435">
        <f t="shared" ref="T18:T27" si="11">P18</f>
        <v>0</v>
      </c>
      <c r="U18" s="95">
        <v>1</v>
      </c>
      <c r="V18" s="96">
        <f t="shared" si="4"/>
        <v>1.0722009304576894</v>
      </c>
      <c r="W18" s="432" t="str">
        <f t="shared" si="5"/>
        <v>(2,1,1,2,1,1); Industry data (French tender)</v>
      </c>
      <c r="X18" s="435">
        <f>L15</f>
        <v>0.54105971683389997</v>
      </c>
      <c r="Y18" s="95">
        <v>1</v>
      </c>
      <c r="Z18" s="96">
        <f t="shared" si="6"/>
        <v>1.0722009304576894</v>
      </c>
      <c r="AA18" s="432" t="str">
        <f t="shared" si="7"/>
        <v>(2,1,1,2,1,1); Industry data (French tender)</v>
      </c>
      <c r="AB18" s="112"/>
      <c r="AC18" s="77" t="s">
        <v>462</v>
      </c>
      <c r="AD18" s="339">
        <v>2</v>
      </c>
      <c r="AE18" s="339">
        <v>1</v>
      </c>
      <c r="AF18" s="339">
        <v>1</v>
      </c>
      <c r="AG18" s="339">
        <v>2</v>
      </c>
      <c r="AH18" s="339">
        <v>1</v>
      </c>
      <c r="AI18" s="339">
        <v>1</v>
      </c>
      <c r="AJ18" s="104">
        <v>3</v>
      </c>
      <c r="AK18" s="104">
        <v>1.05</v>
      </c>
      <c r="AL18" s="107">
        <f t="shared" si="8"/>
        <v>1.0510550504206344</v>
      </c>
      <c r="AM18" s="107">
        <f t="shared" si="9"/>
        <v>1.0722009304576894</v>
      </c>
      <c r="AN18" s="107" t="str">
        <f t="shared" si="10"/>
        <v>(2,1,1,2,1,1)</v>
      </c>
      <c r="AO18" s="108">
        <v>1.05</v>
      </c>
      <c r="AP18" s="108">
        <v>1</v>
      </c>
      <c r="AQ18" s="108">
        <v>1</v>
      </c>
      <c r="AR18" s="108">
        <v>1.01</v>
      </c>
      <c r="AS18" s="108">
        <v>1</v>
      </c>
      <c r="AT18" s="108">
        <v>1</v>
      </c>
    </row>
    <row r="19" spans="1:46" ht="12">
      <c r="A19" s="330">
        <v>269253</v>
      </c>
      <c r="B19" s="331" t="s">
        <v>582</v>
      </c>
      <c r="C19" s="88"/>
      <c r="D19" s="340">
        <v>5</v>
      </c>
      <c r="E19" s="293" t="s">
        <v>98</v>
      </c>
      <c r="F19" s="432" t="s">
        <v>583</v>
      </c>
      <c r="G19" s="433" t="s">
        <v>93</v>
      </c>
      <c r="H19" s="434" t="s">
        <v>98</v>
      </c>
      <c r="I19" s="434" t="s">
        <v>98</v>
      </c>
      <c r="J19" s="94">
        <v>0</v>
      </c>
      <c r="K19" s="433" t="s">
        <v>96</v>
      </c>
      <c r="L19" s="435">
        <v>0.32387253508936897</v>
      </c>
      <c r="M19" s="95">
        <v>1</v>
      </c>
      <c r="N19" s="96">
        <f t="shared" si="0"/>
        <v>1.0722009304576894</v>
      </c>
      <c r="O19" s="432" t="str">
        <f t="shared" si="1"/>
        <v>(2,1,1,2,1,1); Industry data (French tender)</v>
      </c>
      <c r="P19" s="435">
        <f t="shared" ref="P19:P26" si="12">L19</f>
        <v>0.32387253508936897</v>
      </c>
      <c r="Q19" s="95">
        <v>1</v>
      </c>
      <c r="R19" s="96">
        <f t="shared" si="2"/>
        <v>1.0722009304576894</v>
      </c>
      <c r="S19" s="432" t="str">
        <f t="shared" si="3"/>
        <v>(2,1,1,2,1,1); Industry data (French tender)</v>
      </c>
      <c r="T19" s="435">
        <f t="shared" si="11"/>
        <v>0.32387253508936897</v>
      </c>
      <c r="U19" s="95">
        <v>1</v>
      </c>
      <c r="V19" s="96">
        <f t="shared" si="4"/>
        <v>1.0722009304576894</v>
      </c>
      <c r="W19" s="432" t="str">
        <f t="shared" si="5"/>
        <v>(2,1,1,2,1,1); Industry data (French tender)</v>
      </c>
      <c r="X19" s="435">
        <f t="shared" ref="X19:X27" si="13">P19</f>
        <v>0.32387253508936897</v>
      </c>
      <c r="Y19" s="95">
        <v>1</v>
      </c>
      <c r="Z19" s="96">
        <f t="shared" si="6"/>
        <v>1.0722009304576894</v>
      </c>
      <c r="AA19" s="432" t="str">
        <f t="shared" si="7"/>
        <v>(2,1,1,2,1,1); Industry data (French tender)</v>
      </c>
      <c r="AB19" s="112"/>
      <c r="AC19" s="77" t="s">
        <v>462</v>
      </c>
      <c r="AD19" s="339">
        <v>2</v>
      </c>
      <c r="AE19" s="339">
        <v>1</v>
      </c>
      <c r="AF19" s="339">
        <v>1</v>
      </c>
      <c r="AG19" s="339">
        <v>2</v>
      </c>
      <c r="AH19" s="339">
        <v>1</v>
      </c>
      <c r="AI19" s="339">
        <v>1</v>
      </c>
      <c r="AJ19" s="104">
        <v>3</v>
      </c>
      <c r="AK19" s="104">
        <v>1.05</v>
      </c>
      <c r="AL19" s="107">
        <f t="shared" si="8"/>
        <v>1.0510550504206344</v>
      </c>
      <c r="AM19" s="107">
        <f t="shared" si="9"/>
        <v>1.0722009304576894</v>
      </c>
      <c r="AN19" s="107" t="str">
        <f t="shared" si="10"/>
        <v>(2,1,1,2,1,1)</v>
      </c>
      <c r="AO19" s="108">
        <v>1.05</v>
      </c>
      <c r="AP19" s="108">
        <v>1</v>
      </c>
      <c r="AQ19" s="108">
        <v>1</v>
      </c>
      <c r="AR19" s="108">
        <v>1.01</v>
      </c>
      <c r="AS19" s="108">
        <v>1</v>
      </c>
      <c r="AT19" s="108">
        <v>1</v>
      </c>
    </row>
    <row r="20" spans="1:46" ht="12">
      <c r="A20" s="330">
        <v>269261</v>
      </c>
      <c r="B20" s="331"/>
      <c r="C20" s="88"/>
      <c r="D20" s="340">
        <v>5</v>
      </c>
      <c r="E20" s="293" t="s">
        <v>98</v>
      </c>
      <c r="F20" s="432" t="s">
        <v>207</v>
      </c>
      <c r="G20" s="433" t="s">
        <v>154</v>
      </c>
      <c r="H20" s="434" t="s">
        <v>98</v>
      </c>
      <c r="I20" s="434" t="s">
        <v>98</v>
      </c>
      <c r="J20" s="94">
        <v>0</v>
      </c>
      <c r="K20" s="433" t="s">
        <v>96</v>
      </c>
      <c r="L20" s="435">
        <v>4.8799999999999999E-4</v>
      </c>
      <c r="M20" s="95">
        <v>1</v>
      </c>
      <c r="N20" s="96">
        <f t="shared" si="0"/>
        <v>1.0722009304576894</v>
      </c>
      <c r="O20" s="432" t="str">
        <f t="shared" si="1"/>
        <v>(2,1,1,2,1,1); Industry data (French tender)</v>
      </c>
      <c r="P20" s="435">
        <f t="shared" si="12"/>
        <v>4.8799999999999999E-4</v>
      </c>
      <c r="Q20" s="95">
        <v>1</v>
      </c>
      <c r="R20" s="96">
        <f t="shared" si="2"/>
        <v>1.0722009304576894</v>
      </c>
      <c r="S20" s="432" t="str">
        <f t="shared" si="3"/>
        <v>(2,1,1,2,1,1); Industry data (French tender)</v>
      </c>
      <c r="T20" s="435">
        <f t="shared" si="11"/>
        <v>4.8799999999999999E-4</v>
      </c>
      <c r="U20" s="95">
        <v>1</v>
      </c>
      <c r="V20" s="96">
        <f t="shared" si="4"/>
        <v>1.0722009304576894</v>
      </c>
      <c r="W20" s="432" t="str">
        <f t="shared" si="5"/>
        <v>(2,1,1,2,1,1); Industry data (French tender)</v>
      </c>
      <c r="X20" s="435">
        <f t="shared" si="13"/>
        <v>4.8799999999999999E-4</v>
      </c>
      <c r="Y20" s="95">
        <v>1</v>
      </c>
      <c r="Z20" s="96">
        <f t="shared" si="6"/>
        <v>1.0722009304576894</v>
      </c>
      <c r="AA20" s="432" t="str">
        <f t="shared" si="7"/>
        <v>(2,1,1,2,1,1); Industry data (French tender)</v>
      </c>
      <c r="AB20" s="112"/>
      <c r="AC20" s="77" t="s">
        <v>462</v>
      </c>
      <c r="AD20" s="339">
        <v>2</v>
      </c>
      <c r="AE20" s="339">
        <v>1</v>
      </c>
      <c r="AF20" s="339">
        <v>1</v>
      </c>
      <c r="AG20" s="339">
        <v>2</v>
      </c>
      <c r="AH20" s="339">
        <v>1</v>
      </c>
      <c r="AI20" s="339">
        <v>1</v>
      </c>
      <c r="AJ20" s="104">
        <v>3</v>
      </c>
      <c r="AK20" s="104">
        <v>1.05</v>
      </c>
      <c r="AL20" s="107">
        <f t="shared" si="8"/>
        <v>1.0510550504206344</v>
      </c>
      <c r="AM20" s="107">
        <f t="shared" si="9"/>
        <v>1.0722009304576894</v>
      </c>
      <c r="AN20" s="107" t="str">
        <f t="shared" si="10"/>
        <v>(2,1,1,2,1,1)</v>
      </c>
      <c r="AO20" s="108">
        <v>1.05</v>
      </c>
      <c r="AP20" s="108">
        <v>1</v>
      </c>
      <c r="AQ20" s="108">
        <v>1</v>
      </c>
      <c r="AR20" s="108">
        <v>1.01</v>
      </c>
      <c r="AS20" s="108">
        <v>1</v>
      </c>
      <c r="AT20" s="108">
        <v>1</v>
      </c>
    </row>
    <row r="21" spans="1:46" ht="12">
      <c r="A21" s="330">
        <v>269249</v>
      </c>
      <c r="B21" s="331"/>
      <c r="C21" s="88"/>
      <c r="D21" s="340">
        <v>5</v>
      </c>
      <c r="E21" s="293" t="s">
        <v>98</v>
      </c>
      <c r="F21" s="432" t="s">
        <v>584</v>
      </c>
      <c r="G21" s="433" t="s">
        <v>93</v>
      </c>
      <c r="H21" s="434" t="s">
        <v>98</v>
      </c>
      <c r="I21" s="434" t="s">
        <v>98</v>
      </c>
      <c r="J21" s="94">
        <v>0</v>
      </c>
      <c r="K21" s="433" t="s">
        <v>96</v>
      </c>
      <c r="L21" s="435">
        <v>3.9500000000000004E-3</v>
      </c>
      <c r="M21" s="95">
        <v>1</v>
      </c>
      <c r="N21" s="96">
        <f t="shared" si="0"/>
        <v>1.0722009304576894</v>
      </c>
      <c r="O21" s="432" t="str">
        <f t="shared" si="1"/>
        <v>(2,1,1,2,1,1); Industry data (French tender)</v>
      </c>
      <c r="P21" s="435">
        <f t="shared" si="12"/>
        <v>3.9500000000000004E-3</v>
      </c>
      <c r="Q21" s="95">
        <v>1</v>
      </c>
      <c r="R21" s="96">
        <f t="shared" si="2"/>
        <v>1.0722009304576894</v>
      </c>
      <c r="S21" s="432" t="str">
        <f t="shared" si="3"/>
        <v>(2,1,1,2,1,1); Industry data (French tender)</v>
      </c>
      <c r="T21" s="435">
        <f t="shared" si="11"/>
        <v>3.9500000000000004E-3</v>
      </c>
      <c r="U21" s="95">
        <v>1</v>
      </c>
      <c r="V21" s="96">
        <f t="shared" si="4"/>
        <v>1.0722009304576894</v>
      </c>
      <c r="W21" s="432" t="str">
        <f t="shared" si="5"/>
        <v>(2,1,1,2,1,1); Industry data (French tender)</v>
      </c>
      <c r="X21" s="435">
        <f t="shared" si="13"/>
        <v>3.9500000000000004E-3</v>
      </c>
      <c r="Y21" s="95">
        <v>1</v>
      </c>
      <c r="Z21" s="96">
        <f t="shared" si="6"/>
        <v>1.0722009304576894</v>
      </c>
      <c r="AA21" s="432" t="str">
        <f t="shared" si="7"/>
        <v>(2,1,1,2,1,1); Industry data (French tender)</v>
      </c>
      <c r="AB21" s="112"/>
      <c r="AC21" s="77" t="s">
        <v>462</v>
      </c>
      <c r="AD21" s="339">
        <v>2</v>
      </c>
      <c r="AE21" s="339">
        <v>1</v>
      </c>
      <c r="AF21" s="339">
        <v>1</v>
      </c>
      <c r="AG21" s="339">
        <v>2</v>
      </c>
      <c r="AH21" s="339">
        <v>1</v>
      </c>
      <c r="AI21" s="339">
        <v>1</v>
      </c>
      <c r="AJ21" s="104">
        <v>3</v>
      </c>
      <c r="AK21" s="104">
        <v>1.05</v>
      </c>
      <c r="AL21" s="107">
        <f t="shared" si="8"/>
        <v>1.0510550504206344</v>
      </c>
      <c r="AM21" s="107">
        <f t="shared" si="9"/>
        <v>1.0722009304576894</v>
      </c>
      <c r="AN21" s="107" t="str">
        <f t="shared" si="10"/>
        <v>(2,1,1,2,1,1)</v>
      </c>
      <c r="AO21" s="108">
        <v>1.05</v>
      </c>
      <c r="AP21" s="108">
        <v>1</v>
      </c>
      <c r="AQ21" s="108">
        <v>1</v>
      </c>
      <c r="AR21" s="108">
        <v>1.01</v>
      </c>
      <c r="AS21" s="108">
        <v>1</v>
      </c>
      <c r="AT21" s="108">
        <v>1</v>
      </c>
    </row>
    <row r="22" spans="1:46" ht="24">
      <c r="A22" s="330">
        <v>269497</v>
      </c>
      <c r="B22" s="331"/>
      <c r="C22" s="88"/>
      <c r="D22" s="340">
        <v>5</v>
      </c>
      <c r="E22" s="293" t="s">
        <v>98</v>
      </c>
      <c r="F22" s="432" t="s">
        <v>468</v>
      </c>
      <c r="G22" s="433" t="s">
        <v>93</v>
      </c>
      <c r="H22" s="434" t="s">
        <v>98</v>
      </c>
      <c r="I22" s="434" t="s">
        <v>98</v>
      </c>
      <c r="J22" s="94">
        <v>0</v>
      </c>
      <c r="K22" s="433" t="s">
        <v>96</v>
      </c>
      <c r="L22" s="435">
        <v>2.5582266158494498E-3</v>
      </c>
      <c r="M22" s="95">
        <v>1</v>
      </c>
      <c r="N22" s="96">
        <f t="shared" si="0"/>
        <v>1.0722009304576894</v>
      </c>
      <c r="O22" s="432" t="str">
        <f t="shared" si="1"/>
        <v>(2,1,1,2,1,1); Industry data (French tender)</v>
      </c>
      <c r="P22" s="435">
        <f t="shared" si="12"/>
        <v>2.5582266158494498E-3</v>
      </c>
      <c r="Q22" s="95">
        <v>1</v>
      </c>
      <c r="R22" s="96">
        <f t="shared" si="2"/>
        <v>1.0722009304576894</v>
      </c>
      <c r="S22" s="432" t="str">
        <f t="shared" si="3"/>
        <v>(2,1,1,2,1,1); Industry data (French tender)</v>
      </c>
      <c r="T22" s="435">
        <f t="shared" si="11"/>
        <v>2.5582266158494498E-3</v>
      </c>
      <c r="U22" s="95">
        <v>1</v>
      </c>
      <c r="V22" s="96">
        <f t="shared" si="4"/>
        <v>1.0722009304576894</v>
      </c>
      <c r="W22" s="432" t="str">
        <f t="shared" si="5"/>
        <v>(2,1,1,2,1,1); Industry data (French tender)</v>
      </c>
      <c r="X22" s="435">
        <f t="shared" si="13"/>
        <v>2.5582266158494498E-3</v>
      </c>
      <c r="Y22" s="95">
        <v>1</v>
      </c>
      <c r="Z22" s="96">
        <f t="shared" si="6"/>
        <v>1.0722009304576894</v>
      </c>
      <c r="AA22" s="432" t="str">
        <f t="shared" si="7"/>
        <v>(2,1,1,2,1,1); Industry data (French tender)</v>
      </c>
      <c r="AB22" s="112"/>
      <c r="AC22" s="77" t="s">
        <v>462</v>
      </c>
      <c r="AD22" s="339">
        <v>2</v>
      </c>
      <c r="AE22" s="339">
        <v>1</v>
      </c>
      <c r="AF22" s="339">
        <v>1</v>
      </c>
      <c r="AG22" s="339">
        <v>2</v>
      </c>
      <c r="AH22" s="339">
        <v>1</v>
      </c>
      <c r="AI22" s="339">
        <v>1</v>
      </c>
      <c r="AJ22" s="104">
        <v>3</v>
      </c>
      <c r="AK22" s="104">
        <v>1.05</v>
      </c>
      <c r="AL22" s="107">
        <f t="shared" si="8"/>
        <v>1.0510550504206344</v>
      </c>
      <c r="AM22" s="107">
        <f t="shared" si="9"/>
        <v>1.0722009304576894</v>
      </c>
      <c r="AN22" s="107" t="str">
        <f t="shared" si="10"/>
        <v>(2,1,1,2,1,1)</v>
      </c>
      <c r="AO22" s="108">
        <v>1.05</v>
      </c>
      <c r="AP22" s="108">
        <v>1</v>
      </c>
      <c r="AQ22" s="108">
        <v>1</v>
      </c>
      <c r="AR22" s="108">
        <v>1.01</v>
      </c>
      <c r="AS22" s="108">
        <v>1</v>
      </c>
      <c r="AT22" s="108">
        <v>1</v>
      </c>
    </row>
    <row r="23" spans="1:46" ht="12">
      <c r="A23" s="330">
        <v>268995</v>
      </c>
      <c r="B23" s="331"/>
      <c r="C23" s="88"/>
      <c r="D23" s="340">
        <v>5</v>
      </c>
      <c r="E23" s="293" t="s">
        <v>98</v>
      </c>
      <c r="F23" s="432" t="s">
        <v>585</v>
      </c>
      <c r="G23" s="433" t="s">
        <v>103</v>
      </c>
      <c r="H23" s="434" t="s">
        <v>98</v>
      </c>
      <c r="I23" s="434" t="s">
        <v>98</v>
      </c>
      <c r="J23" s="94">
        <v>0</v>
      </c>
      <c r="K23" s="433" t="s">
        <v>96</v>
      </c>
      <c r="L23" s="435">
        <v>4.08971842369448E-2</v>
      </c>
      <c r="M23" s="95">
        <v>1</v>
      </c>
      <c r="N23" s="96">
        <f t="shared" si="0"/>
        <v>1.0722009304576894</v>
      </c>
      <c r="O23" s="432" t="str">
        <f t="shared" si="1"/>
        <v>(2,1,1,2,1,1); Industry data (French tender)</v>
      </c>
      <c r="P23" s="435">
        <f t="shared" si="12"/>
        <v>4.08971842369448E-2</v>
      </c>
      <c r="Q23" s="95">
        <v>1</v>
      </c>
      <c r="R23" s="96">
        <f t="shared" si="2"/>
        <v>1.0722009304576894</v>
      </c>
      <c r="S23" s="432" t="str">
        <f t="shared" si="3"/>
        <v>(2,1,1,2,1,1); Industry data (French tender)</v>
      </c>
      <c r="T23" s="435">
        <f t="shared" si="11"/>
        <v>4.08971842369448E-2</v>
      </c>
      <c r="U23" s="95">
        <v>1</v>
      </c>
      <c r="V23" s="96">
        <f t="shared" si="4"/>
        <v>1.0722009304576894</v>
      </c>
      <c r="W23" s="432" t="str">
        <f t="shared" si="5"/>
        <v>(2,1,1,2,1,1); Industry data (French tender)</v>
      </c>
      <c r="X23" s="435">
        <f t="shared" si="13"/>
        <v>4.08971842369448E-2</v>
      </c>
      <c r="Y23" s="95">
        <v>1</v>
      </c>
      <c r="Z23" s="96">
        <f t="shared" si="6"/>
        <v>1.0722009304576894</v>
      </c>
      <c r="AA23" s="432" t="str">
        <f t="shared" si="7"/>
        <v>(2,1,1,2,1,1); Industry data (French tender)</v>
      </c>
      <c r="AB23" s="112"/>
      <c r="AC23" s="77" t="s">
        <v>462</v>
      </c>
      <c r="AD23" s="339">
        <v>2</v>
      </c>
      <c r="AE23" s="339">
        <v>1</v>
      </c>
      <c r="AF23" s="339">
        <v>1</v>
      </c>
      <c r="AG23" s="339">
        <v>2</v>
      </c>
      <c r="AH23" s="339">
        <v>1</v>
      </c>
      <c r="AI23" s="339">
        <v>1</v>
      </c>
      <c r="AJ23" s="104">
        <v>3</v>
      </c>
      <c r="AK23" s="104">
        <v>1.05</v>
      </c>
      <c r="AL23" s="107">
        <f t="shared" si="8"/>
        <v>1.0510550504206344</v>
      </c>
      <c r="AM23" s="107">
        <f t="shared" si="9"/>
        <v>1.0722009304576894</v>
      </c>
      <c r="AN23" s="107" t="str">
        <f t="shared" si="10"/>
        <v>(2,1,1,2,1,1)</v>
      </c>
      <c r="AO23" s="108">
        <v>1.05</v>
      </c>
      <c r="AP23" s="108">
        <v>1</v>
      </c>
      <c r="AQ23" s="108">
        <v>1</v>
      </c>
      <c r="AR23" s="108">
        <v>1.01</v>
      </c>
      <c r="AS23" s="108">
        <v>1</v>
      </c>
      <c r="AT23" s="108">
        <v>1</v>
      </c>
    </row>
    <row r="24" spans="1:46" ht="12">
      <c r="A24" s="330">
        <v>264183</v>
      </c>
      <c r="B24" s="331"/>
      <c r="C24" s="88"/>
      <c r="D24" s="340">
        <v>5</v>
      </c>
      <c r="E24" s="293" t="s">
        <v>98</v>
      </c>
      <c r="F24" s="432" t="s">
        <v>387</v>
      </c>
      <c r="G24" s="433" t="s">
        <v>93</v>
      </c>
      <c r="H24" s="434" t="s">
        <v>98</v>
      </c>
      <c r="I24" s="434" t="s">
        <v>98</v>
      </c>
      <c r="J24" s="94">
        <v>0</v>
      </c>
      <c r="K24" s="433" t="s">
        <v>96</v>
      </c>
      <c r="L24" s="435">
        <v>3.3640127714359698E-3</v>
      </c>
      <c r="M24" s="95">
        <v>1</v>
      </c>
      <c r="N24" s="96">
        <f t="shared" si="0"/>
        <v>1.0722009304576894</v>
      </c>
      <c r="O24" s="432" t="str">
        <f t="shared" si="1"/>
        <v>(2,1,1,2,1,1); Industry data (French tender)</v>
      </c>
      <c r="P24" s="435">
        <f t="shared" si="12"/>
        <v>3.3640127714359698E-3</v>
      </c>
      <c r="Q24" s="95">
        <v>1</v>
      </c>
      <c r="R24" s="96">
        <f t="shared" si="2"/>
        <v>1.0722009304576894</v>
      </c>
      <c r="S24" s="432" t="str">
        <f t="shared" si="3"/>
        <v>(2,1,1,2,1,1); Industry data (French tender)</v>
      </c>
      <c r="T24" s="435">
        <f t="shared" si="11"/>
        <v>3.3640127714359698E-3</v>
      </c>
      <c r="U24" s="95">
        <v>1</v>
      </c>
      <c r="V24" s="96">
        <f t="shared" si="4"/>
        <v>1.0722009304576894</v>
      </c>
      <c r="W24" s="432" t="str">
        <f t="shared" si="5"/>
        <v>(2,1,1,2,1,1); Industry data (French tender)</v>
      </c>
      <c r="X24" s="435">
        <f t="shared" si="13"/>
        <v>3.3640127714359698E-3</v>
      </c>
      <c r="Y24" s="95">
        <v>1</v>
      </c>
      <c r="Z24" s="96">
        <f t="shared" si="6"/>
        <v>1.0722009304576894</v>
      </c>
      <c r="AA24" s="432" t="str">
        <f t="shared" si="7"/>
        <v>(2,1,1,2,1,1); Industry data (French tender)</v>
      </c>
      <c r="AB24" s="112"/>
      <c r="AC24" s="77" t="s">
        <v>462</v>
      </c>
      <c r="AD24" s="339">
        <v>2</v>
      </c>
      <c r="AE24" s="339">
        <v>1</v>
      </c>
      <c r="AF24" s="339">
        <v>1</v>
      </c>
      <c r="AG24" s="339">
        <v>2</v>
      </c>
      <c r="AH24" s="339">
        <v>1</v>
      </c>
      <c r="AI24" s="339">
        <v>1</v>
      </c>
      <c r="AJ24" s="104">
        <v>3</v>
      </c>
      <c r="AK24" s="104">
        <v>1.05</v>
      </c>
      <c r="AL24" s="107">
        <f t="shared" si="8"/>
        <v>1.0510550504206344</v>
      </c>
      <c r="AM24" s="107">
        <f t="shared" si="9"/>
        <v>1.0722009304576894</v>
      </c>
      <c r="AN24" s="107" t="str">
        <f t="shared" si="10"/>
        <v>(2,1,1,2,1,1)</v>
      </c>
      <c r="AO24" s="108">
        <v>1.05</v>
      </c>
      <c r="AP24" s="108">
        <v>1</v>
      </c>
      <c r="AQ24" s="108">
        <v>1</v>
      </c>
      <c r="AR24" s="108">
        <v>1.01</v>
      </c>
      <c r="AS24" s="108">
        <v>1</v>
      </c>
      <c r="AT24" s="108">
        <v>1</v>
      </c>
    </row>
    <row r="25" spans="1:46" ht="24">
      <c r="A25" s="330">
        <v>263267</v>
      </c>
      <c r="B25" s="331"/>
      <c r="C25" s="88"/>
      <c r="D25" s="340">
        <v>5</v>
      </c>
      <c r="E25" s="293" t="s">
        <v>98</v>
      </c>
      <c r="F25" s="432" t="s">
        <v>474</v>
      </c>
      <c r="G25" s="433" t="s">
        <v>93</v>
      </c>
      <c r="H25" s="434" t="s">
        <v>98</v>
      </c>
      <c r="I25" s="434" t="s">
        <v>98</v>
      </c>
      <c r="J25" s="94">
        <v>0</v>
      </c>
      <c r="K25" s="433" t="s">
        <v>96</v>
      </c>
      <c r="L25" s="435">
        <v>3.20485774706996E-4</v>
      </c>
      <c r="M25" s="95">
        <v>1</v>
      </c>
      <c r="N25" s="96">
        <f t="shared" si="0"/>
        <v>1.0722009304576894</v>
      </c>
      <c r="O25" s="432" t="str">
        <f t="shared" si="1"/>
        <v>(2,1,1,2,1,1); Industry data (French tender)</v>
      </c>
      <c r="P25" s="435">
        <f t="shared" si="12"/>
        <v>3.20485774706996E-4</v>
      </c>
      <c r="Q25" s="95">
        <v>1</v>
      </c>
      <c r="R25" s="96">
        <f t="shared" si="2"/>
        <v>1.0722009304576894</v>
      </c>
      <c r="S25" s="432" t="str">
        <f t="shared" si="3"/>
        <v>(2,1,1,2,1,1); Industry data (French tender)</v>
      </c>
      <c r="T25" s="435">
        <f t="shared" si="11"/>
        <v>3.20485774706996E-4</v>
      </c>
      <c r="U25" s="95">
        <v>1</v>
      </c>
      <c r="V25" s="96">
        <f t="shared" si="4"/>
        <v>1.0722009304576894</v>
      </c>
      <c r="W25" s="432" t="str">
        <f t="shared" si="5"/>
        <v>(2,1,1,2,1,1); Industry data (French tender)</v>
      </c>
      <c r="X25" s="435">
        <f t="shared" si="13"/>
        <v>3.20485774706996E-4</v>
      </c>
      <c r="Y25" s="95">
        <v>1</v>
      </c>
      <c r="Z25" s="96">
        <f t="shared" si="6"/>
        <v>1.0722009304576894</v>
      </c>
      <c r="AA25" s="432" t="str">
        <f t="shared" si="7"/>
        <v>(2,1,1,2,1,1); Industry data (French tender)</v>
      </c>
      <c r="AB25" s="112"/>
      <c r="AC25" s="77" t="s">
        <v>462</v>
      </c>
      <c r="AD25" s="339">
        <v>2</v>
      </c>
      <c r="AE25" s="339">
        <v>1</v>
      </c>
      <c r="AF25" s="339">
        <v>1</v>
      </c>
      <c r="AG25" s="339">
        <v>2</v>
      </c>
      <c r="AH25" s="339">
        <v>1</v>
      </c>
      <c r="AI25" s="339">
        <v>1</v>
      </c>
      <c r="AJ25" s="104">
        <v>3</v>
      </c>
      <c r="AK25" s="104">
        <v>1.05</v>
      </c>
      <c r="AL25" s="107">
        <f t="shared" si="8"/>
        <v>1.0510550504206344</v>
      </c>
      <c r="AM25" s="107">
        <f t="shared" si="9"/>
        <v>1.0722009304576894</v>
      </c>
      <c r="AN25" s="107" t="str">
        <f t="shared" si="10"/>
        <v>(2,1,1,2,1,1)</v>
      </c>
      <c r="AO25" s="108">
        <v>1.05</v>
      </c>
      <c r="AP25" s="108">
        <v>1</v>
      </c>
      <c r="AQ25" s="108">
        <v>1</v>
      </c>
      <c r="AR25" s="108">
        <v>1.01</v>
      </c>
      <c r="AS25" s="108">
        <v>1</v>
      </c>
      <c r="AT25" s="108">
        <v>1</v>
      </c>
    </row>
    <row r="26" spans="1:46" ht="12">
      <c r="A26" s="330">
        <v>264673</v>
      </c>
      <c r="B26" s="331"/>
      <c r="C26" s="88"/>
      <c r="D26" s="340">
        <v>5</v>
      </c>
      <c r="E26" s="293" t="s">
        <v>98</v>
      </c>
      <c r="F26" s="432" t="s">
        <v>586</v>
      </c>
      <c r="G26" s="433" t="s">
        <v>93</v>
      </c>
      <c r="H26" s="434" t="s">
        <v>98</v>
      </c>
      <c r="I26" s="434" t="s">
        <v>98</v>
      </c>
      <c r="J26" s="94">
        <v>0</v>
      </c>
      <c r="K26" s="433" t="s">
        <v>96</v>
      </c>
      <c r="L26" s="435">
        <v>1.0966486834808099E-4</v>
      </c>
      <c r="M26" s="95">
        <v>1</v>
      </c>
      <c r="N26" s="96">
        <f t="shared" si="0"/>
        <v>1.0722009304576894</v>
      </c>
      <c r="O26" s="432" t="str">
        <f t="shared" si="1"/>
        <v>(2,1,1,2,1,1); Industry data (French tender)</v>
      </c>
      <c r="P26" s="435">
        <f t="shared" si="12"/>
        <v>1.0966486834808099E-4</v>
      </c>
      <c r="Q26" s="95">
        <v>1</v>
      </c>
      <c r="R26" s="96">
        <f t="shared" si="2"/>
        <v>1.0722009304576894</v>
      </c>
      <c r="S26" s="432" t="str">
        <f t="shared" si="3"/>
        <v>(2,1,1,2,1,1); Industry data (French tender)</v>
      </c>
      <c r="T26" s="435">
        <f t="shared" si="11"/>
        <v>1.0966486834808099E-4</v>
      </c>
      <c r="U26" s="95">
        <v>1</v>
      </c>
      <c r="V26" s="96">
        <f t="shared" si="4"/>
        <v>1.0722009304576894</v>
      </c>
      <c r="W26" s="432" t="str">
        <f t="shared" si="5"/>
        <v>(2,1,1,2,1,1); Industry data (French tender)</v>
      </c>
      <c r="X26" s="435">
        <f t="shared" si="13"/>
        <v>1.0966486834808099E-4</v>
      </c>
      <c r="Y26" s="95">
        <v>1</v>
      </c>
      <c r="Z26" s="96">
        <f t="shared" si="6"/>
        <v>1.0722009304576894</v>
      </c>
      <c r="AA26" s="432" t="str">
        <f t="shared" si="7"/>
        <v>(2,1,1,2,1,1); Industry data (French tender)</v>
      </c>
      <c r="AB26" s="112"/>
      <c r="AC26" s="77" t="s">
        <v>462</v>
      </c>
      <c r="AD26" s="339">
        <v>2</v>
      </c>
      <c r="AE26" s="339">
        <v>1</v>
      </c>
      <c r="AF26" s="339">
        <v>1</v>
      </c>
      <c r="AG26" s="339">
        <v>2</v>
      </c>
      <c r="AH26" s="339">
        <v>1</v>
      </c>
      <c r="AI26" s="339">
        <v>1</v>
      </c>
      <c r="AJ26" s="104">
        <v>3</v>
      </c>
      <c r="AK26" s="104">
        <v>1.05</v>
      </c>
      <c r="AL26" s="107">
        <f t="shared" si="8"/>
        <v>1.0510550504206344</v>
      </c>
      <c r="AM26" s="107">
        <f t="shared" si="9"/>
        <v>1.0722009304576894</v>
      </c>
      <c r="AN26" s="107" t="str">
        <f t="shared" si="10"/>
        <v>(2,1,1,2,1,1)</v>
      </c>
      <c r="AO26" s="108">
        <v>1.05</v>
      </c>
      <c r="AP26" s="108">
        <v>1</v>
      </c>
      <c r="AQ26" s="108">
        <v>1</v>
      </c>
      <c r="AR26" s="108">
        <v>1.01</v>
      </c>
      <c r="AS26" s="108">
        <v>1</v>
      </c>
      <c r="AT26" s="108">
        <v>1</v>
      </c>
    </row>
    <row r="27" spans="1:46" ht="24">
      <c r="A27" s="330">
        <v>269603</v>
      </c>
      <c r="B27" s="331" t="s">
        <v>587</v>
      </c>
      <c r="C27" s="88"/>
      <c r="D27" s="340">
        <v>5</v>
      </c>
      <c r="E27" s="293" t="s">
        <v>98</v>
      </c>
      <c r="F27" s="432" t="s">
        <v>222</v>
      </c>
      <c r="G27" s="433" t="s">
        <v>223</v>
      </c>
      <c r="H27" s="434" t="s">
        <v>98</v>
      </c>
      <c r="I27" s="434" t="s">
        <v>98</v>
      </c>
      <c r="J27" s="94">
        <v>0</v>
      </c>
      <c r="K27" s="433" t="s">
        <v>109</v>
      </c>
      <c r="L27" s="435">
        <v>13.0874019701814</v>
      </c>
      <c r="M27" s="95">
        <v>1</v>
      </c>
      <c r="N27" s="96">
        <f t="shared" si="0"/>
        <v>1.0722009304576894</v>
      </c>
      <c r="O27" s="432" t="str">
        <f t="shared" si="1"/>
        <v>(2,1,1,2,1,1); Industry data (French tender), ENTSO-E iso CN</v>
      </c>
      <c r="P27" s="435">
        <v>0</v>
      </c>
      <c r="Q27" s="95">
        <v>1</v>
      </c>
      <c r="R27" s="96">
        <f t="shared" si="2"/>
        <v>1.0722009304576894</v>
      </c>
      <c r="S27" s="435" t="str">
        <f t="shared" si="3"/>
        <v>(2,1,1,2,1,1); Industry data (French tender), ENTSO-E iso CN</v>
      </c>
      <c r="T27" s="435">
        <f t="shared" si="11"/>
        <v>0</v>
      </c>
      <c r="U27" s="95">
        <v>1</v>
      </c>
      <c r="V27" s="96">
        <f t="shared" si="4"/>
        <v>1.0722009304576894</v>
      </c>
      <c r="W27" s="435" t="str">
        <f t="shared" si="5"/>
        <v>(2,1,1,2,1,1); Industry data (French tender), ENTSO-E iso CN</v>
      </c>
      <c r="X27" s="435">
        <f t="shared" si="13"/>
        <v>0</v>
      </c>
      <c r="Y27" s="95">
        <v>1</v>
      </c>
      <c r="Z27" s="96">
        <f t="shared" si="6"/>
        <v>1.0722009304576894</v>
      </c>
      <c r="AA27" s="432" t="str">
        <f t="shared" si="7"/>
        <v>(2,1,1,2,1,1); Industry data (French tender), ENTSO-E iso CN</v>
      </c>
      <c r="AB27" s="112"/>
      <c r="AC27" s="111" t="s">
        <v>588</v>
      </c>
      <c r="AD27" s="339">
        <v>2</v>
      </c>
      <c r="AE27" s="339">
        <v>1</v>
      </c>
      <c r="AF27" s="339">
        <v>1</v>
      </c>
      <c r="AG27" s="339">
        <v>2</v>
      </c>
      <c r="AH27" s="339">
        <v>1</v>
      </c>
      <c r="AI27" s="339">
        <v>1</v>
      </c>
      <c r="AJ27" s="104">
        <v>2</v>
      </c>
      <c r="AK27" s="104">
        <v>1.05</v>
      </c>
      <c r="AL27" s="107">
        <f t="shared" si="8"/>
        <v>1.0510550504206344</v>
      </c>
      <c r="AM27" s="107">
        <f t="shared" si="9"/>
        <v>1.0722009304576894</v>
      </c>
      <c r="AN27" s="107" t="str">
        <f t="shared" si="10"/>
        <v>(2,1,1,2,1,1)</v>
      </c>
      <c r="AO27" s="108">
        <v>1.05</v>
      </c>
      <c r="AP27" s="108">
        <v>1</v>
      </c>
      <c r="AQ27" s="108">
        <v>1</v>
      </c>
      <c r="AR27" s="108">
        <v>1.01</v>
      </c>
      <c r="AS27" s="108">
        <v>1</v>
      </c>
      <c r="AT27" s="108">
        <v>1</v>
      </c>
    </row>
    <row r="28" spans="1:46" ht="12">
      <c r="A28" s="330">
        <v>267914</v>
      </c>
      <c r="B28" s="331"/>
      <c r="C28" s="88"/>
      <c r="D28" s="340">
        <v>5</v>
      </c>
      <c r="E28" s="293" t="s">
        <v>98</v>
      </c>
      <c r="F28" s="432" t="s">
        <v>380</v>
      </c>
      <c r="G28" s="433" t="s">
        <v>372</v>
      </c>
      <c r="H28" s="434" t="s">
        <v>98</v>
      </c>
      <c r="I28" s="434" t="s">
        <v>98</v>
      </c>
      <c r="J28" s="94">
        <v>0</v>
      </c>
      <c r="K28" s="433" t="s">
        <v>109</v>
      </c>
      <c r="L28" s="435">
        <v>0</v>
      </c>
      <c r="M28" s="95">
        <v>1</v>
      </c>
      <c r="N28" s="96">
        <f t="shared" si="0"/>
        <v>1.0722009304576894</v>
      </c>
      <c r="O28" s="432" t="str">
        <f t="shared" si="1"/>
        <v>(2,1,1,2,1,1); Industry data (French tender)</v>
      </c>
      <c r="P28" s="435">
        <f>L27</f>
        <v>13.0874019701814</v>
      </c>
      <c r="Q28" s="95">
        <v>1</v>
      </c>
      <c r="R28" s="96">
        <f t="shared" si="2"/>
        <v>1.0722009304576894</v>
      </c>
      <c r="S28" s="435" t="str">
        <f t="shared" si="3"/>
        <v>(2,1,1,2,1,1); Industry data (French tender)</v>
      </c>
      <c r="T28" s="435">
        <v>0</v>
      </c>
      <c r="U28" s="95">
        <v>1</v>
      </c>
      <c r="V28" s="96">
        <f t="shared" si="4"/>
        <v>1.0722009304576894</v>
      </c>
      <c r="W28" s="435" t="str">
        <f t="shared" si="5"/>
        <v>(2,1,1,2,1,1); Industry data (French tender)</v>
      </c>
      <c r="X28" s="435">
        <v>0</v>
      </c>
      <c r="Y28" s="95">
        <v>1</v>
      </c>
      <c r="Z28" s="96">
        <f t="shared" si="6"/>
        <v>1.0722009304576894</v>
      </c>
      <c r="AA28" s="432" t="str">
        <f t="shared" si="7"/>
        <v>(2,1,1,2,1,1); Industry data (French tender)</v>
      </c>
      <c r="AB28" s="112"/>
      <c r="AC28" s="111" t="s">
        <v>462</v>
      </c>
      <c r="AD28" s="339">
        <v>2</v>
      </c>
      <c r="AE28" s="339">
        <v>1</v>
      </c>
      <c r="AF28" s="339">
        <v>1</v>
      </c>
      <c r="AG28" s="339">
        <v>2</v>
      </c>
      <c r="AH28" s="339">
        <v>1</v>
      </c>
      <c r="AI28" s="339">
        <v>1</v>
      </c>
      <c r="AJ28" s="104">
        <v>3</v>
      </c>
      <c r="AK28" s="104">
        <v>1.05</v>
      </c>
      <c r="AL28" s="107">
        <f t="shared" si="8"/>
        <v>1.0510550504206344</v>
      </c>
      <c r="AM28" s="107">
        <f t="shared" si="9"/>
        <v>1.0722009304576894</v>
      </c>
      <c r="AN28" s="107" t="str">
        <f t="shared" si="10"/>
        <v>(2,1,1,2,1,1)</v>
      </c>
      <c r="AO28" s="108">
        <v>1.05</v>
      </c>
      <c r="AP28" s="108">
        <v>1</v>
      </c>
      <c r="AQ28" s="108">
        <v>1</v>
      </c>
      <c r="AR28" s="108">
        <v>1.01</v>
      </c>
      <c r="AS28" s="108">
        <v>1</v>
      </c>
      <c r="AT28" s="108">
        <v>1</v>
      </c>
    </row>
    <row r="29" spans="1:46" ht="24">
      <c r="A29" s="330">
        <v>19772</v>
      </c>
      <c r="B29" s="331"/>
      <c r="C29" s="88"/>
      <c r="D29" s="340">
        <v>5</v>
      </c>
      <c r="E29" s="293" t="s">
        <v>98</v>
      </c>
      <c r="F29" s="432" t="s">
        <v>225</v>
      </c>
      <c r="G29" s="433" t="s">
        <v>215</v>
      </c>
      <c r="H29" s="434" t="s">
        <v>98</v>
      </c>
      <c r="I29" s="434" t="s">
        <v>98</v>
      </c>
      <c r="J29" s="94">
        <v>0</v>
      </c>
      <c r="K29" s="433" t="s">
        <v>109</v>
      </c>
      <c r="L29" s="435">
        <v>0</v>
      </c>
      <c r="M29" s="95">
        <v>1</v>
      </c>
      <c r="N29" s="96">
        <f t="shared" si="0"/>
        <v>1.0722009304576894</v>
      </c>
      <c r="O29" s="432" t="str">
        <f t="shared" si="1"/>
        <v>(2,1,1,2,1,1); Industry data (French tender), US iso CN</v>
      </c>
      <c r="P29" s="435">
        <f>L28</f>
        <v>0</v>
      </c>
      <c r="Q29" s="95">
        <v>1</v>
      </c>
      <c r="R29" s="96">
        <f t="shared" si="2"/>
        <v>1.0722009304576894</v>
      </c>
      <c r="S29" s="435" t="str">
        <f t="shared" si="3"/>
        <v>(2,1,1,2,1,1); Industry data (French tender), US iso CN</v>
      </c>
      <c r="T29" s="435">
        <f>P28</f>
        <v>13.0874019701814</v>
      </c>
      <c r="U29" s="95">
        <v>1</v>
      </c>
      <c r="V29" s="96">
        <f t="shared" si="4"/>
        <v>1.0722009304576894</v>
      </c>
      <c r="W29" s="435" t="str">
        <f t="shared" si="5"/>
        <v>(2,1,1,2,1,1); Industry data (French tender), US iso CN</v>
      </c>
      <c r="X29" s="435">
        <f>P29</f>
        <v>0</v>
      </c>
      <c r="Y29" s="95">
        <v>1</v>
      </c>
      <c r="Z29" s="96">
        <f t="shared" si="6"/>
        <v>1.0722009304576894</v>
      </c>
      <c r="AA29" s="432" t="str">
        <f t="shared" si="7"/>
        <v>(2,1,1,2,1,1); Industry data (French tender), US iso CN</v>
      </c>
      <c r="AB29" s="112"/>
      <c r="AC29" s="111" t="s">
        <v>505</v>
      </c>
      <c r="AD29" s="339">
        <v>2</v>
      </c>
      <c r="AE29" s="339">
        <v>1</v>
      </c>
      <c r="AF29" s="339">
        <v>1</v>
      </c>
      <c r="AG29" s="339">
        <v>2</v>
      </c>
      <c r="AH29" s="339">
        <v>1</v>
      </c>
      <c r="AI29" s="339">
        <v>1</v>
      </c>
      <c r="AJ29" s="104">
        <v>3</v>
      </c>
      <c r="AK29" s="104">
        <v>1.05</v>
      </c>
      <c r="AL29" s="107">
        <f t="shared" si="8"/>
        <v>1.0510550504206344</v>
      </c>
      <c r="AM29" s="107">
        <f t="shared" si="9"/>
        <v>1.0722009304576894</v>
      </c>
      <c r="AN29" s="107" t="str">
        <f t="shared" si="10"/>
        <v>(2,1,1,2,1,1)</v>
      </c>
      <c r="AO29" s="108">
        <v>1.05</v>
      </c>
      <c r="AP29" s="108">
        <v>1</v>
      </c>
      <c r="AQ29" s="108">
        <v>1</v>
      </c>
      <c r="AR29" s="108">
        <v>1.01</v>
      </c>
      <c r="AS29" s="108">
        <v>1</v>
      </c>
      <c r="AT29" s="108">
        <v>1</v>
      </c>
    </row>
    <row r="30" spans="1:46" ht="24">
      <c r="A30" s="330">
        <v>259809</v>
      </c>
      <c r="B30" s="331"/>
      <c r="C30" s="88"/>
      <c r="D30" s="340">
        <v>5</v>
      </c>
      <c r="E30" s="293" t="s">
        <v>98</v>
      </c>
      <c r="F30" s="437" t="s">
        <v>381</v>
      </c>
      <c r="G30" s="433" t="s">
        <v>382</v>
      </c>
      <c r="H30" s="434" t="s">
        <v>98</v>
      </c>
      <c r="I30" s="434" t="s">
        <v>98</v>
      </c>
      <c r="J30" s="94">
        <v>0</v>
      </c>
      <c r="K30" s="433" t="s">
        <v>109</v>
      </c>
      <c r="L30" s="435">
        <v>0</v>
      </c>
      <c r="M30" s="95">
        <v>1</v>
      </c>
      <c r="N30" s="96">
        <f t="shared" si="0"/>
        <v>1.0722009304576894</v>
      </c>
      <c r="O30" s="432" t="str">
        <f t="shared" si="1"/>
        <v>(2,1,1,2,1,1); Industry data (French tender), KR iso CN</v>
      </c>
      <c r="P30" s="435">
        <f>L29</f>
        <v>0</v>
      </c>
      <c r="Q30" s="95">
        <v>1</v>
      </c>
      <c r="R30" s="96">
        <f t="shared" si="2"/>
        <v>1.0722009304576894</v>
      </c>
      <c r="S30" s="435" t="str">
        <f t="shared" si="3"/>
        <v>(2,1,1,2,1,1); Industry data (French tender), KR iso CN</v>
      </c>
      <c r="T30" s="435">
        <f>P30</f>
        <v>0</v>
      </c>
      <c r="U30" s="95">
        <v>1</v>
      </c>
      <c r="V30" s="96">
        <f t="shared" si="4"/>
        <v>1.0722009304576894</v>
      </c>
      <c r="W30" s="435" t="str">
        <f t="shared" si="5"/>
        <v>(2,1,1,2,1,1); Industry data (French tender), KR iso CN</v>
      </c>
      <c r="X30" s="435">
        <f>L27</f>
        <v>13.0874019701814</v>
      </c>
      <c r="Y30" s="95">
        <v>1</v>
      </c>
      <c r="Z30" s="96">
        <f t="shared" si="6"/>
        <v>1.0722009304576894</v>
      </c>
      <c r="AA30" s="432" t="str">
        <f t="shared" si="7"/>
        <v>(2,1,1,2,1,1); Industry data (French tender), KR iso CN</v>
      </c>
      <c r="AB30" s="112"/>
      <c r="AC30" s="111" t="s">
        <v>589</v>
      </c>
      <c r="AD30" s="339">
        <v>2</v>
      </c>
      <c r="AE30" s="339">
        <v>1</v>
      </c>
      <c r="AF30" s="339">
        <v>1</v>
      </c>
      <c r="AG30" s="339">
        <v>2</v>
      </c>
      <c r="AH30" s="339">
        <v>1</v>
      </c>
      <c r="AI30" s="339">
        <v>1</v>
      </c>
      <c r="AJ30" s="104">
        <v>3</v>
      </c>
      <c r="AK30" s="104">
        <v>1.05</v>
      </c>
      <c r="AL30" s="107">
        <f t="shared" si="8"/>
        <v>1.0510550504206344</v>
      </c>
      <c r="AM30" s="107">
        <f t="shared" si="9"/>
        <v>1.0722009304576894</v>
      </c>
      <c r="AN30" s="107" t="str">
        <f t="shared" si="10"/>
        <v>(2,1,1,2,1,1)</v>
      </c>
      <c r="AO30" s="108">
        <v>1.05</v>
      </c>
      <c r="AP30" s="108">
        <v>1</v>
      </c>
      <c r="AQ30" s="108">
        <v>1</v>
      </c>
      <c r="AR30" s="108">
        <v>1.01</v>
      </c>
      <c r="AS30" s="108">
        <v>1</v>
      </c>
      <c r="AT30" s="108">
        <v>1</v>
      </c>
    </row>
    <row r="31" spans="1:46" ht="24">
      <c r="A31" s="330">
        <v>265573</v>
      </c>
      <c r="B31" s="331" t="s">
        <v>291</v>
      </c>
      <c r="C31" s="88"/>
      <c r="D31" s="340">
        <v>5</v>
      </c>
      <c r="E31" s="293" t="s">
        <v>98</v>
      </c>
      <c r="F31" s="432" t="s">
        <v>487</v>
      </c>
      <c r="G31" s="433" t="s">
        <v>93</v>
      </c>
      <c r="H31" s="434" t="s">
        <v>98</v>
      </c>
      <c r="I31" s="434" t="s">
        <v>98</v>
      </c>
      <c r="J31" s="94">
        <v>0</v>
      </c>
      <c r="K31" s="433" t="s">
        <v>96</v>
      </c>
      <c r="L31" s="435">
        <v>18.693907109673599</v>
      </c>
      <c r="M31" s="95">
        <v>1</v>
      </c>
      <c r="N31" s="96">
        <f t="shared" si="0"/>
        <v>1.0722009304576894</v>
      </c>
      <c r="O31" s="432" t="str">
        <f t="shared" si="1"/>
        <v>(2,1,1,2,1,1); Industry data (French tender), RER iso RoW</v>
      </c>
      <c r="P31" s="435">
        <v>0</v>
      </c>
      <c r="Q31" s="95">
        <v>1</v>
      </c>
      <c r="R31" s="96">
        <f t="shared" si="2"/>
        <v>1.0722009304576894</v>
      </c>
      <c r="S31" s="432" t="str">
        <f t="shared" si="3"/>
        <v>(2,1,1,2,1,1); Industry data (French tender), RER iso RoW</v>
      </c>
      <c r="T31" s="435">
        <v>0</v>
      </c>
      <c r="U31" s="95">
        <v>1</v>
      </c>
      <c r="V31" s="96">
        <f t="shared" si="4"/>
        <v>1.0722009304576894</v>
      </c>
      <c r="W31" s="432" t="str">
        <f t="shared" si="5"/>
        <v>(2,1,1,2,1,1); Industry data (French tender), RER iso RoW</v>
      </c>
      <c r="X31" s="435">
        <v>0</v>
      </c>
      <c r="Y31" s="95">
        <v>1</v>
      </c>
      <c r="Z31" s="96">
        <f t="shared" si="6"/>
        <v>1.0722009304576894</v>
      </c>
      <c r="AA31" s="432" t="str">
        <f t="shared" si="7"/>
        <v>(2,1,1,2,1,1); Industry data (French tender), RER iso RoW</v>
      </c>
      <c r="AB31" s="427"/>
      <c r="AC31" s="111" t="s">
        <v>478</v>
      </c>
      <c r="AD31" s="339">
        <v>2</v>
      </c>
      <c r="AE31" s="339">
        <v>1</v>
      </c>
      <c r="AF31" s="339">
        <v>1</v>
      </c>
      <c r="AG31" s="339">
        <v>2</v>
      </c>
      <c r="AH31" s="339">
        <v>1</v>
      </c>
      <c r="AI31" s="339">
        <v>1</v>
      </c>
      <c r="AJ31" s="104">
        <v>3</v>
      </c>
      <c r="AK31" s="104">
        <v>1.05</v>
      </c>
      <c r="AL31" s="107">
        <f t="shared" si="8"/>
        <v>1.0510550504206344</v>
      </c>
      <c r="AM31" s="107">
        <f t="shared" si="9"/>
        <v>1.0722009304576894</v>
      </c>
      <c r="AN31" s="107" t="str">
        <f t="shared" si="10"/>
        <v>(2,1,1,2,1,1)</v>
      </c>
      <c r="AO31" s="108">
        <v>1.05</v>
      </c>
      <c r="AP31" s="108">
        <v>1</v>
      </c>
      <c r="AQ31" s="108">
        <v>1</v>
      </c>
      <c r="AR31" s="108">
        <v>1.01</v>
      </c>
      <c r="AS31" s="108">
        <v>1</v>
      </c>
      <c r="AT31" s="108">
        <v>1</v>
      </c>
    </row>
    <row r="32" spans="1:46" ht="24">
      <c r="A32" s="330">
        <v>265763</v>
      </c>
      <c r="B32" s="331"/>
      <c r="C32" s="88"/>
      <c r="D32" s="340">
        <v>5</v>
      </c>
      <c r="E32" s="293" t="s">
        <v>98</v>
      </c>
      <c r="F32" s="432" t="s">
        <v>488</v>
      </c>
      <c r="G32" s="433" t="s">
        <v>372</v>
      </c>
      <c r="H32" s="434" t="s">
        <v>98</v>
      </c>
      <c r="I32" s="434" t="s">
        <v>98</v>
      </c>
      <c r="J32" s="94">
        <v>0</v>
      </c>
      <c r="K32" s="433" t="s">
        <v>96</v>
      </c>
      <c r="L32" s="435">
        <v>0</v>
      </c>
      <c r="M32" s="95">
        <v>1</v>
      </c>
      <c r="N32" s="96">
        <f t="shared" si="0"/>
        <v>1.0722009304576894</v>
      </c>
      <c r="O32" s="432" t="str">
        <f t="shared" si="1"/>
        <v>(2,1,1,2,1,1); Industry data (French tender), CN iso RoW</v>
      </c>
      <c r="P32" s="435">
        <f>L31</f>
        <v>18.693907109673599</v>
      </c>
      <c r="Q32" s="95">
        <v>1</v>
      </c>
      <c r="R32" s="96">
        <f t="shared" si="2"/>
        <v>1.0722009304576894</v>
      </c>
      <c r="S32" s="432" t="str">
        <f t="shared" si="3"/>
        <v>(2,1,1,2,1,1); Industry data (French tender), CN iso RoW</v>
      </c>
      <c r="T32" s="435">
        <v>0</v>
      </c>
      <c r="U32" s="95">
        <v>1</v>
      </c>
      <c r="V32" s="96">
        <f t="shared" si="4"/>
        <v>1.0722009304576894</v>
      </c>
      <c r="W32" s="432" t="str">
        <f t="shared" si="5"/>
        <v>(2,1,1,2,1,1); Industry data (French tender), CN iso RoW</v>
      </c>
      <c r="X32" s="435">
        <v>0</v>
      </c>
      <c r="Y32" s="95">
        <v>1</v>
      </c>
      <c r="Z32" s="96">
        <f t="shared" si="6"/>
        <v>1.0722009304576894</v>
      </c>
      <c r="AA32" s="432" t="str">
        <f t="shared" si="7"/>
        <v>(2,1,1,2,1,1); Industry data (French tender), CN iso RoW</v>
      </c>
      <c r="AB32" s="427"/>
      <c r="AC32" s="111" t="s">
        <v>481</v>
      </c>
      <c r="AD32" s="339">
        <v>2</v>
      </c>
      <c r="AE32" s="339">
        <v>1</v>
      </c>
      <c r="AF32" s="339">
        <v>1</v>
      </c>
      <c r="AG32" s="339">
        <v>2</v>
      </c>
      <c r="AH32" s="339">
        <v>1</v>
      </c>
      <c r="AI32" s="339">
        <v>1</v>
      </c>
      <c r="AJ32" s="104">
        <v>3</v>
      </c>
      <c r="AK32" s="104">
        <v>1.05</v>
      </c>
      <c r="AL32" s="107">
        <f t="shared" si="8"/>
        <v>1.0510550504206344</v>
      </c>
      <c r="AM32" s="107">
        <f t="shared" si="9"/>
        <v>1.0722009304576894</v>
      </c>
      <c r="AN32" s="107" t="str">
        <f t="shared" si="10"/>
        <v>(2,1,1,2,1,1)</v>
      </c>
      <c r="AO32" s="108">
        <v>1.05</v>
      </c>
      <c r="AP32" s="108">
        <v>1</v>
      </c>
      <c r="AQ32" s="108">
        <v>1</v>
      </c>
      <c r="AR32" s="108">
        <v>1.01</v>
      </c>
      <c r="AS32" s="108">
        <v>1</v>
      </c>
      <c r="AT32" s="108">
        <v>1</v>
      </c>
    </row>
    <row r="33" spans="1:46" ht="24">
      <c r="A33" s="330">
        <v>265931</v>
      </c>
      <c r="B33" s="331"/>
      <c r="C33" s="88"/>
      <c r="D33" s="340">
        <v>5</v>
      </c>
      <c r="E33" s="293" t="s">
        <v>98</v>
      </c>
      <c r="F33" s="432" t="s">
        <v>489</v>
      </c>
      <c r="G33" s="433" t="s">
        <v>215</v>
      </c>
      <c r="H33" s="434" t="s">
        <v>98</v>
      </c>
      <c r="I33" s="434" t="s">
        <v>98</v>
      </c>
      <c r="J33" s="94">
        <v>0</v>
      </c>
      <c r="K33" s="433" t="s">
        <v>96</v>
      </c>
      <c r="L33" s="435">
        <v>0</v>
      </c>
      <c r="M33" s="95">
        <v>1</v>
      </c>
      <c r="N33" s="96">
        <f t="shared" si="0"/>
        <v>1.0722009304576894</v>
      </c>
      <c r="O33" s="432" t="str">
        <f t="shared" si="1"/>
        <v>(2,1,1,2,1,1); Industry data (French tender), CN iso RoW</v>
      </c>
      <c r="P33" s="435">
        <v>0</v>
      </c>
      <c r="Q33" s="95">
        <v>1</v>
      </c>
      <c r="R33" s="96">
        <f t="shared" si="2"/>
        <v>1.0722009304576894</v>
      </c>
      <c r="S33" s="432" t="str">
        <f t="shared" si="3"/>
        <v>(2,1,1,2,1,1); Industry data (French tender), CN iso RoW</v>
      </c>
      <c r="T33" s="435">
        <f>L31</f>
        <v>18.693907109673599</v>
      </c>
      <c r="U33" s="95">
        <v>1</v>
      </c>
      <c r="V33" s="96">
        <f t="shared" si="4"/>
        <v>1.0722009304576894</v>
      </c>
      <c r="W33" s="432" t="str">
        <f t="shared" si="5"/>
        <v>(2,1,1,2,1,1); Industry data (French tender), CN iso RoW</v>
      </c>
      <c r="X33" s="435">
        <v>0</v>
      </c>
      <c r="Y33" s="95">
        <v>1</v>
      </c>
      <c r="Z33" s="96">
        <f t="shared" si="6"/>
        <v>1.0722009304576894</v>
      </c>
      <c r="AA33" s="432" t="str">
        <f t="shared" si="7"/>
        <v>(2,1,1,2,1,1); Industry data (French tender), CN iso RoW</v>
      </c>
      <c r="AB33" s="427"/>
      <c r="AC33" s="111" t="s">
        <v>481</v>
      </c>
      <c r="AD33" s="339">
        <v>2</v>
      </c>
      <c r="AE33" s="339">
        <v>1</v>
      </c>
      <c r="AF33" s="339">
        <v>1</v>
      </c>
      <c r="AG33" s="339">
        <v>2</v>
      </c>
      <c r="AH33" s="339">
        <v>1</v>
      </c>
      <c r="AI33" s="339">
        <v>1</v>
      </c>
      <c r="AJ33" s="104">
        <v>3</v>
      </c>
      <c r="AK33" s="104">
        <v>1.05</v>
      </c>
      <c r="AL33" s="107">
        <f t="shared" si="8"/>
        <v>1.0510550504206344</v>
      </c>
      <c r="AM33" s="107">
        <f t="shared" si="9"/>
        <v>1.0722009304576894</v>
      </c>
      <c r="AN33" s="107" t="str">
        <f t="shared" si="10"/>
        <v>(2,1,1,2,1,1)</v>
      </c>
      <c r="AO33" s="108">
        <v>1.05</v>
      </c>
      <c r="AP33" s="108">
        <v>1</v>
      </c>
      <c r="AQ33" s="108">
        <v>1</v>
      </c>
      <c r="AR33" s="108">
        <v>1.01</v>
      </c>
      <c r="AS33" s="108">
        <v>1</v>
      </c>
      <c r="AT33" s="108">
        <v>1</v>
      </c>
    </row>
    <row r="34" spans="1:46" ht="24">
      <c r="A34" s="330">
        <v>257458</v>
      </c>
      <c r="B34" s="331"/>
      <c r="C34" s="88"/>
      <c r="D34" s="340">
        <v>5</v>
      </c>
      <c r="E34" s="293" t="s">
        <v>98</v>
      </c>
      <c r="F34" s="432" t="s">
        <v>490</v>
      </c>
      <c r="G34" s="433" t="s">
        <v>382</v>
      </c>
      <c r="H34" s="434" t="s">
        <v>98</v>
      </c>
      <c r="I34" s="434" t="s">
        <v>98</v>
      </c>
      <c r="J34" s="94">
        <v>0</v>
      </c>
      <c r="K34" s="433" t="s">
        <v>96</v>
      </c>
      <c r="L34" s="435">
        <v>0</v>
      </c>
      <c r="M34" s="95">
        <v>1</v>
      </c>
      <c r="N34" s="96">
        <f t="shared" si="0"/>
        <v>1.0722009304576894</v>
      </c>
      <c r="O34" s="432" t="str">
        <f t="shared" si="1"/>
        <v>(2,1,1,2,1,1); Industry data (French tender), US iso RoW</v>
      </c>
      <c r="P34" s="435">
        <v>0</v>
      </c>
      <c r="Q34" s="95">
        <v>1</v>
      </c>
      <c r="R34" s="96">
        <f t="shared" si="2"/>
        <v>1.0722009304576894</v>
      </c>
      <c r="S34" s="432" t="str">
        <f t="shared" si="3"/>
        <v>(2,1,1,2,1,1); Industry data (French tender), US iso RoW</v>
      </c>
      <c r="T34" s="435">
        <v>0</v>
      </c>
      <c r="U34" s="95">
        <v>1</v>
      </c>
      <c r="V34" s="96">
        <f t="shared" si="4"/>
        <v>1.0722009304576894</v>
      </c>
      <c r="W34" s="432" t="str">
        <f t="shared" si="5"/>
        <v>(2,1,1,2,1,1); Industry data (French tender), US iso RoW</v>
      </c>
      <c r="X34" s="435">
        <f>L31</f>
        <v>18.693907109673599</v>
      </c>
      <c r="Y34" s="95">
        <v>1</v>
      </c>
      <c r="Z34" s="96">
        <f t="shared" si="6"/>
        <v>1.0722009304576894</v>
      </c>
      <c r="AA34" s="432" t="str">
        <f t="shared" si="7"/>
        <v>(2,1,1,2,1,1); Industry data (French tender), US iso RoW</v>
      </c>
      <c r="AB34" s="427"/>
      <c r="AC34" s="111" t="s">
        <v>483</v>
      </c>
      <c r="AD34" s="339">
        <v>2</v>
      </c>
      <c r="AE34" s="339">
        <v>1</v>
      </c>
      <c r="AF34" s="339">
        <v>1</v>
      </c>
      <c r="AG34" s="339">
        <v>2</v>
      </c>
      <c r="AH34" s="339">
        <v>1</v>
      </c>
      <c r="AI34" s="339">
        <v>1</v>
      </c>
      <c r="AJ34" s="104">
        <v>3</v>
      </c>
      <c r="AK34" s="104">
        <v>1.05</v>
      </c>
      <c r="AL34" s="107">
        <f t="shared" si="8"/>
        <v>1.0510550504206344</v>
      </c>
      <c r="AM34" s="107">
        <f t="shared" si="9"/>
        <v>1.0722009304576894</v>
      </c>
      <c r="AN34" s="107" t="str">
        <f t="shared" si="10"/>
        <v>(2,1,1,2,1,1)</v>
      </c>
      <c r="AO34" s="108">
        <v>1.05</v>
      </c>
      <c r="AP34" s="108">
        <v>1</v>
      </c>
      <c r="AQ34" s="108">
        <v>1</v>
      </c>
      <c r="AR34" s="108">
        <v>1.01</v>
      </c>
      <c r="AS34" s="108">
        <v>1</v>
      </c>
      <c r="AT34" s="108">
        <v>1</v>
      </c>
    </row>
    <row r="35" spans="1:46" ht="24">
      <c r="A35" s="330">
        <v>269641</v>
      </c>
      <c r="B35" s="331" t="s">
        <v>322</v>
      </c>
      <c r="C35" s="88"/>
      <c r="D35" s="340">
        <v>5</v>
      </c>
      <c r="E35" s="293" t="s">
        <v>98</v>
      </c>
      <c r="F35" s="432" t="s">
        <v>240</v>
      </c>
      <c r="G35" s="433" t="s">
        <v>93</v>
      </c>
      <c r="H35" s="434" t="s">
        <v>98</v>
      </c>
      <c r="I35" s="434" t="s">
        <v>98</v>
      </c>
      <c r="J35" s="94">
        <v>0</v>
      </c>
      <c r="K35" s="433" t="s">
        <v>115</v>
      </c>
      <c r="L35" s="435">
        <f>0.1*(SUM(L23:L26)+SUM(L21:L22)/0.5+SUM(L19:L20))+SUM(L11:L14)+0.5*SUM(L39:L41)</f>
        <v>0.69375947173073504</v>
      </c>
      <c r="M35" s="95">
        <v>1</v>
      </c>
      <c r="N35" s="96">
        <f t="shared" si="0"/>
        <v>2.0949941301068096</v>
      </c>
      <c r="O35" s="432" t="str">
        <f t="shared" si="1"/>
        <v>(4,5,na,na,na,na); Transport distance: 100km; silicon: 1000km; Disposal: 500km</v>
      </c>
      <c r="P35" s="435">
        <f t="shared" ref="P35:P43" si="14">L35</f>
        <v>0.69375947173073504</v>
      </c>
      <c r="Q35" s="95">
        <v>1</v>
      </c>
      <c r="R35" s="96">
        <f t="shared" si="2"/>
        <v>2.0949941301068096</v>
      </c>
      <c r="S35" s="432" t="str">
        <f t="shared" si="3"/>
        <v>(4,5,na,na,na,na); Transport distance: 100km; silicon: 1000km; Disposal: 500km</v>
      </c>
      <c r="T35" s="435">
        <f>P35</f>
        <v>0.69375947173073504</v>
      </c>
      <c r="U35" s="95">
        <v>1</v>
      </c>
      <c r="V35" s="96">
        <f t="shared" si="4"/>
        <v>2.0949941301068096</v>
      </c>
      <c r="W35" s="432" t="str">
        <f t="shared" si="5"/>
        <v>(4,5,na,na,na,na); Transport distance: 100km; silicon: 1000km; Disposal: 500km</v>
      </c>
      <c r="X35" s="435">
        <f>P35</f>
        <v>0.69375947173073504</v>
      </c>
      <c r="Y35" s="95">
        <v>1</v>
      </c>
      <c r="Z35" s="96">
        <f t="shared" si="6"/>
        <v>2.0949941301068096</v>
      </c>
      <c r="AA35" s="432" t="str">
        <f t="shared" si="7"/>
        <v>(4,5,na,na,na,na); Transport distance: 100km; silicon: 1000km; Disposal: 500km</v>
      </c>
      <c r="AB35" s="112"/>
      <c r="AC35" s="77" t="s">
        <v>590</v>
      </c>
      <c r="AD35" s="339">
        <v>4</v>
      </c>
      <c r="AE35" s="339">
        <v>5</v>
      </c>
      <c r="AF35" s="339" t="s">
        <v>106</v>
      </c>
      <c r="AG35" s="339" t="s">
        <v>106</v>
      </c>
      <c r="AH35" s="339" t="s">
        <v>106</v>
      </c>
      <c r="AI35" s="339" t="s">
        <v>106</v>
      </c>
      <c r="AJ35" s="104">
        <v>5</v>
      </c>
      <c r="AK35" s="104">
        <v>2</v>
      </c>
      <c r="AL35" s="107">
        <f t="shared" si="8"/>
        <v>1.2941338353151037</v>
      </c>
      <c r="AM35" s="107">
        <f t="shared" si="9"/>
        <v>2.0949941301068096</v>
      </c>
      <c r="AN35" s="107" t="str">
        <f t="shared" si="10"/>
        <v>(4,5,na,na,na,na)</v>
      </c>
      <c r="AO35" s="108">
        <v>1.2</v>
      </c>
      <c r="AP35" s="108">
        <v>1.2</v>
      </c>
      <c r="AQ35" s="108">
        <v>1</v>
      </c>
      <c r="AR35" s="108">
        <v>1</v>
      </c>
      <c r="AS35" s="108">
        <v>1</v>
      </c>
      <c r="AT35" s="108">
        <v>1</v>
      </c>
    </row>
    <row r="36" spans="1:46" ht="24">
      <c r="A36" s="330">
        <v>160371</v>
      </c>
      <c r="B36" s="331"/>
      <c r="C36" s="88"/>
      <c r="D36" s="340">
        <v>5</v>
      </c>
      <c r="E36" s="293" t="s">
        <v>98</v>
      </c>
      <c r="F36" s="432" t="s">
        <v>242</v>
      </c>
      <c r="G36" s="433" t="s">
        <v>93</v>
      </c>
      <c r="H36" s="434" t="s">
        <v>98</v>
      </c>
      <c r="I36" s="434" t="s">
        <v>98</v>
      </c>
      <c r="J36" s="94">
        <v>0</v>
      </c>
      <c r="K36" s="433" t="s">
        <v>115</v>
      </c>
      <c r="L36" s="435">
        <f>0.6*(SUM(L23:L26)+SUM(L21:L22)/0.5+SUM(L19:L20))</f>
        <v>0.22924100158350222</v>
      </c>
      <c r="M36" s="95">
        <v>1</v>
      </c>
      <c r="N36" s="96">
        <f t="shared" si="0"/>
        <v>2.0949941301068096</v>
      </c>
      <c r="O36" s="432" t="str">
        <f t="shared" si="1"/>
        <v>(4,5,na,na,na,na); Transport distance chemicals: 600 km</v>
      </c>
      <c r="P36" s="435">
        <f t="shared" si="14"/>
        <v>0.22924100158350222</v>
      </c>
      <c r="Q36" s="95">
        <v>1</v>
      </c>
      <c r="R36" s="96">
        <f t="shared" si="2"/>
        <v>2.0949941301068096</v>
      </c>
      <c r="S36" s="432" t="str">
        <f t="shared" si="3"/>
        <v>(4,5,na,na,na,na); Transport distance chemicals: 600 km</v>
      </c>
      <c r="T36" s="435">
        <f>P36</f>
        <v>0.22924100158350222</v>
      </c>
      <c r="U36" s="95">
        <v>1</v>
      </c>
      <c r="V36" s="96">
        <f t="shared" si="4"/>
        <v>2.0949941301068096</v>
      </c>
      <c r="W36" s="432" t="str">
        <f t="shared" si="5"/>
        <v>(4,5,na,na,na,na); Transport distance chemicals: 600 km</v>
      </c>
      <c r="X36" s="435">
        <f>P36</f>
        <v>0.22924100158350222</v>
      </c>
      <c r="Y36" s="95">
        <v>1</v>
      </c>
      <c r="Z36" s="96">
        <f t="shared" si="6"/>
        <v>2.0949941301068096</v>
      </c>
      <c r="AA36" s="432" t="str">
        <f t="shared" si="7"/>
        <v>(4,5,na,na,na,na); Transport distance chemicals: 600 km</v>
      </c>
      <c r="AB36" s="112"/>
      <c r="AC36" s="111" t="s">
        <v>499</v>
      </c>
      <c r="AD36" s="339">
        <v>4</v>
      </c>
      <c r="AE36" s="339">
        <v>5</v>
      </c>
      <c r="AF36" s="339" t="s">
        <v>106</v>
      </c>
      <c r="AG36" s="339" t="s">
        <v>106</v>
      </c>
      <c r="AH36" s="339" t="s">
        <v>106</v>
      </c>
      <c r="AI36" s="339" t="s">
        <v>106</v>
      </c>
      <c r="AJ36" s="104">
        <v>5</v>
      </c>
      <c r="AK36" s="104">
        <v>2</v>
      </c>
      <c r="AL36" s="107">
        <f t="shared" si="8"/>
        <v>1.2941338353151037</v>
      </c>
      <c r="AM36" s="107">
        <f t="shared" si="9"/>
        <v>2.0949941301068096</v>
      </c>
      <c r="AN36" s="107" t="str">
        <f t="shared" si="10"/>
        <v>(4,5,na,na,na,na)</v>
      </c>
      <c r="AO36" s="108">
        <v>1.2</v>
      </c>
      <c r="AP36" s="108">
        <v>1.2</v>
      </c>
      <c r="AQ36" s="108">
        <v>1</v>
      </c>
      <c r="AR36" s="108">
        <v>1</v>
      </c>
      <c r="AS36" s="108">
        <v>1</v>
      </c>
      <c r="AT36" s="108">
        <v>1</v>
      </c>
    </row>
    <row r="37" spans="1:46" ht="36">
      <c r="A37" s="330" t="s">
        <v>591</v>
      </c>
      <c r="B37" s="331" t="s">
        <v>592</v>
      </c>
      <c r="C37" s="88"/>
      <c r="D37" s="340">
        <v>5</v>
      </c>
      <c r="E37" s="293" t="s">
        <v>98</v>
      </c>
      <c r="F37" s="432" t="s">
        <v>593</v>
      </c>
      <c r="G37" s="433" t="s">
        <v>340</v>
      </c>
      <c r="H37" s="434" t="s">
        <v>98</v>
      </c>
      <c r="I37" s="434" t="s">
        <v>98</v>
      </c>
      <c r="J37" s="94">
        <v>1</v>
      </c>
      <c r="K37" s="433" t="s">
        <v>144</v>
      </c>
      <c r="L37" s="435">
        <v>5.2707076569861201E-9</v>
      </c>
      <c r="M37" s="95">
        <v>1</v>
      </c>
      <c r="N37" s="96">
        <f t="shared" si="0"/>
        <v>3.0033855645008969</v>
      </c>
      <c r="O37" s="432" t="str">
        <f t="shared" si="1"/>
        <v>(2,1,1,2,1,1); Industry data (French tender), converted to silicon factory modelled by Brailovsky (2026)</v>
      </c>
      <c r="P37" s="435">
        <f t="shared" si="14"/>
        <v>5.2707076569861201E-9</v>
      </c>
      <c r="Q37" s="95">
        <v>1</v>
      </c>
      <c r="R37" s="96">
        <f t="shared" si="2"/>
        <v>3.0033855645008969</v>
      </c>
      <c r="S37" s="432" t="str">
        <f t="shared" si="3"/>
        <v>(2,1,1,2,1,1); Industry data (French tender), converted to silicon factory modelled by Brailovsky (2026)</v>
      </c>
      <c r="T37" s="435">
        <f>P37</f>
        <v>5.2707076569861201E-9</v>
      </c>
      <c r="U37" s="95">
        <v>1</v>
      </c>
      <c r="V37" s="96">
        <f t="shared" si="4"/>
        <v>3.0033855645008969</v>
      </c>
      <c r="W37" s="432" t="str">
        <f t="shared" si="5"/>
        <v>(2,1,1,2,1,1); Industry data (French tender), converted to silicon factory modelled by Brailovsky (2026)</v>
      </c>
      <c r="X37" s="435">
        <f>P37</f>
        <v>5.2707076569861201E-9</v>
      </c>
      <c r="Y37" s="95">
        <v>1</v>
      </c>
      <c r="Z37" s="96">
        <f t="shared" si="6"/>
        <v>3.0033855645008969</v>
      </c>
      <c r="AA37" s="432" t="str">
        <f t="shared" si="7"/>
        <v>(2,1,1,2,1,1); Industry data (French tender), converted to silicon factory modelled by Brailovsky (2026)</v>
      </c>
      <c r="AB37" s="112"/>
      <c r="AC37" s="111" t="s">
        <v>509</v>
      </c>
      <c r="AD37" s="339">
        <v>2</v>
      </c>
      <c r="AE37" s="339">
        <v>1</v>
      </c>
      <c r="AF37" s="339">
        <v>1</v>
      </c>
      <c r="AG37" s="339">
        <v>2</v>
      </c>
      <c r="AH37" s="339">
        <v>1</v>
      </c>
      <c r="AI37" s="339">
        <v>1</v>
      </c>
      <c r="AJ37" s="104">
        <v>9</v>
      </c>
      <c r="AK37" s="104">
        <v>3</v>
      </c>
      <c r="AL37" s="107">
        <f t="shared" si="8"/>
        <v>1.0510550504206344</v>
      </c>
      <c r="AM37" s="107">
        <f t="shared" si="9"/>
        <v>3.0033855645008969</v>
      </c>
      <c r="AN37" s="107" t="str">
        <f t="shared" si="10"/>
        <v>(2,1,1,2,1,1)</v>
      </c>
      <c r="AO37" s="108">
        <v>1.05</v>
      </c>
      <c r="AP37" s="108">
        <v>1</v>
      </c>
      <c r="AQ37" s="108">
        <v>1</v>
      </c>
      <c r="AR37" s="108">
        <v>1.01</v>
      </c>
      <c r="AS37" s="108">
        <v>1</v>
      </c>
      <c r="AT37" s="108">
        <v>1</v>
      </c>
    </row>
    <row r="38" spans="1:46" ht="24">
      <c r="A38" s="330">
        <v>264499</v>
      </c>
      <c r="B38" s="331"/>
      <c r="C38" s="88"/>
      <c r="D38" s="340">
        <v>5</v>
      </c>
      <c r="E38" s="293" t="s">
        <v>98</v>
      </c>
      <c r="F38" s="432" t="s">
        <v>510</v>
      </c>
      <c r="G38" s="433" t="s">
        <v>93</v>
      </c>
      <c r="H38" s="434" t="s">
        <v>98</v>
      </c>
      <c r="I38" s="434" t="s">
        <v>98</v>
      </c>
      <c r="J38" s="94">
        <v>1</v>
      </c>
      <c r="K38" s="433" t="s">
        <v>96</v>
      </c>
      <c r="L38" s="435">
        <v>3.67317235204732E-2</v>
      </c>
      <c r="M38" s="95">
        <v>1</v>
      </c>
      <c r="N38" s="96">
        <f t="shared" si="0"/>
        <v>3.0033855645008969</v>
      </c>
      <c r="O38" s="432" t="str">
        <f t="shared" si="1"/>
        <v>(2,1,1,2,1,1); Industry data (French tender)</v>
      </c>
      <c r="P38" s="435">
        <f t="shared" si="14"/>
        <v>3.67317235204732E-2</v>
      </c>
      <c r="Q38" s="95">
        <v>1</v>
      </c>
      <c r="R38" s="96">
        <f t="shared" si="2"/>
        <v>3.0033855645008969</v>
      </c>
      <c r="S38" s="432" t="str">
        <f t="shared" si="3"/>
        <v>(2,1,1,2,1,1); Industry data (French tender)</v>
      </c>
      <c r="T38" s="435">
        <f>P38</f>
        <v>3.67317235204732E-2</v>
      </c>
      <c r="U38" s="95">
        <v>1</v>
      </c>
      <c r="V38" s="96">
        <f t="shared" si="4"/>
        <v>3.0033855645008969</v>
      </c>
      <c r="W38" s="432" t="str">
        <f t="shared" si="5"/>
        <v>(2,1,1,2,1,1); Industry data (French tender)</v>
      </c>
      <c r="X38" s="435">
        <f>P38</f>
        <v>3.67317235204732E-2</v>
      </c>
      <c r="Y38" s="95">
        <v>1</v>
      </c>
      <c r="Z38" s="96">
        <f t="shared" si="6"/>
        <v>3.0033855645008969</v>
      </c>
      <c r="AA38" s="432" t="str">
        <f t="shared" si="7"/>
        <v>(2,1,1,2,1,1); Industry data (French tender)</v>
      </c>
      <c r="AB38" s="112"/>
      <c r="AC38" s="77" t="s">
        <v>462</v>
      </c>
      <c r="AD38" s="339">
        <v>2</v>
      </c>
      <c r="AE38" s="339">
        <v>1</v>
      </c>
      <c r="AF38" s="339">
        <v>1</v>
      </c>
      <c r="AG38" s="339">
        <v>2</v>
      </c>
      <c r="AH38" s="339">
        <v>1</v>
      </c>
      <c r="AI38" s="339">
        <v>1</v>
      </c>
      <c r="AJ38" s="104">
        <v>9</v>
      </c>
      <c r="AK38" s="104">
        <v>3</v>
      </c>
      <c r="AL38" s="107">
        <f t="shared" si="8"/>
        <v>1.0510550504206344</v>
      </c>
      <c r="AM38" s="107">
        <f t="shared" si="9"/>
        <v>3.0033855645008969</v>
      </c>
      <c r="AN38" s="107" t="str">
        <f t="shared" si="10"/>
        <v>(2,1,1,2,1,1)</v>
      </c>
      <c r="AO38" s="108">
        <v>1.05</v>
      </c>
      <c r="AP38" s="108">
        <v>1</v>
      </c>
      <c r="AQ38" s="108">
        <v>1</v>
      </c>
      <c r="AR38" s="108">
        <v>1.01</v>
      </c>
      <c r="AS38" s="108">
        <v>1</v>
      </c>
      <c r="AT38" s="108">
        <v>1</v>
      </c>
    </row>
    <row r="39" spans="1:46" ht="24">
      <c r="A39" s="330">
        <v>79239</v>
      </c>
      <c r="B39" s="331" t="s">
        <v>511</v>
      </c>
      <c r="C39" s="88"/>
      <c r="D39" s="340">
        <v>5</v>
      </c>
      <c r="E39" s="293" t="s">
        <v>98</v>
      </c>
      <c r="F39" s="432" t="s">
        <v>512</v>
      </c>
      <c r="G39" s="433" t="s">
        <v>103</v>
      </c>
      <c r="H39" s="434" t="s">
        <v>98</v>
      </c>
      <c r="I39" s="434" t="s">
        <v>98</v>
      </c>
      <c r="J39" s="94">
        <v>0</v>
      </c>
      <c r="K39" s="433" t="s">
        <v>96</v>
      </c>
      <c r="L39" s="435">
        <v>6.4463925300421304E-2</v>
      </c>
      <c r="M39" s="95">
        <v>1</v>
      </c>
      <c r="N39" s="96">
        <f t="shared" si="0"/>
        <v>1.0722009304576894</v>
      </c>
      <c r="O39" s="432" t="str">
        <f t="shared" si="1"/>
        <v>(2,1,1,2,1,1); Industry data (French tender)</v>
      </c>
      <c r="P39" s="435">
        <f t="shared" si="14"/>
        <v>6.4463925300421304E-2</v>
      </c>
      <c r="Q39" s="95">
        <v>1</v>
      </c>
      <c r="R39" s="96">
        <f t="shared" si="2"/>
        <v>1.0722009304576894</v>
      </c>
      <c r="S39" s="432" t="str">
        <f t="shared" si="3"/>
        <v>(2,1,1,2,1,1); Industry data (French tender)</v>
      </c>
      <c r="T39" s="435">
        <f>L39</f>
        <v>6.4463925300421304E-2</v>
      </c>
      <c r="U39" s="95">
        <v>1</v>
      </c>
      <c r="V39" s="96">
        <f t="shared" si="4"/>
        <v>1.0722009304576894</v>
      </c>
      <c r="W39" s="432" t="str">
        <f t="shared" si="5"/>
        <v>(2,1,1,2,1,1); Industry data (French tender)</v>
      </c>
      <c r="X39" s="435">
        <f>L39</f>
        <v>6.4463925300421304E-2</v>
      </c>
      <c r="Y39" s="95">
        <v>1</v>
      </c>
      <c r="Z39" s="96">
        <f t="shared" si="6"/>
        <v>1.0722009304576894</v>
      </c>
      <c r="AA39" s="432" t="str">
        <f t="shared" si="7"/>
        <v>(2,1,1,2,1,1); Industry data (French tender)</v>
      </c>
      <c r="AB39" s="113"/>
      <c r="AC39" s="77" t="s">
        <v>462</v>
      </c>
      <c r="AD39" s="339">
        <v>2</v>
      </c>
      <c r="AE39" s="339">
        <v>1</v>
      </c>
      <c r="AF39" s="339">
        <v>1</v>
      </c>
      <c r="AG39" s="339">
        <v>2</v>
      </c>
      <c r="AH39" s="339">
        <v>1</v>
      </c>
      <c r="AI39" s="339">
        <v>1</v>
      </c>
      <c r="AJ39" s="104">
        <v>6</v>
      </c>
      <c r="AK39" s="104">
        <v>1.05</v>
      </c>
      <c r="AL39" s="107">
        <f t="shared" si="8"/>
        <v>1.0510550504206344</v>
      </c>
      <c r="AM39" s="107">
        <f t="shared" si="9"/>
        <v>1.0722009304576894</v>
      </c>
      <c r="AN39" s="107" t="str">
        <f t="shared" si="10"/>
        <v>(2,1,1,2,1,1)</v>
      </c>
      <c r="AO39" s="108">
        <v>1.05</v>
      </c>
      <c r="AP39" s="108">
        <v>1</v>
      </c>
      <c r="AQ39" s="108">
        <v>1</v>
      </c>
      <c r="AR39" s="108">
        <v>1.01</v>
      </c>
      <c r="AS39" s="108">
        <v>1</v>
      </c>
      <c r="AT39" s="108">
        <v>1</v>
      </c>
    </row>
    <row r="40" spans="1:46" ht="24">
      <c r="A40" s="330">
        <v>268853</v>
      </c>
      <c r="B40" s="331"/>
      <c r="C40" s="88"/>
      <c r="D40" s="340">
        <v>5</v>
      </c>
      <c r="E40" s="293" t="s">
        <v>98</v>
      </c>
      <c r="F40" s="432" t="s">
        <v>514</v>
      </c>
      <c r="G40" s="433" t="s">
        <v>103</v>
      </c>
      <c r="H40" s="434" t="s">
        <v>98</v>
      </c>
      <c r="I40" s="434" t="s">
        <v>98</v>
      </c>
      <c r="J40" s="94">
        <v>0</v>
      </c>
      <c r="K40" s="433" t="s">
        <v>96</v>
      </c>
      <c r="L40" s="435">
        <v>2.2305756714722E-2</v>
      </c>
      <c r="M40" s="95">
        <v>1</v>
      </c>
      <c r="N40" s="96">
        <f t="shared" si="0"/>
        <v>1.0722009304576894</v>
      </c>
      <c r="O40" s="432" t="str">
        <f t="shared" si="1"/>
        <v>(2,1,1,2,1,1); Industry data (French tender)</v>
      </c>
      <c r="P40" s="435">
        <f t="shared" si="14"/>
        <v>2.2305756714722E-2</v>
      </c>
      <c r="Q40" s="95">
        <v>1</v>
      </c>
      <c r="R40" s="96">
        <f t="shared" si="2"/>
        <v>1.0722009304576894</v>
      </c>
      <c r="S40" s="432" t="str">
        <f t="shared" si="3"/>
        <v>(2,1,1,2,1,1); Industry data (French tender)</v>
      </c>
      <c r="T40" s="435">
        <f>L40</f>
        <v>2.2305756714722E-2</v>
      </c>
      <c r="U40" s="95">
        <v>1</v>
      </c>
      <c r="V40" s="96">
        <f t="shared" si="4"/>
        <v>1.0722009304576894</v>
      </c>
      <c r="W40" s="432" t="str">
        <f t="shared" si="5"/>
        <v>(2,1,1,2,1,1); Industry data (French tender)</v>
      </c>
      <c r="X40" s="435">
        <f>L40</f>
        <v>2.2305756714722E-2</v>
      </c>
      <c r="Y40" s="95">
        <v>1</v>
      </c>
      <c r="Z40" s="96">
        <f t="shared" si="6"/>
        <v>1.0722009304576894</v>
      </c>
      <c r="AA40" s="432" t="str">
        <f t="shared" si="7"/>
        <v>(2,1,1,2,1,1); Industry data (French tender)</v>
      </c>
      <c r="AB40" s="113"/>
      <c r="AC40" s="77" t="s">
        <v>462</v>
      </c>
      <c r="AD40" s="339">
        <v>2</v>
      </c>
      <c r="AE40" s="339">
        <v>1</v>
      </c>
      <c r="AF40" s="339">
        <v>1</v>
      </c>
      <c r="AG40" s="339">
        <v>2</v>
      </c>
      <c r="AH40" s="339">
        <v>1</v>
      </c>
      <c r="AI40" s="339">
        <v>1</v>
      </c>
      <c r="AJ40" s="104">
        <v>6</v>
      </c>
      <c r="AK40" s="104">
        <v>1.05</v>
      </c>
      <c r="AL40" s="107">
        <f t="shared" si="8"/>
        <v>1.0510550504206344</v>
      </c>
      <c r="AM40" s="107">
        <f t="shared" si="9"/>
        <v>1.0722009304576894</v>
      </c>
      <c r="AN40" s="107" t="str">
        <f t="shared" si="10"/>
        <v>(2,1,1,2,1,1)</v>
      </c>
      <c r="AO40" s="108">
        <v>1.05</v>
      </c>
      <c r="AP40" s="108">
        <v>1</v>
      </c>
      <c r="AQ40" s="108">
        <v>1</v>
      </c>
      <c r="AR40" s="108">
        <v>1.01</v>
      </c>
      <c r="AS40" s="108">
        <v>1</v>
      </c>
      <c r="AT40" s="108">
        <v>1</v>
      </c>
    </row>
    <row r="41" spans="1:46" ht="24">
      <c r="A41" s="330">
        <v>157753</v>
      </c>
      <c r="B41" s="331"/>
      <c r="C41" s="88"/>
      <c r="D41" s="340">
        <v>5</v>
      </c>
      <c r="E41" s="293" t="s">
        <v>98</v>
      </c>
      <c r="F41" s="432" t="s">
        <v>515</v>
      </c>
      <c r="G41" s="433" t="s">
        <v>103</v>
      </c>
      <c r="H41" s="434" t="s">
        <v>98</v>
      </c>
      <c r="I41" s="434" t="s">
        <v>98</v>
      </c>
      <c r="J41" s="94">
        <v>0</v>
      </c>
      <c r="K41" s="433" t="s">
        <v>96</v>
      </c>
      <c r="L41" s="435">
        <v>5.6219999999999999E-2</v>
      </c>
      <c r="M41" s="95">
        <v>1</v>
      </c>
      <c r="N41" s="96">
        <f t="shared" si="0"/>
        <v>1.0722009304576894</v>
      </c>
      <c r="O41" s="432" t="str">
        <f t="shared" si="1"/>
        <v>(2,1,1,2,1,1); Industry data (French tender)</v>
      </c>
      <c r="P41" s="435">
        <f t="shared" si="14"/>
        <v>5.6219999999999999E-2</v>
      </c>
      <c r="Q41" s="95">
        <v>1</v>
      </c>
      <c r="R41" s="96">
        <f t="shared" si="2"/>
        <v>1.0722009304576894</v>
      </c>
      <c r="S41" s="432" t="str">
        <f t="shared" si="3"/>
        <v>(2,1,1,2,1,1); Industry data (French tender)</v>
      </c>
      <c r="T41" s="435">
        <f>L41</f>
        <v>5.6219999999999999E-2</v>
      </c>
      <c r="U41" s="95">
        <v>1</v>
      </c>
      <c r="V41" s="96">
        <f t="shared" si="4"/>
        <v>1.0722009304576894</v>
      </c>
      <c r="W41" s="432" t="str">
        <f t="shared" si="5"/>
        <v>(2,1,1,2,1,1); Industry data (French tender)</v>
      </c>
      <c r="X41" s="435">
        <f>L41</f>
        <v>5.6219999999999999E-2</v>
      </c>
      <c r="Y41" s="95">
        <v>1</v>
      </c>
      <c r="Z41" s="96">
        <f t="shared" si="6"/>
        <v>1.0722009304576894</v>
      </c>
      <c r="AA41" s="432" t="str">
        <f t="shared" si="7"/>
        <v>(2,1,1,2,1,1); Industry data (French tender)</v>
      </c>
      <c r="AB41" s="113"/>
      <c r="AC41" s="77" t="s">
        <v>462</v>
      </c>
      <c r="AD41" s="339">
        <v>2</v>
      </c>
      <c r="AE41" s="339">
        <v>1</v>
      </c>
      <c r="AF41" s="339">
        <v>1</v>
      </c>
      <c r="AG41" s="339">
        <v>2</v>
      </c>
      <c r="AH41" s="339">
        <v>1</v>
      </c>
      <c r="AI41" s="339">
        <v>1</v>
      </c>
      <c r="AJ41" s="104">
        <v>6</v>
      </c>
      <c r="AK41" s="104">
        <v>1.05</v>
      </c>
      <c r="AL41" s="107">
        <f t="shared" si="8"/>
        <v>1.0510550504206344</v>
      </c>
      <c r="AM41" s="107">
        <f t="shared" si="9"/>
        <v>1.0722009304576894</v>
      </c>
      <c r="AN41" s="107" t="str">
        <f t="shared" si="10"/>
        <v>(2,1,1,2,1,1)</v>
      </c>
      <c r="AO41" s="108">
        <v>1.05</v>
      </c>
      <c r="AP41" s="108">
        <v>1</v>
      </c>
      <c r="AQ41" s="108">
        <v>1</v>
      </c>
      <c r="AR41" s="108">
        <v>1.01</v>
      </c>
      <c r="AS41" s="108">
        <v>1</v>
      </c>
      <c r="AT41" s="108">
        <v>1</v>
      </c>
    </row>
    <row r="42" spans="1:46" ht="24">
      <c r="A42" s="330">
        <v>269385</v>
      </c>
      <c r="B42" s="331"/>
      <c r="C42" s="88"/>
      <c r="D42" s="340">
        <v>5</v>
      </c>
      <c r="E42" s="293" t="s">
        <v>98</v>
      </c>
      <c r="F42" s="432" t="s">
        <v>518</v>
      </c>
      <c r="G42" s="433" t="s">
        <v>103</v>
      </c>
      <c r="H42" s="434" t="s">
        <v>98</v>
      </c>
      <c r="I42" s="434" t="s">
        <v>98</v>
      </c>
      <c r="J42" s="94">
        <v>0</v>
      </c>
      <c r="K42" s="433" t="s">
        <v>119</v>
      </c>
      <c r="L42" s="435">
        <v>1.6574509950967199E-2</v>
      </c>
      <c r="M42" s="95">
        <v>1</v>
      </c>
      <c r="N42" s="96">
        <f t="shared" si="0"/>
        <v>1.0722009304576894</v>
      </c>
      <c r="O42" s="432" t="str">
        <f t="shared" si="1"/>
        <v>(2,1,1,2,1,1); Industry data (French tender)</v>
      </c>
      <c r="P42" s="435">
        <f t="shared" si="14"/>
        <v>1.6574509950967199E-2</v>
      </c>
      <c r="Q42" s="95">
        <v>1</v>
      </c>
      <c r="R42" s="96">
        <f t="shared" si="2"/>
        <v>1.0722009304576894</v>
      </c>
      <c r="S42" s="432" t="str">
        <f t="shared" si="3"/>
        <v>(2,1,1,2,1,1); Industry data (French tender)</v>
      </c>
      <c r="T42" s="435">
        <f>L42</f>
        <v>1.6574509950967199E-2</v>
      </c>
      <c r="U42" s="95">
        <v>1</v>
      </c>
      <c r="V42" s="96">
        <f t="shared" si="4"/>
        <v>1.0722009304576894</v>
      </c>
      <c r="W42" s="432" t="str">
        <f t="shared" si="5"/>
        <v>(2,1,1,2,1,1); Industry data (French tender)</v>
      </c>
      <c r="X42" s="435">
        <f>L42</f>
        <v>1.6574509950967199E-2</v>
      </c>
      <c r="Y42" s="95">
        <v>1</v>
      </c>
      <c r="Z42" s="96">
        <f t="shared" si="6"/>
        <v>1.0722009304576894</v>
      </c>
      <c r="AA42" s="432" t="str">
        <f t="shared" si="7"/>
        <v>(2,1,1,2,1,1); Industry data (French tender)</v>
      </c>
      <c r="AB42" s="113"/>
      <c r="AC42" s="77" t="s">
        <v>462</v>
      </c>
      <c r="AD42" s="339">
        <v>2</v>
      </c>
      <c r="AE42" s="339">
        <v>1</v>
      </c>
      <c r="AF42" s="339">
        <v>1</v>
      </c>
      <c r="AG42" s="339">
        <v>2</v>
      </c>
      <c r="AH42" s="339">
        <v>1</v>
      </c>
      <c r="AI42" s="339">
        <v>1</v>
      </c>
      <c r="AJ42" s="104">
        <v>6</v>
      </c>
      <c r="AK42" s="104">
        <v>1.05</v>
      </c>
      <c r="AL42" s="107">
        <f t="shared" si="8"/>
        <v>1.0510550504206344</v>
      </c>
      <c r="AM42" s="107">
        <f t="shared" si="9"/>
        <v>1.0722009304576894</v>
      </c>
      <c r="AN42" s="107" t="str">
        <f t="shared" si="10"/>
        <v>(2,1,1,2,1,1)</v>
      </c>
      <c r="AO42" s="108">
        <v>1.05</v>
      </c>
      <c r="AP42" s="108">
        <v>1</v>
      </c>
      <c r="AQ42" s="108">
        <v>1</v>
      </c>
      <c r="AR42" s="108">
        <v>1.01</v>
      </c>
      <c r="AS42" s="108">
        <v>1</v>
      </c>
      <c r="AT42" s="108">
        <v>1</v>
      </c>
    </row>
    <row r="43" spans="1:46" s="171" customFormat="1" ht="12">
      <c r="A43" s="333">
        <v>21844</v>
      </c>
      <c r="B43" s="216" t="s">
        <v>594</v>
      </c>
      <c r="C43" s="334"/>
      <c r="D43" s="360" t="s">
        <v>98</v>
      </c>
      <c r="E43" s="343">
        <v>4</v>
      </c>
      <c r="F43" s="437" t="s">
        <v>121</v>
      </c>
      <c r="G43" s="438" t="s">
        <v>98</v>
      </c>
      <c r="H43" s="439" t="s">
        <v>247</v>
      </c>
      <c r="I43" s="439" t="s">
        <v>258</v>
      </c>
      <c r="J43" s="335" t="s">
        <v>98</v>
      </c>
      <c r="K43" s="438" t="s">
        <v>104</v>
      </c>
      <c r="L43" s="440">
        <f>L27*3.6</f>
        <v>47.114647092653044</v>
      </c>
      <c r="M43" s="336">
        <v>1</v>
      </c>
      <c r="N43" s="337">
        <f t="shared" si="0"/>
        <v>1.3965935359732646</v>
      </c>
      <c r="O43" s="437" t="str">
        <f t="shared" si="1"/>
        <v>(4,4,4,3,1,5); calculated</v>
      </c>
      <c r="P43" s="440">
        <f t="shared" si="14"/>
        <v>47.114647092653044</v>
      </c>
      <c r="Q43" s="336">
        <v>1</v>
      </c>
      <c r="R43" s="337">
        <f t="shared" si="2"/>
        <v>1.3965935359732646</v>
      </c>
      <c r="S43" s="437" t="str">
        <f t="shared" si="3"/>
        <v>(4,4,4,3,1,5); calculated</v>
      </c>
      <c r="T43" s="440">
        <f>P43</f>
        <v>47.114647092653044</v>
      </c>
      <c r="U43" s="336">
        <v>1</v>
      </c>
      <c r="V43" s="337">
        <f t="shared" si="4"/>
        <v>1.3965935359732646</v>
      </c>
      <c r="W43" s="437" t="str">
        <f t="shared" si="5"/>
        <v>(4,4,4,3,1,5); calculated</v>
      </c>
      <c r="X43" s="440">
        <f>P43</f>
        <v>47.114647092653044</v>
      </c>
      <c r="Y43" s="336">
        <v>1</v>
      </c>
      <c r="Z43" s="337">
        <f t="shared" si="6"/>
        <v>1.3965935359732646</v>
      </c>
      <c r="AA43" s="437" t="str">
        <f t="shared" si="7"/>
        <v>(4,4,4,3,1,5); calculated</v>
      </c>
      <c r="AB43" s="338"/>
      <c r="AC43" s="77" t="s">
        <v>543</v>
      </c>
      <c r="AD43" s="339">
        <v>4</v>
      </c>
      <c r="AE43" s="339">
        <v>4</v>
      </c>
      <c r="AF43" s="339">
        <v>4</v>
      </c>
      <c r="AG43" s="339">
        <v>3</v>
      </c>
      <c r="AH43" s="339">
        <v>1</v>
      </c>
      <c r="AI43" s="339">
        <v>5</v>
      </c>
      <c r="AJ43" s="104">
        <v>13</v>
      </c>
      <c r="AK43" s="104">
        <v>1.05</v>
      </c>
      <c r="AL43" s="107">
        <f t="shared" si="8"/>
        <v>1.3915993050235766</v>
      </c>
      <c r="AM43" s="107">
        <f t="shared" si="9"/>
        <v>1.3965935359732646</v>
      </c>
      <c r="AN43" s="107" t="str">
        <f t="shared" si="10"/>
        <v>(4,4,4,3,1,5)</v>
      </c>
      <c r="AO43" s="108">
        <v>1.2</v>
      </c>
      <c r="AP43" s="108">
        <v>1.1000000000000001</v>
      </c>
      <c r="AQ43" s="108">
        <v>1.2</v>
      </c>
      <c r="AR43" s="108">
        <v>1.02</v>
      </c>
      <c r="AS43" s="108">
        <v>1</v>
      </c>
      <c r="AT43" s="108">
        <v>1.2</v>
      </c>
    </row>
    <row r="44" spans="1:46" s="171" customFormat="1" ht="24">
      <c r="A44" s="333">
        <v>75740</v>
      </c>
      <c r="B44" s="216"/>
      <c r="C44" s="334"/>
      <c r="D44" s="360" t="s">
        <v>98</v>
      </c>
      <c r="E44" s="343">
        <v>4</v>
      </c>
      <c r="F44" s="437" t="s">
        <v>521</v>
      </c>
      <c r="G44" s="438" t="s">
        <v>98</v>
      </c>
      <c r="H44" s="439" t="s">
        <v>247</v>
      </c>
      <c r="I44" s="439" t="s">
        <v>248</v>
      </c>
      <c r="J44" s="335" t="s">
        <v>98</v>
      </c>
      <c r="K44" s="438" t="s">
        <v>96</v>
      </c>
      <c r="L44" s="440">
        <f>L31-L42*1000</f>
        <v>2.119397158706402</v>
      </c>
      <c r="M44" s="336">
        <v>1</v>
      </c>
      <c r="N44" s="337">
        <f t="shared" si="0"/>
        <v>1.6871983667168997</v>
      </c>
      <c r="O44" s="437" t="str">
        <f t="shared" si="1"/>
        <v>(4,4,4,3,1,5); Calculated: Tap water input - wastewater treated</v>
      </c>
      <c r="P44" s="440">
        <v>0</v>
      </c>
      <c r="Q44" s="336">
        <v>1</v>
      </c>
      <c r="R44" s="337">
        <f t="shared" si="2"/>
        <v>1.6871983667168997</v>
      </c>
      <c r="S44" s="437" t="str">
        <f t="shared" si="3"/>
        <v>(4,4,4,3,1,5); Calculated: Tap water input - wastewater treated</v>
      </c>
      <c r="T44" s="440">
        <v>0</v>
      </c>
      <c r="U44" s="336">
        <v>1</v>
      </c>
      <c r="V44" s="337">
        <f t="shared" si="4"/>
        <v>1.6871983667168997</v>
      </c>
      <c r="W44" s="437" t="str">
        <f t="shared" si="5"/>
        <v>(4,4,4,3,1,5); Calculated: Tap water input - wastewater treated</v>
      </c>
      <c r="X44" s="440">
        <f>L45</f>
        <v>0</v>
      </c>
      <c r="Y44" s="336">
        <v>1</v>
      </c>
      <c r="Z44" s="337">
        <f t="shared" si="6"/>
        <v>1.6871983667168997</v>
      </c>
      <c r="AA44" s="437" t="str">
        <f t="shared" si="7"/>
        <v>(4,4,4,3,1,5); Calculated: Tap water input - wastewater treated</v>
      </c>
      <c r="AB44" s="338"/>
      <c r="AC44" s="77" t="s">
        <v>595</v>
      </c>
      <c r="AD44" s="339">
        <v>4</v>
      </c>
      <c r="AE44" s="339">
        <v>4</v>
      </c>
      <c r="AF44" s="339">
        <v>4</v>
      </c>
      <c r="AG44" s="339">
        <v>3</v>
      </c>
      <c r="AH44" s="339">
        <v>1</v>
      </c>
      <c r="AI44" s="339">
        <v>5</v>
      </c>
      <c r="AJ44" s="104">
        <v>31</v>
      </c>
      <c r="AK44" s="104">
        <v>1.5</v>
      </c>
      <c r="AL44" s="107">
        <f t="shared" si="8"/>
        <v>1.3915993050235766</v>
      </c>
      <c r="AM44" s="107">
        <f t="shared" si="9"/>
        <v>1.6871983667168997</v>
      </c>
      <c r="AN44" s="107" t="str">
        <f t="shared" si="10"/>
        <v>(4,4,4,3,1,5)</v>
      </c>
      <c r="AO44" s="108">
        <v>1.2</v>
      </c>
      <c r="AP44" s="108">
        <v>1.1000000000000001</v>
      </c>
      <c r="AQ44" s="108">
        <v>1.2</v>
      </c>
      <c r="AR44" s="108">
        <v>1.02</v>
      </c>
      <c r="AS44" s="108">
        <v>1</v>
      </c>
      <c r="AT44" s="108">
        <v>1.2</v>
      </c>
    </row>
    <row r="45" spans="1:46" s="171" customFormat="1" ht="24">
      <c r="A45" s="333">
        <v>50430</v>
      </c>
      <c r="B45" s="216"/>
      <c r="C45" s="334"/>
      <c r="D45" s="360" t="s">
        <v>98</v>
      </c>
      <c r="E45" s="343">
        <v>4</v>
      </c>
      <c r="F45" s="437" t="s">
        <v>523</v>
      </c>
      <c r="G45" s="438" t="s">
        <v>98</v>
      </c>
      <c r="H45" s="439" t="s">
        <v>247</v>
      </c>
      <c r="I45" s="439" t="s">
        <v>248</v>
      </c>
      <c r="J45" s="335" t="s">
        <v>98</v>
      </c>
      <c r="K45" s="438" t="s">
        <v>96</v>
      </c>
      <c r="L45" s="440">
        <v>0</v>
      </c>
      <c r="M45" s="336">
        <v>1</v>
      </c>
      <c r="N45" s="337">
        <f t="shared" si="0"/>
        <v>1.6871983667168997</v>
      </c>
      <c r="O45" s="437" t="str">
        <f t="shared" si="1"/>
        <v>(4,4,4,3,1,5); Calculated: Tap water input - wastewater treated</v>
      </c>
      <c r="P45" s="440">
        <f>L44</f>
        <v>2.119397158706402</v>
      </c>
      <c r="Q45" s="336">
        <v>1</v>
      </c>
      <c r="R45" s="337">
        <f t="shared" si="2"/>
        <v>1.6871983667168997</v>
      </c>
      <c r="S45" s="437" t="str">
        <f t="shared" si="3"/>
        <v>(4,4,4,3,1,5); Calculated: Tap water input - wastewater treated</v>
      </c>
      <c r="T45" s="440">
        <v>0</v>
      </c>
      <c r="U45" s="336">
        <v>1</v>
      </c>
      <c r="V45" s="337">
        <f t="shared" si="4"/>
        <v>1.6871983667168997</v>
      </c>
      <c r="W45" s="437" t="str">
        <f t="shared" si="5"/>
        <v>(4,4,4,3,1,5); Calculated: Tap water input - wastewater treated</v>
      </c>
      <c r="X45" s="440">
        <v>0</v>
      </c>
      <c r="Y45" s="336">
        <v>1</v>
      </c>
      <c r="Z45" s="337">
        <f t="shared" si="6"/>
        <v>1.6871983667168997</v>
      </c>
      <c r="AA45" s="437" t="str">
        <f t="shared" si="7"/>
        <v>(4,4,4,3,1,5); Calculated: Tap water input - wastewater treated</v>
      </c>
      <c r="AB45" s="338"/>
      <c r="AC45" s="77" t="s">
        <v>595</v>
      </c>
      <c r="AD45" s="339">
        <v>4</v>
      </c>
      <c r="AE45" s="339">
        <v>4</v>
      </c>
      <c r="AF45" s="339">
        <v>4</v>
      </c>
      <c r="AG45" s="339">
        <v>3</v>
      </c>
      <c r="AH45" s="339">
        <v>1</v>
      </c>
      <c r="AI45" s="339">
        <v>5</v>
      </c>
      <c r="AJ45" s="104">
        <v>31</v>
      </c>
      <c r="AK45" s="104">
        <v>1.5</v>
      </c>
      <c r="AL45" s="107">
        <f t="shared" si="8"/>
        <v>1.3915993050235766</v>
      </c>
      <c r="AM45" s="107">
        <f t="shared" si="9"/>
        <v>1.6871983667168997</v>
      </c>
      <c r="AN45" s="107" t="str">
        <f t="shared" si="10"/>
        <v>(4,4,4,3,1,5)</v>
      </c>
      <c r="AO45" s="108">
        <v>1.2</v>
      </c>
      <c r="AP45" s="108">
        <v>1.1000000000000001</v>
      </c>
      <c r="AQ45" s="108">
        <v>1.2</v>
      </c>
      <c r="AR45" s="108">
        <v>1.02</v>
      </c>
      <c r="AS45" s="108">
        <v>1</v>
      </c>
      <c r="AT45" s="108">
        <v>1.2</v>
      </c>
    </row>
    <row r="46" spans="1:46" s="171" customFormat="1" ht="24">
      <c r="A46" s="333">
        <v>156329</v>
      </c>
      <c r="B46" s="216"/>
      <c r="C46" s="334"/>
      <c r="D46" s="360" t="s">
        <v>98</v>
      </c>
      <c r="E46" s="343">
        <v>4</v>
      </c>
      <c r="F46" s="437" t="s">
        <v>524</v>
      </c>
      <c r="G46" s="438" t="s">
        <v>98</v>
      </c>
      <c r="H46" s="439" t="s">
        <v>247</v>
      </c>
      <c r="I46" s="439" t="s">
        <v>248</v>
      </c>
      <c r="J46" s="335" t="s">
        <v>98</v>
      </c>
      <c r="K46" s="438" t="s">
        <v>96</v>
      </c>
      <c r="L46" s="440">
        <v>0</v>
      </c>
      <c r="M46" s="336">
        <v>1</v>
      </c>
      <c r="N46" s="337">
        <f t="shared" si="0"/>
        <v>1.6871983667168997</v>
      </c>
      <c r="O46" s="437" t="str">
        <f t="shared" si="1"/>
        <v>(4,4,4,3,1,5); Calculated: Tap water input - wastewater treated</v>
      </c>
      <c r="P46" s="440">
        <v>0</v>
      </c>
      <c r="Q46" s="336">
        <v>1</v>
      </c>
      <c r="R46" s="337">
        <f t="shared" si="2"/>
        <v>1.6871983667168997</v>
      </c>
      <c r="S46" s="437" t="str">
        <f t="shared" si="3"/>
        <v>(4,4,4,3,1,5); Calculated: Tap water input - wastewater treated</v>
      </c>
      <c r="T46" s="440">
        <f>P45</f>
        <v>2.119397158706402</v>
      </c>
      <c r="U46" s="336">
        <v>1</v>
      </c>
      <c r="V46" s="337">
        <f t="shared" si="4"/>
        <v>1.6871983667168997</v>
      </c>
      <c r="W46" s="437" t="str">
        <f t="shared" si="5"/>
        <v>(4,4,4,3,1,5); Calculated: Tap water input - wastewater treated</v>
      </c>
      <c r="X46" s="440">
        <v>0</v>
      </c>
      <c r="Y46" s="336">
        <v>1</v>
      </c>
      <c r="Z46" s="337">
        <f t="shared" si="6"/>
        <v>1.6871983667168997</v>
      </c>
      <c r="AA46" s="437" t="str">
        <f t="shared" si="7"/>
        <v>(4,4,4,3,1,5); Calculated: Tap water input - wastewater treated</v>
      </c>
      <c r="AB46" s="338"/>
      <c r="AC46" s="77" t="s">
        <v>595</v>
      </c>
      <c r="AD46" s="339">
        <v>4</v>
      </c>
      <c r="AE46" s="339">
        <v>4</v>
      </c>
      <c r="AF46" s="339">
        <v>4</v>
      </c>
      <c r="AG46" s="339">
        <v>3</v>
      </c>
      <c r="AH46" s="339">
        <v>1</v>
      </c>
      <c r="AI46" s="339">
        <v>5</v>
      </c>
      <c r="AJ46" s="104">
        <v>31</v>
      </c>
      <c r="AK46" s="104">
        <v>1.5</v>
      </c>
      <c r="AL46" s="107">
        <f t="shared" si="8"/>
        <v>1.3915993050235766</v>
      </c>
      <c r="AM46" s="107">
        <f t="shared" si="9"/>
        <v>1.6871983667168997</v>
      </c>
      <c r="AN46" s="107" t="str">
        <f t="shared" si="10"/>
        <v>(4,4,4,3,1,5)</v>
      </c>
      <c r="AO46" s="108">
        <v>1.2</v>
      </c>
      <c r="AP46" s="108">
        <v>1.1000000000000001</v>
      </c>
      <c r="AQ46" s="108">
        <v>1.2</v>
      </c>
      <c r="AR46" s="108">
        <v>1.02</v>
      </c>
      <c r="AS46" s="108">
        <v>1</v>
      </c>
      <c r="AT46" s="108">
        <v>1.2</v>
      </c>
    </row>
    <row r="47" spans="1:46" s="171" customFormat="1" ht="24">
      <c r="A47" s="333">
        <v>51378</v>
      </c>
      <c r="B47" s="216"/>
      <c r="C47" s="334"/>
      <c r="D47" s="360" t="s">
        <v>98</v>
      </c>
      <c r="E47" s="343">
        <v>4</v>
      </c>
      <c r="F47" s="437" t="s">
        <v>525</v>
      </c>
      <c r="G47" s="438" t="s">
        <v>98</v>
      </c>
      <c r="H47" s="439" t="s">
        <v>247</v>
      </c>
      <c r="I47" s="439" t="s">
        <v>248</v>
      </c>
      <c r="J47" s="335" t="s">
        <v>98</v>
      </c>
      <c r="K47" s="438" t="s">
        <v>96</v>
      </c>
      <c r="L47" s="440">
        <v>0</v>
      </c>
      <c r="M47" s="336">
        <v>1</v>
      </c>
      <c r="N47" s="337">
        <f t="shared" si="0"/>
        <v>1.6871983667168997</v>
      </c>
      <c r="O47" s="437" t="str">
        <f t="shared" si="1"/>
        <v>(4,4,4,3,1,5); Calculated: Tap water input - wastewater treated</v>
      </c>
      <c r="P47" s="440">
        <v>0</v>
      </c>
      <c r="Q47" s="336">
        <v>1</v>
      </c>
      <c r="R47" s="337">
        <f t="shared" si="2"/>
        <v>1.6871983667168997</v>
      </c>
      <c r="S47" s="437" t="str">
        <f t="shared" si="3"/>
        <v>(4,4,4,3,1,5); Calculated: Tap water input - wastewater treated</v>
      </c>
      <c r="T47" s="440">
        <f>L45</f>
        <v>0</v>
      </c>
      <c r="U47" s="336">
        <v>1</v>
      </c>
      <c r="V47" s="337">
        <f t="shared" si="4"/>
        <v>1.6871983667168997</v>
      </c>
      <c r="W47" s="437" t="str">
        <f t="shared" si="5"/>
        <v>(4,4,4,3,1,5); Calculated: Tap water input - wastewater treated</v>
      </c>
      <c r="X47" s="440">
        <f>T46</f>
        <v>2.119397158706402</v>
      </c>
      <c r="Y47" s="336">
        <v>1</v>
      </c>
      <c r="Z47" s="337">
        <f t="shared" si="6"/>
        <v>1.6871983667168997</v>
      </c>
      <c r="AA47" s="437" t="str">
        <f t="shared" si="7"/>
        <v>(4,4,4,3,1,5); Calculated: Tap water input - wastewater treated</v>
      </c>
      <c r="AB47" s="338"/>
      <c r="AC47" s="77" t="s">
        <v>595</v>
      </c>
      <c r="AD47" s="339">
        <v>4</v>
      </c>
      <c r="AE47" s="339">
        <v>4</v>
      </c>
      <c r="AF47" s="339">
        <v>4</v>
      </c>
      <c r="AG47" s="339">
        <v>3</v>
      </c>
      <c r="AH47" s="339">
        <v>1</v>
      </c>
      <c r="AI47" s="339">
        <v>5</v>
      </c>
      <c r="AJ47" s="104">
        <v>31</v>
      </c>
      <c r="AK47" s="104">
        <v>1.5</v>
      </c>
      <c r="AL47" s="107">
        <f t="shared" si="8"/>
        <v>1.3915993050235766</v>
      </c>
      <c r="AM47" s="107">
        <f t="shared" si="9"/>
        <v>1.6871983667168997</v>
      </c>
      <c r="AN47" s="107" t="str">
        <f t="shared" si="10"/>
        <v>(4,4,4,3,1,5)</v>
      </c>
      <c r="AO47" s="108">
        <v>1.2</v>
      </c>
      <c r="AP47" s="108">
        <v>1.1000000000000001</v>
      </c>
      <c r="AQ47" s="108">
        <v>1.2</v>
      </c>
      <c r="AR47" s="108">
        <v>1.02</v>
      </c>
      <c r="AS47" s="108">
        <v>1</v>
      </c>
      <c r="AT47" s="108">
        <v>1.2</v>
      </c>
    </row>
    <row r="48" spans="1:46" s="359" customFormat="1" ht="36">
      <c r="A48" s="333">
        <v>26267</v>
      </c>
      <c r="B48" s="356"/>
      <c r="C48" s="357"/>
      <c r="D48" s="360" t="s">
        <v>98</v>
      </c>
      <c r="E48" s="343">
        <v>4</v>
      </c>
      <c r="F48" s="437" t="s">
        <v>181</v>
      </c>
      <c r="G48" s="438" t="s">
        <v>98</v>
      </c>
      <c r="H48" s="439" t="s">
        <v>247</v>
      </c>
      <c r="I48" s="439" t="s">
        <v>258</v>
      </c>
      <c r="J48" s="335" t="s">
        <v>98</v>
      </c>
      <c r="K48" s="438" t="s">
        <v>96</v>
      </c>
      <c r="L48" s="440">
        <v>3.3849999999999998E-2</v>
      </c>
      <c r="M48" s="336">
        <v>1</v>
      </c>
      <c r="N48" s="337">
        <f t="shared" si="0"/>
        <v>1.8532338457509625</v>
      </c>
      <c r="O48" s="437" t="str">
        <f t="shared" si="1"/>
        <v>(3,4,5,3,1,5); de Wild-Scholten (2014) Life Cycle Assessment of Photovoltaics Status 2011, Part 1 Data Collection (table 9)</v>
      </c>
      <c r="P48" s="440">
        <f t="shared" ref="P48:P54" si="15">L48</f>
        <v>3.3849999999999998E-2</v>
      </c>
      <c r="Q48" s="336">
        <v>1</v>
      </c>
      <c r="R48" s="337">
        <f t="shared" si="2"/>
        <v>1.8532338457509625</v>
      </c>
      <c r="S48" s="437" t="str">
        <f t="shared" si="3"/>
        <v>(3,4,5,3,1,5); de Wild-Scholten (2014) Life Cycle Assessment of Photovoltaics Status 2011, Part 1 Data Collection (table 9)</v>
      </c>
      <c r="T48" s="440">
        <f t="shared" ref="T48:T54" si="16">P48</f>
        <v>3.3849999999999998E-2</v>
      </c>
      <c r="U48" s="336">
        <v>1</v>
      </c>
      <c r="V48" s="337">
        <f t="shared" si="4"/>
        <v>1.8532338457509625</v>
      </c>
      <c r="W48" s="437" t="str">
        <f t="shared" si="5"/>
        <v>(3,4,5,3,1,5); de Wild-Scholten (2014) Life Cycle Assessment of Photovoltaics Status 2011, Part 1 Data Collection (table 9)</v>
      </c>
      <c r="X48" s="440">
        <f t="shared" ref="X48:X54" si="17">P48</f>
        <v>3.3849999999999998E-2</v>
      </c>
      <c r="Y48" s="336">
        <v>1</v>
      </c>
      <c r="Z48" s="337">
        <f t="shared" si="6"/>
        <v>1.8532338457509625</v>
      </c>
      <c r="AA48" s="437" t="str">
        <f t="shared" si="7"/>
        <v>(3,4,5,3,1,5); de Wild-Scholten (2014) Life Cycle Assessment of Photovoltaics Status 2011, Part 1 Data Collection (table 9)</v>
      </c>
      <c r="AB48" s="358"/>
      <c r="AC48" s="77" t="s">
        <v>596</v>
      </c>
      <c r="AD48" s="339">
        <v>3</v>
      </c>
      <c r="AE48" s="339">
        <v>4</v>
      </c>
      <c r="AF48" s="339">
        <v>5</v>
      </c>
      <c r="AG48" s="339">
        <v>3</v>
      </c>
      <c r="AH48" s="339">
        <v>1</v>
      </c>
      <c r="AI48" s="339">
        <v>5</v>
      </c>
      <c r="AJ48" s="104">
        <v>16</v>
      </c>
      <c r="AK48" s="104">
        <v>1.5</v>
      </c>
      <c r="AL48" s="107">
        <f t="shared" si="8"/>
        <v>1.5919770563893134</v>
      </c>
      <c r="AM48" s="107">
        <f t="shared" si="9"/>
        <v>1.8532338457509625</v>
      </c>
      <c r="AN48" s="107" t="str">
        <f t="shared" si="10"/>
        <v>(3,4,5,3,1,5)</v>
      </c>
      <c r="AO48" s="108">
        <v>1.1000000000000001</v>
      </c>
      <c r="AP48" s="108">
        <v>1.1000000000000001</v>
      </c>
      <c r="AQ48" s="108">
        <v>1.5</v>
      </c>
      <c r="AR48" s="108">
        <v>1.02</v>
      </c>
      <c r="AS48" s="108">
        <v>1</v>
      </c>
      <c r="AT48" s="108">
        <v>1.2</v>
      </c>
    </row>
    <row r="49" spans="1:46" s="359" customFormat="1" ht="36">
      <c r="A49" s="333">
        <v>79975</v>
      </c>
      <c r="B49" s="216" t="s">
        <v>526</v>
      </c>
      <c r="C49" s="357"/>
      <c r="D49" s="360" t="s">
        <v>98</v>
      </c>
      <c r="E49" s="343">
        <v>4</v>
      </c>
      <c r="F49" s="437" t="s">
        <v>528</v>
      </c>
      <c r="G49" s="438" t="s">
        <v>98</v>
      </c>
      <c r="H49" s="439" t="s">
        <v>344</v>
      </c>
      <c r="I49" s="439" t="s">
        <v>192</v>
      </c>
      <c r="J49" s="335" t="s">
        <v>98</v>
      </c>
      <c r="K49" s="438" t="s">
        <v>96</v>
      </c>
      <c r="L49" s="440">
        <v>4.4149999999999997E-3</v>
      </c>
      <c r="M49" s="336">
        <v>1</v>
      </c>
      <c r="N49" s="337">
        <f t="shared" si="0"/>
        <v>3.2968235967205146</v>
      </c>
      <c r="O49" s="437" t="str">
        <f t="shared" si="1"/>
        <v>(3,4,5,3,1,5); de Wild-Scholten (2014) Life Cycle Assessment of Photovoltaics Status 2011, Part 1 Data Collection (table 9)</v>
      </c>
      <c r="P49" s="440">
        <f t="shared" si="15"/>
        <v>4.4149999999999997E-3</v>
      </c>
      <c r="Q49" s="336">
        <v>1</v>
      </c>
      <c r="R49" s="337">
        <f t="shared" si="2"/>
        <v>3.2968235967205146</v>
      </c>
      <c r="S49" s="437" t="str">
        <f t="shared" si="3"/>
        <v>(3,4,5,3,1,5); de Wild-Scholten (2014) Life Cycle Assessment of Photovoltaics Status 2011, Part 1 Data Collection (table 9)</v>
      </c>
      <c r="T49" s="440">
        <f t="shared" si="16"/>
        <v>4.4149999999999997E-3</v>
      </c>
      <c r="U49" s="336">
        <v>1</v>
      </c>
      <c r="V49" s="337">
        <f t="shared" si="4"/>
        <v>3.2968235967205146</v>
      </c>
      <c r="W49" s="437" t="str">
        <f t="shared" si="5"/>
        <v>(3,4,5,3,1,5); de Wild-Scholten (2014) Life Cycle Assessment of Photovoltaics Status 2011, Part 1 Data Collection (table 9)</v>
      </c>
      <c r="X49" s="440">
        <f t="shared" si="17"/>
        <v>4.4149999999999997E-3</v>
      </c>
      <c r="Y49" s="336">
        <v>1</v>
      </c>
      <c r="Z49" s="337">
        <f t="shared" si="6"/>
        <v>3.2968235967205146</v>
      </c>
      <c r="AA49" s="437" t="str">
        <f t="shared" si="7"/>
        <v>(3,4,5,3,1,5); de Wild-Scholten (2014) Life Cycle Assessment of Photovoltaics Status 2011, Part 1 Data Collection (table 9)</v>
      </c>
      <c r="AB49" s="358"/>
      <c r="AC49" s="77" t="s">
        <v>596</v>
      </c>
      <c r="AD49" s="83">
        <v>3</v>
      </c>
      <c r="AE49" s="83">
        <v>4</v>
      </c>
      <c r="AF49" s="83">
        <v>5</v>
      </c>
      <c r="AG49" s="83">
        <v>3</v>
      </c>
      <c r="AH49" s="83">
        <v>1</v>
      </c>
      <c r="AI49" s="83">
        <v>5</v>
      </c>
      <c r="AJ49" s="104">
        <v>33</v>
      </c>
      <c r="AK49" s="104">
        <v>3</v>
      </c>
      <c r="AL49" s="107">
        <f t="shared" si="8"/>
        <v>1.5919770563893134</v>
      </c>
      <c r="AM49" s="107">
        <f t="shared" si="9"/>
        <v>3.2968235967205146</v>
      </c>
      <c r="AN49" s="107" t="str">
        <f t="shared" si="10"/>
        <v>(3,4,5,3,1,5)</v>
      </c>
      <c r="AO49" s="108">
        <v>1.1000000000000001</v>
      </c>
      <c r="AP49" s="108">
        <v>1.1000000000000001</v>
      </c>
      <c r="AQ49" s="108">
        <v>1.5</v>
      </c>
      <c r="AR49" s="108">
        <v>1.02</v>
      </c>
      <c r="AS49" s="108">
        <v>1</v>
      </c>
      <c r="AT49" s="108">
        <v>1.2</v>
      </c>
    </row>
    <row r="50" spans="1:46" s="359" customFormat="1" ht="12">
      <c r="A50" s="333">
        <v>13296</v>
      </c>
      <c r="B50" s="356"/>
      <c r="C50" s="357"/>
      <c r="D50" s="360" t="s">
        <v>98</v>
      </c>
      <c r="E50" s="343">
        <v>4</v>
      </c>
      <c r="F50" s="437" t="s">
        <v>297</v>
      </c>
      <c r="G50" s="438" t="s">
        <v>98</v>
      </c>
      <c r="H50" s="439" t="s">
        <v>344</v>
      </c>
      <c r="I50" s="439" t="s">
        <v>192</v>
      </c>
      <c r="J50" s="335" t="s">
        <v>98</v>
      </c>
      <c r="K50" s="438" t="s">
        <v>96</v>
      </c>
      <c r="L50" s="440">
        <f>0.5*0.260687443054845</f>
        <v>0.13034372152742249</v>
      </c>
      <c r="M50" s="336">
        <v>1</v>
      </c>
      <c r="N50" s="337">
        <f t="shared" si="0"/>
        <v>3.3296884216781097</v>
      </c>
      <c r="O50" s="437" t="str">
        <f t="shared" si="1"/>
        <v>(5,4,4,1,1,5); Extrapolation for sum parameter</v>
      </c>
      <c r="P50" s="440">
        <f t="shared" si="15"/>
        <v>0.13034372152742249</v>
      </c>
      <c r="Q50" s="336">
        <v>1</v>
      </c>
      <c r="R50" s="337">
        <f t="shared" si="2"/>
        <v>3.3296884216781097</v>
      </c>
      <c r="S50" s="437" t="str">
        <f t="shared" si="3"/>
        <v>(5,4,4,1,1,5); Extrapolation for sum parameter</v>
      </c>
      <c r="T50" s="440">
        <f t="shared" si="16"/>
        <v>0.13034372152742249</v>
      </c>
      <c r="U50" s="336">
        <v>1</v>
      </c>
      <c r="V50" s="337">
        <f t="shared" si="4"/>
        <v>3.3296884216781097</v>
      </c>
      <c r="W50" s="437" t="str">
        <f t="shared" si="5"/>
        <v>(5,4,4,1,1,5); Extrapolation for sum parameter</v>
      </c>
      <c r="X50" s="440">
        <f t="shared" si="17"/>
        <v>0.13034372152742249</v>
      </c>
      <c r="Y50" s="336">
        <v>1</v>
      </c>
      <c r="Z50" s="337">
        <f t="shared" si="6"/>
        <v>3.3296884216781097</v>
      </c>
      <c r="AA50" s="437" t="str">
        <f t="shared" si="7"/>
        <v>(5,4,4,1,1,5); Extrapolation for sum parameter</v>
      </c>
      <c r="AB50" s="358"/>
      <c r="AC50" s="77" t="s">
        <v>597</v>
      </c>
      <c r="AD50" s="83">
        <v>5</v>
      </c>
      <c r="AE50" s="83">
        <v>4</v>
      </c>
      <c r="AF50" s="83">
        <v>4</v>
      </c>
      <c r="AG50" s="83">
        <v>1</v>
      </c>
      <c r="AH50" s="83">
        <v>1</v>
      </c>
      <c r="AI50" s="83">
        <v>5</v>
      </c>
      <c r="AJ50" s="104">
        <v>32</v>
      </c>
      <c r="AK50" s="104">
        <v>3</v>
      </c>
      <c r="AL50" s="107">
        <f t="shared" si="8"/>
        <v>1.6320968153275406</v>
      </c>
      <c r="AM50" s="107">
        <f t="shared" si="9"/>
        <v>3.3296884216781097</v>
      </c>
      <c r="AN50" s="107" t="str">
        <f t="shared" si="10"/>
        <v>(5,4,4,1,1,5)</v>
      </c>
      <c r="AO50" s="108">
        <v>1.5</v>
      </c>
      <c r="AP50" s="108">
        <v>1.1000000000000001</v>
      </c>
      <c r="AQ50" s="108">
        <v>1.2</v>
      </c>
      <c r="AR50" s="108">
        <v>1</v>
      </c>
      <c r="AS50" s="108">
        <v>1</v>
      </c>
      <c r="AT50" s="108">
        <v>1.2</v>
      </c>
    </row>
    <row r="51" spans="1:46" s="359" customFormat="1" ht="12">
      <c r="A51" s="333">
        <v>68218</v>
      </c>
      <c r="B51" s="356"/>
      <c r="C51" s="357"/>
      <c r="D51" s="360" t="s">
        <v>98</v>
      </c>
      <c r="E51" s="343">
        <v>4</v>
      </c>
      <c r="F51" s="437" t="s">
        <v>296</v>
      </c>
      <c r="G51" s="438" t="s">
        <v>98</v>
      </c>
      <c r="H51" s="439" t="s">
        <v>344</v>
      </c>
      <c r="I51" s="439" t="s">
        <v>192</v>
      </c>
      <c r="J51" s="335" t="s">
        <v>98</v>
      </c>
      <c r="K51" s="438" t="s">
        <v>96</v>
      </c>
      <c r="L51" s="440">
        <f>0.5*0.260687443054845</f>
        <v>0.13034372152742249</v>
      </c>
      <c r="M51" s="336">
        <v>1</v>
      </c>
      <c r="N51" s="337">
        <f t="shared" si="0"/>
        <v>3.3296884216781097</v>
      </c>
      <c r="O51" s="437" t="str">
        <f t="shared" si="1"/>
        <v>(5,4,4,1,1,5); Extrapolation for sum parameter</v>
      </c>
      <c r="P51" s="440">
        <f t="shared" si="15"/>
        <v>0.13034372152742249</v>
      </c>
      <c r="Q51" s="336">
        <v>1</v>
      </c>
      <c r="R51" s="337">
        <f t="shared" si="2"/>
        <v>3.3296884216781097</v>
      </c>
      <c r="S51" s="437" t="str">
        <f t="shared" si="3"/>
        <v>(5,4,4,1,1,5); Extrapolation for sum parameter</v>
      </c>
      <c r="T51" s="440">
        <f t="shared" si="16"/>
        <v>0.13034372152742249</v>
      </c>
      <c r="U51" s="336">
        <v>1</v>
      </c>
      <c r="V51" s="337">
        <f t="shared" si="4"/>
        <v>3.3296884216781097</v>
      </c>
      <c r="W51" s="437" t="str">
        <f t="shared" si="5"/>
        <v>(5,4,4,1,1,5); Extrapolation for sum parameter</v>
      </c>
      <c r="X51" s="440">
        <f t="shared" si="17"/>
        <v>0.13034372152742249</v>
      </c>
      <c r="Y51" s="336">
        <v>1</v>
      </c>
      <c r="Z51" s="337">
        <f t="shared" si="6"/>
        <v>3.3296884216781097</v>
      </c>
      <c r="AA51" s="437" t="str">
        <f t="shared" si="7"/>
        <v>(5,4,4,1,1,5); Extrapolation for sum parameter</v>
      </c>
      <c r="AB51" s="358"/>
      <c r="AC51" s="77" t="s">
        <v>597</v>
      </c>
      <c r="AD51" s="83">
        <v>5</v>
      </c>
      <c r="AE51" s="83">
        <v>4</v>
      </c>
      <c r="AF51" s="83">
        <v>4</v>
      </c>
      <c r="AG51" s="83">
        <v>1</v>
      </c>
      <c r="AH51" s="83">
        <v>1</v>
      </c>
      <c r="AI51" s="83">
        <v>5</v>
      </c>
      <c r="AJ51" s="104">
        <v>32</v>
      </c>
      <c r="AK51" s="104">
        <v>3</v>
      </c>
      <c r="AL51" s="107">
        <f t="shared" si="8"/>
        <v>1.6320968153275406</v>
      </c>
      <c r="AM51" s="107">
        <f t="shared" si="9"/>
        <v>3.3296884216781097</v>
      </c>
      <c r="AN51" s="107" t="str">
        <f t="shared" si="10"/>
        <v>(5,4,4,1,1,5)</v>
      </c>
      <c r="AO51" s="108">
        <v>1.5</v>
      </c>
      <c r="AP51" s="108">
        <v>1.1000000000000001</v>
      </c>
      <c r="AQ51" s="108">
        <v>1.2</v>
      </c>
      <c r="AR51" s="108">
        <v>1</v>
      </c>
      <c r="AS51" s="108">
        <v>1</v>
      </c>
      <c r="AT51" s="108">
        <v>1.2</v>
      </c>
    </row>
    <row r="52" spans="1:46" s="359" customFormat="1" ht="12">
      <c r="A52" s="333" t="s">
        <v>292</v>
      </c>
      <c r="B52" s="356"/>
      <c r="C52" s="357"/>
      <c r="D52" s="360" t="s">
        <v>98</v>
      </c>
      <c r="E52" s="343">
        <v>4</v>
      </c>
      <c r="F52" s="437" t="s">
        <v>293</v>
      </c>
      <c r="G52" s="438" t="s">
        <v>98</v>
      </c>
      <c r="H52" s="439" t="s">
        <v>344</v>
      </c>
      <c r="I52" s="439" t="s">
        <v>192</v>
      </c>
      <c r="J52" s="335" t="s">
        <v>98</v>
      </c>
      <c r="K52" s="438" t="s">
        <v>96</v>
      </c>
      <c r="L52" s="440">
        <f>0.5*0.0809504727026013</f>
        <v>4.0475236351300653E-2</v>
      </c>
      <c r="M52" s="336">
        <v>1</v>
      </c>
      <c r="N52" s="337">
        <f t="shared" si="0"/>
        <v>3.3296884216781097</v>
      </c>
      <c r="O52" s="437" t="str">
        <f t="shared" si="1"/>
        <v>(5,4,4,1,1,5); Extrapolation for sum parameter</v>
      </c>
      <c r="P52" s="440">
        <f t="shared" si="15"/>
        <v>4.0475236351300653E-2</v>
      </c>
      <c r="Q52" s="336">
        <v>1</v>
      </c>
      <c r="R52" s="337">
        <f t="shared" si="2"/>
        <v>3.3296884216781097</v>
      </c>
      <c r="S52" s="437" t="str">
        <f t="shared" si="3"/>
        <v>(5,4,4,1,1,5); Extrapolation for sum parameter</v>
      </c>
      <c r="T52" s="440">
        <f t="shared" si="16"/>
        <v>4.0475236351300653E-2</v>
      </c>
      <c r="U52" s="336">
        <v>1</v>
      </c>
      <c r="V52" s="337">
        <f t="shared" si="4"/>
        <v>3.3296884216781097</v>
      </c>
      <c r="W52" s="437" t="str">
        <f t="shared" si="5"/>
        <v>(5,4,4,1,1,5); Extrapolation for sum parameter</v>
      </c>
      <c r="X52" s="440">
        <f t="shared" si="17"/>
        <v>4.0475236351300653E-2</v>
      </c>
      <c r="Y52" s="336">
        <v>1</v>
      </c>
      <c r="Z52" s="337">
        <f t="shared" si="6"/>
        <v>3.3296884216781097</v>
      </c>
      <c r="AA52" s="437" t="str">
        <f t="shared" si="7"/>
        <v>(5,4,4,1,1,5); Extrapolation for sum parameter</v>
      </c>
      <c r="AB52" s="358"/>
      <c r="AC52" s="77" t="s">
        <v>597</v>
      </c>
      <c r="AD52" s="83">
        <v>5</v>
      </c>
      <c r="AE52" s="83">
        <v>4</v>
      </c>
      <c r="AF52" s="83">
        <v>4</v>
      </c>
      <c r="AG52" s="83">
        <v>1</v>
      </c>
      <c r="AH52" s="83">
        <v>1</v>
      </c>
      <c r="AI52" s="83">
        <v>5</v>
      </c>
      <c r="AJ52" s="104">
        <v>32</v>
      </c>
      <c r="AK52" s="104">
        <v>3</v>
      </c>
      <c r="AL52" s="107">
        <f t="shared" si="8"/>
        <v>1.6320968153275406</v>
      </c>
      <c r="AM52" s="107">
        <f t="shared" si="9"/>
        <v>3.3296884216781097</v>
      </c>
      <c r="AN52" s="107" t="str">
        <f t="shared" si="10"/>
        <v>(5,4,4,1,1,5)</v>
      </c>
      <c r="AO52" s="108">
        <v>1.5</v>
      </c>
      <c r="AP52" s="108">
        <v>1.1000000000000001</v>
      </c>
      <c r="AQ52" s="108">
        <v>1.2</v>
      </c>
      <c r="AR52" s="108">
        <v>1</v>
      </c>
      <c r="AS52" s="108">
        <v>1</v>
      </c>
      <c r="AT52" s="108">
        <v>1.2</v>
      </c>
    </row>
    <row r="53" spans="1:46" s="359" customFormat="1" ht="12">
      <c r="A53" s="333">
        <v>2278</v>
      </c>
      <c r="B53" s="356"/>
      <c r="C53" s="357"/>
      <c r="D53" s="360" t="s">
        <v>98</v>
      </c>
      <c r="E53" s="343">
        <v>4</v>
      </c>
      <c r="F53" s="437" t="s">
        <v>298</v>
      </c>
      <c r="G53" s="438" t="s">
        <v>98</v>
      </c>
      <c r="H53" s="439" t="s">
        <v>344</v>
      </c>
      <c r="I53" s="439" t="s">
        <v>192</v>
      </c>
      <c r="J53" s="335" t="s">
        <v>98</v>
      </c>
      <c r="K53" s="438" t="s">
        <v>96</v>
      </c>
      <c r="L53" s="440">
        <f>0.5*0.0809504727026013</f>
        <v>4.0475236351300653E-2</v>
      </c>
      <c r="M53" s="336">
        <v>1</v>
      </c>
      <c r="N53" s="337">
        <f t="shared" si="0"/>
        <v>3.3296884216781097</v>
      </c>
      <c r="O53" s="437" t="str">
        <f t="shared" si="1"/>
        <v>(5,4,4,1,1,5); Extrapolation for sum parameter</v>
      </c>
      <c r="P53" s="440">
        <f t="shared" si="15"/>
        <v>4.0475236351300653E-2</v>
      </c>
      <c r="Q53" s="336">
        <v>1</v>
      </c>
      <c r="R53" s="337">
        <f t="shared" si="2"/>
        <v>3.3296884216781097</v>
      </c>
      <c r="S53" s="437" t="str">
        <f t="shared" si="3"/>
        <v>(5,4,4,1,1,5); Extrapolation for sum parameter</v>
      </c>
      <c r="T53" s="440">
        <f t="shared" si="16"/>
        <v>4.0475236351300653E-2</v>
      </c>
      <c r="U53" s="336">
        <v>1</v>
      </c>
      <c r="V53" s="337">
        <f t="shared" si="4"/>
        <v>3.3296884216781097</v>
      </c>
      <c r="W53" s="437" t="str">
        <f t="shared" si="5"/>
        <v>(5,4,4,1,1,5); Extrapolation for sum parameter</v>
      </c>
      <c r="X53" s="440">
        <f t="shared" si="17"/>
        <v>4.0475236351300653E-2</v>
      </c>
      <c r="Y53" s="336">
        <v>1</v>
      </c>
      <c r="Z53" s="337">
        <f t="shared" si="6"/>
        <v>3.3296884216781097</v>
      </c>
      <c r="AA53" s="437" t="str">
        <f t="shared" si="7"/>
        <v>(5,4,4,1,1,5); Extrapolation for sum parameter</v>
      </c>
      <c r="AB53" s="358"/>
      <c r="AC53" s="77" t="s">
        <v>597</v>
      </c>
      <c r="AD53" s="83">
        <v>5</v>
      </c>
      <c r="AE53" s="83">
        <v>4</v>
      </c>
      <c r="AF53" s="83">
        <v>4</v>
      </c>
      <c r="AG53" s="83">
        <v>1</v>
      </c>
      <c r="AH53" s="83">
        <v>1</v>
      </c>
      <c r="AI53" s="83">
        <v>5</v>
      </c>
      <c r="AJ53" s="104">
        <v>32</v>
      </c>
      <c r="AK53" s="104">
        <v>3</v>
      </c>
      <c r="AL53" s="107">
        <f t="shared" si="8"/>
        <v>1.6320968153275406</v>
      </c>
      <c r="AM53" s="107">
        <f t="shared" si="9"/>
        <v>3.3296884216781097</v>
      </c>
      <c r="AN53" s="107" t="str">
        <f t="shared" si="10"/>
        <v>(5,4,4,1,1,5)</v>
      </c>
      <c r="AO53" s="108">
        <v>1.5</v>
      </c>
      <c r="AP53" s="108">
        <v>1.1000000000000001</v>
      </c>
      <c r="AQ53" s="108">
        <v>1.2</v>
      </c>
      <c r="AR53" s="108">
        <v>1</v>
      </c>
      <c r="AS53" s="108">
        <v>1</v>
      </c>
      <c r="AT53" s="108">
        <v>1.2</v>
      </c>
    </row>
    <row r="54" spans="1:46" s="359" customFormat="1" ht="36">
      <c r="A54" s="333">
        <v>78392</v>
      </c>
      <c r="B54" s="356"/>
      <c r="C54" s="357"/>
      <c r="D54" s="360" t="s">
        <v>98</v>
      </c>
      <c r="E54" s="343">
        <v>4</v>
      </c>
      <c r="F54" s="437" t="s">
        <v>195</v>
      </c>
      <c r="G54" s="438" t="s">
        <v>98</v>
      </c>
      <c r="H54" s="439" t="s">
        <v>344</v>
      </c>
      <c r="I54" s="439" t="s">
        <v>192</v>
      </c>
      <c r="J54" s="335" t="s">
        <v>98</v>
      </c>
      <c r="K54" s="438" t="s">
        <v>96</v>
      </c>
      <c r="L54" s="440">
        <v>8.3500000000000005E-2</v>
      </c>
      <c r="M54" s="336">
        <v>1</v>
      </c>
      <c r="N54" s="337">
        <f t="shared" si="0"/>
        <v>1.8532338457509625</v>
      </c>
      <c r="O54" s="437" t="str">
        <f t="shared" si="1"/>
        <v>(3,4,5,3,1,5); de Wild-Scholten (2014) Life Cycle Assessment of Photovoltaics Status 2011, Part 1 Data Collection (table 9)</v>
      </c>
      <c r="P54" s="440">
        <f t="shared" si="15"/>
        <v>8.3500000000000005E-2</v>
      </c>
      <c r="Q54" s="336">
        <v>1</v>
      </c>
      <c r="R54" s="337">
        <f t="shared" si="2"/>
        <v>1.8532338457509625</v>
      </c>
      <c r="S54" s="437" t="str">
        <f t="shared" si="3"/>
        <v>(3,4,5,3,1,5); de Wild-Scholten (2014) Life Cycle Assessment of Photovoltaics Status 2011, Part 1 Data Collection (table 9)</v>
      </c>
      <c r="T54" s="440">
        <f t="shared" si="16"/>
        <v>8.3500000000000005E-2</v>
      </c>
      <c r="U54" s="336">
        <v>1</v>
      </c>
      <c r="V54" s="337">
        <f t="shared" si="4"/>
        <v>1.8532338457509625</v>
      </c>
      <c r="W54" s="437" t="str">
        <f t="shared" si="5"/>
        <v>(3,4,5,3,1,5); de Wild-Scholten (2014) Life Cycle Assessment of Photovoltaics Status 2011, Part 1 Data Collection (table 9)</v>
      </c>
      <c r="X54" s="440">
        <f t="shared" si="17"/>
        <v>8.3500000000000005E-2</v>
      </c>
      <c r="Y54" s="336">
        <v>1</v>
      </c>
      <c r="Z54" s="337">
        <f t="shared" si="6"/>
        <v>1.8532338457509625</v>
      </c>
      <c r="AA54" s="437" t="str">
        <f t="shared" si="7"/>
        <v>(3,4,5,3,1,5); de Wild-Scholten (2014) Life Cycle Assessment of Photovoltaics Status 2011, Part 1 Data Collection (table 9)</v>
      </c>
      <c r="AB54" s="358"/>
      <c r="AC54" s="77" t="s">
        <v>596</v>
      </c>
      <c r="AD54" s="83">
        <v>3</v>
      </c>
      <c r="AE54" s="83">
        <v>4</v>
      </c>
      <c r="AF54" s="83">
        <v>5</v>
      </c>
      <c r="AG54" s="83">
        <v>3</v>
      </c>
      <c r="AH54" s="83">
        <v>1</v>
      </c>
      <c r="AI54" s="83">
        <v>5</v>
      </c>
      <c r="AJ54" s="104">
        <v>33</v>
      </c>
      <c r="AK54" s="104">
        <v>1.5</v>
      </c>
      <c r="AL54" s="107">
        <f t="shared" si="8"/>
        <v>1.5919770563893134</v>
      </c>
      <c r="AM54" s="107">
        <f t="shared" si="9"/>
        <v>1.8532338457509625</v>
      </c>
      <c r="AN54" s="107" t="str">
        <f t="shared" si="10"/>
        <v>(3,4,5,3,1,5)</v>
      </c>
      <c r="AO54" s="108">
        <v>1.1000000000000001</v>
      </c>
      <c r="AP54" s="108">
        <v>1.1000000000000001</v>
      </c>
      <c r="AQ54" s="108">
        <v>1.5</v>
      </c>
      <c r="AR54" s="108">
        <v>1.02</v>
      </c>
      <c r="AS54" s="108">
        <v>1</v>
      </c>
      <c r="AT54" s="108">
        <v>1.2</v>
      </c>
    </row>
    <row r="55" spans="1:46" ht="12">
      <c r="AB55" s="112"/>
    </row>
    <row r="56" spans="1:46" s="361" customFormat="1" ht="24">
      <c r="A56"/>
      <c r="B56" s="216" t="s">
        <v>598</v>
      </c>
      <c r="C56" s="165"/>
      <c r="D56" s="515"/>
      <c r="E56" s="343"/>
      <c r="F56" s="437" t="s">
        <v>599</v>
      </c>
      <c r="G56" s="438"/>
      <c r="H56" s="455"/>
      <c r="I56" s="455"/>
      <c r="J56" s="336"/>
      <c r="K56" s="438" t="s">
        <v>96</v>
      </c>
      <c r="L56" s="440">
        <f>SUM(L14,L15)-1</f>
        <v>0.12511751395981285</v>
      </c>
      <c r="M56" s="563" t="s">
        <v>529</v>
      </c>
      <c r="N56" s="563" t="s">
        <v>529</v>
      </c>
      <c r="O56" s="564" t="s">
        <v>529</v>
      </c>
      <c r="P56" s="440">
        <f>L56</f>
        <v>0.12511751395981285</v>
      </c>
      <c r="Q56" s="563" t="s">
        <v>529</v>
      </c>
      <c r="R56" s="563" t="s">
        <v>529</v>
      </c>
      <c r="S56" s="564" t="s">
        <v>529</v>
      </c>
      <c r="T56" s="440">
        <f>L56</f>
        <v>0.12511751395981285</v>
      </c>
      <c r="U56" s="563" t="s">
        <v>529</v>
      </c>
      <c r="V56" s="563" t="s">
        <v>529</v>
      </c>
      <c r="W56" s="564" t="s">
        <v>529</v>
      </c>
      <c r="X56" s="440">
        <f>L56</f>
        <v>0.12511751395981285</v>
      </c>
      <c r="Y56" s="336"/>
      <c r="Z56" s="337"/>
      <c r="AA56" s="437" t="s">
        <v>600</v>
      </c>
      <c r="AB56" s="562"/>
      <c r="AC56" s="128"/>
      <c r="AD56" s="402"/>
      <c r="AE56" s="395"/>
      <c r="AF56" s="395"/>
      <c r="AG56" s="395"/>
      <c r="AH56" s="395"/>
      <c r="AI56" s="395"/>
      <c r="AJ56" s="395"/>
      <c r="AK56" s="395"/>
      <c r="AL56" s="395"/>
      <c r="AM56" s="395"/>
      <c r="AN56" s="395"/>
      <c r="AO56" s="277"/>
      <c r="AP56" s="277"/>
      <c r="AQ56" s="277"/>
      <c r="AR56" s="277"/>
      <c r="AS56" s="277"/>
      <c r="AT56" s="277"/>
    </row>
    <row r="57" spans="1:46" ht="34.5" customHeight="1">
      <c r="AB57" s="112"/>
    </row>
    <row r="58" spans="1:46" ht="34.5" customHeight="1">
      <c r="F58" s="346" t="s">
        <v>564</v>
      </c>
      <c r="AB58" s="112"/>
    </row>
    <row r="59" spans="1:46" ht="24" customHeight="1">
      <c r="F59" s="362" t="s">
        <v>565</v>
      </c>
      <c r="G59" s="321"/>
      <c r="L59" s="443"/>
      <c r="AB59" s="112"/>
    </row>
    <row r="60" spans="1:46" ht="12" customHeight="1">
      <c r="F60" s="320" t="s">
        <v>566</v>
      </c>
      <c r="G60" s="363">
        <v>0.9</v>
      </c>
      <c r="AB60" s="112"/>
    </row>
    <row r="61" spans="1:46" ht="12" customHeight="1">
      <c r="F61" s="320" t="s">
        <v>567</v>
      </c>
      <c r="G61" s="363">
        <v>0.1</v>
      </c>
      <c r="AB61" s="112"/>
    </row>
    <row r="62" spans="1:46" ht="12" customHeight="1">
      <c r="G62" s="129"/>
      <c r="AB62" s="112"/>
    </row>
    <row r="63" spans="1:46" ht="34.5" customHeight="1">
      <c r="AB63" s="112"/>
    </row>
    <row r="64" spans="1:46" ht="34.5" customHeight="1">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row>
    <row r="65" spans="5:29" ht="34.5" customHeight="1">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row>
  </sheetData>
  <mergeCells count="1">
    <mergeCell ref="AD1:AI1"/>
  </mergeCells>
  <conditionalFormatting sqref="D11:AA25">
    <cfRule type="expression" dxfId="356" priority="2">
      <formula>MOD(ROW(),2)=0</formula>
    </cfRule>
  </conditionalFormatting>
  <conditionalFormatting sqref="D56:AA56">
    <cfRule type="expression" dxfId="355" priority="1">
      <formula>MOD(ROW(),2)=0</formula>
    </cfRule>
  </conditionalFormatting>
  <conditionalFormatting sqref="F11:F54 AA11:AA54 AC11:AI54 M26:AA26 D26:L29 L27:Q30 R27:AA31 D30:O30 D31:Q31 D32:AA54">
    <cfRule type="expression" dxfId="354" priority="40">
      <formula>MOD(ROW(),2)=0</formula>
    </cfRule>
  </conditionalFormatting>
  <conditionalFormatting sqref="AJ11:AT54">
    <cfRule type="expression" dxfId="353" priority="18">
      <formula>MOD(ROW(),2)=0</formula>
    </cfRule>
  </conditionalFormatting>
  <dataValidations xWindow="19" yWindow="189" count="1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D3" xr:uid="{00000000-0002-0000-11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I3" xr:uid="{00000000-0002-0000-11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H3" xr:uid="{00000000-0002-0000-11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G3" xr:uid="{00000000-0002-0000-11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F3" xr:uid="{00000000-0002-0000-11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E3" xr:uid="{00000000-0002-0000-1100-000005000000}"/>
    <dataValidation allowBlank="1" showInputMessage="1" showErrorMessage="1" prompt="Do not change." sqref="AJ3:AT4" xr:uid="{00000000-0002-0000-1100-000006000000}"/>
    <dataValidation allowBlank="1" showInputMessage="1" showErrorMessage="1" promptTitle="Remarks" prompt="A general comment (data source, calculation procedure, ...) can be made about each individual exchange. The remarks are added to the GeneralComment-field." sqref="AC3" xr:uid="{00000000-0002-0000-1100-000007000000}"/>
    <dataValidation allowBlank="1" showInputMessage="1" showErrorMessage="1" prompt="always 1" sqref="X30 P7:P27 T7:T27 X7:X27 L7:L29" xr:uid="{00000000-0002-0000-1100-000008000000}"/>
    <dataValidation allowBlank="1" showInputMessage="1" showErrorMessage="1" promptTitle="Do not change" prompt="This field is automatically updated from the names-list" sqref="AJ11:AJ54 AJ56" xr:uid="{00000000-0002-0000-1100-000009000000}"/>
  </dataValidations>
  <pageMargins left="0.78740157499999996" right="0.78740157499999996" top="0.984251969" bottom="0.984251969" header="0.4921259845" footer="0.4921259845"/>
  <pageSetup paperSize="9" scale="27" orientation="landscape" r:id="rId1"/>
  <headerFooter alignWithMargins="0">
    <oddHeader>&amp;L&amp;C&amp;R</oddHeader>
    <oddFooter>&amp;L&amp;D&amp;C&amp;F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tabColor rgb="FF9CD9F0"/>
    <pageSetUpPr fitToPage="1"/>
  </sheetPr>
  <dimension ref="A1:AV38"/>
  <sheetViews>
    <sheetView topLeftCell="A12" workbookViewId="0">
      <selection activeCell="A11" sqref="A11"/>
    </sheetView>
  </sheetViews>
  <sheetFormatPr baseColWidth="10" defaultColWidth="11.42578125" defaultRowHeight="12"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5.7109375" style="120" hidden="1" customWidth="1" outlineLevel="1"/>
    <col min="15" max="15" width="40.7109375" style="109" hidden="1" customWidth="1" outlineLevel="1"/>
    <col min="16" max="16" width="15.7109375" style="277" customWidth="1" collapsed="1"/>
    <col min="17" max="18" width="5.7109375" style="120" hidden="1" customWidth="1" outlineLevel="1"/>
    <col min="19" max="19" width="40.7109375" style="109" hidden="1" customWidth="1" outlineLevel="1"/>
    <col min="20" max="20" width="15.7109375" style="277" customWidth="1" collapsed="1"/>
    <col min="21" max="22" width="5.7109375" style="120" hidden="1" customWidth="1" outlineLevel="1"/>
    <col min="23" max="23" width="40.7109375" style="120" hidden="1" customWidth="1" outlineLevel="1"/>
    <col min="24" max="24" width="15.7109375" style="277" customWidth="1" collapsed="1"/>
    <col min="25" max="26" width="5.7109375" style="120" hidden="1" customWidth="1" outlineLevel="1"/>
    <col min="27" max="27" width="40.7109375" style="120" hidden="1" customWidth="1" outlineLevel="1"/>
    <col min="28" max="28" width="4.140625" style="109" customWidth="1" collapsed="1"/>
    <col min="29" max="29" width="15.7109375" style="277" hidden="1" customWidth="1" outlineLevel="1"/>
    <col min="30" max="30" width="40.7109375" style="128" customWidth="1" collapsed="1"/>
    <col min="31" max="31" width="4.7109375" style="402" hidden="1" customWidth="1" outlineLevel="1"/>
    <col min="32" max="40" width="4.7109375" style="395" hidden="1" customWidth="1" outlineLevel="1"/>
    <col min="41" max="41" width="12.7109375" style="395" hidden="1" customWidth="1" outlineLevel="1"/>
    <col min="42" max="47" width="4.7109375" style="277" hidden="1" customWidth="1" outlineLevel="1"/>
    <col min="48" max="48" width="11.42578125" style="399" customWidth="1" collapsed="1"/>
    <col min="49" max="49" width="11.42578125" style="399" customWidth="1"/>
    <col min="50" max="16384" width="11.42578125" style="399"/>
  </cols>
  <sheetData>
    <row r="1" spans="1:47">
      <c r="A1" s="77"/>
      <c r="B1" s="78"/>
      <c r="C1" s="79"/>
      <c r="D1" s="77"/>
      <c r="E1" s="77"/>
      <c r="F1" s="80" t="s">
        <v>65</v>
      </c>
      <c r="G1" s="77"/>
      <c r="H1" s="77"/>
      <c r="I1" s="77"/>
      <c r="J1" s="77"/>
      <c r="K1" s="77"/>
      <c r="L1" s="330">
        <f>A7</f>
        <v>262977</v>
      </c>
      <c r="M1" s="81"/>
      <c r="N1" s="81"/>
      <c r="O1" s="81"/>
      <c r="P1" s="330">
        <f>A8</f>
        <v>262943</v>
      </c>
      <c r="Q1" s="81"/>
      <c r="R1" s="81"/>
      <c r="S1" s="81"/>
      <c r="T1" s="330">
        <f>A9</f>
        <v>263139</v>
      </c>
      <c r="U1" s="81"/>
      <c r="V1" s="81"/>
      <c r="W1" s="81"/>
      <c r="X1" s="330">
        <f>A10</f>
        <v>262965</v>
      </c>
      <c r="Y1" s="81"/>
      <c r="Z1" s="81"/>
      <c r="AA1" s="81"/>
      <c r="AC1" s="378"/>
      <c r="AD1" s="378"/>
      <c r="AE1" s="1586"/>
      <c r="AF1" s="1588"/>
      <c r="AG1" s="1588"/>
      <c r="AH1" s="1588"/>
      <c r="AI1" s="1588"/>
      <c r="AJ1" s="1588"/>
      <c r="AK1" s="406"/>
      <c r="AL1" s="406"/>
      <c r="AM1" s="406"/>
      <c r="AN1" s="406"/>
      <c r="AO1" s="406"/>
      <c r="AP1" s="378"/>
      <c r="AQ1" s="378"/>
      <c r="AR1" s="378"/>
      <c r="AS1" s="378"/>
      <c r="AT1" s="378"/>
      <c r="AU1" s="378"/>
    </row>
    <row r="2" spans="1:47">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421"/>
      <c r="AC2" s="406" t="s">
        <v>601</v>
      </c>
      <c r="AD2" s="406"/>
      <c r="AE2" s="406"/>
      <c r="AF2" s="406"/>
      <c r="AG2" s="406"/>
      <c r="AH2" s="406"/>
      <c r="AI2" s="406"/>
      <c r="AJ2" s="406"/>
      <c r="AK2" s="406"/>
      <c r="AL2" s="378"/>
      <c r="AM2" s="378"/>
      <c r="AN2" s="378"/>
      <c r="AO2" s="378"/>
      <c r="AP2" s="378"/>
      <c r="AQ2" s="378"/>
      <c r="AR2" s="378"/>
      <c r="AS2" s="378"/>
      <c r="AT2" s="378"/>
      <c r="AU2" s="378"/>
    </row>
    <row r="3" spans="1:47" ht="94.5" customHeight="1">
      <c r="A3" s="83" t="s">
        <v>68</v>
      </c>
      <c r="B3" s="84"/>
      <c r="C3" s="79">
        <v>401</v>
      </c>
      <c r="D3" s="85" t="s">
        <v>69</v>
      </c>
      <c r="E3" s="85" t="s">
        <v>70</v>
      </c>
      <c r="F3" s="86" t="s">
        <v>71</v>
      </c>
      <c r="G3" s="85" t="s">
        <v>72</v>
      </c>
      <c r="H3" s="85" t="s">
        <v>73</v>
      </c>
      <c r="I3" s="85" t="s">
        <v>74</v>
      </c>
      <c r="J3" s="85" t="s">
        <v>75</v>
      </c>
      <c r="K3" s="85" t="s">
        <v>76</v>
      </c>
      <c r="L3" s="87" t="s">
        <v>602</v>
      </c>
      <c r="M3" s="422" t="s">
        <v>78</v>
      </c>
      <c r="N3" s="422" t="s">
        <v>79</v>
      </c>
      <c r="O3" s="423" t="s">
        <v>80</v>
      </c>
      <c r="P3" s="87" t="s">
        <v>603</v>
      </c>
      <c r="Q3" s="422" t="s">
        <v>78</v>
      </c>
      <c r="R3" s="422" t="s">
        <v>79</v>
      </c>
      <c r="S3" s="423" t="s">
        <v>80</v>
      </c>
      <c r="T3" s="87" t="s">
        <v>604</v>
      </c>
      <c r="U3" s="422" t="s">
        <v>78</v>
      </c>
      <c r="V3" s="422" t="s">
        <v>79</v>
      </c>
      <c r="W3" s="423" t="s">
        <v>80</v>
      </c>
      <c r="X3" s="87" t="s">
        <v>605</v>
      </c>
      <c r="Y3" s="422" t="s">
        <v>78</v>
      </c>
      <c r="Z3" s="422" t="s">
        <v>79</v>
      </c>
      <c r="AA3" s="423" t="s">
        <v>80</v>
      </c>
      <c r="AB3" s="424"/>
      <c r="AC3" s="106" t="s">
        <v>606</v>
      </c>
      <c r="AD3" s="97" t="s">
        <v>363</v>
      </c>
      <c r="AE3" s="98" t="s">
        <v>364</v>
      </c>
      <c r="AF3" s="98" t="s">
        <v>365</v>
      </c>
      <c r="AG3" s="98" t="s">
        <v>366</v>
      </c>
      <c r="AH3" s="98" t="s">
        <v>367</v>
      </c>
      <c r="AI3" s="98" t="s">
        <v>368</v>
      </c>
      <c r="AJ3" s="98" t="s">
        <v>369</v>
      </c>
      <c r="AK3" s="99" t="s">
        <v>88</v>
      </c>
      <c r="AL3" s="99" t="s">
        <v>370</v>
      </c>
      <c r="AM3" s="99" t="s">
        <v>90</v>
      </c>
      <c r="AN3" s="99" t="s">
        <v>91</v>
      </c>
      <c r="AO3" s="99" t="s">
        <v>371</v>
      </c>
      <c r="AP3" s="100" t="s">
        <v>364</v>
      </c>
      <c r="AQ3" s="100" t="s">
        <v>365</v>
      </c>
      <c r="AR3" s="100" t="s">
        <v>366</v>
      </c>
      <c r="AS3" s="100" t="s">
        <v>367</v>
      </c>
      <c r="AT3" s="100" t="s">
        <v>368</v>
      </c>
      <c r="AU3" s="100" t="s">
        <v>369</v>
      </c>
    </row>
    <row r="4" spans="1:47" ht="21" customHeight="1">
      <c r="A4" s="77"/>
      <c r="B4" s="84"/>
      <c r="C4" s="79">
        <v>662</v>
      </c>
      <c r="D4" s="86"/>
      <c r="E4" s="86"/>
      <c r="F4" s="86" t="s">
        <v>72</v>
      </c>
      <c r="G4" s="86"/>
      <c r="H4" s="86"/>
      <c r="I4" s="86"/>
      <c r="J4" s="86"/>
      <c r="K4" s="86"/>
      <c r="L4" s="87" t="s">
        <v>372</v>
      </c>
      <c r="M4" s="425"/>
      <c r="N4" s="425"/>
      <c r="O4" s="426"/>
      <c r="P4" s="87" t="s">
        <v>215</v>
      </c>
      <c r="Q4" s="425"/>
      <c r="R4" s="425"/>
      <c r="S4" s="426"/>
      <c r="T4" s="87" t="s">
        <v>373</v>
      </c>
      <c r="U4" s="425"/>
      <c r="V4" s="425"/>
      <c r="W4" s="426"/>
      <c r="X4" s="87" t="s">
        <v>93</v>
      </c>
      <c r="Y4" s="425"/>
      <c r="Z4" s="425"/>
      <c r="AA4" s="426"/>
      <c r="AB4" s="427"/>
      <c r="AC4" s="97" t="s">
        <v>93</v>
      </c>
      <c r="AD4" s="101"/>
      <c r="AE4" s="102" t="s">
        <v>94</v>
      </c>
      <c r="AF4" s="97"/>
      <c r="AG4" s="97"/>
      <c r="AH4" s="97"/>
      <c r="AI4" s="97"/>
      <c r="AJ4" s="97"/>
      <c r="AK4" s="103"/>
      <c r="AL4" s="103"/>
      <c r="AM4" s="103" t="s">
        <v>95</v>
      </c>
      <c r="AN4" s="103" t="s">
        <v>95</v>
      </c>
      <c r="AO4" s="104"/>
      <c r="AP4" s="105"/>
      <c r="AQ4" s="105"/>
      <c r="AR4" s="105"/>
      <c r="AS4" s="105"/>
      <c r="AT4" s="105"/>
      <c r="AU4" s="105"/>
    </row>
    <row r="5" spans="1:47">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427"/>
      <c r="AC5" s="97">
        <v>0</v>
      </c>
      <c r="AD5" s="101"/>
      <c r="AE5" s="97"/>
      <c r="AF5" s="97"/>
      <c r="AG5" s="97"/>
      <c r="AH5" s="97"/>
      <c r="AI5" s="97"/>
      <c r="AJ5" s="97"/>
      <c r="AK5" s="104"/>
      <c r="AL5" s="104"/>
      <c r="AM5" s="104"/>
      <c r="AN5" s="104"/>
      <c r="AO5" s="104"/>
      <c r="AP5" s="105"/>
      <c r="AQ5" s="105"/>
      <c r="AR5" s="105"/>
      <c r="AS5" s="105"/>
      <c r="AT5" s="105"/>
      <c r="AU5" s="105"/>
    </row>
    <row r="6" spans="1:47">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427"/>
      <c r="AC6" s="97" t="s">
        <v>96</v>
      </c>
      <c r="AD6" s="101"/>
      <c r="AE6" s="106"/>
      <c r="AF6" s="106"/>
      <c r="AG6" s="106"/>
      <c r="AH6" s="106"/>
      <c r="AI6" s="106"/>
      <c r="AJ6" s="106"/>
      <c r="AK6" s="104"/>
      <c r="AL6" s="104"/>
      <c r="AM6" s="428"/>
      <c r="AN6" s="428"/>
      <c r="AO6" s="107"/>
      <c r="AP6" s="105"/>
      <c r="AQ6" s="105"/>
      <c r="AR6" s="105"/>
      <c r="AS6" s="105"/>
      <c r="AT6" s="105"/>
      <c r="AU6" s="105"/>
    </row>
    <row r="7" spans="1:47">
      <c r="A7" s="330">
        <v>262977</v>
      </c>
      <c r="B7" s="331" t="s">
        <v>97</v>
      </c>
      <c r="C7" s="88"/>
      <c r="D7" s="294" t="s">
        <v>98</v>
      </c>
      <c r="E7" s="295">
        <v>0</v>
      </c>
      <c r="F7" s="429" t="s">
        <v>602</v>
      </c>
      <c r="G7" s="430" t="s">
        <v>372</v>
      </c>
      <c r="H7" s="431" t="s">
        <v>98</v>
      </c>
      <c r="I7" s="431" t="s">
        <v>98</v>
      </c>
      <c r="J7" s="89">
        <v>0</v>
      </c>
      <c r="K7" s="430" t="s">
        <v>96</v>
      </c>
      <c r="L7" s="90">
        <f>IF($A7=L$1,1,0)</f>
        <v>1</v>
      </c>
      <c r="M7" s="91"/>
      <c r="N7" s="92"/>
      <c r="O7" s="93"/>
      <c r="P7" s="90">
        <f>IF($A7=P$1,1,0)</f>
        <v>0</v>
      </c>
      <c r="Q7" s="91"/>
      <c r="R7" s="92"/>
      <c r="S7" s="93"/>
      <c r="T7" s="90">
        <f>IF($A7=T$1,1,0)</f>
        <v>0</v>
      </c>
      <c r="U7" s="91"/>
      <c r="V7" s="92"/>
      <c r="W7" s="93"/>
      <c r="X7" s="90">
        <f>IF($A7=X$1,1,0)</f>
        <v>0</v>
      </c>
      <c r="Y7" s="91"/>
      <c r="Z7" s="92"/>
      <c r="AA7" s="93"/>
      <c r="AB7" s="427"/>
      <c r="AC7" s="101"/>
      <c r="AD7" s="101"/>
      <c r="AE7" s="97"/>
      <c r="AF7" s="97"/>
      <c r="AG7" s="97"/>
      <c r="AH7" s="97"/>
      <c r="AI7" s="97"/>
      <c r="AJ7" s="97"/>
      <c r="AK7" s="104"/>
      <c r="AL7" s="104"/>
      <c r="AM7" s="104"/>
      <c r="AN7" s="104"/>
      <c r="AO7" s="104"/>
      <c r="AP7" s="104"/>
      <c r="AQ7" s="104"/>
      <c r="AR7" s="104"/>
      <c r="AS7" s="104"/>
      <c r="AT7" s="104"/>
      <c r="AU7" s="104"/>
    </row>
    <row r="8" spans="1:47">
      <c r="A8" s="330">
        <v>262943</v>
      </c>
      <c r="B8" s="331"/>
      <c r="C8" s="88"/>
      <c r="D8" s="294" t="s">
        <v>98</v>
      </c>
      <c r="E8" s="295">
        <v>0</v>
      </c>
      <c r="F8" s="429" t="s">
        <v>603</v>
      </c>
      <c r="G8" s="430" t="s">
        <v>215</v>
      </c>
      <c r="H8" s="431" t="s">
        <v>98</v>
      </c>
      <c r="I8" s="431" t="s">
        <v>98</v>
      </c>
      <c r="J8" s="89">
        <v>0</v>
      </c>
      <c r="K8" s="430" t="s">
        <v>96</v>
      </c>
      <c r="L8" s="90">
        <f>IF($A8=L$1,1,0)</f>
        <v>0</v>
      </c>
      <c r="M8" s="91"/>
      <c r="N8" s="92"/>
      <c r="O8" s="93"/>
      <c r="P8" s="90">
        <f>IF($A8=P$1,1,0)</f>
        <v>1</v>
      </c>
      <c r="Q8" s="91"/>
      <c r="R8" s="92"/>
      <c r="S8" s="93"/>
      <c r="T8" s="90">
        <f>IF($A8=T$1,1,0)</f>
        <v>0</v>
      </c>
      <c r="U8" s="91"/>
      <c r="V8" s="92"/>
      <c r="W8" s="93"/>
      <c r="X8" s="90">
        <f>IF($A8=X$1,1,0)</f>
        <v>0</v>
      </c>
      <c r="Y8" s="91"/>
      <c r="Z8" s="92"/>
      <c r="AA8" s="93"/>
      <c r="AB8" s="427"/>
      <c r="AC8" s="101"/>
      <c r="AD8" s="101"/>
      <c r="AE8" s="97"/>
      <c r="AF8" s="97"/>
      <c r="AG8" s="97"/>
      <c r="AH8" s="97"/>
      <c r="AI8" s="97"/>
      <c r="AJ8" s="97"/>
      <c r="AK8" s="104"/>
      <c r="AL8" s="104"/>
      <c r="AM8" s="104"/>
      <c r="AN8" s="104"/>
      <c r="AO8" s="104"/>
      <c r="AP8" s="104"/>
      <c r="AQ8" s="104"/>
      <c r="AR8" s="104"/>
      <c r="AS8" s="104"/>
      <c r="AT8" s="104"/>
      <c r="AU8" s="104"/>
    </row>
    <row r="9" spans="1:47">
      <c r="A9" s="330">
        <v>263139</v>
      </c>
      <c r="B9" s="331"/>
      <c r="C9" s="88"/>
      <c r="D9" s="294" t="s">
        <v>98</v>
      </c>
      <c r="E9" s="295">
        <v>0</v>
      </c>
      <c r="F9" s="429" t="s">
        <v>604</v>
      </c>
      <c r="G9" s="430" t="s">
        <v>373</v>
      </c>
      <c r="H9" s="431" t="s">
        <v>98</v>
      </c>
      <c r="I9" s="431" t="s">
        <v>98</v>
      </c>
      <c r="J9" s="89">
        <v>0</v>
      </c>
      <c r="K9" s="430" t="s">
        <v>96</v>
      </c>
      <c r="L9" s="90">
        <f>IF($A9=L$1,1,0)</f>
        <v>0</v>
      </c>
      <c r="M9" s="91"/>
      <c r="N9" s="92"/>
      <c r="O9" s="93"/>
      <c r="P9" s="90">
        <f>IF($A9=P$1,1,0)</f>
        <v>0</v>
      </c>
      <c r="Q9" s="91"/>
      <c r="R9" s="92"/>
      <c r="S9" s="93"/>
      <c r="T9" s="90">
        <f>IF($A9=T$1,1,0)</f>
        <v>1</v>
      </c>
      <c r="U9" s="91"/>
      <c r="V9" s="92"/>
      <c r="W9" s="93"/>
      <c r="X9" s="90">
        <f>IF($A9=X$1,1,0)</f>
        <v>0</v>
      </c>
      <c r="Y9" s="91"/>
      <c r="Z9" s="92"/>
      <c r="AA9" s="93"/>
      <c r="AB9" s="427"/>
      <c r="AC9" s="101"/>
      <c r="AD9" s="101"/>
      <c r="AE9" s="97"/>
      <c r="AF9" s="97"/>
      <c r="AG9" s="97"/>
      <c r="AH9" s="97"/>
      <c r="AI9" s="97"/>
      <c r="AJ9" s="97"/>
      <c r="AK9" s="104"/>
      <c r="AL9" s="104"/>
      <c r="AM9" s="104"/>
      <c r="AN9" s="104"/>
      <c r="AO9" s="104"/>
      <c r="AP9" s="104"/>
      <c r="AQ9" s="104"/>
      <c r="AR9" s="104"/>
      <c r="AS9" s="104"/>
      <c r="AT9" s="104"/>
      <c r="AU9" s="104"/>
    </row>
    <row r="10" spans="1:47">
      <c r="A10" s="330">
        <v>262965</v>
      </c>
      <c r="B10" s="331"/>
      <c r="C10" s="88"/>
      <c r="D10" s="294" t="s">
        <v>98</v>
      </c>
      <c r="E10" s="295">
        <v>0</v>
      </c>
      <c r="F10" s="429" t="s">
        <v>605</v>
      </c>
      <c r="G10" s="430" t="s">
        <v>93</v>
      </c>
      <c r="H10" s="431" t="s">
        <v>98</v>
      </c>
      <c r="I10" s="431" t="s">
        <v>98</v>
      </c>
      <c r="J10" s="89">
        <v>0</v>
      </c>
      <c r="K10" s="430" t="s">
        <v>96</v>
      </c>
      <c r="L10" s="90">
        <f>IF($A10=L$1,1,0)</f>
        <v>0</v>
      </c>
      <c r="M10" s="91"/>
      <c r="N10" s="92"/>
      <c r="O10" s="93"/>
      <c r="P10" s="90">
        <f>IF($A10=P$1,1,0)</f>
        <v>0</v>
      </c>
      <c r="Q10" s="91"/>
      <c r="R10" s="92"/>
      <c r="S10" s="93"/>
      <c r="T10" s="90">
        <f>IF($A10=T$1,1,0)</f>
        <v>0</v>
      </c>
      <c r="U10" s="91"/>
      <c r="V10" s="92"/>
      <c r="W10" s="93"/>
      <c r="X10" s="90">
        <f>IF($A10=X$1,1,0)</f>
        <v>1</v>
      </c>
      <c r="Y10" s="91"/>
      <c r="Z10" s="92"/>
      <c r="AA10" s="93"/>
      <c r="AB10" s="427"/>
      <c r="AC10" s="101"/>
      <c r="AD10" s="101"/>
      <c r="AE10" s="97"/>
      <c r="AF10" s="97"/>
      <c r="AG10" s="97"/>
      <c r="AH10" s="97"/>
      <c r="AI10" s="97"/>
      <c r="AJ10" s="97"/>
      <c r="AK10" s="104"/>
      <c r="AL10" s="104"/>
      <c r="AM10" s="104"/>
      <c r="AN10" s="104"/>
      <c r="AO10" s="104"/>
      <c r="AP10" s="104"/>
      <c r="AQ10" s="104"/>
      <c r="AR10" s="104"/>
      <c r="AS10" s="104"/>
      <c r="AT10" s="104"/>
      <c r="AU10" s="104"/>
    </row>
    <row r="11" spans="1:47" ht="24" customHeight="1">
      <c r="A11" s="330">
        <v>264915</v>
      </c>
      <c r="B11" s="331" t="s">
        <v>221</v>
      </c>
      <c r="C11" s="88"/>
      <c r="D11" s="340">
        <v>5</v>
      </c>
      <c r="E11" s="341" t="s">
        <v>98</v>
      </c>
      <c r="F11" s="432" t="s">
        <v>607</v>
      </c>
      <c r="G11" s="433" t="s">
        <v>372</v>
      </c>
      <c r="H11" s="434" t="s">
        <v>98</v>
      </c>
      <c r="I11" s="434" t="s">
        <v>98</v>
      </c>
      <c r="J11" s="94">
        <v>0</v>
      </c>
      <c r="K11" s="433" t="s">
        <v>96</v>
      </c>
      <c r="L11" s="435">
        <f>X14</f>
        <v>1</v>
      </c>
      <c r="M11" s="95">
        <v>1</v>
      </c>
      <c r="N11" s="96">
        <f t="shared" ref="N11:N36" si="0">$AN11</f>
        <v>1.3278954359670903</v>
      </c>
      <c r="O11" s="432" t="str">
        <f t="shared" ref="O11:O36" si="1">$AO11&amp;"; "&amp;$AD11</f>
        <v>(2,4,4,2,1,5); Estimation</v>
      </c>
      <c r="P11" s="435">
        <v>0</v>
      </c>
      <c r="Q11" s="95">
        <v>1</v>
      </c>
      <c r="R11" s="96">
        <f t="shared" ref="R11:R36" si="2">$AN11</f>
        <v>1.3278954359670903</v>
      </c>
      <c r="S11" s="432" t="str">
        <f t="shared" ref="S11:S36" si="3">$AO11&amp;"; "&amp;$AD11</f>
        <v>(2,4,4,2,1,5); Estimation</v>
      </c>
      <c r="T11" s="435">
        <v>0</v>
      </c>
      <c r="U11" s="95">
        <v>1</v>
      </c>
      <c r="V11" s="96">
        <f t="shared" ref="V11:V36" si="4">$AN11</f>
        <v>1.3278954359670903</v>
      </c>
      <c r="W11" s="432" t="str">
        <f t="shared" ref="W11:W36" si="5">$AO11&amp;"; "&amp;$AD11</f>
        <v>(2,4,4,2,1,5); Estimation</v>
      </c>
      <c r="X11" s="435">
        <v>0</v>
      </c>
      <c r="Y11" s="95">
        <v>1</v>
      </c>
      <c r="Z11" s="96">
        <f t="shared" ref="Z11:Z36" si="6">$AN11</f>
        <v>1.3278954359670903</v>
      </c>
      <c r="AA11" s="432" t="str">
        <f t="shared" ref="AA11:AA36" si="7">$AO11&amp;"; "&amp;$AD11</f>
        <v>(2,4,4,2,1,5); Estimation</v>
      </c>
      <c r="AB11" s="112"/>
      <c r="AC11" s="170"/>
      <c r="AD11" s="77" t="s">
        <v>251</v>
      </c>
      <c r="AE11" s="339">
        <v>2</v>
      </c>
      <c r="AF11" s="339">
        <v>4</v>
      </c>
      <c r="AG11" s="339">
        <v>4</v>
      </c>
      <c r="AH11" s="339">
        <v>2</v>
      </c>
      <c r="AI11" s="339">
        <v>1</v>
      </c>
      <c r="AJ11" s="339">
        <v>5</v>
      </c>
      <c r="AK11" s="104">
        <v>3</v>
      </c>
      <c r="AL11" s="104">
        <v>1.05</v>
      </c>
      <c r="AM11" s="107">
        <f t="shared" ref="AM11:AM36" si="8">EXP(SQRT((LN(AP11)^2)+(LN(AQ11)^2)+(LN(AR11)^2)+(LN(AS11)^2)+(LN(AT11)^2)+(LN(AU11)^2)))</f>
        <v>1.3222922972440092</v>
      </c>
      <c r="AN11" s="107">
        <f t="shared" ref="AN11:AN36" si="9">EXP(SQRT((LN(AP11)^2)+(LN(AQ11)^2)+(LN(AR11)^2)+(LN(AS11)^2)+(LN(AT11)^2)+(LN(AU11)^2)+LN(AL11)^2))</f>
        <v>1.3278954359670903</v>
      </c>
      <c r="AO11" s="107" t="str">
        <f t="shared" ref="AO11:AO36" si="10">CONCATENATE("(",AE11,",",AF11,",",AG11,",",AH11,",",AI11,",",AJ11,")")</f>
        <v>(2,4,4,2,1,5)</v>
      </c>
      <c r="AP11" s="108">
        <v>1.05</v>
      </c>
      <c r="AQ11" s="108">
        <v>1.1000000000000001</v>
      </c>
      <c r="AR11" s="108">
        <v>1.2</v>
      </c>
      <c r="AS11" s="108">
        <v>1.01</v>
      </c>
      <c r="AT11" s="108">
        <v>1</v>
      </c>
      <c r="AU11" s="108">
        <v>1.2</v>
      </c>
    </row>
    <row r="12" spans="1:47" ht="24" customHeight="1">
      <c r="A12" s="330">
        <v>268401</v>
      </c>
      <c r="B12" s="331"/>
      <c r="C12" s="88"/>
      <c r="D12" s="340">
        <v>5</v>
      </c>
      <c r="E12" s="341" t="s">
        <v>98</v>
      </c>
      <c r="F12" s="432" t="s">
        <v>608</v>
      </c>
      <c r="G12" s="433" t="s">
        <v>215</v>
      </c>
      <c r="H12" s="434" t="s">
        <v>98</v>
      </c>
      <c r="I12" s="434" t="s">
        <v>98</v>
      </c>
      <c r="J12" s="94">
        <v>0</v>
      </c>
      <c r="K12" s="433" t="s">
        <v>96</v>
      </c>
      <c r="L12" s="435">
        <f>X11</f>
        <v>0</v>
      </c>
      <c r="M12" s="95">
        <v>1</v>
      </c>
      <c r="N12" s="96">
        <f t="shared" si="0"/>
        <v>1.3278954359670903</v>
      </c>
      <c r="O12" s="432" t="str">
        <f t="shared" si="1"/>
        <v>(2,4,4,2,1,5); Estimation</v>
      </c>
      <c r="P12" s="435">
        <f>L11</f>
        <v>1</v>
      </c>
      <c r="Q12" s="95">
        <v>1</v>
      </c>
      <c r="R12" s="96">
        <f t="shared" si="2"/>
        <v>1.3278954359670903</v>
      </c>
      <c r="S12" s="432" t="str">
        <f t="shared" si="3"/>
        <v>(2,4,4,2,1,5); Estimation</v>
      </c>
      <c r="T12" s="435">
        <f>L12</f>
        <v>0</v>
      </c>
      <c r="U12" s="95">
        <v>1</v>
      </c>
      <c r="V12" s="96">
        <f t="shared" si="4"/>
        <v>1.3278954359670903</v>
      </c>
      <c r="W12" s="432" t="str">
        <f t="shared" si="5"/>
        <v>(2,4,4,2,1,5); Estimation</v>
      </c>
      <c r="X12" s="435">
        <v>0</v>
      </c>
      <c r="Y12" s="95">
        <v>1</v>
      </c>
      <c r="Z12" s="96">
        <f t="shared" si="6"/>
        <v>1.3278954359670903</v>
      </c>
      <c r="AA12" s="432" t="str">
        <f t="shared" si="7"/>
        <v>(2,4,4,2,1,5); Estimation</v>
      </c>
      <c r="AB12" s="112"/>
      <c r="AC12" s="170"/>
      <c r="AD12" s="77" t="s">
        <v>251</v>
      </c>
      <c r="AE12" s="339">
        <v>2</v>
      </c>
      <c r="AF12" s="339">
        <v>4</v>
      </c>
      <c r="AG12" s="339">
        <v>4</v>
      </c>
      <c r="AH12" s="339">
        <v>2</v>
      </c>
      <c r="AI12" s="339">
        <v>1</v>
      </c>
      <c r="AJ12" s="339">
        <v>5</v>
      </c>
      <c r="AK12" s="104">
        <v>3</v>
      </c>
      <c r="AL12" s="104">
        <v>1.05</v>
      </c>
      <c r="AM12" s="107">
        <f t="shared" si="8"/>
        <v>1.3222922972440092</v>
      </c>
      <c r="AN12" s="107">
        <f t="shared" si="9"/>
        <v>1.3278954359670903</v>
      </c>
      <c r="AO12" s="107" t="str">
        <f t="shared" si="10"/>
        <v>(2,4,4,2,1,5)</v>
      </c>
      <c r="AP12" s="108">
        <v>1.05</v>
      </c>
      <c r="AQ12" s="108">
        <v>1.1000000000000001</v>
      </c>
      <c r="AR12" s="108">
        <v>1.2</v>
      </c>
      <c r="AS12" s="108">
        <v>1.01</v>
      </c>
      <c r="AT12" s="108">
        <v>1</v>
      </c>
      <c r="AU12" s="108">
        <v>1.2</v>
      </c>
    </row>
    <row r="13" spans="1:47" ht="24" customHeight="1">
      <c r="A13" s="330">
        <v>265161</v>
      </c>
      <c r="B13" s="331"/>
      <c r="C13" s="88"/>
      <c r="D13" s="340">
        <v>5</v>
      </c>
      <c r="E13" s="341" t="s">
        <v>98</v>
      </c>
      <c r="F13" s="432" t="s">
        <v>609</v>
      </c>
      <c r="G13" s="433" t="s">
        <v>373</v>
      </c>
      <c r="H13" s="434" t="s">
        <v>98</v>
      </c>
      <c r="I13" s="434" t="s">
        <v>98</v>
      </c>
      <c r="J13" s="94">
        <v>0</v>
      </c>
      <c r="K13" s="433" t="s">
        <v>96</v>
      </c>
      <c r="L13" s="435">
        <f>X12</f>
        <v>0</v>
      </c>
      <c r="M13" s="95">
        <v>1</v>
      </c>
      <c r="N13" s="96">
        <f t="shared" si="0"/>
        <v>1.3278954359670903</v>
      </c>
      <c r="O13" s="432" t="str">
        <f t="shared" si="1"/>
        <v>(2,4,4,2,1,5); Estimation</v>
      </c>
      <c r="P13" s="435">
        <f t="shared" ref="P13:P19" si="11">L13</f>
        <v>0</v>
      </c>
      <c r="Q13" s="95">
        <v>1</v>
      </c>
      <c r="R13" s="96">
        <f t="shared" si="2"/>
        <v>1.3278954359670903</v>
      </c>
      <c r="S13" s="432" t="str">
        <f t="shared" si="3"/>
        <v>(2,4,4,2,1,5); Estimation</v>
      </c>
      <c r="T13" s="435">
        <f>P12</f>
        <v>1</v>
      </c>
      <c r="U13" s="95">
        <v>1</v>
      </c>
      <c r="V13" s="96">
        <f t="shared" si="4"/>
        <v>1.3278954359670903</v>
      </c>
      <c r="W13" s="432" t="str">
        <f t="shared" si="5"/>
        <v>(2,4,4,2,1,5); Estimation</v>
      </c>
      <c r="X13" s="435">
        <v>0</v>
      </c>
      <c r="Y13" s="95">
        <v>1</v>
      </c>
      <c r="Z13" s="96">
        <f t="shared" si="6"/>
        <v>1.3278954359670903</v>
      </c>
      <c r="AA13" s="432" t="str">
        <f t="shared" si="7"/>
        <v>(2,4,4,2,1,5); Estimation</v>
      </c>
      <c r="AB13" s="112"/>
      <c r="AC13" s="170"/>
      <c r="AD13" s="77" t="s">
        <v>251</v>
      </c>
      <c r="AE13" s="339">
        <v>2</v>
      </c>
      <c r="AF13" s="339">
        <v>4</v>
      </c>
      <c r="AG13" s="339">
        <v>4</v>
      </c>
      <c r="AH13" s="339">
        <v>2</v>
      </c>
      <c r="AI13" s="339">
        <v>1</v>
      </c>
      <c r="AJ13" s="339">
        <v>5</v>
      </c>
      <c r="AK13" s="104">
        <v>3</v>
      </c>
      <c r="AL13" s="104">
        <v>1.05</v>
      </c>
      <c r="AM13" s="107">
        <f t="shared" si="8"/>
        <v>1.3222922972440092</v>
      </c>
      <c r="AN13" s="107">
        <f t="shared" si="9"/>
        <v>1.3278954359670903</v>
      </c>
      <c r="AO13" s="107" t="str">
        <f t="shared" si="10"/>
        <v>(2,4,4,2,1,5)</v>
      </c>
      <c r="AP13" s="108">
        <v>1.05</v>
      </c>
      <c r="AQ13" s="108">
        <v>1.1000000000000001</v>
      </c>
      <c r="AR13" s="108">
        <v>1.2</v>
      </c>
      <c r="AS13" s="108">
        <v>1.01</v>
      </c>
      <c r="AT13" s="108">
        <v>1</v>
      </c>
      <c r="AU13" s="108">
        <v>1.2</v>
      </c>
    </row>
    <row r="14" spans="1:47" ht="24" customHeight="1">
      <c r="A14" s="330">
        <v>268136</v>
      </c>
      <c r="B14" s="331"/>
      <c r="C14" s="88"/>
      <c r="D14" s="340">
        <v>5</v>
      </c>
      <c r="E14" s="341" t="s">
        <v>98</v>
      </c>
      <c r="F14" s="432" t="s">
        <v>610</v>
      </c>
      <c r="G14" s="433" t="s">
        <v>154</v>
      </c>
      <c r="H14" s="434" t="s">
        <v>98</v>
      </c>
      <c r="I14" s="434" t="s">
        <v>98</v>
      </c>
      <c r="J14" s="94">
        <v>0</v>
      </c>
      <c r="K14" s="433" t="s">
        <v>96</v>
      </c>
      <c r="L14" s="435">
        <v>0</v>
      </c>
      <c r="M14" s="95">
        <v>1</v>
      </c>
      <c r="N14" s="96">
        <f t="shared" si="0"/>
        <v>1.3278954359670903</v>
      </c>
      <c r="O14" s="432" t="str">
        <f t="shared" si="1"/>
        <v>(2,4,4,2,1,5); Estimation</v>
      </c>
      <c r="P14" s="435">
        <f t="shared" si="11"/>
        <v>0</v>
      </c>
      <c r="Q14" s="95">
        <v>1</v>
      </c>
      <c r="R14" s="96">
        <f t="shared" si="2"/>
        <v>1.3278954359670903</v>
      </c>
      <c r="S14" s="432" t="str">
        <f t="shared" si="3"/>
        <v>(2,4,4,2,1,5); Estimation</v>
      </c>
      <c r="T14" s="435">
        <f t="shared" ref="T14:T19" si="12">L14</f>
        <v>0</v>
      </c>
      <c r="U14" s="95">
        <v>1</v>
      </c>
      <c r="V14" s="96">
        <f t="shared" si="4"/>
        <v>1.3278954359670903</v>
      </c>
      <c r="W14" s="432" t="str">
        <f t="shared" si="5"/>
        <v>(2,4,4,2,1,5); Estimation</v>
      </c>
      <c r="X14" s="435">
        <v>1</v>
      </c>
      <c r="Y14" s="95">
        <v>1</v>
      </c>
      <c r="Z14" s="96">
        <f t="shared" si="6"/>
        <v>1.3278954359670903</v>
      </c>
      <c r="AA14" s="432" t="str">
        <f t="shared" si="7"/>
        <v>(2,4,4,2,1,5); Estimation</v>
      </c>
      <c r="AB14" s="113"/>
      <c r="AC14" s="170">
        <v>0.7</v>
      </c>
      <c r="AD14" s="77" t="s">
        <v>251</v>
      </c>
      <c r="AE14" s="339">
        <v>2</v>
      </c>
      <c r="AF14" s="339">
        <v>4</v>
      </c>
      <c r="AG14" s="339">
        <v>4</v>
      </c>
      <c r="AH14" s="339">
        <v>2</v>
      </c>
      <c r="AI14" s="339">
        <v>1</v>
      </c>
      <c r="AJ14" s="339">
        <v>5</v>
      </c>
      <c r="AK14" s="104">
        <v>3</v>
      </c>
      <c r="AL14" s="104">
        <v>1.05</v>
      </c>
      <c r="AM14" s="107">
        <f t="shared" si="8"/>
        <v>1.3222922972440092</v>
      </c>
      <c r="AN14" s="107">
        <f t="shared" si="9"/>
        <v>1.3278954359670903</v>
      </c>
      <c r="AO14" s="107" t="str">
        <f t="shared" si="10"/>
        <v>(2,4,4,2,1,5)</v>
      </c>
      <c r="AP14" s="108">
        <v>1.05</v>
      </c>
      <c r="AQ14" s="108">
        <v>1.1000000000000001</v>
      </c>
      <c r="AR14" s="108">
        <v>1.2</v>
      </c>
      <c r="AS14" s="108">
        <v>1.01</v>
      </c>
      <c r="AT14" s="108">
        <v>1</v>
      </c>
      <c r="AU14" s="108">
        <v>1.2</v>
      </c>
    </row>
    <row r="15" spans="1:47" ht="36" customHeight="1">
      <c r="A15" s="330">
        <v>269253</v>
      </c>
      <c r="B15" s="331"/>
      <c r="C15" s="88"/>
      <c r="D15" s="340">
        <v>5</v>
      </c>
      <c r="E15" s="341" t="s">
        <v>98</v>
      </c>
      <c r="F15" s="432" t="s">
        <v>583</v>
      </c>
      <c r="G15" s="433" t="s">
        <v>93</v>
      </c>
      <c r="H15" s="434" t="s">
        <v>98</v>
      </c>
      <c r="I15" s="434" t="s">
        <v>98</v>
      </c>
      <c r="J15" s="94">
        <v>0</v>
      </c>
      <c r="K15" s="433" t="s">
        <v>96</v>
      </c>
      <c r="L15" s="435">
        <f>X15</f>
        <v>0.252</v>
      </c>
      <c r="M15" s="95">
        <v>1</v>
      </c>
      <c r="N15" s="96">
        <f t="shared" si="0"/>
        <v>1.2164594125584303</v>
      </c>
      <c r="O15" s="432" t="str">
        <f t="shared" si="1"/>
        <v>(1,2,4,1,1,3); de Wild-Scholten (2014) Life Cycle Assessment of Photovoltaics Status 2011, Part 1 Data Collection (table 12)</v>
      </c>
      <c r="P15" s="435">
        <f t="shared" si="11"/>
        <v>0.252</v>
      </c>
      <c r="Q15" s="95">
        <v>1</v>
      </c>
      <c r="R15" s="96">
        <f t="shared" si="2"/>
        <v>1.2164594125584303</v>
      </c>
      <c r="S15" s="432" t="str">
        <f t="shared" si="3"/>
        <v>(1,2,4,1,1,3); de Wild-Scholten (2014) Life Cycle Assessment of Photovoltaics Status 2011, Part 1 Data Collection (table 12)</v>
      </c>
      <c r="T15" s="435">
        <f t="shared" si="12"/>
        <v>0.252</v>
      </c>
      <c r="U15" s="95">
        <v>1</v>
      </c>
      <c r="V15" s="96">
        <f t="shared" si="4"/>
        <v>1.2164594125584303</v>
      </c>
      <c r="W15" s="432" t="str">
        <f t="shared" si="5"/>
        <v>(1,2,4,1,1,3); de Wild-Scholten (2014) Life Cycle Assessment of Photovoltaics Status 2011, Part 1 Data Collection (table 12)</v>
      </c>
      <c r="X15" s="435">
        <f>AC15</f>
        <v>0.252</v>
      </c>
      <c r="Y15" s="95">
        <v>1</v>
      </c>
      <c r="Z15" s="96">
        <f t="shared" si="6"/>
        <v>1.2164594125584303</v>
      </c>
      <c r="AA15" s="432" t="str">
        <f t="shared" si="7"/>
        <v>(1,2,4,1,1,3); de Wild-Scholten (2014) Life Cycle Assessment of Photovoltaics Status 2011, Part 1 Data Collection (table 12)</v>
      </c>
      <c r="AB15" s="112"/>
      <c r="AC15" s="170">
        <v>0.252</v>
      </c>
      <c r="AD15" s="77" t="s">
        <v>611</v>
      </c>
      <c r="AE15" s="339">
        <v>1</v>
      </c>
      <c r="AF15" s="339">
        <v>2</v>
      </c>
      <c r="AG15" s="339">
        <v>4</v>
      </c>
      <c r="AH15" s="339">
        <v>1</v>
      </c>
      <c r="AI15" s="339">
        <v>1</v>
      </c>
      <c r="AJ15" s="339">
        <v>3</v>
      </c>
      <c r="AK15" s="104">
        <v>3</v>
      </c>
      <c r="AL15" s="104">
        <v>1.05</v>
      </c>
      <c r="AM15" s="107">
        <f t="shared" si="8"/>
        <v>1.2089750740786649</v>
      </c>
      <c r="AN15" s="107">
        <f t="shared" si="9"/>
        <v>1.2164594125584303</v>
      </c>
      <c r="AO15" s="107" t="str">
        <f t="shared" si="10"/>
        <v>(1,2,4,1,1,3)</v>
      </c>
      <c r="AP15" s="108">
        <v>1</v>
      </c>
      <c r="AQ15" s="108">
        <v>1.02</v>
      </c>
      <c r="AR15" s="108">
        <v>1.2</v>
      </c>
      <c r="AS15" s="108">
        <v>1</v>
      </c>
      <c r="AT15" s="108">
        <v>1</v>
      </c>
      <c r="AU15" s="108">
        <v>1.05</v>
      </c>
    </row>
    <row r="16" spans="1:47" ht="36" customHeight="1">
      <c r="A16" s="330">
        <v>269239</v>
      </c>
      <c r="B16" s="331"/>
      <c r="C16" s="88"/>
      <c r="D16" s="340">
        <v>5</v>
      </c>
      <c r="E16" s="341" t="s">
        <v>98</v>
      </c>
      <c r="F16" s="432" t="s">
        <v>612</v>
      </c>
      <c r="G16" s="433" t="s">
        <v>154</v>
      </c>
      <c r="H16" s="434" t="s">
        <v>98</v>
      </c>
      <c r="I16" s="434" t="s">
        <v>98</v>
      </c>
      <c r="J16" s="94">
        <v>0</v>
      </c>
      <c r="K16" s="433" t="s">
        <v>96</v>
      </c>
      <c r="L16" s="435">
        <f>X16</f>
        <v>7.7600000000000002E-5</v>
      </c>
      <c r="M16" s="95">
        <v>1</v>
      </c>
      <c r="N16" s="96">
        <f t="shared" si="0"/>
        <v>1.2164594125584303</v>
      </c>
      <c r="O16" s="432" t="str">
        <f t="shared" si="1"/>
        <v>(1,2,4,1,1,3); de Wild-Scholten (2014) Life Cycle Assessment of Photovoltaics Status 2011, Part 1 Data Collection (table 12)</v>
      </c>
      <c r="P16" s="435">
        <f t="shared" si="11"/>
        <v>7.7600000000000002E-5</v>
      </c>
      <c r="Q16" s="95">
        <v>1</v>
      </c>
      <c r="R16" s="96">
        <f t="shared" si="2"/>
        <v>1.2164594125584303</v>
      </c>
      <c r="S16" s="432" t="str">
        <f t="shared" si="3"/>
        <v>(1,2,4,1,1,3); de Wild-Scholten (2014) Life Cycle Assessment of Photovoltaics Status 2011, Part 1 Data Collection (table 12)</v>
      </c>
      <c r="T16" s="435">
        <f t="shared" si="12"/>
        <v>7.7600000000000002E-5</v>
      </c>
      <c r="U16" s="95">
        <v>1</v>
      </c>
      <c r="V16" s="96">
        <f t="shared" si="4"/>
        <v>1.2164594125584303</v>
      </c>
      <c r="W16" s="432" t="str">
        <f t="shared" si="5"/>
        <v>(1,2,4,1,1,3); de Wild-Scholten (2014) Life Cycle Assessment of Photovoltaics Status 2011, Part 1 Data Collection (table 12)</v>
      </c>
      <c r="X16" s="435">
        <f>AC16</f>
        <v>7.7600000000000002E-5</v>
      </c>
      <c r="Y16" s="95">
        <v>1</v>
      </c>
      <c r="Z16" s="96">
        <f t="shared" si="6"/>
        <v>1.2164594125584303</v>
      </c>
      <c r="AA16" s="432" t="str">
        <f t="shared" si="7"/>
        <v>(1,2,4,1,1,3); de Wild-Scholten (2014) Life Cycle Assessment of Photovoltaics Status 2011, Part 1 Data Collection (table 12)</v>
      </c>
      <c r="AB16" s="112"/>
      <c r="AC16" s="170">
        <v>7.7600000000000002E-5</v>
      </c>
      <c r="AD16" s="77" t="s">
        <v>611</v>
      </c>
      <c r="AE16" s="339">
        <v>1</v>
      </c>
      <c r="AF16" s="339">
        <v>2</v>
      </c>
      <c r="AG16" s="339">
        <v>4</v>
      </c>
      <c r="AH16" s="339">
        <v>1</v>
      </c>
      <c r="AI16" s="339">
        <v>1</v>
      </c>
      <c r="AJ16" s="339">
        <v>3</v>
      </c>
      <c r="AK16" s="104">
        <v>3</v>
      </c>
      <c r="AL16" s="104">
        <v>1.05</v>
      </c>
      <c r="AM16" s="107">
        <f t="shared" si="8"/>
        <v>1.2089750740786649</v>
      </c>
      <c r="AN16" s="107">
        <f t="shared" si="9"/>
        <v>1.2164594125584303</v>
      </c>
      <c r="AO16" s="107" t="str">
        <f t="shared" si="10"/>
        <v>(1,2,4,1,1,3)</v>
      </c>
      <c r="AP16" s="108">
        <v>1</v>
      </c>
      <c r="AQ16" s="108">
        <v>1.02</v>
      </c>
      <c r="AR16" s="108">
        <v>1.2</v>
      </c>
      <c r="AS16" s="108">
        <v>1</v>
      </c>
      <c r="AT16" s="108">
        <v>1</v>
      </c>
      <c r="AU16" s="108">
        <v>1.05</v>
      </c>
    </row>
    <row r="17" spans="1:47" s="169" customFormat="1" ht="36" customHeight="1">
      <c r="A17" s="330">
        <v>269497</v>
      </c>
      <c r="B17" s="331"/>
      <c r="C17" s="88"/>
      <c r="D17" s="340">
        <v>5</v>
      </c>
      <c r="E17" s="341" t="s">
        <v>98</v>
      </c>
      <c r="F17" s="432" t="s">
        <v>468</v>
      </c>
      <c r="G17" s="433" t="s">
        <v>93</v>
      </c>
      <c r="H17" s="434" t="s">
        <v>98</v>
      </c>
      <c r="I17" s="434" t="s">
        <v>98</v>
      </c>
      <c r="J17" s="94">
        <v>0</v>
      </c>
      <c r="K17" s="433" t="s">
        <v>96</v>
      </c>
      <c r="L17" s="435">
        <f>X17</f>
        <v>5.0000000000000001E-3</v>
      </c>
      <c r="M17" s="95">
        <v>1</v>
      </c>
      <c r="N17" s="96">
        <f t="shared" si="0"/>
        <v>1.5845564191340322</v>
      </c>
      <c r="O17" s="432" t="str">
        <f t="shared" si="1"/>
        <v>(3,3,5,3,1,5); de Wild-Scholten (2014) Life Cycle Assessment of Photovoltaics Status 2011, Part 1 Data Collection (table 12)</v>
      </c>
      <c r="P17" s="435">
        <f t="shared" si="11"/>
        <v>5.0000000000000001E-3</v>
      </c>
      <c r="Q17" s="95">
        <v>1</v>
      </c>
      <c r="R17" s="96">
        <f t="shared" si="2"/>
        <v>1.5845564191340322</v>
      </c>
      <c r="S17" s="432" t="str">
        <f t="shared" si="3"/>
        <v>(3,3,5,3,1,5); de Wild-Scholten (2014) Life Cycle Assessment of Photovoltaics Status 2011, Part 1 Data Collection (table 12)</v>
      </c>
      <c r="T17" s="435">
        <f t="shared" si="12"/>
        <v>5.0000000000000001E-3</v>
      </c>
      <c r="U17" s="95">
        <v>1</v>
      </c>
      <c r="V17" s="96">
        <f t="shared" si="4"/>
        <v>1.5845564191340322</v>
      </c>
      <c r="W17" s="432" t="str">
        <f t="shared" si="5"/>
        <v>(3,3,5,3,1,5); de Wild-Scholten (2014) Life Cycle Assessment of Photovoltaics Status 2011, Part 1 Data Collection (table 12)</v>
      </c>
      <c r="X17" s="435">
        <f>AC17</f>
        <v>5.0000000000000001E-3</v>
      </c>
      <c r="Y17" s="95">
        <v>1</v>
      </c>
      <c r="Z17" s="96">
        <f t="shared" si="6"/>
        <v>1.5845564191340322</v>
      </c>
      <c r="AA17" s="432" t="str">
        <f t="shared" si="7"/>
        <v>(3,3,5,3,1,5); de Wild-Scholten (2014) Life Cycle Assessment of Photovoltaics Status 2011, Part 1 Data Collection (table 12)</v>
      </c>
      <c r="AB17" s="112"/>
      <c r="AC17" s="170">
        <v>5.0000000000000001E-3</v>
      </c>
      <c r="AD17" s="77" t="s">
        <v>611</v>
      </c>
      <c r="AE17" s="339">
        <v>3</v>
      </c>
      <c r="AF17" s="339">
        <v>3</v>
      </c>
      <c r="AG17" s="339">
        <v>5</v>
      </c>
      <c r="AH17" s="339">
        <v>3</v>
      </c>
      <c r="AI17" s="339">
        <v>1</v>
      </c>
      <c r="AJ17" s="339">
        <v>5</v>
      </c>
      <c r="AK17" s="104">
        <v>3</v>
      </c>
      <c r="AL17" s="104">
        <v>1.05</v>
      </c>
      <c r="AM17" s="107">
        <f t="shared" si="8"/>
        <v>1.5804528752110836</v>
      </c>
      <c r="AN17" s="107">
        <f t="shared" si="9"/>
        <v>1.5845564191340322</v>
      </c>
      <c r="AO17" s="107" t="str">
        <f t="shared" si="10"/>
        <v>(3,3,5,3,1,5)</v>
      </c>
      <c r="AP17" s="108">
        <v>1.1000000000000001</v>
      </c>
      <c r="AQ17" s="108">
        <v>1.05</v>
      </c>
      <c r="AR17" s="108">
        <v>1.5</v>
      </c>
      <c r="AS17" s="108">
        <v>1.02</v>
      </c>
      <c r="AT17" s="108">
        <v>1</v>
      </c>
      <c r="AU17" s="108">
        <v>1.2</v>
      </c>
    </row>
    <row r="18" spans="1:47" ht="36" customHeight="1">
      <c r="A18" s="330">
        <v>269223</v>
      </c>
      <c r="B18" s="331"/>
      <c r="C18" s="88"/>
      <c r="D18" s="340">
        <v>5</v>
      </c>
      <c r="E18" s="341" t="s">
        <v>98</v>
      </c>
      <c r="F18" s="432" t="s">
        <v>318</v>
      </c>
      <c r="G18" s="433" t="s">
        <v>93</v>
      </c>
      <c r="H18" s="434" t="s">
        <v>98</v>
      </c>
      <c r="I18" s="434" t="s">
        <v>98</v>
      </c>
      <c r="J18" s="94">
        <v>0</v>
      </c>
      <c r="K18" s="433" t="s">
        <v>96</v>
      </c>
      <c r="L18" s="435">
        <f>X18</f>
        <v>3.04E-2</v>
      </c>
      <c r="M18" s="95">
        <v>1</v>
      </c>
      <c r="N18" s="96">
        <f t="shared" si="0"/>
        <v>1.2164594125584303</v>
      </c>
      <c r="O18" s="432" t="str">
        <f t="shared" si="1"/>
        <v>(1,2,4,1,1,3); de Wild-Scholten (2014) Life Cycle Assessment of Photovoltaics Status 2011, Part 1 Data Collection (table 12)</v>
      </c>
      <c r="P18" s="435">
        <f t="shared" si="11"/>
        <v>3.04E-2</v>
      </c>
      <c r="Q18" s="95">
        <v>1</v>
      </c>
      <c r="R18" s="96">
        <f t="shared" si="2"/>
        <v>1.2164594125584303</v>
      </c>
      <c r="S18" s="432" t="str">
        <f t="shared" si="3"/>
        <v>(1,2,4,1,1,3); de Wild-Scholten (2014) Life Cycle Assessment of Photovoltaics Status 2011, Part 1 Data Collection (table 12)</v>
      </c>
      <c r="T18" s="435">
        <f t="shared" si="12"/>
        <v>3.04E-2</v>
      </c>
      <c r="U18" s="95">
        <v>1</v>
      </c>
      <c r="V18" s="96">
        <f t="shared" si="4"/>
        <v>1.2164594125584303</v>
      </c>
      <c r="W18" s="432" t="str">
        <f t="shared" si="5"/>
        <v>(1,2,4,1,1,3); de Wild-Scholten (2014) Life Cycle Assessment of Photovoltaics Status 2011, Part 1 Data Collection (table 12)</v>
      </c>
      <c r="X18" s="435">
        <f>AC18</f>
        <v>3.04E-2</v>
      </c>
      <c r="Y18" s="95">
        <v>1</v>
      </c>
      <c r="Z18" s="96">
        <f t="shared" si="6"/>
        <v>1.2164594125584303</v>
      </c>
      <c r="AA18" s="432" t="str">
        <f t="shared" si="7"/>
        <v>(1,2,4,1,1,3); de Wild-Scholten (2014) Life Cycle Assessment of Photovoltaics Status 2011, Part 1 Data Collection (table 12)</v>
      </c>
      <c r="AB18" s="112"/>
      <c r="AC18" s="170">
        <v>3.04E-2</v>
      </c>
      <c r="AD18" s="77" t="s">
        <v>611</v>
      </c>
      <c r="AE18" s="339">
        <v>1</v>
      </c>
      <c r="AF18" s="339">
        <v>2</v>
      </c>
      <c r="AG18" s="339">
        <v>4</v>
      </c>
      <c r="AH18" s="339">
        <v>1</v>
      </c>
      <c r="AI18" s="339">
        <v>1</v>
      </c>
      <c r="AJ18" s="339">
        <v>3</v>
      </c>
      <c r="AK18" s="104">
        <v>3</v>
      </c>
      <c r="AL18" s="104">
        <v>1.05</v>
      </c>
      <c r="AM18" s="107">
        <f t="shared" si="8"/>
        <v>1.2089750740786649</v>
      </c>
      <c r="AN18" s="107">
        <f t="shared" si="9"/>
        <v>1.2164594125584303</v>
      </c>
      <c r="AO18" s="107" t="str">
        <f t="shared" si="10"/>
        <v>(1,2,4,1,1,3)</v>
      </c>
      <c r="AP18" s="108">
        <v>1</v>
      </c>
      <c r="AQ18" s="108">
        <v>1.02</v>
      </c>
      <c r="AR18" s="108">
        <v>1.2</v>
      </c>
      <c r="AS18" s="108">
        <v>1</v>
      </c>
      <c r="AT18" s="108">
        <v>1</v>
      </c>
      <c r="AU18" s="108">
        <v>1.05</v>
      </c>
    </row>
    <row r="19" spans="1:47" ht="36" customHeight="1">
      <c r="A19" s="330">
        <v>268995</v>
      </c>
      <c r="B19" s="331"/>
      <c r="C19" s="88"/>
      <c r="D19" s="340">
        <v>5</v>
      </c>
      <c r="E19" s="341" t="s">
        <v>98</v>
      </c>
      <c r="F19" s="432" t="s">
        <v>585</v>
      </c>
      <c r="G19" s="433" t="s">
        <v>103</v>
      </c>
      <c r="H19" s="434" t="s">
        <v>98</v>
      </c>
      <c r="I19" s="434" t="s">
        <v>98</v>
      </c>
      <c r="J19" s="94">
        <v>0</v>
      </c>
      <c r="K19" s="433" t="s">
        <v>96</v>
      </c>
      <c r="L19" s="435">
        <f>X19</f>
        <v>0.214</v>
      </c>
      <c r="M19" s="95">
        <v>1</v>
      </c>
      <c r="N19" s="96">
        <f t="shared" si="0"/>
        <v>1.2164594125584303</v>
      </c>
      <c r="O19" s="432" t="str">
        <f t="shared" si="1"/>
        <v>(1,2,4,1,1,3); de Wild-Scholten (2014) Life Cycle Assessment of Photovoltaics Status 2011, Part 1 Data Collection (table 12)</v>
      </c>
      <c r="P19" s="435">
        <f t="shared" si="11"/>
        <v>0.214</v>
      </c>
      <c r="Q19" s="95">
        <v>1</v>
      </c>
      <c r="R19" s="96">
        <f t="shared" si="2"/>
        <v>1.2164594125584303</v>
      </c>
      <c r="S19" s="432" t="str">
        <f t="shared" si="3"/>
        <v>(1,2,4,1,1,3); de Wild-Scholten (2014) Life Cycle Assessment of Photovoltaics Status 2011, Part 1 Data Collection (table 12)</v>
      </c>
      <c r="T19" s="435">
        <f t="shared" si="12"/>
        <v>0.214</v>
      </c>
      <c r="U19" s="95">
        <v>1</v>
      </c>
      <c r="V19" s="96">
        <f t="shared" si="4"/>
        <v>1.2164594125584303</v>
      </c>
      <c r="W19" s="432" t="str">
        <f t="shared" si="5"/>
        <v>(1,2,4,1,1,3); de Wild-Scholten (2014) Life Cycle Assessment of Photovoltaics Status 2011, Part 1 Data Collection (table 12)</v>
      </c>
      <c r="X19" s="435">
        <f>AC19</f>
        <v>0.214</v>
      </c>
      <c r="Y19" s="95">
        <v>1</v>
      </c>
      <c r="Z19" s="96">
        <f t="shared" si="6"/>
        <v>1.2164594125584303</v>
      </c>
      <c r="AA19" s="432" t="str">
        <f t="shared" si="7"/>
        <v>(1,2,4,1,1,3); de Wild-Scholten (2014) Life Cycle Assessment of Photovoltaics Status 2011, Part 1 Data Collection (table 12)</v>
      </c>
      <c r="AB19" s="112"/>
      <c r="AC19" s="170">
        <v>0.214</v>
      </c>
      <c r="AD19" s="77" t="s">
        <v>611</v>
      </c>
      <c r="AE19" s="339">
        <v>1</v>
      </c>
      <c r="AF19" s="339">
        <v>2</v>
      </c>
      <c r="AG19" s="339">
        <v>4</v>
      </c>
      <c r="AH19" s="339">
        <v>1</v>
      </c>
      <c r="AI19" s="339">
        <v>1</v>
      </c>
      <c r="AJ19" s="339">
        <v>3</v>
      </c>
      <c r="AK19" s="104">
        <v>3</v>
      </c>
      <c r="AL19" s="104">
        <v>1.05</v>
      </c>
      <c r="AM19" s="107">
        <f t="shared" si="8"/>
        <v>1.2089750740786649</v>
      </c>
      <c r="AN19" s="107">
        <f t="shared" si="9"/>
        <v>1.2164594125584303</v>
      </c>
      <c r="AO19" s="107" t="str">
        <f t="shared" si="10"/>
        <v>(1,2,4,1,1,3)</v>
      </c>
      <c r="AP19" s="108">
        <v>1</v>
      </c>
      <c r="AQ19" s="108">
        <v>1.02</v>
      </c>
      <c r="AR19" s="108">
        <v>1.2</v>
      </c>
      <c r="AS19" s="108">
        <v>1</v>
      </c>
      <c r="AT19" s="108">
        <v>1</v>
      </c>
      <c r="AU19" s="108">
        <v>1.05</v>
      </c>
    </row>
    <row r="20" spans="1:47">
      <c r="A20" s="330">
        <v>267914</v>
      </c>
      <c r="B20" s="331"/>
      <c r="C20" s="88"/>
      <c r="D20" s="340">
        <v>5</v>
      </c>
      <c r="E20" s="341" t="s">
        <v>98</v>
      </c>
      <c r="F20" s="432" t="s">
        <v>380</v>
      </c>
      <c r="G20" s="433" t="s">
        <v>372</v>
      </c>
      <c r="H20" s="434" t="s">
        <v>98</v>
      </c>
      <c r="I20" s="434" t="s">
        <v>98</v>
      </c>
      <c r="J20" s="94">
        <v>0</v>
      </c>
      <c r="K20" s="433" t="s">
        <v>109</v>
      </c>
      <c r="L20" s="435">
        <f>X23</f>
        <v>7</v>
      </c>
      <c r="M20" s="95">
        <v>1</v>
      </c>
      <c r="N20" s="96">
        <f t="shared" si="0"/>
        <v>1.2167665867084276</v>
      </c>
      <c r="O20" s="432" t="str">
        <f t="shared" si="1"/>
        <v>(2,2,1,2,1,5); ITRPV 2020, Fig. 6, p.9, 2020 value</v>
      </c>
      <c r="P20" s="435">
        <v>0</v>
      </c>
      <c r="Q20" s="95">
        <v>1</v>
      </c>
      <c r="R20" s="96">
        <f t="shared" si="2"/>
        <v>1.2167665867084276</v>
      </c>
      <c r="S20" s="432" t="str">
        <f t="shared" si="3"/>
        <v>(2,2,1,2,1,5); ITRPV 2020, Fig. 6, p.9, 2020 value</v>
      </c>
      <c r="T20" s="435">
        <v>0</v>
      </c>
      <c r="U20" s="95">
        <v>1</v>
      </c>
      <c r="V20" s="96">
        <f t="shared" si="4"/>
        <v>1.2167665867084276</v>
      </c>
      <c r="W20" s="432" t="str">
        <f t="shared" si="5"/>
        <v>(2,2,1,2,1,5); ITRPV 2020, Fig. 6, p.9, 2020 value</v>
      </c>
      <c r="X20" s="435">
        <v>0</v>
      </c>
      <c r="Y20" s="95">
        <v>1</v>
      </c>
      <c r="Z20" s="96">
        <f t="shared" si="6"/>
        <v>1.2167665867084276</v>
      </c>
      <c r="AA20" s="432" t="str">
        <f t="shared" si="7"/>
        <v>(2,2,1,2,1,5); ITRPV 2020, Fig. 6, p.9, 2020 value</v>
      </c>
      <c r="AB20" s="112"/>
      <c r="AC20" s="170"/>
      <c r="AD20" s="111" t="s">
        <v>613</v>
      </c>
      <c r="AE20" s="339">
        <v>2</v>
      </c>
      <c r="AF20" s="339">
        <v>2</v>
      </c>
      <c r="AG20" s="339">
        <v>1</v>
      </c>
      <c r="AH20" s="339">
        <v>2</v>
      </c>
      <c r="AI20" s="339">
        <v>1</v>
      </c>
      <c r="AJ20" s="339">
        <v>5</v>
      </c>
      <c r="AK20" s="104">
        <v>3</v>
      </c>
      <c r="AL20" s="104">
        <v>1.05</v>
      </c>
      <c r="AM20" s="107">
        <f t="shared" si="8"/>
        <v>1.2092902742898253</v>
      </c>
      <c r="AN20" s="107">
        <f t="shared" si="9"/>
        <v>1.2167665867084276</v>
      </c>
      <c r="AO20" s="107" t="str">
        <f t="shared" si="10"/>
        <v>(2,2,1,2,1,5)</v>
      </c>
      <c r="AP20" s="108">
        <v>1.05</v>
      </c>
      <c r="AQ20" s="108">
        <v>1.02</v>
      </c>
      <c r="AR20" s="108">
        <v>1</v>
      </c>
      <c r="AS20" s="108">
        <v>1.01</v>
      </c>
      <c r="AT20" s="108">
        <v>1</v>
      </c>
      <c r="AU20" s="108">
        <v>1.2</v>
      </c>
    </row>
    <row r="21" spans="1:47">
      <c r="A21" s="330">
        <v>19772</v>
      </c>
      <c r="B21" s="331"/>
      <c r="C21" s="88"/>
      <c r="D21" s="340">
        <v>5</v>
      </c>
      <c r="E21" s="341" t="s">
        <v>98</v>
      </c>
      <c r="F21" s="432" t="s">
        <v>225</v>
      </c>
      <c r="G21" s="433" t="s">
        <v>215</v>
      </c>
      <c r="H21" s="434" t="s">
        <v>98</v>
      </c>
      <c r="I21" s="434" t="s">
        <v>98</v>
      </c>
      <c r="J21" s="94">
        <v>0</v>
      </c>
      <c r="K21" s="433" t="s">
        <v>109</v>
      </c>
      <c r="L21" s="435">
        <v>0</v>
      </c>
      <c r="M21" s="95">
        <v>1</v>
      </c>
      <c r="N21" s="96">
        <f t="shared" si="0"/>
        <v>1.2167665867084276</v>
      </c>
      <c r="O21" s="432" t="str">
        <f t="shared" si="1"/>
        <v>(2,2,1,2,1,5); ITRPV 2020, Fig. 6, p.9, 2020 value</v>
      </c>
      <c r="P21" s="435">
        <f>L20</f>
        <v>7</v>
      </c>
      <c r="Q21" s="95">
        <v>1</v>
      </c>
      <c r="R21" s="96">
        <f t="shared" si="2"/>
        <v>1.2167665867084276</v>
      </c>
      <c r="S21" s="432" t="str">
        <f t="shared" si="3"/>
        <v>(2,2,1,2,1,5); ITRPV 2020, Fig. 6, p.9, 2020 value</v>
      </c>
      <c r="T21" s="435">
        <f>L21</f>
        <v>0</v>
      </c>
      <c r="U21" s="95">
        <v>1</v>
      </c>
      <c r="V21" s="96">
        <f t="shared" si="4"/>
        <v>1.2167665867084276</v>
      </c>
      <c r="W21" s="432" t="str">
        <f t="shared" si="5"/>
        <v>(2,2,1,2,1,5); ITRPV 2020, Fig. 6, p.9, 2020 value</v>
      </c>
      <c r="X21" s="435">
        <v>0</v>
      </c>
      <c r="Y21" s="95">
        <v>1</v>
      </c>
      <c r="Z21" s="96">
        <f t="shared" si="6"/>
        <v>1.2167665867084276</v>
      </c>
      <c r="AA21" s="432" t="str">
        <f t="shared" si="7"/>
        <v>(2,2,1,2,1,5); ITRPV 2020, Fig. 6, p.9, 2020 value</v>
      </c>
      <c r="AB21" s="112"/>
      <c r="AC21" s="170"/>
      <c r="AD21" s="111" t="s">
        <v>613</v>
      </c>
      <c r="AE21" s="339">
        <v>2</v>
      </c>
      <c r="AF21" s="339">
        <v>2</v>
      </c>
      <c r="AG21" s="339">
        <v>1</v>
      </c>
      <c r="AH21" s="339">
        <v>2</v>
      </c>
      <c r="AI21" s="339">
        <v>1</v>
      </c>
      <c r="AJ21" s="339">
        <v>5</v>
      </c>
      <c r="AK21" s="104">
        <v>3</v>
      </c>
      <c r="AL21" s="104">
        <v>1.05</v>
      </c>
      <c r="AM21" s="107">
        <f t="shared" si="8"/>
        <v>1.2092902742898253</v>
      </c>
      <c r="AN21" s="107">
        <f t="shared" si="9"/>
        <v>1.2167665867084276</v>
      </c>
      <c r="AO21" s="107" t="str">
        <f t="shared" si="10"/>
        <v>(2,2,1,2,1,5)</v>
      </c>
      <c r="AP21" s="108">
        <v>1.05</v>
      </c>
      <c r="AQ21" s="108">
        <v>1.02</v>
      </c>
      <c r="AR21" s="108">
        <v>1</v>
      </c>
      <c r="AS21" s="108">
        <v>1.01</v>
      </c>
      <c r="AT21" s="108">
        <v>1</v>
      </c>
      <c r="AU21" s="108">
        <v>1.2</v>
      </c>
    </row>
    <row r="22" spans="1:47">
      <c r="A22" s="330">
        <v>267119</v>
      </c>
      <c r="B22" s="331"/>
      <c r="C22" s="88"/>
      <c r="D22" s="340">
        <v>5</v>
      </c>
      <c r="E22" s="341" t="s">
        <v>98</v>
      </c>
      <c r="F22" s="432" t="s">
        <v>614</v>
      </c>
      <c r="G22" s="433" t="s">
        <v>485</v>
      </c>
      <c r="H22" s="434" t="s">
        <v>98</v>
      </c>
      <c r="I22" s="434" t="s">
        <v>98</v>
      </c>
      <c r="J22" s="94">
        <v>0</v>
      </c>
      <c r="K22" s="433" t="s">
        <v>109</v>
      </c>
      <c r="L22" s="435">
        <v>0</v>
      </c>
      <c r="M22" s="95">
        <v>1</v>
      </c>
      <c r="N22" s="96">
        <f t="shared" si="0"/>
        <v>1.2167665867084276</v>
      </c>
      <c r="O22" s="432" t="str">
        <f t="shared" si="1"/>
        <v>(2,2,1,2,1,5); ITRPV 2020, Fig. 6, p.9, 2020 value</v>
      </c>
      <c r="P22" s="435">
        <f>L22</f>
        <v>0</v>
      </c>
      <c r="Q22" s="95">
        <v>1</v>
      </c>
      <c r="R22" s="96">
        <f t="shared" si="2"/>
        <v>1.2167665867084276</v>
      </c>
      <c r="S22" s="432" t="str">
        <f t="shared" si="3"/>
        <v>(2,2,1,2,1,5); ITRPV 2020, Fig. 6, p.9, 2020 value</v>
      </c>
      <c r="T22" s="435">
        <f>P21</f>
        <v>7</v>
      </c>
      <c r="U22" s="95">
        <v>1</v>
      </c>
      <c r="V22" s="96">
        <f t="shared" si="4"/>
        <v>1.2167665867084276</v>
      </c>
      <c r="W22" s="432" t="str">
        <f t="shared" si="5"/>
        <v>(2,2,1,2,1,5); ITRPV 2020, Fig. 6, p.9, 2020 value</v>
      </c>
      <c r="X22" s="435">
        <v>0</v>
      </c>
      <c r="Y22" s="95">
        <v>1</v>
      </c>
      <c r="Z22" s="96">
        <f t="shared" si="6"/>
        <v>1.2167665867084276</v>
      </c>
      <c r="AA22" s="432" t="str">
        <f t="shared" si="7"/>
        <v>(2,2,1,2,1,5); ITRPV 2020, Fig. 6, p.9, 2020 value</v>
      </c>
      <c r="AB22" s="112"/>
      <c r="AC22" s="170"/>
      <c r="AD22" s="111" t="s">
        <v>613</v>
      </c>
      <c r="AE22" s="339">
        <v>2</v>
      </c>
      <c r="AF22" s="339">
        <v>2</v>
      </c>
      <c r="AG22" s="339">
        <v>1</v>
      </c>
      <c r="AH22" s="339">
        <v>2</v>
      </c>
      <c r="AI22" s="339">
        <v>1</v>
      </c>
      <c r="AJ22" s="339">
        <v>5</v>
      </c>
      <c r="AK22" s="104">
        <v>3</v>
      </c>
      <c r="AL22" s="104">
        <v>1.05</v>
      </c>
      <c r="AM22" s="107">
        <f t="shared" si="8"/>
        <v>1.2092902742898253</v>
      </c>
      <c r="AN22" s="107">
        <f t="shared" si="9"/>
        <v>1.2167665867084276</v>
      </c>
      <c r="AO22" s="107" t="str">
        <f t="shared" si="10"/>
        <v>(2,2,1,2,1,5)</v>
      </c>
      <c r="AP22" s="108">
        <v>1.05</v>
      </c>
      <c r="AQ22" s="108">
        <v>1.02</v>
      </c>
      <c r="AR22" s="108">
        <v>1</v>
      </c>
      <c r="AS22" s="108">
        <v>1.01</v>
      </c>
      <c r="AT22" s="108">
        <v>1</v>
      </c>
      <c r="AU22" s="108">
        <v>1.2</v>
      </c>
    </row>
    <row r="23" spans="1:47" ht="24" customHeight="1">
      <c r="A23" s="330">
        <v>269603</v>
      </c>
      <c r="B23" s="331"/>
      <c r="C23" s="88"/>
      <c r="D23" s="340">
        <v>5</v>
      </c>
      <c r="E23" s="341" t="s">
        <v>98</v>
      </c>
      <c r="F23" s="432" t="s">
        <v>222</v>
      </c>
      <c r="G23" s="433" t="s">
        <v>223</v>
      </c>
      <c r="H23" s="434" t="s">
        <v>98</v>
      </c>
      <c r="I23" s="434" t="s">
        <v>98</v>
      </c>
      <c r="J23" s="94">
        <v>0</v>
      </c>
      <c r="K23" s="433" t="s">
        <v>109</v>
      </c>
      <c r="L23" s="435">
        <v>0</v>
      </c>
      <c r="M23" s="95">
        <v>1</v>
      </c>
      <c r="N23" s="96">
        <f t="shared" si="0"/>
        <v>1.2167665867084276</v>
      </c>
      <c r="O23" s="432" t="str">
        <f t="shared" si="1"/>
        <v>(2,2,1,2,1,5); ITRPV 2020, Fig. 6, p.9, 2020 value</v>
      </c>
      <c r="P23" s="435">
        <f>L23</f>
        <v>0</v>
      </c>
      <c r="Q23" s="95">
        <v>1</v>
      </c>
      <c r="R23" s="96">
        <f t="shared" si="2"/>
        <v>1.2167665867084276</v>
      </c>
      <c r="S23" s="432" t="str">
        <f t="shared" si="3"/>
        <v>(2,2,1,2,1,5); ITRPV 2020, Fig. 6, p.9, 2020 value</v>
      </c>
      <c r="T23" s="435">
        <f>L23</f>
        <v>0</v>
      </c>
      <c r="U23" s="95">
        <v>1</v>
      </c>
      <c r="V23" s="96">
        <f t="shared" si="4"/>
        <v>1.2167665867084276</v>
      </c>
      <c r="W23" s="432" t="str">
        <f t="shared" si="5"/>
        <v>(2,2,1,2,1,5); ITRPV 2020, Fig. 6, p.9, 2020 value</v>
      </c>
      <c r="X23" s="435">
        <v>7</v>
      </c>
      <c r="Y23" s="95">
        <v>1</v>
      </c>
      <c r="Z23" s="96">
        <f t="shared" si="6"/>
        <v>1.2167665867084276</v>
      </c>
      <c r="AA23" s="432" t="str">
        <f t="shared" si="7"/>
        <v>(2,2,1,2,1,5); ITRPV 2020, Fig. 6, p.9, 2020 value</v>
      </c>
      <c r="AB23" s="112"/>
      <c r="AC23" s="170">
        <v>15.5</v>
      </c>
      <c r="AD23" s="111" t="s">
        <v>613</v>
      </c>
      <c r="AE23" s="339">
        <v>2</v>
      </c>
      <c r="AF23" s="339">
        <v>2</v>
      </c>
      <c r="AG23" s="339">
        <v>1</v>
      </c>
      <c r="AH23" s="339">
        <v>2</v>
      </c>
      <c r="AI23" s="339">
        <v>1</v>
      </c>
      <c r="AJ23" s="339">
        <v>5</v>
      </c>
      <c r="AK23" s="104">
        <v>2</v>
      </c>
      <c r="AL23" s="104">
        <v>1.05</v>
      </c>
      <c r="AM23" s="107">
        <f t="shared" si="8"/>
        <v>1.2092902742898253</v>
      </c>
      <c r="AN23" s="107">
        <f t="shared" si="9"/>
        <v>1.2167665867084276</v>
      </c>
      <c r="AO23" s="107" t="str">
        <f t="shared" si="10"/>
        <v>(2,2,1,2,1,5)</v>
      </c>
      <c r="AP23" s="108">
        <v>1.05</v>
      </c>
      <c r="AQ23" s="108">
        <v>1.02</v>
      </c>
      <c r="AR23" s="108">
        <v>1</v>
      </c>
      <c r="AS23" s="108">
        <v>1.01</v>
      </c>
      <c r="AT23" s="108">
        <v>1</v>
      </c>
      <c r="AU23" s="108">
        <v>1.2</v>
      </c>
    </row>
    <row r="24" spans="1:47" ht="36" customHeight="1">
      <c r="A24" s="330">
        <v>56240</v>
      </c>
      <c r="B24" s="331" t="s">
        <v>291</v>
      </c>
      <c r="C24" s="88"/>
      <c r="D24" s="340">
        <v>4</v>
      </c>
      <c r="E24" s="341" t="s">
        <v>98</v>
      </c>
      <c r="F24" s="432" t="s">
        <v>615</v>
      </c>
      <c r="G24" s="433" t="s">
        <v>98</v>
      </c>
      <c r="H24" s="434" t="s">
        <v>218</v>
      </c>
      <c r="I24" s="434" t="s">
        <v>132</v>
      </c>
      <c r="J24" s="94" t="s">
        <v>98</v>
      </c>
      <c r="K24" s="433" t="s">
        <v>119</v>
      </c>
      <c r="L24" s="435">
        <f>$AC$27</f>
        <v>0.94299999999999995</v>
      </c>
      <c r="M24" s="95">
        <v>1</v>
      </c>
      <c r="N24" s="96">
        <f t="shared" si="0"/>
        <v>1.5960462102848654</v>
      </c>
      <c r="O24" s="432" t="str">
        <f t="shared" si="1"/>
        <v>(3,4,5,3,1,5); de Wild-Scholten (2014) Life Cycle Assessment of Photovoltaics Status 2011, Part 1 Data Collection (table 12)</v>
      </c>
      <c r="P24" s="435">
        <v>0</v>
      </c>
      <c r="Q24" s="95">
        <v>1</v>
      </c>
      <c r="R24" s="96">
        <f t="shared" si="2"/>
        <v>1.5960462102848654</v>
      </c>
      <c r="S24" s="432" t="str">
        <f t="shared" si="3"/>
        <v>(3,4,5,3,1,5); de Wild-Scholten (2014) Life Cycle Assessment of Photovoltaics Status 2011, Part 1 Data Collection (table 12)</v>
      </c>
      <c r="T24" s="435">
        <v>0</v>
      </c>
      <c r="U24" s="95">
        <v>1</v>
      </c>
      <c r="V24" s="96">
        <f t="shared" si="4"/>
        <v>1.5960462102848654</v>
      </c>
      <c r="W24" s="432" t="str">
        <f t="shared" si="5"/>
        <v>(3,4,5,3,1,5); de Wild-Scholten (2014) Life Cycle Assessment of Photovoltaics Status 2011, Part 1 Data Collection (table 12)</v>
      </c>
      <c r="X24" s="435">
        <v>0</v>
      </c>
      <c r="Y24" s="95">
        <v>1</v>
      </c>
      <c r="Z24" s="96">
        <f t="shared" si="6"/>
        <v>1.5960462102848654</v>
      </c>
      <c r="AA24" s="432" t="str">
        <f t="shared" si="7"/>
        <v>(3,4,5,3,1,5); de Wild-Scholten (2014) Life Cycle Assessment of Photovoltaics Status 2011, Part 1 Data Collection (table 12)</v>
      </c>
      <c r="AB24" s="427"/>
      <c r="AC24" s="170"/>
      <c r="AD24" s="77" t="s">
        <v>611</v>
      </c>
      <c r="AE24" s="339">
        <v>3</v>
      </c>
      <c r="AF24" s="339">
        <v>4</v>
      </c>
      <c r="AG24" s="339">
        <v>5</v>
      </c>
      <c r="AH24" s="339">
        <v>3</v>
      </c>
      <c r="AI24" s="339">
        <v>1</v>
      </c>
      <c r="AJ24" s="339">
        <v>5</v>
      </c>
      <c r="AK24" s="104">
        <v>12</v>
      </c>
      <c r="AL24" s="104">
        <v>1.05</v>
      </c>
      <c r="AM24" s="107">
        <f t="shared" si="8"/>
        <v>1.5919770563893134</v>
      </c>
      <c r="AN24" s="107">
        <f t="shared" si="9"/>
        <v>1.5960462102848654</v>
      </c>
      <c r="AO24" s="107" t="str">
        <f t="shared" si="10"/>
        <v>(3,4,5,3,1,5)</v>
      </c>
      <c r="AP24" s="108">
        <v>1.1000000000000001</v>
      </c>
      <c r="AQ24" s="108">
        <v>1.1000000000000001</v>
      </c>
      <c r="AR24" s="108">
        <v>1.5</v>
      </c>
      <c r="AS24" s="108">
        <v>1.02</v>
      </c>
      <c r="AT24" s="108">
        <v>1</v>
      </c>
      <c r="AU24" s="108">
        <v>1.2</v>
      </c>
    </row>
    <row r="25" spans="1:47" ht="36" customHeight="1">
      <c r="A25" s="330">
        <v>55350</v>
      </c>
      <c r="B25" s="331"/>
      <c r="C25" s="88"/>
      <c r="D25" s="340">
        <v>4</v>
      </c>
      <c r="E25" s="341" t="s">
        <v>98</v>
      </c>
      <c r="F25" s="432" t="s">
        <v>616</v>
      </c>
      <c r="G25" s="433" t="s">
        <v>98</v>
      </c>
      <c r="H25" s="434" t="s">
        <v>218</v>
      </c>
      <c r="I25" s="434" t="s">
        <v>132</v>
      </c>
      <c r="J25" s="94" t="s">
        <v>98</v>
      </c>
      <c r="K25" s="433" t="s">
        <v>119</v>
      </c>
      <c r="L25" s="435">
        <v>0</v>
      </c>
      <c r="M25" s="95">
        <v>1</v>
      </c>
      <c r="N25" s="96">
        <f t="shared" si="0"/>
        <v>1.3440316373092398</v>
      </c>
      <c r="O25" s="432" t="str">
        <f t="shared" si="1"/>
        <v>(3,4,4,3,1,5); de Wild-Scholten (2014) Life Cycle Assessment of Photovoltaics Status 2011, Part 1 Data Collection (table 12)</v>
      </c>
      <c r="P25" s="435">
        <f>$AC$27</f>
        <v>0.94299999999999995</v>
      </c>
      <c r="Q25" s="95">
        <v>1</v>
      </c>
      <c r="R25" s="96">
        <f t="shared" si="2"/>
        <v>1.3440316373092398</v>
      </c>
      <c r="S25" s="432" t="str">
        <f t="shared" si="3"/>
        <v>(3,4,4,3,1,5); de Wild-Scholten (2014) Life Cycle Assessment of Photovoltaics Status 2011, Part 1 Data Collection (table 12)</v>
      </c>
      <c r="T25" s="435">
        <v>0</v>
      </c>
      <c r="U25" s="95">
        <v>1</v>
      </c>
      <c r="V25" s="96">
        <f t="shared" si="4"/>
        <v>1.3440316373092398</v>
      </c>
      <c r="W25" s="432" t="str">
        <f t="shared" si="5"/>
        <v>(3,4,4,3,1,5); de Wild-Scholten (2014) Life Cycle Assessment of Photovoltaics Status 2011, Part 1 Data Collection (table 12)</v>
      </c>
      <c r="X25" s="435">
        <v>0</v>
      </c>
      <c r="Y25" s="95">
        <v>1</v>
      </c>
      <c r="Z25" s="96">
        <f t="shared" si="6"/>
        <v>1.3440316373092398</v>
      </c>
      <c r="AA25" s="432" t="str">
        <f t="shared" si="7"/>
        <v>(3,4,4,3,1,5); de Wild-Scholten (2014) Life Cycle Assessment of Photovoltaics Status 2011, Part 1 Data Collection (table 12)</v>
      </c>
      <c r="AB25" s="427"/>
      <c r="AC25" s="170"/>
      <c r="AD25" s="77" t="s">
        <v>611</v>
      </c>
      <c r="AE25" s="339">
        <v>3</v>
      </c>
      <c r="AF25" s="339">
        <v>4</v>
      </c>
      <c r="AG25" s="339">
        <v>4</v>
      </c>
      <c r="AH25" s="339">
        <v>3</v>
      </c>
      <c r="AI25" s="339">
        <v>1</v>
      </c>
      <c r="AJ25" s="339">
        <v>5</v>
      </c>
      <c r="AK25" s="104">
        <v>12</v>
      </c>
      <c r="AL25" s="104">
        <v>1.05</v>
      </c>
      <c r="AM25" s="107">
        <f t="shared" si="8"/>
        <v>1.3385948990307144</v>
      </c>
      <c r="AN25" s="107">
        <f t="shared" si="9"/>
        <v>1.3440316373092398</v>
      </c>
      <c r="AO25" s="107" t="str">
        <f t="shared" si="10"/>
        <v>(3,4,4,3,1,5)</v>
      </c>
      <c r="AP25" s="108">
        <v>1.1000000000000001</v>
      </c>
      <c r="AQ25" s="108">
        <v>1.1000000000000001</v>
      </c>
      <c r="AR25" s="108">
        <v>1.2</v>
      </c>
      <c r="AS25" s="108">
        <v>1.02</v>
      </c>
      <c r="AT25" s="108">
        <v>1</v>
      </c>
      <c r="AU25" s="108">
        <v>1.2</v>
      </c>
    </row>
    <row r="26" spans="1:47" ht="36" customHeight="1">
      <c r="A26" s="330">
        <v>56168</v>
      </c>
      <c r="B26" s="331"/>
      <c r="C26" s="88"/>
      <c r="D26" s="340">
        <v>4</v>
      </c>
      <c r="E26" s="341" t="s">
        <v>98</v>
      </c>
      <c r="F26" s="432" t="s">
        <v>617</v>
      </c>
      <c r="G26" s="433" t="s">
        <v>98</v>
      </c>
      <c r="H26" s="434" t="s">
        <v>218</v>
      </c>
      <c r="I26" s="434" t="s">
        <v>132</v>
      </c>
      <c r="J26" s="94" t="s">
        <v>98</v>
      </c>
      <c r="K26" s="433" t="s">
        <v>119</v>
      </c>
      <c r="L26" s="435">
        <v>0</v>
      </c>
      <c r="M26" s="95">
        <v>1</v>
      </c>
      <c r="N26" s="96">
        <f t="shared" si="0"/>
        <v>1.3440316373092398</v>
      </c>
      <c r="O26" s="432" t="str">
        <f t="shared" si="1"/>
        <v>(3,4,4,3,1,5); de Wild-Scholten (2014) Life Cycle Assessment of Photovoltaics Status 2011, Part 1 Data Collection (table 12)</v>
      </c>
      <c r="P26" s="435">
        <v>0</v>
      </c>
      <c r="Q26" s="95">
        <v>1</v>
      </c>
      <c r="R26" s="96">
        <f t="shared" si="2"/>
        <v>1.3440316373092398</v>
      </c>
      <c r="S26" s="432" t="str">
        <f t="shared" si="3"/>
        <v>(3,4,4,3,1,5); de Wild-Scholten (2014) Life Cycle Assessment of Photovoltaics Status 2011, Part 1 Data Collection (table 12)</v>
      </c>
      <c r="T26" s="435">
        <f>$AC$27</f>
        <v>0.94299999999999995</v>
      </c>
      <c r="U26" s="95">
        <v>1</v>
      </c>
      <c r="V26" s="96">
        <f t="shared" si="4"/>
        <v>1.3440316373092398</v>
      </c>
      <c r="W26" s="432" t="str">
        <f t="shared" si="5"/>
        <v>(3,4,4,3,1,5); de Wild-Scholten (2014) Life Cycle Assessment of Photovoltaics Status 2011, Part 1 Data Collection (table 12)</v>
      </c>
      <c r="X26" s="435">
        <v>0</v>
      </c>
      <c r="Y26" s="95">
        <v>1</v>
      </c>
      <c r="Z26" s="96">
        <f t="shared" si="6"/>
        <v>1.3440316373092398</v>
      </c>
      <c r="AA26" s="432" t="str">
        <f t="shared" si="7"/>
        <v>(3,4,4,3,1,5); de Wild-Scholten (2014) Life Cycle Assessment of Photovoltaics Status 2011, Part 1 Data Collection (table 12)</v>
      </c>
      <c r="AB26" s="427"/>
      <c r="AC26" s="170"/>
      <c r="AD26" s="77" t="s">
        <v>611</v>
      </c>
      <c r="AE26" s="339">
        <v>3</v>
      </c>
      <c r="AF26" s="339">
        <v>4</v>
      </c>
      <c r="AG26" s="339">
        <v>4</v>
      </c>
      <c r="AH26" s="339">
        <v>3</v>
      </c>
      <c r="AI26" s="339">
        <v>1</v>
      </c>
      <c r="AJ26" s="339">
        <v>5</v>
      </c>
      <c r="AK26" s="104">
        <v>12</v>
      </c>
      <c r="AL26" s="104">
        <v>1.05</v>
      </c>
      <c r="AM26" s="107">
        <f t="shared" si="8"/>
        <v>1.3385948990307144</v>
      </c>
      <c r="AN26" s="107">
        <f t="shared" si="9"/>
        <v>1.3440316373092398</v>
      </c>
      <c r="AO26" s="107" t="str">
        <f t="shared" si="10"/>
        <v>(3,4,4,3,1,5)</v>
      </c>
      <c r="AP26" s="108">
        <v>1.1000000000000001</v>
      </c>
      <c r="AQ26" s="108">
        <v>1.1000000000000001</v>
      </c>
      <c r="AR26" s="108">
        <v>1.2</v>
      </c>
      <c r="AS26" s="108">
        <v>1.02</v>
      </c>
      <c r="AT26" s="108">
        <v>1</v>
      </c>
      <c r="AU26" s="108">
        <v>1.2</v>
      </c>
    </row>
    <row r="27" spans="1:47" ht="36" customHeight="1">
      <c r="A27" s="330">
        <v>56706</v>
      </c>
      <c r="B27" s="331"/>
      <c r="C27" s="88"/>
      <c r="D27" s="340">
        <v>4</v>
      </c>
      <c r="E27" s="341" t="s">
        <v>98</v>
      </c>
      <c r="F27" s="432" t="s">
        <v>618</v>
      </c>
      <c r="G27" s="433" t="s">
        <v>98</v>
      </c>
      <c r="H27" s="434" t="s">
        <v>218</v>
      </c>
      <c r="I27" s="434" t="s">
        <v>132</v>
      </c>
      <c r="J27" s="94" t="s">
        <v>98</v>
      </c>
      <c r="K27" s="433" t="s">
        <v>119</v>
      </c>
      <c r="L27" s="435">
        <v>0</v>
      </c>
      <c r="M27" s="95">
        <v>1</v>
      </c>
      <c r="N27" s="96">
        <f t="shared" si="0"/>
        <v>1.3440316373092398</v>
      </c>
      <c r="O27" s="432" t="str">
        <f t="shared" si="1"/>
        <v>(3,4,4,3,1,5); de Wild-Scholten (2014) Life Cycle Assessment of Photovoltaics Status 2011, Part 1 Data Collection (table 12)</v>
      </c>
      <c r="P27" s="435">
        <v>0</v>
      </c>
      <c r="Q27" s="95">
        <v>1</v>
      </c>
      <c r="R27" s="96">
        <f t="shared" si="2"/>
        <v>1.3440316373092398</v>
      </c>
      <c r="S27" s="432" t="str">
        <f t="shared" si="3"/>
        <v>(3,4,4,3,1,5); de Wild-Scholten (2014) Life Cycle Assessment of Photovoltaics Status 2011, Part 1 Data Collection (table 12)</v>
      </c>
      <c r="T27" s="435">
        <v>0</v>
      </c>
      <c r="U27" s="95">
        <v>1</v>
      </c>
      <c r="V27" s="96">
        <f t="shared" si="4"/>
        <v>1.3440316373092398</v>
      </c>
      <c r="W27" s="432" t="str">
        <f t="shared" si="5"/>
        <v>(3,4,4,3,1,5); de Wild-Scholten (2014) Life Cycle Assessment of Photovoltaics Status 2011, Part 1 Data Collection (table 12)</v>
      </c>
      <c r="X27" s="435">
        <f>$AC$27</f>
        <v>0.94299999999999995</v>
      </c>
      <c r="Y27" s="95">
        <v>1</v>
      </c>
      <c r="Z27" s="96">
        <f t="shared" si="6"/>
        <v>1.3440316373092398</v>
      </c>
      <c r="AA27" s="432" t="str">
        <f t="shared" si="7"/>
        <v>(3,4,4,3,1,5); de Wild-Scholten (2014) Life Cycle Assessment of Photovoltaics Status 2011, Part 1 Data Collection (table 12)</v>
      </c>
      <c r="AB27" s="427"/>
      <c r="AC27" s="170">
        <v>0.94299999999999995</v>
      </c>
      <c r="AD27" s="77" t="s">
        <v>611</v>
      </c>
      <c r="AE27" s="339">
        <v>3</v>
      </c>
      <c r="AF27" s="339">
        <v>4</v>
      </c>
      <c r="AG27" s="339">
        <v>4</v>
      </c>
      <c r="AH27" s="339">
        <v>3</v>
      </c>
      <c r="AI27" s="339">
        <v>1</v>
      </c>
      <c r="AJ27" s="339">
        <v>5</v>
      </c>
      <c r="AK27" s="104">
        <v>12</v>
      </c>
      <c r="AL27" s="104">
        <v>1.05</v>
      </c>
      <c r="AM27" s="107">
        <f t="shared" si="8"/>
        <v>1.3385948990307144</v>
      </c>
      <c r="AN27" s="107">
        <f t="shared" si="9"/>
        <v>1.3440316373092398</v>
      </c>
      <c r="AO27" s="107" t="str">
        <f t="shared" si="10"/>
        <v>(3,4,4,3,1,5)</v>
      </c>
      <c r="AP27" s="108">
        <v>1.1000000000000001</v>
      </c>
      <c r="AQ27" s="108">
        <v>1.1000000000000001</v>
      </c>
      <c r="AR27" s="108">
        <v>1.2</v>
      </c>
      <c r="AS27" s="108">
        <v>1.02</v>
      </c>
      <c r="AT27" s="108">
        <v>1</v>
      </c>
      <c r="AU27" s="108">
        <v>1.2</v>
      </c>
    </row>
    <row r="28" spans="1:47" ht="24" customHeight="1">
      <c r="A28" s="330">
        <v>269641</v>
      </c>
      <c r="B28" s="331" t="s">
        <v>322</v>
      </c>
      <c r="C28" s="88"/>
      <c r="D28" s="340">
        <v>5</v>
      </c>
      <c r="E28" s="341" t="s">
        <v>98</v>
      </c>
      <c r="F28" s="432" t="s">
        <v>240</v>
      </c>
      <c r="G28" s="433" t="s">
        <v>93</v>
      </c>
      <c r="H28" s="434" t="s">
        <v>98</v>
      </c>
      <c r="I28" s="434" t="s">
        <v>98</v>
      </c>
      <c r="J28" s="94">
        <v>0</v>
      </c>
      <c r="K28" s="433" t="s">
        <v>115</v>
      </c>
      <c r="L28" s="435">
        <f>0.1*SUM(L15:L19)+1*SUM(L11:L14)</f>
        <v>1.05014776</v>
      </c>
      <c r="M28" s="95">
        <v>1</v>
      </c>
      <c r="N28" s="96">
        <f t="shared" si="0"/>
        <v>2.0949941301068096</v>
      </c>
      <c r="O28" s="432" t="str">
        <f t="shared" si="1"/>
        <v>(4,5,na,na,na,na); Transport distance: 100km; silicon: 1000km</v>
      </c>
      <c r="P28" s="435">
        <f>0.1*SUM(P15:P19)+1*SUM(P11:P14)</f>
        <v>1.05014776</v>
      </c>
      <c r="Q28" s="95">
        <v>1</v>
      </c>
      <c r="R28" s="96">
        <f t="shared" si="2"/>
        <v>2.0949941301068096</v>
      </c>
      <c r="S28" s="432" t="str">
        <f t="shared" si="3"/>
        <v>(4,5,na,na,na,na); Transport distance: 100km; silicon: 1000km</v>
      </c>
      <c r="T28" s="435">
        <f>0.1*SUM(T15:T19)+1*SUM(T11:T14)</f>
        <v>1.05014776</v>
      </c>
      <c r="U28" s="95">
        <v>1</v>
      </c>
      <c r="V28" s="96">
        <f t="shared" si="4"/>
        <v>2.0949941301068096</v>
      </c>
      <c r="W28" s="432" t="str">
        <f t="shared" si="5"/>
        <v>(4,5,na,na,na,na); Transport distance: 100km; silicon: 1000km</v>
      </c>
      <c r="X28" s="435">
        <f>0.1*SUM(X15:X19)+1*SUM(X11:X14)</f>
        <v>1.05014776</v>
      </c>
      <c r="Y28" s="95">
        <v>1</v>
      </c>
      <c r="Z28" s="96">
        <f t="shared" si="6"/>
        <v>2.0949941301068096</v>
      </c>
      <c r="AA28" s="432" t="str">
        <f t="shared" si="7"/>
        <v>(4,5,na,na,na,na); Transport distance: 100km; silicon: 1000km</v>
      </c>
      <c r="AB28" s="112"/>
      <c r="AC28" s="170">
        <v>0.72499999999999998</v>
      </c>
      <c r="AD28" s="77" t="s">
        <v>619</v>
      </c>
      <c r="AE28" s="339">
        <v>4</v>
      </c>
      <c r="AF28" s="339">
        <v>5</v>
      </c>
      <c r="AG28" s="339" t="s">
        <v>106</v>
      </c>
      <c r="AH28" s="339" t="s">
        <v>106</v>
      </c>
      <c r="AI28" s="339" t="s">
        <v>106</v>
      </c>
      <c r="AJ28" s="339" t="s">
        <v>106</v>
      </c>
      <c r="AK28" s="104">
        <v>5</v>
      </c>
      <c r="AL28" s="104">
        <v>2</v>
      </c>
      <c r="AM28" s="107">
        <f t="shared" si="8"/>
        <v>1.2941338353151037</v>
      </c>
      <c r="AN28" s="107">
        <f t="shared" si="9"/>
        <v>2.0949941301068096</v>
      </c>
      <c r="AO28" s="107" t="str">
        <f t="shared" si="10"/>
        <v>(4,5,na,na,na,na)</v>
      </c>
      <c r="AP28" s="108">
        <v>1.2</v>
      </c>
      <c r="AQ28" s="108">
        <v>1.2</v>
      </c>
      <c r="AR28" s="108">
        <v>1</v>
      </c>
      <c r="AS28" s="108">
        <v>1</v>
      </c>
      <c r="AT28" s="108">
        <v>1</v>
      </c>
      <c r="AU28" s="108">
        <v>1</v>
      </c>
    </row>
    <row r="29" spans="1:47">
      <c r="A29" s="330">
        <v>160371</v>
      </c>
      <c r="B29" s="331"/>
      <c r="C29" s="88"/>
      <c r="D29" s="340">
        <v>5</v>
      </c>
      <c r="E29" s="341" t="s">
        <v>98</v>
      </c>
      <c r="F29" s="432" t="s">
        <v>242</v>
      </c>
      <c r="G29" s="433" t="s">
        <v>93</v>
      </c>
      <c r="H29" s="434" t="s">
        <v>98</v>
      </c>
      <c r="I29" s="434" t="s">
        <v>98</v>
      </c>
      <c r="J29" s="94">
        <v>0</v>
      </c>
      <c r="K29" s="433" t="s">
        <v>115</v>
      </c>
      <c r="L29" s="435">
        <f>0.1*SUM(L15:L19)+SUM(L11:L14)*0.15</f>
        <v>0.20014776000000001</v>
      </c>
      <c r="M29" s="95">
        <v>1</v>
      </c>
      <c r="N29" s="96">
        <f t="shared" si="0"/>
        <v>2.0949941301068096</v>
      </c>
      <c r="O29" s="432" t="str">
        <f t="shared" si="1"/>
        <v>(4,5,na,na,na,na); Standard distances 100km</v>
      </c>
      <c r="P29" s="435">
        <f>0.1*SUM(P15:P19)+SUM(P11:P14)*0.15</f>
        <v>0.20014776000000001</v>
      </c>
      <c r="Q29" s="95">
        <v>1</v>
      </c>
      <c r="R29" s="96">
        <f t="shared" si="2"/>
        <v>2.0949941301068096</v>
      </c>
      <c r="S29" s="432" t="str">
        <f t="shared" si="3"/>
        <v>(4,5,na,na,na,na); Standard distances 100km</v>
      </c>
      <c r="T29" s="435">
        <f>0.1*SUM(T15:T19)+SUM(T11:T14)*0.15</f>
        <v>0.20014776000000001</v>
      </c>
      <c r="U29" s="95">
        <v>1</v>
      </c>
      <c r="V29" s="96">
        <f t="shared" si="4"/>
        <v>2.0949941301068096</v>
      </c>
      <c r="W29" s="432" t="str">
        <f t="shared" si="5"/>
        <v>(4,5,na,na,na,na); Standard distances 100km</v>
      </c>
      <c r="X29" s="435">
        <f>0.1*SUM(X15:X19)+SUM(X11:X14)*0.15</f>
        <v>0.20014776000000001</v>
      </c>
      <c r="Y29" s="95">
        <v>1</v>
      </c>
      <c r="Z29" s="96">
        <f t="shared" si="6"/>
        <v>2.0949941301068096</v>
      </c>
      <c r="AA29" s="432" t="str">
        <f t="shared" si="7"/>
        <v>(4,5,na,na,na,na); Standard distances 100km</v>
      </c>
      <c r="AB29" s="112"/>
      <c r="AC29" s="170">
        <v>0.15</v>
      </c>
      <c r="AD29" s="77" t="s">
        <v>620</v>
      </c>
      <c r="AE29" s="339">
        <v>4</v>
      </c>
      <c r="AF29" s="339">
        <v>5</v>
      </c>
      <c r="AG29" s="339" t="s">
        <v>106</v>
      </c>
      <c r="AH29" s="339" t="s">
        <v>106</v>
      </c>
      <c r="AI29" s="339" t="s">
        <v>106</v>
      </c>
      <c r="AJ29" s="339" t="s">
        <v>106</v>
      </c>
      <c r="AK29" s="104">
        <v>5</v>
      </c>
      <c r="AL29" s="104">
        <v>2</v>
      </c>
      <c r="AM29" s="107">
        <f t="shared" si="8"/>
        <v>1.2941338353151037</v>
      </c>
      <c r="AN29" s="107">
        <f t="shared" si="9"/>
        <v>2.0949941301068096</v>
      </c>
      <c r="AO29" s="107" t="str">
        <f t="shared" si="10"/>
        <v>(4,5,na,na,na,na)</v>
      </c>
      <c r="AP29" s="108">
        <v>1.2</v>
      </c>
      <c r="AQ29" s="108">
        <v>1.2</v>
      </c>
      <c r="AR29" s="108">
        <v>1</v>
      </c>
      <c r="AS29" s="108">
        <v>1</v>
      </c>
      <c r="AT29" s="108">
        <v>1</v>
      </c>
      <c r="AU29" s="108">
        <v>1</v>
      </c>
    </row>
    <row r="30" spans="1:47">
      <c r="A30" s="330">
        <v>268399</v>
      </c>
      <c r="B30" s="331" t="s">
        <v>592</v>
      </c>
      <c r="C30" s="88"/>
      <c r="D30" s="340">
        <v>5</v>
      </c>
      <c r="E30" s="341" t="s">
        <v>98</v>
      </c>
      <c r="F30" s="432" t="s">
        <v>342</v>
      </c>
      <c r="G30" s="433" t="s">
        <v>93</v>
      </c>
      <c r="H30" s="434" t="s">
        <v>98</v>
      </c>
      <c r="I30" s="434" t="s">
        <v>98</v>
      </c>
      <c r="J30" s="94">
        <v>1</v>
      </c>
      <c r="K30" s="433" t="s">
        <v>144</v>
      </c>
      <c r="L30" s="435">
        <f>X30</f>
        <v>1.0000000000000001E-11</v>
      </c>
      <c r="M30" s="95">
        <v>1</v>
      </c>
      <c r="N30" s="96">
        <f t="shared" si="0"/>
        <v>3.0947030070339712</v>
      </c>
      <c r="O30" s="432" t="str">
        <f t="shared" si="1"/>
        <v>(1,2,4,1,3,3); Estimation</v>
      </c>
      <c r="P30" s="435">
        <f>L30</f>
        <v>1.0000000000000001E-11</v>
      </c>
      <c r="Q30" s="95">
        <v>1</v>
      </c>
      <c r="R30" s="96">
        <f t="shared" si="2"/>
        <v>3.0947030070339712</v>
      </c>
      <c r="S30" s="432" t="str">
        <f t="shared" si="3"/>
        <v>(1,2,4,1,3,3); Estimation</v>
      </c>
      <c r="T30" s="435">
        <f>L30</f>
        <v>1.0000000000000001E-11</v>
      </c>
      <c r="U30" s="95">
        <v>1</v>
      </c>
      <c r="V30" s="96">
        <f t="shared" si="4"/>
        <v>3.0947030070339712</v>
      </c>
      <c r="W30" s="432" t="str">
        <f t="shared" si="5"/>
        <v>(1,2,4,1,3,3); Estimation</v>
      </c>
      <c r="X30" s="435">
        <f>1/1000000000/100</f>
        <v>1.0000000000000001E-11</v>
      </c>
      <c r="Y30" s="95">
        <v>1</v>
      </c>
      <c r="Z30" s="96">
        <f t="shared" si="6"/>
        <v>3.0947030070339712</v>
      </c>
      <c r="AA30" s="432" t="str">
        <f t="shared" si="7"/>
        <v>(1,2,4,1,3,3); Estimation</v>
      </c>
      <c r="AB30" s="112"/>
      <c r="AC30" s="170">
        <v>9.9999999999999994E-12</v>
      </c>
      <c r="AD30" s="77" t="s">
        <v>251</v>
      </c>
      <c r="AE30" s="339">
        <v>1</v>
      </c>
      <c r="AF30" s="339">
        <v>2</v>
      </c>
      <c r="AG30" s="339">
        <v>4</v>
      </c>
      <c r="AH30" s="339">
        <v>1</v>
      </c>
      <c r="AI30" s="339">
        <v>3</v>
      </c>
      <c r="AJ30" s="339">
        <v>3</v>
      </c>
      <c r="AK30" s="104">
        <v>9</v>
      </c>
      <c r="AL30" s="104">
        <v>3</v>
      </c>
      <c r="AM30" s="107">
        <f t="shared" si="8"/>
        <v>1.3010391658590073</v>
      </c>
      <c r="AN30" s="107">
        <f t="shared" si="9"/>
        <v>3.0947030070339712</v>
      </c>
      <c r="AO30" s="107" t="str">
        <f t="shared" si="10"/>
        <v>(1,2,4,1,3,3)</v>
      </c>
      <c r="AP30" s="108">
        <v>1</v>
      </c>
      <c r="AQ30" s="108">
        <v>1.02</v>
      </c>
      <c r="AR30" s="108">
        <v>1.2</v>
      </c>
      <c r="AS30" s="108">
        <v>1</v>
      </c>
      <c r="AT30" s="108">
        <v>1.2</v>
      </c>
      <c r="AU30" s="108">
        <v>1.05</v>
      </c>
    </row>
    <row r="31" spans="1:47" ht="24" customHeight="1">
      <c r="A31" s="330">
        <v>269385</v>
      </c>
      <c r="B31" s="331" t="s">
        <v>511</v>
      </c>
      <c r="C31" s="88"/>
      <c r="D31" s="340">
        <v>5</v>
      </c>
      <c r="E31" s="341" t="s">
        <v>98</v>
      </c>
      <c r="F31" s="432" t="s">
        <v>518</v>
      </c>
      <c r="G31" s="433" t="s">
        <v>103</v>
      </c>
      <c r="H31" s="434" t="s">
        <v>98</v>
      </c>
      <c r="I31" s="434" t="s">
        <v>98</v>
      </c>
      <c r="J31" s="94">
        <v>0</v>
      </c>
      <c r="K31" s="433" t="s">
        <v>119</v>
      </c>
      <c r="L31" s="435">
        <f>SUM(L24:L27)-SUM(L33:L36)*0.001</f>
        <v>0.89584999999999992</v>
      </c>
      <c r="M31" s="95">
        <v>1</v>
      </c>
      <c r="N31" s="96">
        <f t="shared" si="0"/>
        <v>1.6255346238806905</v>
      </c>
      <c r="O31" s="432" t="str">
        <f t="shared" si="1"/>
        <v>(4,3,5,3,1,5); Calculation based on water withdrawal and water emissions</v>
      </c>
      <c r="P31" s="435">
        <f>SUM(P24:P27)-SUM(P33:P36)*0.001</f>
        <v>0.89584999999999992</v>
      </c>
      <c r="Q31" s="95">
        <v>1</v>
      </c>
      <c r="R31" s="96">
        <f t="shared" si="2"/>
        <v>1.6255346238806905</v>
      </c>
      <c r="S31" s="432" t="str">
        <f t="shared" si="3"/>
        <v>(4,3,5,3,1,5); Calculation based on water withdrawal and water emissions</v>
      </c>
      <c r="T31" s="435">
        <f>SUM(T24:T27)-SUM(T33:T36)*0.001</f>
        <v>0.89584999999999992</v>
      </c>
      <c r="U31" s="95">
        <v>1</v>
      </c>
      <c r="V31" s="96">
        <f t="shared" si="4"/>
        <v>1.6255346238806905</v>
      </c>
      <c r="W31" s="432" t="str">
        <f t="shared" si="5"/>
        <v>(4,3,5,3,1,5); Calculation based on water withdrawal and water emissions</v>
      </c>
      <c r="X31" s="435">
        <f>SUM(X24:X27)-SUM(X33:X36)*0.001</f>
        <v>0.89584999999999992</v>
      </c>
      <c r="Y31" s="95">
        <v>1</v>
      </c>
      <c r="Z31" s="96">
        <f t="shared" si="6"/>
        <v>1.6255346238806905</v>
      </c>
      <c r="AA31" s="432" t="str">
        <f t="shared" si="7"/>
        <v>(4,3,5,3,1,5); Calculation based on water withdrawal and water emissions</v>
      </c>
      <c r="AB31" s="112"/>
      <c r="AC31" s="170">
        <v>9.9999999999999994E-12</v>
      </c>
      <c r="AD31" s="77" t="s">
        <v>621</v>
      </c>
      <c r="AE31" s="339">
        <v>4</v>
      </c>
      <c r="AF31" s="339">
        <v>3</v>
      </c>
      <c r="AG31" s="339">
        <v>5</v>
      </c>
      <c r="AH31" s="339">
        <v>3</v>
      </c>
      <c r="AI31" s="339">
        <v>1</v>
      </c>
      <c r="AJ31" s="339">
        <v>5</v>
      </c>
      <c r="AK31" s="104">
        <v>6</v>
      </c>
      <c r="AL31" s="104">
        <v>1.05</v>
      </c>
      <c r="AM31" s="107">
        <f t="shared" si="8"/>
        <v>1.6215470720469769</v>
      </c>
      <c r="AN31" s="107">
        <f t="shared" si="9"/>
        <v>1.6255346238806905</v>
      </c>
      <c r="AO31" s="107" t="str">
        <f t="shared" si="10"/>
        <v>(4,3,5,3,1,5)</v>
      </c>
      <c r="AP31" s="108">
        <v>1.2</v>
      </c>
      <c r="AQ31" s="108">
        <v>1.05</v>
      </c>
      <c r="AR31" s="108">
        <v>1.5</v>
      </c>
      <c r="AS31" s="108">
        <v>1.02</v>
      </c>
      <c r="AT31" s="108">
        <v>1</v>
      </c>
      <c r="AU31" s="108">
        <v>1.2</v>
      </c>
    </row>
    <row r="32" spans="1:47">
      <c r="A32" s="296">
        <v>21844</v>
      </c>
      <c r="B32" s="331" t="s">
        <v>594</v>
      </c>
      <c r="C32" s="88"/>
      <c r="D32" s="340" t="s">
        <v>98</v>
      </c>
      <c r="E32" s="341">
        <v>4</v>
      </c>
      <c r="F32" s="432" t="s">
        <v>121</v>
      </c>
      <c r="G32" s="433" t="s">
        <v>98</v>
      </c>
      <c r="H32" s="434" t="s">
        <v>247</v>
      </c>
      <c r="I32" s="434" t="s">
        <v>258</v>
      </c>
      <c r="J32" s="94" t="s">
        <v>98</v>
      </c>
      <c r="K32" s="433" t="s">
        <v>104</v>
      </c>
      <c r="L32" s="435">
        <f>X32</f>
        <v>25.2</v>
      </c>
      <c r="M32" s="95">
        <v>1</v>
      </c>
      <c r="N32" s="96">
        <f t="shared" si="0"/>
        <v>1.5845564191340322</v>
      </c>
      <c r="O32" s="432" t="str">
        <f t="shared" si="1"/>
        <v>(3,3,5,3,1,5); Calculation</v>
      </c>
      <c r="P32" s="435">
        <f>L32</f>
        <v>25.2</v>
      </c>
      <c r="Q32" s="95">
        <v>1</v>
      </c>
      <c r="R32" s="96">
        <f t="shared" si="2"/>
        <v>1.5845564191340322</v>
      </c>
      <c r="S32" s="432" t="str">
        <f t="shared" si="3"/>
        <v>(3,3,5,3,1,5); Calculation</v>
      </c>
      <c r="T32" s="435">
        <f>L32</f>
        <v>25.2</v>
      </c>
      <c r="U32" s="95">
        <v>1</v>
      </c>
      <c r="V32" s="96">
        <f t="shared" si="4"/>
        <v>1.5845564191340322</v>
      </c>
      <c r="W32" s="432" t="str">
        <f t="shared" si="5"/>
        <v>(3,3,5,3,1,5); Calculation</v>
      </c>
      <c r="X32" s="435">
        <f>X23*3.6</f>
        <v>25.2</v>
      </c>
      <c r="Y32" s="95">
        <v>1</v>
      </c>
      <c r="Z32" s="96">
        <f t="shared" si="6"/>
        <v>1.5845564191340322</v>
      </c>
      <c r="AA32" s="432" t="str">
        <f t="shared" si="7"/>
        <v>(3,3,5,3,1,5); Calculation</v>
      </c>
      <c r="AB32" s="112"/>
      <c r="AC32" s="170">
        <v>55.7</v>
      </c>
      <c r="AD32" s="77" t="s">
        <v>249</v>
      </c>
      <c r="AE32" s="339">
        <v>3</v>
      </c>
      <c r="AF32" s="339">
        <v>3</v>
      </c>
      <c r="AG32" s="339">
        <v>5</v>
      </c>
      <c r="AH32" s="339">
        <v>3</v>
      </c>
      <c r="AI32" s="339">
        <v>1</v>
      </c>
      <c r="AJ32" s="339">
        <v>5</v>
      </c>
      <c r="AK32" s="104">
        <v>13</v>
      </c>
      <c r="AL32" s="104">
        <v>1.05</v>
      </c>
      <c r="AM32" s="107">
        <f t="shared" si="8"/>
        <v>1.5804528752110836</v>
      </c>
      <c r="AN32" s="107">
        <f t="shared" si="9"/>
        <v>1.5845564191340322</v>
      </c>
      <c r="AO32" s="107" t="str">
        <f t="shared" si="10"/>
        <v>(3,3,5,3,1,5)</v>
      </c>
      <c r="AP32" s="108">
        <v>1.1000000000000001</v>
      </c>
      <c r="AQ32" s="108">
        <v>1.05</v>
      </c>
      <c r="AR32" s="108">
        <v>1.5</v>
      </c>
      <c r="AS32" s="108">
        <v>1.02</v>
      </c>
      <c r="AT32" s="108">
        <v>1</v>
      </c>
      <c r="AU32" s="108">
        <v>1.2</v>
      </c>
    </row>
    <row r="33" spans="1:47" ht="36" customHeight="1">
      <c r="A33" s="330">
        <v>50430</v>
      </c>
      <c r="B33" s="331"/>
      <c r="C33" s="88"/>
      <c r="D33" s="340" t="s">
        <v>98</v>
      </c>
      <c r="E33" s="341">
        <v>4</v>
      </c>
      <c r="F33" s="432" t="s">
        <v>523</v>
      </c>
      <c r="G33" s="433" t="s">
        <v>98</v>
      </c>
      <c r="H33" s="434" t="s">
        <v>247</v>
      </c>
      <c r="I33" s="434" t="s">
        <v>248</v>
      </c>
      <c r="J33" s="94" t="s">
        <v>98</v>
      </c>
      <c r="K33" s="433" t="s">
        <v>96</v>
      </c>
      <c r="L33" s="435">
        <f>L24*0.05*1000</f>
        <v>47.15</v>
      </c>
      <c r="M33" s="95">
        <v>1</v>
      </c>
      <c r="N33" s="96">
        <f t="shared" si="0"/>
        <v>1.879336967306972</v>
      </c>
      <c r="O33" s="432" t="str">
        <f t="shared" si="1"/>
        <v>(4,3,5,3,1,5); Assumption: 5% evaporation of cooling water; Frischknecht &amp; Büsser Knöpfel (2013)</v>
      </c>
      <c r="P33" s="435">
        <v>0</v>
      </c>
      <c r="Q33" s="95">
        <v>1</v>
      </c>
      <c r="R33" s="96">
        <f t="shared" si="2"/>
        <v>1.879336967306972</v>
      </c>
      <c r="S33" s="432" t="str">
        <f t="shared" si="3"/>
        <v>(4,3,5,3,1,5); Assumption: 5% evaporation of cooling water; Frischknecht &amp; Büsser Knöpfel (2013)</v>
      </c>
      <c r="T33" s="435">
        <v>0</v>
      </c>
      <c r="U33" s="95">
        <v>1</v>
      </c>
      <c r="V33" s="96">
        <f t="shared" si="4"/>
        <v>1.879336967306972</v>
      </c>
      <c r="W33" s="432" t="str">
        <f t="shared" si="5"/>
        <v>(4,3,5,3,1,5); Assumption: 5% evaporation of cooling water; Frischknecht &amp; Büsser Knöpfel (2013)</v>
      </c>
      <c r="X33" s="435">
        <v>0</v>
      </c>
      <c r="Y33" s="95">
        <v>1</v>
      </c>
      <c r="Z33" s="96">
        <f t="shared" si="6"/>
        <v>1.879336967306972</v>
      </c>
      <c r="AA33" s="432" t="str">
        <f t="shared" si="7"/>
        <v>(4,3,5,3,1,5); Assumption: 5% evaporation of cooling water; Frischknecht &amp; Büsser Knöpfel (2013)</v>
      </c>
      <c r="AB33" s="112"/>
      <c r="AC33" s="170"/>
      <c r="AD33" s="77" t="s">
        <v>622</v>
      </c>
      <c r="AE33" s="339">
        <v>4</v>
      </c>
      <c r="AF33" s="339">
        <v>3</v>
      </c>
      <c r="AG33" s="339">
        <v>5</v>
      </c>
      <c r="AH33" s="339">
        <v>3</v>
      </c>
      <c r="AI33" s="339">
        <v>1</v>
      </c>
      <c r="AJ33" s="339">
        <v>5</v>
      </c>
      <c r="AK33" s="104">
        <v>31</v>
      </c>
      <c r="AL33" s="104">
        <v>1.5</v>
      </c>
      <c r="AM33" s="107">
        <f t="shared" si="8"/>
        <v>1.6215470720469769</v>
      </c>
      <c r="AN33" s="107">
        <f t="shared" si="9"/>
        <v>1.879336967306972</v>
      </c>
      <c r="AO33" s="107" t="str">
        <f t="shared" si="10"/>
        <v>(4,3,5,3,1,5)</v>
      </c>
      <c r="AP33" s="108">
        <v>1.2</v>
      </c>
      <c r="AQ33" s="108">
        <v>1.05</v>
      </c>
      <c r="AR33" s="108">
        <v>1.5</v>
      </c>
      <c r="AS33" s="108">
        <v>1.02</v>
      </c>
      <c r="AT33" s="108">
        <v>1</v>
      </c>
      <c r="AU33" s="108">
        <v>1.2</v>
      </c>
    </row>
    <row r="34" spans="1:47" ht="36" customHeight="1">
      <c r="A34" s="330">
        <v>156329</v>
      </c>
      <c r="B34" s="331"/>
      <c r="C34" s="88"/>
      <c r="D34" s="340" t="s">
        <v>98</v>
      </c>
      <c r="E34" s="341">
        <v>4</v>
      </c>
      <c r="F34" s="432" t="s">
        <v>524</v>
      </c>
      <c r="G34" s="433" t="s">
        <v>98</v>
      </c>
      <c r="H34" s="434" t="s">
        <v>247</v>
      </c>
      <c r="I34" s="434" t="s">
        <v>248</v>
      </c>
      <c r="J34" s="94" t="s">
        <v>98</v>
      </c>
      <c r="K34" s="433" t="s">
        <v>96</v>
      </c>
      <c r="L34" s="435">
        <v>0</v>
      </c>
      <c r="M34" s="95">
        <v>1</v>
      </c>
      <c r="N34" s="96">
        <f t="shared" si="0"/>
        <v>1.879336967306972</v>
      </c>
      <c r="O34" s="432" t="str">
        <f t="shared" si="1"/>
        <v>(4,3,5,3,1,5); Assumption: 5% evaporation of cooling water; Frischknecht &amp; Büsser Knöpfel (2013)</v>
      </c>
      <c r="P34" s="435">
        <f>P25*0.05*1000</f>
        <v>47.15</v>
      </c>
      <c r="Q34" s="95">
        <v>1</v>
      </c>
      <c r="R34" s="96">
        <f t="shared" si="2"/>
        <v>1.879336967306972</v>
      </c>
      <c r="S34" s="432" t="str">
        <f t="shared" si="3"/>
        <v>(4,3,5,3,1,5); Assumption: 5% evaporation of cooling water; Frischknecht &amp; Büsser Knöpfel (2013)</v>
      </c>
      <c r="T34" s="435">
        <v>0</v>
      </c>
      <c r="U34" s="95">
        <v>1</v>
      </c>
      <c r="V34" s="96">
        <f t="shared" si="4"/>
        <v>1.879336967306972</v>
      </c>
      <c r="W34" s="432" t="str">
        <f t="shared" si="5"/>
        <v>(4,3,5,3,1,5); Assumption: 5% evaporation of cooling water; Frischknecht &amp; Büsser Knöpfel (2013)</v>
      </c>
      <c r="X34" s="435">
        <v>0</v>
      </c>
      <c r="Y34" s="95">
        <v>1</v>
      </c>
      <c r="Z34" s="96">
        <f t="shared" si="6"/>
        <v>1.879336967306972</v>
      </c>
      <c r="AA34" s="432" t="str">
        <f t="shared" si="7"/>
        <v>(4,3,5,3,1,5); Assumption: 5% evaporation of cooling water; Frischknecht &amp; Büsser Knöpfel (2013)</v>
      </c>
      <c r="AB34" s="112"/>
      <c r="AC34" s="170"/>
      <c r="AD34" s="77" t="s">
        <v>622</v>
      </c>
      <c r="AE34" s="339">
        <v>4</v>
      </c>
      <c r="AF34" s="339">
        <v>3</v>
      </c>
      <c r="AG34" s="339">
        <v>5</v>
      </c>
      <c r="AH34" s="339">
        <v>3</v>
      </c>
      <c r="AI34" s="339">
        <v>1</v>
      </c>
      <c r="AJ34" s="339">
        <v>5</v>
      </c>
      <c r="AK34" s="104">
        <v>31</v>
      </c>
      <c r="AL34" s="104">
        <v>1.5</v>
      </c>
      <c r="AM34" s="107">
        <f t="shared" si="8"/>
        <v>1.6215470720469769</v>
      </c>
      <c r="AN34" s="107">
        <f t="shared" si="9"/>
        <v>1.879336967306972</v>
      </c>
      <c r="AO34" s="107" t="str">
        <f t="shared" si="10"/>
        <v>(4,3,5,3,1,5)</v>
      </c>
      <c r="AP34" s="108">
        <v>1.2</v>
      </c>
      <c r="AQ34" s="108">
        <v>1.05</v>
      </c>
      <c r="AR34" s="108">
        <v>1.5</v>
      </c>
      <c r="AS34" s="108">
        <v>1.02</v>
      </c>
      <c r="AT34" s="108">
        <v>1</v>
      </c>
      <c r="AU34" s="108">
        <v>1.2</v>
      </c>
    </row>
    <row r="35" spans="1:47" ht="36" customHeight="1">
      <c r="A35" s="330">
        <v>46430</v>
      </c>
      <c r="B35" s="331"/>
      <c r="C35" s="88"/>
      <c r="D35" s="340" t="s">
        <v>98</v>
      </c>
      <c r="E35" s="341">
        <v>4</v>
      </c>
      <c r="F35" s="432" t="s">
        <v>623</v>
      </c>
      <c r="G35" s="433" t="s">
        <v>98</v>
      </c>
      <c r="H35" s="434" t="s">
        <v>247</v>
      </c>
      <c r="I35" s="434" t="s">
        <v>248</v>
      </c>
      <c r="J35" s="94" t="s">
        <v>98</v>
      </c>
      <c r="K35" s="433" t="s">
        <v>96</v>
      </c>
      <c r="L35" s="435">
        <v>0</v>
      </c>
      <c r="M35" s="95">
        <v>1</v>
      </c>
      <c r="N35" s="96">
        <f t="shared" si="0"/>
        <v>1.879336967306972</v>
      </c>
      <c r="O35" s="432" t="str">
        <f t="shared" si="1"/>
        <v>(4,3,5,3,1,5); Assumption: 5% evaporation of cooling water; Frischknecht &amp; Büsser Knöpfel (2013)</v>
      </c>
      <c r="P35" s="435">
        <v>0</v>
      </c>
      <c r="Q35" s="95">
        <v>1</v>
      </c>
      <c r="R35" s="96">
        <f t="shared" si="2"/>
        <v>1.879336967306972</v>
      </c>
      <c r="S35" s="432" t="str">
        <f t="shared" si="3"/>
        <v>(4,3,5,3,1,5); Assumption: 5% evaporation of cooling water; Frischknecht &amp; Büsser Knöpfel (2013)</v>
      </c>
      <c r="T35" s="435">
        <f>T26*0.05*1000</f>
        <v>47.15</v>
      </c>
      <c r="U35" s="95">
        <v>1</v>
      </c>
      <c r="V35" s="96">
        <f t="shared" si="4"/>
        <v>1.879336967306972</v>
      </c>
      <c r="W35" s="432" t="str">
        <f t="shared" si="5"/>
        <v>(4,3,5,3,1,5); Assumption: 5% evaporation of cooling water; Frischknecht &amp; Büsser Knöpfel (2013)</v>
      </c>
      <c r="X35" s="435">
        <v>0</v>
      </c>
      <c r="Y35" s="95">
        <v>1</v>
      </c>
      <c r="Z35" s="96">
        <f t="shared" si="6"/>
        <v>1.879336967306972</v>
      </c>
      <c r="AA35" s="432" t="str">
        <f t="shared" si="7"/>
        <v>(4,3,5,3,1,5); Assumption: 5% evaporation of cooling water; Frischknecht &amp; Büsser Knöpfel (2013)</v>
      </c>
      <c r="AB35" s="112"/>
      <c r="AC35" s="170"/>
      <c r="AD35" s="77" t="s">
        <v>622</v>
      </c>
      <c r="AE35" s="339">
        <v>4</v>
      </c>
      <c r="AF35" s="339">
        <v>3</v>
      </c>
      <c r="AG35" s="339">
        <v>5</v>
      </c>
      <c r="AH35" s="339">
        <v>3</v>
      </c>
      <c r="AI35" s="339">
        <v>1</v>
      </c>
      <c r="AJ35" s="339">
        <v>5</v>
      </c>
      <c r="AK35" s="104">
        <v>31</v>
      </c>
      <c r="AL35" s="104">
        <v>1.5</v>
      </c>
      <c r="AM35" s="107">
        <f t="shared" si="8"/>
        <v>1.6215470720469769</v>
      </c>
      <c r="AN35" s="107">
        <f t="shared" si="9"/>
        <v>1.879336967306972</v>
      </c>
      <c r="AO35" s="107" t="str">
        <f t="shared" si="10"/>
        <v>(4,3,5,3,1,5)</v>
      </c>
      <c r="AP35" s="108">
        <v>1.2</v>
      </c>
      <c r="AQ35" s="108">
        <v>1.05</v>
      </c>
      <c r="AR35" s="108">
        <v>1.5</v>
      </c>
      <c r="AS35" s="108">
        <v>1.02</v>
      </c>
      <c r="AT35" s="108">
        <v>1</v>
      </c>
      <c r="AU35" s="108">
        <v>1.2</v>
      </c>
    </row>
    <row r="36" spans="1:47" ht="36" customHeight="1">
      <c r="A36" s="330">
        <v>75740</v>
      </c>
      <c r="B36" s="331"/>
      <c r="C36" s="88"/>
      <c r="D36" s="340" t="s">
        <v>98</v>
      </c>
      <c r="E36" s="341">
        <v>4</v>
      </c>
      <c r="F36" s="432" t="s">
        <v>521</v>
      </c>
      <c r="G36" s="433" t="s">
        <v>98</v>
      </c>
      <c r="H36" s="434" t="s">
        <v>247</v>
      </c>
      <c r="I36" s="434" t="s">
        <v>248</v>
      </c>
      <c r="J36" s="94" t="s">
        <v>98</v>
      </c>
      <c r="K36" s="433" t="s">
        <v>96</v>
      </c>
      <c r="L36" s="435">
        <v>0</v>
      </c>
      <c r="M36" s="95">
        <v>1</v>
      </c>
      <c r="N36" s="96">
        <f t="shared" si="0"/>
        <v>1.879336967306972</v>
      </c>
      <c r="O36" s="432" t="str">
        <f t="shared" si="1"/>
        <v>(4,3,5,3,1,5); Assumption: 5% evaporation of cooling water; Frischknecht &amp; Büsser Knöpfel (2013)</v>
      </c>
      <c r="P36" s="435">
        <v>0</v>
      </c>
      <c r="Q36" s="95">
        <v>1</v>
      </c>
      <c r="R36" s="96">
        <f t="shared" si="2"/>
        <v>1.879336967306972</v>
      </c>
      <c r="S36" s="432" t="str">
        <f t="shared" si="3"/>
        <v>(4,3,5,3,1,5); Assumption: 5% evaporation of cooling water; Frischknecht &amp; Büsser Knöpfel (2013)</v>
      </c>
      <c r="T36" s="435">
        <v>0</v>
      </c>
      <c r="U36" s="95">
        <v>1</v>
      </c>
      <c r="V36" s="96">
        <f t="shared" si="4"/>
        <v>1.879336967306972</v>
      </c>
      <c r="W36" s="432" t="str">
        <f t="shared" si="5"/>
        <v>(4,3,5,3,1,5); Assumption: 5% evaporation of cooling water; Frischknecht &amp; Büsser Knöpfel (2013)</v>
      </c>
      <c r="X36" s="435">
        <f>X27*0.05*1000</f>
        <v>47.15</v>
      </c>
      <c r="Y36" s="95">
        <v>1</v>
      </c>
      <c r="Z36" s="96">
        <f t="shared" si="6"/>
        <v>1.879336967306972</v>
      </c>
      <c r="AA36" s="432" t="str">
        <f t="shared" si="7"/>
        <v>(4,3,5,3,1,5); Assumption: 5% evaporation of cooling water; Frischknecht &amp; Büsser Knöpfel (2013)</v>
      </c>
      <c r="AB36" s="112"/>
      <c r="AC36" s="170"/>
      <c r="AD36" s="77" t="s">
        <v>622</v>
      </c>
      <c r="AE36" s="339">
        <v>4</v>
      </c>
      <c r="AF36" s="339">
        <v>3</v>
      </c>
      <c r="AG36" s="339">
        <v>5</v>
      </c>
      <c r="AH36" s="339">
        <v>3</v>
      </c>
      <c r="AI36" s="339">
        <v>1</v>
      </c>
      <c r="AJ36" s="339">
        <v>5</v>
      </c>
      <c r="AK36" s="104">
        <v>31</v>
      </c>
      <c r="AL36" s="104">
        <v>1.5</v>
      </c>
      <c r="AM36" s="107">
        <f t="shared" si="8"/>
        <v>1.6215470720469769</v>
      </c>
      <c r="AN36" s="107">
        <f t="shared" si="9"/>
        <v>1.879336967306972</v>
      </c>
      <c r="AO36" s="107" t="str">
        <f t="shared" si="10"/>
        <v>(4,3,5,3,1,5)</v>
      </c>
      <c r="AP36" s="108">
        <v>1.2</v>
      </c>
      <c r="AQ36" s="108">
        <v>1.05</v>
      </c>
      <c r="AR36" s="108">
        <v>1.5</v>
      </c>
      <c r="AS36" s="108">
        <v>1.02</v>
      </c>
      <c r="AT36" s="108">
        <v>1</v>
      </c>
      <c r="AU36" s="108">
        <v>1.2</v>
      </c>
    </row>
    <row r="37" spans="1:47">
      <c r="B37" s="126"/>
      <c r="C37" s="140"/>
      <c r="D37" s="141"/>
      <c r="E37" s="142"/>
      <c r="F37" s="444"/>
      <c r="G37" s="445"/>
      <c r="H37" s="446"/>
      <c r="I37" s="446"/>
      <c r="J37" s="143"/>
      <c r="K37" s="445"/>
      <c r="L37" s="447"/>
      <c r="P37" s="447"/>
      <c r="T37" s="447"/>
      <c r="X37" s="447"/>
      <c r="AB37" s="112"/>
      <c r="AC37" s="168"/>
    </row>
    <row r="38" spans="1:47">
      <c r="B38" s="277"/>
      <c r="C38" s="277"/>
      <c r="F38" s="277"/>
      <c r="M38" s="277"/>
      <c r="N38" s="277"/>
      <c r="O38" s="277"/>
      <c r="Q38" s="277"/>
      <c r="R38" s="277"/>
      <c r="S38" s="277"/>
      <c r="U38" s="277"/>
      <c r="V38" s="277"/>
      <c r="W38" s="277"/>
      <c r="Y38" s="277"/>
      <c r="Z38" s="277"/>
      <c r="AA38" s="126"/>
      <c r="AB38" s="112"/>
    </row>
  </sheetData>
  <mergeCells count="1">
    <mergeCell ref="AE1:AJ1"/>
  </mergeCells>
  <conditionalFormatting sqref="D11:AA36">
    <cfRule type="expression" dxfId="352" priority="1">
      <formula>MOD(ROW(),2)=0</formula>
    </cfRule>
  </conditionalFormatting>
  <conditionalFormatting sqref="AC11:AJ36">
    <cfRule type="expression" dxfId="351" priority="2">
      <formula>MOD(ROW(),2)=0</formula>
    </cfRule>
  </conditionalFormatting>
  <conditionalFormatting sqref="AK11:AU36">
    <cfRule type="expression" dxfId="350" priority="3">
      <formula>MOD(ROW(),2)=0</formula>
    </cfRule>
  </conditionalFormatting>
  <dataValidations count="10">
    <dataValidation allowBlank="1" showInputMessage="1" showErrorMessage="1" prompt="always 1" sqref="L7:L19 P7:P19 T7:T19 X7:X19" xr:uid="{00000000-0002-0000-1200-000000000000}"/>
    <dataValidation allowBlank="1" showInputMessage="1" showErrorMessage="1" promptTitle="Do not change" prompt="This field is automatically updated from the names-list" sqref="AK11:AK36" xr:uid="{00000000-0002-0000-1200-000001000000}"/>
    <dataValidation allowBlank="1" showInputMessage="1" showErrorMessage="1" promptTitle="Remarks" prompt="A general comment (data source, calculation procedure, ...) can be made about each individual exchange. The remarks are added to the GeneralComment-field." sqref="AD3" xr:uid="{00000000-0002-0000-1200-000002000000}"/>
    <dataValidation allowBlank="1" showInputMessage="1" showErrorMessage="1" prompt="Do not change." sqref="AK3:AU4" xr:uid="{00000000-0002-0000-1200-000003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F3" xr:uid="{00000000-0002-0000-1200-000004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G3" xr:uid="{00000000-0002-0000-1200-000005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H3" xr:uid="{00000000-0002-0000-1200-000006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I3" xr:uid="{00000000-0002-0000-1200-000007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J3" xr:uid="{00000000-0002-0000-1200-000008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E3" xr:uid="{00000000-0002-0000-1200-000009000000}"/>
  </dataValidations>
  <pageMargins left="0.78740157499999996" right="0.78740157499999996" top="0.984251969" bottom="0.984251969" header="0.4921259845" footer="0.4921259845"/>
  <pageSetup paperSize="9" scale="3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54">
    <tabColor rgb="FF9CD9F0"/>
    <pageSetUpPr fitToPage="1"/>
  </sheetPr>
  <dimension ref="A1:AW73"/>
  <sheetViews>
    <sheetView topLeftCell="A51" workbookViewId="0">
      <selection activeCell="AC68" sqref="AC68"/>
    </sheetView>
  </sheetViews>
  <sheetFormatPr baseColWidth="10" defaultColWidth="11.42578125" defaultRowHeight="34.5" customHeight="1" outlineLevelCol="1"/>
  <cols>
    <col min="1" max="1" width="12.7109375" style="277" customWidth="1"/>
    <col min="2" max="2" width="12.7109375" style="124" customWidth="1"/>
    <col min="3" max="3" width="4" style="125" hidden="1" customWidth="1" outlineLevel="1"/>
    <col min="4" max="5" width="5" style="277" hidden="1" customWidth="1" outlineLevel="1"/>
    <col min="6" max="6" width="48.7109375" style="126" customWidth="1" collapsed="1"/>
    <col min="7" max="7" width="8.7109375" style="277" customWidth="1"/>
    <col min="8" max="8" width="8.7109375" style="277" hidden="1" customWidth="1" outlineLevel="1"/>
    <col min="9" max="9" width="20.7109375" style="277" hidden="1" customWidth="1" outlineLevel="1"/>
    <col min="10" max="10" width="7.7109375" style="277" customWidth="1" collapsed="1"/>
    <col min="11" max="11" width="8.7109375" style="277" customWidth="1"/>
    <col min="12" max="12" width="15.7109375" style="277" customWidth="1" collapsed="1"/>
    <col min="13" max="14" width="5.7109375" style="120" hidden="1" customWidth="1" outlineLevel="1"/>
    <col min="15" max="15" width="58.85546875" style="120" hidden="1" customWidth="1" outlineLevel="1"/>
    <col min="16" max="16" width="15.7109375" style="277" customWidth="1" collapsed="1"/>
    <col min="17" max="18" width="5.7109375" style="120" hidden="1" customWidth="1" outlineLevel="1"/>
    <col min="19" max="19" width="40.7109375" style="109" hidden="1" customWidth="1" outlineLevel="1"/>
    <col min="20" max="20" width="15.7109375" style="277" customWidth="1" collapsed="1"/>
    <col min="21" max="22" width="5.7109375" style="120" hidden="1" customWidth="1" outlineLevel="1"/>
    <col min="23" max="23" width="40.7109375" style="109" hidden="1" customWidth="1" outlineLevel="1"/>
    <col min="24" max="24" width="15.7109375" style="277" customWidth="1" collapsed="1"/>
    <col min="25" max="26" width="5.7109375" style="120" hidden="1" customWidth="1" outlineLevel="1"/>
    <col min="27" max="27" width="38.28515625" style="109" hidden="1" customWidth="1" outlineLevel="1"/>
    <col min="28" max="28" width="4.140625" style="109" customWidth="1" collapsed="1"/>
    <col min="29" max="29" width="40.7109375" style="128" customWidth="1"/>
    <col min="30" max="30" width="4.7109375" style="402" hidden="1" customWidth="1" outlineLevel="1"/>
    <col min="31" max="35" width="4.7109375" style="395" hidden="1" customWidth="1" outlineLevel="1"/>
    <col min="36" max="36" width="7.140625" style="395" hidden="1" customWidth="1" outlineLevel="1"/>
    <col min="37" max="39" width="4.7109375" style="395" hidden="1" customWidth="1" outlineLevel="1"/>
    <col min="40" max="40" width="12.7109375" style="395" hidden="1" customWidth="1" outlineLevel="1"/>
    <col min="41" max="46" width="4.7109375" style="277" hidden="1" customWidth="1" outlineLevel="1"/>
    <col min="47" max="47" width="11.42578125" style="277" customWidth="1" collapsed="1"/>
    <col min="48" max="49" width="11.42578125" style="277" customWidth="1"/>
    <col min="50" max="51" width="11.42578125" style="399" customWidth="1"/>
    <col min="52" max="16384" width="11.42578125" style="399"/>
  </cols>
  <sheetData>
    <row r="1" spans="1:46" ht="34.5" customHeight="1">
      <c r="A1" s="77"/>
      <c r="B1" s="78"/>
      <c r="C1" s="79"/>
      <c r="D1" s="77"/>
      <c r="E1" s="77"/>
      <c r="F1" s="80" t="s">
        <v>65</v>
      </c>
      <c r="G1" s="77"/>
      <c r="H1" s="77"/>
      <c r="I1" s="77"/>
      <c r="J1" s="77"/>
      <c r="K1" s="77"/>
      <c r="L1" s="330" t="str">
        <f>A7</f>
        <v>Z-PV-128</v>
      </c>
      <c r="M1" s="81"/>
      <c r="N1" s="81"/>
      <c r="O1" s="81"/>
      <c r="P1" s="330" t="str">
        <f>A8</f>
        <v>Z-PV-129</v>
      </c>
      <c r="Q1" s="81"/>
      <c r="R1" s="81"/>
      <c r="S1" s="81"/>
      <c r="T1" s="330" t="str">
        <f>A9</f>
        <v>Z-PV-130</v>
      </c>
      <c r="U1" s="81"/>
      <c r="V1" s="81"/>
      <c r="W1" s="81"/>
      <c r="X1" s="330" t="str">
        <f>A10</f>
        <v>Z-PV-131</v>
      </c>
      <c r="Y1" s="81"/>
      <c r="Z1" s="81"/>
      <c r="AA1" s="81"/>
      <c r="AC1" s="378"/>
      <c r="AD1" s="1586"/>
      <c r="AE1" s="1588"/>
      <c r="AF1" s="1588"/>
      <c r="AG1" s="1588"/>
      <c r="AH1" s="1588"/>
      <c r="AI1" s="1588"/>
      <c r="AJ1" s="406"/>
      <c r="AK1" s="406"/>
      <c r="AL1" s="406"/>
      <c r="AM1" s="406"/>
      <c r="AN1" s="406"/>
      <c r="AO1" s="378"/>
      <c r="AP1" s="378"/>
      <c r="AQ1" s="378"/>
      <c r="AR1" s="378"/>
      <c r="AS1" s="378"/>
      <c r="AT1" s="378"/>
    </row>
    <row r="2" spans="1:46" ht="34.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421"/>
      <c r="AC2" s="406"/>
      <c r="AD2" s="406"/>
      <c r="AE2" s="406"/>
      <c r="AF2" s="406"/>
      <c r="AG2" s="406"/>
      <c r="AH2" s="406"/>
      <c r="AI2" s="406"/>
      <c r="AJ2" s="406"/>
      <c r="AK2" s="378"/>
      <c r="AL2" s="378"/>
      <c r="AM2" s="378"/>
      <c r="AN2" s="378"/>
      <c r="AO2" s="378"/>
      <c r="AP2" s="378"/>
      <c r="AQ2" s="378"/>
      <c r="AR2" s="378"/>
      <c r="AS2" s="378"/>
      <c r="AT2" s="378"/>
    </row>
    <row r="3" spans="1:46" ht="86.25" customHeight="1">
      <c r="A3" s="83" t="s">
        <v>68</v>
      </c>
      <c r="B3" s="84"/>
      <c r="C3" s="79">
        <v>401</v>
      </c>
      <c r="D3" s="85" t="s">
        <v>69</v>
      </c>
      <c r="E3" s="85" t="s">
        <v>70</v>
      </c>
      <c r="F3" s="86" t="s">
        <v>71</v>
      </c>
      <c r="G3" s="85" t="s">
        <v>72</v>
      </c>
      <c r="H3" s="85" t="s">
        <v>73</v>
      </c>
      <c r="I3" s="85" t="s">
        <v>74</v>
      </c>
      <c r="J3" s="85" t="s">
        <v>75</v>
      </c>
      <c r="K3" s="85" t="s">
        <v>76</v>
      </c>
      <c r="L3" s="87" t="s">
        <v>624</v>
      </c>
      <c r="M3" s="422" t="s">
        <v>78</v>
      </c>
      <c r="N3" s="422" t="s">
        <v>79</v>
      </c>
      <c r="O3" s="423" t="s">
        <v>80</v>
      </c>
      <c r="P3" s="87" t="s">
        <v>625</v>
      </c>
      <c r="Q3" s="422" t="s">
        <v>78</v>
      </c>
      <c r="R3" s="422" t="s">
        <v>79</v>
      </c>
      <c r="S3" s="423" t="s">
        <v>80</v>
      </c>
      <c r="T3" s="87" t="s">
        <v>626</v>
      </c>
      <c r="U3" s="422" t="s">
        <v>78</v>
      </c>
      <c r="V3" s="422" t="s">
        <v>79</v>
      </c>
      <c r="W3" s="423" t="s">
        <v>80</v>
      </c>
      <c r="X3" s="87" t="s">
        <v>627</v>
      </c>
      <c r="Y3" s="422" t="s">
        <v>78</v>
      </c>
      <c r="Z3" s="422" t="s">
        <v>79</v>
      </c>
      <c r="AA3" s="423" t="s">
        <v>80</v>
      </c>
      <c r="AB3" s="424"/>
      <c r="AC3" s="97" t="s">
        <v>363</v>
      </c>
      <c r="AD3" s="98" t="s">
        <v>364</v>
      </c>
      <c r="AE3" s="98" t="s">
        <v>365</v>
      </c>
      <c r="AF3" s="98" t="s">
        <v>366</v>
      </c>
      <c r="AG3" s="98" t="s">
        <v>367</v>
      </c>
      <c r="AH3" s="98" t="s">
        <v>368</v>
      </c>
      <c r="AI3" s="98" t="s">
        <v>369</v>
      </c>
      <c r="AJ3" s="99" t="s">
        <v>88</v>
      </c>
      <c r="AK3" s="99" t="s">
        <v>370</v>
      </c>
      <c r="AL3" s="99" t="s">
        <v>90</v>
      </c>
      <c r="AM3" s="99" t="s">
        <v>91</v>
      </c>
      <c r="AN3" s="99" t="s">
        <v>371</v>
      </c>
      <c r="AO3" s="100" t="s">
        <v>364</v>
      </c>
      <c r="AP3" s="100" t="s">
        <v>365</v>
      </c>
      <c r="AQ3" s="100" t="s">
        <v>366</v>
      </c>
      <c r="AR3" s="100" t="s">
        <v>367</v>
      </c>
      <c r="AS3" s="100" t="s">
        <v>368</v>
      </c>
      <c r="AT3" s="100" t="s">
        <v>369</v>
      </c>
    </row>
    <row r="4" spans="1:46" ht="24" customHeight="1">
      <c r="A4" s="77"/>
      <c r="B4" s="84"/>
      <c r="C4" s="79">
        <v>662</v>
      </c>
      <c r="D4" s="86"/>
      <c r="E4" s="86"/>
      <c r="F4" s="86" t="s">
        <v>72</v>
      </c>
      <c r="G4" s="86"/>
      <c r="H4" s="86"/>
      <c r="I4" s="86"/>
      <c r="J4" s="86"/>
      <c r="K4" s="86"/>
      <c r="L4" s="87" t="s">
        <v>93</v>
      </c>
      <c r="M4" s="425"/>
      <c r="N4" s="425"/>
      <c r="O4" s="426"/>
      <c r="P4" s="87" t="s">
        <v>372</v>
      </c>
      <c r="Q4" s="425"/>
      <c r="R4" s="425"/>
      <c r="S4" s="426"/>
      <c r="T4" s="87" t="s">
        <v>215</v>
      </c>
      <c r="U4" s="425"/>
      <c r="V4" s="425"/>
      <c r="W4" s="426"/>
      <c r="X4" s="87" t="s">
        <v>373</v>
      </c>
      <c r="Y4" s="425"/>
      <c r="Z4" s="425"/>
      <c r="AA4" s="426"/>
      <c r="AB4" s="427"/>
      <c r="AC4" s="101"/>
      <c r="AD4" s="102" t="s">
        <v>94</v>
      </c>
      <c r="AE4" s="97"/>
      <c r="AF4" s="97"/>
      <c r="AG4" s="97"/>
      <c r="AH4" s="97"/>
      <c r="AI4" s="97"/>
      <c r="AJ4" s="103"/>
      <c r="AK4" s="103"/>
      <c r="AL4" s="103" t="s">
        <v>95</v>
      </c>
      <c r="AM4" s="103" t="s">
        <v>95</v>
      </c>
      <c r="AN4" s="104"/>
      <c r="AO4" s="105"/>
      <c r="AP4" s="105"/>
      <c r="AQ4" s="105"/>
      <c r="AR4" s="105"/>
      <c r="AS4" s="105"/>
      <c r="AT4" s="105"/>
    </row>
    <row r="5" spans="1:46" ht="12"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427"/>
      <c r="AC5" s="101"/>
      <c r="AD5" s="97"/>
      <c r="AE5" s="97"/>
      <c r="AF5" s="97"/>
      <c r="AG5" s="97"/>
      <c r="AH5" s="97"/>
      <c r="AI5" s="97"/>
      <c r="AJ5" s="104"/>
      <c r="AK5" s="104"/>
      <c r="AL5" s="104"/>
      <c r="AM5" s="104"/>
      <c r="AN5" s="104"/>
      <c r="AO5" s="105"/>
      <c r="AP5" s="105"/>
      <c r="AQ5" s="105"/>
      <c r="AR5" s="105"/>
      <c r="AS5" s="105"/>
      <c r="AT5" s="105"/>
    </row>
    <row r="6" spans="1:46" ht="12"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427"/>
      <c r="AC6" s="101"/>
      <c r="AD6" s="106"/>
      <c r="AE6" s="106"/>
      <c r="AF6" s="106"/>
      <c r="AG6" s="106"/>
      <c r="AH6" s="106"/>
      <c r="AI6" s="106"/>
      <c r="AJ6" s="104"/>
      <c r="AK6" s="104"/>
      <c r="AL6" s="428"/>
      <c r="AM6" s="428"/>
      <c r="AN6" s="107"/>
      <c r="AO6" s="105"/>
      <c r="AP6" s="105"/>
      <c r="AQ6" s="105"/>
      <c r="AR6" s="105"/>
      <c r="AS6" s="105"/>
      <c r="AT6" s="105"/>
    </row>
    <row r="7" spans="1:46" ht="24">
      <c r="A7" s="330" t="s">
        <v>628</v>
      </c>
      <c r="B7" s="331" t="s">
        <v>97</v>
      </c>
      <c r="C7" s="88"/>
      <c r="D7" s="294" t="s">
        <v>98</v>
      </c>
      <c r="E7" s="295">
        <v>0</v>
      </c>
      <c r="F7" s="429" t="s">
        <v>624</v>
      </c>
      <c r="G7" s="430" t="s">
        <v>93</v>
      </c>
      <c r="H7" s="431" t="s">
        <v>98</v>
      </c>
      <c r="I7" s="431" t="s">
        <v>98</v>
      </c>
      <c r="J7" s="89">
        <v>0</v>
      </c>
      <c r="K7" s="430" t="s">
        <v>96</v>
      </c>
      <c r="L7" s="90">
        <f>IF($A7=L$1,1,0)</f>
        <v>1</v>
      </c>
      <c r="M7" s="91"/>
      <c r="N7" s="92"/>
      <c r="O7" s="93"/>
      <c r="P7" s="90">
        <f>IF($A7=P$1,1,0)</f>
        <v>0</v>
      </c>
      <c r="Q7" s="91"/>
      <c r="R7" s="92"/>
      <c r="S7" s="93"/>
      <c r="T7" s="90">
        <f>IF($A7=T$1,1,0)</f>
        <v>0</v>
      </c>
      <c r="U7" s="91"/>
      <c r="V7" s="92"/>
      <c r="W7" s="93"/>
      <c r="X7" s="90">
        <f>IF($A7=X$1,1,0)</f>
        <v>0</v>
      </c>
      <c r="Y7" s="91"/>
      <c r="Z7" s="92"/>
      <c r="AA7" s="93"/>
      <c r="AB7" s="427"/>
      <c r="AC7" s="101"/>
      <c r="AD7" s="97"/>
      <c r="AE7" s="97"/>
      <c r="AF7" s="97"/>
      <c r="AG7" s="97"/>
      <c r="AH7" s="97"/>
      <c r="AI7" s="97"/>
      <c r="AJ7" s="104"/>
      <c r="AK7" s="104"/>
      <c r="AL7" s="104"/>
      <c r="AM7" s="104"/>
      <c r="AN7" s="104"/>
      <c r="AO7" s="104"/>
      <c r="AP7" s="104"/>
      <c r="AQ7" s="104"/>
      <c r="AR7" s="104"/>
      <c r="AS7" s="104"/>
      <c r="AT7" s="104"/>
    </row>
    <row r="8" spans="1:46" ht="12">
      <c r="A8" s="330" t="s">
        <v>629</v>
      </c>
      <c r="B8" s="331"/>
      <c r="C8" s="88"/>
      <c r="D8" s="294" t="s">
        <v>98</v>
      </c>
      <c r="E8" s="295">
        <v>0</v>
      </c>
      <c r="F8" s="429" t="s">
        <v>625</v>
      </c>
      <c r="G8" s="430" t="s">
        <v>372</v>
      </c>
      <c r="H8" s="431" t="s">
        <v>98</v>
      </c>
      <c r="I8" s="431" t="s">
        <v>98</v>
      </c>
      <c r="J8" s="89">
        <v>0</v>
      </c>
      <c r="K8" s="430" t="s">
        <v>96</v>
      </c>
      <c r="L8" s="90">
        <f>IF($A8=L$1,1,0)</f>
        <v>0</v>
      </c>
      <c r="M8" s="91"/>
      <c r="N8" s="92"/>
      <c r="O8" s="93"/>
      <c r="P8" s="90">
        <f>IF($A8=P$1,1,0)</f>
        <v>1</v>
      </c>
      <c r="Q8" s="91"/>
      <c r="R8" s="92"/>
      <c r="S8" s="93"/>
      <c r="T8" s="90">
        <f>IF($A8=T$1,1,0)</f>
        <v>0</v>
      </c>
      <c r="U8" s="91"/>
      <c r="V8" s="92"/>
      <c r="W8" s="93"/>
      <c r="X8" s="90">
        <f>IF($A8=X$1,1,0)</f>
        <v>0</v>
      </c>
      <c r="Y8" s="91"/>
      <c r="Z8" s="92"/>
      <c r="AA8" s="93"/>
      <c r="AB8" s="427"/>
      <c r="AC8" s="101"/>
      <c r="AD8" s="97"/>
      <c r="AE8" s="97"/>
      <c r="AF8" s="97"/>
      <c r="AG8" s="97"/>
      <c r="AH8" s="97"/>
      <c r="AI8" s="97"/>
      <c r="AJ8" s="104"/>
      <c r="AK8" s="104"/>
      <c r="AL8" s="104"/>
      <c r="AM8" s="104"/>
      <c r="AN8" s="104"/>
      <c r="AO8" s="104"/>
      <c r="AP8" s="104"/>
      <c r="AQ8" s="104"/>
      <c r="AR8" s="104"/>
      <c r="AS8" s="104"/>
      <c r="AT8" s="104"/>
    </row>
    <row r="9" spans="1:46" ht="12">
      <c r="A9" s="330" t="s">
        <v>630</v>
      </c>
      <c r="B9" s="331"/>
      <c r="C9" s="88"/>
      <c r="D9" s="294" t="s">
        <v>98</v>
      </c>
      <c r="E9" s="295">
        <v>0</v>
      </c>
      <c r="F9" s="429" t="s">
        <v>626</v>
      </c>
      <c r="G9" s="430" t="s">
        <v>215</v>
      </c>
      <c r="H9" s="431" t="s">
        <v>98</v>
      </c>
      <c r="I9" s="431" t="s">
        <v>98</v>
      </c>
      <c r="J9" s="89">
        <v>0</v>
      </c>
      <c r="K9" s="430" t="s">
        <v>96</v>
      </c>
      <c r="L9" s="90">
        <f>IF($A9=L$1,1,0)</f>
        <v>0</v>
      </c>
      <c r="M9" s="91"/>
      <c r="N9" s="92"/>
      <c r="O9" s="93"/>
      <c r="P9" s="90">
        <f>IF($A9=P$1,1,0)</f>
        <v>0</v>
      </c>
      <c r="Q9" s="91"/>
      <c r="R9" s="92"/>
      <c r="S9" s="93"/>
      <c r="T9" s="90">
        <f>IF($A9=T$1,1,0)</f>
        <v>1</v>
      </c>
      <c r="U9" s="91"/>
      <c r="V9" s="92"/>
      <c r="W9" s="93"/>
      <c r="X9" s="90">
        <f>IF($A9=X$1,1,0)</f>
        <v>0</v>
      </c>
      <c r="Y9" s="91"/>
      <c r="Z9" s="92"/>
      <c r="AA9" s="93"/>
      <c r="AB9" s="427"/>
      <c r="AC9" s="101"/>
      <c r="AD9" s="97"/>
      <c r="AE9" s="97"/>
      <c r="AF9" s="97"/>
      <c r="AG9" s="97"/>
      <c r="AH9" s="97"/>
      <c r="AI9" s="97"/>
      <c r="AJ9" s="104"/>
      <c r="AK9" s="104"/>
      <c r="AL9" s="104"/>
      <c r="AM9" s="104"/>
      <c r="AN9" s="104"/>
      <c r="AO9" s="104"/>
      <c r="AP9" s="104"/>
      <c r="AQ9" s="104"/>
      <c r="AR9" s="104"/>
      <c r="AS9" s="104"/>
      <c r="AT9" s="104"/>
    </row>
    <row r="10" spans="1:46" ht="24">
      <c r="A10" s="330" t="s">
        <v>631</v>
      </c>
      <c r="B10" s="331"/>
      <c r="C10" s="88"/>
      <c r="D10" s="294" t="s">
        <v>98</v>
      </c>
      <c r="E10" s="295">
        <v>0</v>
      </c>
      <c r="F10" s="429" t="s">
        <v>627</v>
      </c>
      <c r="G10" s="430" t="s">
        <v>373</v>
      </c>
      <c r="H10" s="431" t="s">
        <v>98</v>
      </c>
      <c r="I10" s="431" t="s">
        <v>98</v>
      </c>
      <c r="J10" s="89">
        <v>0</v>
      </c>
      <c r="K10" s="430" t="s">
        <v>96</v>
      </c>
      <c r="L10" s="90">
        <f>IF($A10=L$1,1,0)</f>
        <v>0</v>
      </c>
      <c r="M10" s="91"/>
      <c r="N10" s="92"/>
      <c r="O10" s="93"/>
      <c r="P10" s="90">
        <f>IF($A10=P$1,1,0)</f>
        <v>0</v>
      </c>
      <c r="Q10" s="91"/>
      <c r="R10" s="92"/>
      <c r="S10" s="93"/>
      <c r="T10" s="90">
        <f>IF($A10=T$1,1,0)</f>
        <v>0</v>
      </c>
      <c r="U10" s="91"/>
      <c r="V10" s="92"/>
      <c r="W10" s="93"/>
      <c r="X10" s="90">
        <f>IF($A10=X$1,1,0)</f>
        <v>1</v>
      </c>
      <c r="Y10" s="91"/>
      <c r="Z10" s="92"/>
      <c r="AA10" s="93"/>
      <c r="AB10" s="427"/>
      <c r="AC10" s="101"/>
      <c r="AD10" s="97"/>
      <c r="AE10" s="97"/>
      <c r="AF10" s="97"/>
      <c r="AG10" s="97"/>
      <c r="AH10" s="97"/>
      <c r="AI10" s="97"/>
      <c r="AJ10" s="104"/>
      <c r="AK10" s="104"/>
      <c r="AL10" s="104"/>
      <c r="AM10" s="104"/>
      <c r="AN10" s="104"/>
      <c r="AO10" s="104"/>
      <c r="AP10" s="104"/>
      <c r="AQ10" s="104"/>
      <c r="AR10" s="104"/>
      <c r="AS10" s="104"/>
      <c r="AT10" s="104"/>
    </row>
    <row r="11" spans="1:46" ht="24">
      <c r="A11" s="330" t="s">
        <v>578</v>
      </c>
      <c r="B11" s="331" t="s">
        <v>221</v>
      </c>
      <c r="C11" s="88"/>
      <c r="D11" s="340">
        <v>5</v>
      </c>
      <c r="E11" s="293" t="s">
        <v>98</v>
      </c>
      <c r="F11" s="432" t="s">
        <v>574</v>
      </c>
      <c r="G11" s="433" t="s">
        <v>93</v>
      </c>
      <c r="H11" s="434" t="s">
        <v>98</v>
      </c>
      <c r="I11" s="434" t="s">
        <v>98</v>
      </c>
      <c r="J11" s="94">
        <v>0</v>
      </c>
      <c r="K11" s="433" t="s">
        <v>96</v>
      </c>
      <c r="L11" s="435">
        <v>1.81176827886474</v>
      </c>
      <c r="M11" s="95">
        <v>1</v>
      </c>
      <c r="N11" s="96">
        <f t="shared" ref="N11:N57" si="0">$AM11</f>
        <v>1.0722009304576894</v>
      </c>
      <c r="O11" s="432" t="str">
        <f t="shared" ref="O11:O57" si="1">$AN11&amp;"; "&amp;$AC11</f>
        <v>(2,1,1,2,1,1); Industry data (French tender)</v>
      </c>
      <c r="P11" s="435">
        <v>0</v>
      </c>
      <c r="Q11" s="95">
        <v>1</v>
      </c>
      <c r="R11" s="96">
        <f t="shared" ref="R11:R57" si="2">$AM11</f>
        <v>1.0722009304576894</v>
      </c>
      <c r="S11" s="432" t="str">
        <f t="shared" ref="S11:S57" si="3">$AN11&amp;"; "&amp;$AC11</f>
        <v>(2,1,1,2,1,1); Industry data (French tender)</v>
      </c>
      <c r="T11" s="435">
        <v>0</v>
      </c>
      <c r="U11" s="95">
        <v>1</v>
      </c>
      <c r="V11" s="96">
        <f t="shared" ref="V11:V57" si="4">$AM11</f>
        <v>1.0722009304576894</v>
      </c>
      <c r="W11" s="432" t="str">
        <f t="shared" ref="W11:W57" si="5">$AN11&amp;"; "&amp;$AC11</f>
        <v>(2,1,1,2,1,1); Industry data (French tender)</v>
      </c>
      <c r="X11" s="435">
        <v>0</v>
      </c>
      <c r="Y11" s="95">
        <v>1</v>
      </c>
      <c r="Z11" s="96">
        <f t="shared" ref="Z11:Z57" si="6">$AM11</f>
        <v>1.0722009304576894</v>
      </c>
      <c r="AA11" s="432" t="str">
        <f t="shared" ref="AA11:AA57" si="7">$AN11&amp;"; "&amp;$AC11</f>
        <v>(2,1,1,2,1,1); Industry data (French tender)</v>
      </c>
      <c r="AB11" s="112"/>
      <c r="AC11" s="77" t="s">
        <v>462</v>
      </c>
      <c r="AD11" s="339">
        <v>2</v>
      </c>
      <c r="AE11" s="339">
        <v>1</v>
      </c>
      <c r="AF11" s="339">
        <v>1</v>
      </c>
      <c r="AG11" s="339">
        <v>2</v>
      </c>
      <c r="AH11" s="339">
        <v>1</v>
      </c>
      <c r="AI11" s="339">
        <v>1</v>
      </c>
      <c r="AJ11" s="104">
        <v>3</v>
      </c>
      <c r="AK11" s="104">
        <v>1.05</v>
      </c>
      <c r="AL11" s="107">
        <f t="shared" ref="AL11:AL57" si="8">EXP(SQRT((LN(AO11)^2)+(LN(AP11)^2)+(LN(AQ11)^2)+(LN(AR11)^2)+(LN(AS11)^2)+(LN(AT11)^2)))</f>
        <v>1.0510550504206344</v>
      </c>
      <c r="AM11" s="107">
        <f t="shared" ref="AM11:AM57" si="9">EXP(SQRT((LN(AO11)^2)+(LN(AP11)^2)+(LN(AQ11)^2)+(LN(AR11)^2)+(LN(AS11)^2)+(LN(AT11)^2)+LN(AK11)^2))</f>
        <v>1.0722009304576894</v>
      </c>
      <c r="AN11" s="107" t="str">
        <f t="shared" ref="AN11:AN57" si="10">CONCATENATE("(",AD11,",",AE11,",",AF11,",",AG11,",",AH11,",",AI11,")")</f>
        <v>(2,1,1,2,1,1)</v>
      </c>
      <c r="AO11" s="108">
        <v>1.05</v>
      </c>
      <c r="AP11" s="108">
        <v>1</v>
      </c>
      <c r="AQ11" s="108">
        <v>1</v>
      </c>
      <c r="AR11" s="108">
        <v>1.01</v>
      </c>
      <c r="AS11" s="108">
        <v>1</v>
      </c>
      <c r="AT11" s="108">
        <v>1</v>
      </c>
    </row>
    <row r="12" spans="1:46" ht="12">
      <c r="A12" s="330" t="s">
        <v>579</v>
      </c>
      <c r="B12" s="331"/>
      <c r="C12" s="88"/>
      <c r="D12" s="340">
        <v>5</v>
      </c>
      <c r="E12" s="293" t="s">
        <v>98</v>
      </c>
      <c r="F12" s="432" t="s">
        <v>575</v>
      </c>
      <c r="G12" s="433" t="s">
        <v>372</v>
      </c>
      <c r="H12" s="434" t="s">
        <v>98</v>
      </c>
      <c r="I12" s="434" t="s">
        <v>98</v>
      </c>
      <c r="J12" s="94">
        <v>0</v>
      </c>
      <c r="K12" s="433" t="s">
        <v>96</v>
      </c>
      <c r="L12" s="435">
        <v>0</v>
      </c>
      <c r="M12" s="95">
        <v>1</v>
      </c>
      <c r="N12" s="96">
        <f t="shared" si="0"/>
        <v>1.0722009304576894</v>
      </c>
      <c r="O12" s="432" t="str">
        <f t="shared" si="1"/>
        <v>(2,1,1,2,1,1); Industry data (French tender)</v>
      </c>
      <c r="P12" s="435">
        <f>L11</f>
        <v>1.81176827886474</v>
      </c>
      <c r="Q12" s="95">
        <v>1</v>
      </c>
      <c r="R12" s="96">
        <f t="shared" si="2"/>
        <v>1.0722009304576894</v>
      </c>
      <c r="S12" s="432" t="str">
        <f t="shared" si="3"/>
        <v>(2,1,1,2,1,1); Industry data (French tender)</v>
      </c>
      <c r="T12" s="435">
        <f>P11</f>
        <v>0</v>
      </c>
      <c r="U12" s="95">
        <v>1</v>
      </c>
      <c r="V12" s="96">
        <f t="shared" si="4"/>
        <v>1.0722009304576894</v>
      </c>
      <c r="W12" s="432" t="str">
        <f t="shared" si="5"/>
        <v>(2,1,1,2,1,1); Industry data (French tender)</v>
      </c>
      <c r="X12" s="435">
        <v>0</v>
      </c>
      <c r="Y12" s="95">
        <v>1</v>
      </c>
      <c r="Z12" s="96">
        <f t="shared" si="6"/>
        <v>1.0722009304576894</v>
      </c>
      <c r="AA12" s="432" t="str">
        <f t="shared" si="7"/>
        <v>(2,1,1,2,1,1); Industry data (French tender)</v>
      </c>
      <c r="AB12" s="113"/>
      <c r="AC12" s="77" t="s">
        <v>462</v>
      </c>
      <c r="AD12" s="339">
        <v>2</v>
      </c>
      <c r="AE12" s="339">
        <v>1</v>
      </c>
      <c r="AF12" s="339">
        <v>1</v>
      </c>
      <c r="AG12" s="339">
        <v>2</v>
      </c>
      <c r="AH12" s="339">
        <v>1</v>
      </c>
      <c r="AI12" s="339">
        <v>1</v>
      </c>
      <c r="AJ12" s="104">
        <v>3</v>
      </c>
      <c r="AK12" s="104">
        <v>1.05</v>
      </c>
      <c r="AL12" s="107">
        <f t="shared" si="8"/>
        <v>1.0510550504206344</v>
      </c>
      <c r="AM12" s="107">
        <f t="shared" si="9"/>
        <v>1.0722009304576894</v>
      </c>
      <c r="AN12" s="107" t="str">
        <f t="shared" si="10"/>
        <v>(2,1,1,2,1,1)</v>
      </c>
      <c r="AO12" s="108">
        <v>1.05</v>
      </c>
      <c r="AP12" s="108">
        <v>1</v>
      </c>
      <c r="AQ12" s="108">
        <v>1</v>
      </c>
      <c r="AR12" s="108">
        <v>1.01</v>
      </c>
      <c r="AS12" s="108">
        <v>1</v>
      </c>
      <c r="AT12" s="108">
        <v>1</v>
      </c>
    </row>
    <row r="13" spans="1:46" ht="12">
      <c r="A13" s="330" t="s">
        <v>580</v>
      </c>
      <c r="B13" s="331"/>
      <c r="C13" s="88"/>
      <c r="D13" s="340">
        <v>5</v>
      </c>
      <c r="E13" s="293" t="s">
        <v>98</v>
      </c>
      <c r="F13" s="432" t="s">
        <v>576</v>
      </c>
      <c r="G13" s="433" t="s">
        <v>215</v>
      </c>
      <c r="H13" s="434" t="s">
        <v>98</v>
      </c>
      <c r="I13" s="434" t="s">
        <v>98</v>
      </c>
      <c r="J13" s="94">
        <v>0</v>
      </c>
      <c r="K13" s="433" t="s">
        <v>96</v>
      </c>
      <c r="L13" s="435">
        <v>0</v>
      </c>
      <c r="M13" s="95">
        <v>1</v>
      </c>
      <c r="N13" s="96">
        <f t="shared" si="0"/>
        <v>1.0722009304576894</v>
      </c>
      <c r="O13" s="432" t="str">
        <f t="shared" si="1"/>
        <v>(2,1,1,2,1,1); Industry data (French tender)</v>
      </c>
      <c r="P13" s="435">
        <f>L12</f>
        <v>0</v>
      </c>
      <c r="Q13" s="95">
        <v>1</v>
      </c>
      <c r="R13" s="96">
        <f t="shared" si="2"/>
        <v>1.0722009304576894</v>
      </c>
      <c r="S13" s="432" t="str">
        <f t="shared" si="3"/>
        <v>(2,1,1,2,1,1); Industry data (French tender)</v>
      </c>
      <c r="T13" s="435">
        <f>L11</f>
        <v>1.81176827886474</v>
      </c>
      <c r="U13" s="95">
        <v>1</v>
      </c>
      <c r="V13" s="96">
        <f t="shared" si="4"/>
        <v>1.0722009304576894</v>
      </c>
      <c r="W13" s="432" t="str">
        <f t="shared" si="5"/>
        <v>(2,1,1,2,1,1); Industry data (French tender)</v>
      </c>
      <c r="X13" s="435">
        <f>T12</f>
        <v>0</v>
      </c>
      <c r="Y13" s="95">
        <v>1</v>
      </c>
      <c r="Z13" s="96">
        <f t="shared" si="6"/>
        <v>1.0722009304576894</v>
      </c>
      <c r="AA13" s="432" t="str">
        <f t="shared" si="7"/>
        <v>(2,1,1,2,1,1); Industry data (French tender)</v>
      </c>
      <c r="AB13" s="112"/>
      <c r="AC13" s="77" t="s">
        <v>462</v>
      </c>
      <c r="AD13" s="339">
        <v>2</v>
      </c>
      <c r="AE13" s="339">
        <v>1</v>
      </c>
      <c r="AF13" s="339">
        <v>1</v>
      </c>
      <c r="AG13" s="339">
        <v>2</v>
      </c>
      <c r="AH13" s="339">
        <v>1</v>
      </c>
      <c r="AI13" s="339">
        <v>1</v>
      </c>
      <c r="AJ13" s="104">
        <v>3</v>
      </c>
      <c r="AK13" s="104">
        <v>1.05</v>
      </c>
      <c r="AL13" s="107">
        <f t="shared" si="8"/>
        <v>1.0510550504206344</v>
      </c>
      <c r="AM13" s="107">
        <f t="shared" si="9"/>
        <v>1.0722009304576894</v>
      </c>
      <c r="AN13" s="107" t="str">
        <f t="shared" si="10"/>
        <v>(2,1,1,2,1,1)</v>
      </c>
      <c r="AO13" s="108">
        <v>1.05</v>
      </c>
      <c r="AP13" s="108">
        <v>1</v>
      </c>
      <c r="AQ13" s="108">
        <v>1</v>
      </c>
      <c r="AR13" s="108">
        <v>1.01</v>
      </c>
      <c r="AS13" s="108">
        <v>1</v>
      </c>
      <c r="AT13" s="108">
        <v>1</v>
      </c>
    </row>
    <row r="14" spans="1:46" s="277" customFormat="1" ht="24">
      <c r="A14" s="330" t="s">
        <v>581</v>
      </c>
      <c r="B14" s="331"/>
      <c r="C14" s="88"/>
      <c r="D14" s="340">
        <v>5</v>
      </c>
      <c r="E14" s="293" t="s">
        <v>98</v>
      </c>
      <c r="F14" s="432" t="s">
        <v>577</v>
      </c>
      <c r="G14" s="433" t="s">
        <v>373</v>
      </c>
      <c r="H14" s="434" t="s">
        <v>98</v>
      </c>
      <c r="I14" s="434" t="s">
        <v>98</v>
      </c>
      <c r="J14" s="94">
        <v>0</v>
      </c>
      <c r="K14" s="433" t="s">
        <v>96</v>
      </c>
      <c r="L14" s="435">
        <v>0</v>
      </c>
      <c r="M14" s="95">
        <v>1</v>
      </c>
      <c r="N14" s="96">
        <f t="shared" si="0"/>
        <v>1.0722009304576894</v>
      </c>
      <c r="O14" s="432" t="str">
        <f t="shared" si="1"/>
        <v>(2,1,1,2,1,1); Industry data (French tender)</v>
      </c>
      <c r="P14" s="435">
        <v>0</v>
      </c>
      <c r="Q14" s="95">
        <v>1</v>
      </c>
      <c r="R14" s="96">
        <f t="shared" si="2"/>
        <v>1.0722009304576894</v>
      </c>
      <c r="S14" s="432" t="str">
        <f t="shared" si="3"/>
        <v>(2,1,1,2,1,1); Industry data (French tender)</v>
      </c>
      <c r="T14" s="435">
        <f>P14</f>
        <v>0</v>
      </c>
      <c r="U14" s="95">
        <v>1</v>
      </c>
      <c r="V14" s="96">
        <f t="shared" si="4"/>
        <v>1.0722009304576894</v>
      </c>
      <c r="W14" s="432" t="str">
        <f t="shared" si="5"/>
        <v>(2,1,1,2,1,1); Industry data (French tender)</v>
      </c>
      <c r="X14" s="435">
        <f>L11</f>
        <v>1.81176827886474</v>
      </c>
      <c r="Y14" s="95">
        <v>1</v>
      </c>
      <c r="Z14" s="96">
        <f t="shared" si="6"/>
        <v>1.0722009304576894</v>
      </c>
      <c r="AA14" s="432" t="str">
        <f t="shared" si="7"/>
        <v>(2,1,1,2,1,1); Industry data (French tender)</v>
      </c>
      <c r="AB14" s="112"/>
      <c r="AC14" s="77" t="s">
        <v>462</v>
      </c>
      <c r="AD14" s="339">
        <v>2</v>
      </c>
      <c r="AE14" s="339">
        <v>1</v>
      </c>
      <c r="AF14" s="339">
        <v>1</v>
      </c>
      <c r="AG14" s="339">
        <v>2</v>
      </c>
      <c r="AH14" s="339">
        <v>1</v>
      </c>
      <c r="AI14" s="339">
        <v>1</v>
      </c>
      <c r="AJ14" s="104">
        <v>3</v>
      </c>
      <c r="AK14" s="104">
        <v>1.05</v>
      </c>
      <c r="AL14" s="107">
        <f t="shared" si="8"/>
        <v>1.0510550504206344</v>
      </c>
      <c r="AM14" s="107">
        <f t="shared" si="9"/>
        <v>1.0722009304576894</v>
      </c>
      <c r="AN14" s="107" t="str">
        <f t="shared" si="10"/>
        <v>(2,1,1,2,1,1)</v>
      </c>
      <c r="AO14" s="108">
        <v>1.05</v>
      </c>
      <c r="AP14" s="108">
        <v>1</v>
      </c>
      <c r="AQ14" s="108">
        <v>1</v>
      </c>
      <c r="AR14" s="108">
        <v>1.01</v>
      </c>
      <c r="AS14" s="108">
        <v>1</v>
      </c>
      <c r="AT14" s="108">
        <v>1</v>
      </c>
    </row>
    <row r="15" spans="1:46" s="277" customFormat="1" ht="12">
      <c r="A15" s="330">
        <v>264183</v>
      </c>
      <c r="B15" s="331" t="s">
        <v>632</v>
      </c>
      <c r="C15" s="88"/>
      <c r="D15" s="340">
        <v>5</v>
      </c>
      <c r="E15" s="293" t="s">
        <v>98</v>
      </c>
      <c r="F15" s="432" t="s">
        <v>387</v>
      </c>
      <c r="G15" s="433" t="s">
        <v>93</v>
      </c>
      <c r="H15" s="434" t="s">
        <v>98</v>
      </c>
      <c r="I15" s="434" t="s">
        <v>98</v>
      </c>
      <c r="J15" s="94">
        <v>0</v>
      </c>
      <c r="K15" s="433" t="s">
        <v>96</v>
      </c>
      <c r="L15" s="435">
        <v>2.01713357802461E-5</v>
      </c>
      <c r="M15" s="95">
        <v>1</v>
      </c>
      <c r="N15" s="96">
        <f t="shared" si="0"/>
        <v>1.0722009304576894</v>
      </c>
      <c r="O15" s="432" t="str">
        <f t="shared" si="1"/>
        <v>(2,1,1,2,1,1); Industry data (French tender)</v>
      </c>
      <c r="P15" s="435">
        <f t="shared" ref="P15:P29" si="11">L15</f>
        <v>2.01713357802461E-5</v>
      </c>
      <c r="Q15" s="95">
        <v>1</v>
      </c>
      <c r="R15" s="96">
        <f t="shared" si="2"/>
        <v>1.0722009304576894</v>
      </c>
      <c r="S15" s="432" t="str">
        <f t="shared" si="3"/>
        <v>(2,1,1,2,1,1); Industry data (French tender)</v>
      </c>
      <c r="T15" s="435">
        <f>L15</f>
        <v>2.01713357802461E-5</v>
      </c>
      <c r="U15" s="95">
        <v>1</v>
      </c>
      <c r="V15" s="96">
        <f t="shared" si="4"/>
        <v>1.0722009304576894</v>
      </c>
      <c r="W15" s="432" t="str">
        <f t="shared" si="5"/>
        <v>(2,1,1,2,1,1); Industry data (French tender)</v>
      </c>
      <c r="X15" s="435">
        <f>L15</f>
        <v>2.01713357802461E-5</v>
      </c>
      <c r="Y15" s="95">
        <v>1</v>
      </c>
      <c r="Z15" s="96">
        <f t="shared" si="6"/>
        <v>1.0722009304576894</v>
      </c>
      <c r="AA15" s="432" t="str">
        <f t="shared" si="7"/>
        <v>(2,1,1,2,1,1); Industry data (French tender)</v>
      </c>
      <c r="AB15" s="112"/>
      <c r="AC15" s="77" t="s">
        <v>462</v>
      </c>
      <c r="AD15" s="339">
        <v>2</v>
      </c>
      <c r="AE15" s="339">
        <v>1</v>
      </c>
      <c r="AF15" s="339">
        <v>1</v>
      </c>
      <c r="AG15" s="339">
        <v>2</v>
      </c>
      <c r="AH15" s="339">
        <v>1</v>
      </c>
      <c r="AI15" s="339">
        <v>1</v>
      </c>
      <c r="AJ15" s="104">
        <v>3</v>
      </c>
      <c r="AK15" s="104">
        <v>1.05</v>
      </c>
      <c r="AL15" s="107">
        <f t="shared" si="8"/>
        <v>1.0510550504206344</v>
      </c>
      <c r="AM15" s="107">
        <f t="shared" si="9"/>
        <v>1.0722009304576894</v>
      </c>
      <c r="AN15" s="107" t="str">
        <f t="shared" si="10"/>
        <v>(2,1,1,2,1,1)</v>
      </c>
      <c r="AO15" s="108">
        <v>1.05</v>
      </c>
      <c r="AP15" s="108">
        <v>1</v>
      </c>
      <c r="AQ15" s="108">
        <v>1</v>
      </c>
      <c r="AR15" s="108">
        <v>1.01</v>
      </c>
      <c r="AS15" s="108">
        <v>1</v>
      </c>
      <c r="AT15" s="108">
        <v>1</v>
      </c>
    </row>
    <row r="16" spans="1:46" s="277" customFormat="1" ht="12">
      <c r="A16" s="330">
        <v>269001</v>
      </c>
      <c r="B16" s="331"/>
      <c r="C16" s="88"/>
      <c r="D16" s="340">
        <v>5</v>
      </c>
      <c r="E16" s="293" t="s">
        <v>98</v>
      </c>
      <c r="F16" s="432" t="s">
        <v>633</v>
      </c>
      <c r="G16" s="433" t="s">
        <v>154</v>
      </c>
      <c r="H16" s="434" t="s">
        <v>98</v>
      </c>
      <c r="I16" s="434" t="s">
        <v>98</v>
      </c>
      <c r="J16" s="94">
        <v>0</v>
      </c>
      <c r="K16" s="433" t="s">
        <v>96</v>
      </c>
      <c r="L16" s="435">
        <v>1.04644194509376E-4</v>
      </c>
      <c r="M16" s="95">
        <v>1</v>
      </c>
      <c r="N16" s="96">
        <f t="shared" si="0"/>
        <v>1.0722009304576894</v>
      </c>
      <c r="O16" s="432" t="str">
        <f t="shared" si="1"/>
        <v>(2,1,1,2,1,1); Industry data (French tender)</v>
      </c>
      <c r="P16" s="435">
        <f t="shared" si="11"/>
        <v>1.04644194509376E-4</v>
      </c>
      <c r="Q16" s="95">
        <v>1</v>
      </c>
      <c r="R16" s="96">
        <f t="shared" si="2"/>
        <v>1.0722009304576894</v>
      </c>
      <c r="S16" s="432" t="str">
        <f t="shared" si="3"/>
        <v>(2,1,1,2,1,1); Industry data (French tender)</v>
      </c>
      <c r="T16" s="435">
        <f>L16</f>
        <v>1.04644194509376E-4</v>
      </c>
      <c r="U16" s="95">
        <v>1</v>
      </c>
      <c r="V16" s="96">
        <f t="shared" si="4"/>
        <v>1.0722009304576894</v>
      </c>
      <c r="W16" s="432" t="str">
        <f t="shared" si="5"/>
        <v>(2,1,1,2,1,1); Industry data (French tender)</v>
      </c>
      <c r="X16" s="435">
        <f>L16</f>
        <v>1.04644194509376E-4</v>
      </c>
      <c r="Y16" s="95">
        <v>1</v>
      </c>
      <c r="Z16" s="96">
        <f t="shared" si="6"/>
        <v>1.0722009304576894</v>
      </c>
      <c r="AA16" s="432" t="str">
        <f t="shared" si="7"/>
        <v>(2,1,1,2,1,1); Industry data (French tender)</v>
      </c>
      <c r="AB16" s="112"/>
      <c r="AC16" s="77" t="s">
        <v>462</v>
      </c>
      <c r="AD16" s="339">
        <v>2</v>
      </c>
      <c r="AE16" s="339">
        <v>1</v>
      </c>
      <c r="AF16" s="339">
        <v>1</v>
      </c>
      <c r="AG16" s="339">
        <v>2</v>
      </c>
      <c r="AH16" s="339">
        <v>1</v>
      </c>
      <c r="AI16" s="339">
        <v>1</v>
      </c>
      <c r="AJ16" s="104">
        <v>3</v>
      </c>
      <c r="AK16" s="104">
        <v>1.05</v>
      </c>
      <c r="AL16" s="107">
        <f t="shared" si="8"/>
        <v>1.0510550504206344</v>
      </c>
      <c r="AM16" s="107">
        <f t="shared" si="9"/>
        <v>1.0722009304576894</v>
      </c>
      <c r="AN16" s="107" t="str">
        <f t="shared" si="10"/>
        <v>(2,1,1,2,1,1)</v>
      </c>
      <c r="AO16" s="108">
        <v>1.05</v>
      </c>
      <c r="AP16" s="108">
        <v>1</v>
      </c>
      <c r="AQ16" s="108">
        <v>1</v>
      </c>
      <c r="AR16" s="108">
        <v>1.01</v>
      </c>
      <c r="AS16" s="108">
        <v>1</v>
      </c>
      <c r="AT16" s="108">
        <v>1</v>
      </c>
    </row>
    <row r="17" spans="1:46" s="277" customFormat="1" ht="12">
      <c r="A17" s="330">
        <v>266627</v>
      </c>
      <c r="B17" s="331"/>
      <c r="C17" s="88"/>
      <c r="D17" s="340">
        <v>5</v>
      </c>
      <c r="E17" s="293" t="s">
        <v>98</v>
      </c>
      <c r="F17" s="432" t="s">
        <v>634</v>
      </c>
      <c r="G17" s="433" t="s">
        <v>93</v>
      </c>
      <c r="H17" s="434" t="s">
        <v>98</v>
      </c>
      <c r="I17" s="434" t="s">
        <v>98</v>
      </c>
      <c r="J17" s="94">
        <v>0</v>
      </c>
      <c r="K17" s="433" t="s">
        <v>96</v>
      </c>
      <c r="L17" s="435">
        <v>3.0830038132570101E-4</v>
      </c>
      <c r="M17" s="95">
        <v>1</v>
      </c>
      <c r="N17" s="96">
        <f t="shared" si="0"/>
        <v>1.0722009304576894</v>
      </c>
      <c r="O17" s="432" t="str">
        <f t="shared" si="1"/>
        <v>(2,1,1,2,1,1); Industry data (French tender)</v>
      </c>
      <c r="P17" s="435">
        <f t="shared" si="11"/>
        <v>3.0830038132570101E-4</v>
      </c>
      <c r="Q17" s="95">
        <v>1</v>
      </c>
      <c r="R17" s="96">
        <f t="shared" si="2"/>
        <v>1.0722009304576894</v>
      </c>
      <c r="S17" s="432" t="str">
        <f t="shared" si="3"/>
        <v>(2,1,1,2,1,1); Industry data (French tender)</v>
      </c>
      <c r="T17" s="435">
        <f t="shared" ref="T17:T30" si="12">P17</f>
        <v>3.0830038132570101E-4</v>
      </c>
      <c r="U17" s="95">
        <v>1</v>
      </c>
      <c r="V17" s="96">
        <f t="shared" si="4"/>
        <v>1.0722009304576894</v>
      </c>
      <c r="W17" s="432" t="str">
        <f t="shared" si="5"/>
        <v>(2,1,1,2,1,1); Industry data (French tender)</v>
      </c>
      <c r="X17" s="435">
        <f>L17</f>
        <v>3.0830038132570101E-4</v>
      </c>
      <c r="Y17" s="95">
        <v>1</v>
      </c>
      <c r="Z17" s="96">
        <f t="shared" si="6"/>
        <v>1.0722009304576894</v>
      </c>
      <c r="AA17" s="432" t="str">
        <f t="shared" si="7"/>
        <v>(2,1,1,2,1,1); Industry data (French tender)</v>
      </c>
      <c r="AB17" s="112"/>
      <c r="AC17" s="77" t="s">
        <v>462</v>
      </c>
      <c r="AD17" s="339">
        <v>2</v>
      </c>
      <c r="AE17" s="339">
        <v>1</v>
      </c>
      <c r="AF17" s="339">
        <v>1</v>
      </c>
      <c r="AG17" s="339">
        <v>2</v>
      </c>
      <c r="AH17" s="339">
        <v>1</v>
      </c>
      <c r="AI17" s="339">
        <v>1</v>
      </c>
      <c r="AJ17" s="104">
        <v>3</v>
      </c>
      <c r="AK17" s="104">
        <v>1.05</v>
      </c>
      <c r="AL17" s="107">
        <f t="shared" si="8"/>
        <v>1.0510550504206344</v>
      </c>
      <c r="AM17" s="107">
        <f t="shared" si="9"/>
        <v>1.0722009304576894</v>
      </c>
      <c r="AN17" s="107" t="str">
        <f t="shared" si="10"/>
        <v>(2,1,1,2,1,1)</v>
      </c>
      <c r="AO17" s="108">
        <v>1.05</v>
      </c>
      <c r="AP17" s="108">
        <v>1</v>
      </c>
      <c r="AQ17" s="108">
        <v>1</v>
      </c>
      <c r="AR17" s="108">
        <v>1.01</v>
      </c>
      <c r="AS17" s="108">
        <v>1</v>
      </c>
      <c r="AT17" s="108">
        <v>1</v>
      </c>
    </row>
    <row r="18" spans="1:46" s="277" customFormat="1" ht="12">
      <c r="A18" s="330">
        <v>267073</v>
      </c>
      <c r="B18" s="331"/>
      <c r="C18" s="88"/>
      <c r="D18" s="340">
        <v>5</v>
      </c>
      <c r="E18" s="293" t="s">
        <v>98</v>
      </c>
      <c r="F18" s="432" t="s">
        <v>635</v>
      </c>
      <c r="G18" s="433" t="s">
        <v>93</v>
      </c>
      <c r="H18" s="434" t="s">
        <v>98</v>
      </c>
      <c r="I18" s="434" t="s">
        <v>98</v>
      </c>
      <c r="J18" s="94">
        <v>0</v>
      </c>
      <c r="K18" s="433" t="s">
        <v>96</v>
      </c>
      <c r="L18" s="435">
        <v>3.0830038132570101E-4</v>
      </c>
      <c r="M18" s="95">
        <v>1</v>
      </c>
      <c r="N18" s="96">
        <f t="shared" si="0"/>
        <v>1.0722009304576894</v>
      </c>
      <c r="O18" s="432" t="str">
        <f t="shared" si="1"/>
        <v>(2,1,1,2,1,1); Industry data (French tender)</v>
      </c>
      <c r="P18" s="435">
        <f t="shared" si="11"/>
        <v>3.0830038132570101E-4</v>
      </c>
      <c r="Q18" s="95">
        <v>1</v>
      </c>
      <c r="R18" s="96">
        <f t="shared" si="2"/>
        <v>1.0722009304576894</v>
      </c>
      <c r="S18" s="432" t="str">
        <f t="shared" si="3"/>
        <v>(2,1,1,2,1,1); Industry data (French tender)</v>
      </c>
      <c r="T18" s="435">
        <f t="shared" si="12"/>
        <v>3.0830038132570101E-4</v>
      </c>
      <c r="U18" s="95">
        <v>1</v>
      </c>
      <c r="V18" s="96">
        <f t="shared" si="4"/>
        <v>1.0722009304576894</v>
      </c>
      <c r="W18" s="432" t="str">
        <f t="shared" si="5"/>
        <v>(2,1,1,2,1,1); Industry data (French tender)</v>
      </c>
      <c r="X18" s="435">
        <f>L18</f>
        <v>3.0830038132570101E-4</v>
      </c>
      <c r="Y18" s="95">
        <v>1</v>
      </c>
      <c r="Z18" s="96">
        <f t="shared" si="6"/>
        <v>1.0722009304576894</v>
      </c>
      <c r="AA18" s="432" t="str">
        <f t="shared" si="7"/>
        <v>(2,1,1,2,1,1); Industry data (French tender)</v>
      </c>
      <c r="AB18" s="112"/>
      <c r="AC18" s="77" t="s">
        <v>462</v>
      </c>
      <c r="AD18" s="339">
        <v>2</v>
      </c>
      <c r="AE18" s="339">
        <v>1</v>
      </c>
      <c r="AF18" s="339">
        <v>1</v>
      </c>
      <c r="AG18" s="339">
        <v>2</v>
      </c>
      <c r="AH18" s="339">
        <v>1</v>
      </c>
      <c r="AI18" s="339">
        <v>1</v>
      </c>
      <c r="AJ18" s="104">
        <v>3</v>
      </c>
      <c r="AK18" s="104">
        <v>1.05</v>
      </c>
      <c r="AL18" s="107">
        <f t="shared" si="8"/>
        <v>1.0510550504206344</v>
      </c>
      <c r="AM18" s="107">
        <f t="shared" si="9"/>
        <v>1.0722009304576894</v>
      </c>
      <c r="AN18" s="107" t="str">
        <f t="shared" si="10"/>
        <v>(2,1,1,2,1,1)</v>
      </c>
      <c r="AO18" s="108">
        <v>1.05</v>
      </c>
      <c r="AP18" s="108">
        <v>1</v>
      </c>
      <c r="AQ18" s="108">
        <v>1</v>
      </c>
      <c r="AR18" s="108">
        <v>1.01</v>
      </c>
      <c r="AS18" s="108">
        <v>1</v>
      </c>
      <c r="AT18" s="108">
        <v>1</v>
      </c>
    </row>
    <row r="19" spans="1:46" s="277" customFormat="1" ht="12">
      <c r="A19" s="330">
        <v>268959</v>
      </c>
      <c r="B19" s="331" t="s">
        <v>582</v>
      </c>
      <c r="C19" s="88"/>
      <c r="D19" s="340">
        <v>5</v>
      </c>
      <c r="E19" s="293" t="s">
        <v>98</v>
      </c>
      <c r="F19" s="432" t="s">
        <v>636</v>
      </c>
      <c r="G19" s="433" t="s">
        <v>93</v>
      </c>
      <c r="H19" s="434" t="s">
        <v>98</v>
      </c>
      <c r="I19" s="434" t="s">
        <v>98</v>
      </c>
      <c r="J19" s="94">
        <v>0</v>
      </c>
      <c r="K19" s="433" t="s">
        <v>96</v>
      </c>
      <c r="L19" s="435">
        <v>1.7191005268866899E-4</v>
      </c>
      <c r="M19" s="95">
        <v>1</v>
      </c>
      <c r="N19" s="96">
        <f t="shared" si="0"/>
        <v>1.0722009304576894</v>
      </c>
      <c r="O19" s="432" t="str">
        <f t="shared" si="1"/>
        <v>(2,1,1,2,1,1); Industry data (French tender)</v>
      </c>
      <c r="P19" s="435">
        <f t="shared" si="11"/>
        <v>1.7191005268866899E-4</v>
      </c>
      <c r="Q19" s="95">
        <v>1</v>
      </c>
      <c r="R19" s="96">
        <f t="shared" si="2"/>
        <v>1.0722009304576894</v>
      </c>
      <c r="S19" s="432" t="str">
        <f t="shared" si="3"/>
        <v>(2,1,1,2,1,1); Industry data (French tender)</v>
      </c>
      <c r="T19" s="435">
        <f t="shared" si="12"/>
        <v>1.7191005268866899E-4</v>
      </c>
      <c r="U19" s="95">
        <v>1</v>
      </c>
      <c r="V19" s="96">
        <f t="shared" si="4"/>
        <v>1.0722009304576894</v>
      </c>
      <c r="W19" s="432" t="str">
        <f t="shared" si="5"/>
        <v>(2,1,1,2,1,1); Industry data (French tender)</v>
      </c>
      <c r="X19" s="435">
        <f t="shared" ref="X19:X30" si="13">P19</f>
        <v>1.7191005268866899E-4</v>
      </c>
      <c r="Y19" s="95">
        <v>1</v>
      </c>
      <c r="Z19" s="96">
        <f t="shared" si="6"/>
        <v>1.0722009304576894</v>
      </c>
      <c r="AA19" s="432" t="str">
        <f t="shared" si="7"/>
        <v>(2,1,1,2,1,1); Industry data (French tender)</v>
      </c>
      <c r="AB19" s="112"/>
      <c r="AC19" s="77" t="s">
        <v>462</v>
      </c>
      <c r="AD19" s="339">
        <v>2</v>
      </c>
      <c r="AE19" s="339">
        <v>1</v>
      </c>
      <c r="AF19" s="339">
        <v>1</v>
      </c>
      <c r="AG19" s="339">
        <v>2</v>
      </c>
      <c r="AH19" s="339">
        <v>1</v>
      </c>
      <c r="AI19" s="339">
        <v>1</v>
      </c>
      <c r="AJ19" s="104">
        <v>3</v>
      </c>
      <c r="AK19" s="104">
        <v>1.05</v>
      </c>
      <c r="AL19" s="107">
        <f t="shared" si="8"/>
        <v>1.0510550504206344</v>
      </c>
      <c r="AM19" s="107">
        <f t="shared" si="9"/>
        <v>1.0722009304576894</v>
      </c>
      <c r="AN19" s="107" t="str">
        <f t="shared" si="10"/>
        <v>(2,1,1,2,1,1)</v>
      </c>
      <c r="AO19" s="108">
        <v>1.05</v>
      </c>
      <c r="AP19" s="108">
        <v>1</v>
      </c>
      <c r="AQ19" s="108">
        <v>1</v>
      </c>
      <c r="AR19" s="108">
        <v>1.01</v>
      </c>
      <c r="AS19" s="108">
        <v>1</v>
      </c>
      <c r="AT19" s="108">
        <v>1</v>
      </c>
    </row>
    <row r="20" spans="1:46" s="277" customFormat="1" ht="24">
      <c r="A20" s="330">
        <v>268715</v>
      </c>
      <c r="B20" s="331"/>
      <c r="C20" s="88"/>
      <c r="D20" s="340">
        <v>5</v>
      </c>
      <c r="E20" s="293" t="s">
        <v>98</v>
      </c>
      <c r="F20" s="432" t="s">
        <v>466</v>
      </c>
      <c r="G20" s="433" t="s">
        <v>93</v>
      </c>
      <c r="H20" s="434" t="s">
        <v>98</v>
      </c>
      <c r="I20" s="434" t="s">
        <v>98</v>
      </c>
      <c r="J20" s="94">
        <v>0</v>
      </c>
      <c r="K20" s="433" t="s">
        <v>96</v>
      </c>
      <c r="L20" s="435">
        <v>1.76E-4</v>
      </c>
      <c r="M20" s="95">
        <v>1</v>
      </c>
      <c r="N20" s="96">
        <f t="shared" si="0"/>
        <v>1.0722009304576894</v>
      </c>
      <c r="O20" s="432" t="str">
        <f t="shared" si="1"/>
        <v>(2,1,1,2,1,1); Industry data (French tender), proxy for polyaluminium chloride</v>
      </c>
      <c r="P20" s="435">
        <f t="shared" si="11"/>
        <v>1.76E-4</v>
      </c>
      <c r="Q20" s="95">
        <v>1</v>
      </c>
      <c r="R20" s="96">
        <f t="shared" si="2"/>
        <v>1.0722009304576894</v>
      </c>
      <c r="S20" s="432" t="str">
        <f t="shared" si="3"/>
        <v>(2,1,1,2,1,1); Industry data (French tender), proxy for polyaluminium chloride</v>
      </c>
      <c r="T20" s="435">
        <f t="shared" si="12"/>
        <v>1.76E-4</v>
      </c>
      <c r="U20" s="95">
        <v>1</v>
      </c>
      <c r="V20" s="96">
        <f t="shared" si="4"/>
        <v>1.0722009304576894</v>
      </c>
      <c r="W20" s="432" t="str">
        <f t="shared" si="5"/>
        <v>(2,1,1,2,1,1); Industry data (French tender), proxy for polyaluminium chloride</v>
      </c>
      <c r="X20" s="435">
        <f t="shared" si="13"/>
        <v>1.76E-4</v>
      </c>
      <c r="Y20" s="95">
        <v>1</v>
      </c>
      <c r="Z20" s="96">
        <f t="shared" si="6"/>
        <v>1.0722009304576894</v>
      </c>
      <c r="AA20" s="432" t="str">
        <f t="shared" si="7"/>
        <v>(2,1,1,2,1,1); Industry data (French tender), proxy for polyaluminium chloride</v>
      </c>
      <c r="AB20" s="112"/>
      <c r="AC20" s="77" t="s">
        <v>467</v>
      </c>
      <c r="AD20" s="339">
        <v>2</v>
      </c>
      <c r="AE20" s="339">
        <v>1</v>
      </c>
      <c r="AF20" s="339">
        <v>1</v>
      </c>
      <c r="AG20" s="339">
        <v>2</v>
      </c>
      <c r="AH20" s="339">
        <v>1</v>
      </c>
      <c r="AI20" s="339">
        <v>1</v>
      </c>
      <c r="AJ20" s="104">
        <v>3</v>
      </c>
      <c r="AK20" s="104">
        <v>1.05</v>
      </c>
      <c r="AL20" s="107">
        <f t="shared" si="8"/>
        <v>1.0510550504206344</v>
      </c>
      <c r="AM20" s="107">
        <f t="shared" si="9"/>
        <v>1.0722009304576894</v>
      </c>
      <c r="AN20" s="107" t="str">
        <f t="shared" si="10"/>
        <v>(2,1,1,2,1,1)</v>
      </c>
      <c r="AO20" s="108">
        <v>1.05</v>
      </c>
      <c r="AP20" s="108">
        <v>1</v>
      </c>
      <c r="AQ20" s="108">
        <v>1</v>
      </c>
      <c r="AR20" s="108">
        <v>1.01</v>
      </c>
      <c r="AS20" s="108">
        <v>1</v>
      </c>
      <c r="AT20" s="108">
        <v>1</v>
      </c>
    </row>
    <row r="21" spans="1:46" s="277" customFormat="1" ht="24">
      <c r="A21" s="330">
        <v>142507</v>
      </c>
      <c r="B21" s="331"/>
      <c r="C21" s="88"/>
      <c r="D21" s="340">
        <v>5</v>
      </c>
      <c r="E21" s="293" t="s">
        <v>98</v>
      </c>
      <c r="F21" s="432" t="s">
        <v>464</v>
      </c>
      <c r="G21" s="433" t="s">
        <v>93</v>
      </c>
      <c r="H21" s="434" t="s">
        <v>98</v>
      </c>
      <c r="I21" s="434" t="s">
        <v>98</v>
      </c>
      <c r="J21" s="94">
        <v>0</v>
      </c>
      <c r="K21" s="433" t="s">
        <v>96</v>
      </c>
      <c r="L21" s="435">
        <v>6.4800000000000003E-5</v>
      </c>
      <c r="M21" s="95">
        <v>1</v>
      </c>
      <c r="N21" s="96">
        <f t="shared" si="0"/>
        <v>1.0722009304576894</v>
      </c>
      <c r="O21" s="432" t="str">
        <f t="shared" si="1"/>
        <v>(2,1,1,2,1,1); Industry data (French tender), proxy for polyacrylamide</v>
      </c>
      <c r="P21" s="435">
        <f t="shared" si="11"/>
        <v>6.4800000000000003E-5</v>
      </c>
      <c r="Q21" s="95">
        <v>1</v>
      </c>
      <c r="R21" s="96">
        <f t="shared" si="2"/>
        <v>1.0722009304576894</v>
      </c>
      <c r="S21" s="432" t="str">
        <f t="shared" si="3"/>
        <v>(2,1,1,2,1,1); Industry data (French tender), proxy for polyacrylamide</v>
      </c>
      <c r="T21" s="435">
        <f t="shared" si="12"/>
        <v>6.4800000000000003E-5</v>
      </c>
      <c r="U21" s="95">
        <v>1</v>
      </c>
      <c r="V21" s="96">
        <f t="shared" si="4"/>
        <v>1.0722009304576894</v>
      </c>
      <c r="W21" s="432" t="str">
        <f t="shared" si="5"/>
        <v>(2,1,1,2,1,1); Industry data (French tender), proxy for polyacrylamide</v>
      </c>
      <c r="X21" s="435">
        <f t="shared" si="13"/>
        <v>6.4800000000000003E-5</v>
      </c>
      <c r="Y21" s="95">
        <v>1</v>
      </c>
      <c r="Z21" s="96">
        <f t="shared" si="6"/>
        <v>1.0722009304576894</v>
      </c>
      <c r="AA21" s="432" t="str">
        <f t="shared" si="7"/>
        <v>(2,1,1,2,1,1); Industry data (French tender), proxy for polyacrylamide</v>
      </c>
      <c r="AB21" s="112"/>
      <c r="AC21" s="111" t="s">
        <v>465</v>
      </c>
      <c r="AD21" s="339">
        <v>2</v>
      </c>
      <c r="AE21" s="339">
        <v>1</v>
      </c>
      <c r="AF21" s="339">
        <v>1</v>
      </c>
      <c r="AG21" s="339">
        <v>2</v>
      </c>
      <c r="AH21" s="339">
        <v>1</v>
      </c>
      <c r="AI21" s="339">
        <v>1</v>
      </c>
      <c r="AJ21" s="104">
        <v>3</v>
      </c>
      <c r="AK21" s="104">
        <v>1.05</v>
      </c>
      <c r="AL21" s="107">
        <f t="shared" si="8"/>
        <v>1.0510550504206344</v>
      </c>
      <c r="AM21" s="107">
        <f t="shared" si="9"/>
        <v>1.0722009304576894</v>
      </c>
      <c r="AN21" s="107" t="str">
        <f t="shared" si="10"/>
        <v>(2,1,1,2,1,1)</v>
      </c>
      <c r="AO21" s="108">
        <v>1.05</v>
      </c>
      <c r="AP21" s="108">
        <v>1</v>
      </c>
      <c r="AQ21" s="108">
        <v>1</v>
      </c>
      <c r="AR21" s="108">
        <v>1.01</v>
      </c>
      <c r="AS21" s="108">
        <v>1</v>
      </c>
      <c r="AT21" s="108">
        <v>1</v>
      </c>
    </row>
    <row r="22" spans="1:46" s="277" customFormat="1" ht="12">
      <c r="A22" s="330">
        <v>269509</v>
      </c>
      <c r="B22" s="331"/>
      <c r="C22" s="88"/>
      <c r="D22" s="340">
        <v>5</v>
      </c>
      <c r="E22" s="293" t="s">
        <v>98</v>
      </c>
      <c r="F22" s="432" t="s">
        <v>461</v>
      </c>
      <c r="G22" s="433" t="s">
        <v>93</v>
      </c>
      <c r="H22" s="434" t="s">
        <v>98</v>
      </c>
      <c r="I22" s="434" t="s">
        <v>98</v>
      </c>
      <c r="J22" s="94">
        <v>0</v>
      </c>
      <c r="K22" s="433" t="s">
        <v>96</v>
      </c>
      <c r="L22" s="435">
        <v>1.1179181218702501E-3</v>
      </c>
      <c r="M22" s="95">
        <v>1</v>
      </c>
      <c r="N22" s="96">
        <f t="shared" si="0"/>
        <v>1.0722009304576894</v>
      </c>
      <c r="O22" s="432" t="str">
        <f t="shared" si="1"/>
        <v>(2,1,1,2,1,1); Industry data (French tender)</v>
      </c>
      <c r="P22" s="435">
        <f t="shared" si="11"/>
        <v>1.1179181218702501E-3</v>
      </c>
      <c r="Q22" s="95">
        <v>1</v>
      </c>
      <c r="R22" s="96">
        <f t="shared" si="2"/>
        <v>1.0722009304576894</v>
      </c>
      <c r="S22" s="432" t="str">
        <f t="shared" si="3"/>
        <v>(2,1,1,2,1,1); Industry data (French tender)</v>
      </c>
      <c r="T22" s="435">
        <f t="shared" si="12"/>
        <v>1.1179181218702501E-3</v>
      </c>
      <c r="U22" s="95">
        <v>1</v>
      </c>
      <c r="V22" s="96">
        <f t="shared" si="4"/>
        <v>1.0722009304576894</v>
      </c>
      <c r="W22" s="432" t="str">
        <f t="shared" si="5"/>
        <v>(2,1,1,2,1,1); Industry data (French tender)</v>
      </c>
      <c r="X22" s="435">
        <f t="shared" si="13"/>
        <v>1.1179181218702501E-3</v>
      </c>
      <c r="Y22" s="95">
        <v>1</v>
      </c>
      <c r="Z22" s="96">
        <f t="shared" si="6"/>
        <v>1.0722009304576894</v>
      </c>
      <c r="AA22" s="432" t="str">
        <f t="shared" si="7"/>
        <v>(2,1,1,2,1,1); Industry data (French tender)</v>
      </c>
      <c r="AB22" s="112"/>
      <c r="AC22" s="77" t="s">
        <v>462</v>
      </c>
      <c r="AD22" s="339">
        <v>2</v>
      </c>
      <c r="AE22" s="339">
        <v>1</v>
      </c>
      <c r="AF22" s="339">
        <v>1</v>
      </c>
      <c r="AG22" s="339">
        <v>2</v>
      </c>
      <c r="AH22" s="339">
        <v>1</v>
      </c>
      <c r="AI22" s="339">
        <v>1</v>
      </c>
      <c r="AJ22" s="104">
        <v>3</v>
      </c>
      <c r="AK22" s="104">
        <v>1.05</v>
      </c>
      <c r="AL22" s="107">
        <f t="shared" si="8"/>
        <v>1.0510550504206344</v>
      </c>
      <c r="AM22" s="107">
        <f t="shared" si="9"/>
        <v>1.0722009304576894</v>
      </c>
      <c r="AN22" s="107" t="str">
        <f t="shared" si="10"/>
        <v>(2,1,1,2,1,1)</v>
      </c>
      <c r="AO22" s="108">
        <v>1.05</v>
      </c>
      <c r="AP22" s="108">
        <v>1</v>
      </c>
      <c r="AQ22" s="108">
        <v>1</v>
      </c>
      <c r="AR22" s="108">
        <v>1.01</v>
      </c>
      <c r="AS22" s="108">
        <v>1</v>
      </c>
      <c r="AT22" s="108">
        <v>1</v>
      </c>
    </row>
    <row r="23" spans="1:46" s="277" customFormat="1" ht="24">
      <c r="A23" s="330">
        <v>269497</v>
      </c>
      <c r="B23" s="331"/>
      <c r="C23" s="88"/>
      <c r="D23" s="340">
        <v>5</v>
      </c>
      <c r="E23" s="293" t="s">
        <v>98</v>
      </c>
      <c r="F23" s="432" t="s">
        <v>468</v>
      </c>
      <c r="G23" s="433" t="s">
        <v>93</v>
      </c>
      <c r="H23" s="434" t="s">
        <v>98</v>
      </c>
      <c r="I23" s="434" t="s">
        <v>98</v>
      </c>
      <c r="J23" s="94">
        <v>0</v>
      </c>
      <c r="K23" s="433" t="s">
        <v>96</v>
      </c>
      <c r="L23" s="435">
        <v>6.2773269111083898E-5</v>
      </c>
      <c r="M23" s="95">
        <v>1</v>
      </c>
      <c r="N23" s="96">
        <f t="shared" si="0"/>
        <v>1.0722009304576894</v>
      </c>
      <c r="O23" s="432" t="str">
        <f t="shared" si="1"/>
        <v>(2,1,1,2,1,1); Industry data (French tender)</v>
      </c>
      <c r="P23" s="435">
        <f t="shared" si="11"/>
        <v>6.2773269111083898E-5</v>
      </c>
      <c r="Q23" s="95">
        <v>1</v>
      </c>
      <c r="R23" s="96">
        <f t="shared" si="2"/>
        <v>1.0722009304576894</v>
      </c>
      <c r="S23" s="432" t="str">
        <f t="shared" si="3"/>
        <v>(2,1,1,2,1,1); Industry data (French tender)</v>
      </c>
      <c r="T23" s="435">
        <f t="shared" si="12"/>
        <v>6.2773269111083898E-5</v>
      </c>
      <c r="U23" s="95">
        <v>1</v>
      </c>
      <c r="V23" s="96">
        <f t="shared" si="4"/>
        <v>1.0722009304576894</v>
      </c>
      <c r="W23" s="432" t="str">
        <f t="shared" si="5"/>
        <v>(2,1,1,2,1,1); Industry data (French tender)</v>
      </c>
      <c r="X23" s="435">
        <f t="shared" si="13"/>
        <v>6.2773269111083898E-5</v>
      </c>
      <c r="Y23" s="95">
        <v>1</v>
      </c>
      <c r="Z23" s="96">
        <f t="shared" si="6"/>
        <v>1.0722009304576894</v>
      </c>
      <c r="AA23" s="432" t="str">
        <f t="shared" si="7"/>
        <v>(2,1,1,2,1,1); Industry data (French tender)</v>
      </c>
      <c r="AB23" s="112"/>
      <c r="AC23" s="77" t="s">
        <v>462</v>
      </c>
      <c r="AD23" s="339">
        <v>2</v>
      </c>
      <c r="AE23" s="339">
        <v>1</v>
      </c>
      <c r="AF23" s="339">
        <v>1</v>
      </c>
      <c r="AG23" s="339">
        <v>2</v>
      </c>
      <c r="AH23" s="339">
        <v>1</v>
      </c>
      <c r="AI23" s="339">
        <v>1</v>
      </c>
      <c r="AJ23" s="104">
        <v>3</v>
      </c>
      <c r="AK23" s="104">
        <v>1.05</v>
      </c>
      <c r="AL23" s="107">
        <f t="shared" si="8"/>
        <v>1.0510550504206344</v>
      </c>
      <c r="AM23" s="107">
        <f t="shared" si="9"/>
        <v>1.0722009304576894</v>
      </c>
      <c r="AN23" s="107" t="str">
        <f t="shared" si="10"/>
        <v>(2,1,1,2,1,1)</v>
      </c>
      <c r="AO23" s="108">
        <v>1.05</v>
      </c>
      <c r="AP23" s="108">
        <v>1</v>
      </c>
      <c r="AQ23" s="108">
        <v>1</v>
      </c>
      <c r="AR23" s="108">
        <v>1.01</v>
      </c>
      <c r="AS23" s="108">
        <v>1</v>
      </c>
      <c r="AT23" s="108">
        <v>1</v>
      </c>
    </row>
    <row r="24" spans="1:46" s="277" customFormat="1" ht="12">
      <c r="A24" s="330">
        <v>264183</v>
      </c>
      <c r="B24" s="331"/>
      <c r="C24" s="88"/>
      <c r="D24" s="340">
        <v>5</v>
      </c>
      <c r="E24" s="293" t="s">
        <v>98</v>
      </c>
      <c r="F24" s="432" t="s">
        <v>387</v>
      </c>
      <c r="G24" s="433" t="s">
        <v>93</v>
      </c>
      <c r="H24" s="434" t="s">
        <v>98</v>
      </c>
      <c r="I24" s="434" t="s">
        <v>98</v>
      </c>
      <c r="J24" s="94">
        <v>0</v>
      </c>
      <c r="K24" s="433" t="s">
        <v>96</v>
      </c>
      <c r="L24" s="435">
        <v>0</v>
      </c>
      <c r="M24" s="95">
        <v>1</v>
      </c>
      <c r="N24" s="96">
        <f t="shared" si="0"/>
        <v>1.0722009304576894</v>
      </c>
      <c r="O24" s="432" t="str">
        <f t="shared" si="1"/>
        <v>(2,1,1,2,1,1); Industry data (French tender)</v>
      </c>
      <c r="P24" s="435">
        <f t="shared" si="11"/>
        <v>0</v>
      </c>
      <c r="Q24" s="95">
        <v>1</v>
      </c>
      <c r="R24" s="96">
        <f t="shared" si="2"/>
        <v>1.0722009304576894</v>
      </c>
      <c r="S24" s="432" t="str">
        <f t="shared" si="3"/>
        <v>(2,1,1,2,1,1); Industry data (French tender)</v>
      </c>
      <c r="T24" s="435">
        <f t="shared" si="12"/>
        <v>0</v>
      </c>
      <c r="U24" s="95">
        <v>1</v>
      </c>
      <c r="V24" s="96">
        <f t="shared" si="4"/>
        <v>1.0722009304576894</v>
      </c>
      <c r="W24" s="432" t="str">
        <f t="shared" si="5"/>
        <v>(2,1,1,2,1,1); Industry data (French tender)</v>
      </c>
      <c r="X24" s="435">
        <f t="shared" si="13"/>
        <v>0</v>
      </c>
      <c r="Y24" s="95">
        <v>1</v>
      </c>
      <c r="Z24" s="96">
        <f t="shared" si="6"/>
        <v>1.0722009304576894</v>
      </c>
      <c r="AA24" s="432" t="str">
        <f t="shared" si="7"/>
        <v>(2,1,1,2,1,1); Industry data (French tender)</v>
      </c>
      <c r="AB24" s="112"/>
      <c r="AC24" s="77" t="s">
        <v>462</v>
      </c>
      <c r="AD24" s="339">
        <v>2</v>
      </c>
      <c r="AE24" s="339">
        <v>1</v>
      </c>
      <c r="AF24" s="339">
        <v>1</v>
      </c>
      <c r="AG24" s="339">
        <v>2</v>
      </c>
      <c r="AH24" s="339">
        <v>1</v>
      </c>
      <c r="AI24" s="339">
        <v>1</v>
      </c>
      <c r="AJ24" s="104">
        <v>3</v>
      </c>
      <c r="AK24" s="104">
        <v>1.05</v>
      </c>
      <c r="AL24" s="107">
        <f t="shared" si="8"/>
        <v>1.0510550504206344</v>
      </c>
      <c r="AM24" s="107">
        <f t="shared" si="9"/>
        <v>1.0722009304576894</v>
      </c>
      <c r="AN24" s="107" t="str">
        <f t="shared" si="10"/>
        <v>(2,1,1,2,1,1)</v>
      </c>
      <c r="AO24" s="108">
        <v>1.05</v>
      </c>
      <c r="AP24" s="108">
        <v>1</v>
      </c>
      <c r="AQ24" s="108">
        <v>1</v>
      </c>
      <c r="AR24" s="108">
        <v>1.01</v>
      </c>
      <c r="AS24" s="108">
        <v>1</v>
      </c>
      <c r="AT24" s="108">
        <v>1</v>
      </c>
    </row>
    <row r="25" spans="1:46" s="277" customFormat="1" ht="24">
      <c r="A25" s="330">
        <v>263267</v>
      </c>
      <c r="B25" s="331"/>
      <c r="C25" s="88"/>
      <c r="D25" s="340">
        <v>5</v>
      </c>
      <c r="E25" s="293" t="s">
        <v>98</v>
      </c>
      <c r="F25" s="432" t="s">
        <v>474</v>
      </c>
      <c r="G25" s="433" t="s">
        <v>93</v>
      </c>
      <c r="H25" s="434" t="s">
        <v>98</v>
      </c>
      <c r="I25" s="434" t="s">
        <v>98</v>
      </c>
      <c r="J25" s="94">
        <v>0</v>
      </c>
      <c r="K25" s="433" t="s">
        <v>96</v>
      </c>
      <c r="L25" s="435">
        <v>2.6365450079380399E-4</v>
      </c>
      <c r="M25" s="95">
        <v>1</v>
      </c>
      <c r="N25" s="96">
        <f t="shared" si="0"/>
        <v>1.0722009304576894</v>
      </c>
      <c r="O25" s="432" t="str">
        <f t="shared" si="1"/>
        <v>(2,1,1,2,1,1); Industry data (French tender)</v>
      </c>
      <c r="P25" s="435">
        <f t="shared" si="11"/>
        <v>2.6365450079380399E-4</v>
      </c>
      <c r="Q25" s="95">
        <v>1</v>
      </c>
      <c r="R25" s="96">
        <f t="shared" si="2"/>
        <v>1.0722009304576894</v>
      </c>
      <c r="S25" s="432" t="str">
        <f t="shared" si="3"/>
        <v>(2,1,1,2,1,1); Industry data (French tender)</v>
      </c>
      <c r="T25" s="435">
        <f t="shared" si="12"/>
        <v>2.6365450079380399E-4</v>
      </c>
      <c r="U25" s="95">
        <v>1</v>
      </c>
      <c r="V25" s="96">
        <f t="shared" si="4"/>
        <v>1.0722009304576894</v>
      </c>
      <c r="W25" s="432" t="str">
        <f t="shared" si="5"/>
        <v>(2,1,1,2,1,1); Industry data (French tender)</v>
      </c>
      <c r="X25" s="435">
        <f t="shared" si="13"/>
        <v>2.6365450079380399E-4</v>
      </c>
      <c r="Y25" s="95">
        <v>1</v>
      </c>
      <c r="Z25" s="96">
        <f t="shared" si="6"/>
        <v>1.0722009304576894</v>
      </c>
      <c r="AA25" s="432" t="str">
        <f t="shared" si="7"/>
        <v>(2,1,1,2,1,1); Industry data (French tender)</v>
      </c>
      <c r="AB25" s="112"/>
      <c r="AC25" s="77" t="s">
        <v>462</v>
      </c>
      <c r="AD25" s="339">
        <v>2</v>
      </c>
      <c r="AE25" s="339">
        <v>1</v>
      </c>
      <c r="AF25" s="339">
        <v>1</v>
      </c>
      <c r="AG25" s="339">
        <v>2</v>
      </c>
      <c r="AH25" s="339">
        <v>1</v>
      </c>
      <c r="AI25" s="339">
        <v>1</v>
      </c>
      <c r="AJ25" s="104">
        <v>3</v>
      </c>
      <c r="AK25" s="104">
        <v>1.05</v>
      </c>
      <c r="AL25" s="107">
        <f t="shared" si="8"/>
        <v>1.0510550504206344</v>
      </c>
      <c r="AM25" s="107">
        <f t="shared" si="9"/>
        <v>1.0722009304576894</v>
      </c>
      <c r="AN25" s="107" t="str">
        <f t="shared" si="10"/>
        <v>(2,1,1,2,1,1)</v>
      </c>
      <c r="AO25" s="108">
        <v>1.05</v>
      </c>
      <c r="AP25" s="108">
        <v>1</v>
      </c>
      <c r="AQ25" s="108">
        <v>1</v>
      </c>
      <c r="AR25" s="108">
        <v>1.01</v>
      </c>
      <c r="AS25" s="108">
        <v>1</v>
      </c>
      <c r="AT25" s="108">
        <v>1</v>
      </c>
    </row>
    <row r="26" spans="1:46" s="277" customFormat="1" ht="12">
      <c r="A26" s="330">
        <v>264673</v>
      </c>
      <c r="B26" s="331"/>
      <c r="C26" s="88"/>
      <c r="D26" s="340">
        <v>5</v>
      </c>
      <c r="E26" s="293" t="s">
        <v>98</v>
      </c>
      <c r="F26" s="432" t="s">
        <v>586</v>
      </c>
      <c r="G26" s="433" t="s">
        <v>93</v>
      </c>
      <c r="H26" s="434" t="s">
        <v>98</v>
      </c>
      <c r="I26" s="434" t="s">
        <v>98</v>
      </c>
      <c r="J26" s="94">
        <v>0</v>
      </c>
      <c r="K26" s="433" t="s">
        <v>96</v>
      </c>
      <c r="L26" s="435">
        <v>0</v>
      </c>
      <c r="M26" s="95">
        <v>1</v>
      </c>
      <c r="N26" s="96">
        <f t="shared" si="0"/>
        <v>1.0722009304576894</v>
      </c>
      <c r="O26" s="432" t="str">
        <f t="shared" si="1"/>
        <v>(2,1,1,2,1,1); Industry data (French tender)</v>
      </c>
      <c r="P26" s="435">
        <f t="shared" si="11"/>
        <v>0</v>
      </c>
      <c r="Q26" s="95">
        <v>1</v>
      </c>
      <c r="R26" s="96">
        <f t="shared" si="2"/>
        <v>1.0722009304576894</v>
      </c>
      <c r="S26" s="432" t="str">
        <f t="shared" si="3"/>
        <v>(2,1,1,2,1,1); Industry data (French tender)</v>
      </c>
      <c r="T26" s="435">
        <f t="shared" si="12"/>
        <v>0</v>
      </c>
      <c r="U26" s="95">
        <v>1</v>
      </c>
      <c r="V26" s="96">
        <f t="shared" si="4"/>
        <v>1.0722009304576894</v>
      </c>
      <c r="W26" s="432" t="str">
        <f t="shared" si="5"/>
        <v>(2,1,1,2,1,1); Industry data (French tender)</v>
      </c>
      <c r="X26" s="435">
        <f t="shared" si="13"/>
        <v>0</v>
      </c>
      <c r="Y26" s="95">
        <v>1</v>
      </c>
      <c r="Z26" s="96">
        <f t="shared" si="6"/>
        <v>1.0722009304576894</v>
      </c>
      <c r="AA26" s="432" t="str">
        <f t="shared" si="7"/>
        <v>(2,1,1,2,1,1); Industry data (French tender)</v>
      </c>
      <c r="AB26" s="112"/>
      <c r="AC26" s="77" t="s">
        <v>462</v>
      </c>
      <c r="AD26" s="339">
        <v>2</v>
      </c>
      <c r="AE26" s="339">
        <v>1</v>
      </c>
      <c r="AF26" s="339">
        <v>1</v>
      </c>
      <c r="AG26" s="339">
        <v>2</v>
      </c>
      <c r="AH26" s="339">
        <v>1</v>
      </c>
      <c r="AI26" s="339">
        <v>1</v>
      </c>
      <c r="AJ26" s="104">
        <v>3</v>
      </c>
      <c r="AK26" s="104">
        <v>1.05</v>
      </c>
      <c r="AL26" s="107">
        <f t="shared" si="8"/>
        <v>1.0510550504206344</v>
      </c>
      <c r="AM26" s="107">
        <f t="shared" si="9"/>
        <v>1.0722009304576894</v>
      </c>
      <c r="AN26" s="107" t="str">
        <f t="shared" si="10"/>
        <v>(2,1,1,2,1,1)</v>
      </c>
      <c r="AO26" s="108">
        <v>1.05</v>
      </c>
      <c r="AP26" s="108">
        <v>1</v>
      </c>
      <c r="AQ26" s="108">
        <v>1</v>
      </c>
      <c r="AR26" s="108">
        <v>1.01</v>
      </c>
      <c r="AS26" s="108">
        <v>1</v>
      </c>
      <c r="AT26" s="108">
        <v>1</v>
      </c>
    </row>
    <row r="27" spans="1:46" s="277" customFormat="1" ht="24">
      <c r="A27" s="330">
        <v>269327</v>
      </c>
      <c r="B27" s="331" t="s">
        <v>491</v>
      </c>
      <c r="C27" s="88"/>
      <c r="D27" s="340">
        <v>5</v>
      </c>
      <c r="E27" s="293" t="s">
        <v>98</v>
      </c>
      <c r="F27" s="432" t="s">
        <v>492</v>
      </c>
      <c r="G27" s="433" t="s">
        <v>93</v>
      </c>
      <c r="H27" s="434" t="s">
        <v>98</v>
      </c>
      <c r="I27" s="434" t="s">
        <v>98</v>
      </c>
      <c r="J27" s="94">
        <v>0</v>
      </c>
      <c r="K27" s="433" t="s">
        <v>96</v>
      </c>
      <c r="L27" s="435">
        <f>0.0030296689987933+0.0155650993457758</f>
        <v>1.85947683445691E-2</v>
      </c>
      <c r="M27" s="95">
        <v>1</v>
      </c>
      <c r="N27" s="96">
        <f t="shared" si="0"/>
        <v>1.0722009304576894</v>
      </c>
      <c r="O27" s="432" t="str">
        <f t="shared" si="1"/>
        <v>(2,1,1,2,1,1); Industry data (French tender), pallet + total plastic</v>
      </c>
      <c r="P27" s="435">
        <f t="shared" si="11"/>
        <v>1.85947683445691E-2</v>
      </c>
      <c r="Q27" s="95">
        <v>1</v>
      </c>
      <c r="R27" s="96">
        <f t="shared" si="2"/>
        <v>1.0722009304576894</v>
      </c>
      <c r="S27" s="432" t="str">
        <f t="shared" si="3"/>
        <v>(2,1,1,2,1,1); Industry data (French tender), pallet + total plastic</v>
      </c>
      <c r="T27" s="435">
        <f t="shared" si="12"/>
        <v>1.85947683445691E-2</v>
      </c>
      <c r="U27" s="95">
        <v>1</v>
      </c>
      <c r="V27" s="96">
        <f t="shared" si="4"/>
        <v>1.0722009304576894</v>
      </c>
      <c r="W27" s="432" t="str">
        <f t="shared" si="5"/>
        <v>(2,1,1,2,1,1); Industry data (French tender), pallet + total plastic</v>
      </c>
      <c r="X27" s="435">
        <f t="shared" si="13"/>
        <v>1.85947683445691E-2</v>
      </c>
      <c r="Y27" s="95">
        <v>1</v>
      </c>
      <c r="Z27" s="96">
        <f t="shared" si="6"/>
        <v>1.0722009304576894</v>
      </c>
      <c r="AA27" s="432" t="str">
        <f t="shared" si="7"/>
        <v>(2,1,1,2,1,1); Industry data (French tender), pallet + total plastic</v>
      </c>
      <c r="AB27" s="112"/>
      <c r="AC27" s="111" t="s">
        <v>637</v>
      </c>
      <c r="AD27" s="339">
        <v>2</v>
      </c>
      <c r="AE27" s="339">
        <v>1</v>
      </c>
      <c r="AF27" s="339">
        <v>1</v>
      </c>
      <c r="AG27" s="339">
        <v>2</v>
      </c>
      <c r="AH27" s="339">
        <v>1</v>
      </c>
      <c r="AI27" s="339">
        <v>1</v>
      </c>
      <c r="AJ27" s="104">
        <v>3</v>
      </c>
      <c r="AK27" s="104">
        <v>1.05</v>
      </c>
      <c r="AL27" s="107">
        <f t="shared" si="8"/>
        <v>1.0510550504206344</v>
      </c>
      <c r="AM27" s="107">
        <f t="shared" si="9"/>
        <v>1.0722009304576894</v>
      </c>
      <c r="AN27" s="107" t="str">
        <f t="shared" si="10"/>
        <v>(2,1,1,2,1,1)</v>
      </c>
      <c r="AO27" s="108">
        <v>1.05</v>
      </c>
      <c r="AP27" s="108">
        <v>1</v>
      </c>
      <c r="AQ27" s="108">
        <v>1</v>
      </c>
      <c r="AR27" s="108">
        <v>1.01</v>
      </c>
      <c r="AS27" s="108">
        <v>1</v>
      </c>
      <c r="AT27" s="108">
        <v>1</v>
      </c>
    </row>
    <row r="28" spans="1:46" s="277" customFormat="1" ht="24">
      <c r="A28" s="330">
        <v>269335</v>
      </c>
      <c r="B28" s="331"/>
      <c r="C28" s="88"/>
      <c r="D28" s="340">
        <v>5</v>
      </c>
      <c r="E28" s="293" t="s">
        <v>98</v>
      </c>
      <c r="F28" s="432" t="s">
        <v>493</v>
      </c>
      <c r="G28" s="433" t="s">
        <v>93</v>
      </c>
      <c r="H28" s="434" t="s">
        <v>98</v>
      </c>
      <c r="I28" s="434" t="s">
        <v>98</v>
      </c>
      <c r="J28" s="94">
        <v>0</v>
      </c>
      <c r="K28" s="433" t="s">
        <v>144</v>
      </c>
      <c r="L28" s="435">
        <f>0.00344012556367796/25</f>
        <v>1.376050225471184E-4</v>
      </c>
      <c r="M28" s="95">
        <v>1</v>
      </c>
      <c r="N28" s="96">
        <f t="shared" si="0"/>
        <v>1.0722009304576894</v>
      </c>
      <c r="O28" s="432" t="str">
        <f t="shared" si="1"/>
        <v>(2,1,1,2,1,1); Industry data (French tender), converted to p (1p = 25kg)</v>
      </c>
      <c r="P28" s="435">
        <f t="shared" si="11"/>
        <v>1.376050225471184E-4</v>
      </c>
      <c r="Q28" s="95">
        <v>1</v>
      </c>
      <c r="R28" s="96">
        <f t="shared" si="2"/>
        <v>1.0722009304576894</v>
      </c>
      <c r="S28" s="432" t="str">
        <f t="shared" si="3"/>
        <v>(2,1,1,2,1,1); Industry data (French tender), converted to p (1p = 25kg)</v>
      </c>
      <c r="T28" s="435">
        <f t="shared" si="12"/>
        <v>1.376050225471184E-4</v>
      </c>
      <c r="U28" s="95">
        <v>1</v>
      </c>
      <c r="V28" s="96">
        <f t="shared" si="4"/>
        <v>1.0722009304576894</v>
      </c>
      <c r="W28" s="432" t="str">
        <f t="shared" si="5"/>
        <v>(2,1,1,2,1,1); Industry data (French tender), converted to p (1p = 25kg)</v>
      </c>
      <c r="X28" s="435">
        <f t="shared" si="13"/>
        <v>1.376050225471184E-4</v>
      </c>
      <c r="Y28" s="95">
        <v>1</v>
      </c>
      <c r="Z28" s="96">
        <f t="shared" si="6"/>
        <v>1.0722009304576894</v>
      </c>
      <c r="AA28" s="432" t="str">
        <f t="shared" si="7"/>
        <v>(2,1,1,2,1,1); Industry data (French tender), converted to p (1p = 25kg)</v>
      </c>
      <c r="AB28" s="112"/>
      <c r="AC28" s="111" t="s">
        <v>494</v>
      </c>
      <c r="AD28" s="339">
        <v>2</v>
      </c>
      <c r="AE28" s="339">
        <v>1</v>
      </c>
      <c r="AF28" s="339">
        <v>1</v>
      </c>
      <c r="AG28" s="339">
        <v>2</v>
      </c>
      <c r="AH28" s="339">
        <v>1</v>
      </c>
      <c r="AI28" s="339">
        <v>1</v>
      </c>
      <c r="AJ28" s="104">
        <v>3</v>
      </c>
      <c r="AK28" s="104">
        <v>1.05</v>
      </c>
      <c r="AL28" s="107">
        <f t="shared" si="8"/>
        <v>1.0510550504206344</v>
      </c>
      <c r="AM28" s="107">
        <f t="shared" si="9"/>
        <v>1.0722009304576894</v>
      </c>
      <c r="AN28" s="107" t="str">
        <f t="shared" si="10"/>
        <v>(2,1,1,2,1,1)</v>
      </c>
      <c r="AO28" s="108">
        <v>1.05</v>
      </c>
      <c r="AP28" s="108">
        <v>1</v>
      </c>
      <c r="AQ28" s="108">
        <v>1</v>
      </c>
      <c r="AR28" s="108">
        <v>1.01</v>
      </c>
      <c r="AS28" s="108">
        <v>1</v>
      </c>
      <c r="AT28" s="108">
        <v>1</v>
      </c>
    </row>
    <row r="29" spans="1:46" s="277" customFormat="1" ht="24">
      <c r="A29" s="330">
        <v>260534</v>
      </c>
      <c r="B29" s="331"/>
      <c r="C29" s="88"/>
      <c r="D29" s="340">
        <v>5</v>
      </c>
      <c r="E29" s="293" t="s">
        <v>98</v>
      </c>
      <c r="F29" s="432" t="s">
        <v>495</v>
      </c>
      <c r="G29" s="433" t="s">
        <v>93</v>
      </c>
      <c r="H29" s="434" t="s">
        <v>98</v>
      </c>
      <c r="I29" s="434" t="s">
        <v>98</v>
      </c>
      <c r="J29" s="94">
        <v>0</v>
      </c>
      <c r="K29" s="433" t="s">
        <v>96</v>
      </c>
      <c r="L29" s="435">
        <v>6.5926756194112802E-3</v>
      </c>
      <c r="M29" s="95">
        <v>1</v>
      </c>
      <c r="N29" s="96">
        <f t="shared" si="0"/>
        <v>1.0722009304576894</v>
      </c>
      <c r="O29" s="432" t="str">
        <f t="shared" si="1"/>
        <v>(2,1,1,2,1,1); Industry data (French tender)</v>
      </c>
      <c r="P29" s="435">
        <f t="shared" si="11"/>
        <v>6.5926756194112802E-3</v>
      </c>
      <c r="Q29" s="95">
        <v>1</v>
      </c>
      <c r="R29" s="96">
        <f t="shared" si="2"/>
        <v>1.0722009304576894</v>
      </c>
      <c r="S29" s="432" t="str">
        <f t="shared" si="3"/>
        <v>(2,1,1,2,1,1); Industry data (French tender)</v>
      </c>
      <c r="T29" s="435">
        <f t="shared" si="12"/>
        <v>6.5926756194112802E-3</v>
      </c>
      <c r="U29" s="95">
        <v>1</v>
      </c>
      <c r="V29" s="96">
        <f t="shared" si="4"/>
        <v>1.0722009304576894</v>
      </c>
      <c r="W29" s="432" t="str">
        <f t="shared" si="5"/>
        <v>(2,1,1,2,1,1); Industry data (French tender)</v>
      </c>
      <c r="X29" s="435">
        <f t="shared" si="13"/>
        <v>6.5926756194112802E-3</v>
      </c>
      <c r="Y29" s="95">
        <v>1</v>
      </c>
      <c r="Z29" s="96">
        <f t="shared" si="6"/>
        <v>1.0722009304576894</v>
      </c>
      <c r="AA29" s="432" t="str">
        <f t="shared" si="7"/>
        <v>(2,1,1,2,1,1); Industry data (French tender)</v>
      </c>
      <c r="AB29" s="112"/>
      <c r="AC29" s="111" t="s">
        <v>462</v>
      </c>
      <c r="AD29" s="339">
        <v>2</v>
      </c>
      <c r="AE29" s="339">
        <v>1</v>
      </c>
      <c r="AF29" s="339">
        <v>1</v>
      </c>
      <c r="AG29" s="339">
        <v>2</v>
      </c>
      <c r="AH29" s="339">
        <v>1</v>
      </c>
      <c r="AI29" s="339">
        <v>1</v>
      </c>
      <c r="AJ29" s="104">
        <v>3</v>
      </c>
      <c r="AK29" s="104">
        <v>1.05</v>
      </c>
      <c r="AL29" s="107">
        <f t="shared" si="8"/>
        <v>1.0510550504206344</v>
      </c>
      <c r="AM29" s="107">
        <f t="shared" si="9"/>
        <v>1.0722009304576894</v>
      </c>
      <c r="AN29" s="107" t="str">
        <f t="shared" si="10"/>
        <v>(2,1,1,2,1,1)</v>
      </c>
      <c r="AO29" s="108">
        <v>1.05</v>
      </c>
      <c r="AP29" s="108">
        <v>1</v>
      </c>
      <c r="AQ29" s="108">
        <v>1</v>
      </c>
      <c r="AR29" s="108">
        <v>1.01</v>
      </c>
      <c r="AS29" s="108">
        <v>1</v>
      </c>
      <c r="AT29" s="108">
        <v>1</v>
      </c>
    </row>
    <row r="30" spans="1:46" s="277" customFormat="1" ht="36">
      <c r="A30" s="330">
        <v>269603</v>
      </c>
      <c r="B30" s="331" t="s">
        <v>587</v>
      </c>
      <c r="C30" s="88"/>
      <c r="D30" s="340">
        <v>5</v>
      </c>
      <c r="E30" s="293" t="s">
        <v>98</v>
      </c>
      <c r="F30" s="432" t="s">
        <v>222</v>
      </c>
      <c r="G30" s="433" t="s">
        <v>223</v>
      </c>
      <c r="H30" s="434" t="s">
        <v>98</v>
      </c>
      <c r="I30" s="434" t="s">
        <v>98</v>
      </c>
      <c r="J30" s="94">
        <v>0</v>
      </c>
      <c r="K30" s="433" t="s">
        <v>109</v>
      </c>
      <c r="L30" s="435">
        <f>0.549267503979893+0.0169439220554067</f>
        <v>0.56621142603529973</v>
      </c>
      <c r="M30" s="95">
        <v>1</v>
      </c>
      <c r="N30" s="96">
        <f t="shared" si="0"/>
        <v>1.0722009304576894</v>
      </c>
      <c r="O30" s="432" t="str">
        <f t="shared" si="1"/>
        <v>(2,1,1,2,1,1); Industry data (French tender), ENTSO-E iso CN, incl. electricity for diamond wiring</v>
      </c>
      <c r="P30" s="435">
        <v>0</v>
      </c>
      <c r="Q30" s="95">
        <v>1</v>
      </c>
      <c r="R30" s="96">
        <f t="shared" si="2"/>
        <v>1.0722009304576894</v>
      </c>
      <c r="S30" s="432" t="str">
        <f t="shared" si="3"/>
        <v>(2,1,1,2,1,1); Industry data (French tender), ENTSO-E iso CN, incl. electricity for diamond wiring</v>
      </c>
      <c r="T30" s="435">
        <f t="shared" si="12"/>
        <v>0</v>
      </c>
      <c r="U30" s="95">
        <v>1</v>
      </c>
      <c r="V30" s="96">
        <f t="shared" si="4"/>
        <v>1.0722009304576894</v>
      </c>
      <c r="W30" s="435" t="str">
        <f t="shared" si="5"/>
        <v>(2,1,1,2,1,1); Industry data (French tender), ENTSO-E iso CN, incl. electricity for diamond wiring</v>
      </c>
      <c r="X30" s="435">
        <f t="shared" si="13"/>
        <v>0</v>
      </c>
      <c r="Y30" s="95">
        <v>1</v>
      </c>
      <c r="Z30" s="96">
        <f t="shared" si="6"/>
        <v>1.0722009304576894</v>
      </c>
      <c r="AA30" s="432" t="str">
        <f t="shared" si="7"/>
        <v>(2,1,1,2,1,1); Industry data (French tender), ENTSO-E iso CN, incl. electricity for diamond wiring</v>
      </c>
      <c r="AB30" s="112"/>
      <c r="AC30" s="111" t="s">
        <v>638</v>
      </c>
      <c r="AD30" s="339">
        <v>2</v>
      </c>
      <c r="AE30" s="339">
        <v>1</v>
      </c>
      <c r="AF30" s="339">
        <v>1</v>
      </c>
      <c r="AG30" s="339">
        <v>2</v>
      </c>
      <c r="AH30" s="339">
        <v>1</v>
      </c>
      <c r="AI30" s="339">
        <v>1</v>
      </c>
      <c r="AJ30" s="104">
        <v>2</v>
      </c>
      <c r="AK30" s="104">
        <v>1.05</v>
      </c>
      <c r="AL30" s="107">
        <f t="shared" si="8"/>
        <v>1.0510550504206344</v>
      </c>
      <c r="AM30" s="107">
        <f t="shared" si="9"/>
        <v>1.0722009304576894</v>
      </c>
      <c r="AN30" s="107" t="str">
        <f t="shared" si="10"/>
        <v>(2,1,1,2,1,1)</v>
      </c>
      <c r="AO30" s="108">
        <v>1.05</v>
      </c>
      <c r="AP30" s="108">
        <v>1</v>
      </c>
      <c r="AQ30" s="108">
        <v>1</v>
      </c>
      <c r="AR30" s="108">
        <v>1.01</v>
      </c>
      <c r="AS30" s="108">
        <v>1</v>
      </c>
      <c r="AT30" s="108">
        <v>1</v>
      </c>
    </row>
    <row r="31" spans="1:46" s="277" customFormat="1" ht="24">
      <c r="A31" s="330">
        <v>267914</v>
      </c>
      <c r="B31" s="331"/>
      <c r="C31" s="88"/>
      <c r="D31" s="340">
        <v>5</v>
      </c>
      <c r="E31" s="293" t="s">
        <v>98</v>
      </c>
      <c r="F31" s="432" t="s">
        <v>380</v>
      </c>
      <c r="G31" s="433" t="s">
        <v>372</v>
      </c>
      <c r="H31" s="434" t="s">
        <v>98</v>
      </c>
      <c r="I31" s="434" t="s">
        <v>98</v>
      </c>
      <c r="J31" s="94">
        <v>0</v>
      </c>
      <c r="K31" s="433" t="s">
        <v>109</v>
      </c>
      <c r="L31" s="435">
        <v>0</v>
      </c>
      <c r="M31" s="95">
        <v>1</v>
      </c>
      <c r="N31" s="96">
        <f t="shared" si="0"/>
        <v>1.0722009304576894</v>
      </c>
      <c r="O31" s="432" t="str">
        <f t="shared" si="1"/>
        <v>(2,1,1,2,1,1); Industry data (French tender), incl. electricity for diamond wiring</v>
      </c>
      <c r="P31" s="435">
        <f>L30</f>
        <v>0.56621142603529973</v>
      </c>
      <c r="Q31" s="95">
        <v>1</v>
      </c>
      <c r="R31" s="96">
        <f t="shared" si="2"/>
        <v>1.0722009304576894</v>
      </c>
      <c r="S31" s="432" t="str">
        <f t="shared" si="3"/>
        <v>(2,1,1,2,1,1); Industry data (French tender), incl. electricity for diamond wiring</v>
      </c>
      <c r="T31" s="435">
        <v>0</v>
      </c>
      <c r="U31" s="95">
        <v>1</v>
      </c>
      <c r="V31" s="96">
        <f t="shared" si="4"/>
        <v>1.0722009304576894</v>
      </c>
      <c r="W31" s="435" t="str">
        <f t="shared" si="5"/>
        <v>(2,1,1,2,1,1); Industry data (French tender), incl. electricity for diamond wiring</v>
      </c>
      <c r="X31" s="435">
        <v>0</v>
      </c>
      <c r="Y31" s="95">
        <v>1</v>
      </c>
      <c r="Z31" s="96">
        <f t="shared" si="6"/>
        <v>1.0722009304576894</v>
      </c>
      <c r="AA31" s="432" t="str">
        <f t="shared" si="7"/>
        <v>(2,1,1,2,1,1); Industry data (French tender), incl. electricity for diamond wiring</v>
      </c>
      <c r="AB31" s="112"/>
      <c r="AC31" s="111" t="s">
        <v>639</v>
      </c>
      <c r="AD31" s="339">
        <v>2</v>
      </c>
      <c r="AE31" s="339">
        <v>1</v>
      </c>
      <c r="AF31" s="339">
        <v>1</v>
      </c>
      <c r="AG31" s="339">
        <v>2</v>
      </c>
      <c r="AH31" s="339">
        <v>1</v>
      </c>
      <c r="AI31" s="339">
        <v>1</v>
      </c>
      <c r="AJ31" s="104">
        <v>3</v>
      </c>
      <c r="AK31" s="104">
        <v>1.05</v>
      </c>
      <c r="AL31" s="107">
        <f t="shared" si="8"/>
        <v>1.0510550504206344</v>
      </c>
      <c r="AM31" s="107">
        <f t="shared" si="9"/>
        <v>1.0722009304576894</v>
      </c>
      <c r="AN31" s="107" t="str">
        <f t="shared" si="10"/>
        <v>(2,1,1,2,1,1)</v>
      </c>
      <c r="AO31" s="108">
        <v>1.05</v>
      </c>
      <c r="AP31" s="108">
        <v>1</v>
      </c>
      <c r="AQ31" s="108">
        <v>1</v>
      </c>
      <c r="AR31" s="108">
        <v>1.01</v>
      </c>
      <c r="AS31" s="108">
        <v>1</v>
      </c>
      <c r="AT31" s="108">
        <v>1</v>
      </c>
    </row>
    <row r="32" spans="1:46" s="277" customFormat="1" ht="24">
      <c r="A32" s="330">
        <v>19772</v>
      </c>
      <c r="B32" s="331"/>
      <c r="C32" s="88"/>
      <c r="D32" s="340">
        <v>5</v>
      </c>
      <c r="E32" s="293" t="s">
        <v>98</v>
      </c>
      <c r="F32" s="432" t="s">
        <v>225</v>
      </c>
      <c r="G32" s="433" t="s">
        <v>215</v>
      </c>
      <c r="H32" s="434" t="s">
        <v>98</v>
      </c>
      <c r="I32" s="434" t="s">
        <v>98</v>
      </c>
      <c r="J32" s="94">
        <v>0</v>
      </c>
      <c r="K32" s="433" t="s">
        <v>109</v>
      </c>
      <c r="L32" s="435">
        <v>0</v>
      </c>
      <c r="M32" s="95">
        <v>1</v>
      </c>
      <c r="N32" s="96">
        <f t="shared" si="0"/>
        <v>1.0722009304576894</v>
      </c>
      <c r="O32" s="432" t="str">
        <f t="shared" si="1"/>
        <v>(2,1,1,2,1,1); Industry data (French tender), US iso CN, incl. electricity for diamond wiring</v>
      </c>
      <c r="P32" s="435">
        <f>L31</f>
        <v>0</v>
      </c>
      <c r="Q32" s="95">
        <v>1</v>
      </c>
      <c r="R32" s="96">
        <f t="shared" si="2"/>
        <v>1.0722009304576894</v>
      </c>
      <c r="S32" s="432" t="str">
        <f t="shared" si="3"/>
        <v>(2,1,1,2,1,1); Industry data (French tender), US iso CN, incl. electricity for diamond wiring</v>
      </c>
      <c r="T32" s="435">
        <f>P31</f>
        <v>0.56621142603529973</v>
      </c>
      <c r="U32" s="95">
        <v>1</v>
      </c>
      <c r="V32" s="96">
        <f t="shared" si="4"/>
        <v>1.0722009304576894</v>
      </c>
      <c r="W32" s="435" t="str">
        <f t="shared" si="5"/>
        <v>(2,1,1,2,1,1); Industry data (French tender), US iso CN, incl. electricity for diamond wiring</v>
      </c>
      <c r="X32" s="435">
        <f>P32</f>
        <v>0</v>
      </c>
      <c r="Y32" s="95">
        <v>1</v>
      </c>
      <c r="Z32" s="96">
        <f t="shared" si="6"/>
        <v>1.0722009304576894</v>
      </c>
      <c r="AA32" s="432" t="str">
        <f t="shared" si="7"/>
        <v>(2,1,1,2,1,1); Industry data (French tender), US iso CN, incl. electricity for diamond wiring</v>
      </c>
      <c r="AB32" s="112"/>
      <c r="AC32" s="111" t="s">
        <v>640</v>
      </c>
      <c r="AD32" s="339">
        <v>2</v>
      </c>
      <c r="AE32" s="339">
        <v>1</v>
      </c>
      <c r="AF32" s="339">
        <v>1</v>
      </c>
      <c r="AG32" s="339">
        <v>2</v>
      </c>
      <c r="AH32" s="339">
        <v>1</v>
      </c>
      <c r="AI32" s="339">
        <v>1</v>
      </c>
      <c r="AJ32" s="104">
        <v>3</v>
      </c>
      <c r="AK32" s="104">
        <v>1.05</v>
      </c>
      <c r="AL32" s="107">
        <f t="shared" si="8"/>
        <v>1.0510550504206344</v>
      </c>
      <c r="AM32" s="107">
        <f t="shared" si="9"/>
        <v>1.0722009304576894</v>
      </c>
      <c r="AN32" s="107" t="str">
        <f t="shared" si="10"/>
        <v>(2,1,1,2,1,1)</v>
      </c>
      <c r="AO32" s="108">
        <v>1.05</v>
      </c>
      <c r="AP32" s="108">
        <v>1</v>
      </c>
      <c r="AQ32" s="108">
        <v>1</v>
      </c>
      <c r="AR32" s="108">
        <v>1.01</v>
      </c>
      <c r="AS32" s="108">
        <v>1</v>
      </c>
      <c r="AT32" s="108">
        <v>1</v>
      </c>
    </row>
    <row r="33" spans="1:46" s="277" customFormat="1" ht="24">
      <c r="A33" s="330">
        <v>259809</v>
      </c>
      <c r="B33" s="331"/>
      <c r="C33" s="88"/>
      <c r="D33" s="340">
        <v>5</v>
      </c>
      <c r="E33" s="293" t="s">
        <v>98</v>
      </c>
      <c r="F33" s="432" t="s">
        <v>381</v>
      </c>
      <c r="G33" s="433" t="s">
        <v>382</v>
      </c>
      <c r="H33" s="434" t="s">
        <v>98</v>
      </c>
      <c r="I33" s="434" t="s">
        <v>98</v>
      </c>
      <c r="J33" s="94">
        <v>0</v>
      </c>
      <c r="K33" s="433" t="s">
        <v>109</v>
      </c>
      <c r="L33" s="435">
        <v>0</v>
      </c>
      <c r="M33" s="95">
        <v>1</v>
      </c>
      <c r="N33" s="96">
        <f t="shared" si="0"/>
        <v>1.0722009304576894</v>
      </c>
      <c r="O33" s="432" t="str">
        <f t="shared" si="1"/>
        <v>(2,1,1,2,1,1); Industry data (French tender), KR iso CN, incl. electricity for diamond wiring</v>
      </c>
      <c r="P33" s="435">
        <f>L32</f>
        <v>0</v>
      </c>
      <c r="Q33" s="95">
        <v>1</v>
      </c>
      <c r="R33" s="96">
        <f t="shared" si="2"/>
        <v>1.0722009304576894</v>
      </c>
      <c r="S33" s="432" t="str">
        <f t="shared" si="3"/>
        <v>(2,1,1,2,1,1); Industry data (French tender), KR iso CN, incl. electricity for diamond wiring</v>
      </c>
      <c r="T33" s="435">
        <f>P33</f>
        <v>0</v>
      </c>
      <c r="U33" s="95">
        <v>1</v>
      </c>
      <c r="V33" s="96">
        <f t="shared" si="4"/>
        <v>1.0722009304576894</v>
      </c>
      <c r="W33" s="435" t="str">
        <f t="shared" si="5"/>
        <v>(2,1,1,2,1,1); Industry data (French tender), KR iso CN, incl. electricity for diamond wiring</v>
      </c>
      <c r="X33" s="435">
        <f>L30*$J$71</f>
        <v>8.8470535318015575E-2</v>
      </c>
      <c r="Y33" s="95">
        <v>1</v>
      </c>
      <c r="Z33" s="96">
        <f t="shared" si="6"/>
        <v>1.0722009304576894</v>
      </c>
      <c r="AA33" s="432" t="str">
        <f t="shared" si="7"/>
        <v>(2,1,1,2,1,1); Industry data (French tender), KR iso CN, incl. electricity for diamond wiring</v>
      </c>
      <c r="AB33" s="112"/>
      <c r="AC33" s="111" t="s">
        <v>641</v>
      </c>
      <c r="AD33" s="339">
        <v>2</v>
      </c>
      <c r="AE33" s="339">
        <v>1</v>
      </c>
      <c r="AF33" s="339">
        <v>1</v>
      </c>
      <c r="AG33" s="339">
        <v>2</v>
      </c>
      <c r="AH33" s="339">
        <v>1</v>
      </c>
      <c r="AI33" s="339">
        <v>1</v>
      </c>
      <c r="AJ33" s="104">
        <v>3</v>
      </c>
      <c r="AK33" s="104">
        <v>1.05</v>
      </c>
      <c r="AL33" s="107">
        <f t="shared" si="8"/>
        <v>1.0510550504206344</v>
      </c>
      <c r="AM33" s="107">
        <f t="shared" si="9"/>
        <v>1.0722009304576894</v>
      </c>
      <c r="AN33" s="107" t="str">
        <f t="shared" si="10"/>
        <v>(2,1,1,2,1,1)</v>
      </c>
      <c r="AO33" s="108">
        <v>1.05</v>
      </c>
      <c r="AP33" s="108">
        <v>1</v>
      </c>
      <c r="AQ33" s="108">
        <v>1</v>
      </c>
      <c r="AR33" s="108">
        <v>1.01</v>
      </c>
      <c r="AS33" s="108">
        <v>1</v>
      </c>
      <c r="AT33" s="108">
        <v>1</v>
      </c>
    </row>
    <row r="34" spans="1:46" s="277" customFormat="1" ht="24">
      <c r="A34" s="330">
        <v>266385</v>
      </c>
      <c r="B34" s="331"/>
      <c r="C34" s="88"/>
      <c r="D34" s="340">
        <v>5</v>
      </c>
      <c r="E34" s="293" t="s">
        <v>98</v>
      </c>
      <c r="F34" s="432" t="s">
        <v>642</v>
      </c>
      <c r="G34" s="433" t="s">
        <v>643</v>
      </c>
      <c r="H34" s="434" t="s">
        <v>98</v>
      </c>
      <c r="I34" s="434" t="s">
        <v>98</v>
      </c>
      <c r="J34" s="94">
        <v>0</v>
      </c>
      <c r="K34" s="433" t="s">
        <v>109</v>
      </c>
      <c r="L34" s="435">
        <v>0</v>
      </c>
      <c r="M34" s="95">
        <v>1</v>
      </c>
      <c r="N34" s="96">
        <f t="shared" si="0"/>
        <v>1.0722009304576894</v>
      </c>
      <c r="O34" s="432" t="str">
        <f t="shared" si="1"/>
        <v>(2,1,1,2,1,1); Industry data (French tender), TH iso RoW</v>
      </c>
      <c r="P34" s="435">
        <v>0</v>
      </c>
      <c r="Q34" s="95">
        <v>1</v>
      </c>
      <c r="R34" s="96">
        <f t="shared" si="2"/>
        <v>1.0722009304576894</v>
      </c>
      <c r="S34" s="432" t="str">
        <f t="shared" si="3"/>
        <v>(2,1,1,2,1,1); Industry data (French tender), TH iso RoW</v>
      </c>
      <c r="T34" s="435">
        <v>0</v>
      </c>
      <c r="U34" s="95">
        <v>1</v>
      </c>
      <c r="V34" s="96">
        <f t="shared" si="4"/>
        <v>1.0722009304576894</v>
      </c>
      <c r="W34" s="432" t="str">
        <f t="shared" si="5"/>
        <v>(2,1,1,2,1,1); Industry data (French tender), TH iso RoW</v>
      </c>
      <c r="X34" s="435">
        <f>L30*$J$72</f>
        <v>7.0776428254412466E-2</v>
      </c>
      <c r="Y34" s="95">
        <v>1</v>
      </c>
      <c r="Z34" s="96">
        <f t="shared" si="6"/>
        <v>1.0722009304576894</v>
      </c>
      <c r="AA34" s="432" t="str">
        <f t="shared" si="7"/>
        <v>(2,1,1,2,1,1); Industry data (French tender), TH iso RoW</v>
      </c>
      <c r="AB34" s="427"/>
      <c r="AC34" s="111" t="s">
        <v>644</v>
      </c>
      <c r="AD34" s="339">
        <v>2</v>
      </c>
      <c r="AE34" s="339">
        <v>1</v>
      </c>
      <c r="AF34" s="339">
        <v>1</v>
      </c>
      <c r="AG34" s="339">
        <v>2</v>
      </c>
      <c r="AH34" s="339">
        <v>1</v>
      </c>
      <c r="AI34" s="339">
        <v>1</v>
      </c>
      <c r="AJ34" s="104">
        <v>3</v>
      </c>
      <c r="AK34" s="104">
        <v>1.05</v>
      </c>
      <c r="AL34" s="107">
        <f t="shared" si="8"/>
        <v>1.0510550504206344</v>
      </c>
      <c r="AM34" s="107">
        <f t="shared" si="9"/>
        <v>1.0722009304576894</v>
      </c>
      <c r="AN34" s="107" t="str">
        <f t="shared" si="10"/>
        <v>(2,1,1,2,1,1)</v>
      </c>
      <c r="AO34" s="108">
        <v>1.05</v>
      </c>
      <c r="AP34" s="108">
        <v>1</v>
      </c>
      <c r="AQ34" s="108">
        <v>1</v>
      </c>
      <c r="AR34" s="108">
        <v>1.01</v>
      </c>
      <c r="AS34" s="108">
        <v>1</v>
      </c>
      <c r="AT34" s="108">
        <v>1</v>
      </c>
    </row>
    <row r="35" spans="1:46" s="277" customFormat="1" ht="24">
      <c r="A35" s="330" t="s">
        <v>645</v>
      </c>
      <c r="B35" s="331"/>
      <c r="C35" s="88"/>
      <c r="D35" s="340">
        <v>5</v>
      </c>
      <c r="E35" s="293" t="s">
        <v>98</v>
      </c>
      <c r="F35" s="432" t="s">
        <v>646</v>
      </c>
      <c r="G35" s="433" t="s">
        <v>647</v>
      </c>
      <c r="H35" s="434" t="s">
        <v>98</v>
      </c>
      <c r="I35" s="434" t="s">
        <v>98</v>
      </c>
      <c r="J35" s="94">
        <v>0</v>
      </c>
      <c r="K35" s="433" t="s">
        <v>109</v>
      </c>
      <c r="L35" s="435">
        <v>0</v>
      </c>
      <c r="M35" s="95">
        <v>1</v>
      </c>
      <c r="N35" s="96">
        <f t="shared" si="0"/>
        <v>1.0722009304576894</v>
      </c>
      <c r="O35" s="432" t="str">
        <f t="shared" si="1"/>
        <v>(2,1,1,2,1,1); Industry data (French tender), MY iso RoW</v>
      </c>
      <c r="P35" s="435">
        <v>0</v>
      </c>
      <c r="Q35" s="95">
        <v>1</v>
      </c>
      <c r="R35" s="96">
        <f t="shared" si="2"/>
        <v>1.0722009304576894</v>
      </c>
      <c r="S35" s="432" t="str">
        <f t="shared" si="3"/>
        <v>(2,1,1,2,1,1); Industry data (French tender), MY iso RoW</v>
      </c>
      <c r="T35" s="435">
        <v>0</v>
      </c>
      <c r="U35" s="95">
        <v>1</v>
      </c>
      <c r="V35" s="96">
        <f t="shared" si="4"/>
        <v>1.0722009304576894</v>
      </c>
      <c r="W35" s="432" t="str">
        <f t="shared" si="5"/>
        <v>(2,1,1,2,1,1); Industry data (French tender), MY iso RoW</v>
      </c>
      <c r="X35" s="435">
        <f>L30*$J$73</f>
        <v>0.40696446246287166</v>
      </c>
      <c r="Y35" s="95">
        <v>1</v>
      </c>
      <c r="Z35" s="96">
        <f t="shared" si="6"/>
        <v>1.0722009304576894</v>
      </c>
      <c r="AA35" s="432" t="str">
        <f t="shared" si="7"/>
        <v>(2,1,1,2,1,1); Industry data (French tender), MY iso RoW</v>
      </c>
      <c r="AB35" s="427"/>
      <c r="AC35" s="111" t="s">
        <v>648</v>
      </c>
      <c r="AD35" s="339">
        <v>2</v>
      </c>
      <c r="AE35" s="339">
        <v>1</v>
      </c>
      <c r="AF35" s="339">
        <v>1</v>
      </c>
      <c r="AG35" s="339">
        <v>2</v>
      </c>
      <c r="AH35" s="339">
        <v>1</v>
      </c>
      <c r="AI35" s="339">
        <v>1</v>
      </c>
      <c r="AJ35" s="104">
        <v>2</v>
      </c>
      <c r="AK35" s="104">
        <v>1.05</v>
      </c>
      <c r="AL35" s="107">
        <f t="shared" si="8"/>
        <v>1.0510550504206344</v>
      </c>
      <c r="AM35" s="107">
        <f t="shared" si="9"/>
        <v>1.0722009304576894</v>
      </c>
      <c r="AN35" s="107" t="str">
        <f t="shared" si="10"/>
        <v>(2,1,1,2,1,1)</v>
      </c>
      <c r="AO35" s="108">
        <v>1.05</v>
      </c>
      <c r="AP35" s="108">
        <v>1</v>
      </c>
      <c r="AQ35" s="108">
        <v>1</v>
      </c>
      <c r="AR35" s="108">
        <v>1.01</v>
      </c>
      <c r="AS35" s="108">
        <v>1</v>
      </c>
      <c r="AT35" s="108">
        <v>1</v>
      </c>
    </row>
    <row r="36" spans="1:46" s="277" customFormat="1" ht="24">
      <c r="A36" s="330">
        <v>265573</v>
      </c>
      <c r="B36" s="331" t="s">
        <v>291</v>
      </c>
      <c r="C36" s="88"/>
      <c r="D36" s="340">
        <v>5</v>
      </c>
      <c r="E36" s="293" t="s">
        <v>98</v>
      </c>
      <c r="F36" s="432" t="s">
        <v>487</v>
      </c>
      <c r="G36" s="433" t="s">
        <v>93</v>
      </c>
      <c r="H36" s="434" t="s">
        <v>98</v>
      </c>
      <c r="I36" s="434" t="s">
        <v>98</v>
      </c>
      <c r="J36" s="94">
        <v>0</v>
      </c>
      <c r="K36" s="433" t="s">
        <v>96</v>
      </c>
      <c r="L36" s="435">
        <v>5.41</v>
      </c>
      <c r="M36" s="95">
        <v>1</v>
      </c>
      <c r="N36" s="96">
        <f t="shared" si="0"/>
        <v>1.0722009304576894</v>
      </c>
      <c r="O36" s="432" t="str">
        <f t="shared" si="1"/>
        <v>(2,1,1,2,1,1); Industry data (French tender), RER iso RoW</v>
      </c>
      <c r="P36" s="435">
        <v>0</v>
      </c>
      <c r="Q36" s="95">
        <v>1</v>
      </c>
      <c r="R36" s="96">
        <f t="shared" si="2"/>
        <v>1.0722009304576894</v>
      </c>
      <c r="S36" s="432" t="str">
        <f t="shared" si="3"/>
        <v>(2,1,1,2,1,1); Industry data (French tender), RER iso RoW</v>
      </c>
      <c r="T36" s="435">
        <v>0</v>
      </c>
      <c r="U36" s="95">
        <v>1</v>
      </c>
      <c r="V36" s="96">
        <f t="shared" si="4"/>
        <v>1.0722009304576894</v>
      </c>
      <c r="W36" s="432" t="str">
        <f t="shared" si="5"/>
        <v>(2,1,1,2,1,1); Industry data (French tender), RER iso RoW</v>
      </c>
      <c r="X36" s="435">
        <v>0</v>
      </c>
      <c r="Y36" s="95">
        <v>1</v>
      </c>
      <c r="Z36" s="96">
        <f t="shared" si="6"/>
        <v>1.0722009304576894</v>
      </c>
      <c r="AA36" s="432" t="str">
        <f t="shared" si="7"/>
        <v>(2,1,1,2,1,1); Industry data (French tender), RER iso RoW</v>
      </c>
      <c r="AB36" s="427"/>
      <c r="AC36" s="111" t="s">
        <v>478</v>
      </c>
      <c r="AD36" s="339">
        <v>2</v>
      </c>
      <c r="AE36" s="339">
        <v>1</v>
      </c>
      <c r="AF36" s="339">
        <v>1</v>
      </c>
      <c r="AG36" s="339">
        <v>2</v>
      </c>
      <c r="AH36" s="339">
        <v>1</v>
      </c>
      <c r="AI36" s="339">
        <v>1</v>
      </c>
      <c r="AJ36" s="104">
        <v>3</v>
      </c>
      <c r="AK36" s="104">
        <v>1.05</v>
      </c>
      <c r="AL36" s="107">
        <f t="shared" si="8"/>
        <v>1.0510550504206344</v>
      </c>
      <c r="AM36" s="107">
        <f t="shared" si="9"/>
        <v>1.0722009304576894</v>
      </c>
      <c r="AN36" s="107" t="str">
        <f t="shared" si="10"/>
        <v>(2,1,1,2,1,1)</v>
      </c>
      <c r="AO36" s="108">
        <v>1.05</v>
      </c>
      <c r="AP36" s="108">
        <v>1</v>
      </c>
      <c r="AQ36" s="108">
        <v>1</v>
      </c>
      <c r="AR36" s="108">
        <v>1.01</v>
      </c>
      <c r="AS36" s="108">
        <v>1</v>
      </c>
      <c r="AT36" s="108">
        <v>1</v>
      </c>
    </row>
    <row r="37" spans="1:46" s="277" customFormat="1" ht="24">
      <c r="A37" s="330">
        <v>265763</v>
      </c>
      <c r="B37" s="331"/>
      <c r="C37" s="88"/>
      <c r="D37" s="340">
        <v>5</v>
      </c>
      <c r="E37" s="293" t="s">
        <v>98</v>
      </c>
      <c r="F37" s="432" t="s">
        <v>488</v>
      </c>
      <c r="G37" s="433" t="s">
        <v>372</v>
      </c>
      <c r="H37" s="434" t="s">
        <v>98</v>
      </c>
      <c r="I37" s="434" t="s">
        <v>98</v>
      </c>
      <c r="J37" s="94">
        <v>0</v>
      </c>
      <c r="K37" s="433" t="s">
        <v>96</v>
      </c>
      <c r="L37" s="435">
        <v>0</v>
      </c>
      <c r="M37" s="95">
        <v>1</v>
      </c>
      <c r="N37" s="96">
        <f t="shared" si="0"/>
        <v>1.0722009304576894</v>
      </c>
      <c r="O37" s="432" t="str">
        <f t="shared" si="1"/>
        <v>(2,1,1,2,1,1); Industry data (French tender), CN iso RoW</v>
      </c>
      <c r="P37" s="435">
        <f>L36</f>
        <v>5.41</v>
      </c>
      <c r="Q37" s="95">
        <v>1</v>
      </c>
      <c r="R37" s="96">
        <f t="shared" si="2"/>
        <v>1.0722009304576894</v>
      </c>
      <c r="S37" s="432" t="str">
        <f t="shared" si="3"/>
        <v>(2,1,1,2,1,1); Industry data (French tender), CN iso RoW</v>
      </c>
      <c r="T37" s="435">
        <v>0</v>
      </c>
      <c r="U37" s="95">
        <v>1</v>
      </c>
      <c r="V37" s="96">
        <f t="shared" si="4"/>
        <v>1.0722009304576894</v>
      </c>
      <c r="W37" s="432" t="str">
        <f t="shared" si="5"/>
        <v>(2,1,1,2,1,1); Industry data (French tender), CN iso RoW</v>
      </c>
      <c r="X37" s="435">
        <v>0</v>
      </c>
      <c r="Y37" s="95">
        <v>1</v>
      </c>
      <c r="Z37" s="96">
        <f t="shared" si="6"/>
        <v>1.0722009304576894</v>
      </c>
      <c r="AA37" s="432" t="str">
        <f t="shared" si="7"/>
        <v>(2,1,1,2,1,1); Industry data (French tender), CN iso RoW</v>
      </c>
      <c r="AB37" s="427"/>
      <c r="AC37" s="111" t="s">
        <v>481</v>
      </c>
      <c r="AD37" s="339">
        <v>2</v>
      </c>
      <c r="AE37" s="339">
        <v>1</v>
      </c>
      <c r="AF37" s="339">
        <v>1</v>
      </c>
      <c r="AG37" s="339">
        <v>2</v>
      </c>
      <c r="AH37" s="339">
        <v>1</v>
      </c>
      <c r="AI37" s="339">
        <v>1</v>
      </c>
      <c r="AJ37" s="104">
        <v>3</v>
      </c>
      <c r="AK37" s="104">
        <v>1.05</v>
      </c>
      <c r="AL37" s="107">
        <f t="shared" si="8"/>
        <v>1.0510550504206344</v>
      </c>
      <c r="AM37" s="107">
        <f t="shared" si="9"/>
        <v>1.0722009304576894</v>
      </c>
      <c r="AN37" s="107" t="str">
        <f t="shared" si="10"/>
        <v>(2,1,1,2,1,1)</v>
      </c>
      <c r="AO37" s="108">
        <v>1.05</v>
      </c>
      <c r="AP37" s="108">
        <v>1</v>
      </c>
      <c r="AQ37" s="108">
        <v>1</v>
      </c>
      <c r="AR37" s="108">
        <v>1.01</v>
      </c>
      <c r="AS37" s="108">
        <v>1</v>
      </c>
      <c r="AT37" s="108">
        <v>1</v>
      </c>
    </row>
    <row r="38" spans="1:46" s="277" customFormat="1" ht="24">
      <c r="A38" s="330">
        <v>265931</v>
      </c>
      <c r="B38" s="331"/>
      <c r="C38" s="88"/>
      <c r="D38" s="340">
        <v>5</v>
      </c>
      <c r="E38" s="293" t="s">
        <v>98</v>
      </c>
      <c r="F38" s="432" t="s">
        <v>489</v>
      </c>
      <c r="G38" s="433" t="s">
        <v>215</v>
      </c>
      <c r="H38" s="434" t="s">
        <v>98</v>
      </c>
      <c r="I38" s="434" t="s">
        <v>98</v>
      </c>
      <c r="J38" s="94">
        <v>0</v>
      </c>
      <c r="K38" s="433" t="s">
        <v>96</v>
      </c>
      <c r="L38" s="435">
        <v>0</v>
      </c>
      <c r="M38" s="95">
        <v>1</v>
      </c>
      <c r="N38" s="96">
        <f t="shared" si="0"/>
        <v>1.0722009304576894</v>
      </c>
      <c r="O38" s="432" t="str">
        <f t="shared" si="1"/>
        <v>(2,1,1,2,1,1); Industry data (French tender), US iso RoW</v>
      </c>
      <c r="P38" s="435">
        <v>0</v>
      </c>
      <c r="Q38" s="95">
        <v>1</v>
      </c>
      <c r="R38" s="96">
        <f t="shared" si="2"/>
        <v>1.0722009304576894</v>
      </c>
      <c r="S38" s="432" t="str">
        <f t="shared" si="3"/>
        <v>(2,1,1,2,1,1); Industry data (French tender), US iso RoW</v>
      </c>
      <c r="T38" s="435">
        <f>L36</f>
        <v>5.41</v>
      </c>
      <c r="U38" s="95">
        <v>1</v>
      </c>
      <c r="V38" s="96">
        <f t="shared" si="4"/>
        <v>1.0722009304576894</v>
      </c>
      <c r="W38" s="432" t="str">
        <f t="shared" si="5"/>
        <v>(2,1,1,2,1,1); Industry data (French tender), US iso RoW</v>
      </c>
      <c r="X38" s="435">
        <v>0</v>
      </c>
      <c r="Y38" s="95">
        <v>1</v>
      </c>
      <c r="Z38" s="96">
        <f t="shared" si="6"/>
        <v>1.0722009304576894</v>
      </c>
      <c r="AA38" s="432" t="str">
        <f t="shared" si="7"/>
        <v>(2,1,1,2,1,1); Industry data (French tender), US iso RoW</v>
      </c>
      <c r="AB38" s="427"/>
      <c r="AC38" s="111" t="s">
        <v>483</v>
      </c>
      <c r="AD38" s="339">
        <v>2</v>
      </c>
      <c r="AE38" s="339">
        <v>1</v>
      </c>
      <c r="AF38" s="339">
        <v>1</v>
      </c>
      <c r="AG38" s="339">
        <v>2</v>
      </c>
      <c r="AH38" s="339">
        <v>1</v>
      </c>
      <c r="AI38" s="339">
        <v>1</v>
      </c>
      <c r="AJ38" s="104">
        <v>3</v>
      </c>
      <c r="AK38" s="104">
        <v>1.05</v>
      </c>
      <c r="AL38" s="107">
        <f t="shared" si="8"/>
        <v>1.0510550504206344</v>
      </c>
      <c r="AM38" s="107">
        <f t="shared" si="9"/>
        <v>1.0722009304576894</v>
      </c>
      <c r="AN38" s="107" t="str">
        <f t="shared" si="10"/>
        <v>(2,1,1,2,1,1)</v>
      </c>
      <c r="AO38" s="108">
        <v>1.05</v>
      </c>
      <c r="AP38" s="108">
        <v>1</v>
      </c>
      <c r="AQ38" s="108">
        <v>1</v>
      </c>
      <c r="AR38" s="108">
        <v>1.01</v>
      </c>
      <c r="AS38" s="108">
        <v>1</v>
      </c>
      <c r="AT38" s="108">
        <v>1</v>
      </c>
    </row>
    <row r="39" spans="1:46" s="277" customFormat="1" ht="24">
      <c r="A39" s="330">
        <v>257458</v>
      </c>
      <c r="B39" s="331"/>
      <c r="C39" s="88"/>
      <c r="D39" s="340">
        <v>5</v>
      </c>
      <c r="E39" s="293" t="s">
        <v>98</v>
      </c>
      <c r="F39" s="432" t="s">
        <v>490</v>
      </c>
      <c r="G39" s="433" t="s">
        <v>382</v>
      </c>
      <c r="H39" s="434" t="s">
        <v>98</v>
      </c>
      <c r="I39" s="434" t="s">
        <v>98</v>
      </c>
      <c r="J39" s="94">
        <v>0</v>
      </c>
      <c r="K39" s="433" t="s">
        <v>96</v>
      </c>
      <c r="L39" s="435">
        <v>0</v>
      </c>
      <c r="M39" s="95">
        <v>1</v>
      </c>
      <c r="N39" s="96">
        <f t="shared" si="0"/>
        <v>1.0722009304576894</v>
      </c>
      <c r="O39" s="432" t="str">
        <f t="shared" si="1"/>
        <v>(2,1,1,2,1,1); Industry data (French tender), MY iso RoW</v>
      </c>
      <c r="P39" s="435">
        <v>0</v>
      </c>
      <c r="Q39" s="95">
        <v>1</v>
      </c>
      <c r="R39" s="96">
        <f t="shared" si="2"/>
        <v>1.0722009304576894</v>
      </c>
      <c r="S39" s="432" t="str">
        <f t="shared" si="3"/>
        <v>(2,1,1,2,1,1); Industry data (French tender), MY iso RoW</v>
      </c>
      <c r="T39" s="435">
        <v>0</v>
      </c>
      <c r="U39" s="95">
        <v>1</v>
      </c>
      <c r="V39" s="96">
        <f t="shared" si="4"/>
        <v>1.0722009304576894</v>
      </c>
      <c r="W39" s="432" t="str">
        <f t="shared" si="5"/>
        <v>(2,1,1,2,1,1); Industry data (French tender), MY iso RoW</v>
      </c>
      <c r="X39" s="435">
        <f>L36*$J$71</f>
        <v>0.84531250000000002</v>
      </c>
      <c r="Y39" s="95">
        <v>1</v>
      </c>
      <c r="Z39" s="96">
        <f t="shared" si="6"/>
        <v>1.0722009304576894</v>
      </c>
      <c r="AA39" s="432" t="str">
        <f t="shared" si="7"/>
        <v>(2,1,1,2,1,1); Industry data (French tender), MY iso RoW</v>
      </c>
      <c r="AB39" s="427"/>
      <c r="AC39" s="111" t="s">
        <v>648</v>
      </c>
      <c r="AD39" s="339">
        <v>2</v>
      </c>
      <c r="AE39" s="339">
        <v>1</v>
      </c>
      <c r="AF39" s="339">
        <v>1</v>
      </c>
      <c r="AG39" s="339">
        <v>2</v>
      </c>
      <c r="AH39" s="339">
        <v>1</v>
      </c>
      <c r="AI39" s="339">
        <v>1</v>
      </c>
      <c r="AJ39" s="104">
        <v>3</v>
      </c>
      <c r="AK39" s="104">
        <v>1.05</v>
      </c>
      <c r="AL39" s="107">
        <f t="shared" si="8"/>
        <v>1.0510550504206344</v>
      </c>
      <c r="AM39" s="107">
        <f t="shared" si="9"/>
        <v>1.0722009304576894</v>
      </c>
      <c r="AN39" s="107" t="str">
        <f t="shared" si="10"/>
        <v>(2,1,1,2,1,1)</v>
      </c>
      <c r="AO39" s="108">
        <v>1.05</v>
      </c>
      <c r="AP39" s="108">
        <v>1</v>
      </c>
      <c r="AQ39" s="108">
        <v>1</v>
      </c>
      <c r="AR39" s="108">
        <v>1.01</v>
      </c>
      <c r="AS39" s="108">
        <v>1</v>
      </c>
      <c r="AT39" s="108">
        <v>1</v>
      </c>
    </row>
    <row r="40" spans="1:46" s="277" customFormat="1" ht="24">
      <c r="A40" s="330">
        <v>255813</v>
      </c>
      <c r="B40" s="331"/>
      <c r="C40" s="88"/>
      <c r="D40" s="340">
        <v>5</v>
      </c>
      <c r="E40" s="293" t="s">
        <v>98</v>
      </c>
      <c r="F40" s="432" t="s">
        <v>649</v>
      </c>
      <c r="G40" s="433" t="s">
        <v>643</v>
      </c>
      <c r="H40" s="434" t="s">
        <v>98</v>
      </c>
      <c r="I40" s="434" t="s">
        <v>98</v>
      </c>
      <c r="J40" s="94">
        <v>0</v>
      </c>
      <c r="K40" s="433" t="s">
        <v>96</v>
      </c>
      <c r="L40" s="435">
        <v>0</v>
      </c>
      <c r="M40" s="95">
        <v>1</v>
      </c>
      <c r="N40" s="96">
        <f t="shared" si="0"/>
        <v>1.0722009304576894</v>
      </c>
      <c r="O40" s="432" t="str">
        <f t="shared" si="1"/>
        <v>(2,1,1,2,1,1); Industry data (French tender), TH iso RoW</v>
      </c>
      <c r="P40" s="435">
        <v>0</v>
      </c>
      <c r="Q40" s="95">
        <v>1</v>
      </c>
      <c r="R40" s="96">
        <f t="shared" si="2"/>
        <v>1.0722009304576894</v>
      </c>
      <c r="S40" s="432" t="str">
        <f t="shared" si="3"/>
        <v>(2,1,1,2,1,1); Industry data (French tender), TH iso RoW</v>
      </c>
      <c r="T40" s="435">
        <v>0</v>
      </c>
      <c r="U40" s="95">
        <v>1</v>
      </c>
      <c r="V40" s="96">
        <f t="shared" si="4"/>
        <v>1.0722009304576894</v>
      </c>
      <c r="W40" s="432" t="str">
        <f t="shared" si="5"/>
        <v>(2,1,1,2,1,1); Industry data (French tender), TH iso RoW</v>
      </c>
      <c r="X40" s="435">
        <f>L36*$J$72</f>
        <v>0.67625000000000002</v>
      </c>
      <c r="Y40" s="95">
        <v>1</v>
      </c>
      <c r="Z40" s="96">
        <f t="shared" si="6"/>
        <v>1.0722009304576894</v>
      </c>
      <c r="AA40" s="432" t="str">
        <f t="shared" si="7"/>
        <v>(2,1,1,2,1,1); Industry data (French tender), TH iso RoW</v>
      </c>
      <c r="AB40" s="427"/>
      <c r="AC40" s="111" t="s">
        <v>644</v>
      </c>
      <c r="AD40" s="339">
        <v>2</v>
      </c>
      <c r="AE40" s="339">
        <v>1</v>
      </c>
      <c r="AF40" s="339">
        <v>1</v>
      </c>
      <c r="AG40" s="339">
        <v>2</v>
      </c>
      <c r="AH40" s="339">
        <v>1</v>
      </c>
      <c r="AI40" s="339">
        <v>1</v>
      </c>
      <c r="AJ40" s="104">
        <v>3</v>
      </c>
      <c r="AK40" s="104">
        <v>1.05</v>
      </c>
      <c r="AL40" s="107">
        <f t="shared" si="8"/>
        <v>1.0510550504206344</v>
      </c>
      <c r="AM40" s="107">
        <f t="shared" si="9"/>
        <v>1.0722009304576894</v>
      </c>
      <c r="AN40" s="107" t="str">
        <f t="shared" si="10"/>
        <v>(2,1,1,2,1,1)</v>
      </c>
      <c r="AO40" s="108">
        <v>1.05</v>
      </c>
      <c r="AP40" s="108">
        <v>1</v>
      </c>
      <c r="AQ40" s="108">
        <v>1</v>
      </c>
      <c r="AR40" s="108">
        <v>1.01</v>
      </c>
      <c r="AS40" s="108">
        <v>1</v>
      </c>
      <c r="AT40" s="108">
        <v>1</v>
      </c>
    </row>
    <row r="41" spans="1:46" s="277" customFormat="1" ht="24">
      <c r="A41" s="330" t="s">
        <v>650</v>
      </c>
      <c r="B41" s="331"/>
      <c r="C41" s="88"/>
      <c r="D41" s="340">
        <v>5</v>
      </c>
      <c r="E41" s="293" t="s">
        <v>98</v>
      </c>
      <c r="F41" s="432" t="s">
        <v>651</v>
      </c>
      <c r="G41" s="433" t="s">
        <v>647</v>
      </c>
      <c r="H41" s="434" t="s">
        <v>98</v>
      </c>
      <c r="I41" s="434" t="s">
        <v>98</v>
      </c>
      <c r="J41" s="94">
        <v>0</v>
      </c>
      <c r="K41" s="433" t="s">
        <v>96</v>
      </c>
      <c r="L41" s="435">
        <v>0</v>
      </c>
      <c r="M41" s="95">
        <v>1</v>
      </c>
      <c r="N41" s="96">
        <f t="shared" si="0"/>
        <v>3.0033855645008969</v>
      </c>
      <c r="O41" s="432" t="str">
        <f t="shared" si="1"/>
        <v>(2,1,1,2,1,1); Industry data (French tender), VN iso RoW</v>
      </c>
      <c r="P41" s="435">
        <v>0</v>
      </c>
      <c r="Q41" s="95">
        <v>1</v>
      </c>
      <c r="R41" s="96">
        <f t="shared" si="2"/>
        <v>3.0033855645008969</v>
      </c>
      <c r="S41" s="432" t="str">
        <f t="shared" si="3"/>
        <v>(2,1,1,2,1,1); Industry data (French tender), VN iso RoW</v>
      </c>
      <c r="T41" s="435">
        <v>0</v>
      </c>
      <c r="U41" s="95">
        <v>1</v>
      </c>
      <c r="V41" s="96">
        <f t="shared" si="4"/>
        <v>3.0033855645008969</v>
      </c>
      <c r="W41" s="432" t="str">
        <f t="shared" si="5"/>
        <v>(2,1,1,2,1,1); Industry data (French tender), VN iso RoW</v>
      </c>
      <c r="X41" s="435">
        <f>L36*$J$73</f>
        <v>3.8884375000000002</v>
      </c>
      <c r="Y41" s="95">
        <v>1</v>
      </c>
      <c r="Z41" s="96">
        <f t="shared" si="6"/>
        <v>3.0033855645008969</v>
      </c>
      <c r="AA41" s="432" t="str">
        <f t="shared" si="7"/>
        <v>(2,1,1,2,1,1); Industry data (French tender), VN iso RoW</v>
      </c>
      <c r="AB41" s="427"/>
      <c r="AC41" s="111" t="s">
        <v>652</v>
      </c>
      <c r="AD41" s="339">
        <v>2</v>
      </c>
      <c r="AE41" s="339">
        <v>1</v>
      </c>
      <c r="AF41" s="339">
        <v>1</v>
      </c>
      <c r="AG41" s="339">
        <v>2</v>
      </c>
      <c r="AH41" s="339">
        <v>1</v>
      </c>
      <c r="AI41" s="339">
        <v>1</v>
      </c>
      <c r="AJ41" s="104">
        <v>9</v>
      </c>
      <c r="AK41" s="104">
        <v>3</v>
      </c>
      <c r="AL41" s="107">
        <f t="shared" si="8"/>
        <v>1.0510550504206344</v>
      </c>
      <c r="AM41" s="107">
        <f t="shared" si="9"/>
        <v>3.0033855645008969</v>
      </c>
      <c r="AN41" s="107" t="str">
        <f t="shared" si="10"/>
        <v>(2,1,1,2,1,1)</v>
      </c>
      <c r="AO41" s="108">
        <v>1.05</v>
      </c>
      <c r="AP41" s="108">
        <v>1</v>
      </c>
      <c r="AQ41" s="108">
        <v>1</v>
      </c>
      <c r="AR41" s="108">
        <v>1.01</v>
      </c>
      <c r="AS41" s="108">
        <v>1</v>
      </c>
      <c r="AT41" s="108">
        <v>1</v>
      </c>
    </row>
    <row r="42" spans="1:46" s="277" customFormat="1" ht="24">
      <c r="A42" s="330">
        <v>269641</v>
      </c>
      <c r="B42" s="331" t="s">
        <v>322</v>
      </c>
      <c r="C42" s="88"/>
      <c r="D42" s="340">
        <v>5</v>
      </c>
      <c r="E42" s="293" t="s">
        <v>98</v>
      </c>
      <c r="F42" s="432" t="s">
        <v>240</v>
      </c>
      <c r="G42" s="433" t="s">
        <v>93</v>
      </c>
      <c r="H42" s="434" t="s">
        <v>98</v>
      </c>
      <c r="I42" s="434" t="s">
        <v>98</v>
      </c>
      <c r="J42" s="94">
        <v>0</v>
      </c>
      <c r="K42" s="433" t="s">
        <v>115</v>
      </c>
      <c r="L42" s="435">
        <f>0.1*(SUM(L19:L21)+SUM(L15:L17)+L22/0.3+L23/0.5+SUM(L24:L27)+25*L28+L29)+0.5*SUM(L46:L48)</f>
        <v>5.3699570289766879E-2</v>
      </c>
      <c r="M42" s="95">
        <v>1</v>
      </c>
      <c r="N42" s="96">
        <f t="shared" si="0"/>
        <v>2.0949941301068096</v>
      </c>
      <c r="O42" s="432" t="str">
        <f t="shared" si="1"/>
        <v>(4,5,na,na,na,na); Transport distance: 100km; ingots: 0km; Disposal: 500km</v>
      </c>
      <c r="P42" s="435">
        <f t="shared" ref="P42:P51" si="14">L42</f>
        <v>5.3699570289766879E-2</v>
      </c>
      <c r="Q42" s="95">
        <v>1</v>
      </c>
      <c r="R42" s="96">
        <f t="shared" si="2"/>
        <v>2.0949941301068096</v>
      </c>
      <c r="S42" s="432" t="str">
        <f t="shared" si="3"/>
        <v>(4,5,na,na,na,na); Transport distance: 100km; ingots: 0km; Disposal: 500km</v>
      </c>
      <c r="T42" s="435">
        <f>P42</f>
        <v>5.3699570289766879E-2</v>
      </c>
      <c r="U42" s="95">
        <v>1</v>
      </c>
      <c r="V42" s="96">
        <f t="shared" si="4"/>
        <v>2.0949941301068096</v>
      </c>
      <c r="W42" s="432" t="str">
        <f t="shared" si="5"/>
        <v>(4,5,na,na,na,na); Transport distance: 100km; ingots: 0km; Disposal: 500km</v>
      </c>
      <c r="X42" s="435">
        <f>P42</f>
        <v>5.3699570289766879E-2</v>
      </c>
      <c r="Y42" s="95">
        <v>1</v>
      </c>
      <c r="Z42" s="96">
        <f t="shared" si="6"/>
        <v>2.0949941301068096</v>
      </c>
      <c r="AA42" s="432" t="str">
        <f t="shared" si="7"/>
        <v>(4,5,na,na,na,na); Transport distance: 100km; ingots: 0km; Disposal: 500km</v>
      </c>
      <c r="AB42" s="112"/>
      <c r="AC42" s="77" t="s">
        <v>653</v>
      </c>
      <c r="AD42" s="339">
        <v>4</v>
      </c>
      <c r="AE42" s="339">
        <v>5</v>
      </c>
      <c r="AF42" s="339" t="s">
        <v>106</v>
      </c>
      <c r="AG42" s="339" t="s">
        <v>106</v>
      </c>
      <c r="AH42" s="339" t="s">
        <v>106</v>
      </c>
      <c r="AI42" s="339" t="s">
        <v>106</v>
      </c>
      <c r="AJ42" s="104">
        <v>5</v>
      </c>
      <c r="AK42" s="104">
        <v>2</v>
      </c>
      <c r="AL42" s="107">
        <f t="shared" si="8"/>
        <v>1.2941338353151037</v>
      </c>
      <c r="AM42" s="107">
        <f t="shared" si="9"/>
        <v>2.0949941301068096</v>
      </c>
      <c r="AN42" s="107" t="str">
        <f t="shared" si="10"/>
        <v>(4,5,na,na,na,na)</v>
      </c>
      <c r="AO42" s="108">
        <v>1.2</v>
      </c>
      <c r="AP42" s="108">
        <v>1.2</v>
      </c>
      <c r="AQ42" s="108">
        <v>1</v>
      </c>
      <c r="AR42" s="108">
        <v>1</v>
      </c>
      <c r="AS42" s="108">
        <v>1</v>
      </c>
      <c r="AT42" s="108">
        <v>1</v>
      </c>
    </row>
    <row r="43" spans="1:46" s="277" customFormat="1" ht="24">
      <c r="A43" s="330">
        <v>160371</v>
      </c>
      <c r="B43" s="331"/>
      <c r="C43" s="88"/>
      <c r="D43" s="340">
        <v>5</v>
      </c>
      <c r="E43" s="293" t="s">
        <v>98</v>
      </c>
      <c r="F43" s="432" t="s">
        <v>242</v>
      </c>
      <c r="G43" s="433" t="s">
        <v>93</v>
      </c>
      <c r="H43" s="434" t="s">
        <v>98</v>
      </c>
      <c r="I43" s="434" t="s">
        <v>98</v>
      </c>
      <c r="J43" s="94">
        <v>0</v>
      </c>
      <c r="K43" s="433" t="s">
        <v>115</v>
      </c>
      <c r="L43" s="435">
        <f>0.6*((SUM(L19:L21)+SUM(L15:L17)+L22/0.3+L23/0.5+SUM(L24:L27)+25*L28+L29))</f>
        <v>2.0153394162327483E-2</v>
      </c>
      <c r="M43" s="95">
        <v>1</v>
      </c>
      <c r="N43" s="96">
        <f t="shared" si="0"/>
        <v>2.0949941301068096</v>
      </c>
      <c r="O43" s="432" t="str">
        <f t="shared" si="1"/>
        <v>(4,5,na,na,na,na); Transport distance chemicals: 600 km</v>
      </c>
      <c r="P43" s="435">
        <f t="shared" si="14"/>
        <v>2.0153394162327483E-2</v>
      </c>
      <c r="Q43" s="95">
        <v>1</v>
      </c>
      <c r="R43" s="96">
        <f t="shared" si="2"/>
        <v>2.0949941301068096</v>
      </c>
      <c r="S43" s="432" t="str">
        <f t="shared" si="3"/>
        <v>(4,5,na,na,na,na); Transport distance chemicals: 600 km</v>
      </c>
      <c r="T43" s="435">
        <f>P43</f>
        <v>2.0153394162327483E-2</v>
      </c>
      <c r="U43" s="95">
        <v>1</v>
      </c>
      <c r="V43" s="96">
        <f t="shared" si="4"/>
        <v>2.0949941301068096</v>
      </c>
      <c r="W43" s="432" t="str">
        <f t="shared" si="5"/>
        <v>(4,5,na,na,na,na); Transport distance chemicals: 600 km</v>
      </c>
      <c r="X43" s="435">
        <f>P43</f>
        <v>2.0153394162327483E-2</v>
      </c>
      <c r="Y43" s="95">
        <v>1</v>
      </c>
      <c r="Z43" s="96">
        <f t="shared" si="6"/>
        <v>2.0949941301068096</v>
      </c>
      <c r="AA43" s="432" t="str">
        <f t="shared" si="7"/>
        <v>(4,5,na,na,na,na); Transport distance chemicals: 600 km</v>
      </c>
      <c r="AB43" s="112"/>
      <c r="AC43" s="111" t="s">
        <v>499</v>
      </c>
      <c r="AD43" s="339">
        <v>4</v>
      </c>
      <c r="AE43" s="339">
        <v>5</v>
      </c>
      <c r="AF43" s="339" t="s">
        <v>106</v>
      </c>
      <c r="AG43" s="339" t="s">
        <v>106</v>
      </c>
      <c r="AH43" s="339" t="s">
        <v>106</v>
      </c>
      <c r="AI43" s="339" t="s">
        <v>106</v>
      </c>
      <c r="AJ43" s="104">
        <v>5</v>
      </c>
      <c r="AK43" s="104">
        <v>2</v>
      </c>
      <c r="AL43" s="107">
        <f t="shared" si="8"/>
        <v>1.2941338353151037</v>
      </c>
      <c r="AM43" s="107">
        <f t="shared" si="9"/>
        <v>2.0949941301068096</v>
      </c>
      <c r="AN43" s="107" t="str">
        <f t="shared" si="10"/>
        <v>(4,5,na,na,na,na)</v>
      </c>
      <c r="AO43" s="108">
        <v>1.2</v>
      </c>
      <c r="AP43" s="108">
        <v>1.2</v>
      </c>
      <c r="AQ43" s="108">
        <v>1</v>
      </c>
      <c r="AR43" s="108">
        <v>1</v>
      </c>
      <c r="AS43" s="108">
        <v>1</v>
      </c>
      <c r="AT43" s="108">
        <v>1</v>
      </c>
    </row>
    <row r="44" spans="1:46" s="277" customFormat="1" ht="36">
      <c r="A44" s="330" t="s">
        <v>591</v>
      </c>
      <c r="B44" s="331" t="s">
        <v>592</v>
      </c>
      <c r="C44" s="88"/>
      <c r="D44" s="340">
        <v>5</v>
      </c>
      <c r="E44" s="293" t="s">
        <v>98</v>
      </c>
      <c r="F44" s="432" t="s">
        <v>593</v>
      </c>
      <c r="G44" s="433" t="s">
        <v>340</v>
      </c>
      <c r="H44" s="434" t="s">
        <v>98</v>
      </c>
      <c r="I44" s="434" t="s">
        <v>98</v>
      </c>
      <c r="J44" s="94">
        <v>1</v>
      </c>
      <c r="K44" s="433" t="s">
        <v>144</v>
      </c>
      <c r="L44" s="435">
        <f>L65</f>
        <v>6.3105000225459504E-9</v>
      </c>
      <c r="M44" s="95">
        <v>1</v>
      </c>
      <c r="N44" s="96">
        <f t="shared" si="0"/>
        <v>3.0033855645008969</v>
      </c>
      <c r="O44" s="432" t="str">
        <f t="shared" si="1"/>
        <v>(2,1,1,2,1,1); Industry data (French tender), converted to silicon factory modelled by Brailovsky (2026)</v>
      </c>
      <c r="P44" s="435">
        <f t="shared" si="14"/>
        <v>6.3105000225459504E-9</v>
      </c>
      <c r="Q44" s="95">
        <v>1</v>
      </c>
      <c r="R44" s="96">
        <f t="shared" si="2"/>
        <v>3.0033855645008969</v>
      </c>
      <c r="S44" s="432" t="str">
        <f t="shared" si="3"/>
        <v>(2,1,1,2,1,1); Industry data (French tender), converted to silicon factory modelled by Brailovsky (2026)</v>
      </c>
      <c r="T44" s="435">
        <f>P44</f>
        <v>6.3105000225459504E-9</v>
      </c>
      <c r="U44" s="95">
        <v>1</v>
      </c>
      <c r="V44" s="96">
        <f t="shared" si="4"/>
        <v>3.0033855645008969</v>
      </c>
      <c r="W44" s="432" t="str">
        <f t="shared" si="5"/>
        <v>(2,1,1,2,1,1); Industry data (French tender), converted to silicon factory modelled by Brailovsky (2026)</v>
      </c>
      <c r="X44" s="435">
        <f>P44</f>
        <v>6.3105000225459504E-9</v>
      </c>
      <c r="Y44" s="95">
        <v>1</v>
      </c>
      <c r="Z44" s="96">
        <f t="shared" si="6"/>
        <v>3.0033855645008969</v>
      </c>
      <c r="AA44" s="432" t="str">
        <f t="shared" si="7"/>
        <v>(2,1,1,2,1,1); Industry data (French tender), converted to silicon factory modelled by Brailovsky (2026)</v>
      </c>
      <c r="AB44" s="112"/>
      <c r="AC44" s="111" t="s">
        <v>509</v>
      </c>
      <c r="AD44" s="339">
        <v>2</v>
      </c>
      <c r="AE44" s="339">
        <v>1</v>
      </c>
      <c r="AF44" s="339">
        <v>1</v>
      </c>
      <c r="AG44" s="339">
        <v>2</v>
      </c>
      <c r="AH44" s="339">
        <v>1</v>
      </c>
      <c r="AI44" s="339">
        <v>1</v>
      </c>
      <c r="AJ44" s="104">
        <v>9</v>
      </c>
      <c r="AK44" s="104">
        <v>3</v>
      </c>
      <c r="AL44" s="107">
        <f t="shared" si="8"/>
        <v>1.0510550504206344</v>
      </c>
      <c r="AM44" s="107">
        <f t="shared" si="9"/>
        <v>3.0033855645008969</v>
      </c>
      <c r="AN44" s="107" t="str">
        <f t="shared" si="10"/>
        <v>(2,1,1,2,1,1)</v>
      </c>
      <c r="AO44" s="108">
        <v>1.05</v>
      </c>
      <c r="AP44" s="108">
        <v>1</v>
      </c>
      <c r="AQ44" s="108">
        <v>1</v>
      </c>
      <c r="AR44" s="108">
        <v>1.01</v>
      </c>
      <c r="AS44" s="108">
        <v>1</v>
      </c>
      <c r="AT44" s="108">
        <v>1</v>
      </c>
    </row>
    <row r="45" spans="1:46" s="277" customFormat="1" ht="12">
      <c r="A45" s="330">
        <v>264499</v>
      </c>
      <c r="B45" s="331"/>
      <c r="C45" s="88"/>
      <c r="D45" s="340">
        <v>5</v>
      </c>
      <c r="E45" s="293" t="s">
        <v>98</v>
      </c>
      <c r="F45" s="432" t="s">
        <v>510</v>
      </c>
      <c r="G45" s="433" t="s">
        <v>93</v>
      </c>
      <c r="H45" s="434" t="s">
        <v>98</v>
      </c>
      <c r="I45" s="434" t="s">
        <v>98</v>
      </c>
      <c r="J45" s="94">
        <v>1</v>
      </c>
      <c r="K45" s="433" t="s">
        <v>96</v>
      </c>
      <c r="L45" s="435">
        <v>2.92701404280375E-6</v>
      </c>
      <c r="M45" s="95">
        <v>1</v>
      </c>
      <c r="N45" s="96">
        <f t="shared" si="0"/>
        <v>3.0033855645008969</v>
      </c>
      <c r="O45" s="432" t="str">
        <f t="shared" si="1"/>
        <v>(2,1,1,2,1,1); Industry data (French tender)</v>
      </c>
      <c r="P45" s="435">
        <f t="shared" si="14"/>
        <v>2.92701404280375E-6</v>
      </c>
      <c r="Q45" s="95">
        <v>1</v>
      </c>
      <c r="R45" s="96">
        <f t="shared" si="2"/>
        <v>3.0033855645008969</v>
      </c>
      <c r="S45" s="432" t="str">
        <f t="shared" si="3"/>
        <v>(2,1,1,2,1,1); Industry data (French tender)</v>
      </c>
      <c r="T45" s="435">
        <f>P45</f>
        <v>2.92701404280375E-6</v>
      </c>
      <c r="U45" s="95">
        <v>1</v>
      </c>
      <c r="V45" s="96">
        <f t="shared" si="4"/>
        <v>3.0033855645008969</v>
      </c>
      <c r="W45" s="432" t="str">
        <f t="shared" si="5"/>
        <v>(2,1,1,2,1,1); Industry data (French tender)</v>
      </c>
      <c r="X45" s="435">
        <f>P45</f>
        <v>2.92701404280375E-6</v>
      </c>
      <c r="Y45" s="95">
        <v>1</v>
      </c>
      <c r="Z45" s="96">
        <f t="shared" si="6"/>
        <v>3.0033855645008969</v>
      </c>
      <c r="AA45" s="432" t="str">
        <f t="shared" si="7"/>
        <v>(2,1,1,2,1,1); Industry data (French tender)</v>
      </c>
      <c r="AB45" s="112"/>
      <c r="AC45" s="77" t="s">
        <v>462</v>
      </c>
      <c r="AD45" s="339">
        <v>2</v>
      </c>
      <c r="AE45" s="339">
        <v>1</v>
      </c>
      <c r="AF45" s="339">
        <v>1</v>
      </c>
      <c r="AG45" s="339">
        <v>2</v>
      </c>
      <c r="AH45" s="339">
        <v>1</v>
      </c>
      <c r="AI45" s="339">
        <v>1</v>
      </c>
      <c r="AJ45" s="104">
        <v>9</v>
      </c>
      <c r="AK45" s="104">
        <v>3</v>
      </c>
      <c r="AL45" s="107">
        <f t="shared" si="8"/>
        <v>1.0510550504206344</v>
      </c>
      <c r="AM45" s="107">
        <f t="shared" si="9"/>
        <v>3.0033855645008969</v>
      </c>
      <c r="AN45" s="107" t="str">
        <f t="shared" si="10"/>
        <v>(2,1,1,2,1,1)</v>
      </c>
      <c r="AO45" s="108">
        <v>1.05</v>
      </c>
      <c r="AP45" s="108">
        <v>1</v>
      </c>
      <c r="AQ45" s="108">
        <v>1</v>
      </c>
      <c r="AR45" s="108">
        <v>1.01</v>
      </c>
      <c r="AS45" s="108">
        <v>1</v>
      </c>
      <c r="AT45" s="108">
        <v>1</v>
      </c>
    </row>
    <row r="46" spans="1:46" s="277" customFormat="1" ht="24">
      <c r="A46" s="330">
        <v>79239</v>
      </c>
      <c r="B46" s="331" t="s">
        <v>511</v>
      </c>
      <c r="C46" s="88"/>
      <c r="D46" s="340">
        <v>5</v>
      </c>
      <c r="E46" s="293" t="s">
        <v>98</v>
      </c>
      <c r="F46" s="432" t="s">
        <v>512</v>
      </c>
      <c r="G46" s="433" t="s">
        <v>103</v>
      </c>
      <c r="H46" s="434" t="s">
        <v>98</v>
      </c>
      <c r="I46" s="434" t="s">
        <v>98</v>
      </c>
      <c r="J46" s="94">
        <v>0</v>
      </c>
      <c r="K46" s="433" t="s">
        <v>96</v>
      </c>
      <c r="L46" s="435">
        <f>0.0267779967751561+0.00103</f>
        <v>2.7807996775156101E-2</v>
      </c>
      <c r="M46" s="95">
        <v>1</v>
      </c>
      <c r="N46" s="96">
        <f t="shared" si="0"/>
        <v>1.0722009304576894</v>
      </c>
      <c r="O46" s="432" t="str">
        <f t="shared" si="1"/>
        <v>(2,1,1,2,1,1); Industry data (French tender), incl. PAC</v>
      </c>
      <c r="P46" s="435">
        <f t="shared" si="14"/>
        <v>2.7807996775156101E-2</v>
      </c>
      <c r="Q46" s="95">
        <v>1</v>
      </c>
      <c r="R46" s="96">
        <f t="shared" si="2"/>
        <v>1.0722009304576894</v>
      </c>
      <c r="S46" s="432" t="str">
        <f t="shared" si="3"/>
        <v>(2,1,1,2,1,1); Industry data (French tender), incl. PAC</v>
      </c>
      <c r="T46" s="435">
        <f>L46</f>
        <v>2.7807996775156101E-2</v>
      </c>
      <c r="U46" s="95">
        <v>1</v>
      </c>
      <c r="V46" s="96">
        <f t="shared" si="4"/>
        <v>1.0722009304576894</v>
      </c>
      <c r="W46" s="432" t="str">
        <f t="shared" si="5"/>
        <v>(2,1,1,2,1,1); Industry data (French tender), incl. PAC</v>
      </c>
      <c r="X46" s="435">
        <f>L46</f>
        <v>2.7807996775156101E-2</v>
      </c>
      <c r="Y46" s="95">
        <v>1</v>
      </c>
      <c r="Z46" s="96">
        <f t="shared" si="6"/>
        <v>1.0722009304576894</v>
      </c>
      <c r="AA46" s="432" t="str">
        <f t="shared" si="7"/>
        <v>(2,1,1,2,1,1); Industry data (French tender), incl. PAC</v>
      </c>
      <c r="AB46" s="113"/>
      <c r="AC46" s="77" t="s">
        <v>513</v>
      </c>
      <c r="AD46" s="339">
        <v>2</v>
      </c>
      <c r="AE46" s="339">
        <v>1</v>
      </c>
      <c r="AF46" s="339">
        <v>1</v>
      </c>
      <c r="AG46" s="339">
        <v>2</v>
      </c>
      <c r="AH46" s="339">
        <v>1</v>
      </c>
      <c r="AI46" s="339">
        <v>1</v>
      </c>
      <c r="AJ46" s="104">
        <v>6</v>
      </c>
      <c r="AK46" s="104">
        <v>1.05</v>
      </c>
      <c r="AL46" s="107">
        <f t="shared" si="8"/>
        <v>1.0510550504206344</v>
      </c>
      <c r="AM46" s="107">
        <f t="shared" si="9"/>
        <v>1.0722009304576894</v>
      </c>
      <c r="AN46" s="107" t="str">
        <f t="shared" si="10"/>
        <v>(2,1,1,2,1,1)</v>
      </c>
      <c r="AO46" s="108">
        <v>1.05</v>
      </c>
      <c r="AP46" s="108">
        <v>1</v>
      </c>
      <c r="AQ46" s="108">
        <v>1</v>
      </c>
      <c r="AR46" s="108">
        <v>1.01</v>
      </c>
      <c r="AS46" s="108">
        <v>1</v>
      </c>
      <c r="AT46" s="108">
        <v>1</v>
      </c>
    </row>
    <row r="47" spans="1:46" ht="24">
      <c r="A47" s="330">
        <v>268853</v>
      </c>
      <c r="B47" s="331"/>
      <c r="C47" s="88"/>
      <c r="D47" s="340">
        <v>5</v>
      </c>
      <c r="E47" s="293" t="s">
        <v>98</v>
      </c>
      <c r="F47" s="432" t="s">
        <v>514</v>
      </c>
      <c r="G47" s="433" t="s">
        <v>103</v>
      </c>
      <c r="H47" s="434" t="s">
        <v>98</v>
      </c>
      <c r="I47" s="434" t="s">
        <v>98</v>
      </c>
      <c r="J47" s="94">
        <v>0</v>
      </c>
      <c r="K47" s="433" t="s">
        <v>96</v>
      </c>
      <c r="L47" s="435">
        <v>2.2092985042089699E-2</v>
      </c>
      <c r="M47" s="95">
        <v>1</v>
      </c>
      <c r="N47" s="96">
        <f t="shared" si="0"/>
        <v>1.0722009304576894</v>
      </c>
      <c r="O47" s="432" t="str">
        <f t="shared" si="1"/>
        <v>(2,1,1,2,1,1); Industry data (French tender)</v>
      </c>
      <c r="P47" s="435">
        <f t="shared" si="14"/>
        <v>2.2092985042089699E-2</v>
      </c>
      <c r="Q47" s="95">
        <v>1</v>
      </c>
      <c r="R47" s="96">
        <f t="shared" si="2"/>
        <v>1.0722009304576894</v>
      </c>
      <c r="S47" s="432" t="str">
        <f t="shared" si="3"/>
        <v>(2,1,1,2,1,1); Industry data (French tender)</v>
      </c>
      <c r="T47" s="435">
        <f>L47</f>
        <v>2.2092985042089699E-2</v>
      </c>
      <c r="U47" s="95">
        <v>1</v>
      </c>
      <c r="V47" s="96">
        <f t="shared" si="4"/>
        <v>1.0722009304576894</v>
      </c>
      <c r="W47" s="432" t="str">
        <f t="shared" si="5"/>
        <v>(2,1,1,2,1,1); Industry data (French tender)</v>
      </c>
      <c r="X47" s="435">
        <f>L47</f>
        <v>2.2092985042089699E-2</v>
      </c>
      <c r="Y47" s="95">
        <v>1</v>
      </c>
      <c r="Z47" s="96">
        <f t="shared" si="6"/>
        <v>1.0722009304576894</v>
      </c>
      <c r="AA47" s="432" t="str">
        <f t="shared" si="7"/>
        <v>(2,1,1,2,1,1); Industry data (French tender)</v>
      </c>
      <c r="AB47" s="113"/>
      <c r="AC47" s="77" t="s">
        <v>462</v>
      </c>
      <c r="AD47" s="339">
        <v>2</v>
      </c>
      <c r="AE47" s="339">
        <v>1</v>
      </c>
      <c r="AF47" s="339">
        <v>1</v>
      </c>
      <c r="AG47" s="339">
        <v>2</v>
      </c>
      <c r="AH47" s="339">
        <v>1</v>
      </c>
      <c r="AI47" s="339">
        <v>1</v>
      </c>
      <c r="AJ47" s="104">
        <v>6</v>
      </c>
      <c r="AK47" s="104">
        <v>1.05</v>
      </c>
      <c r="AL47" s="107">
        <f t="shared" si="8"/>
        <v>1.0510550504206344</v>
      </c>
      <c r="AM47" s="107">
        <f t="shared" si="9"/>
        <v>1.0722009304576894</v>
      </c>
      <c r="AN47" s="107" t="str">
        <f t="shared" si="10"/>
        <v>(2,1,1,2,1,1)</v>
      </c>
      <c r="AO47" s="108">
        <v>1.05</v>
      </c>
      <c r="AP47" s="108">
        <v>1</v>
      </c>
      <c r="AQ47" s="108">
        <v>1</v>
      </c>
      <c r="AR47" s="108">
        <v>1.01</v>
      </c>
      <c r="AS47" s="108">
        <v>1</v>
      </c>
      <c r="AT47" s="108">
        <v>1</v>
      </c>
    </row>
    <row r="48" spans="1:46" ht="24">
      <c r="A48" s="330">
        <v>262327</v>
      </c>
      <c r="B48" s="331"/>
      <c r="C48" s="88"/>
      <c r="D48" s="340">
        <v>5</v>
      </c>
      <c r="E48" s="293" t="s">
        <v>98</v>
      </c>
      <c r="F48" s="432" t="s">
        <v>654</v>
      </c>
      <c r="G48" s="433" t="s">
        <v>340</v>
      </c>
      <c r="H48" s="434" t="s">
        <v>98</v>
      </c>
      <c r="I48" s="434" t="s">
        <v>98</v>
      </c>
      <c r="J48" s="94">
        <v>0</v>
      </c>
      <c r="K48" s="433" t="s">
        <v>96</v>
      </c>
      <c r="L48" s="435">
        <v>5.0780360708178797E-2</v>
      </c>
      <c r="M48" s="95">
        <v>1</v>
      </c>
      <c r="N48" s="96">
        <f t="shared" si="0"/>
        <v>1.0722009304576894</v>
      </c>
      <c r="O48" s="432" t="str">
        <f t="shared" si="1"/>
        <v>(2,1,1,2,1,1); Industry data (French tender)</v>
      </c>
      <c r="P48" s="435">
        <f t="shared" si="14"/>
        <v>5.0780360708178797E-2</v>
      </c>
      <c r="Q48" s="95">
        <v>1</v>
      </c>
      <c r="R48" s="96">
        <f t="shared" si="2"/>
        <v>1.0722009304576894</v>
      </c>
      <c r="S48" s="432" t="str">
        <f t="shared" si="3"/>
        <v>(2,1,1,2,1,1); Industry data (French tender)</v>
      </c>
      <c r="T48" s="435">
        <f>L48</f>
        <v>5.0780360708178797E-2</v>
      </c>
      <c r="U48" s="95">
        <v>1</v>
      </c>
      <c r="V48" s="96">
        <f t="shared" si="4"/>
        <v>1.0722009304576894</v>
      </c>
      <c r="W48" s="432" t="str">
        <f t="shared" si="5"/>
        <v>(2,1,1,2,1,1); Industry data (French tender)</v>
      </c>
      <c r="X48" s="435">
        <f>L48</f>
        <v>5.0780360708178797E-2</v>
      </c>
      <c r="Y48" s="95">
        <v>1</v>
      </c>
      <c r="Z48" s="96">
        <f t="shared" si="6"/>
        <v>1.0722009304576894</v>
      </c>
      <c r="AA48" s="432" t="str">
        <f t="shared" si="7"/>
        <v>(2,1,1,2,1,1); Industry data (French tender)</v>
      </c>
      <c r="AB48" s="113"/>
      <c r="AC48" s="77" t="s">
        <v>462</v>
      </c>
      <c r="AD48" s="339">
        <v>2</v>
      </c>
      <c r="AE48" s="339">
        <v>1</v>
      </c>
      <c r="AF48" s="339">
        <v>1</v>
      </c>
      <c r="AG48" s="339">
        <v>2</v>
      </c>
      <c r="AH48" s="339">
        <v>1</v>
      </c>
      <c r="AI48" s="339">
        <v>1</v>
      </c>
      <c r="AJ48" s="104">
        <v>6</v>
      </c>
      <c r="AK48" s="104">
        <v>1.05</v>
      </c>
      <c r="AL48" s="107">
        <f t="shared" si="8"/>
        <v>1.0510550504206344</v>
      </c>
      <c r="AM48" s="107">
        <f t="shared" si="9"/>
        <v>1.0722009304576894</v>
      </c>
      <c r="AN48" s="107" t="str">
        <f t="shared" si="10"/>
        <v>(2,1,1,2,1,1)</v>
      </c>
      <c r="AO48" s="108">
        <v>1.05</v>
      </c>
      <c r="AP48" s="108">
        <v>1</v>
      </c>
      <c r="AQ48" s="108">
        <v>1</v>
      </c>
      <c r="AR48" s="108">
        <v>1.01</v>
      </c>
      <c r="AS48" s="108">
        <v>1</v>
      </c>
      <c r="AT48" s="108">
        <v>1</v>
      </c>
    </row>
    <row r="49" spans="1:46" ht="24">
      <c r="A49" s="330">
        <v>157753</v>
      </c>
      <c r="B49" s="331"/>
      <c r="C49" s="88"/>
      <c r="D49" s="340">
        <v>5</v>
      </c>
      <c r="E49" s="293" t="s">
        <v>98</v>
      </c>
      <c r="F49" s="432" t="s">
        <v>515</v>
      </c>
      <c r="G49" s="433" t="s">
        <v>103</v>
      </c>
      <c r="H49" s="434" t="s">
        <v>98</v>
      </c>
      <c r="I49" s="434" t="s">
        <v>98</v>
      </c>
      <c r="J49" s="94">
        <v>0</v>
      </c>
      <c r="K49" s="433" t="s">
        <v>96</v>
      </c>
      <c r="L49" s="435">
        <f>0.00198205819365774+0.000133</f>
        <v>2.11505819365774E-3</v>
      </c>
      <c r="M49" s="95">
        <v>1</v>
      </c>
      <c r="N49" s="96">
        <f t="shared" si="0"/>
        <v>1.0722009304576894</v>
      </c>
      <c r="O49" s="432" t="str">
        <f t="shared" si="1"/>
        <v>(2,1,1,2,1,1); Industry data (French tender), incl. PAM</v>
      </c>
      <c r="P49" s="435">
        <f t="shared" si="14"/>
        <v>2.11505819365774E-3</v>
      </c>
      <c r="Q49" s="95">
        <v>1</v>
      </c>
      <c r="R49" s="96">
        <f t="shared" si="2"/>
        <v>1.0722009304576894</v>
      </c>
      <c r="S49" s="432" t="str">
        <f t="shared" si="3"/>
        <v>(2,1,1,2,1,1); Industry data (French tender), incl. PAM</v>
      </c>
      <c r="T49" s="435">
        <f>L49</f>
        <v>2.11505819365774E-3</v>
      </c>
      <c r="U49" s="95">
        <v>1</v>
      </c>
      <c r="V49" s="96">
        <f t="shared" si="4"/>
        <v>1.0722009304576894</v>
      </c>
      <c r="W49" s="432" t="str">
        <f t="shared" si="5"/>
        <v>(2,1,1,2,1,1); Industry data (French tender), incl. PAM</v>
      </c>
      <c r="X49" s="435">
        <f>L49</f>
        <v>2.11505819365774E-3</v>
      </c>
      <c r="Y49" s="95">
        <v>1</v>
      </c>
      <c r="Z49" s="96">
        <f t="shared" si="6"/>
        <v>1.0722009304576894</v>
      </c>
      <c r="AA49" s="432" t="str">
        <f t="shared" si="7"/>
        <v>(2,1,1,2,1,1); Industry data (French tender), incl. PAM</v>
      </c>
      <c r="AB49" s="113"/>
      <c r="AC49" s="77" t="s">
        <v>516</v>
      </c>
      <c r="AD49" s="339">
        <v>2</v>
      </c>
      <c r="AE49" s="339">
        <v>1</v>
      </c>
      <c r="AF49" s="339">
        <v>1</v>
      </c>
      <c r="AG49" s="339">
        <v>2</v>
      </c>
      <c r="AH49" s="339">
        <v>1</v>
      </c>
      <c r="AI49" s="339">
        <v>1</v>
      </c>
      <c r="AJ49" s="104">
        <v>6</v>
      </c>
      <c r="AK49" s="104">
        <v>1.05</v>
      </c>
      <c r="AL49" s="107">
        <f t="shared" si="8"/>
        <v>1.0510550504206344</v>
      </c>
      <c r="AM49" s="107">
        <f t="shared" si="9"/>
        <v>1.0722009304576894</v>
      </c>
      <c r="AN49" s="107" t="str">
        <f t="shared" si="10"/>
        <v>(2,1,1,2,1,1)</v>
      </c>
      <c r="AO49" s="108">
        <v>1.05</v>
      </c>
      <c r="AP49" s="108">
        <v>1</v>
      </c>
      <c r="AQ49" s="108">
        <v>1</v>
      </c>
      <c r="AR49" s="108">
        <v>1.01</v>
      </c>
      <c r="AS49" s="108">
        <v>1</v>
      </c>
      <c r="AT49" s="108">
        <v>1</v>
      </c>
    </row>
    <row r="50" spans="1:46" ht="24">
      <c r="A50" s="330">
        <v>269385</v>
      </c>
      <c r="B50" s="331"/>
      <c r="C50" s="88"/>
      <c r="D50" s="340">
        <v>5</v>
      </c>
      <c r="E50" s="293" t="s">
        <v>98</v>
      </c>
      <c r="F50" s="432" t="s">
        <v>518</v>
      </c>
      <c r="G50" s="433" t="s">
        <v>103</v>
      </c>
      <c r="H50" s="434" t="s">
        <v>98</v>
      </c>
      <c r="I50" s="434" t="s">
        <v>98</v>
      </c>
      <c r="J50" s="94">
        <v>0</v>
      </c>
      <c r="K50" s="433" t="s">
        <v>119</v>
      </c>
      <c r="L50" s="435">
        <f>0.9*L36/1000</f>
        <v>4.8690000000000009E-3</v>
      </c>
      <c r="M50" s="95">
        <v>1</v>
      </c>
      <c r="N50" s="96">
        <f t="shared" si="0"/>
        <v>1.3965935359732646</v>
      </c>
      <c r="O50" s="432" t="str">
        <f t="shared" si="1"/>
        <v>(4,4,4,3,1,5); Calculated: 90% of tap water</v>
      </c>
      <c r="P50" s="435">
        <f t="shared" si="14"/>
        <v>4.8690000000000009E-3</v>
      </c>
      <c r="Q50" s="95">
        <v>1</v>
      </c>
      <c r="R50" s="96">
        <f t="shared" si="2"/>
        <v>1.3965935359732646</v>
      </c>
      <c r="S50" s="432" t="str">
        <f t="shared" si="3"/>
        <v>(4,4,4,3,1,5); Calculated: 90% of tap water</v>
      </c>
      <c r="T50" s="435">
        <f>L50</f>
        <v>4.8690000000000009E-3</v>
      </c>
      <c r="U50" s="95">
        <v>1</v>
      </c>
      <c r="V50" s="96">
        <f t="shared" si="4"/>
        <v>1.3965935359732646</v>
      </c>
      <c r="W50" s="432" t="str">
        <f t="shared" si="5"/>
        <v>(4,4,4,3,1,5); Calculated: 90% of tap water</v>
      </c>
      <c r="X50" s="435">
        <f>L50</f>
        <v>4.8690000000000009E-3</v>
      </c>
      <c r="Y50" s="95">
        <v>1</v>
      </c>
      <c r="Z50" s="96">
        <f t="shared" si="6"/>
        <v>1.3965935359732646</v>
      </c>
      <c r="AA50" s="432" t="str">
        <f t="shared" si="7"/>
        <v>(4,4,4,3,1,5); Calculated: 90% of tap water</v>
      </c>
      <c r="AB50" s="113"/>
      <c r="AC50" s="77" t="s">
        <v>655</v>
      </c>
      <c r="AD50" s="339">
        <v>4</v>
      </c>
      <c r="AE50" s="339">
        <v>4</v>
      </c>
      <c r="AF50" s="339">
        <v>4</v>
      </c>
      <c r="AG50" s="339">
        <v>3</v>
      </c>
      <c r="AH50" s="339">
        <v>1</v>
      </c>
      <c r="AI50" s="339">
        <v>5</v>
      </c>
      <c r="AJ50" s="104">
        <v>6</v>
      </c>
      <c r="AK50" s="104">
        <v>1.05</v>
      </c>
      <c r="AL50" s="107">
        <f t="shared" si="8"/>
        <v>1.3915993050235766</v>
      </c>
      <c r="AM50" s="107">
        <f t="shared" si="9"/>
        <v>1.3965935359732646</v>
      </c>
      <c r="AN50" s="107" t="str">
        <f t="shared" si="10"/>
        <v>(4,4,4,3,1,5)</v>
      </c>
      <c r="AO50" s="108">
        <v>1.2</v>
      </c>
      <c r="AP50" s="108">
        <v>1.1000000000000001</v>
      </c>
      <c r="AQ50" s="108">
        <v>1.2</v>
      </c>
      <c r="AR50" s="108">
        <v>1.02</v>
      </c>
      <c r="AS50" s="108">
        <v>1</v>
      </c>
      <c r="AT50" s="108">
        <v>1.2</v>
      </c>
    </row>
    <row r="51" spans="1:46" s="171" customFormat="1" ht="12">
      <c r="A51" s="333">
        <v>21844</v>
      </c>
      <c r="B51" s="216" t="s">
        <v>594</v>
      </c>
      <c r="C51" s="334"/>
      <c r="D51" s="360" t="s">
        <v>98</v>
      </c>
      <c r="E51" s="343">
        <v>4</v>
      </c>
      <c r="F51" s="437" t="s">
        <v>121</v>
      </c>
      <c r="G51" s="438" t="s">
        <v>98</v>
      </c>
      <c r="H51" s="439" t="s">
        <v>247</v>
      </c>
      <c r="I51" s="439" t="s">
        <v>258</v>
      </c>
      <c r="J51" s="335" t="s">
        <v>98</v>
      </c>
      <c r="K51" s="438" t="s">
        <v>104</v>
      </c>
      <c r="L51" s="440">
        <f>L30*3.6</f>
        <v>2.0383611337270793</v>
      </c>
      <c r="M51" s="336">
        <v>1</v>
      </c>
      <c r="N51" s="337">
        <f t="shared" si="0"/>
        <v>1.3965935359732646</v>
      </c>
      <c r="O51" s="437" t="str">
        <f t="shared" si="1"/>
        <v>(4,4,4,3,1,5); calculated</v>
      </c>
      <c r="P51" s="440">
        <f t="shared" si="14"/>
        <v>2.0383611337270793</v>
      </c>
      <c r="Q51" s="336">
        <v>1</v>
      </c>
      <c r="R51" s="337">
        <f t="shared" si="2"/>
        <v>1.3965935359732646</v>
      </c>
      <c r="S51" s="437" t="str">
        <f t="shared" si="3"/>
        <v>(4,4,4,3,1,5); calculated</v>
      </c>
      <c r="T51" s="440">
        <f>P51</f>
        <v>2.0383611337270793</v>
      </c>
      <c r="U51" s="336">
        <v>1</v>
      </c>
      <c r="V51" s="337">
        <f t="shared" si="4"/>
        <v>1.3965935359732646</v>
      </c>
      <c r="W51" s="437" t="str">
        <f t="shared" si="5"/>
        <v>(4,4,4,3,1,5); calculated</v>
      </c>
      <c r="X51" s="440">
        <f>P51</f>
        <v>2.0383611337270793</v>
      </c>
      <c r="Y51" s="336">
        <v>1</v>
      </c>
      <c r="Z51" s="337">
        <f t="shared" si="6"/>
        <v>1.3965935359732646</v>
      </c>
      <c r="AA51" s="437" t="str">
        <f t="shared" si="7"/>
        <v>(4,4,4,3,1,5); calculated</v>
      </c>
      <c r="AB51" s="338"/>
      <c r="AC51" s="77" t="s">
        <v>543</v>
      </c>
      <c r="AD51" s="339">
        <v>4</v>
      </c>
      <c r="AE51" s="339">
        <v>4</v>
      </c>
      <c r="AF51" s="339">
        <v>4</v>
      </c>
      <c r="AG51" s="339">
        <v>3</v>
      </c>
      <c r="AH51" s="339">
        <v>1</v>
      </c>
      <c r="AI51" s="339">
        <v>5</v>
      </c>
      <c r="AJ51" s="104">
        <v>13</v>
      </c>
      <c r="AK51" s="104">
        <v>1.05</v>
      </c>
      <c r="AL51" s="107">
        <f t="shared" si="8"/>
        <v>1.3915993050235766</v>
      </c>
      <c r="AM51" s="107">
        <f t="shared" si="9"/>
        <v>1.3965935359732646</v>
      </c>
      <c r="AN51" s="107" t="str">
        <f t="shared" si="10"/>
        <v>(4,4,4,3,1,5)</v>
      </c>
      <c r="AO51" s="108">
        <v>1.2</v>
      </c>
      <c r="AP51" s="108">
        <v>1.1000000000000001</v>
      </c>
      <c r="AQ51" s="108">
        <v>1.2</v>
      </c>
      <c r="AR51" s="108">
        <v>1.02</v>
      </c>
      <c r="AS51" s="108">
        <v>1</v>
      </c>
      <c r="AT51" s="108">
        <v>1.2</v>
      </c>
    </row>
    <row r="52" spans="1:46" s="171" customFormat="1" ht="36">
      <c r="A52" s="333">
        <v>75740</v>
      </c>
      <c r="B52" s="216"/>
      <c r="C52" s="334"/>
      <c r="D52" s="360" t="s">
        <v>98</v>
      </c>
      <c r="E52" s="343">
        <v>4</v>
      </c>
      <c r="F52" s="437" t="s">
        <v>521</v>
      </c>
      <c r="G52" s="438" t="s">
        <v>98</v>
      </c>
      <c r="H52" s="439" t="s">
        <v>247</v>
      </c>
      <c r="I52" s="439" t="s">
        <v>248</v>
      </c>
      <c r="J52" s="335" t="s">
        <v>98</v>
      </c>
      <c r="K52" s="438" t="s">
        <v>96</v>
      </c>
      <c r="L52" s="440">
        <f>0.1*L36</f>
        <v>0.54100000000000004</v>
      </c>
      <c r="M52" s="336">
        <v>1</v>
      </c>
      <c r="N52" s="337">
        <f t="shared" si="0"/>
        <v>1.6871983667168997</v>
      </c>
      <c r="O52" s="437" t="str">
        <f t="shared" si="1"/>
        <v>(4,4,4,3,1,5); Assumption: 10% evaporation of process water; Frischknecht &amp; Büsser Knöpfel (2013)</v>
      </c>
      <c r="P52" s="440">
        <v>0</v>
      </c>
      <c r="Q52" s="336">
        <v>1</v>
      </c>
      <c r="R52" s="337">
        <f t="shared" si="2"/>
        <v>1.6871983667168997</v>
      </c>
      <c r="S52" s="437" t="str">
        <f t="shared" si="3"/>
        <v>(4,4,4,3,1,5); Assumption: 10% evaporation of process water; Frischknecht &amp; Büsser Knöpfel (2013)</v>
      </c>
      <c r="T52" s="440">
        <v>0</v>
      </c>
      <c r="U52" s="336">
        <v>1</v>
      </c>
      <c r="V52" s="337">
        <f t="shared" si="4"/>
        <v>1.6871983667168997</v>
      </c>
      <c r="W52" s="437" t="str">
        <f t="shared" si="5"/>
        <v>(4,4,4,3,1,5); Assumption: 10% evaporation of process water; Frischknecht &amp; Büsser Knöpfel (2013)</v>
      </c>
      <c r="X52" s="440">
        <f>L53</f>
        <v>0</v>
      </c>
      <c r="Y52" s="336">
        <v>1</v>
      </c>
      <c r="Z52" s="337">
        <f t="shared" si="6"/>
        <v>1.6871983667168997</v>
      </c>
      <c r="AA52" s="437" t="str">
        <f t="shared" si="7"/>
        <v>(4,4,4,3,1,5); Assumption: 10% evaporation of process water; Frischknecht &amp; Büsser Knöpfel (2013)</v>
      </c>
      <c r="AB52" s="338"/>
      <c r="AC52" s="77" t="s">
        <v>656</v>
      </c>
      <c r="AD52" s="339">
        <v>4</v>
      </c>
      <c r="AE52" s="339">
        <v>4</v>
      </c>
      <c r="AF52" s="339">
        <v>4</v>
      </c>
      <c r="AG52" s="339">
        <v>3</v>
      </c>
      <c r="AH52" s="339">
        <v>1</v>
      </c>
      <c r="AI52" s="339">
        <v>5</v>
      </c>
      <c r="AJ52" s="104">
        <v>31</v>
      </c>
      <c r="AK52" s="104">
        <v>1.5</v>
      </c>
      <c r="AL52" s="107">
        <f t="shared" si="8"/>
        <v>1.3915993050235766</v>
      </c>
      <c r="AM52" s="107">
        <f t="shared" si="9"/>
        <v>1.6871983667168997</v>
      </c>
      <c r="AN52" s="107" t="str">
        <f t="shared" si="10"/>
        <v>(4,4,4,3,1,5)</v>
      </c>
      <c r="AO52" s="108">
        <v>1.2</v>
      </c>
      <c r="AP52" s="108">
        <v>1.1000000000000001</v>
      </c>
      <c r="AQ52" s="108">
        <v>1.2</v>
      </c>
      <c r="AR52" s="108">
        <v>1.02</v>
      </c>
      <c r="AS52" s="108">
        <v>1</v>
      </c>
      <c r="AT52" s="108">
        <v>1.2</v>
      </c>
    </row>
    <row r="53" spans="1:46" s="171" customFormat="1" ht="36">
      <c r="A53" s="333">
        <v>50430</v>
      </c>
      <c r="B53" s="216"/>
      <c r="C53" s="334"/>
      <c r="D53" s="360" t="s">
        <v>98</v>
      </c>
      <c r="E53" s="343">
        <v>4</v>
      </c>
      <c r="F53" s="437" t="s">
        <v>523</v>
      </c>
      <c r="G53" s="438" t="s">
        <v>98</v>
      </c>
      <c r="H53" s="439" t="s">
        <v>247</v>
      </c>
      <c r="I53" s="439" t="s">
        <v>248</v>
      </c>
      <c r="J53" s="335" t="s">
        <v>98</v>
      </c>
      <c r="K53" s="438" t="s">
        <v>96</v>
      </c>
      <c r="L53" s="440">
        <v>0</v>
      </c>
      <c r="M53" s="336">
        <v>1</v>
      </c>
      <c r="N53" s="337">
        <f t="shared" si="0"/>
        <v>1.6871983667168997</v>
      </c>
      <c r="O53" s="437" t="str">
        <f t="shared" si="1"/>
        <v>(4,4,4,3,1,5); Assumption: 10% evaporation of process water; Frischknecht &amp; Büsser Knöpfel (2013)</v>
      </c>
      <c r="P53" s="440">
        <f>L52</f>
        <v>0.54100000000000004</v>
      </c>
      <c r="Q53" s="336">
        <v>1</v>
      </c>
      <c r="R53" s="337">
        <f t="shared" si="2"/>
        <v>1.6871983667168997</v>
      </c>
      <c r="S53" s="437" t="str">
        <f t="shared" si="3"/>
        <v>(4,4,4,3,1,5); Assumption: 10% evaporation of process water; Frischknecht &amp; Büsser Knöpfel (2013)</v>
      </c>
      <c r="T53" s="440">
        <v>0</v>
      </c>
      <c r="U53" s="336">
        <v>1</v>
      </c>
      <c r="V53" s="337">
        <f t="shared" si="4"/>
        <v>1.6871983667168997</v>
      </c>
      <c r="W53" s="437" t="str">
        <f t="shared" si="5"/>
        <v>(4,4,4,3,1,5); Assumption: 10% evaporation of process water; Frischknecht &amp; Büsser Knöpfel (2013)</v>
      </c>
      <c r="X53" s="440">
        <v>0</v>
      </c>
      <c r="Y53" s="336">
        <v>1</v>
      </c>
      <c r="Z53" s="337">
        <f t="shared" si="6"/>
        <v>1.6871983667168997</v>
      </c>
      <c r="AA53" s="437" t="str">
        <f t="shared" si="7"/>
        <v>(4,4,4,3,1,5); Assumption: 10% evaporation of process water; Frischknecht &amp; Büsser Knöpfel (2013)</v>
      </c>
      <c r="AB53" s="338"/>
      <c r="AC53" s="77" t="s">
        <v>656</v>
      </c>
      <c r="AD53" s="339">
        <v>4</v>
      </c>
      <c r="AE53" s="339">
        <v>4</v>
      </c>
      <c r="AF53" s="339">
        <v>4</v>
      </c>
      <c r="AG53" s="339">
        <v>3</v>
      </c>
      <c r="AH53" s="339">
        <v>1</v>
      </c>
      <c r="AI53" s="339">
        <v>5</v>
      </c>
      <c r="AJ53" s="104">
        <v>31</v>
      </c>
      <c r="AK53" s="104">
        <v>1.5</v>
      </c>
      <c r="AL53" s="107">
        <f t="shared" si="8"/>
        <v>1.3915993050235766</v>
      </c>
      <c r="AM53" s="107">
        <f t="shared" si="9"/>
        <v>1.6871983667168997</v>
      </c>
      <c r="AN53" s="107" t="str">
        <f t="shared" si="10"/>
        <v>(4,4,4,3,1,5)</v>
      </c>
      <c r="AO53" s="108">
        <v>1.2</v>
      </c>
      <c r="AP53" s="108">
        <v>1.1000000000000001</v>
      </c>
      <c r="AQ53" s="108">
        <v>1.2</v>
      </c>
      <c r="AR53" s="108">
        <v>1.02</v>
      </c>
      <c r="AS53" s="108">
        <v>1</v>
      </c>
      <c r="AT53" s="108">
        <v>1.2</v>
      </c>
    </row>
    <row r="54" spans="1:46" s="171" customFormat="1" ht="36">
      <c r="A54" s="333">
        <v>156329</v>
      </c>
      <c r="B54" s="216"/>
      <c r="C54" s="334"/>
      <c r="D54" s="360" t="s">
        <v>98</v>
      </c>
      <c r="E54" s="343">
        <v>4</v>
      </c>
      <c r="F54" s="437" t="s">
        <v>524</v>
      </c>
      <c r="G54" s="438" t="s">
        <v>98</v>
      </c>
      <c r="H54" s="439" t="s">
        <v>247</v>
      </c>
      <c r="I54" s="439" t="s">
        <v>248</v>
      </c>
      <c r="J54" s="335" t="s">
        <v>98</v>
      </c>
      <c r="K54" s="438" t="s">
        <v>96</v>
      </c>
      <c r="L54" s="440">
        <v>0</v>
      </c>
      <c r="M54" s="336">
        <v>1</v>
      </c>
      <c r="N54" s="337">
        <f t="shared" si="0"/>
        <v>1.6871983667168997</v>
      </c>
      <c r="O54" s="437" t="str">
        <f t="shared" si="1"/>
        <v>(4,4,4,3,1,5); Assumption: 10% evaporation of process water; Frischknecht &amp; Büsser Knöpfel (2013)</v>
      </c>
      <c r="P54" s="440">
        <v>0</v>
      </c>
      <c r="Q54" s="336">
        <v>1</v>
      </c>
      <c r="R54" s="337">
        <f t="shared" si="2"/>
        <v>1.6871983667168997</v>
      </c>
      <c r="S54" s="437" t="str">
        <f t="shared" si="3"/>
        <v>(4,4,4,3,1,5); Assumption: 10% evaporation of process water; Frischknecht &amp; Büsser Knöpfel (2013)</v>
      </c>
      <c r="T54" s="440">
        <f>P53</f>
        <v>0.54100000000000004</v>
      </c>
      <c r="U54" s="336">
        <v>1</v>
      </c>
      <c r="V54" s="337">
        <f t="shared" si="4"/>
        <v>1.6871983667168997</v>
      </c>
      <c r="W54" s="437" t="str">
        <f t="shared" si="5"/>
        <v>(4,4,4,3,1,5); Assumption: 10% evaporation of process water; Frischknecht &amp; Büsser Knöpfel (2013)</v>
      </c>
      <c r="X54" s="440">
        <v>0</v>
      </c>
      <c r="Y54" s="336">
        <v>1</v>
      </c>
      <c r="Z54" s="337">
        <f t="shared" si="6"/>
        <v>1.6871983667168997</v>
      </c>
      <c r="AA54" s="437" t="str">
        <f t="shared" si="7"/>
        <v>(4,4,4,3,1,5); Assumption: 10% evaporation of process water; Frischknecht &amp; Büsser Knöpfel (2013)</v>
      </c>
      <c r="AB54" s="338"/>
      <c r="AC54" s="77" t="s">
        <v>656</v>
      </c>
      <c r="AD54" s="339">
        <v>4</v>
      </c>
      <c r="AE54" s="339">
        <v>4</v>
      </c>
      <c r="AF54" s="339">
        <v>4</v>
      </c>
      <c r="AG54" s="339">
        <v>3</v>
      </c>
      <c r="AH54" s="339">
        <v>1</v>
      </c>
      <c r="AI54" s="339">
        <v>5</v>
      </c>
      <c r="AJ54" s="104">
        <v>31</v>
      </c>
      <c r="AK54" s="104">
        <v>1.5</v>
      </c>
      <c r="AL54" s="107">
        <f t="shared" si="8"/>
        <v>1.3915993050235766</v>
      </c>
      <c r="AM54" s="107">
        <f t="shared" si="9"/>
        <v>1.6871983667168997</v>
      </c>
      <c r="AN54" s="107" t="str">
        <f t="shared" si="10"/>
        <v>(4,4,4,3,1,5)</v>
      </c>
      <c r="AO54" s="108">
        <v>1.2</v>
      </c>
      <c r="AP54" s="108">
        <v>1.1000000000000001</v>
      </c>
      <c r="AQ54" s="108">
        <v>1.2</v>
      </c>
      <c r="AR54" s="108">
        <v>1.02</v>
      </c>
      <c r="AS54" s="108">
        <v>1</v>
      </c>
      <c r="AT54" s="108">
        <v>1.2</v>
      </c>
    </row>
    <row r="55" spans="1:46" s="171" customFormat="1" ht="36">
      <c r="A55" s="333">
        <v>51378</v>
      </c>
      <c r="B55" s="216"/>
      <c r="C55" s="334"/>
      <c r="D55" s="360" t="s">
        <v>98</v>
      </c>
      <c r="E55" s="343">
        <v>4</v>
      </c>
      <c r="F55" s="437" t="s">
        <v>525</v>
      </c>
      <c r="G55" s="438" t="s">
        <v>98</v>
      </c>
      <c r="H55" s="439" t="s">
        <v>247</v>
      </c>
      <c r="I55" s="439" t="s">
        <v>248</v>
      </c>
      <c r="J55" s="335" t="s">
        <v>98</v>
      </c>
      <c r="K55" s="438" t="s">
        <v>96</v>
      </c>
      <c r="L55" s="440">
        <v>0</v>
      </c>
      <c r="M55" s="336">
        <v>1</v>
      </c>
      <c r="N55" s="337">
        <f t="shared" si="0"/>
        <v>1.6871983667168997</v>
      </c>
      <c r="O55" s="437" t="str">
        <f t="shared" si="1"/>
        <v>(4,4,4,3,1,5); Assumption: 10% evaporation of process water; Frischknecht &amp; Büsser Knöpfel (2013)</v>
      </c>
      <c r="P55" s="440">
        <v>0</v>
      </c>
      <c r="Q55" s="336">
        <v>1</v>
      </c>
      <c r="R55" s="337">
        <f t="shared" si="2"/>
        <v>1.6871983667168997</v>
      </c>
      <c r="S55" s="437" t="str">
        <f t="shared" si="3"/>
        <v>(4,4,4,3,1,5); Assumption: 10% evaporation of process water; Frischknecht &amp; Büsser Knöpfel (2013)</v>
      </c>
      <c r="T55" s="440">
        <v>0</v>
      </c>
      <c r="U55" s="336">
        <v>1</v>
      </c>
      <c r="V55" s="337">
        <f t="shared" si="4"/>
        <v>1.6871983667168997</v>
      </c>
      <c r="W55" s="437" t="str">
        <f t="shared" si="5"/>
        <v>(4,4,4,3,1,5); Assumption: 10% evaporation of process water; Frischknecht &amp; Büsser Knöpfel (2013)</v>
      </c>
      <c r="X55" s="435">
        <f>L52*$J$71</f>
        <v>8.4531250000000002E-2</v>
      </c>
      <c r="Y55" s="336">
        <v>1</v>
      </c>
      <c r="Z55" s="337">
        <f t="shared" si="6"/>
        <v>1.6871983667168997</v>
      </c>
      <c r="AA55" s="437" t="str">
        <f t="shared" si="7"/>
        <v>(4,4,4,3,1,5); Assumption: 10% evaporation of process water; Frischknecht &amp; Büsser Knöpfel (2013)</v>
      </c>
      <c r="AB55" s="338"/>
      <c r="AC55" s="77" t="s">
        <v>656</v>
      </c>
      <c r="AD55" s="339">
        <v>4</v>
      </c>
      <c r="AE55" s="339">
        <v>4</v>
      </c>
      <c r="AF55" s="339">
        <v>4</v>
      </c>
      <c r="AG55" s="339">
        <v>3</v>
      </c>
      <c r="AH55" s="339">
        <v>1</v>
      </c>
      <c r="AI55" s="339">
        <v>5</v>
      </c>
      <c r="AJ55" s="104">
        <v>31</v>
      </c>
      <c r="AK55" s="104">
        <v>1.5</v>
      </c>
      <c r="AL55" s="107">
        <f t="shared" si="8"/>
        <v>1.3915993050235766</v>
      </c>
      <c r="AM55" s="107">
        <f t="shared" si="9"/>
        <v>1.6871983667168997</v>
      </c>
      <c r="AN55" s="107" t="str">
        <f t="shared" si="10"/>
        <v>(4,4,4,3,1,5)</v>
      </c>
      <c r="AO55" s="108">
        <v>1.2</v>
      </c>
      <c r="AP55" s="108">
        <v>1.1000000000000001</v>
      </c>
      <c r="AQ55" s="108">
        <v>1.2</v>
      </c>
      <c r="AR55" s="108">
        <v>1.02</v>
      </c>
      <c r="AS55" s="108">
        <v>1</v>
      </c>
      <c r="AT55" s="108">
        <v>1.2</v>
      </c>
    </row>
    <row r="56" spans="1:46" s="171" customFormat="1" ht="36">
      <c r="A56" s="333">
        <v>27191</v>
      </c>
      <c r="B56" s="216"/>
      <c r="C56" s="334"/>
      <c r="D56" s="360" t="s">
        <v>98</v>
      </c>
      <c r="E56" s="343">
        <v>4</v>
      </c>
      <c r="F56" s="437" t="s">
        <v>657</v>
      </c>
      <c r="G56" s="438" t="s">
        <v>98</v>
      </c>
      <c r="H56" s="439" t="s">
        <v>247</v>
      </c>
      <c r="I56" s="439" t="s">
        <v>248</v>
      </c>
      <c r="J56" s="335" t="s">
        <v>98</v>
      </c>
      <c r="K56" s="438" t="s">
        <v>96</v>
      </c>
      <c r="L56" s="440">
        <v>0</v>
      </c>
      <c r="M56" s="336">
        <v>1</v>
      </c>
      <c r="N56" s="337">
        <f t="shared" si="0"/>
        <v>1.6871983667168997</v>
      </c>
      <c r="O56" s="437" t="str">
        <f t="shared" si="1"/>
        <v>(4,4,4,3,1,5); Assumption: 10% evaporation of process water; Frischknecht &amp; Büsser Knöpfel (2013)</v>
      </c>
      <c r="P56" s="440">
        <v>0</v>
      </c>
      <c r="Q56" s="336">
        <v>1</v>
      </c>
      <c r="R56" s="337">
        <f t="shared" si="2"/>
        <v>1.6871983667168997</v>
      </c>
      <c r="S56" s="437" t="str">
        <f t="shared" si="3"/>
        <v>(4,4,4,3,1,5); Assumption: 10% evaporation of process water; Frischknecht &amp; Büsser Knöpfel (2013)</v>
      </c>
      <c r="T56" s="440">
        <v>0</v>
      </c>
      <c r="U56" s="336">
        <v>1</v>
      </c>
      <c r="V56" s="337">
        <f t="shared" si="4"/>
        <v>1.6871983667168997</v>
      </c>
      <c r="W56" s="437" t="str">
        <f t="shared" si="5"/>
        <v>(4,4,4,3,1,5); Assumption: 10% evaporation of process water; Frischknecht &amp; Büsser Knöpfel (2013)</v>
      </c>
      <c r="X56" s="435">
        <f>L52*$J$72</f>
        <v>6.7625000000000005E-2</v>
      </c>
      <c r="Y56" s="336">
        <v>1</v>
      </c>
      <c r="Z56" s="337">
        <f t="shared" si="6"/>
        <v>1.6871983667168997</v>
      </c>
      <c r="AA56" s="437" t="str">
        <f t="shared" si="7"/>
        <v>(4,4,4,3,1,5); Assumption: 10% evaporation of process water; Frischknecht &amp; Büsser Knöpfel (2013)</v>
      </c>
      <c r="AB56" s="338"/>
      <c r="AC56" s="77" t="s">
        <v>656</v>
      </c>
      <c r="AD56" s="339">
        <v>4</v>
      </c>
      <c r="AE56" s="339">
        <v>4</v>
      </c>
      <c r="AF56" s="339">
        <v>4</v>
      </c>
      <c r="AG56" s="339">
        <v>3</v>
      </c>
      <c r="AH56" s="339">
        <v>1</v>
      </c>
      <c r="AI56" s="339">
        <v>5</v>
      </c>
      <c r="AJ56" s="104">
        <v>31</v>
      </c>
      <c r="AK56" s="104">
        <v>1.5</v>
      </c>
      <c r="AL56" s="107">
        <f t="shared" si="8"/>
        <v>1.3915993050235766</v>
      </c>
      <c r="AM56" s="107">
        <f t="shared" si="9"/>
        <v>1.6871983667168997</v>
      </c>
      <c r="AN56" s="107" t="str">
        <f t="shared" si="10"/>
        <v>(4,4,4,3,1,5)</v>
      </c>
      <c r="AO56" s="108">
        <v>1.2</v>
      </c>
      <c r="AP56" s="108">
        <v>1.1000000000000001</v>
      </c>
      <c r="AQ56" s="108">
        <v>1.2</v>
      </c>
      <c r="AR56" s="108">
        <v>1.02</v>
      </c>
      <c r="AS56" s="108">
        <v>1</v>
      </c>
      <c r="AT56" s="108">
        <v>1.2</v>
      </c>
    </row>
    <row r="57" spans="1:46" s="171" customFormat="1" ht="36">
      <c r="A57" s="333" t="s">
        <v>658</v>
      </c>
      <c r="B57" s="216"/>
      <c r="C57" s="334"/>
      <c r="D57" s="360" t="s">
        <v>98</v>
      </c>
      <c r="E57" s="343">
        <v>4</v>
      </c>
      <c r="F57" s="437" t="s">
        <v>659</v>
      </c>
      <c r="G57" s="438" t="s">
        <v>98</v>
      </c>
      <c r="H57" s="439" t="s">
        <v>247</v>
      </c>
      <c r="I57" s="439" t="s">
        <v>248</v>
      </c>
      <c r="J57" s="335" t="s">
        <v>98</v>
      </c>
      <c r="K57" s="438" t="s">
        <v>96</v>
      </c>
      <c r="L57" s="440">
        <v>0</v>
      </c>
      <c r="M57" s="336">
        <v>1</v>
      </c>
      <c r="N57" s="337">
        <f t="shared" si="0"/>
        <v>1.6871983667168997</v>
      </c>
      <c r="O57" s="437" t="str">
        <f t="shared" si="1"/>
        <v>(4,4,4,3,1,5); Assumption: 10% evaporation of process water; Frischknecht &amp; Büsser Knöpfel (2013)</v>
      </c>
      <c r="P57" s="440">
        <v>0</v>
      </c>
      <c r="Q57" s="336">
        <v>1</v>
      </c>
      <c r="R57" s="337">
        <f t="shared" si="2"/>
        <v>1.6871983667168997</v>
      </c>
      <c r="S57" s="437" t="str">
        <f t="shared" si="3"/>
        <v>(4,4,4,3,1,5); Assumption: 10% evaporation of process water; Frischknecht &amp; Büsser Knöpfel (2013)</v>
      </c>
      <c r="T57" s="440">
        <f>L53</f>
        <v>0</v>
      </c>
      <c r="U57" s="336">
        <v>1</v>
      </c>
      <c r="V57" s="337">
        <f t="shared" si="4"/>
        <v>1.6871983667168997</v>
      </c>
      <c r="W57" s="437" t="str">
        <f t="shared" si="5"/>
        <v>(4,4,4,3,1,5); Assumption: 10% evaporation of process water; Frischknecht &amp; Büsser Knöpfel (2013)</v>
      </c>
      <c r="X57" s="435">
        <f>L52*$J$73</f>
        <v>0.38884375000000004</v>
      </c>
      <c r="Y57" s="336">
        <v>1</v>
      </c>
      <c r="Z57" s="337">
        <f t="shared" si="6"/>
        <v>1.6871983667168997</v>
      </c>
      <c r="AA57" s="437" t="str">
        <f t="shared" si="7"/>
        <v>(4,4,4,3,1,5); Assumption: 10% evaporation of process water; Frischknecht &amp; Büsser Knöpfel (2013)</v>
      </c>
      <c r="AB57" s="338"/>
      <c r="AC57" s="77" t="s">
        <v>656</v>
      </c>
      <c r="AD57" s="339">
        <v>4</v>
      </c>
      <c r="AE57" s="339">
        <v>4</v>
      </c>
      <c r="AF57" s="339">
        <v>4</v>
      </c>
      <c r="AG57" s="339">
        <v>3</v>
      </c>
      <c r="AH57" s="339">
        <v>1</v>
      </c>
      <c r="AI57" s="339">
        <v>5</v>
      </c>
      <c r="AJ57" s="104">
        <v>31</v>
      </c>
      <c r="AK57" s="104">
        <v>1.5</v>
      </c>
      <c r="AL57" s="107">
        <f t="shared" si="8"/>
        <v>1.3915993050235766</v>
      </c>
      <c r="AM57" s="107">
        <f t="shared" si="9"/>
        <v>1.6871983667168997</v>
      </c>
      <c r="AN57" s="107" t="str">
        <f t="shared" si="10"/>
        <v>(4,4,4,3,1,5)</v>
      </c>
      <c r="AO57" s="108">
        <v>1.2</v>
      </c>
      <c r="AP57" s="108">
        <v>1.1000000000000001</v>
      </c>
      <c r="AQ57" s="108">
        <v>1.2</v>
      </c>
      <c r="AR57" s="108">
        <v>1.02</v>
      </c>
      <c r="AS57" s="108">
        <v>1</v>
      </c>
      <c r="AT57" s="108">
        <v>1.2</v>
      </c>
    </row>
    <row r="58" spans="1:46" ht="16.5" customHeight="1">
      <c r="AB58" s="112"/>
    </row>
    <row r="59" spans="1:46" s="577" customFormat="1" ht="48" customHeight="1">
      <c r="A59" s="565" t="s">
        <v>529</v>
      </c>
      <c r="B59" s="566" t="s">
        <v>660</v>
      </c>
      <c r="C59" s="567" t="s">
        <v>529</v>
      </c>
      <c r="D59" s="568" t="s">
        <v>529</v>
      </c>
      <c r="E59" s="569" t="s">
        <v>529</v>
      </c>
      <c r="F59" s="570" t="s">
        <v>599</v>
      </c>
      <c r="G59" s="571" t="s">
        <v>529</v>
      </c>
      <c r="H59" s="572" t="s">
        <v>529</v>
      </c>
      <c r="I59" s="572" t="s">
        <v>529</v>
      </c>
      <c r="J59" s="573" t="s">
        <v>529</v>
      </c>
      <c r="K59" s="571" t="s">
        <v>96</v>
      </c>
      <c r="L59" s="440">
        <f>L11-1-0.0117412023751001</f>
        <v>0.80002707648963989</v>
      </c>
      <c r="M59" s="571">
        <v>1</v>
      </c>
      <c r="N59" s="571"/>
      <c r="O59" s="570" t="s">
        <v>661</v>
      </c>
      <c r="P59" s="440">
        <f>L59</f>
        <v>0.80002707648963989</v>
      </c>
      <c r="Q59" s="571">
        <v>1</v>
      </c>
      <c r="R59" s="571"/>
      <c r="S59" s="570" t="s">
        <v>661</v>
      </c>
      <c r="T59" s="440">
        <f>L59</f>
        <v>0.80002707648963989</v>
      </c>
      <c r="U59" s="571">
        <v>1</v>
      </c>
      <c r="V59" s="571"/>
      <c r="W59" s="570" t="s">
        <v>661</v>
      </c>
      <c r="X59" s="440">
        <f>L59</f>
        <v>0.80002707648963989</v>
      </c>
      <c r="Y59" s="571">
        <v>1</v>
      </c>
      <c r="Z59" s="571" t="s">
        <v>662</v>
      </c>
      <c r="AA59" s="570" t="s">
        <v>661</v>
      </c>
      <c r="AB59" s="575" t="s">
        <v>529</v>
      </c>
      <c r="AC59" s="128"/>
      <c r="AD59" s="402"/>
      <c r="AE59" s="395"/>
      <c r="AF59" s="395"/>
      <c r="AG59" s="395"/>
      <c r="AH59" s="395"/>
      <c r="AI59" s="395"/>
      <c r="AJ59" s="395"/>
      <c r="AK59" s="395"/>
      <c r="AL59" s="395"/>
      <c r="AM59" s="395"/>
      <c r="AN59" s="395"/>
      <c r="AO59" s="277"/>
      <c r="AP59" s="277"/>
      <c r="AQ59" s="277"/>
      <c r="AR59" s="277"/>
      <c r="AS59" s="277"/>
      <c r="AT59"/>
    </row>
    <row r="60" spans="1:46" s="277" customFormat="1" ht="12" customHeight="1">
      <c r="B60" s="124"/>
      <c r="C60" s="125"/>
      <c r="M60" s="120"/>
      <c r="N60" s="120"/>
      <c r="O60" s="120"/>
      <c r="Q60" s="120"/>
      <c r="R60" s="120"/>
      <c r="S60" s="109"/>
      <c r="U60" s="120"/>
      <c r="V60" s="120"/>
      <c r="W60" s="109"/>
      <c r="Y60" s="120"/>
      <c r="Z60" s="120"/>
      <c r="AA60" s="109"/>
      <c r="AB60" s="112"/>
      <c r="AC60" s="128"/>
      <c r="AD60" s="402"/>
      <c r="AE60" s="395"/>
      <c r="AF60" s="395"/>
      <c r="AG60" s="395"/>
      <c r="AH60" s="395"/>
      <c r="AI60" s="395"/>
      <c r="AJ60" s="395"/>
      <c r="AK60" s="395"/>
      <c r="AL60" s="395"/>
      <c r="AM60" s="395"/>
      <c r="AN60" s="395"/>
    </row>
    <row r="61" spans="1:46" s="277" customFormat="1" ht="12" customHeight="1">
      <c r="B61" s="124"/>
      <c r="C61" s="125"/>
      <c r="F61" s="346" t="s">
        <v>564</v>
      </c>
      <c r="M61" s="120"/>
      <c r="N61" s="120"/>
      <c r="O61" s="120"/>
      <c r="Q61" s="120"/>
      <c r="R61" s="120"/>
      <c r="S61" s="109"/>
      <c r="U61" s="120"/>
      <c r="V61" s="120"/>
      <c r="W61" s="109"/>
      <c r="Y61" s="120"/>
      <c r="Z61" s="120"/>
      <c r="AA61" s="109"/>
      <c r="AB61" s="112"/>
      <c r="AC61" s="128"/>
      <c r="AD61" s="402"/>
      <c r="AE61" s="395"/>
      <c r="AF61" s="395"/>
      <c r="AG61" s="395"/>
      <c r="AH61" s="395"/>
      <c r="AI61" s="395"/>
      <c r="AJ61" s="395"/>
      <c r="AK61" s="395"/>
      <c r="AL61" s="395"/>
      <c r="AM61" s="395"/>
      <c r="AN61" s="395"/>
    </row>
    <row r="62" spans="1:46" s="277" customFormat="1" ht="12" customHeight="1">
      <c r="B62" s="124"/>
      <c r="C62" s="125"/>
      <c r="F62" s="354" t="s">
        <v>663</v>
      </c>
      <c r="G62" s="353"/>
      <c r="H62" s="353"/>
      <c r="I62" s="353"/>
      <c r="J62" s="353"/>
      <c r="K62" s="353"/>
      <c r="L62" s="110"/>
      <c r="M62" s="120"/>
      <c r="N62" s="120"/>
      <c r="O62" s="120"/>
      <c r="P62" s="110"/>
      <c r="Q62" s="120"/>
      <c r="R62" s="120"/>
      <c r="S62" s="120"/>
      <c r="T62" s="110"/>
      <c r="U62" s="120"/>
      <c r="V62" s="120"/>
      <c r="W62" s="120"/>
      <c r="X62" s="110"/>
      <c r="Y62" s="120"/>
      <c r="Z62" s="120"/>
      <c r="AA62" s="120"/>
      <c r="AB62" s="110"/>
      <c r="AC62" s="120"/>
      <c r="AD62" s="110"/>
      <c r="AE62" s="120"/>
      <c r="AF62" s="120"/>
      <c r="AG62" s="120"/>
      <c r="AH62" s="110"/>
      <c r="AI62" s="120"/>
      <c r="AJ62" s="120"/>
      <c r="AK62" s="120"/>
      <c r="AL62" s="110"/>
      <c r="AM62" s="120"/>
      <c r="AN62" s="120"/>
      <c r="AO62" s="120"/>
      <c r="AP62" s="110"/>
      <c r="AQ62" s="120"/>
      <c r="AR62" s="120"/>
      <c r="AS62" s="120"/>
      <c r="AT62" s="110"/>
    </row>
    <row r="63" spans="1:46" s="277" customFormat="1" ht="12" customHeight="1">
      <c r="B63" s="124"/>
      <c r="C63" s="125"/>
      <c r="F63" s="355" t="s">
        <v>537</v>
      </c>
      <c r="G63" s="353"/>
      <c r="H63" s="353"/>
      <c r="I63" s="353"/>
      <c r="J63" s="353"/>
      <c r="K63" s="353"/>
      <c r="L63" s="353">
        <v>1.6095561357505701E-4</v>
      </c>
      <c r="M63" s="353"/>
      <c r="N63" s="353"/>
      <c r="O63" s="353" t="s">
        <v>538</v>
      </c>
      <c r="P63" s="353" t="s">
        <v>462</v>
      </c>
      <c r="Q63" s="353"/>
      <c r="R63" s="353"/>
      <c r="S63" s="353"/>
      <c r="T63" s="110"/>
      <c r="U63" s="110"/>
      <c r="V63" s="110"/>
      <c r="W63" s="110"/>
      <c r="X63" s="110"/>
      <c r="Y63" s="110"/>
      <c r="Z63" s="110"/>
      <c r="AA63" s="110"/>
      <c r="AB63" s="110"/>
      <c r="AC63" s="110"/>
      <c r="AD63" s="110"/>
      <c r="AE63" s="110"/>
      <c r="AF63" s="110"/>
      <c r="AG63" s="110"/>
      <c r="AH63" s="110"/>
      <c r="AI63" s="110"/>
      <c r="AJ63" s="110"/>
      <c r="AK63" s="110"/>
      <c r="AL63" s="110"/>
      <c r="AM63" s="120"/>
      <c r="AN63" s="110"/>
      <c r="AO63" s="110"/>
      <c r="AP63" s="110"/>
      <c r="AQ63" s="110"/>
      <c r="AR63" s="110"/>
      <c r="AS63" s="110"/>
      <c r="AT63" s="110"/>
    </row>
    <row r="64" spans="1:46" s="277" customFormat="1" ht="12" customHeight="1">
      <c r="B64" s="124"/>
      <c r="C64" s="125"/>
      <c r="F64" s="355" t="s">
        <v>664</v>
      </c>
      <c r="G64" s="322"/>
      <c r="H64" s="321"/>
      <c r="I64" s="321"/>
      <c r="J64" s="321"/>
      <c r="K64" s="321"/>
      <c r="L64" s="322">
        <v>25506</v>
      </c>
      <c r="M64" s="321"/>
      <c r="N64" s="321"/>
      <c r="O64" s="321" t="s">
        <v>538</v>
      </c>
      <c r="P64" s="353" t="s">
        <v>541</v>
      </c>
      <c r="Q64" s="353"/>
      <c r="R64" s="353"/>
      <c r="S64" s="353"/>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row>
    <row r="65" spans="6:16" s="277" customFormat="1" ht="12" customHeight="1">
      <c r="F65" s="355" t="s">
        <v>542</v>
      </c>
      <c r="G65" s="353"/>
      <c r="H65" s="353"/>
      <c r="I65" s="353"/>
      <c r="J65" s="353"/>
      <c r="K65" s="353"/>
      <c r="L65" s="353">
        <f>L63/L64</f>
        <v>6.3105000225459504E-9</v>
      </c>
      <c r="M65" s="353"/>
      <c r="N65" s="353"/>
      <c r="O65" s="353" t="s">
        <v>144</v>
      </c>
      <c r="P65" s="353" t="s">
        <v>543</v>
      </c>
    </row>
    <row r="66" spans="6:16" s="277" customFormat="1" ht="12" customHeight="1">
      <c r="F66" s="355"/>
      <c r="G66" s="353"/>
      <c r="H66" s="353"/>
      <c r="I66" s="353"/>
      <c r="J66" s="353"/>
      <c r="K66" s="353"/>
      <c r="L66" s="353"/>
      <c r="M66" s="353"/>
      <c r="N66" s="353"/>
      <c r="O66" s="353"/>
      <c r="P66" s="353"/>
    </row>
    <row r="67" spans="6:16" s="277" customFormat="1" ht="34.5" customHeight="1">
      <c r="F67" s="126"/>
      <c r="M67" s="120"/>
      <c r="N67" s="120"/>
      <c r="O67" s="120"/>
    </row>
    <row r="68" spans="6:16" s="277" customFormat="1" ht="12" customHeight="1">
      <c r="F68" s="371" t="s">
        <v>544</v>
      </c>
      <c r="G68" s="353" t="s">
        <v>545</v>
      </c>
      <c r="H68" s="353"/>
      <c r="I68" s="353"/>
      <c r="J68" s="353"/>
      <c r="M68" s="120"/>
      <c r="N68" s="120"/>
      <c r="O68" s="120"/>
    </row>
    <row r="69" spans="6:16" s="277" customFormat="1" ht="12" customHeight="1">
      <c r="F69" s="355"/>
      <c r="G69" s="353"/>
      <c r="H69" s="353"/>
      <c r="I69" s="353"/>
      <c r="J69" s="353"/>
      <c r="M69" s="120"/>
      <c r="N69" s="120"/>
      <c r="O69" s="120"/>
    </row>
    <row r="70" spans="6:16" s="277" customFormat="1" ht="12" customHeight="1">
      <c r="F70" s="355"/>
      <c r="G70" s="353" t="s">
        <v>546</v>
      </c>
      <c r="H70" s="353"/>
      <c r="I70" s="353"/>
      <c r="J70" s="353" t="s">
        <v>547</v>
      </c>
      <c r="M70" s="120"/>
      <c r="N70" s="120"/>
      <c r="O70" s="120"/>
    </row>
    <row r="71" spans="6:16" s="277" customFormat="1" ht="12" customHeight="1">
      <c r="F71" s="355" t="s">
        <v>548</v>
      </c>
      <c r="G71" s="372">
        <v>5.0000000000000001E-3</v>
      </c>
      <c r="H71" s="372"/>
      <c r="I71" s="372"/>
      <c r="J71" s="372">
        <f>G71/SUM($G$71:$G$73)</f>
        <v>0.15625</v>
      </c>
      <c r="M71" s="120"/>
      <c r="N71" s="120"/>
      <c r="O71" s="120"/>
    </row>
    <row r="72" spans="6:16" s="277" customFormat="1" ht="12" customHeight="1">
      <c r="F72" s="320" t="s">
        <v>665</v>
      </c>
      <c r="G72" s="363">
        <v>4.0000000000000001E-3</v>
      </c>
      <c r="H72" s="129"/>
      <c r="I72" s="129"/>
      <c r="J72" s="372">
        <f>G72/SUM($G$71:$G$73)</f>
        <v>0.125</v>
      </c>
      <c r="M72" s="120"/>
      <c r="N72" s="120"/>
      <c r="O72" s="120"/>
    </row>
    <row r="73" spans="6:16" s="277" customFormat="1" ht="12" customHeight="1">
      <c r="F73" s="320" t="s">
        <v>666</v>
      </c>
      <c r="G73" s="363">
        <v>2.3E-2</v>
      </c>
      <c r="H73" s="129"/>
      <c r="I73" s="129"/>
      <c r="J73" s="372">
        <f>G73/SUM($G$71:$G$73)</f>
        <v>0.71875</v>
      </c>
      <c r="M73" s="120"/>
      <c r="N73" s="120"/>
      <c r="O73" s="120"/>
    </row>
  </sheetData>
  <mergeCells count="1">
    <mergeCell ref="AD1:AI1"/>
  </mergeCells>
  <conditionalFormatting sqref="D11:AA57 D59:AA59">
    <cfRule type="expression" dxfId="349" priority="3">
      <formula>MOD(ROW(),2)=0</formula>
    </cfRule>
  </conditionalFormatting>
  <conditionalFormatting sqref="AC35">
    <cfRule type="expression" dxfId="348" priority="1">
      <formula>MOD(ROW(),2)=0</formula>
    </cfRule>
  </conditionalFormatting>
  <conditionalFormatting sqref="AC11:AI57">
    <cfRule type="expression" dxfId="347" priority="13">
      <formula>MOD(ROW(),2)=0</formula>
    </cfRule>
  </conditionalFormatting>
  <conditionalFormatting sqref="AJ11:AT57">
    <cfRule type="expression" dxfId="346" priority="12">
      <formula>MOD(ROW(),2)=0</formula>
    </cfRule>
  </conditionalFormatting>
  <dataValidations disablePrompts="1" count="10">
    <dataValidation allowBlank="1" showInputMessage="1" showErrorMessage="1" prompt="always 1" sqref="L7:L41 P7:P30 T7:T30 X7:X30 X33 X39 X55" xr:uid="{00000000-0002-0000-1300-000000000000}"/>
    <dataValidation allowBlank="1" showInputMessage="1" showErrorMessage="1" promptTitle="Remarks" prompt="A general comment (data source, calculation procedure, ...) can be made about each individual exchange. The remarks are added to the GeneralComment-field." sqref="AC3" xr:uid="{00000000-0002-0000-1300-000001000000}"/>
    <dataValidation allowBlank="1" showInputMessage="1" showErrorMessage="1" prompt="Do not change." sqref="AJ3:AT4" xr:uid="{00000000-0002-0000-1300-00000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E3" xr:uid="{00000000-0002-0000-13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F3" xr:uid="{00000000-0002-0000-13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G3" xr:uid="{00000000-0002-0000-1300-00000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H3" xr:uid="{00000000-0002-0000-1300-000006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I3" xr:uid="{00000000-0002-0000-1300-000007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D3" xr:uid="{00000000-0002-0000-1300-000008000000}"/>
    <dataValidation allowBlank="1" showInputMessage="1" showErrorMessage="1" promptTitle="Do not change" prompt="This field is automatically updated from the names-list" sqref="AJ11:AJ57 AJ59" xr:uid="{00000000-0002-0000-1300-000009000000}"/>
  </dataValidations>
  <pageMargins left="0.78740157499999996" right="0.78740157499999996" top="0.984251969" bottom="0.984251969" header="0.4921259845" footer="0.4921259845"/>
  <pageSetup paperSize="9" scale="29" orientation="landscape" r:id="rId1"/>
  <headerFooter alignWithMargins="0">
    <oddHeader>&amp;L&amp;C&amp;R</oddHeader>
    <oddFooter>&amp;L&amp;D&amp;C&amp;F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56">
    <tabColor rgb="FF9CD9F0"/>
  </sheetPr>
  <dimension ref="A1:AI125"/>
  <sheetViews>
    <sheetView topLeftCell="A102" workbookViewId="0">
      <selection activeCell="A133" sqref="A128:XFD133"/>
    </sheetView>
  </sheetViews>
  <sheetFormatPr baseColWidth="10" defaultColWidth="11.42578125" defaultRowHeight="12.75" outlineLevelCol="2"/>
  <cols>
    <col min="1" max="1" width="9.28515625" style="401" customWidth="1"/>
    <col min="2" max="2" width="10.140625" style="309" customWidth="1"/>
    <col min="3" max="3" width="5.85546875" style="310" hidden="1" customWidth="1" outlineLevel="1"/>
    <col min="4" max="5" width="5" style="11" hidden="1" customWidth="1" outlineLevel="1"/>
    <col min="6" max="6" width="47.5703125" style="11" customWidth="1" collapsed="1"/>
    <col min="7" max="7" width="5.28515625" style="11" customWidth="1"/>
    <col min="8" max="8" width="9.140625" style="11" hidden="1" customWidth="1" outlineLevel="1"/>
    <col min="9" max="9" width="5" style="11" hidden="1" customWidth="1" outlineLevel="1"/>
    <col min="10" max="10" width="6" style="11" bestFit="1" customWidth="1" collapsed="1"/>
    <col min="11" max="11" width="5.140625" style="11" customWidth="1"/>
    <col min="12" max="12" width="11.42578125" style="11" customWidth="1"/>
    <col min="13" max="14" width="5" style="20" hidden="1" customWidth="1" outlineLevel="1"/>
    <col min="15" max="15" width="51.140625" style="20" hidden="1" customWidth="1" outlineLevel="1"/>
    <col min="16" max="16" width="4.28515625" style="401" customWidth="1" collapsed="1"/>
    <col min="17" max="17" width="75.5703125" style="9" customWidth="1"/>
    <col min="18" max="18" width="3.85546875" style="396" hidden="1" customWidth="1" outlineLevel="2"/>
    <col min="19" max="20" width="5.140625" style="396" hidden="1" customWidth="1" outlineLevel="2"/>
    <col min="21" max="21" width="3.7109375" style="396" hidden="1" customWidth="1" outlineLevel="2"/>
    <col min="22" max="22" width="5.28515625" style="396" hidden="1" customWidth="1" outlineLevel="2"/>
    <col min="23" max="23" width="5.85546875" style="396" hidden="1" customWidth="1" outlineLevel="2"/>
    <col min="24" max="25" width="6.85546875" style="396" hidden="1" customWidth="1" outlineLevel="2"/>
    <col min="26" max="26" width="8.28515625" style="396" hidden="1" customWidth="1" outlineLevel="2"/>
    <col min="27" max="27" width="9.140625" style="396" hidden="1" customWidth="1" outlineLevel="2"/>
    <col min="28" max="28" width="12.140625" style="396" hidden="1" customWidth="1" outlineLevel="2"/>
    <col min="29" max="31" width="5.42578125" style="401" hidden="1" customWidth="1" outlineLevel="2"/>
    <col min="32" max="32" width="5.85546875" style="401" hidden="1" customWidth="1" outlineLevel="2"/>
    <col min="33" max="33" width="5.42578125" style="401" hidden="1" customWidth="1" outlineLevel="2"/>
    <col min="34" max="34" width="5.28515625" style="401" hidden="1" customWidth="1" outlineLevel="2"/>
    <col min="35" max="35" width="11.42578125" style="401" customWidth="1" collapsed="1"/>
    <col min="36" max="36" width="11.42578125" style="401" customWidth="1"/>
    <col min="37" max="16384" width="11.42578125" style="401"/>
  </cols>
  <sheetData>
    <row r="1" spans="1:34">
      <c r="A1" s="629"/>
      <c r="B1" s="630"/>
      <c r="C1" s="646"/>
      <c r="D1" s="636"/>
      <c r="E1" s="636"/>
      <c r="F1" s="635" t="s">
        <v>65</v>
      </c>
      <c r="G1" s="636"/>
      <c r="H1" s="636"/>
      <c r="I1" s="636"/>
      <c r="J1" s="636"/>
      <c r="K1" s="636"/>
      <c r="L1" s="643" t="s">
        <v>591</v>
      </c>
      <c r="M1" s="37"/>
      <c r="N1" s="37"/>
      <c r="O1" s="37"/>
      <c r="Q1" s="622" t="s">
        <v>667</v>
      </c>
      <c r="R1" s="1589"/>
      <c r="S1" s="1590"/>
      <c r="T1" s="1590"/>
      <c r="U1" s="1590"/>
      <c r="V1" s="1590"/>
      <c r="W1" s="1590"/>
    </row>
    <row r="2" spans="1:34" ht="38.25" customHeight="1">
      <c r="A2" s="629"/>
      <c r="B2" s="631"/>
      <c r="C2" s="646" t="s">
        <v>67</v>
      </c>
      <c r="D2" s="637">
        <v>3503</v>
      </c>
      <c r="E2" s="637">
        <v>3504</v>
      </c>
      <c r="F2" s="637">
        <v>3702</v>
      </c>
      <c r="G2" s="637">
        <v>3703</v>
      </c>
      <c r="H2" s="637">
        <v>3506</v>
      </c>
      <c r="I2" s="637">
        <v>3507</v>
      </c>
      <c r="J2" s="637">
        <v>3508</v>
      </c>
      <c r="K2" s="637">
        <v>3706</v>
      </c>
      <c r="L2" s="637">
        <v>3707</v>
      </c>
      <c r="M2" s="638">
        <v>3708</v>
      </c>
      <c r="N2" s="638">
        <v>3709</v>
      </c>
      <c r="O2" s="639">
        <v>3792</v>
      </c>
      <c r="Q2" s="97" t="s">
        <v>81</v>
      </c>
      <c r="R2" s="678" t="s">
        <v>82</v>
      </c>
      <c r="S2" s="678" t="s">
        <v>83</v>
      </c>
      <c r="T2" s="678" t="s">
        <v>84</v>
      </c>
      <c r="U2" s="678" t="s">
        <v>85</v>
      </c>
      <c r="V2" s="678" t="s">
        <v>86</v>
      </c>
      <c r="W2" s="678" t="s">
        <v>87</v>
      </c>
      <c r="X2" s="679" t="s">
        <v>88</v>
      </c>
      <c r="Y2" s="679" t="s">
        <v>89</v>
      </c>
      <c r="Z2" s="679" t="s">
        <v>90</v>
      </c>
      <c r="AA2" s="679" t="s">
        <v>91</v>
      </c>
      <c r="AB2" s="679" t="s">
        <v>92</v>
      </c>
      <c r="AC2" s="680" t="s">
        <v>82</v>
      </c>
      <c r="AD2" s="680" t="s">
        <v>83</v>
      </c>
      <c r="AE2" s="680" t="s">
        <v>84</v>
      </c>
      <c r="AF2" s="680" t="s">
        <v>85</v>
      </c>
      <c r="AG2" s="680" t="s">
        <v>86</v>
      </c>
      <c r="AH2" s="680" t="s">
        <v>87</v>
      </c>
    </row>
    <row r="3" spans="1:34" ht="101.25" customHeight="1">
      <c r="A3" s="632" t="s">
        <v>68</v>
      </c>
      <c r="B3" s="633"/>
      <c r="C3" s="646">
        <v>401</v>
      </c>
      <c r="D3" s="448" t="s">
        <v>69</v>
      </c>
      <c r="E3" s="448" t="s">
        <v>70</v>
      </c>
      <c r="F3" s="449" t="s">
        <v>71</v>
      </c>
      <c r="G3" s="4" t="s">
        <v>72</v>
      </c>
      <c r="H3" s="4" t="s">
        <v>73</v>
      </c>
      <c r="I3" s="4" t="s">
        <v>74</v>
      </c>
      <c r="J3" s="4" t="s">
        <v>75</v>
      </c>
      <c r="K3" s="4" t="s">
        <v>76</v>
      </c>
      <c r="L3" s="616" t="s">
        <v>593</v>
      </c>
      <c r="M3" s="621" t="s">
        <v>78</v>
      </c>
      <c r="N3" s="621" t="s">
        <v>79</v>
      </c>
      <c r="O3" s="622" t="s">
        <v>80</v>
      </c>
      <c r="Q3" s="101"/>
      <c r="R3" s="661" t="s">
        <v>668</v>
      </c>
      <c r="S3" s="660"/>
      <c r="T3" s="660"/>
      <c r="U3" s="660"/>
      <c r="V3" s="660"/>
      <c r="W3" s="660"/>
      <c r="X3" s="667"/>
      <c r="Y3" s="667"/>
      <c r="Z3" s="666" t="s">
        <v>95</v>
      </c>
      <c r="AA3" s="666" t="s">
        <v>95</v>
      </c>
      <c r="AB3" s="674"/>
      <c r="AC3" s="675"/>
      <c r="AD3" s="675"/>
      <c r="AE3" s="675"/>
      <c r="AF3" s="675"/>
      <c r="AG3" s="675"/>
      <c r="AH3" s="675"/>
    </row>
    <row r="4" spans="1:34" ht="12">
      <c r="A4" s="629"/>
      <c r="B4" s="633"/>
      <c r="C4" s="646">
        <v>662</v>
      </c>
      <c r="D4" s="449"/>
      <c r="E4" s="449"/>
      <c r="F4" s="449" t="s">
        <v>72</v>
      </c>
      <c r="G4" s="449"/>
      <c r="H4" s="449"/>
      <c r="I4" s="449"/>
      <c r="J4" s="449"/>
      <c r="K4" s="449"/>
      <c r="L4" s="616" t="s">
        <v>340</v>
      </c>
      <c r="M4" s="623"/>
      <c r="N4" s="623"/>
      <c r="O4" s="624"/>
      <c r="Q4" s="101"/>
      <c r="R4" s="662" t="s">
        <v>94</v>
      </c>
      <c r="S4" s="663"/>
      <c r="T4" s="663"/>
      <c r="U4" s="663"/>
      <c r="V4" s="663"/>
      <c r="W4" s="663"/>
      <c r="X4" s="668"/>
      <c r="Y4" s="668"/>
      <c r="Z4" s="669"/>
      <c r="AA4" s="669"/>
      <c r="AB4" s="669"/>
      <c r="AC4" s="675"/>
      <c r="AD4" s="675"/>
      <c r="AE4" s="675"/>
      <c r="AF4" s="675"/>
      <c r="AG4" s="675"/>
      <c r="AH4" s="675"/>
    </row>
    <row r="5" spans="1:34" ht="12">
      <c r="A5" s="629"/>
      <c r="B5" s="633"/>
      <c r="C5" s="646">
        <v>493</v>
      </c>
      <c r="D5" s="449"/>
      <c r="E5" s="449"/>
      <c r="F5" s="449" t="s">
        <v>75</v>
      </c>
      <c r="G5" s="449"/>
      <c r="H5" s="449"/>
      <c r="I5" s="449"/>
      <c r="J5" s="449"/>
      <c r="K5" s="449"/>
      <c r="L5" s="616">
        <v>1</v>
      </c>
      <c r="M5" s="623"/>
      <c r="N5" s="623"/>
      <c r="O5" s="624"/>
      <c r="Q5" s="101"/>
      <c r="R5" s="663"/>
      <c r="S5" s="663"/>
      <c r="T5" s="663"/>
      <c r="U5" s="663"/>
      <c r="V5" s="663"/>
      <c r="W5" s="663"/>
      <c r="X5" s="668"/>
      <c r="Y5" s="668"/>
      <c r="Z5" s="668"/>
      <c r="AA5" s="668"/>
      <c r="AB5" s="668"/>
      <c r="AC5" s="675"/>
      <c r="AD5" s="675"/>
      <c r="AE5" s="675"/>
      <c r="AF5" s="675"/>
      <c r="AG5" s="675"/>
      <c r="AH5" s="675"/>
    </row>
    <row r="6" spans="1:34" ht="13.5" customHeight="1">
      <c r="A6" s="629"/>
      <c r="B6" s="633"/>
      <c r="C6" s="646">
        <v>403</v>
      </c>
      <c r="D6" s="449"/>
      <c r="E6" s="449"/>
      <c r="F6" s="449" t="s">
        <v>76</v>
      </c>
      <c r="G6" s="449"/>
      <c r="H6" s="449"/>
      <c r="I6" s="449"/>
      <c r="J6" s="449"/>
      <c r="K6" s="449"/>
      <c r="L6" s="616" t="s">
        <v>144</v>
      </c>
      <c r="M6" s="623"/>
      <c r="N6" s="623"/>
      <c r="O6" s="624"/>
      <c r="Q6" s="101"/>
      <c r="R6" s="664"/>
      <c r="S6" s="664"/>
      <c r="T6" s="664"/>
      <c r="U6" s="664"/>
      <c r="V6" s="664"/>
      <c r="W6" s="664"/>
      <c r="X6" s="668"/>
      <c r="Y6" s="668"/>
      <c r="Z6" s="670"/>
      <c r="AA6" s="670"/>
      <c r="AB6" s="676"/>
      <c r="AC6" s="675"/>
      <c r="AD6" s="675"/>
      <c r="AE6" s="675"/>
      <c r="AF6" s="675"/>
      <c r="AG6" s="675"/>
      <c r="AH6" s="675"/>
    </row>
    <row r="7" spans="1:34">
      <c r="A7" s="629"/>
      <c r="B7" s="634"/>
      <c r="C7" s="645"/>
      <c r="D7" s="625" t="s">
        <v>98</v>
      </c>
      <c r="E7" s="626">
        <v>0</v>
      </c>
      <c r="F7" s="617" t="s">
        <v>669</v>
      </c>
      <c r="G7" s="618" t="s">
        <v>669</v>
      </c>
      <c r="H7" s="619"/>
      <c r="I7" s="619"/>
      <c r="J7" s="620" t="s">
        <v>670</v>
      </c>
      <c r="K7" s="618" t="s">
        <v>670</v>
      </c>
      <c r="L7" s="618">
        <v>1</v>
      </c>
      <c r="M7" s="311"/>
      <c r="N7" s="312"/>
      <c r="O7" s="313"/>
      <c r="Q7" s="101"/>
      <c r="R7" s="665"/>
      <c r="S7" s="665"/>
      <c r="T7" s="665"/>
      <c r="U7" s="665"/>
      <c r="V7" s="665"/>
      <c r="W7" s="665"/>
      <c r="X7" s="671"/>
      <c r="Y7" s="672"/>
      <c r="Z7" s="673"/>
      <c r="AA7" s="673"/>
      <c r="AB7" s="673"/>
      <c r="AC7" s="677"/>
      <c r="AD7" s="677"/>
      <c r="AE7" s="677"/>
      <c r="AF7" s="677"/>
      <c r="AG7" s="677"/>
      <c r="AH7" s="677"/>
    </row>
    <row r="8" spans="1:34">
      <c r="A8" s="627">
        <v>268743</v>
      </c>
      <c r="B8" s="681" t="s">
        <v>671</v>
      </c>
      <c r="C8" s="644"/>
      <c r="D8" s="647">
        <v>5</v>
      </c>
      <c r="E8" s="648" t="s">
        <v>98</v>
      </c>
      <c r="F8" s="649" t="s">
        <v>672</v>
      </c>
      <c r="G8" s="650" t="s">
        <v>103</v>
      </c>
      <c r="H8" s="651" t="s">
        <v>98</v>
      </c>
      <c r="I8" s="652" t="s">
        <v>98</v>
      </c>
      <c r="J8" s="653">
        <v>0</v>
      </c>
      <c r="K8" s="650" t="s">
        <v>96</v>
      </c>
      <c r="L8" s="650">
        <v>10245675.6</v>
      </c>
      <c r="M8" s="654">
        <v>1</v>
      </c>
      <c r="N8" s="655">
        <f t="shared" ref="N8:N39" si="0">AA8</f>
        <v>1.2620910621938648</v>
      </c>
      <c r="O8" s="656" t="str">
        <f t="shared" ref="O8:O39" si="1">AB8&amp;"; "&amp;Q8</f>
        <v>(3,4,1,3,1,5); Brailovsky et al. (2024)</v>
      </c>
      <c r="Q8" s="216" t="s">
        <v>673</v>
      </c>
      <c r="R8" s="648">
        <v>3</v>
      </c>
      <c r="S8" s="648">
        <v>4</v>
      </c>
      <c r="T8" s="648">
        <v>1</v>
      </c>
      <c r="U8" s="648">
        <v>3</v>
      </c>
      <c r="V8" s="648">
        <v>1</v>
      </c>
      <c r="W8" s="648">
        <v>5</v>
      </c>
      <c r="X8" s="672">
        <v>3</v>
      </c>
      <c r="Y8" s="672">
        <v>1.05</v>
      </c>
      <c r="Z8" s="673">
        <f t="shared" ref="Z8:Z39" si="2">EXP(SQRT((LN(AC8)^2)+(LN(AD8)^2)+(LN(AE8)^2)+(LN(AF8)^2)+(LN(AG8)^2)+(LN(AH8)^2)))</f>
        <v>1.2555818742947564</v>
      </c>
      <c r="AA8" s="673">
        <f t="shared" ref="AA8:AA39" si="3">EXP(SQRT((LN(AC8)^2)+(LN(AD8)^2)+(LN(AE8)^2)+(LN(AF8)^2)+(LN(AG8)^2)+(LN(AH8)^2)+LN(Y8)^2))</f>
        <v>1.2620910621938648</v>
      </c>
      <c r="AB8" s="673" t="str">
        <f t="shared" ref="AB8:AB39" si="4">CONCATENATE("(",R8,",",S8,",",T8,",",U8,",",V8,",",W8,")")</f>
        <v>(3,4,1,3,1,5)</v>
      </c>
      <c r="AC8" s="677">
        <v>1.1000000000000001</v>
      </c>
      <c r="AD8" s="677">
        <v>1.1000000000000001</v>
      </c>
      <c r="AE8" s="677">
        <v>1</v>
      </c>
      <c r="AF8" s="677">
        <v>1.02</v>
      </c>
      <c r="AG8" s="677">
        <v>1</v>
      </c>
      <c r="AH8" s="677">
        <v>1.2</v>
      </c>
    </row>
    <row r="9" spans="1:34">
      <c r="A9" s="627">
        <v>269089</v>
      </c>
      <c r="B9" s="641" t="s">
        <v>674</v>
      </c>
      <c r="C9" s="644"/>
      <c r="D9" s="647">
        <v>5</v>
      </c>
      <c r="E9" s="648" t="s">
        <v>98</v>
      </c>
      <c r="F9" s="649" t="s">
        <v>675</v>
      </c>
      <c r="G9" s="650" t="s">
        <v>93</v>
      </c>
      <c r="H9" s="651" t="s">
        <v>98</v>
      </c>
      <c r="I9" s="652" t="s">
        <v>98</v>
      </c>
      <c r="J9" s="653">
        <v>0</v>
      </c>
      <c r="K9" s="650" t="s">
        <v>96</v>
      </c>
      <c r="L9" s="650">
        <v>6460.2</v>
      </c>
      <c r="M9" s="654">
        <v>1</v>
      </c>
      <c r="N9" s="655">
        <f t="shared" si="0"/>
        <v>1.2620910621938648</v>
      </c>
      <c r="O9" s="656" t="str">
        <f t="shared" si="1"/>
        <v>(3,4,1,3,1,5); Brailovsky et al. (2024) AlMg3 iso AlLi</v>
      </c>
      <c r="Q9" s="216" t="s">
        <v>676</v>
      </c>
      <c r="R9" s="648">
        <v>3</v>
      </c>
      <c r="S9" s="648">
        <v>4</v>
      </c>
      <c r="T9" s="648">
        <v>1</v>
      </c>
      <c r="U9" s="648">
        <v>3</v>
      </c>
      <c r="V9" s="648">
        <v>1</v>
      </c>
      <c r="W9" s="648">
        <v>5</v>
      </c>
      <c r="X9" s="672">
        <v>3</v>
      </c>
      <c r="Y9" s="672">
        <v>1.05</v>
      </c>
      <c r="Z9" s="673">
        <f t="shared" si="2"/>
        <v>1.2555818742947564</v>
      </c>
      <c r="AA9" s="673">
        <f t="shared" si="3"/>
        <v>1.2620910621938648</v>
      </c>
      <c r="AB9" s="673" t="str">
        <f t="shared" si="4"/>
        <v>(3,4,1,3,1,5)</v>
      </c>
      <c r="AC9" s="677">
        <v>1.1000000000000001</v>
      </c>
      <c r="AD9" s="677">
        <v>1.1000000000000001</v>
      </c>
      <c r="AE9" s="677">
        <v>1</v>
      </c>
      <c r="AF9" s="677">
        <v>1.02</v>
      </c>
      <c r="AG9" s="677">
        <v>1</v>
      </c>
      <c r="AH9" s="677">
        <v>1.2</v>
      </c>
    </row>
    <row r="10" spans="1:34" ht="24" customHeight="1">
      <c r="A10" s="627">
        <v>263015</v>
      </c>
      <c r="B10" s="634"/>
      <c r="C10" s="644"/>
      <c r="D10" s="647">
        <v>5</v>
      </c>
      <c r="E10" s="648" t="s">
        <v>98</v>
      </c>
      <c r="F10" s="649" t="s">
        <v>677</v>
      </c>
      <c r="G10" s="650" t="s">
        <v>103</v>
      </c>
      <c r="H10" s="651" t="s">
        <v>98</v>
      </c>
      <c r="I10" s="652" t="s">
        <v>98</v>
      </c>
      <c r="J10" s="653">
        <v>0</v>
      </c>
      <c r="K10" s="650" t="s">
        <v>96</v>
      </c>
      <c r="L10" s="650">
        <v>33359</v>
      </c>
      <c r="M10" s="654">
        <v>1</v>
      </c>
      <c r="N10" s="655">
        <f t="shared" si="0"/>
        <v>1.2620910621938648</v>
      </c>
      <c r="O10" s="656" t="str">
        <f t="shared" si="1"/>
        <v>(3,4,1,3,1,5); Brailovsky et al. (2024)</v>
      </c>
      <c r="Q10" s="216" t="s">
        <v>673</v>
      </c>
      <c r="R10" s="648">
        <v>3</v>
      </c>
      <c r="S10" s="648">
        <v>4</v>
      </c>
      <c r="T10" s="648">
        <v>1</v>
      </c>
      <c r="U10" s="648">
        <v>3</v>
      </c>
      <c r="V10" s="648">
        <v>1</v>
      </c>
      <c r="W10" s="648">
        <v>5</v>
      </c>
      <c r="X10" s="672">
        <v>3</v>
      </c>
      <c r="Y10" s="672">
        <v>1.05</v>
      </c>
      <c r="Z10" s="673">
        <f t="shared" si="2"/>
        <v>1.2555818742947564</v>
      </c>
      <c r="AA10" s="673">
        <f t="shared" si="3"/>
        <v>1.2620910621938648</v>
      </c>
      <c r="AB10" s="673" t="str">
        <f t="shared" si="4"/>
        <v>(3,4,1,3,1,5)</v>
      </c>
      <c r="AC10" s="677">
        <v>1.1000000000000001</v>
      </c>
      <c r="AD10" s="677">
        <v>1.1000000000000001</v>
      </c>
      <c r="AE10" s="677">
        <v>1</v>
      </c>
      <c r="AF10" s="677">
        <v>1.02</v>
      </c>
      <c r="AG10" s="677">
        <v>1</v>
      </c>
      <c r="AH10" s="677">
        <v>1.2</v>
      </c>
    </row>
    <row r="11" spans="1:34">
      <c r="A11" s="627">
        <v>268459</v>
      </c>
      <c r="B11" s="634"/>
      <c r="C11" s="644"/>
      <c r="D11" s="647">
        <v>5</v>
      </c>
      <c r="E11" s="648" t="s">
        <v>98</v>
      </c>
      <c r="F11" s="649" t="s">
        <v>678</v>
      </c>
      <c r="G11" s="650" t="s">
        <v>93</v>
      </c>
      <c r="H11" s="651" t="s">
        <v>98</v>
      </c>
      <c r="I11" s="652" t="s">
        <v>98</v>
      </c>
      <c r="J11" s="653">
        <v>0</v>
      </c>
      <c r="K11" s="650" t="s">
        <v>679</v>
      </c>
      <c r="L11" s="650">
        <v>23607</v>
      </c>
      <c r="M11" s="654">
        <v>1</v>
      </c>
      <c r="N11" s="655">
        <f t="shared" si="0"/>
        <v>1.2620910621938648</v>
      </c>
      <c r="O11" s="656" t="str">
        <f t="shared" si="1"/>
        <v>(3,4,1,3,1,5); RER iso GLO, prod iso market</v>
      </c>
      <c r="Q11" s="216" t="s">
        <v>680</v>
      </c>
      <c r="R11" s="648">
        <v>3</v>
      </c>
      <c r="S11" s="648">
        <v>4</v>
      </c>
      <c r="T11" s="648">
        <v>1</v>
      </c>
      <c r="U11" s="648">
        <v>3</v>
      </c>
      <c r="V11" s="648">
        <v>1</v>
      </c>
      <c r="W11" s="648">
        <v>5</v>
      </c>
      <c r="X11" s="672">
        <v>3</v>
      </c>
      <c r="Y11" s="672">
        <v>1.05</v>
      </c>
      <c r="Z11" s="673">
        <f t="shared" si="2"/>
        <v>1.2555818742947564</v>
      </c>
      <c r="AA11" s="673">
        <f t="shared" si="3"/>
        <v>1.2620910621938648</v>
      </c>
      <c r="AB11" s="673" t="str">
        <f t="shared" si="4"/>
        <v>(3,4,1,3,1,5)</v>
      </c>
      <c r="AC11" s="677">
        <v>1.1000000000000001</v>
      </c>
      <c r="AD11" s="677">
        <v>1.1000000000000001</v>
      </c>
      <c r="AE11" s="677">
        <v>1</v>
      </c>
      <c r="AF11" s="677">
        <v>1.02</v>
      </c>
      <c r="AG11" s="677">
        <v>1</v>
      </c>
      <c r="AH11" s="677">
        <v>1.2</v>
      </c>
    </row>
    <row r="12" spans="1:34">
      <c r="A12" s="627">
        <v>269423</v>
      </c>
      <c r="B12" s="634"/>
      <c r="C12" s="644"/>
      <c r="D12" s="647">
        <v>5</v>
      </c>
      <c r="E12" s="648" t="s">
        <v>98</v>
      </c>
      <c r="F12" s="649" t="s">
        <v>681</v>
      </c>
      <c r="G12" s="650" t="s">
        <v>93</v>
      </c>
      <c r="H12" s="651" t="s">
        <v>98</v>
      </c>
      <c r="I12" s="652" t="s">
        <v>98</v>
      </c>
      <c r="J12" s="653">
        <v>0</v>
      </c>
      <c r="K12" s="650" t="s">
        <v>96</v>
      </c>
      <c r="L12" s="650">
        <v>6460.2</v>
      </c>
      <c r="M12" s="654">
        <v>1</v>
      </c>
      <c r="N12" s="655">
        <f t="shared" si="0"/>
        <v>1.2620910621938648</v>
      </c>
      <c r="O12" s="656" t="str">
        <f t="shared" si="1"/>
        <v>(3,4,1,3,1,5); RER iso GLO, prod iso market</v>
      </c>
      <c r="Q12" s="216" t="s">
        <v>680</v>
      </c>
      <c r="R12" s="648">
        <v>3</v>
      </c>
      <c r="S12" s="648">
        <v>4</v>
      </c>
      <c r="T12" s="648">
        <v>1</v>
      </c>
      <c r="U12" s="648">
        <v>3</v>
      </c>
      <c r="V12" s="648">
        <v>1</v>
      </c>
      <c r="W12" s="648">
        <v>5</v>
      </c>
      <c r="X12" s="672">
        <v>3</v>
      </c>
      <c r="Y12" s="672">
        <v>1.05</v>
      </c>
      <c r="Z12" s="673">
        <f t="shared" si="2"/>
        <v>1.2555818742947564</v>
      </c>
      <c r="AA12" s="673">
        <f t="shared" si="3"/>
        <v>1.2620910621938648</v>
      </c>
      <c r="AB12" s="673" t="str">
        <f t="shared" si="4"/>
        <v>(3,4,1,3,1,5)</v>
      </c>
      <c r="AC12" s="677">
        <v>1.1000000000000001</v>
      </c>
      <c r="AD12" s="677">
        <v>1.1000000000000001</v>
      </c>
      <c r="AE12" s="677">
        <v>1</v>
      </c>
      <c r="AF12" s="677">
        <v>1.02</v>
      </c>
      <c r="AG12" s="677">
        <v>1</v>
      </c>
      <c r="AH12" s="677">
        <v>1.2</v>
      </c>
    </row>
    <row r="13" spans="1:34">
      <c r="A13" s="627">
        <v>269445</v>
      </c>
      <c r="B13" s="640"/>
      <c r="C13" s="644"/>
      <c r="D13" s="647">
        <v>5</v>
      </c>
      <c r="E13" s="648" t="s">
        <v>98</v>
      </c>
      <c r="F13" s="649" t="s">
        <v>682</v>
      </c>
      <c r="G13" s="650" t="s">
        <v>93</v>
      </c>
      <c r="H13" s="651" t="s">
        <v>98</v>
      </c>
      <c r="I13" s="652" t="s">
        <v>98</v>
      </c>
      <c r="J13" s="653">
        <v>0</v>
      </c>
      <c r="K13" s="650" t="s">
        <v>96</v>
      </c>
      <c r="L13" s="650">
        <v>185031</v>
      </c>
      <c r="M13" s="654">
        <v>1</v>
      </c>
      <c r="N13" s="655">
        <f t="shared" si="0"/>
        <v>1.2620910621938648</v>
      </c>
      <c r="O13" s="656" t="str">
        <f t="shared" si="1"/>
        <v>(3,4,1,3,1,5); Brailovsky et al. (2024)</v>
      </c>
      <c r="Q13" s="216" t="s">
        <v>673</v>
      </c>
      <c r="R13" s="648">
        <v>3</v>
      </c>
      <c r="S13" s="648">
        <v>4</v>
      </c>
      <c r="T13" s="648">
        <v>1</v>
      </c>
      <c r="U13" s="648">
        <v>3</v>
      </c>
      <c r="V13" s="648">
        <v>1</v>
      </c>
      <c r="W13" s="648">
        <v>5</v>
      </c>
      <c r="X13" s="672">
        <v>3</v>
      </c>
      <c r="Y13" s="672">
        <v>1.05</v>
      </c>
      <c r="Z13" s="673">
        <f t="shared" si="2"/>
        <v>1.2555818742947564</v>
      </c>
      <c r="AA13" s="673">
        <f t="shared" si="3"/>
        <v>1.2620910621938648</v>
      </c>
      <c r="AB13" s="673" t="str">
        <f t="shared" si="4"/>
        <v>(3,4,1,3,1,5)</v>
      </c>
      <c r="AC13" s="677">
        <v>1.1000000000000001</v>
      </c>
      <c r="AD13" s="677">
        <v>1.1000000000000001</v>
      </c>
      <c r="AE13" s="677">
        <v>1</v>
      </c>
      <c r="AF13" s="677">
        <v>1.02</v>
      </c>
      <c r="AG13" s="677">
        <v>1</v>
      </c>
      <c r="AH13" s="677">
        <v>1.2</v>
      </c>
    </row>
    <row r="14" spans="1:34">
      <c r="A14" s="627">
        <v>266627</v>
      </c>
      <c r="B14" s="640"/>
      <c r="C14" s="644"/>
      <c r="D14" s="647">
        <v>5</v>
      </c>
      <c r="E14" s="648" t="s">
        <v>98</v>
      </c>
      <c r="F14" s="649" t="s">
        <v>634</v>
      </c>
      <c r="G14" s="650" t="s">
        <v>93</v>
      </c>
      <c r="H14" s="651" t="s">
        <v>98</v>
      </c>
      <c r="I14" s="652" t="s">
        <v>98</v>
      </c>
      <c r="J14" s="653">
        <v>0</v>
      </c>
      <c r="K14" s="650" t="s">
        <v>96</v>
      </c>
      <c r="L14" s="650">
        <v>185031</v>
      </c>
      <c r="M14" s="654">
        <v>1</v>
      </c>
      <c r="N14" s="655">
        <f t="shared" si="0"/>
        <v>1.2620910621938648</v>
      </c>
      <c r="O14" s="656" t="str">
        <f t="shared" si="1"/>
        <v>(3,4,1,3,1,5); Brailovsky et al. (2024)</v>
      </c>
      <c r="Q14" s="216" t="s">
        <v>673</v>
      </c>
      <c r="R14" s="648">
        <v>3</v>
      </c>
      <c r="S14" s="648">
        <v>4</v>
      </c>
      <c r="T14" s="648">
        <v>1</v>
      </c>
      <c r="U14" s="648">
        <v>3</v>
      </c>
      <c r="V14" s="648">
        <v>1</v>
      </c>
      <c r="W14" s="648">
        <v>5</v>
      </c>
      <c r="X14" s="672">
        <v>3</v>
      </c>
      <c r="Y14" s="672">
        <v>1.05</v>
      </c>
      <c r="Z14" s="673">
        <f t="shared" si="2"/>
        <v>1.2555818742947564</v>
      </c>
      <c r="AA14" s="673">
        <f t="shared" si="3"/>
        <v>1.2620910621938648</v>
      </c>
      <c r="AB14" s="673" t="str">
        <f t="shared" si="4"/>
        <v>(3,4,1,3,1,5)</v>
      </c>
      <c r="AC14" s="677">
        <v>1.1000000000000001</v>
      </c>
      <c r="AD14" s="677">
        <v>1.1000000000000001</v>
      </c>
      <c r="AE14" s="677">
        <v>1</v>
      </c>
      <c r="AF14" s="677">
        <v>1.02</v>
      </c>
      <c r="AG14" s="677">
        <v>1</v>
      </c>
      <c r="AH14" s="677">
        <v>1.2</v>
      </c>
    </row>
    <row r="15" spans="1:34">
      <c r="A15" s="627">
        <v>268933</v>
      </c>
      <c r="B15" s="634"/>
      <c r="C15" s="644"/>
      <c r="D15" s="647">
        <v>5</v>
      </c>
      <c r="E15" s="648" t="s">
        <v>98</v>
      </c>
      <c r="F15" s="649" t="s">
        <v>683</v>
      </c>
      <c r="G15" s="650" t="s">
        <v>93</v>
      </c>
      <c r="H15" s="651" t="s">
        <v>98</v>
      </c>
      <c r="I15" s="652" t="s">
        <v>98</v>
      </c>
      <c r="J15" s="653">
        <v>0</v>
      </c>
      <c r="K15" s="650" t="s">
        <v>679</v>
      </c>
      <c r="L15" s="650">
        <v>1665</v>
      </c>
      <c r="M15" s="654">
        <v>1</v>
      </c>
      <c r="N15" s="655">
        <f t="shared" si="0"/>
        <v>1.2620910621938648</v>
      </c>
      <c r="O15" s="656" t="str">
        <f t="shared" si="1"/>
        <v>(3,4,1,3,1,5); Brailovsky et al. (2024)</v>
      </c>
      <c r="Q15" s="216" t="s">
        <v>673</v>
      </c>
      <c r="R15" s="648">
        <v>3</v>
      </c>
      <c r="S15" s="648">
        <v>4</v>
      </c>
      <c r="T15" s="648">
        <v>1</v>
      </c>
      <c r="U15" s="648">
        <v>3</v>
      </c>
      <c r="V15" s="648">
        <v>1</v>
      </c>
      <c r="W15" s="648">
        <v>5</v>
      </c>
      <c r="X15" s="672">
        <v>3</v>
      </c>
      <c r="Y15" s="672">
        <v>1.05</v>
      </c>
      <c r="Z15" s="673">
        <f t="shared" si="2"/>
        <v>1.2555818742947564</v>
      </c>
      <c r="AA15" s="673">
        <f t="shared" si="3"/>
        <v>1.2620910621938648</v>
      </c>
      <c r="AB15" s="673" t="str">
        <f t="shared" si="4"/>
        <v>(3,4,1,3,1,5)</v>
      </c>
      <c r="AC15" s="677">
        <v>1.1000000000000001</v>
      </c>
      <c r="AD15" s="677">
        <v>1.1000000000000001</v>
      </c>
      <c r="AE15" s="677">
        <v>1</v>
      </c>
      <c r="AF15" s="677">
        <v>1.02</v>
      </c>
      <c r="AG15" s="677">
        <v>1</v>
      </c>
      <c r="AH15" s="677">
        <v>1.2</v>
      </c>
    </row>
    <row r="16" spans="1:34" ht="36" customHeight="1">
      <c r="A16" s="627">
        <v>256002</v>
      </c>
      <c r="B16" s="641" t="s">
        <v>684</v>
      </c>
      <c r="C16" s="644"/>
      <c r="D16" s="647">
        <v>5</v>
      </c>
      <c r="E16" s="648" t="s">
        <v>98</v>
      </c>
      <c r="F16" s="649" t="s">
        <v>685</v>
      </c>
      <c r="G16" s="650" t="s">
        <v>103</v>
      </c>
      <c r="H16" s="651" t="s">
        <v>98</v>
      </c>
      <c r="I16" s="652" t="s">
        <v>98</v>
      </c>
      <c r="J16" s="653">
        <v>0</v>
      </c>
      <c r="K16" s="650" t="s">
        <v>679</v>
      </c>
      <c r="L16" s="650">
        <f>236.1/0.2</f>
        <v>1180.5</v>
      </c>
      <c r="M16" s="654">
        <v>1</v>
      </c>
      <c r="N16" s="655">
        <f t="shared" si="0"/>
        <v>1.2620910621938648</v>
      </c>
      <c r="O16" s="656" t="str">
        <f t="shared" si="1"/>
        <v>(3,4,1,3,1,5); Brailovsky et al. (2024): CH iso RER; iso bisphenol A epoxy based vinyl ester resin; Assumption 200g/m^2</v>
      </c>
      <c r="Q16" s="216" t="s">
        <v>686</v>
      </c>
      <c r="R16" s="648">
        <v>3</v>
      </c>
      <c r="S16" s="648">
        <v>4</v>
      </c>
      <c r="T16" s="648">
        <v>1</v>
      </c>
      <c r="U16" s="648">
        <v>3</v>
      </c>
      <c r="V16" s="648">
        <v>1</v>
      </c>
      <c r="W16" s="648">
        <v>5</v>
      </c>
      <c r="X16" s="672">
        <v>3</v>
      </c>
      <c r="Y16" s="672">
        <v>1.05</v>
      </c>
      <c r="Z16" s="673">
        <f t="shared" si="2"/>
        <v>1.2555818742947564</v>
      </c>
      <c r="AA16" s="673">
        <f t="shared" si="3"/>
        <v>1.2620910621938648</v>
      </c>
      <c r="AB16" s="673" t="str">
        <f t="shared" si="4"/>
        <v>(3,4,1,3,1,5)</v>
      </c>
      <c r="AC16" s="677">
        <v>1.1000000000000001</v>
      </c>
      <c r="AD16" s="677">
        <v>1.1000000000000001</v>
      </c>
      <c r="AE16" s="677">
        <v>1</v>
      </c>
      <c r="AF16" s="677">
        <v>1.02</v>
      </c>
      <c r="AG16" s="677">
        <v>1</v>
      </c>
      <c r="AH16" s="677">
        <v>1.2</v>
      </c>
    </row>
    <row r="17" spans="1:34">
      <c r="A17" s="627">
        <v>77572</v>
      </c>
      <c r="B17" s="640"/>
      <c r="C17" s="644"/>
      <c r="D17" s="647">
        <v>5</v>
      </c>
      <c r="E17" s="648" t="s">
        <v>98</v>
      </c>
      <c r="F17" s="649" t="s">
        <v>687</v>
      </c>
      <c r="G17" s="650" t="s">
        <v>103</v>
      </c>
      <c r="H17" s="651" t="s">
        <v>98</v>
      </c>
      <c r="I17" s="652" t="s">
        <v>98</v>
      </c>
      <c r="J17" s="653">
        <v>0</v>
      </c>
      <c r="K17" s="650" t="s">
        <v>104</v>
      </c>
      <c r="L17" s="650">
        <v>287883.3</v>
      </c>
      <c r="M17" s="654">
        <v>1</v>
      </c>
      <c r="N17" s="655">
        <f t="shared" si="0"/>
        <v>2.0741629046031922</v>
      </c>
      <c r="O17" s="656" t="str">
        <f t="shared" si="1"/>
        <v>(3,4,1,3,1,5); Brailovsky et al. (2024)</v>
      </c>
      <c r="Q17" s="216" t="s">
        <v>673</v>
      </c>
      <c r="R17" s="648">
        <v>3</v>
      </c>
      <c r="S17" s="648">
        <v>4</v>
      </c>
      <c r="T17" s="648">
        <v>1</v>
      </c>
      <c r="U17" s="648">
        <v>3</v>
      </c>
      <c r="V17" s="648">
        <v>1</v>
      </c>
      <c r="W17" s="648">
        <v>5</v>
      </c>
      <c r="X17" s="672">
        <v>5</v>
      </c>
      <c r="Y17" s="672">
        <v>2</v>
      </c>
      <c r="Z17" s="673">
        <f t="shared" si="2"/>
        <v>1.2555818742947564</v>
      </c>
      <c r="AA17" s="673">
        <f t="shared" si="3"/>
        <v>2.0741629046031922</v>
      </c>
      <c r="AB17" s="673" t="str">
        <f t="shared" si="4"/>
        <v>(3,4,1,3,1,5)</v>
      </c>
      <c r="AC17" s="677">
        <v>1.1000000000000001</v>
      </c>
      <c r="AD17" s="677">
        <v>1.1000000000000001</v>
      </c>
      <c r="AE17" s="677">
        <v>1</v>
      </c>
      <c r="AF17" s="677">
        <v>1.02</v>
      </c>
      <c r="AG17" s="677">
        <v>1</v>
      </c>
      <c r="AH17" s="677">
        <v>1.2</v>
      </c>
    </row>
    <row r="18" spans="1:34">
      <c r="A18" s="627">
        <v>79235</v>
      </c>
      <c r="B18" s="640"/>
      <c r="C18" s="644"/>
      <c r="D18" s="647">
        <v>5</v>
      </c>
      <c r="E18" s="648" t="s">
        <v>98</v>
      </c>
      <c r="F18" s="649" t="s">
        <v>688</v>
      </c>
      <c r="G18" s="650" t="s">
        <v>340</v>
      </c>
      <c r="H18" s="651" t="s">
        <v>98</v>
      </c>
      <c r="I18" s="652" t="s">
        <v>98</v>
      </c>
      <c r="J18" s="653">
        <v>0</v>
      </c>
      <c r="K18" s="650" t="s">
        <v>109</v>
      </c>
      <c r="L18" s="650">
        <v>109859.5</v>
      </c>
      <c r="M18" s="654">
        <v>1</v>
      </c>
      <c r="N18" s="655">
        <f t="shared" si="0"/>
        <v>1.2620910621938648</v>
      </c>
      <c r="O18" s="656" t="str">
        <f t="shared" si="1"/>
        <v>(3,4,1,3,1,5); Brailovsky et al. (2024)</v>
      </c>
      <c r="Q18" s="216" t="s">
        <v>673</v>
      </c>
      <c r="R18" s="648">
        <v>3</v>
      </c>
      <c r="S18" s="648">
        <v>4</v>
      </c>
      <c r="T18" s="648">
        <v>1</v>
      </c>
      <c r="U18" s="648">
        <v>3</v>
      </c>
      <c r="V18" s="648">
        <v>1</v>
      </c>
      <c r="W18" s="648">
        <v>5</v>
      </c>
      <c r="X18" s="672">
        <v>3</v>
      </c>
      <c r="Y18" s="672">
        <v>1.05</v>
      </c>
      <c r="Z18" s="673">
        <f t="shared" si="2"/>
        <v>1.2555818742947564</v>
      </c>
      <c r="AA18" s="673">
        <f t="shared" si="3"/>
        <v>1.2620910621938648</v>
      </c>
      <c r="AB18" s="673" t="str">
        <f t="shared" si="4"/>
        <v>(3,4,1,3,1,5)</v>
      </c>
      <c r="AC18" s="677">
        <v>1.1000000000000001</v>
      </c>
      <c r="AD18" s="677">
        <v>1.1000000000000001</v>
      </c>
      <c r="AE18" s="677">
        <v>1</v>
      </c>
      <c r="AF18" s="677">
        <v>1.02</v>
      </c>
      <c r="AG18" s="677">
        <v>1</v>
      </c>
      <c r="AH18" s="677">
        <v>1.2</v>
      </c>
    </row>
    <row r="19" spans="1:34">
      <c r="A19" s="627">
        <v>268949</v>
      </c>
      <c r="B19" s="634"/>
      <c r="C19" s="644"/>
      <c r="D19" s="647">
        <v>5</v>
      </c>
      <c r="E19" s="648" t="s">
        <v>98</v>
      </c>
      <c r="F19" s="649" t="s">
        <v>689</v>
      </c>
      <c r="G19" s="650" t="s">
        <v>93</v>
      </c>
      <c r="H19" s="651" t="s">
        <v>98</v>
      </c>
      <c r="I19" s="652" t="s">
        <v>98</v>
      </c>
      <c r="J19" s="653">
        <v>0</v>
      </c>
      <c r="K19" s="650" t="s">
        <v>119</v>
      </c>
      <c r="L19" s="650">
        <v>1024.7</v>
      </c>
      <c r="M19" s="654">
        <v>1</v>
      </c>
      <c r="N19" s="655">
        <f t="shared" si="0"/>
        <v>1.2620910621938648</v>
      </c>
      <c r="O19" s="656" t="str">
        <f t="shared" si="1"/>
        <v>(3,4,1,3,1,5); Brailovsky et al. (2024)</v>
      </c>
      <c r="Q19" s="216" t="s">
        <v>673</v>
      </c>
      <c r="R19" s="648">
        <v>3</v>
      </c>
      <c r="S19" s="648">
        <v>4</v>
      </c>
      <c r="T19" s="648">
        <v>1</v>
      </c>
      <c r="U19" s="648">
        <v>3</v>
      </c>
      <c r="V19" s="648">
        <v>1</v>
      </c>
      <c r="W19" s="648">
        <v>5</v>
      </c>
      <c r="X19" s="672">
        <v>2</v>
      </c>
      <c r="Y19" s="672">
        <v>1.05</v>
      </c>
      <c r="Z19" s="673">
        <f t="shared" si="2"/>
        <v>1.2555818742947564</v>
      </c>
      <c r="AA19" s="673">
        <f t="shared" si="3"/>
        <v>1.2620910621938648</v>
      </c>
      <c r="AB19" s="673" t="str">
        <f t="shared" si="4"/>
        <v>(3,4,1,3,1,5)</v>
      </c>
      <c r="AC19" s="677">
        <v>1.1000000000000001</v>
      </c>
      <c r="AD19" s="677">
        <v>1.1000000000000001</v>
      </c>
      <c r="AE19" s="677">
        <v>1</v>
      </c>
      <c r="AF19" s="677">
        <v>1.02</v>
      </c>
      <c r="AG19" s="677">
        <v>1</v>
      </c>
      <c r="AH19" s="677">
        <v>1.2</v>
      </c>
    </row>
    <row r="20" spans="1:34" ht="23.25" customHeight="1">
      <c r="A20" s="627">
        <v>267287</v>
      </c>
      <c r="B20" s="640"/>
      <c r="C20" s="644"/>
      <c r="D20" s="647">
        <v>5</v>
      </c>
      <c r="E20" s="648" t="s">
        <v>98</v>
      </c>
      <c r="F20" s="649" t="s">
        <v>690</v>
      </c>
      <c r="G20" s="650" t="s">
        <v>154</v>
      </c>
      <c r="H20" s="651" t="s">
        <v>98</v>
      </c>
      <c r="I20" s="652" t="s">
        <v>98</v>
      </c>
      <c r="J20" s="653">
        <v>0</v>
      </c>
      <c r="K20" s="650" t="s">
        <v>104</v>
      </c>
      <c r="L20" s="650">
        <v>12189.3411728872</v>
      </c>
      <c r="M20" s="654">
        <v>1</v>
      </c>
      <c r="N20" s="655">
        <f t="shared" si="0"/>
        <v>1.2620910621938648</v>
      </c>
      <c r="O20" s="656" t="str">
        <f t="shared" si="1"/>
        <v>(3,4,1,3,1,5); Brailovsky et al. (2024): From machine operation, diesel, &lt;18.64kW, energy density 45.5MJ/kg</v>
      </c>
      <c r="Q20" s="216" t="s">
        <v>691</v>
      </c>
      <c r="R20" s="648">
        <v>3</v>
      </c>
      <c r="S20" s="648">
        <v>4</v>
      </c>
      <c r="T20" s="648">
        <v>1</v>
      </c>
      <c r="U20" s="648">
        <v>3</v>
      </c>
      <c r="V20" s="648">
        <v>1</v>
      </c>
      <c r="W20" s="648">
        <v>5</v>
      </c>
      <c r="X20" s="672">
        <v>1</v>
      </c>
      <c r="Y20" s="672">
        <v>1.05</v>
      </c>
      <c r="Z20" s="673">
        <f t="shared" si="2"/>
        <v>1.2555818742947564</v>
      </c>
      <c r="AA20" s="673">
        <f t="shared" si="3"/>
        <v>1.2620910621938648</v>
      </c>
      <c r="AB20" s="673" t="str">
        <f t="shared" si="4"/>
        <v>(3,4,1,3,1,5)</v>
      </c>
      <c r="AC20" s="677">
        <v>1.1000000000000001</v>
      </c>
      <c r="AD20" s="677">
        <v>1.1000000000000001</v>
      </c>
      <c r="AE20" s="677">
        <v>1</v>
      </c>
      <c r="AF20" s="677">
        <v>1.02</v>
      </c>
      <c r="AG20" s="677">
        <v>1</v>
      </c>
      <c r="AH20" s="677">
        <v>1.2</v>
      </c>
    </row>
    <row r="21" spans="1:34" ht="23.25" customHeight="1">
      <c r="A21" s="627">
        <v>267287</v>
      </c>
      <c r="B21" s="640"/>
      <c r="C21" s="644"/>
      <c r="D21" s="647">
        <v>5</v>
      </c>
      <c r="E21" s="648" t="s">
        <v>98</v>
      </c>
      <c r="F21" s="649" t="s">
        <v>690</v>
      </c>
      <c r="G21" s="650" t="s">
        <v>154</v>
      </c>
      <c r="H21" s="651" t="s">
        <v>98</v>
      </c>
      <c r="I21" s="652" t="s">
        <v>98</v>
      </c>
      <c r="J21" s="653">
        <v>0</v>
      </c>
      <c r="K21" s="650" t="s">
        <v>104</v>
      </c>
      <c r="L21" s="650">
        <v>239886.905809235</v>
      </c>
      <c r="M21" s="654">
        <v>1</v>
      </c>
      <c r="N21" s="655">
        <f t="shared" si="0"/>
        <v>1.2620910621938648</v>
      </c>
      <c r="O21" s="656" t="str">
        <f t="shared" si="1"/>
        <v>(3,4,1,3,1,5); Brailovsky et al. (2024): From machine operation, diesel,  &gt;= 18.64 kW and &lt; 74.57 kW, energy density 45.5MJ/kg</v>
      </c>
      <c r="Q21" s="216" t="s">
        <v>692</v>
      </c>
      <c r="R21" s="648">
        <v>3</v>
      </c>
      <c r="S21" s="648">
        <v>4</v>
      </c>
      <c r="T21" s="648">
        <v>1</v>
      </c>
      <c r="U21" s="648">
        <v>3</v>
      </c>
      <c r="V21" s="648">
        <v>1</v>
      </c>
      <c r="W21" s="648">
        <v>5</v>
      </c>
      <c r="X21" s="672">
        <v>1</v>
      </c>
      <c r="Y21" s="672">
        <v>1.05</v>
      </c>
      <c r="Z21" s="673">
        <f t="shared" si="2"/>
        <v>1.2555818742947564</v>
      </c>
      <c r="AA21" s="673">
        <f t="shared" si="3"/>
        <v>1.2620910621938648</v>
      </c>
      <c r="AB21" s="673" t="str">
        <f t="shared" si="4"/>
        <v>(3,4,1,3,1,5)</v>
      </c>
      <c r="AC21" s="677">
        <v>1.1000000000000001</v>
      </c>
      <c r="AD21" s="677">
        <v>1.1000000000000001</v>
      </c>
      <c r="AE21" s="677">
        <v>1</v>
      </c>
      <c r="AF21" s="677">
        <v>1.02</v>
      </c>
      <c r="AG21" s="677">
        <v>1</v>
      </c>
      <c r="AH21" s="677">
        <v>1.2</v>
      </c>
    </row>
    <row r="22" spans="1:34" ht="23.25" customHeight="1">
      <c r="A22" s="627">
        <v>267287</v>
      </c>
      <c r="B22" s="640"/>
      <c r="C22" s="644"/>
      <c r="D22" s="647">
        <v>5</v>
      </c>
      <c r="E22" s="648" t="s">
        <v>98</v>
      </c>
      <c r="F22" s="649" t="s">
        <v>690</v>
      </c>
      <c r="G22" s="650" t="s">
        <v>154</v>
      </c>
      <c r="H22" s="651" t="s">
        <v>98</v>
      </c>
      <c r="I22" s="652" t="s">
        <v>98</v>
      </c>
      <c r="J22" s="653">
        <v>0</v>
      </c>
      <c r="K22" s="650" t="s">
        <v>104</v>
      </c>
      <c r="L22" s="650">
        <v>20460502.357699301</v>
      </c>
      <c r="M22" s="654">
        <v>1</v>
      </c>
      <c r="N22" s="655">
        <f t="shared" si="0"/>
        <v>1.2620910621938648</v>
      </c>
      <c r="O22" s="656" t="str">
        <f t="shared" si="1"/>
        <v>(3,4,1,3,1,5); Brailovsky et al. (2024): From machine operation, diesel,  &gt;= 74.57 kW, energy density 45.5MJ/kg</v>
      </c>
      <c r="Q22" s="216" t="s">
        <v>693</v>
      </c>
      <c r="R22" s="648">
        <v>3</v>
      </c>
      <c r="S22" s="648">
        <v>4</v>
      </c>
      <c r="T22" s="648">
        <v>1</v>
      </c>
      <c r="U22" s="648">
        <v>3</v>
      </c>
      <c r="V22" s="648">
        <v>1</v>
      </c>
      <c r="W22" s="648">
        <v>5</v>
      </c>
      <c r="X22" s="672">
        <v>1</v>
      </c>
      <c r="Y22" s="672">
        <v>1.05</v>
      </c>
      <c r="Z22" s="673">
        <f t="shared" si="2"/>
        <v>1.2555818742947564</v>
      </c>
      <c r="AA22" s="673">
        <f t="shared" si="3"/>
        <v>1.2620910621938648</v>
      </c>
      <c r="AB22" s="673" t="str">
        <f t="shared" si="4"/>
        <v>(3,4,1,3,1,5)</v>
      </c>
      <c r="AC22" s="677">
        <v>1.1000000000000001</v>
      </c>
      <c r="AD22" s="677">
        <v>1.1000000000000001</v>
      </c>
      <c r="AE22" s="677">
        <v>1</v>
      </c>
      <c r="AF22" s="677">
        <v>1.02</v>
      </c>
      <c r="AG22" s="677">
        <v>1</v>
      </c>
      <c r="AH22" s="677">
        <v>1.2</v>
      </c>
    </row>
    <row r="23" spans="1:34">
      <c r="A23" s="627">
        <v>160371</v>
      </c>
      <c r="B23" s="640"/>
      <c r="C23" s="644"/>
      <c r="D23" s="647">
        <v>5</v>
      </c>
      <c r="E23" s="648" t="s">
        <v>98</v>
      </c>
      <c r="F23" s="649" t="s">
        <v>242</v>
      </c>
      <c r="G23" s="650" t="s">
        <v>93</v>
      </c>
      <c r="H23" s="651" t="s">
        <v>98</v>
      </c>
      <c r="I23" s="652" t="s">
        <v>98</v>
      </c>
      <c r="J23" s="653">
        <v>0</v>
      </c>
      <c r="K23" s="650" t="s">
        <v>115</v>
      </c>
      <c r="L23" s="650">
        <v>245417.4</v>
      </c>
      <c r="M23" s="654">
        <v>1</v>
      </c>
      <c r="N23" s="655">
        <f t="shared" si="0"/>
        <v>2.0741629046031922</v>
      </c>
      <c r="O23" s="656" t="str">
        <f t="shared" si="1"/>
        <v>(3,4,1,3,1,5); Brailovsky et al. (2024)</v>
      </c>
      <c r="Q23" s="216" t="s">
        <v>673</v>
      </c>
      <c r="R23" s="648">
        <v>3</v>
      </c>
      <c r="S23" s="648">
        <v>4</v>
      </c>
      <c r="T23" s="648">
        <v>1</v>
      </c>
      <c r="U23" s="648">
        <v>3</v>
      </c>
      <c r="V23" s="648">
        <v>1</v>
      </c>
      <c r="W23" s="648">
        <v>5</v>
      </c>
      <c r="X23" s="672">
        <v>5</v>
      </c>
      <c r="Y23" s="672">
        <v>2</v>
      </c>
      <c r="Z23" s="673">
        <f t="shared" si="2"/>
        <v>1.2555818742947564</v>
      </c>
      <c r="AA23" s="673">
        <f t="shared" si="3"/>
        <v>2.0741629046031922</v>
      </c>
      <c r="AB23" s="673" t="str">
        <f t="shared" si="4"/>
        <v>(3,4,1,3,1,5)</v>
      </c>
      <c r="AC23" s="677">
        <v>1.1000000000000001</v>
      </c>
      <c r="AD23" s="677">
        <v>1.1000000000000001</v>
      </c>
      <c r="AE23" s="677">
        <v>1</v>
      </c>
      <c r="AF23" s="677">
        <v>1.02</v>
      </c>
      <c r="AG23" s="677">
        <v>1</v>
      </c>
      <c r="AH23" s="677">
        <v>1.2</v>
      </c>
    </row>
    <row r="24" spans="1:34">
      <c r="A24" s="627">
        <v>269641</v>
      </c>
      <c r="B24" s="640"/>
      <c r="C24" s="644"/>
      <c r="D24" s="647">
        <v>5</v>
      </c>
      <c r="E24" s="648" t="s">
        <v>98</v>
      </c>
      <c r="F24" s="649" t="s">
        <v>240</v>
      </c>
      <c r="G24" s="650" t="s">
        <v>93</v>
      </c>
      <c r="H24" s="651" t="s">
        <v>98</v>
      </c>
      <c r="I24" s="652" t="s">
        <v>98</v>
      </c>
      <c r="J24" s="653">
        <v>0</v>
      </c>
      <c r="K24" s="650" t="s">
        <v>115</v>
      </c>
      <c r="L24" s="650">
        <v>454065.9</v>
      </c>
      <c r="M24" s="654">
        <v>1</v>
      </c>
      <c r="N24" s="655">
        <f t="shared" si="0"/>
        <v>2.0741629046031922</v>
      </c>
      <c r="O24" s="656" t="str">
        <f t="shared" si="1"/>
        <v>(3,4,1,3,1,5); Brailovsky et al. (2024)</v>
      </c>
      <c r="Q24" s="216" t="s">
        <v>673</v>
      </c>
      <c r="R24" s="648">
        <v>3</v>
      </c>
      <c r="S24" s="648">
        <v>4</v>
      </c>
      <c r="T24" s="648">
        <v>1</v>
      </c>
      <c r="U24" s="648">
        <v>3</v>
      </c>
      <c r="V24" s="648">
        <v>1</v>
      </c>
      <c r="W24" s="648">
        <v>5</v>
      </c>
      <c r="X24" s="672">
        <v>5</v>
      </c>
      <c r="Y24" s="672">
        <v>2</v>
      </c>
      <c r="Z24" s="673">
        <f t="shared" si="2"/>
        <v>1.2555818742947564</v>
      </c>
      <c r="AA24" s="673">
        <f t="shared" si="3"/>
        <v>2.0741629046031922</v>
      </c>
      <c r="AB24" s="673" t="str">
        <f t="shared" si="4"/>
        <v>(3,4,1,3,1,5)</v>
      </c>
      <c r="AC24" s="677">
        <v>1.1000000000000001</v>
      </c>
      <c r="AD24" s="677">
        <v>1.1000000000000001</v>
      </c>
      <c r="AE24" s="677">
        <v>1</v>
      </c>
      <c r="AF24" s="677">
        <v>1.02</v>
      </c>
      <c r="AG24" s="677">
        <v>1</v>
      </c>
      <c r="AH24" s="677">
        <v>1.2</v>
      </c>
    </row>
    <row r="25" spans="1:34">
      <c r="A25" s="627">
        <v>261895</v>
      </c>
      <c r="B25" s="640"/>
      <c r="C25" s="644"/>
      <c r="D25" s="647">
        <v>5</v>
      </c>
      <c r="E25" s="648" t="s">
        <v>98</v>
      </c>
      <c r="F25" s="649" t="s">
        <v>694</v>
      </c>
      <c r="G25" s="650" t="s">
        <v>245</v>
      </c>
      <c r="H25" s="651" t="s">
        <v>98</v>
      </c>
      <c r="I25" s="652" t="s">
        <v>98</v>
      </c>
      <c r="J25" s="653">
        <v>0</v>
      </c>
      <c r="K25" s="650" t="s">
        <v>115</v>
      </c>
      <c r="L25" s="650">
        <v>94.4</v>
      </c>
      <c r="M25" s="654">
        <v>1</v>
      </c>
      <c r="N25" s="655">
        <f t="shared" si="0"/>
        <v>2.0741629046031922</v>
      </c>
      <c r="O25" s="656" t="str">
        <f t="shared" si="1"/>
        <v>(3,4,1,3,1,5); Brailovsky et al. (2024)</v>
      </c>
      <c r="Q25" s="216" t="s">
        <v>673</v>
      </c>
      <c r="R25" s="648">
        <v>3</v>
      </c>
      <c r="S25" s="648">
        <v>4</v>
      </c>
      <c r="T25" s="648">
        <v>1</v>
      </c>
      <c r="U25" s="648">
        <v>3</v>
      </c>
      <c r="V25" s="648">
        <v>1</v>
      </c>
      <c r="W25" s="648">
        <v>5</v>
      </c>
      <c r="X25" s="672">
        <v>5</v>
      </c>
      <c r="Y25" s="672">
        <v>2</v>
      </c>
      <c r="Z25" s="673">
        <f t="shared" si="2"/>
        <v>1.2555818742947564</v>
      </c>
      <c r="AA25" s="673">
        <f t="shared" si="3"/>
        <v>2.0741629046031922</v>
      </c>
      <c r="AB25" s="673" t="str">
        <f t="shared" si="4"/>
        <v>(3,4,1,3,1,5)</v>
      </c>
      <c r="AC25" s="677">
        <v>1.1000000000000001</v>
      </c>
      <c r="AD25" s="677">
        <v>1.1000000000000001</v>
      </c>
      <c r="AE25" s="677">
        <v>1</v>
      </c>
      <c r="AF25" s="677">
        <v>1.02</v>
      </c>
      <c r="AG25" s="677">
        <v>1</v>
      </c>
      <c r="AH25" s="677">
        <v>1.2</v>
      </c>
    </row>
    <row r="26" spans="1:34" ht="24" customHeight="1">
      <c r="A26" s="627">
        <v>258103</v>
      </c>
      <c r="B26" s="641" t="s">
        <v>695</v>
      </c>
      <c r="C26" s="644"/>
      <c r="D26" s="647">
        <v>5</v>
      </c>
      <c r="E26" s="648" t="s">
        <v>98</v>
      </c>
      <c r="F26" s="649" t="s">
        <v>696</v>
      </c>
      <c r="G26" s="650" t="s">
        <v>103</v>
      </c>
      <c r="H26" s="651" t="s">
        <v>98</v>
      </c>
      <c r="I26" s="652" t="s">
        <v>98</v>
      </c>
      <c r="J26" s="653">
        <v>0</v>
      </c>
      <c r="K26" s="650" t="s">
        <v>679</v>
      </c>
      <c r="L26" s="650">
        <v>28.4</v>
      </c>
      <c r="M26" s="654">
        <v>1</v>
      </c>
      <c r="N26" s="655">
        <f t="shared" si="0"/>
        <v>1.2620910621938648</v>
      </c>
      <c r="O26" s="656" t="str">
        <f t="shared" si="1"/>
        <v>(3,4,1,3,1,5); Brailovsky et al. (2024)</v>
      </c>
      <c r="Q26" s="216" t="s">
        <v>673</v>
      </c>
      <c r="R26" s="648">
        <v>3</v>
      </c>
      <c r="S26" s="648">
        <v>4</v>
      </c>
      <c r="T26" s="648">
        <v>1</v>
      </c>
      <c r="U26" s="648">
        <v>3</v>
      </c>
      <c r="V26" s="648">
        <v>1</v>
      </c>
      <c r="W26" s="648">
        <v>5</v>
      </c>
      <c r="X26" s="672">
        <v>3</v>
      </c>
      <c r="Y26" s="672">
        <v>1.05</v>
      </c>
      <c r="Z26" s="673">
        <f t="shared" si="2"/>
        <v>1.2555818742947564</v>
      </c>
      <c r="AA26" s="673">
        <f t="shared" si="3"/>
        <v>1.2620910621938648</v>
      </c>
      <c r="AB26" s="673" t="str">
        <f t="shared" si="4"/>
        <v>(3,4,1,3,1,5)</v>
      </c>
      <c r="AC26" s="677">
        <v>1.1000000000000001</v>
      </c>
      <c r="AD26" s="677">
        <v>1.1000000000000001</v>
      </c>
      <c r="AE26" s="677">
        <v>1</v>
      </c>
      <c r="AF26" s="677">
        <v>1.02</v>
      </c>
      <c r="AG26" s="677">
        <v>1</v>
      </c>
      <c r="AH26" s="677">
        <v>1.2</v>
      </c>
    </row>
    <row r="27" spans="1:34">
      <c r="A27" s="627">
        <v>79235</v>
      </c>
      <c r="B27" s="640"/>
      <c r="C27" s="644"/>
      <c r="D27" s="647">
        <v>5</v>
      </c>
      <c r="E27" s="648" t="s">
        <v>98</v>
      </c>
      <c r="F27" s="649" t="s">
        <v>688</v>
      </c>
      <c r="G27" s="650" t="s">
        <v>340</v>
      </c>
      <c r="H27" s="651" t="s">
        <v>98</v>
      </c>
      <c r="I27" s="652" t="s">
        <v>98</v>
      </c>
      <c r="J27" s="653">
        <v>0</v>
      </c>
      <c r="K27" s="650" t="s">
        <v>109</v>
      </c>
      <c r="L27" s="650">
        <v>1182.0999999999999</v>
      </c>
      <c r="M27" s="654">
        <v>1</v>
      </c>
      <c r="N27" s="655">
        <f t="shared" si="0"/>
        <v>1.2620910621938648</v>
      </c>
      <c r="O27" s="656" t="str">
        <f t="shared" si="1"/>
        <v>(3,4,1,3,1,5); Brailovsky et al. (2024)</v>
      </c>
      <c r="Q27" s="216" t="s">
        <v>673</v>
      </c>
      <c r="R27" s="648">
        <v>3</v>
      </c>
      <c r="S27" s="648">
        <v>4</v>
      </c>
      <c r="T27" s="648">
        <v>1</v>
      </c>
      <c r="U27" s="648">
        <v>3</v>
      </c>
      <c r="V27" s="648">
        <v>1</v>
      </c>
      <c r="W27" s="648">
        <v>5</v>
      </c>
      <c r="X27" s="672">
        <v>3</v>
      </c>
      <c r="Y27" s="672">
        <v>1.05</v>
      </c>
      <c r="Z27" s="673">
        <f t="shared" si="2"/>
        <v>1.2555818742947564</v>
      </c>
      <c r="AA27" s="673">
        <f t="shared" si="3"/>
        <v>1.2620910621938648</v>
      </c>
      <c r="AB27" s="673" t="str">
        <f t="shared" si="4"/>
        <v>(3,4,1,3,1,5)</v>
      </c>
      <c r="AC27" s="677">
        <v>1.1000000000000001</v>
      </c>
      <c r="AD27" s="677">
        <v>1.1000000000000001</v>
      </c>
      <c r="AE27" s="677">
        <v>1</v>
      </c>
      <c r="AF27" s="677">
        <v>1.02</v>
      </c>
      <c r="AG27" s="677">
        <v>1</v>
      </c>
      <c r="AH27" s="677">
        <v>1.2</v>
      </c>
    </row>
    <row r="28" spans="1:34">
      <c r="A28" s="627">
        <v>263665</v>
      </c>
      <c r="B28" s="640"/>
      <c r="C28" s="644"/>
      <c r="D28" s="647">
        <v>5</v>
      </c>
      <c r="E28" s="648" t="s">
        <v>98</v>
      </c>
      <c r="F28" s="649" t="s">
        <v>697</v>
      </c>
      <c r="G28" s="650" t="s">
        <v>93</v>
      </c>
      <c r="H28" s="651" t="s">
        <v>98</v>
      </c>
      <c r="I28" s="652" t="s">
        <v>98</v>
      </c>
      <c r="J28" s="653">
        <v>0</v>
      </c>
      <c r="K28" s="650" t="s">
        <v>679</v>
      </c>
      <c r="L28" s="650">
        <v>1713</v>
      </c>
      <c r="M28" s="654">
        <v>1</v>
      </c>
      <c r="N28" s="655">
        <f t="shared" si="0"/>
        <v>1.2620910621938648</v>
      </c>
      <c r="O28" s="656" t="str">
        <f t="shared" si="1"/>
        <v>(3,4,1,3,1,5); Brailovsky et al. (2024)</v>
      </c>
      <c r="Q28" s="216" t="s">
        <v>673</v>
      </c>
      <c r="R28" s="648">
        <v>3</v>
      </c>
      <c r="S28" s="648">
        <v>4</v>
      </c>
      <c r="T28" s="648">
        <v>1</v>
      </c>
      <c r="U28" s="648">
        <v>3</v>
      </c>
      <c r="V28" s="648">
        <v>1</v>
      </c>
      <c r="W28" s="648">
        <v>5</v>
      </c>
      <c r="X28" s="672">
        <v>3</v>
      </c>
      <c r="Y28" s="672">
        <v>1.05</v>
      </c>
      <c r="Z28" s="673">
        <f t="shared" si="2"/>
        <v>1.2555818742947564</v>
      </c>
      <c r="AA28" s="673">
        <f t="shared" si="3"/>
        <v>1.2620910621938648</v>
      </c>
      <c r="AB28" s="673" t="str">
        <f t="shared" si="4"/>
        <v>(3,4,1,3,1,5)</v>
      </c>
      <c r="AC28" s="677">
        <v>1.1000000000000001</v>
      </c>
      <c r="AD28" s="677">
        <v>1.1000000000000001</v>
      </c>
      <c r="AE28" s="677">
        <v>1</v>
      </c>
      <c r="AF28" s="677">
        <v>1.02</v>
      </c>
      <c r="AG28" s="677">
        <v>1</v>
      </c>
      <c r="AH28" s="677">
        <v>1.2</v>
      </c>
    </row>
    <row r="29" spans="1:34">
      <c r="A29" s="627">
        <v>269445</v>
      </c>
      <c r="B29" s="640"/>
      <c r="C29" s="644"/>
      <c r="D29" s="647">
        <v>5</v>
      </c>
      <c r="E29" s="648" t="s">
        <v>98</v>
      </c>
      <c r="F29" s="649" t="s">
        <v>682</v>
      </c>
      <c r="G29" s="650" t="s">
        <v>93</v>
      </c>
      <c r="H29" s="651" t="s">
        <v>98</v>
      </c>
      <c r="I29" s="652" t="s">
        <v>98</v>
      </c>
      <c r="J29" s="653">
        <v>0</v>
      </c>
      <c r="K29" s="650" t="s">
        <v>96</v>
      </c>
      <c r="L29" s="650">
        <v>360</v>
      </c>
      <c r="M29" s="654">
        <v>1</v>
      </c>
      <c r="N29" s="655">
        <f t="shared" si="0"/>
        <v>1.2620910621938648</v>
      </c>
      <c r="O29" s="656" t="str">
        <f t="shared" si="1"/>
        <v>(3,4,1,3,1,5); Brailovsky et al. (2024)</v>
      </c>
      <c r="Q29" s="216" t="s">
        <v>673</v>
      </c>
      <c r="R29" s="648">
        <v>3</v>
      </c>
      <c r="S29" s="648">
        <v>4</v>
      </c>
      <c r="T29" s="648">
        <v>1</v>
      </c>
      <c r="U29" s="648">
        <v>3</v>
      </c>
      <c r="V29" s="648">
        <v>1</v>
      </c>
      <c r="W29" s="648">
        <v>5</v>
      </c>
      <c r="X29" s="672">
        <v>3</v>
      </c>
      <c r="Y29" s="672">
        <v>1.05</v>
      </c>
      <c r="Z29" s="673">
        <f t="shared" si="2"/>
        <v>1.2555818742947564</v>
      </c>
      <c r="AA29" s="673">
        <f t="shared" si="3"/>
        <v>1.2620910621938648</v>
      </c>
      <c r="AB29" s="673" t="str">
        <f t="shared" si="4"/>
        <v>(3,4,1,3,1,5)</v>
      </c>
      <c r="AC29" s="677">
        <v>1.1000000000000001</v>
      </c>
      <c r="AD29" s="677">
        <v>1.1000000000000001</v>
      </c>
      <c r="AE29" s="677">
        <v>1</v>
      </c>
      <c r="AF29" s="677">
        <v>1.02</v>
      </c>
      <c r="AG29" s="677">
        <v>1</v>
      </c>
      <c r="AH29" s="677">
        <v>1.2</v>
      </c>
    </row>
    <row r="30" spans="1:34">
      <c r="A30" s="627">
        <v>266627</v>
      </c>
      <c r="B30" s="640"/>
      <c r="C30" s="644"/>
      <c r="D30" s="647">
        <v>5</v>
      </c>
      <c r="E30" s="648" t="s">
        <v>98</v>
      </c>
      <c r="F30" s="649" t="s">
        <v>634</v>
      </c>
      <c r="G30" s="650" t="s">
        <v>93</v>
      </c>
      <c r="H30" s="651" t="s">
        <v>98</v>
      </c>
      <c r="I30" s="652" t="s">
        <v>98</v>
      </c>
      <c r="J30" s="653">
        <v>0</v>
      </c>
      <c r="K30" s="650" t="s">
        <v>96</v>
      </c>
      <c r="L30" s="650">
        <v>360</v>
      </c>
      <c r="M30" s="654">
        <v>1</v>
      </c>
      <c r="N30" s="655">
        <f t="shared" si="0"/>
        <v>1.2620910621938648</v>
      </c>
      <c r="O30" s="656" t="str">
        <f t="shared" si="1"/>
        <v>(3,4,1,3,1,5); Brailovsky et al. (2024)</v>
      </c>
      <c r="Q30" s="216" t="s">
        <v>673</v>
      </c>
      <c r="R30" s="648">
        <v>3</v>
      </c>
      <c r="S30" s="648">
        <v>4</v>
      </c>
      <c r="T30" s="648">
        <v>1</v>
      </c>
      <c r="U30" s="648">
        <v>3</v>
      </c>
      <c r="V30" s="648">
        <v>1</v>
      </c>
      <c r="W30" s="648">
        <v>5</v>
      </c>
      <c r="X30" s="672">
        <v>3</v>
      </c>
      <c r="Y30" s="672">
        <v>1.05</v>
      </c>
      <c r="Z30" s="673">
        <f t="shared" si="2"/>
        <v>1.2555818742947564</v>
      </c>
      <c r="AA30" s="673">
        <f t="shared" si="3"/>
        <v>1.2620910621938648</v>
      </c>
      <c r="AB30" s="673" t="str">
        <f t="shared" si="4"/>
        <v>(3,4,1,3,1,5)</v>
      </c>
      <c r="AC30" s="677">
        <v>1.1000000000000001</v>
      </c>
      <c r="AD30" s="677">
        <v>1.1000000000000001</v>
      </c>
      <c r="AE30" s="677">
        <v>1</v>
      </c>
      <c r="AF30" s="677">
        <v>1.02</v>
      </c>
      <c r="AG30" s="677">
        <v>1</v>
      </c>
      <c r="AH30" s="677">
        <v>1.2</v>
      </c>
    </row>
    <row r="31" spans="1:34" ht="24" customHeight="1">
      <c r="A31" s="627">
        <v>255515</v>
      </c>
      <c r="B31" s="640"/>
      <c r="C31" s="644"/>
      <c r="D31" s="647">
        <v>5</v>
      </c>
      <c r="E31" s="648" t="s">
        <v>98</v>
      </c>
      <c r="F31" s="649" t="s">
        <v>698</v>
      </c>
      <c r="G31" s="650" t="s">
        <v>103</v>
      </c>
      <c r="H31" s="651" t="s">
        <v>98</v>
      </c>
      <c r="I31" s="652" t="s">
        <v>98</v>
      </c>
      <c r="J31" s="653">
        <v>0</v>
      </c>
      <c r="K31" s="650" t="s">
        <v>679</v>
      </c>
      <c r="L31" s="650">
        <v>154</v>
      </c>
      <c r="M31" s="654">
        <v>1</v>
      </c>
      <c r="N31" s="655">
        <f t="shared" si="0"/>
        <v>1.2620910621938648</v>
      </c>
      <c r="O31" s="656" t="str">
        <f t="shared" si="1"/>
        <v>(3,4,1,3,1,5); Brailovsky et al. (2024)</v>
      </c>
      <c r="Q31" s="216" t="s">
        <v>673</v>
      </c>
      <c r="R31" s="648">
        <v>3</v>
      </c>
      <c r="S31" s="648">
        <v>4</v>
      </c>
      <c r="T31" s="648">
        <v>1</v>
      </c>
      <c r="U31" s="648">
        <v>3</v>
      </c>
      <c r="V31" s="648">
        <v>1</v>
      </c>
      <c r="W31" s="648">
        <v>5</v>
      </c>
      <c r="X31" s="672">
        <v>3</v>
      </c>
      <c r="Y31" s="672">
        <v>1.05</v>
      </c>
      <c r="Z31" s="673">
        <f t="shared" si="2"/>
        <v>1.2555818742947564</v>
      </c>
      <c r="AA31" s="673">
        <f t="shared" si="3"/>
        <v>1.2620910621938648</v>
      </c>
      <c r="AB31" s="673" t="str">
        <f t="shared" si="4"/>
        <v>(3,4,1,3,1,5)</v>
      </c>
      <c r="AC31" s="677">
        <v>1.1000000000000001</v>
      </c>
      <c r="AD31" s="677">
        <v>1.1000000000000001</v>
      </c>
      <c r="AE31" s="677">
        <v>1</v>
      </c>
      <c r="AF31" s="677">
        <v>1.02</v>
      </c>
      <c r="AG31" s="677">
        <v>1</v>
      </c>
      <c r="AH31" s="677">
        <v>1.2</v>
      </c>
    </row>
    <row r="32" spans="1:34">
      <c r="A32" s="627">
        <v>79235</v>
      </c>
      <c r="B32" s="641" t="s">
        <v>699</v>
      </c>
      <c r="C32" s="644"/>
      <c r="D32" s="647">
        <v>5</v>
      </c>
      <c r="E32" s="648" t="s">
        <v>98</v>
      </c>
      <c r="F32" s="649" t="s">
        <v>688</v>
      </c>
      <c r="G32" s="650" t="s">
        <v>340</v>
      </c>
      <c r="H32" s="651" t="s">
        <v>98</v>
      </c>
      <c r="I32" s="652" t="s">
        <v>98</v>
      </c>
      <c r="J32" s="653">
        <v>0</v>
      </c>
      <c r="K32" s="650" t="s">
        <v>109</v>
      </c>
      <c r="L32" s="650">
        <v>209375</v>
      </c>
      <c r="M32" s="654">
        <v>1</v>
      </c>
      <c r="N32" s="655">
        <f t="shared" si="0"/>
        <v>1.2620910621938648</v>
      </c>
      <c r="O32" s="656" t="str">
        <f t="shared" si="1"/>
        <v>(3,4,1,3,1,5); Brailovsky et al. (2024)</v>
      </c>
      <c r="Q32" s="216" t="s">
        <v>673</v>
      </c>
      <c r="R32" s="648">
        <v>3</v>
      </c>
      <c r="S32" s="648">
        <v>4</v>
      </c>
      <c r="T32" s="648">
        <v>1</v>
      </c>
      <c r="U32" s="648">
        <v>3</v>
      </c>
      <c r="V32" s="648">
        <v>1</v>
      </c>
      <c r="W32" s="648">
        <v>5</v>
      </c>
      <c r="X32" s="672">
        <v>3</v>
      </c>
      <c r="Y32" s="672">
        <v>1.05</v>
      </c>
      <c r="Z32" s="673">
        <f t="shared" si="2"/>
        <v>1.2555818742947564</v>
      </c>
      <c r="AA32" s="673">
        <f t="shared" si="3"/>
        <v>1.2620910621938648</v>
      </c>
      <c r="AB32" s="673" t="str">
        <f t="shared" si="4"/>
        <v>(3,4,1,3,1,5)</v>
      </c>
      <c r="AC32" s="677">
        <v>1.1000000000000001</v>
      </c>
      <c r="AD32" s="677">
        <v>1.1000000000000001</v>
      </c>
      <c r="AE32" s="677">
        <v>1</v>
      </c>
      <c r="AF32" s="677">
        <v>1.02</v>
      </c>
      <c r="AG32" s="677">
        <v>1</v>
      </c>
      <c r="AH32" s="677">
        <v>1.2</v>
      </c>
    </row>
    <row r="33" spans="1:34" ht="23.25" customHeight="1">
      <c r="A33" s="627">
        <v>267287</v>
      </c>
      <c r="B33" s="640"/>
      <c r="C33" s="644"/>
      <c r="D33" s="647">
        <v>5</v>
      </c>
      <c r="E33" s="648" t="s">
        <v>98</v>
      </c>
      <c r="F33" s="649" t="s">
        <v>690</v>
      </c>
      <c r="G33" s="650" t="s">
        <v>154</v>
      </c>
      <c r="H33" s="651" t="s">
        <v>98</v>
      </c>
      <c r="I33" s="652" t="s">
        <v>98</v>
      </c>
      <c r="J33" s="653">
        <v>0</v>
      </c>
      <c r="K33" s="650" t="s">
        <v>104</v>
      </c>
      <c r="L33" s="650">
        <v>3037570.8197723501</v>
      </c>
      <c r="M33" s="654">
        <v>1</v>
      </c>
      <c r="N33" s="655">
        <f t="shared" si="0"/>
        <v>1.2620910621938648</v>
      </c>
      <c r="O33" s="656" t="str">
        <f t="shared" si="1"/>
        <v>(3,4,1,3,1,5); Brailovsky et al. (2024): From machine operation, diesel,  &gt;= 18.64 kW and &lt; 74.57 kW, energy density 45.5MJ/kg</v>
      </c>
      <c r="Q33" s="216" t="s">
        <v>692</v>
      </c>
      <c r="R33" s="648">
        <v>3</v>
      </c>
      <c r="S33" s="648">
        <v>4</v>
      </c>
      <c r="T33" s="648">
        <v>1</v>
      </c>
      <c r="U33" s="648">
        <v>3</v>
      </c>
      <c r="V33" s="648">
        <v>1</v>
      </c>
      <c r="W33" s="648">
        <v>5</v>
      </c>
      <c r="X33" s="672">
        <v>1</v>
      </c>
      <c r="Y33" s="672">
        <v>1.05</v>
      </c>
      <c r="Z33" s="673">
        <f t="shared" si="2"/>
        <v>1.2555818742947564</v>
      </c>
      <c r="AA33" s="673">
        <f t="shared" si="3"/>
        <v>1.2620910621938648</v>
      </c>
      <c r="AB33" s="673" t="str">
        <f t="shared" si="4"/>
        <v>(3,4,1,3,1,5)</v>
      </c>
      <c r="AC33" s="677">
        <v>1.1000000000000001</v>
      </c>
      <c r="AD33" s="677">
        <v>1.1000000000000001</v>
      </c>
      <c r="AE33" s="677">
        <v>1</v>
      </c>
      <c r="AF33" s="677">
        <v>1.02</v>
      </c>
      <c r="AG33" s="677">
        <v>1</v>
      </c>
      <c r="AH33" s="677">
        <v>1.2</v>
      </c>
    </row>
    <row r="34" spans="1:34" ht="23.25" customHeight="1">
      <c r="A34" s="627">
        <v>267287</v>
      </c>
      <c r="B34" s="640"/>
      <c r="C34" s="644"/>
      <c r="D34" s="647">
        <v>5</v>
      </c>
      <c r="E34" s="648" t="s">
        <v>98</v>
      </c>
      <c r="F34" s="649" t="s">
        <v>690</v>
      </c>
      <c r="G34" s="650" t="s">
        <v>154</v>
      </c>
      <c r="H34" s="651" t="s">
        <v>98</v>
      </c>
      <c r="I34" s="652" t="s">
        <v>98</v>
      </c>
      <c r="J34" s="653">
        <v>0</v>
      </c>
      <c r="K34" s="650" t="s">
        <v>104</v>
      </c>
      <c r="L34" s="650">
        <v>17140090.114287298</v>
      </c>
      <c r="M34" s="654">
        <v>1</v>
      </c>
      <c r="N34" s="655">
        <f t="shared" si="0"/>
        <v>1.2620910621938648</v>
      </c>
      <c r="O34" s="656" t="str">
        <f t="shared" si="1"/>
        <v>(3,4,1,3,1,5); Brailovsky et al. (2024): From machine operation, diesel,  &gt;= 74.57 kW, energy density 45.5MJ/kg</v>
      </c>
      <c r="Q34" s="216" t="s">
        <v>693</v>
      </c>
      <c r="R34" s="648">
        <v>3</v>
      </c>
      <c r="S34" s="648">
        <v>4</v>
      </c>
      <c r="T34" s="648">
        <v>1</v>
      </c>
      <c r="U34" s="648">
        <v>3</v>
      </c>
      <c r="V34" s="648">
        <v>1</v>
      </c>
      <c r="W34" s="648">
        <v>5</v>
      </c>
      <c r="X34" s="672">
        <v>1</v>
      </c>
      <c r="Y34" s="672">
        <v>1.05</v>
      </c>
      <c r="Z34" s="673">
        <f t="shared" si="2"/>
        <v>1.2555818742947564</v>
      </c>
      <c r="AA34" s="673">
        <f t="shared" si="3"/>
        <v>1.2620910621938648</v>
      </c>
      <c r="AB34" s="673" t="str">
        <f t="shared" si="4"/>
        <v>(3,4,1,3,1,5)</v>
      </c>
      <c r="AC34" s="677">
        <v>1.1000000000000001</v>
      </c>
      <c r="AD34" s="677">
        <v>1.1000000000000001</v>
      </c>
      <c r="AE34" s="677">
        <v>1</v>
      </c>
      <c r="AF34" s="677">
        <v>1.02</v>
      </c>
      <c r="AG34" s="677">
        <v>1</v>
      </c>
      <c r="AH34" s="677">
        <v>1.2</v>
      </c>
    </row>
    <row r="35" spans="1:34" ht="28.5" customHeight="1">
      <c r="A35" s="627">
        <v>265477</v>
      </c>
      <c r="B35" s="640"/>
      <c r="C35" s="644"/>
      <c r="D35" s="647">
        <v>5</v>
      </c>
      <c r="E35" s="648" t="s">
        <v>98</v>
      </c>
      <c r="F35" s="649" t="s">
        <v>700</v>
      </c>
      <c r="G35" s="650" t="s">
        <v>103</v>
      </c>
      <c r="H35" s="651" t="s">
        <v>98</v>
      </c>
      <c r="I35" s="652" t="s">
        <v>98</v>
      </c>
      <c r="J35" s="653">
        <v>0</v>
      </c>
      <c r="K35" s="650" t="s">
        <v>115</v>
      </c>
      <c r="L35" s="650">
        <v>123972.7</v>
      </c>
      <c r="M35" s="654">
        <v>1</v>
      </c>
      <c r="N35" s="655">
        <f t="shared" si="0"/>
        <v>2.0741629046031922</v>
      </c>
      <c r="O35" s="656" t="str">
        <f t="shared" si="1"/>
        <v>(3,4,1,3,1,5); Brailovsky et al. (2024)</v>
      </c>
      <c r="Q35" s="216" t="s">
        <v>673</v>
      </c>
      <c r="R35" s="648">
        <v>3</v>
      </c>
      <c r="S35" s="648">
        <v>4</v>
      </c>
      <c r="T35" s="648">
        <v>1</v>
      </c>
      <c r="U35" s="648">
        <v>3</v>
      </c>
      <c r="V35" s="648">
        <v>1</v>
      </c>
      <c r="W35" s="648">
        <v>5</v>
      </c>
      <c r="X35" s="672">
        <v>5</v>
      </c>
      <c r="Y35" s="672">
        <v>2</v>
      </c>
      <c r="Z35" s="673">
        <f t="shared" si="2"/>
        <v>1.2555818742947564</v>
      </c>
      <c r="AA35" s="673">
        <f t="shared" si="3"/>
        <v>2.0741629046031922</v>
      </c>
      <c r="AB35" s="673" t="str">
        <f t="shared" si="4"/>
        <v>(3,4,1,3,1,5)</v>
      </c>
      <c r="AC35" s="677">
        <v>1.1000000000000001</v>
      </c>
      <c r="AD35" s="677">
        <v>1.1000000000000001</v>
      </c>
      <c r="AE35" s="677">
        <v>1</v>
      </c>
      <c r="AF35" s="677">
        <v>1.02</v>
      </c>
      <c r="AG35" s="677">
        <v>1</v>
      </c>
      <c r="AH35" s="677">
        <v>1.2</v>
      </c>
    </row>
    <row r="36" spans="1:34">
      <c r="A36" s="627">
        <v>269641</v>
      </c>
      <c r="B36" s="640"/>
      <c r="C36" s="644"/>
      <c r="D36" s="647">
        <v>5</v>
      </c>
      <c r="E36" s="648" t="s">
        <v>98</v>
      </c>
      <c r="F36" s="649" t="s">
        <v>240</v>
      </c>
      <c r="G36" s="650" t="s">
        <v>93</v>
      </c>
      <c r="H36" s="651" t="s">
        <v>98</v>
      </c>
      <c r="I36" s="652" t="s">
        <v>98</v>
      </c>
      <c r="J36" s="653">
        <v>0</v>
      </c>
      <c r="K36" s="650" t="s">
        <v>115</v>
      </c>
      <c r="L36" s="650">
        <v>612230.30000000005</v>
      </c>
      <c r="M36" s="654">
        <v>1</v>
      </c>
      <c r="N36" s="655">
        <f t="shared" si="0"/>
        <v>2.0741629046031922</v>
      </c>
      <c r="O36" s="656" t="str">
        <f t="shared" si="1"/>
        <v>(3,4,1,3,1,5); Brailovsky et al. (2024)</v>
      </c>
      <c r="Q36" s="216" t="s">
        <v>673</v>
      </c>
      <c r="R36" s="648">
        <v>3</v>
      </c>
      <c r="S36" s="648">
        <v>4</v>
      </c>
      <c r="T36" s="648">
        <v>1</v>
      </c>
      <c r="U36" s="648">
        <v>3</v>
      </c>
      <c r="V36" s="648">
        <v>1</v>
      </c>
      <c r="W36" s="648">
        <v>5</v>
      </c>
      <c r="X36" s="672">
        <v>5</v>
      </c>
      <c r="Y36" s="672">
        <v>2</v>
      </c>
      <c r="Z36" s="673">
        <f t="shared" si="2"/>
        <v>1.2555818742947564</v>
      </c>
      <c r="AA36" s="673">
        <f t="shared" si="3"/>
        <v>2.0741629046031922</v>
      </c>
      <c r="AB36" s="673" t="str">
        <f t="shared" si="4"/>
        <v>(3,4,1,3,1,5)</v>
      </c>
      <c r="AC36" s="677">
        <v>1.1000000000000001</v>
      </c>
      <c r="AD36" s="677">
        <v>1.1000000000000001</v>
      </c>
      <c r="AE36" s="677">
        <v>1</v>
      </c>
      <c r="AF36" s="677">
        <v>1.02</v>
      </c>
      <c r="AG36" s="677">
        <v>1</v>
      </c>
      <c r="AH36" s="677">
        <v>1.2</v>
      </c>
    </row>
    <row r="37" spans="1:34" ht="36" customHeight="1">
      <c r="A37" s="627">
        <v>269643</v>
      </c>
      <c r="B37" s="641" t="s">
        <v>701</v>
      </c>
      <c r="C37" s="644"/>
      <c r="D37" s="647">
        <v>5</v>
      </c>
      <c r="E37" s="648" t="s">
        <v>98</v>
      </c>
      <c r="F37" s="649" t="s">
        <v>702</v>
      </c>
      <c r="G37" s="650" t="s">
        <v>103</v>
      </c>
      <c r="H37" s="651" t="s">
        <v>98</v>
      </c>
      <c r="I37" s="652" t="s">
        <v>98</v>
      </c>
      <c r="J37" s="653">
        <v>0</v>
      </c>
      <c r="K37" s="650" t="s">
        <v>119</v>
      </c>
      <c r="L37" s="650">
        <v>25519.7</v>
      </c>
      <c r="M37" s="654">
        <v>1</v>
      </c>
      <c r="N37" s="655">
        <f t="shared" si="0"/>
        <v>1.2620910621938648</v>
      </c>
      <c r="O37" s="656" t="str">
        <f t="shared" si="1"/>
        <v>(3,4,1,3,1,5); Brailovsky et al. (2024) CH iso RER</v>
      </c>
      <c r="Q37" s="216" t="s">
        <v>703</v>
      </c>
      <c r="R37" s="648">
        <v>3</v>
      </c>
      <c r="S37" s="648">
        <v>4</v>
      </c>
      <c r="T37" s="648">
        <v>1</v>
      </c>
      <c r="U37" s="648">
        <v>3</v>
      </c>
      <c r="V37" s="648">
        <v>1</v>
      </c>
      <c r="W37" s="648">
        <v>5</v>
      </c>
      <c r="X37" s="672">
        <v>3</v>
      </c>
      <c r="Y37" s="672">
        <v>1.05</v>
      </c>
      <c r="Z37" s="673">
        <f t="shared" si="2"/>
        <v>1.2555818742947564</v>
      </c>
      <c r="AA37" s="673">
        <f t="shared" si="3"/>
        <v>1.2620910621938648</v>
      </c>
      <c r="AB37" s="673" t="str">
        <f t="shared" si="4"/>
        <v>(3,4,1,3,1,5)</v>
      </c>
      <c r="AC37" s="677">
        <v>1.1000000000000001</v>
      </c>
      <c r="AD37" s="677">
        <v>1.1000000000000001</v>
      </c>
      <c r="AE37" s="677">
        <v>1</v>
      </c>
      <c r="AF37" s="677">
        <v>1.02</v>
      </c>
      <c r="AG37" s="677">
        <v>1</v>
      </c>
      <c r="AH37" s="677">
        <v>1.2</v>
      </c>
    </row>
    <row r="38" spans="1:34">
      <c r="A38" s="627">
        <v>265101</v>
      </c>
      <c r="B38" s="640"/>
      <c r="C38" s="644"/>
      <c r="D38" s="647">
        <v>5</v>
      </c>
      <c r="E38" s="648" t="s">
        <v>98</v>
      </c>
      <c r="F38" s="649" t="s">
        <v>704</v>
      </c>
      <c r="G38" s="650" t="s">
        <v>103</v>
      </c>
      <c r="H38" s="651" t="s">
        <v>98</v>
      </c>
      <c r="I38" s="652" t="s">
        <v>98</v>
      </c>
      <c r="J38" s="653">
        <v>0</v>
      </c>
      <c r="K38" s="650" t="s">
        <v>119</v>
      </c>
      <c r="L38" s="650">
        <v>556</v>
      </c>
      <c r="M38" s="654">
        <v>1</v>
      </c>
      <c r="N38" s="655">
        <f t="shared" si="0"/>
        <v>1.2620910621938648</v>
      </c>
      <c r="O38" s="656" t="str">
        <f t="shared" si="1"/>
        <v>(3,4,1,3,1,5); Brailovsky et al. (2024)</v>
      </c>
      <c r="Q38" s="216" t="s">
        <v>673</v>
      </c>
      <c r="R38" s="648">
        <v>3</v>
      </c>
      <c r="S38" s="648">
        <v>4</v>
      </c>
      <c r="T38" s="648">
        <v>1</v>
      </c>
      <c r="U38" s="648">
        <v>3</v>
      </c>
      <c r="V38" s="648">
        <v>1</v>
      </c>
      <c r="W38" s="648">
        <v>5</v>
      </c>
      <c r="X38" s="672">
        <v>3</v>
      </c>
      <c r="Y38" s="672">
        <v>1.05</v>
      </c>
      <c r="Z38" s="673">
        <f t="shared" si="2"/>
        <v>1.2555818742947564</v>
      </c>
      <c r="AA38" s="673">
        <f t="shared" si="3"/>
        <v>1.2620910621938648</v>
      </c>
      <c r="AB38" s="673" t="str">
        <f t="shared" si="4"/>
        <v>(3,4,1,3,1,5)</v>
      </c>
      <c r="AC38" s="677">
        <v>1.1000000000000001</v>
      </c>
      <c r="AD38" s="677">
        <v>1.1000000000000001</v>
      </c>
      <c r="AE38" s="677">
        <v>1</v>
      </c>
      <c r="AF38" s="677">
        <v>1.02</v>
      </c>
      <c r="AG38" s="677">
        <v>1</v>
      </c>
      <c r="AH38" s="677">
        <v>1.2</v>
      </c>
    </row>
    <row r="39" spans="1:34" ht="24" customHeight="1">
      <c r="A39" s="627">
        <v>79235</v>
      </c>
      <c r="B39" s="641" t="s">
        <v>705</v>
      </c>
      <c r="C39" s="644"/>
      <c r="D39" s="647">
        <v>5</v>
      </c>
      <c r="E39" s="648" t="s">
        <v>98</v>
      </c>
      <c r="F39" s="649" t="s">
        <v>688</v>
      </c>
      <c r="G39" s="650" t="s">
        <v>340</v>
      </c>
      <c r="H39" s="651" t="s">
        <v>98</v>
      </c>
      <c r="I39" s="652" t="s">
        <v>98</v>
      </c>
      <c r="J39" s="653">
        <v>0</v>
      </c>
      <c r="K39" s="650" t="s">
        <v>109</v>
      </c>
      <c r="L39" s="650">
        <v>79.3</v>
      </c>
      <c r="M39" s="654">
        <v>1</v>
      </c>
      <c r="N39" s="655">
        <f t="shared" si="0"/>
        <v>1.2620910621938648</v>
      </c>
      <c r="O39" s="656" t="str">
        <f t="shared" si="1"/>
        <v>(3,4,1,3,1,5); Brailovsky et al. (2024) DE iso Europe w/o Switzerland</v>
      </c>
      <c r="Q39" s="216" t="s">
        <v>706</v>
      </c>
      <c r="R39" s="648">
        <v>3</v>
      </c>
      <c r="S39" s="648">
        <v>4</v>
      </c>
      <c r="T39" s="648">
        <v>1</v>
      </c>
      <c r="U39" s="648">
        <v>3</v>
      </c>
      <c r="V39" s="648">
        <v>1</v>
      </c>
      <c r="W39" s="648">
        <v>5</v>
      </c>
      <c r="X39" s="672">
        <v>3</v>
      </c>
      <c r="Y39" s="672">
        <v>1.05</v>
      </c>
      <c r="Z39" s="673">
        <f t="shared" si="2"/>
        <v>1.2555818742947564</v>
      </c>
      <c r="AA39" s="673">
        <f t="shared" si="3"/>
        <v>1.2620910621938648</v>
      </c>
      <c r="AB39" s="673" t="str">
        <f t="shared" si="4"/>
        <v>(3,4,1,3,1,5)</v>
      </c>
      <c r="AC39" s="677">
        <v>1.1000000000000001</v>
      </c>
      <c r="AD39" s="677">
        <v>1.1000000000000001</v>
      </c>
      <c r="AE39" s="677">
        <v>1</v>
      </c>
      <c r="AF39" s="677">
        <v>1.02</v>
      </c>
      <c r="AG39" s="677">
        <v>1</v>
      </c>
      <c r="AH39" s="677">
        <v>1.2</v>
      </c>
    </row>
    <row r="40" spans="1:34">
      <c r="A40" s="627">
        <v>263587</v>
      </c>
      <c r="B40" s="640"/>
      <c r="C40" s="644"/>
      <c r="D40" s="647">
        <v>5</v>
      </c>
      <c r="E40" s="648" t="s">
        <v>98</v>
      </c>
      <c r="F40" s="649" t="s">
        <v>707</v>
      </c>
      <c r="G40" s="650" t="s">
        <v>103</v>
      </c>
      <c r="H40" s="651" t="s">
        <v>98</v>
      </c>
      <c r="I40" s="652" t="s">
        <v>98</v>
      </c>
      <c r="J40" s="653">
        <v>0</v>
      </c>
      <c r="K40" s="650" t="s">
        <v>96</v>
      </c>
      <c r="L40" s="650">
        <v>5151.5</v>
      </c>
      <c r="M40" s="654">
        <v>1</v>
      </c>
      <c r="N40" s="655">
        <f t="shared" ref="N40:N71" si="5">AA40</f>
        <v>1.2620910621938648</v>
      </c>
      <c r="O40" s="656" t="str">
        <f t="shared" ref="O40:O71" si="6">AB40&amp;"; "&amp;Q40</f>
        <v>(3,4,1,3,1,5); Brailovsky et al. (2024)</v>
      </c>
      <c r="Q40" s="216" t="s">
        <v>673</v>
      </c>
      <c r="R40" s="648">
        <v>3</v>
      </c>
      <c r="S40" s="648">
        <v>4</v>
      </c>
      <c r="T40" s="648">
        <v>1</v>
      </c>
      <c r="U40" s="648">
        <v>3</v>
      </c>
      <c r="V40" s="648">
        <v>1</v>
      </c>
      <c r="W40" s="648">
        <v>5</v>
      </c>
      <c r="X40" s="672">
        <v>3</v>
      </c>
      <c r="Y40" s="672">
        <v>1.05</v>
      </c>
      <c r="Z40" s="673">
        <f t="shared" ref="Z40:Z71" si="7">EXP(SQRT((LN(AC40)^2)+(LN(AD40)^2)+(LN(AE40)^2)+(LN(AF40)^2)+(LN(AG40)^2)+(LN(AH40)^2)))</f>
        <v>1.2555818742947564</v>
      </c>
      <c r="AA40" s="673">
        <f t="shared" ref="AA40:AA71" si="8">EXP(SQRT((LN(AC40)^2)+(LN(AD40)^2)+(LN(AE40)^2)+(LN(AF40)^2)+(LN(AG40)^2)+(LN(AH40)^2)+LN(Y40)^2))</f>
        <v>1.2620910621938648</v>
      </c>
      <c r="AB40" s="673" t="str">
        <f t="shared" ref="AB40:AB71" si="9">CONCATENATE("(",R40,",",S40,",",T40,",",U40,",",V40,",",W40,")")</f>
        <v>(3,4,1,3,1,5)</v>
      </c>
      <c r="AC40" s="677">
        <v>1.1000000000000001</v>
      </c>
      <c r="AD40" s="677">
        <v>1.1000000000000001</v>
      </c>
      <c r="AE40" s="677">
        <v>1</v>
      </c>
      <c r="AF40" s="677">
        <v>1.02</v>
      </c>
      <c r="AG40" s="677">
        <v>1</v>
      </c>
      <c r="AH40" s="677">
        <v>1.2</v>
      </c>
    </row>
    <row r="41" spans="1:34" ht="24" customHeight="1">
      <c r="A41" s="627">
        <v>257828</v>
      </c>
      <c r="B41" s="640"/>
      <c r="C41" s="644"/>
      <c r="D41" s="647">
        <v>5</v>
      </c>
      <c r="E41" s="648" t="s">
        <v>98</v>
      </c>
      <c r="F41" s="649" t="s">
        <v>708</v>
      </c>
      <c r="G41" s="650" t="s">
        <v>103</v>
      </c>
      <c r="H41" s="651" t="s">
        <v>98</v>
      </c>
      <c r="I41" s="652" t="s">
        <v>98</v>
      </c>
      <c r="J41" s="653">
        <v>0</v>
      </c>
      <c r="K41" s="650" t="s">
        <v>679</v>
      </c>
      <c r="L41" s="650">
        <f>7925.3/10</f>
        <v>792.53</v>
      </c>
      <c r="M41" s="654">
        <v>1</v>
      </c>
      <c r="N41" s="655">
        <f t="shared" si="5"/>
        <v>1.2620910621938648</v>
      </c>
      <c r="O41" s="656" t="str">
        <f t="shared" si="6"/>
        <v>(3,4,1,3,1,5); Brailovsky et al. (2024) CH iso GLO; Flächengewicht = 10kg/m2</v>
      </c>
      <c r="Q41" s="216" t="s">
        <v>709</v>
      </c>
      <c r="R41" s="648">
        <v>3</v>
      </c>
      <c r="S41" s="648">
        <v>4</v>
      </c>
      <c r="T41" s="648">
        <v>1</v>
      </c>
      <c r="U41" s="648">
        <v>3</v>
      </c>
      <c r="V41" s="648">
        <v>1</v>
      </c>
      <c r="W41" s="648">
        <v>5</v>
      </c>
      <c r="X41" s="672">
        <v>3</v>
      </c>
      <c r="Y41" s="672">
        <v>1.05</v>
      </c>
      <c r="Z41" s="673">
        <f t="shared" si="7"/>
        <v>1.2555818742947564</v>
      </c>
      <c r="AA41" s="673">
        <f t="shared" si="8"/>
        <v>1.2620910621938648</v>
      </c>
      <c r="AB41" s="673" t="str">
        <f t="shared" si="9"/>
        <v>(3,4,1,3,1,5)</v>
      </c>
      <c r="AC41" s="677">
        <v>1.1000000000000001</v>
      </c>
      <c r="AD41" s="677">
        <v>1.1000000000000001</v>
      </c>
      <c r="AE41" s="677">
        <v>1</v>
      </c>
      <c r="AF41" s="677">
        <v>1.02</v>
      </c>
      <c r="AG41" s="677">
        <v>1</v>
      </c>
      <c r="AH41" s="677">
        <v>1.2</v>
      </c>
    </row>
    <row r="42" spans="1:34" ht="24" customHeight="1">
      <c r="A42" s="627">
        <v>254233</v>
      </c>
      <c r="B42" s="640"/>
      <c r="C42" s="644"/>
      <c r="D42" s="647">
        <v>5</v>
      </c>
      <c r="E42" s="648" t="s">
        <v>98</v>
      </c>
      <c r="F42" s="649" t="s">
        <v>710</v>
      </c>
      <c r="G42" s="650" t="s">
        <v>103</v>
      </c>
      <c r="H42" s="651" t="s">
        <v>98</v>
      </c>
      <c r="I42" s="652" t="s">
        <v>98</v>
      </c>
      <c r="J42" s="653">
        <v>0</v>
      </c>
      <c r="K42" s="650" t="s">
        <v>104</v>
      </c>
      <c r="L42" s="650">
        <v>71.3</v>
      </c>
      <c r="M42" s="654">
        <v>1</v>
      </c>
      <c r="N42" s="655">
        <f t="shared" si="5"/>
        <v>1.2620910621938648</v>
      </c>
      <c r="O42" s="656" t="str">
        <f t="shared" si="6"/>
        <v>(3,4,1,3,1,5); Brailovsky et al. (2024) CH iso RER</v>
      </c>
      <c r="Q42" s="216" t="s">
        <v>703</v>
      </c>
      <c r="R42" s="648">
        <v>3</v>
      </c>
      <c r="S42" s="648">
        <v>4</v>
      </c>
      <c r="T42" s="648">
        <v>1</v>
      </c>
      <c r="U42" s="648">
        <v>3</v>
      </c>
      <c r="V42" s="648">
        <v>1</v>
      </c>
      <c r="W42" s="648">
        <v>5</v>
      </c>
      <c r="X42" s="672">
        <v>1</v>
      </c>
      <c r="Y42" s="672">
        <v>1.05</v>
      </c>
      <c r="Z42" s="673">
        <f t="shared" si="7"/>
        <v>1.2555818742947564</v>
      </c>
      <c r="AA42" s="673">
        <f t="shared" si="8"/>
        <v>1.2620910621938648</v>
      </c>
      <c r="AB42" s="673" t="str">
        <f t="shared" si="9"/>
        <v>(3,4,1,3,1,5)</v>
      </c>
      <c r="AC42" s="677">
        <v>1.1000000000000001</v>
      </c>
      <c r="AD42" s="677">
        <v>1.1000000000000001</v>
      </c>
      <c r="AE42" s="677">
        <v>1</v>
      </c>
      <c r="AF42" s="677">
        <v>1.02</v>
      </c>
      <c r="AG42" s="677">
        <v>1</v>
      </c>
      <c r="AH42" s="677">
        <v>1.2</v>
      </c>
    </row>
    <row r="43" spans="1:34">
      <c r="A43" s="627">
        <v>269445</v>
      </c>
      <c r="B43" s="640"/>
      <c r="C43" s="644"/>
      <c r="D43" s="647">
        <v>5</v>
      </c>
      <c r="E43" s="648" t="s">
        <v>98</v>
      </c>
      <c r="F43" s="649" t="s">
        <v>682</v>
      </c>
      <c r="G43" s="650" t="s">
        <v>93</v>
      </c>
      <c r="H43" s="651" t="s">
        <v>98</v>
      </c>
      <c r="I43" s="652" t="s">
        <v>98</v>
      </c>
      <c r="J43" s="653">
        <v>0</v>
      </c>
      <c r="K43" s="650" t="s">
        <v>96</v>
      </c>
      <c r="L43" s="650">
        <v>5151.5</v>
      </c>
      <c r="M43" s="654">
        <v>1</v>
      </c>
      <c r="N43" s="655">
        <f t="shared" si="5"/>
        <v>1.2620910621938648</v>
      </c>
      <c r="O43" s="656" t="str">
        <f t="shared" si="6"/>
        <v>(3,4,1,3,1,5); Brailovsky et al. (2024)</v>
      </c>
      <c r="Q43" s="216" t="s">
        <v>673</v>
      </c>
      <c r="R43" s="648">
        <v>3</v>
      </c>
      <c r="S43" s="648">
        <v>4</v>
      </c>
      <c r="T43" s="648">
        <v>1</v>
      </c>
      <c r="U43" s="648">
        <v>3</v>
      </c>
      <c r="V43" s="648">
        <v>1</v>
      </c>
      <c r="W43" s="648">
        <v>5</v>
      </c>
      <c r="X43" s="672">
        <v>3</v>
      </c>
      <c r="Y43" s="672">
        <v>1.05</v>
      </c>
      <c r="Z43" s="673">
        <f t="shared" si="7"/>
        <v>1.2555818742947564</v>
      </c>
      <c r="AA43" s="673">
        <f t="shared" si="8"/>
        <v>1.2620910621938648</v>
      </c>
      <c r="AB43" s="673" t="str">
        <f t="shared" si="9"/>
        <v>(3,4,1,3,1,5)</v>
      </c>
      <c r="AC43" s="677">
        <v>1.1000000000000001</v>
      </c>
      <c r="AD43" s="677">
        <v>1.1000000000000001</v>
      </c>
      <c r="AE43" s="677">
        <v>1</v>
      </c>
      <c r="AF43" s="677">
        <v>1.02</v>
      </c>
      <c r="AG43" s="677">
        <v>1</v>
      </c>
      <c r="AH43" s="677">
        <v>1.2</v>
      </c>
    </row>
    <row r="44" spans="1:34">
      <c r="A44" s="627">
        <v>266627</v>
      </c>
      <c r="B44" s="640"/>
      <c r="C44" s="644"/>
      <c r="D44" s="647">
        <v>5</v>
      </c>
      <c r="E44" s="648" t="s">
        <v>98</v>
      </c>
      <c r="F44" s="649" t="s">
        <v>634</v>
      </c>
      <c r="G44" s="650" t="s">
        <v>93</v>
      </c>
      <c r="H44" s="651" t="s">
        <v>98</v>
      </c>
      <c r="I44" s="652" t="s">
        <v>98</v>
      </c>
      <c r="J44" s="653">
        <v>0</v>
      </c>
      <c r="K44" s="650" t="s">
        <v>96</v>
      </c>
      <c r="L44" s="650">
        <v>5151.5</v>
      </c>
      <c r="M44" s="654">
        <v>1</v>
      </c>
      <c r="N44" s="655">
        <f t="shared" si="5"/>
        <v>1.2620910621938648</v>
      </c>
      <c r="O44" s="656" t="str">
        <f t="shared" si="6"/>
        <v>(3,4,1,3,1,5); Brailovsky et al. (2024)</v>
      </c>
      <c r="Q44" s="216" t="s">
        <v>673</v>
      </c>
      <c r="R44" s="648">
        <v>3</v>
      </c>
      <c r="S44" s="648">
        <v>4</v>
      </c>
      <c r="T44" s="648">
        <v>1</v>
      </c>
      <c r="U44" s="648">
        <v>3</v>
      </c>
      <c r="V44" s="648">
        <v>1</v>
      </c>
      <c r="W44" s="648">
        <v>5</v>
      </c>
      <c r="X44" s="672">
        <v>3</v>
      </c>
      <c r="Y44" s="672">
        <v>1.05</v>
      </c>
      <c r="Z44" s="673">
        <f t="shared" si="7"/>
        <v>1.2555818742947564</v>
      </c>
      <c r="AA44" s="673">
        <f t="shared" si="8"/>
        <v>1.2620910621938648</v>
      </c>
      <c r="AB44" s="673" t="str">
        <f t="shared" si="9"/>
        <v>(3,4,1,3,1,5)</v>
      </c>
      <c r="AC44" s="677">
        <v>1.1000000000000001</v>
      </c>
      <c r="AD44" s="677">
        <v>1.1000000000000001</v>
      </c>
      <c r="AE44" s="677">
        <v>1</v>
      </c>
      <c r="AF44" s="677">
        <v>1.02</v>
      </c>
      <c r="AG44" s="677">
        <v>1</v>
      </c>
      <c r="AH44" s="677">
        <v>1.2</v>
      </c>
    </row>
    <row r="45" spans="1:34" ht="24" customHeight="1">
      <c r="A45" s="627">
        <v>268923</v>
      </c>
      <c r="B45" s="641" t="s">
        <v>711</v>
      </c>
      <c r="C45" s="644"/>
      <c r="D45" s="647">
        <v>5</v>
      </c>
      <c r="E45" s="657" t="s">
        <v>98</v>
      </c>
      <c r="F45" s="649" t="s">
        <v>712</v>
      </c>
      <c r="G45" s="650" t="s">
        <v>103</v>
      </c>
      <c r="H45" s="651" t="s">
        <v>98</v>
      </c>
      <c r="I45" s="652" t="s">
        <v>98</v>
      </c>
      <c r="J45" s="653">
        <v>0</v>
      </c>
      <c r="K45" s="650" t="s">
        <v>96</v>
      </c>
      <c r="L45" s="650">
        <v>13600</v>
      </c>
      <c r="M45" s="654">
        <v>1</v>
      </c>
      <c r="N45" s="655">
        <f t="shared" si="5"/>
        <v>1.2620910621938648</v>
      </c>
      <c r="O45" s="656" t="str">
        <f t="shared" si="6"/>
        <v>(3,4,1,3,1,5); Brailovsky et al. (2024)</v>
      </c>
      <c r="Q45" s="216" t="s">
        <v>673</v>
      </c>
      <c r="R45" s="648">
        <v>3</v>
      </c>
      <c r="S45" s="648">
        <v>4</v>
      </c>
      <c r="T45" s="648">
        <v>1</v>
      </c>
      <c r="U45" s="648">
        <v>3</v>
      </c>
      <c r="V45" s="648">
        <v>1</v>
      </c>
      <c r="W45" s="648">
        <v>5</v>
      </c>
      <c r="X45" s="672">
        <v>3</v>
      </c>
      <c r="Y45" s="672">
        <v>1.05</v>
      </c>
      <c r="Z45" s="673">
        <f t="shared" si="7"/>
        <v>1.2555818742947564</v>
      </c>
      <c r="AA45" s="673">
        <f t="shared" si="8"/>
        <v>1.2620910621938648</v>
      </c>
      <c r="AB45" s="673" t="str">
        <f t="shared" si="9"/>
        <v>(3,4,1,3,1,5)</v>
      </c>
      <c r="AC45" s="677">
        <v>1.1000000000000001</v>
      </c>
      <c r="AD45" s="677">
        <v>1.1000000000000001</v>
      </c>
      <c r="AE45" s="677">
        <v>1</v>
      </c>
      <c r="AF45" s="677">
        <v>1.02</v>
      </c>
      <c r="AG45" s="677">
        <v>1</v>
      </c>
      <c r="AH45" s="677">
        <v>1.2</v>
      </c>
    </row>
    <row r="46" spans="1:34">
      <c r="A46" s="627">
        <v>263597</v>
      </c>
      <c r="B46" s="640"/>
      <c r="C46" s="644"/>
      <c r="D46" s="647">
        <v>5</v>
      </c>
      <c r="E46" s="657" t="s">
        <v>98</v>
      </c>
      <c r="F46" s="649" t="s">
        <v>713</v>
      </c>
      <c r="G46" s="650" t="s">
        <v>340</v>
      </c>
      <c r="H46" s="651" t="s">
        <v>98</v>
      </c>
      <c r="I46" s="652" t="s">
        <v>98</v>
      </c>
      <c r="J46" s="653">
        <v>0</v>
      </c>
      <c r="K46" s="650" t="s">
        <v>96</v>
      </c>
      <c r="L46" s="650">
        <v>122400</v>
      </c>
      <c r="M46" s="654">
        <v>1</v>
      </c>
      <c r="N46" s="655">
        <f t="shared" si="5"/>
        <v>1.2620910621938648</v>
      </c>
      <c r="O46" s="656" t="str">
        <f t="shared" si="6"/>
        <v>(3,4,1,3,1,5); Brailovsky et al. (2024)</v>
      </c>
      <c r="Q46" s="216" t="s">
        <v>673</v>
      </c>
      <c r="R46" s="648">
        <v>3</v>
      </c>
      <c r="S46" s="648">
        <v>4</v>
      </c>
      <c r="T46" s="648">
        <v>1</v>
      </c>
      <c r="U46" s="648">
        <v>3</v>
      </c>
      <c r="V46" s="648">
        <v>1</v>
      </c>
      <c r="W46" s="648">
        <v>5</v>
      </c>
      <c r="X46" s="672">
        <v>3</v>
      </c>
      <c r="Y46" s="672">
        <v>1.05</v>
      </c>
      <c r="Z46" s="673">
        <f t="shared" si="7"/>
        <v>1.2555818742947564</v>
      </c>
      <c r="AA46" s="673">
        <f t="shared" si="8"/>
        <v>1.2620910621938648</v>
      </c>
      <c r="AB46" s="673" t="str">
        <f t="shared" si="9"/>
        <v>(3,4,1,3,1,5)</v>
      </c>
      <c r="AC46" s="677">
        <v>1.1000000000000001</v>
      </c>
      <c r="AD46" s="677">
        <v>1.1000000000000001</v>
      </c>
      <c r="AE46" s="677">
        <v>1</v>
      </c>
      <c r="AF46" s="677">
        <v>1.02</v>
      </c>
      <c r="AG46" s="677">
        <v>1</v>
      </c>
      <c r="AH46" s="677">
        <v>1.2</v>
      </c>
    </row>
    <row r="47" spans="1:34">
      <c r="A47" s="627">
        <v>269389</v>
      </c>
      <c r="B47" s="640"/>
      <c r="C47" s="644"/>
      <c r="D47" s="647">
        <v>5</v>
      </c>
      <c r="E47" s="657" t="s">
        <v>98</v>
      </c>
      <c r="F47" s="649" t="s">
        <v>320</v>
      </c>
      <c r="G47" s="650" t="s">
        <v>93</v>
      </c>
      <c r="H47" s="651" t="s">
        <v>98</v>
      </c>
      <c r="I47" s="652" t="s">
        <v>98</v>
      </c>
      <c r="J47" s="653">
        <v>0</v>
      </c>
      <c r="K47" s="650" t="s">
        <v>96</v>
      </c>
      <c r="L47" s="650">
        <v>5540</v>
      </c>
      <c r="M47" s="654">
        <v>1</v>
      </c>
      <c r="N47" s="655">
        <f t="shared" si="5"/>
        <v>1.2620910621938648</v>
      </c>
      <c r="O47" s="656" t="str">
        <f t="shared" si="6"/>
        <v>(3,4,1,3,1,5); Brailovsky et al. (2024)</v>
      </c>
      <c r="Q47" s="216" t="s">
        <v>673</v>
      </c>
      <c r="R47" s="648">
        <v>3</v>
      </c>
      <c r="S47" s="648">
        <v>4</v>
      </c>
      <c r="T47" s="648">
        <v>1</v>
      </c>
      <c r="U47" s="648">
        <v>3</v>
      </c>
      <c r="V47" s="648">
        <v>1</v>
      </c>
      <c r="W47" s="648">
        <v>5</v>
      </c>
      <c r="X47" s="672">
        <v>3</v>
      </c>
      <c r="Y47" s="672">
        <v>1.05</v>
      </c>
      <c r="Z47" s="673">
        <f t="shared" si="7"/>
        <v>1.2555818742947564</v>
      </c>
      <c r="AA47" s="673">
        <f t="shared" si="8"/>
        <v>1.2620910621938648</v>
      </c>
      <c r="AB47" s="673" t="str">
        <f t="shared" si="9"/>
        <v>(3,4,1,3,1,5)</v>
      </c>
      <c r="AC47" s="677">
        <v>1.1000000000000001</v>
      </c>
      <c r="AD47" s="677">
        <v>1.1000000000000001</v>
      </c>
      <c r="AE47" s="677">
        <v>1</v>
      </c>
      <c r="AF47" s="677">
        <v>1.02</v>
      </c>
      <c r="AG47" s="677">
        <v>1</v>
      </c>
      <c r="AH47" s="677">
        <v>1.2</v>
      </c>
    </row>
    <row r="48" spans="1:34" ht="36" customHeight="1">
      <c r="A48" s="627">
        <v>267017</v>
      </c>
      <c r="B48" s="641" t="s">
        <v>714</v>
      </c>
      <c r="C48" s="644"/>
      <c r="D48" s="647">
        <v>5</v>
      </c>
      <c r="E48" s="648" t="s">
        <v>98</v>
      </c>
      <c r="F48" s="649" t="s">
        <v>715</v>
      </c>
      <c r="G48" s="650" t="s">
        <v>93</v>
      </c>
      <c r="H48" s="651" t="s">
        <v>98</v>
      </c>
      <c r="I48" s="652" t="s">
        <v>98</v>
      </c>
      <c r="J48" s="653">
        <v>0</v>
      </c>
      <c r="K48" s="650" t="s">
        <v>96</v>
      </c>
      <c r="L48" s="650">
        <v>589.6</v>
      </c>
      <c r="M48" s="654">
        <v>1</v>
      </c>
      <c r="N48" s="655">
        <f t="shared" si="5"/>
        <v>1.2620910621938648</v>
      </c>
      <c r="O48" s="656" t="str">
        <f t="shared" si="6"/>
        <v>(3,4,1,3,1,5); Brailovsky et al. (2024)</v>
      </c>
      <c r="Q48" s="216" t="s">
        <v>673</v>
      </c>
      <c r="R48" s="648">
        <v>3</v>
      </c>
      <c r="S48" s="648">
        <v>4</v>
      </c>
      <c r="T48" s="648">
        <v>1</v>
      </c>
      <c r="U48" s="648">
        <v>3</v>
      </c>
      <c r="V48" s="648">
        <v>1</v>
      </c>
      <c r="W48" s="648">
        <v>5</v>
      </c>
      <c r="X48" s="672">
        <v>3</v>
      </c>
      <c r="Y48" s="672">
        <v>1.05</v>
      </c>
      <c r="Z48" s="673">
        <f t="shared" si="7"/>
        <v>1.2555818742947564</v>
      </c>
      <c r="AA48" s="673">
        <f t="shared" si="8"/>
        <v>1.2620910621938648</v>
      </c>
      <c r="AB48" s="673" t="str">
        <f t="shared" si="9"/>
        <v>(3,4,1,3,1,5)</v>
      </c>
      <c r="AC48" s="677">
        <v>1.1000000000000001</v>
      </c>
      <c r="AD48" s="677">
        <v>1.1000000000000001</v>
      </c>
      <c r="AE48" s="677">
        <v>1</v>
      </c>
      <c r="AF48" s="677">
        <v>1.02</v>
      </c>
      <c r="AG48" s="677">
        <v>1</v>
      </c>
      <c r="AH48" s="677">
        <v>1.2</v>
      </c>
    </row>
    <row r="49" spans="1:34" ht="23.25" customHeight="1">
      <c r="A49" s="627">
        <v>267287</v>
      </c>
      <c r="B49" s="640"/>
      <c r="C49" s="644"/>
      <c r="D49" s="647">
        <v>5</v>
      </c>
      <c r="E49" s="648" t="s">
        <v>98</v>
      </c>
      <c r="F49" s="649" t="s">
        <v>690</v>
      </c>
      <c r="G49" s="650" t="s">
        <v>154</v>
      </c>
      <c r="H49" s="651" t="s">
        <v>98</v>
      </c>
      <c r="I49" s="652" t="s">
        <v>98</v>
      </c>
      <c r="J49" s="653">
        <v>0</v>
      </c>
      <c r="K49" s="650" t="s">
        <v>104</v>
      </c>
      <c r="L49" s="650">
        <v>16773.896429779899</v>
      </c>
      <c r="M49" s="654">
        <v>1</v>
      </c>
      <c r="N49" s="655">
        <f t="shared" si="5"/>
        <v>1.2620910621938648</v>
      </c>
      <c r="O49" s="656" t="str">
        <f t="shared" si="6"/>
        <v>(3,4,1,3,1,5); Brailovsky et al. (2024): From machine operation, diesel, &lt;18.64kW, energy density 45.5MJ/kg</v>
      </c>
      <c r="Q49" s="216" t="s">
        <v>691</v>
      </c>
      <c r="R49" s="648">
        <v>3</v>
      </c>
      <c r="S49" s="648">
        <v>4</v>
      </c>
      <c r="T49" s="648">
        <v>1</v>
      </c>
      <c r="U49" s="648">
        <v>3</v>
      </c>
      <c r="V49" s="648">
        <v>1</v>
      </c>
      <c r="W49" s="648">
        <v>5</v>
      </c>
      <c r="X49" s="672">
        <v>1</v>
      </c>
      <c r="Y49" s="672">
        <v>1.05</v>
      </c>
      <c r="Z49" s="673">
        <f t="shared" si="7"/>
        <v>1.2555818742947564</v>
      </c>
      <c r="AA49" s="673">
        <f t="shared" si="8"/>
        <v>1.2620910621938648</v>
      </c>
      <c r="AB49" s="673" t="str">
        <f t="shared" si="9"/>
        <v>(3,4,1,3,1,5)</v>
      </c>
      <c r="AC49" s="677">
        <v>1.1000000000000001</v>
      </c>
      <c r="AD49" s="677">
        <v>1.1000000000000001</v>
      </c>
      <c r="AE49" s="677">
        <v>1</v>
      </c>
      <c r="AF49" s="677">
        <v>1.02</v>
      </c>
      <c r="AG49" s="677">
        <v>1</v>
      </c>
      <c r="AH49" s="677">
        <v>1.2</v>
      </c>
    </row>
    <row r="50" spans="1:34" ht="23.25" customHeight="1">
      <c r="A50" s="627">
        <v>267287</v>
      </c>
      <c r="B50" s="640"/>
      <c r="C50" s="644"/>
      <c r="D50" s="647">
        <v>5</v>
      </c>
      <c r="E50" s="648" t="s">
        <v>98</v>
      </c>
      <c r="F50" s="649" t="s">
        <v>690</v>
      </c>
      <c r="G50" s="650" t="s">
        <v>154</v>
      </c>
      <c r="H50" s="651" t="s">
        <v>98</v>
      </c>
      <c r="I50" s="652" t="s">
        <v>98</v>
      </c>
      <c r="J50" s="653">
        <v>0</v>
      </c>
      <c r="K50" s="650" t="s">
        <v>104</v>
      </c>
      <c r="L50" s="650">
        <v>236011.98198688601</v>
      </c>
      <c r="M50" s="654">
        <v>1</v>
      </c>
      <c r="N50" s="655">
        <f t="shared" si="5"/>
        <v>1.2620910621938648</v>
      </c>
      <c r="O50" s="656" t="str">
        <f t="shared" si="6"/>
        <v>(3,4,1,3,1,5); Brailovsky et al. (2024): From machine operation, diesel,  &gt;= 74.57 kW, energy density 45.5MJ/kg</v>
      </c>
      <c r="Q50" s="216" t="s">
        <v>693</v>
      </c>
      <c r="R50" s="648">
        <v>3</v>
      </c>
      <c r="S50" s="648">
        <v>4</v>
      </c>
      <c r="T50" s="648">
        <v>1</v>
      </c>
      <c r="U50" s="648">
        <v>3</v>
      </c>
      <c r="V50" s="648">
        <v>1</v>
      </c>
      <c r="W50" s="648">
        <v>5</v>
      </c>
      <c r="X50" s="672">
        <v>1</v>
      </c>
      <c r="Y50" s="672">
        <v>1.05</v>
      </c>
      <c r="Z50" s="673">
        <f t="shared" si="7"/>
        <v>1.2555818742947564</v>
      </c>
      <c r="AA50" s="673">
        <f t="shared" si="8"/>
        <v>1.2620910621938648</v>
      </c>
      <c r="AB50" s="673" t="str">
        <f t="shared" si="9"/>
        <v>(3,4,1,3,1,5)</v>
      </c>
      <c r="AC50" s="677">
        <v>1.1000000000000001</v>
      </c>
      <c r="AD50" s="677">
        <v>1.1000000000000001</v>
      </c>
      <c r="AE50" s="677">
        <v>1</v>
      </c>
      <c r="AF50" s="677">
        <v>1.02</v>
      </c>
      <c r="AG50" s="677">
        <v>1</v>
      </c>
      <c r="AH50" s="677">
        <v>1.2</v>
      </c>
    </row>
    <row r="51" spans="1:34">
      <c r="A51" s="627">
        <v>160371</v>
      </c>
      <c r="B51" s="640"/>
      <c r="C51" s="644"/>
      <c r="D51" s="647">
        <v>5</v>
      </c>
      <c r="E51" s="648" t="s">
        <v>98</v>
      </c>
      <c r="F51" s="649" t="s">
        <v>242</v>
      </c>
      <c r="G51" s="650" t="s">
        <v>93</v>
      </c>
      <c r="H51" s="651" t="s">
        <v>98</v>
      </c>
      <c r="I51" s="652" t="s">
        <v>98</v>
      </c>
      <c r="J51" s="653">
        <v>0</v>
      </c>
      <c r="K51" s="650" t="s">
        <v>115</v>
      </c>
      <c r="L51" s="650">
        <v>57416.5</v>
      </c>
      <c r="M51" s="654">
        <v>1</v>
      </c>
      <c r="N51" s="655">
        <f t="shared" si="5"/>
        <v>2.0741629046031922</v>
      </c>
      <c r="O51" s="656" t="str">
        <f t="shared" si="6"/>
        <v>(3,4,1,3,1,5); Brailovsky et al. (2024)</v>
      </c>
      <c r="Q51" s="216" t="s">
        <v>673</v>
      </c>
      <c r="R51" s="648">
        <v>3</v>
      </c>
      <c r="S51" s="648">
        <v>4</v>
      </c>
      <c r="T51" s="648">
        <v>1</v>
      </c>
      <c r="U51" s="648">
        <v>3</v>
      </c>
      <c r="V51" s="648">
        <v>1</v>
      </c>
      <c r="W51" s="648">
        <v>5</v>
      </c>
      <c r="X51" s="672">
        <v>5</v>
      </c>
      <c r="Y51" s="672">
        <v>2</v>
      </c>
      <c r="Z51" s="673">
        <f t="shared" si="7"/>
        <v>1.2555818742947564</v>
      </c>
      <c r="AA51" s="673">
        <f t="shared" si="8"/>
        <v>2.0741629046031922</v>
      </c>
      <c r="AB51" s="673" t="str">
        <f t="shared" si="9"/>
        <v>(3,4,1,3,1,5)</v>
      </c>
      <c r="AC51" s="677">
        <v>1.1000000000000001</v>
      </c>
      <c r="AD51" s="677">
        <v>1.1000000000000001</v>
      </c>
      <c r="AE51" s="677">
        <v>1</v>
      </c>
      <c r="AF51" s="677">
        <v>1.02</v>
      </c>
      <c r="AG51" s="677">
        <v>1</v>
      </c>
      <c r="AH51" s="677">
        <v>1.2</v>
      </c>
    </row>
    <row r="52" spans="1:34">
      <c r="A52" s="627">
        <v>269641</v>
      </c>
      <c r="B52" s="640"/>
      <c r="C52" s="644"/>
      <c r="D52" s="647">
        <v>5</v>
      </c>
      <c r="E52" s="648" t="s">
        <v>98</v>
      </c>
      <c r="F52" s="649" t="s">
        <v>240</v>
      </c>
      <c r="G52" s="650" t="s">
        <v>93</v>
      </c>
      <c r="H52" s="651" t="s">
        <v>98</v>
      </c>
      <c r="I52" s="652" t="s">
        <v>98</v>
      </c>
      <c r="J52" s="653">
        <v>0</v>
      </c>
      <c r="K52" s="650" t="s">
        <v>115</v>
      </c>
      <c r="L52" s="650">
        <v>2132.4</v>
      </c>
      <c r="M52" s="654">
        <v>1</v>
      </c>
      <c r="N52" s="655">
        <f t="shared" si="5"/>
        <v>2.0741629046031922</v>
      </c>
      <c r="O52" s="656" t="str">
        <f t="shared" si="6"/>
        <v>(3,4,1,3,1,5); Brailovsky et al. (2024)</v>
      </c>
      <c r="Q52" s="216" t="s">
        <v>673</v>
      </c>
      <c r="R52" s="648">
        <v>3</v>
      </c>
      <c r="S52" s="648">
        <v>4</v>
      </c>
      <c r="T52" s="648">
        <v>1</v>
      </c>
      <c r="U52" s="648">
        <v>3</v>
      </c>
      <c r="V52" s="648">
        <v>1</v>
      </c>
      <c r="W52" s="648">
        <v>5</v>
      </c>
      <c r="X52" s="672">
        <v>5</v>
      </c>
      <c r="Y52" s="672">
        <v>2</v>
      </c>
      <c r="Z52" s="673">
        <f t="shared" si="7"/>
        <v>1.2555818742947564</v>
      </c>
      <c r="AA52" s="673">
        <f t="shared" si="8"/>
        <v>2.0741629046031922</v>
      </c>
      <c r="AB52" s="673" t="str">
        <f t="shared" si="9"/>
        <v>(3,4,1,3,1,5)</v>
      </c>
      <c r="AC52" s="677">
        <v>1.1000000000000001</v>
      </c>
      <c r="AD52" s="677">
        <v>1.1000000000000001</v>
      </c>
      <c r="AE52" s="677">
        <v>1</v>
      </c>
      <c r="AF52" s="677">
        <v>1.02</v>
      </c>
      <c r="AG52" s="677">
        <v>1</v>
      </c>
      <c r="AH52" s="677">
        <v>1.2</v>
      </c>
    </row>
    <row r="53" spans="1:34">
      <c r="A53" s="627">
        <v>269641</v>
      </c>
      <c r="B53" s="640"/>
      <c r="C53" s="644"/>
      <c r="D53" s="647">
        <v>5</v>
      </c>
      <c r="E53" s="648" t="s">
        <v>98</v>
      </c>
      <c r="F53" s="649" t="s">
        <v>240</v>
      </c>
      <c r="G53" s="650" t="s">
        <v>93</v>
      </c>
      <c r="H53" s="651" t="s">
        <v>98</v>
      </c>
      <c r="I53" s="652" t="s">
        <v>98</v>
      </c>
      <c r="J53" s="653">
        <v>0</v>
      </c>
      <c r="K53" s="650" t="s">
        <v>115</v>
      </c>
      <c r="L53" s="650">
        <v>108112.2</v>
      </c>
      <c r="M53" s="654">
        <v>1</v>
      </c>
      <c r="N53" s="655">
        <f t="shared" si="5"/>
        <v>2.0741629046031922</v>
      </c>
      <c r="O53" s="656" t="str">
        <f t="shared" si="6"/>
        <v>(3,4,1,3,1,5); Brailovsky et al. (2024)</v>
      </c>
      <c r="Q53" s="216" t="s">
        <v>673</v>
      </c>
      <c r="R53" s="648">
        <v>3</v>
      </c>
      <c r="S53" s="648">
        <v>4</v>
      </c>
      <c r="T53" s="648">
        <v>1</v>
      </c>
      <c r="U53" s="648">
        <v>3</v>
      </c>
      <c r="V53" s="648">
        <v>1</v>
      </c>
      <c r="W53" s="648">
        <v>5</v>
      </c>
      <c r="X53" s="672">
        <v>5</v>
      </c>
      <c r="Y53" s="672">
        <v>2</v>
      </c>
      <c r="Z53" s="673">
        <f t="shared" si="7"/>
        <v>1.2555818742947564</v>
      </c>
      <c r="AA53" s="673">
        <f t="shared" si="8"/>
        <v>2.0741629046031922</v>
      </c>
      <c r="AB53" s="673" t="str">
        <f t="shared" si="9"/>
        <v>(3,4,1,3,1,5)</v>
      </c>
      <c r="AC53" s="677">
        <v>1.1000000000000001</v>
      </c>
      <c r="AD53" s="677">
        <v>1.1000000000000001</v>
      </c>
      <c r="AE53" s="677">
        <v>1</v>
      </c>
      <c r="AF53" s="677">
        <v>1.02</v>
      </c>
      <c r="AG53" s="677">
        <v>1</v>
      </c>
      <c r="AH53" s="677">
        <v>1.2</v>
      </c>
    </row>
    <row r="54" spans="1:34" ht="26.25" customHeight="1">
      <c r="A54" s="627">
        <v>261895</v>
      </c>
      <c r="B54" s="640"/>
      <c r="C54" s="644"/>
      <c r="D54" s="647">
        <v>5</v>
      </c>
      <c r="E54" s="648" t="s">
        <v>98</v>
      </c>
      <c r="F54" s="649" t="s">
        <v>694</v>
      </c>
      <c r="G54" s="650" t="s">
        <v>245</v>
      </c>
      <c r="H54" s="651" t="s">
        <v>98</v>
      </c>
      <c r="I54" s="652" t="s">
        <v>98</v>
      </c>
      <c r="J54" s="653">
        <v>0</v>
      </c>
      <c r="K54" s="650" t="s">
        <v>115</v>
      </c>
      <c r="L54" s="650">
        <v>83.3</v>
      </c>
      <c r="M54" s="654">
        <v>1</v>
      </c>
      <c r="N54" s="655">
        <f t="shared" si="5"/>
        <v>2.0741629046031922</v>
      </c>
      <c r="O54" s="656" t="str">
        <f t="shared" si="6"/>
        <v>(3,4,1,3,1,5); Brailovsky et al. (2024)</v>
      </c>
      <c r="Q54" s="216" t="s">
        <v>673</v>
      </c>
      <c r="R54" s="648">
        <v>3</v>
      </c>
      <c r="S54" s="648">
        <v>4</v>
      </c>
      <c r="T54" s="648">
        <v>1</v>
      </c>
      <c r="U54" s="648">
        <v>3</v>
      </c>
      <c r="V54" s="648">
        <v>1</v>
      </c>
      <c r="W54" s="648">
        <v>5</v>
      </c>
      <c r="X54" s="672">
        <v>5</v>
      </c>
      <c r="Y54" s="672">
        <v>2</v>
      </c>
      <c r="Z54" s="673">
        <f t="shared" si="7"/>
        <v>1.2555818742947564</v>
      </c>
      <c r="AA54" s="673">
        <f t="shared" si="8"/>
        <v>2.0741629046031922</v>
      </c>
      <c r="AB54" s="673" t="str">
        <f t="shared" si="9"/>
        <v>(3,4,1,3,1,5)</v>
      </c>
      <c r="AC54" s="677">
        <v>1.1000000000000001</v>
      </c>
      <c r="AD54" s="677">
        <v>1.1000000000000001</v>
      </c>
      <c r="AE54" s="677">
        <v>1</v>
      </c>
      <c r="AF54" s="677">
        <v>1.02</v>
      </c>
      <c r="AG54" s="677">
        <v>1</v>
      </c>
      <c r="AH54" s="677">
        <v>1.2</v>
      </c>
    </row>
    <row r="55" spans="1:34" ht="24">
      <c r="A55" s="627">
        <v>257118</v>
      </c>
      <c r="B55" s="681" t="s">
        <v>716</v>
      </c>
      <c r="C55" s="644"/>
      <c r="D55" s="647">
        <v>5</v>
      </c>
      <c r="E55" s="648" t="s">
        <v>98</v>
      </c>
      <c r="F55" s="649" t="s">
        <v>717</v>
      </c>
      <c r="G55" s="650" t="s">
        <v>103</v>
      </c>
      <c r="H55" s="651" t="s">
        <v>98</v>
      </c>
      <c r="I55" s="652" t="s">
        <v>98</v>
      </c>
      <c r="J55" s="653">
        <v>1</v>
      </c>
      <c r="K55" s="650" t="s">
        <v>168</v>
      </c>
      <c r="L55" s="650">
        <v>0.72</v>
      </c>
      <c r="M55" s="654">
        <v>1</v>
      </c>
      <c r="N55" s="655">
        <f t="shared" si="5"/>
        <v>3.0708070945678916</v>
      </c>
      <c r="O55" s="656" t="str">
        <f t="shared" si="6"/>
        <v>(3,4,1,3,1,5); Brailovsky et al. (2024)</v>
      </c>
      <c r="Q55" s="216" t="s">
        <v>673</v>
      </c>
      <c r="R55" s="648">
        <v>3</v>
      </c>
      <c r="S55" s="648">
        <v>4</v>
      </c>
      <c r="T55" s="648">
        <v>1</v>
      </c>
      <c r="U55" s="648">
        <v>3</v>
      </c>
      <c r="V55" s="648">
        <v>1</v>
      </c>
      <c r="W55" s="648">
        <v>5</v>
      </c>
      <c r="X55" s="672">
        <v>9</v>
      </c>
      <c r="Y55" s="672">
        <v>3</v>
      </c>
      <c r="Z55" s="673">
        <f t="shared" si="7"/>
        <v>1.2555818742947564</v>
      </c>
      <c r="AA55" s="673">
        <f t="shared" si="8"/>
        <v>3.0708070945678916</v>
      </c>
      <c r="AB55" s="673" t="str">
        <f t="shared" si="9"/>
        <v>(3,4,1,3,1,5)</v>
      </c>
      <c r="AC55" s="677">
        <v>1.1000000000000001</v>
      </c>
      <c r="AD55" s="677">
        <v>1.1000000000000001</v>
      </c>
      <c r="AE55" s="677">
        <v>1</v>
      </c>
      <c r="AF55" s="677">
        <v>1.02</v>
      </c>
      <c r="AG55" s="677">
        <v>1</v>
      </c>
      <c r="AH55" s="677">
        <v>1.2</v>
      </c>
    </row>
    <row r="56" spans="1:34" ht="23.25" customHeight="1">
      <c r="A56" s="627">
        <v>267287</v>
      </c>
      <c r="B56" s="641" t="s">
        <v>718</v>
      </c>
      <c r="C56" s="644"/>
      <c r="D56" s="647">
        <v>5</v>
      </c>
      <c r="E56" s="648" t="s">
        <v>98</v>
      </c>
      <c r="F56" s="649" t="s">
        <v>690</v>
      </c>
      <c r="G56" s="650" t="s">
        <v>154</v>
      </c>
      <c r="H56" s="651" t="s">
        <v>98</v>
      </c>
      <c r="I56" s="652" t="s">
        <v>98</v>
      </c>
      <c r="J56" s="653">
        <v>0</v>
      </c>
      <c r="K56" s="650" t="s">
        <v>104</v>
      </c>
      <c r="L56" s="650">
        <v>4428398.8740371596</v>
      </c>
      <c r="M56" s="654">
        <v>1</v>
      </c>
      <c r="N56" s="655">
        <f t="shared" si="5"/>
        <v>1.2620910621938648</v>
      </c>
      <c r="O56" s="656" t="str">
        <f t="shared" si="6"/>
        <v>(3,4,1,3,1,5); Brailovsky et al. (2024): From machine operation, diesel,  &gt;= 74.57 kW, energy density 45.5MJ/kg</v>
      </c>
      <c r="Q56" s="216" t="s">
        <v>693</v>
      </c>
      <c r="R56" s="648">
        <v>3</v>
      </c>
      <c r="S56" s="648">
        <v>4</v>
      </c>
      <c r="T56" s="648">
        <v>1</v>
      </c>
      <c r="U56" s="648">
        <v>3</v>
      </c>
      <c r="V56" s="648">
        <v>1</v>
      </c>
      <c r="W56" s="648">
        <v>5</v>
      </c>
      <c r="X56" s="672">
        <v>1</v>
      </c>
      <c r="Y56" s="672">
        <v>1.05</v>
      </c>
      <c r="Z56" s="673">
        <f t="shared" si="7"/>
        <v>1.2555818742947564</v>
      </c>
      <c r="AA56" s="673">
        <f t="shared" si="8"/>
        <v>1.2620910621938648</v>
      </c>
      <c r="AB56" s="673" t="str">
        <f t="shared" si="9"/>
        <v>(3,4,1,3,1,5)</v>
      </c>
      <c r="AC56" s="677">
        <v>1.1000000000000001</v>
      </c>
      <c r="AD56" s="677">
        <v>1.1000000000000001</v>
      </c>
      <c r="AE56" s="677">
        <v>1</v>
      </c>
      <c r="AF56" s="677">
        <v>1.02</v>
      </c>
      <c r="AG56" s="677">
        <v>1</v>
      </c>
      <c r="AH56" s="677">
        <v>1.2</v>
      </c>
    </row>
    <row r="57" spans="1:34">
      <c r="A57" s="627">
        <v>160371</v>
      </c>
      <c r="B57" s="640"/>
      <c r="C57" s="644"/>
      <c r="D57" s="647">
        <v>5</v>
      </c>
      <c r="E57" s="648" t="s">
        <v>98</v>
      </c>
      <c r="F57" s="649" t="s">
        <v>242</v>
      </c>
      <c r="G57" s="650" t="s">
        <v>93</v>
      </c>
      <c r="H57" s="651" t="s">
        <v>98</v>
      </c>
      <c r="I57" s="652" t="s">
        <v>98</v>
      </c>
      <c r="J57" s="653">
        <v>0</v>
      </c>
      <c r="K57" s="650" t="s">
        <v>115</v>
      </c>
      <c r="L57" s="650">
        <v>2431</v>
      </c>
      <c r="M57" s="654">
        <v>1</v>
      </c>
      <c r="N57" s="655">
        <f t="shared" si="5"/>
        <v>2.0741629046031922</v>
      </c>
      <c r="O57" s="656" t="str">
        <f t="shared" si="6"/>
        <v>(3,4,1,3,1,5); Brailovsky et al. (2024)</v>
      </c>
      <c r="Q57" s="216" t="s">
        <v>673</v>
      </c>
      <c r="R57" s="648">
        <v>3</v>
      </c>
      <c r="S57" s="648">
        <v>4</v>
      </c>
      <c r="T57" s="648">
        <v>1</v>
      </c>
      <c r="U57" s="648">
        <v>3</v>
      </c>
      <c r="V57" s="648">
        <v>1</v>
      </c>
      <c r="W57" s="648">
        <v>5</v>
      </c>
      <c r="X57" s="672">
        <v>5</v>
      </c>
      <c r="Y57" s="672">
        <v>2</v>
      </c>
      <c r="Z57" s="673">
        <f t="shared" si="7"/>
        <v>1.2555818742947564</v>
      </c>
      <c r="AA57" s="673">
        <f t="shared" si="8"/>
        <v>2.0741629046031922</v>
      </c>
      <c r="AB57" s="673" t="str">
        <f t="shared" si="9"/>
        <v>(3,4,1,3,1,5)</v>
      </c>
      <c r="AC57" s="677">
        <v>1.1000000000000001</v>
      </c>
      <c r="AD57" s="677">
        <v>1.1000000000000001</v>
      </c>
      <c r="AE57" s="677">
        <v>1</v>
      </c>
      <c r="AF57" s="677">
        <v>1.02</v>
      </c>
      <c r="AG57" s="677">
        <v>1</v>
      </c>
      <c r="AH57" s="677">
        <v>1.2</v>
      </c>
    </row>
    <row r="58" spans="1:34">
      <c r="A58" s="627">
        <v>160371</v>
      </c>
      <c r="B58" s="640"/>
      <c r="C58" s="644"/>
      <c r="D58" s="647">
        <v>5</v>
      </c>
      <c r="E58" s="648" t="s">
        <v>98</v>
      </c>
      <c r="F58" s="649" t="s">
        <v>242</v>
      </c>
      <c r="G58" s="650" t="s">
        <v>93</v>
      </c>
      <c r="H58" s="651" t="s">
        <v>98</v>
      </c>
      <c r="I58" s="652" t="s">
        <v>98</v>
      </c>
      <c r="J58" s="653">
        <v>0</v>
      </c>
      <c r="K58" s="650" t="s">
        <v>115</v>
      </c>
      <c r="L58" s="650">
        <v>96054.2</v>
      </c>
      <c r="M58" s="654">
        <v>1</v>
      </c>
      <c r="N58" s="655">
        <f t="shared" si="5"/>
        <v>2.0741629046031922</v>
      </c>
      <c r="O58" s="656" t="str">
        <f t="shared" si="6"/>
        <v>(3,4,1,3,1,5); Brailovsky et al. (2024) RER iso RoW</v>
      </c>
      <c r="Q58" s="216" t="s">
        <v>719</v>
      </c>
      <c r="R58" s="648">
        <v>3</v>
      </c>
      <c r="S58" s="648">
        <v>4</v>
      </c>
      <c r="T58" s="648">
        <v>1</v>
      </c>
      <c r="U58" s="648">
        <v>3</v>
      </c>
      <c r="V58" s="648">
        <v>1</v>
      </c>
      <c r="W58" s="648">
        <v>5</v>
      </c>
      <c r="X58" s="672">
        <v>5</v>
      </c>
      <c r="Y58" s="672">
        <v>2</v>
      </c>
      <c r="Z58" s="673">
        <f t="shared" si="7"/>
        <v>1.2555818742947564</v>
      </c>
      <c r="AA58" s="673">
        <f t="shared" si="8"/>
        <v>2.0741629046031922</v>
      </c>
      <c r="AB58" s="673" t="str">
        <f t="shared" si="9"/>
        <v>(3,4,1,3,1,5)</v>
      </c>
      <c r="AC58" s="677">
        <v>1.1000000000000001</v>
      </c>
      <c r="AD58" s="677">
        <v>1.1000000000000001</v>
      </c>
      <c r="AE58" s="677">
        <v>1</v>
      </c>
      <c r="AF58" s="677">
        <v>1.02</v>
      </c>
      <c r="AG58" s="677">
        <v>1</v>
      </c>
      <c r="AH58" s="677">
        <v>1.2</v>
      </c>
    </row>
    <row r="59" spans="1:34">
      <c r="A59" s="627">
        <v>269609</v>
      </c>
      <c r="B59" s="640"/>
      <c r="C59" s="644"/>
      <c r="D59" s="647">
        <v>5</v>
      </c>
      <c r="E59" s="648" t="s">
        <v>98</v>
      </c>
      <c r="F59" s="649" t="s">
        <v>720</v>
      </c>
      <c r="G59" s="650" t="s">
        <v>93</v>
      </c>
      <c r="H59" s="651" t="s">
        <v>98</v>
      </c>
      <c r="I59" s="652" t="s">
        <v>98</v>
      </c>
      <c r="J59" s="653">
        <v>0</v>
      </c>
      <c r="K59" s="650" t="s">
        <v>115</v>
      </c>
      <c r="L59" s="650">
        <v>859.7</v>
      </c>
      <c r="M59" s="654">
        <v>1</v>
      </c>
      <c r="N59" s="655">
        <f t="shared" si="5"/>
        <v>2.0741629046031922</v>
      </c>
      <c r="O59" s="656" t="str">
        <f t="shared" si="6"/>
        <v>(3,4,1,3,1,5); Brailovsky et al. (2024)</v>
      </c>
      <c r="Q59" s="216" t="s">
        <v>673</v>
      </c>
      <c r="R59" s="648">
        <v>3</v>
      </c>
      <c r="S59" s="648">
        <v>4</v>
      </c>
      <c r="T59" s="648">
        <v>1</v>
      </c>
      <c r="U59" s="648">
        <v>3</v>
      </c>
      <c r="V59" s="648">
        <v>1</v>
      </c>
      <c r="W59" s="648">
        <v>5</v>
      </c>
      <c r="X59" s="672">
        <v>5</v>
      </c>
      <c r="Y59" s="672">
        <v>2</v>
      </c>
      <c r="Z59" s="673">
        <f t="shared" si="7"/>
        <v>1.2555818742947564</v>
      </c>
      <c r="AA59" s="673">
        <f t="shared" si="8"/>
        <v>2.0741629046031922</v>
      </c>
      <c r="AB59" s="673" t="str">
        <f t="shared" si="9"/>
        <v>(3,4,1,3,1,5)</v>
      </c>
      <c r="AC59" s="677">
        <v>1.1000000000000001</v>
      </c>
      <c r="AD59" s="677">
        <v>1.1000000000000001</v>
      </c>
      <c r="AE59" s="677">
        <v>1</v>
      </c>
      <c r="AF59" s="677">
        <v>1.02</v>
      </c>
      <c r="AG59" s="677">
        <v>1</v>
      </c>
      <c r="AH59" s="677">
        <v>1.2</v>
      </c>
    </row>
    <row r="60" spans="1:34">
      <c r="A60" s="627">
        <v>269609</v>
      </c>
      <c r="B60" s="640"/>
      <c r="C60" s="644"/>
      <c r="D60" s="647">
        <v>5</v>
      </c>
      <c r="E60" s="648" t="s">
        <v>98</v>
      </c>
      <c r="F60" s="649" t="s">
        <v>720</v>
      </c>
      <c r="G60" s="650" t="s">
        <v>93</v>
      </c>
      <c r="H60" s="651" t="s">
        <v>98</v>
      </c>
      <c r="I60" s="652" t="s">
        <v>98</v>
      </c>
      <c r="J60" s="653">
        <v>0</v>
      </c>
      <c r="K60" s="650" t="s">
        <v>115</v>
      </c>
      <c r="L60" s="650">
        <v>5336.3</v>
      </c>
      <c r="M60" s="654">
        <v>1</v>
      </c>
      <c r="N60" s="655">
        <f t="shared" si="5"/>
        <v>2.0741629046031922</v>
      </c>
      <c r="O60" s="656" t="str">
        <f t="shared" si="6"/>
        <v>(3,4,1,3,1,5); Brailovsky et al. (2024) RER iso RoW</v>
      </c>
      <c r="Q60" s="216" t="s">
        <v>719</v>
      </c>
      <c r="R60" s="648">
        <v>3</v>
      </c>
      <c r="S60" s="648">
        <v>4</v>
      </c>
      <c r="T60" s="648">
        <v>1</v>
      </c>
      <c r="U60" s="648">
        <v>3</v>
      </c>
      <c r="V60" s="648">
        <v>1</v>
      </c>
      <c r="W60" s="648">
        <v>5</v>
      </c>
      <c r="X60" s="672">
        <v>5</v>
      </c>
      <c r="Y60" s="672">
        <v>2</v>
      </c>
      <c r="Z60" s="673">
        <f t="shared" si="7"/>
        <v>1.2555818742947564</v>
      </c>
      <c r="AA60" s="673">
        <f t="shared" si="8"/>
        <v>2.0741629046031922</v>
      </c>
      <c r="AB60" s="673" t="str">
        <f t="shared" si="9"/>
        <v>(3,4,1,3,1,5)</v>
      </c>
      <c r="AC60" s="677">
        <v>1.1000000000000001</v>
      </c>
      <c r="AD60" s="677">
        <v>1.1000000000000001</v>
      </c>
      <c r="AE60" s="677">
        <v>1</v>
      </c>
      <c r="AF60" s="677">
        <v>1.02</v>
      </c>
      <c r="AG60" s="677">
        <v>1</v>
      </c>
      <c r="AH60" s="677">
        <v>1.2</v>
      </c>
    </row>
    <row r="61" spans="1:34">
      <c r="A61" s="627">
        <v>269641</v>
      </c>
      <c r="B61" s="640"/>
      <c r="C61" s="644"/>
      <c r="D61" s="647">
        <v>5</v>
      </c>
      <c r="E61" s="648" t="s">
        <v>98</v>
      </c>
      <c r="F61" s="649" t="s">
        <v>240</v>
      </c>
      <c r="G61" s="650" t="s">
        <v>93</v>
      </c>
      <c r="H61" s="651" t="s">
        <v>98</v>
      </c>
      <c r="I61" s="652" t="s">
        <v>98</v>
      </c>
      <c r="J61" s="653">
        <v>0</v>
      </c>
      <c r="K61" s="650" t="s">
        <v>115</v>
      </c>
      <c r="L61" s="650">
        <v>204026.2</v>
      </c>
      <c r="M61" s="654">
        <v>1</v>
      </c>
      <c r="N61" s="655">
        <f t="shared" si="5"/>
        <v>2.0741629046031922</v>
      </c>
      <c r="O61" s="656" t="str">
        <f t="shared" si="6"/>
        <v>(3,4,1,3,1,5); Brailovsky et al. (2024)</v>
      </c>
      <c r="Q61" s="216" t="s">
        <v>673</v>
      </c>
      <c r="R61" s="648">
        <v>3</v>
      </c>
      <c r="S61" s="648">
        <v>4</v>
      </c>
      <c r="T61" s="648">
        <v>1</v>
      </c>
      <c r="U61" s="648">
        <v>3</v>
      </c>
      <c r="V61" s="648">
        <v>1</v>
      </c>
      <c r="W61" s="648">
        <v>5</v>
      </c>
      <c r="X61" s="672">
        <v>5</v>
      </c>
      <c r="Y61" s="672">
        <v>2</v>
      </c>
      <c r="Z61" s="673">
        <f t="shared" si="7"/>
        <v>1.2555818742947564</v>
      </c>
      <c r="AA61" s="673">
        <f t="shared" si="8"/>
        <v>2.0741629046031922</v>
      </c>
      <c r="AB61" s="673" t="str">
        <f t="shared" si="9"/>
        <v>(3,4,1,3,1,5)</v>
      </c>
      <c r="AC61" s="677">
        <v>1.1000000000000001</v>
      </c>
      <c r="AD61" s="677">
        <v>1.1000000000000001</v>
      </c>
      <c r="AE61" s="677">
        <v>1</v>
      </c>
      <c r="AF61" s="677">
        <v>1.02</v>
      </c>
      <c r="AG61" s="677">
        <v>1</v>
      </c>
      <c r="AH61" s="677">
        <v>1.2</v>
      </c>
    </row>
    <row r="62" spans="1:34">
      <c r="A62" s="627">
        <v>269641</v>
      </c>
      <c r="B62" s="640"/>
      <c r="C62" s="644"/>
      <c r="D62" s="647">
        <v>5</v>
      </c>
      <c r="E62" s="648" t="s">
        <v>98</v>
      </c>
      <c r="F62" s="649" t="s">
        <v>240</v>
      </c>
      <c r="G62" s="650" t="s">
        <v>93</v>
      </c>
      <c r="H62" s="651" t="s">
        <v>98</v>
      </c>
      <c r="I62" s="652" t="s">
        <v>98</v>
      </c>
      <c r="J62" s="653">
        <v>0</v>
      </c>
      <c r="K62" s="650" t="s">
        <v>115</v>
      </c>
      <c r="L62" s="650">
        <v>3208477.3</v>
      </c>
      <c r="M62" s="654">
        <v>1</v>
      </c>
      <c r="N62" s="655">
        <f t="shared" si="5"/>
        <v>2.0741629046031922</v>
      </c>
      <c r="O62" s="656" t="str">
        <f t="shared" si="6"/>
        <v>(3,4,1,3,1,5); Brailovsky et al. (2024) RER iso RoW</v>
      </c>
      <c r="Q62" s="216" t="s">
        <v>719</v>
      </c>
      <c r="R62" s="648">
        <v>3</v>
      </c>
      <c r="S62" s="648">
        <v>4</v>
      </c>
      <c r="T62" s="648">
        <v>1</v>
      </c>
      <c r="U62" s="648">
        <v>3</v>
      </c>
      <c r="V62" s="648">
        <v>1</v>
      </c>
      <c r="W62" s="648">
        <v>5</v>
      </c>
      <c r="X62" s="672">
        <v>5</v>
      </c>
      <c r="Y62" s="672">
        <v>2</v>
      </c>
      <c r="Z62" s="673">
        <f t="shared" si="7"/>
        <v>1.2555818742947564</v>
      </c>
      <c r="AA62" s="673">
        <f t="shared" si="8"/>
        <v>2.0741629046031922</v>
      </c>
      <c r="AB62" s="673" t="str">
        <f t="shared" si="9"/>
        <v>(3,4,1,3,1,5)</v>
      </c>
      <c r="AC62" s="677">
        <v>1.1000000000000001</v>
      </c>
      <c r="AD62" s="677">
        <v>1.1000000000000001</v>
      </c>
      <c r="AE62" s="677">
        <v>1</v>
      </c>
      <c r="AF62" s="677">
        <v>1.02</v>
      </c>
      <c r="AG62" s="677">
        <v>1</v>
      </c>
      <c r="AH62" s="677">
        <v>1.2</v>
      </c>
    </row>
    <row r="63" spans="1:34" ht="26.25" customHeight="1">
      <c r="A63" s="627">
        <v>261895</v>
      </c>
      <c r="B63" s="640"/>
      <c r="C63" s="644"/>
      <c r="D63" s="647">
        <v>5</v>
      </c>
      <c r="E63" s="648" t="s">
        <v>98</v>
      </c>
      <c r="F63" s="649" t="s">
        <v>694</v>
      </c>
      <c r="G63" s="650" t="s">
        <v>245</v>
      </c>
      <c r="H63" s="651" t="s">
        <v>98</v>
      </c>
      <c r="I63" s="652" t="s">
        <v>98</v>
      </c>
      <c r="J63" s="653">
        <v>0</v>
      </c>
      <c r="K63" s="650" t="s">
        <v>115</v>
      </c>
      <c r="L63" s="650">
        <v>3932886.1</v>
      </c>
      <c r="M63" s="654">
        <v>1</v>
      </c>
      <c r="N63" s="655">
        <f t="shared" si="5"/>
        <v>2.0741629046031922</v>
      </c>
      <c r="O63" s="656" t="str">
        <f t="shared" si="6"/>
        <v>(3,4,1,3,1,5); Brailovsky et al. (2024)</v>
      </c>
      <c r="Q63" s="216" t="s">
        <v>673</v>
      </c>
      <c r="R63" s="648">
        <v>3</v>
      </c>
      <c r="S63" s="648">
        <v>4</v>
      </c>
      <c r="T63" s="648">
        <v>1</v>
      </c>
      <c r="U63" s="648">
        <v>3</v>
      </c>
      <c r="V63" s="648">
        <v>1</v>
      </c>
      <c r="W63" s="648">
        <v>5</v>
      </c>
      <c r="X63" s="672">
        <v>5</v>
      </c>
      <c r="Y63" s="672">
        <v>2</v>
      </c>
      <c r="Z63" s="673">
        <f t="shared" si="7"/>
        <v>1.2555818742947564</v>
      </c>
      <c r="AA63" s="673">
        <f t="shared" si="8"/>
        <v>2.0741629046031922</v>
      </c>
      <c r="AB63" s="673" t="str">
        <f t="shared" si="9"/>
        <v>(3,4,1,3,1,5)</v>
      </c>
      <c r="AC63" s="677">
        <v>1.1000000000000001</v>
      </c>
      <c r="AD63" s="677">
        <v>1.1000000000000001</v>
      </c>
      <c r="AE63" s="677">
        <v>1</v>
      </c>
      <c r="AF63" s="677">
        <v>1.02</v>
      </c>
      <c r="AG63" s="677">
        <v>1</v>
      </c>
      <c r="AH63" s="677">
        <v>1.2</v>
      </c>
    </row>
    <row r="64" spans="1:34" ht="24" customHeight="1">
      <c r="A64" s="627">
        <v>79235</v>
      </c>
      <c r="B64" s="641" t="s">
        <v>721</v>
      </c>
      <c r="C64" s="644"/>
      <c r="D64" s="647">
        <v>5</v>
      </c>
      <c r="E64" s="648" t="s">
        <v>98</v>
      </c>
      <c r="F64" s="649" t="s">
        <v>688</v>
      </c>
      <c r="G64" s="650" t="s">
        <v>340</v>
      </c>
      <c r="H64" s="651" t="s">
        <v>98</v>
      </c>
      <c r="I64" s="652" t="s">
        <v>98</v>
      </c>
      <c r="J64" s="653">
        <v>0</v>
      </c>
      <c r="K64" s="650" t="s">
        <v>109</v>
      </c>
      <c r="L64" s="650">
        <v>10530.5</v>
      </c>
      <c r="M64" s="654">
        <v>1</v>
      </c>
      <c r="N64" s="655">
        <f t="shared" si="5"/>
        <v>1.2620910621938648</v>
      </c>
      <c r="O64" s="656" t="str">
        <f t="shared" si="6"/>
        <v>(3,4,1,3,1,5); Brailovsky et al. (2024)</v>
      </c>
      <c r="Q64" s="216" t="s">
        <v>673</v>
      </c>
      <c r="R64" s="648">
        <v>3</v>
      </c>
      <c r="S64" s="648">
        <v>4</v>
      </c>
      <c r="T64" s="648">
        <v>1</v>
      </c>
      <c r="U64" s="648">
        <v>3</v>
      </c>
      <c r="V64" s="648">
        <v>1</v>
      </c>
      <c r="W64" s="648">
        <v>5</v>
      </c>
      <c r="X64" s="672">
        <v>3</v>
      </c>
      <c r="Y64" s="672">
        <v>1.05</v>
      </c>
      <c r="Z64" s="673">
        <f t="shared" si="7"/>
        <v>1.2555818742947564</v>
      </c>
      <c r="AA64" s="673">
        <f t="shared" si="8"/>
        <v>1.2620910621938648</v>
      </c>
      <c r="AB64" s="673" t="str">
        <f t="shared" si="9"/>
        <v>(3,4,1,3,1,5)</v>
      </c>
      <c r="AC64" s="677">
        <v>1.1000000000000001</v>
      </c>
      <c r="AD64" s="677">
        <v>1.1000000000000001</v>
      </c>
      <c r="AE64" s="677">
        <v>1</v>
      </c>
      <c r="AF64" s="677">
        <v>1.02</v>
      </c>
      <c r="AG64" s="677">
        <v>1</v>
      </c>
      <c r="AH64" s="677">
        <v>1.2</v>
      </c>
    </row>
    <row r="65" spans="1:34">
      <c r="A65" s="627">
        <v>263631</v>
      </c>
      <c r="B65" s="640"/>
      <c r="C65" s="644"/>
      <c r="D65" s="647">
        <v>5</v>
      </c>
      <c r="E65" s="648" t="s">
        <v>98</v>
      </c>
      <c r="F65" s="649" t="s">
        <v>722</v>
      </c>
      <c r="G65" s="650" t="s">
        <v>103</v>
      </c>
      <c r="H65" s="651" t="s">
        <v>98</v>
      </c>
      <c r="I65" s="652" t="s">
        <v>98</v>
      </c>
      <c r="J65" s="653">
        <v>0</v>
      </c>
      <c r="K65" s="650" t="s">
        <v>96</v>
      </c>
      <c r="L65" s="650">
        <v>2453584</v>
      </c>
      <c r="M65" s="654">
        <v>1</v>
      </c>
      <c r="N65" s="655">
        <f t="shared" si="5"/>
        <v>1.2620910621938648</v>
      </c>
      <c r="O65" s="656" t="str">
        <f t="shared" si="6"/>
        <v>(3,4,1,3,1,5); Brailovsky et al. (2024)</v>
      </c>
      <c r="Q65" s="216" t="s">
        <v>673</v>
      </c>
      <c r="R65" s="648">
        <v>3</v>
      </c>
      <c r="S65" s="648">
        <v>4</v>
      </c>
      <c r="T65" s="648">
        <v>1</v>
      </c>
      <c r="U65" s="648">
        <v>3</v>
      </c>
      <c r="V65" s="648">
        <v>1</v>
      </c>
      <c r="W65" s="648">
        <v>5</v>
      </c>
      <c r="X65" s="672">
        <v>3</v>
      </c>
      <c r="Y65" s="672">
        <v>1.05</v>
      </c>
      <c r="Z65" s="673">
        <f t="shared" si="7"/>
        <v>1.2555818742947564</v>
      </c>
      <c r="AA65" s="673">
        <f t="shared" si="8"/>
        <v>1.2620910621938648</v>
      </c>
      <c r="AB65" s="673" t="str">
        <f t="shared" si="9"/>
        <v>(3,4,1,3,1,5)</v>
      </c>
      <c r="AC65" s="677">
        <v>1.1000000000000001</v>
      </c>
      <c r="AD65" s="677">
        <v>1.1000000000000001</v>
      </c>
      <c r="AE65" s="677">
        <v>1</v>
      </c>
      <c r="AF65" s="677">
        <v>1.02</v>
      </c>
      <c r="AG65" s="677">
        <v>1</v>
      </c>
      <c r="AH65" s="677">
        <v>1.2</v>
      </c>
    </row>
    <row r="66" spans="1:34">
      <c r="A66" s="627">
        <v>268132</v>
      </c>
      <c r="B66" s="681" t="s">
        <v>723</v>
      </c>
      <c r="C66" s="644"/>
      <c r="D66" s="647">
        <v>5</v>
      </c>
      <c r="E66" s="648" t="s">
        <v>98</v>
      </c>
      <c r="F66" s="649" t="s">
        <v>724</v>
      </c>
      <c r="G66" s="650" t="s">
        <v>103</v>
      </c>
      <c r="H66" s="651" t="s">
        <v>98</v>
      </c>
      <c r="I66" s="652" t="s">
        <v>98</v>
      </c>
      <c r="J66" s="653">
        <v>1</v>
      </c>
      <c r="K66" s="650" t="s">
        <v>725</v>
      </c>
      <c r="L66" s="650">
        <v>48793.8</v>
      </c>
      <c r="M66" s="654">
        <v>1</v>
      </c>
      <c r="N66" s="655">
        <f t="shared" si="5"/>
        <v>3.0708070945678916</v>
      </c>
      <c r="O66" s="656" t="str">
        <f t="shared" si="6"/>
        <v>(3,4,1,3,1,5); Brailovsky et al. (2024)</v>
      </c>
      <c r="Q66" s="216" t="s">
        <v>673</v>
      </c>
      <c r="R66" s="648">
        <v>3</v>
      </c>
      <c r="S66" s="648">
        <v>4</v>
      </c>
      <c r="T66" s="648">
        <v>1</v>
      </c>
      <c r="U66" s="648">
        <v>3</v>
      </c>
      <c r="V66" s="648">
        <v>1</v>
      </c>
      <c r="W66" s="648">
        <v>5</v>
      </c>
      <c r="X66" s="672">
        <v>9</v>
      </c>
      <c r="Y66" s="672">
        <v>3</v>
      </c>
      <c r="Z66" s="673">
        <f t="shared" si="7"/>
        <v>1.2555818742947564</v>
      </c>
      <c r="AA66" s="673">
        <f t="shared" si="8"/>
        <v>3.0708070945678916</v>
      </c>
      <c r="AB66" s="673" t="str">
        <f t="shared" si="9"/>
        <v>(3,4,1,3,1,5)</v>
      </c>
      <c r="AC66" s="677">
        <v>1.1000000000000001</v>
      </c>
      <c r="AD66" s="677">
        <v>1.1000000000000001</v>
      </c>
      <c r="AE66" s="677">
        <v>1</v>
      </c>
      <c r="AF66" s="677">
        <v>1.02</v>
      </c>
      <c r="AG66" s="677">
        <v>1</v>
      </c>
      <c r="AH66" s="677">
        <v>1.2</v>
      </c>
    </row>
    <row r="67" spans="1:34" ht="24">
      <c r="A67" s="627">
        <v>79235</v>
      </c>
      <c r="B67" s="641" t="s">
        <v>726</v>
      </c>
      <c r="C67" s="644"/>
      <c r="D67" s="647">
        <v>5</v>
      </c>
      <c r="E67" s="648" t="s">
        <v>98</v>
      </c>
      <c r="F67" s="649" t="s">
        <v>688</v>
      </c>
      <c r="G67" s="650" t="s">
        <v>340</v>
      </c>
      <c r="H67" s="651" t="s">
        <v>98</v>
      </c>
      <c r="I67" s="652" t="s">
        <v>98</v>
      </c>
      <c r="J67" s="653">
        <v>0</v>
      </c>
      <c r="K67" s="650" t="s">
        <v>109</v>
      </c>
      <c r="L67" s="650">
        <v>2546.1999999999998</v>
      </c>
      <c r="M67" s="654">
        <v>1</v>
      </c>
      <c r="N67" s="655">
        <f t="shared" si="5"/>
        <v>1.2620910621938648</v>
      </c>
      <c r="O67" s="656" t="str">
        <f t="shared" si="6"/>
        <v>(3,4,1,3,1,5); Brailovsky et al. (2024) DE iso RER</v>
      </c>
      <c r="Q67" s="216" t="s">
        <v>727</v>
      </c>
      <c r="R67" s="648">
        <v>3</v>
      </c>
      <c r="S67" s="648">
        <v>4</v>
      </c>
      <c r="T67" s="648">
        <v>1</v>
      </c>
      <c r="U67" s="648">
        <v>3</v>
      </c>
      <c r="V67" s="648">
        <v>1</v>
      </c>
      <c r="W67" s="648">
        <v>5</v>
      </c>
      <c r="X67" s="672">
        <v>3</v>
      </c>
      <c r="Y67" s="672">
        <v>1.05</v>
      </c>
      <c r="Z67" s="673">
        <f t="shared" si="7"/>
        <v>1.2555818742947564</v>
      </c>
      <c r="AA67" s="673">
        <f t="shared" si="8"/>
        <v>1.2620910621938648</v>
      </c>
      <c r="AB67" s="673" t="str">
        <f t="shared" si="9"/>
        <v>(3,4,1,3,1,5)</v>
      </c>
      <c r="AC67" s="677">
        <v>1.1000000000000001</v>
      </c>
      <c r="AD67" s="677">
        <v>1.1000000000000001</v>
      </c>
      <c r="AE67" s="677">
        <v>1</v>
      </c>
      <c r="AF67" s="677">
        <v>1.02</v>
      </c>
      <c r="AG67" s="677">
        <v>1</v>
      </c>
      <c r="AH67" s="677">
        <v>1.2</v>
      </c>
    </row>
    <row r="68" spans="1:34" ht="24" customHeight="1">
      <c r="A68" s="627">
        <v>254233</v>
      </c>
      <c r="B68" s="640"/>
      <c r="C68" s="644"/>
      <c r="D68" s="647">
        <v>5</v>
      </c>
      <c r="E68" s="648" t="s">
        <v>98</v>
      </c>
      <c r="F68" s="649" t="s">
        <v>710</v>
      </c>
      <c r="G68" s="650" t="s">
        <v>103</v>
      </c>
      <c r="H68" s="651" t="s">
        <v>98</v>
      </c>
      <c r="I68" s="652" t="s">
        <v>98</v>
      </c>
      <c r="J68" s="653">
        <v>0</v>
      </c>
      <c r="K68" s="650" t="s">
        <v>104</v>
      </c>
      <c r="L68" s="650">
        <v>2291.6</v>
      </c>
      <c r="M68" s="654">
        <v>1</v>
      </c>
      <c r="N68" s="655">
        <f t="shared" si="5"/>
        <v>1.2620910621938648</v>
      </c>
      <c r="O68" s="656" t="str">
        <f t="shared" si="6"/>
        <v>(3,4,1,3,1,5); Brailovsky et al. (2024)</v>
      </c>
      <c r="Q68" s="216" t="s">
        <v>673</v>
      </c>
      <c r="R68" s="648">
        <v>3</v>
      </c>
      <c r="S68" s="648">
        <v>4</v>
      </c>
      <c r="T68" s="648">
        <v>1</v>
      </c>
      <c r="U68" s="648">
        <v>3</v>
      </c>
      <c r="V68" s="648">
        <v>1</v>
      </c>
      <c r="W68" s="648">
        <v>5</v>
      </c>
      <c r="X68" s="672">
        <v>1</v>
      </c>
      <c r="Y68" s="672">
        <v>1.05</v>
      </c>
      <c r="Z68" s="673">
        <f t="shared" si="7"/>
        <v>1.2555818742947564</v>
      </c>
      <c r="AA68" s="673">
        <f t="shared" si="8"/>
        <v>1.2620910621938648</v>
      </c>
      <c r="AB68" s="673" t="str">
        <f t="shared" si="9"/>
        <v>(3,4,1,3,1,5)</v>
      </c>
      <c r="AC68" s="677">
        <v>1.1000000000000001</v>
      </c>
      <c r="AD68" s="677">
        <v>1.1000000000000001</v>
      </c>
      <c r="AE68" s="677">
        <v>1</v>
      </c>
      <c r="AF68" s="677">
        <v>1.02</v>
      </c>
      <c r="AG68" s="677">
        <v>1</v>
      </c>
      <c r="AH68" s="677">
        <v>1.2</v>
      </c>
    </row>
    <row r="69" spans="1:34" ht="24" customHeight="1">
      <c r="A69" s="627">
        <v>263015</v>
      </c>
      <c r="B69" s="640"/>
      <c r="C69" s="644"/>
      <c r="D69" s="647">
        <v>5</v>
      </c>
      <c r="E69" s="648" t="s">
        <v>98</v>
      </c>
      <c r="F69" s="649" t="s">
        <v>677</v>
      </c>
      <c r="G69" s="650" t="s">
        <v>103</v>
      </c>
      <c r="H69" s="651" t="s">
        <v>98</v>
      </c>
      <c r="I69" s="652" t="s">
        <v>98</v>
      </c>
      <c r="J69" s="653">
        <v>0</v>
      </c>
      <c r="K69" s="650" t="s">
        <v>96</v>
      </c>
      <c r="L69" s="650">
        <v>122002.7</v>
      </c>
      <c r="M69" s="654">
        <v>1</v>
      </c>
      <c r="N69" s="655">
        <f t="shared" si="5"/>
        <v>1.2620910621938648</v>
      </c>
      <c r="O69" s="656" t="str">
        <f t="shared" si="6"/>
        <v>(3,4,1,3,1,5); Brailovsky et al. (2024)</v>
      </c>
      <c r="Q69" s="216" t="s">
        <v>673</v>
      </c>
      <c r="R69" s="648">
        <v>3</v>
      </c>
      <c r="S69" s="648">
        <v>4</v>
      </c>
      <c r="T69" s="648">
        <v>1</v>
      </c>
      <c r="U69" s="648">
        <v>3</v>
      </c>
      <c r="V69" s="648">
        <v>1</v>
      </c>
      <c r="W69" s="648">
        <v>5</v>
      </c>
      <c r="X69" s="672">
        <v>3</v>
      </c>
      <c r="Y69" s="672">
        <v>1.05</v>
      </c>
      <c r="Z69" s="673">
        <f t="shared" si="7"/>
        <v>1.2555818742947564</v>
      </c>
      <c r="AA69" s="673">
        <f t="shared" si="8"/>
        <v>1.2620910621938648</v>
      </c>
      <c r="AB69" s="673" t="str">
        <f t="shared" si="9"/>
        <v>(3,4,1,3,1,5)</v>
      </c>
      <c r="AC69" s="677">
        <v>1.1000000000000001</v>
      </c>
      <c r="AD69" s="677">
        <v>1.1000000000000001</v>
      </c>
      <c r="AE69" s="677">
        <v>1</v>
      </c>
      <c r="AF69" s="677">
        <v>1.02</v>
      </c>
      <c r="AG69" s="677">
        <v>1</v>
      </c>
      <c r="AH69" s="677">
        <v>1.2</v>
      </c>
    </row>
    <row r="70" spans="1:34">
      <c r="A70" s="627">
        <v>268459</v>
      </c>
      <c r="B70" s="640"/>
      <c r="C70" s="644"/>
      <c r="D70" s="647">
        <v>5</v>
      </c>
      <c r="E70" s="648" t="s">
        <v>98</v>
      </c>
      <c r="F70" s="649" t="s">
        <v>678</v>
      </c>
      <c r="G70" s="650" t="s">
        <v>93</v>
      </c>
      <c r="H70" s="651" t="s">
        <v>98</v>
      </c>
      <c r="I70" s="652" t="s">
        <v>98</v>
      </c>
      <c r="J70" s="653">
        <v>0</v>
      </c>
      <c r="K70" s="650" t="s">
        <v>679</v>
      </c>
      <c r="L70" s="650">
        <v>76385.399999999994</v>
      </c>
      <c r="M70" s="654">
        <v>1</v>
      </c>
      <c r="N70" s="655">
        <f t="shared" si="5"/>
        <v>1.2620910621938648</v>
      </c>
      <c r="O70" s="656" t="str">
        <f t="shared" si="6"/>
        <v>(3,4,1,3,1,5); Brailovsky et al. (2024)</v>
      </c>
      <c r="Q70" s="216" t="s">
        <v>673</v>
      </c>
      <c r="R70" s="648">
        <v>3</v>
      </c>
      <c r="S70" s="648">
        <v>4</v>
      </c>
      <c r="T70" s="648">
        <v>1</v>
      </c>
      <c r="U70" s="648">
        <v>3</v>
      </c>
      <c r="V70" s="648">
        <v>1</v>
      </c>
      <c r="W70" s="648">
        <v>5</v>
      </c>
      <c r="X70" s="672">
        <v>3</v>
      </c>
      <c r="Y70" s="672">
        <v>1.05</v>
      </c>
      <c r="Z70" s="673">
        <f t="shared" si="7"/>
        <v>1.2555818742947564</v>
      </c>
      <c r="AA70" s="673">
        <f t="shared" si="8"/>
        <v>1.2620910621938648</v>
      </c>
      <c r="AB70" s="673" t="str">
        <f t="shared" si="9"/>
        <v>(3,4,1,3,1,5)</v>
      </c>
      <c r="AC70" s="677">
        <v>1.1000000000000001</v>
      </c>
      <c r="AD70" s="677">
        <v>1.1000000000000001</v>
      </c>
      <c r="AE70" s="677">
        <v>1</v>
      </c>
      <c r="AF70" s="677">
        <v>1.02</v>
      </c>
      <c r="AG70" s="677">
        <v>1</v>
      </c>
      <c r="AH70" s="677">
        <v>1.2</v>
      </c>
    </row>
    <row r="71" spans="1:34">
      <c r="A71" s="627">
        <v>269445</v>
      </c>
      <c r="B71" s="640"/>
      <c r="C71" s="644"/>
      <c r="D71" s="647">
        <v>5</v>
      </c>
      <c r="E71" s="648" t="s">
        <v>98</v>
      </c>
      <c r="F71" s="649" t="s">
        <v>682</v>
      </c>
      <c r="G71" s="650" t="s">
        <v>93</v>
      </c>
      <c r="H71" s="651" t="s">
        <v>98</v>
      </c>
      <c r="I71" s="652" t="s">
        <v>98</v>
      </c>
      <c r="J71" s="653">
        <v>0</v>
      </c>
      <c r="K71" s="650" t="s">
        <v>96</v>
      </c>
      <c r="L71" s="650">
        <v>247702.5</v>
      </c>
      <c r="M71" s="654">
        <v>1</v>
      </c>
      <c r="N71" s="655">
        <f t="shared" si="5"/>
        <v>1.2620910621938648</v>
      </c>
      <c r="O71" s="656" t="str">
        <f t="shared" si="6"/>
        <v>(3,4,1,3,1,5); Brailovsky et al. (2024)</v>
      </c>
      <c r="Q71" s="216" t="s">
        <v>673</v>
      </c>
      <c r="R71" s="648">
        <v>3</v>
      </c>
      <c r="S71" s="648">
        <v>4</v>
      </c>
      <c r="T71" s="648">
        <v>1</v>
      </c>
      <c r="U71" s="648">
        <v>3</v>
      </c>
      <c r="V71" s="648">
        <v>1</v>
      </c>
      <c r="W71" s="648">
        <v>5</v>
      </c>
      <c r="X71" s="672">
        <v>3</v>
      </c>
      <c r="Y71" s="672">
        <v>1.05</v>
      </c>
      <c r="Z71" s="673">
        <f t="shared" si="7"/>
        <v>1.2555818742947564</v>
      </c>
      <c r="AA71" s="673">
        <f t="shared" si="8"/>
        <v>1.2620910621938648</v>
      </c>
      <c r="AB71" s="673" t="str">
        <f t="shared" si="9"/>
        <v>(3,4,1,3,1,5)</v>
      </c>
      <c r="AC71" s="677">
        <v>1.1000000000000001</v>
      </c>
      <c r="AD71" s="677">
        <v>1.1000000000000001</v>
      </c>
      <c r="AE71" s="677">
        <v>1</v>
      </c>
      <c r="AF71" s="677">
        <v>1.02</v>
      </c>
      <c r="AG71" s="677">
        <v>1</v>
      </c>
      <c r="AH71" s="677">
        <v>1.2</v>
      </c>
    </row>
    <row r="72" spans="1:34">
      <c r="A72" s="627">
        <v>266627</v>
      </c>
      <c r="B72" s="640"/>
      <c r="C72" s="644"/>
      <c r="D72" s="647">
        <v>5</v>
      </c>
      <c r="E72" s="648" t="s">
        <v>98</v>
      </c>
      <c r="F72" s="649" t="s">
        <v>634</v>
      </c>
      <c r="G72" s="650" t="s">
        <v>93</v>
      </c>
      <c r="H72" s="651" t="s">
        <v>98</v>
      </c>
      <c r="I72" s="652" t="s">
        <v>98</v>
      </c>
      <c r="J72" s="653">
        <v>0</v>
      </c>
      <c r="K72" s="650" t="s">
        <v>96</v>
      </c>
      <c r="L72" s="650">
        <v>247702.5</v>
      </c>
      <c r="M72" s="654">
        <v>1</v>
      </c>
      <c r="N72" s="655">
        <f t="shared" ref="N72:N103" si="10">AA72</f>
        <v>1.2620910621938648</v>
      </c>
      <c r="O72" s="656" t="str">
        <f t="shared" ref="O72:O103" si="11">AB72&amp;"; "&amp;Q72</f>
        <v>(3,4,1,3,1,5); Brailovsky et al. (2024)</v>
      </c>
      <c r="Q72" s="216" t="s">
        <v>673</v>
      </c>
      <c r="R72" s="648">
        <v>3</v>
      </c>
      <c r="S72" s="648">
        <v>4</v>
      </c>
      <c r="T72" s="648">
        <v>1</v>
      </c>
      <c r="U72" s="648">
        <v>3</v>
      </c>
      <c r="V72" s="648">
        <v>1</v>
      </c>
      <c r="W72" s="648">
        <v>5</v>
      </c>
      <c r="X72" s="672">
        <v>3</v>
      </c>
      <c r="Y72" s="672">
        <v>1.05</v>
      </c>
      <c r="Z72" s="673">
        <f t="shared" ref="Z72:Z103" si="12">EXP(SQRT((LN(AC72)^2)+(LN(AD72)^2)+(LN(AE72)^2)+(LN(AF72)^2)+(LN(AG72)^2)+(LN(AH72)^2)))</f>
        <v>1.2555818742947564</v>
      </c>
      <c r="AA72" s="673">
        <f t="shared" ref="AA72:AA103" si="13">EXP(SQRT((LN(AC72)^2)+(LN(AD72)^2)+(LN(AE72)^2)+(LN(AF72)^2)+(LN(AG72)^2)+(LN(AH72)^2)+LN(Y72)^2))</f>
        <v>1.2620910621938648</v>
      </c>
      <c r="AB72" s="673" t="str">
        <f t="shared" ref="AB72:AB103" si="14">CONCATENATE("(",R72,",",S72,",",T72,",",U72,",",V72,",",W72,")")</f>
        <v>(3,4,1,3,1,5)</v>
      </c>
      <c r="AC72" s="677">
        <v>1.1000000000000001</v>
      </c>
      <c r="AD72" s="677">
        <v>1.1000000000000001</v>
      </c>
      <c r="AE72" s="677">
        <v>1</v>
      </c>
      <c r="AF72" s="677">
        <v>1.02</v>
      </c>
      <c r="AG72" s="677">
        <v>1</v>
      </c>
      <c r="AH72" s="677">
        <v>1.2</v>
      </c>
    </row>
    <row r="73" spans="1:34" ht="23.25" customHeight="1">
      <c r="A73" s="627">
        <v>267287</v>
      </c>
      <c r="B73" s="641" t="s">
        <v>728</v>
      </c>
      <c r="C73" s="644"/>
      <c r="D73" s="647">
        <v>5</v>
      </c>
      <c r="E73" s="648" t="s">
        <v>98</v>
      </c>
      <c r="F73" s="649" t="s">
        <v>690</v>
      </c>
      <c r="G73" s="650" t="s">
        <v>154</v>
      </c>
      <c r="H73" s="651" t="s">
        <v>98</v>
      </c>
      <c r="I73" s="652" t="s">
        <v>98</v>
      </c>
      <c r="J73" s="653">
        <v>0</v>
      </c>
      <c r="K73" s="650" t="s">
        <v>104</v>
      </c>
      <c r="L73" s="650">
        <v>237692.447048501</v>
      </c>
      <c r="M73" s="654">
        <v>1</v>
      </c>
      <c r="N73" s="655">
        <f t="shared" si="10"/>
        <v>1.2620910621938648</v>
      </c>
      <c r="O73" s="656" t="str">
        <f t="shared" si="11"/>
        <v>(3,4,1,3,1,5); Brailovsky et al. (2024): From machine operation, diesel,  &gt;= 74.57 kW, energy density 45.5MJ/kg</v>
      </c>
      <c r="Q73" s="216" t="s">
        <v>693</v>
      </c>
      <c r="R73" s="648">
        <v>3</v>
      </c>
      <c r="S73" s="648">
        <v>4</v>
      </c>
      <c r="T73" s="648">
        <v>1</v>
      </c>
      <c r="U73" s="648">
        <v>3</v>
      </c>
      <c r="V73" s="648">
        <v>1</v>
      </c>
      <c r="W73" s="648">
        <v>5</v>
      </c>
      <c r="X73" s="672">
        <v>1</v>
      </c>
      <c r="Y73" s="672">
        <v>1.05</v>
      </c>
      <c r="Z73" s="673">
        <f t="shared" si="12"/>
        <v>1.2555818742947564</v>
      </c>
      <c r="AA73" s="673">
        <f t="shared" si="13"/>
        <v>1.2620910621938648</v>
      </c>
      <c r="AB73" s="673" t="str">
        <f t="shared" si="14"/>
        <v>(3,4,1,3,1,5)</v>
      </c>
      <c r="AC73" s="677">
        <v>1.1000000000000001</v>
      </c>
      <c r="AD73" s="677">
        <v>1.1000000000000001</v>
      </c>
      <c r="AE73" s="677">
        <v>1</v>
      </c>
      <c r="AF73" s="677">
        <v>1.02</v>
      </c>
      <c r="AG73" s="677">
        <v>1</v>
      </c>
      <c r="AH73" s="677">
        <v>1.2</v>
      </c>
    </row>
    <row r="74" spans="1:34">
      <c r="A74" s="627">
        <v>160371</v>
      </c>
      <c r="B74" s="640"/>
      <c r="C74" s="644"/>
      <c r="D74" s="647">
        <v>5</v>
      </c>
      <c r="E74" s="648" t="s">
        <v>98</v>
      </c>
      <c r="F74" s="649" t="s">
        <v>242</v>
      </c>
      <c r="G74" s="650" t="s">
        <v>93</v>
      </c>
      <c r="H74" s="651" t="s">
        <v>98</v>
      </c>
      <c r="I74" s="652" t="s">
        <v>98</v>
      </c>
      <c r="J74" s="653">
        <v>0</v>
      </c>
      <c r="K74" s="650" t="s">
        <v>115</v>
      </c>
      <c r="L74" s="650">
        <v>92426.3</v>
      </c>
      <c r="M74" s="654">
        <v>1</v>
      </c>
      <c r="N74" s="655">
        <f t="shared" si="10"/>
        <v>2.0741629046031922</v>
      </c>
      <c r="O74" s="656" t="str">
        <f t="shared" si="11"/>
        <v>(3,4,1,3,1,5); Brailovsky et al. (2024)</v>
      </c>
      <c r="Q74" s="216" t="s">
        <v>673</v>
      </c>
      <c r="R74" s="648">
        <v>3</v>
      </c>
      <c r="S74" s="648">
        <v>4</v>
      </c>
      <c r="T74" s="648">
        <v>1</v>
      </c>
      <c r="U74" s="648">
        <v>3</v>
      </c>
      <c r="V74" s="648">
        <v>1</v>
      </c>
      <c r="W74" s="648">
        <v>5</v>
      </c>
      <c r="X74" s="672">
        <v>5</v>
      </c>
      <c r="Y74" s="672">
        <v>2</v>
      </c>
      <c r="Z74" s="673">
        <f t="shared" si="12"/>
        <v>1.2555818742947564</v>
      </c>
      <c r="AA74" s="673">
        <f t="shared" si="13"/>
        <v>2.0741629046031922</v>
      </c>
      <c r="AB74" s="673" t="str">
        <f t="shared" si="14"/>
        <v>(3,4,1,3,1,5)</v>
      </c>
      <c r="AC74" s="677">
        <v>1.1000000000000001</v>
      </c>
      <c r="AD74" s="677">
        <v>1.1000000000000001</v>
      </c>
      <c r="AE74" s="677">
        <v>1</v>
      </c>
      <c r="AF74" s="677">
        <v>1.02</v>
      </c>
      <c r="AG74" s="677">
        <v>1</v>
      </c>
      <c r="AH74" s="677">
        <v>1.2</v>
      </c>
    </row>
    <row r="75" spans="1:34">
      <c r="A75" s="627">
        <v>269641</v>
      </c>
      <c r="B75" s="640"/>
      <c r="C75" s="644"/>
      <c r="D75" s="647">
        <v>5</v>
      </c>
      <c r="E75" s="648" t="s">
        <v>98</v>
      </c>
      <c r="F75" s="649" t="s">
        <v>240</v>
      </c>
      <c r="G75" s="650" t="s">
        <v>93</v>
      </c>
      <c r="H75" s="651" t="s">
        <v>98</v>
      </c>
      <c r="I75" s="652" t="s">
        <v>98</v>
      </c>
      <c r="J75" s="653">
        <v>0</v>
      </c>
      <c r="K75" s="650" t="s">
        <v>115</v>
      </c>
      <c r="L75" s="650">
        <v>170988.6</v>
      </c>
      <c r="M75" s="654">
        <v>1</v>
      </c>
      <c r="N75" s="655">
        <f t="shared" si="10"/>
        <v>2.0741629046031922</v>
      </c>
      <c r="O75" s="656" t="str">
        <f t="shared" si="11"/>
        <v>(3,4,1,3,1,5); Brailovsky et al. (2024)</v>
      </c>
      <c r="Q75" s="216" t="s">
        <v>673</v>
      </c>
      <c r="R75" s="648">
        <v>3</v>
      </c>
      <c r="S75" s="648">
        <v>4</v>
      </c>
      <c r="T75" s="648">
        <v>1</v>
      </c>
      <c r="U75" s="648">
        <v>3</v>
      </c>
      <c r="V75" s="648">
        <v>1</v>
      </c>
      <c r="W75" s="648">
        <v>5</v>
      </c>
      <c r="X75" s="672">
        <v>5</v>
      </c>
      <c r="Y75" s="672">
        <v>2</v>
      </c>
      <c r="Z75" s="673">
        <f t="shared" si="12"/>
        <v>1.2555818742947564</v>
      </c>
      <c r="AA75" s="673">
        <f t="shared" si="13"/>
        <v>2.0741629046031922</v>
      </c>
      <c r="AB75" s="673" t="str">
        <f t="shared" si="14"/>
        <v>(3,4,1,3,1,5)</v>
      </c>
      <c r="AC75" s="677">
        <v>1.1000000000000001</v>
      </c>
      <c r="AD75" s="677">
        <v>1.1000000000000001</v>
      </c>
      <c r="AE75" s="677">
        <v>1</v>
      </c>
      <c r="AF75" s="677">
        <v>1.02</v>
      </c>
      <c r="AG75" s="677">
        <v>1</v>
      </c>
      <c r="AH75" s="677">
        <v>1.2</v>
      </c>
    </row>
    <row r="76" spans="1:34" ht="24">
      <c r="A76" s="627">
        <v>77572</v>
      </c>
      <c r="B76" s="641" t="s">
        <v>729</v>
      </c>
      <c r="C76" s="644"/>
      <c r="D76" s="647">
        <v>5</v>
      </c>
      <c r="E76" s="648" t="s">
        <v>98</v>
      </c>
      <c r="F76" s="649" t="s">
        <v>687</v>
      </c>
      <c r="G76" s="650" t="s">
        <v>103</v>
      </c>
      <c r="H76" s="651" t="s">
        <v>98</v>
      </c>
      <c r="I76" s="652" t="s">
        <v>98</v>
      </c>
      <c r="J76" s="653">
        <v>0</v>
      </c>
      <c r="K76" s="650" t="s">
        <v>104</v>
      </c>
      <c r="L76" s="650">
        <v>51695.199999999997</v>
      </c>
      <c r="M76" s="654">
        <v>1</v>
      </c>
      <c r="N76" s="655">
        <f t="shared" si="10"/>
        <v>2.0741629046031922</v>
      </c>
      <c r="O76" s="656" t="str">
        <f t="shared" si="11"/>
        <v>(3,4,1,3,1,5); Brailovsky et al. (2024)</v>
      </c>
      <c r="Q76" s="216" t="s">
        <v>673</v>
      </c>
      <c r="R76" s="648">
        <v>3</v>
      </c>
      <c r="S76" s="648">
        <v>4</v>
      </c>
      <c r="T76" s="648">
        <v>1</v>
      </c>
      <c r="U76" s="648">
        <v>3</v>
      </c>
      <c r="V76" s="648">
        <v>1</v>
      </c>
      <c r="W76" s="648">
        <v>5</v>
      </c>
      <c r="X76" s="672">
        <v>5</v>
      </c>
      <c r="Y76" s="672">
        <v>2</v>
      </c>
      <c r="Z76" s="673">
        <f t="shared" si="12"/>
        <v>1.2555818742947564</v>
      </c>
      <c r="AA76" s="673">
        <f t="shared" si="13"/>
        <v>2.0741629046031922</v>
      </c>
      <c r="AB76" s="673" t="str">
        <f t="shared" si="14"/>
        <v>(3,4,1,3,1,5)</v>
      </c>
      <c r="AC76" s="677">
        <v>1.1000000000000001</v>
      </c>
      <c r="AD76" s="677">
        <v>1.1000000000000001</v>
      </c>
      <c r="AE76" s="677">
        <v>1</v>
      </c>
      <c r="AF76" s="677">
        <v>1.02</v>
      </c>
      <c r="AG76" s="677">
        <v>1</v>
      </c>
      <c r="AH76" s="677">
        <v>1.2</v>
      </c>
    </row>
    <row r="77" spans="1:34">
      <c r="A77" s="627">
        <v>268893</v>
      </c>
      <c r="B77" s="640"/>
      <c r="C77" s="644"/>
      <c r="D77" s="647">
        <v>5</v>
      </c>
      <c r="E77" s="648" t="s">
        <v>98</v>
      </c>
      <c r="F77" s="649" t="s">
        <v>730</v>
      </c>
      <c r="G77" s="650" t="s">
        <v>93</v>
      </c>
      <c r="H77" s="651" t="s">
        <v>98</v>
      </c>
      <c r="I77" s="652" t="s">
        <v>98</v>
      </c>
      <c r="J77" s="653">
        <v>0</v>
      </c>
      <c r="K77" s="650" t="s">
        <v>119</v>
      </c>
      <c r="L77" s="650">
        <v>8051.8</v>
      </c>
      <c r="M77" s="654">
        <v>1</v>
      </c>
      <c r="N77" s="655">
        <f t="shared" si="10"/>
        <v>2.0741629046031922</v>
      </c>
      <c r="O77" s="656" t="str">
        <f t="shared" si="11"/>
        <v>(3,4,1,3,1,5); Brailovsky et al. (2024)</v>
      </c>
      <c r="Q77" s="216" t="s">
        <v>673</v>
      </c>
      <c r="R77" s="648">
        <v>3</v>
      </c>
      <c r="S77" s="648">
        <v>4</v>
      </c>
      <c r="T77" s="648">
        <v>1</v>
      </c>
      <c r="U77" s="648">
        <v>3</v>
      </c>
      <c r="V77" s="648">
        <v>1</v>
      </c>
      <c r="W77" s="648">
        <v>5</v>
      </c>
      <c r="X77" s="672">
        <v>5</v>
      </c>
      <c r="Y77" s="672">
        <v>2</v>
      </c>
      <c r="Z77" s="673">
        <f t="shared" si="12"/>
        <v>1.2555818742947564</v>
      </c>
      <c r="AA77" s="673">
        <f t="shared" si="13"/>
        <v>2.0741629046031922</v>
      </c>
      <c r="AB77" s="673" t="str">
        <f t="shared" si="14"/>
        <v>(3,4,1,3,1,5)</v>
      </c>
      <c r="AC77" s="677">
        <v>1.1000000000000001</v>
      </c>
      <c r="AD77" s="677">
        <v>1.1000000000000001</v>
      </c>
      <c r="AE77" s="677">
        <v>1</v>
      </c>
      <c r="AF77" s="677">
        <v>1.02</v>
      </c>
      <c r="AG77" s="677">
        <v>1</v>
      </c>
      <c r="AH77" s="677">
        <v>1.2</v>
      </c>
    </row>
    <row r="78" spans="1:34">
      <c r="A78" s="627">
        <v>259813</v>
      </c>
      <c r="B78" s="681" t="s">
        <v>731</v>
      </c>
      <c r="C78" s="644"/>
      <c r="D78" s="647">
        <v>5</v>
      </c>
      <c r="E78" s="648" t="s">
        <v>98</v>
      </c>
      <c r="F78" s="649" t="s">
        <v>732</v>
      </c>
      <c r="G78" s="650" t="s">
        <v>103</v>
      </c>
      <c r="H78" s="651" t="s">
        <v>98</v>
      </c>
      <c r="I78" s="652" t="s">
        <v>98</v>
      </c>
      <c r="J78" s="653">
        <v>1</v>
      </c>
      <c r="K78" s="650" t="s">
        <v>168</v>
      </c>
      <c r="L78" s="650">
        <v>0.72</v>
      </c>
      <c r="M78" s="654">
        <v>1</v>
      </c>
      <c r="N78" s="655">
        <f t="shared" si="10"/>
        <v>3.0708070945678916</v>
      </c>
      <c r="O78" s="656" t="str">
        <f t="shared" si="11"/>
        <v>(3,4,1,3,1,5); Brailovsky et al. (2024)</v>
      </c>
      <c r="Q78" s="216" t="s">
        <v>673</v>
      </c>
      <c r="R78" s="648">
        <v>3</v>
      </c>
      <c r="S78" s="648">
        <v>4</v>
      </c>
      <c r="T78" s="648">
        <v>1</v>
      </c>
      <c r="U78" s="648">
        <v>3</v>
      </c>
      <c r="V78" s="648">
        <v>1</v>
      </c>
      <c r="W78" s="648">
        <v>5</v>
      </c>
      <c r="X78" s="672">
        <v>9</v>
      </c>
      <c r="Y78" s="672">
        <v>3</v>
      </c>
      <c r="Z78" s="673">
        <f t="shared" si="12"/>
        <v>1.2555818742947564</v>
      </c>
      <c r="AA78" s="673">
        <f t="shared" si="13"/>
        <v>3.0708070945678916</v>
      </c>
      <c r="AB78" s="673" t="str">
        <f t="shared" si="14"/>
        <v>(3,4,1,3,1,5)</v>
      </c>
      <c r="AC78" s="677">
        <v>1.1000000000000001</v>
      </c>
      <c r="AD78" s="677">
        <v>1.1000000000000001</v>
      </c>
      <c r="AE78" s="677">
        <v>1</v>
      </c>
      <c r="AF78" s="677">
        <v>1.02</v>
      </c>
      <c r="AG78" s="677">
        <v>1</v>
      </c>
      <c r="AH78" s="677">
        <v>1.2</v>
      </c>
    </row>
    <row r="79" spans="1:34" ht="24">
      <c r="A79" s="627">
        <v>79235</v>
      </c>
      <c r="B79" s="641" t="s">
        <v>733</v>
      </c>
      <c r="C79" s="644"/>
      <c r="D79" s="647">
        <v>5</v>
      </c>
      <c r="E79" s="648" t="s">
        <v>98</v>
      </c>
      <c r="F79" s="649" t="s">
        <v>688</v>
      </c>
      <c r="G79" s="650" t="s">
        <v>340</v>
      </c>
      <c r="H79" s="651" t="s">
        <v>98</v>
      </c>
      <c r="I79" s="652" t="s">
        <v>98</v>
      </c>
      <c r="J79" s="653">
        <v>0</v>
      </c>
      <c r="K79" s="650" t="s">
        <v>109</v>
      </c>
      <c r="L79" s="650">
        <v>1326.6</v>
      </c>
      <c r="M79" s="654">
        <v>1</v>
      </c>
      <c r="N79" s="655">
        <f t="shared" si="10"/>
        <v>1.2620910621938648</v>
      </c>
      <c r="O79" s="656" t="str">
        <f t="shared" si="11"/>
        <v>(3,4,1,3,1,5); Brailovsky et al. (2024)</v>
      </c>
      <c r="Q79" s="216" t="s">
        <v>673</v>
      </c>
      <c r="R79" s="648">
        <v>3</v>
      </c>
      <c r="S79" s="648">
        <v>4</v>
      </c>
      <c r="T79" s="648">
        <v>1</v>
      </c>
      <c r="U79" s="648">
        <v>3</v>
      </c>
      <c r="V79" s="648">
        <v>1</v>
      </c>
      <c r="W79" s="648">
        <v>5</v>
      </c>
      <c r="X79" s="672">
        <v>3</v>
      </c>
      <c r="Y79" s="672">
        <v>1.05</v>
      </c>
      <c r="Z79" s="673">
        <f t="shared" si="12"/>
        <v>1.2555818742947564</v>
      </c>
      <c r="AA79" s="673">
        <f t="shared" si="13"/>
        <v>1.2620910621938648</v>
      </c>
      <c r="AB79" s="673" t="str">
        <f t="shared" si="14"/>
        <v>(3,4,1,3,1,5)</v>
      </c>
      <c r="AC79" s="677">
        <v>1.1000000000000001</v>
      </c>
      <c r="AD79" s="677">
        <v>1.1000000000000001</v>
      </c>
      <c r="AE79" s="677">
        <v>1</v>
      </c>
      <c r="AF79" s="677">
        <v>1.02</v>
      </c>
      <c r="AG79" s="677">
        <v>1</v>
      </c>
      <c r="AH79" s="677">
        <v>1.2</v>
      </c>
    </row>
    <row r="80" spans="1:34" ht="24" customHeight="1">
      <c r="A80" s="627">
        <v>254233</v>
      </c>
      <c r="B80" s="640"/>
      <c r="C80" s="644"/>
      <c r="D80" s="647">
        <v>5</v>
      </c>
      <c r="E80" s="648" t="s">
        <v>98</v>
      </c>
      <c r="F80" s="649" t="s">
        <v>710</v>
      </c>
      <c r="G80" s="650" t="s">
        <v>103</v>
      </c>
      <c r="H80" s="651" t="s">
        <v>98</v>
      </c>
      <c r="I80" s="652" t="s">
        <v>98</v>
      </c>
      <c r="J80" s="653">
        <v>0</v>
      </c>
      <c r="K80" s="650" t="s">
        <v>104</v>
      </c>
      <c r="L80" s="650">
        <v>1194</v>
      </c>
      <c r="M80" s="654">
        <v>1</v>
      </c>
      <c r="N80" s="655">
        <f t="shared" si="10"/>
        <v>1.2620910621938648</v>
      </c>
      <c r="O80" s="656" t="str">
        <f t="shared" si="11"/>
        <v>(3,4,1,3,1,5); Brailovsky et al. (2024)</v>
      </c>
      <c r="Q80" s="216" t="s">
        <v>673</v>
      </c>
      <c r="R80" s="648">
        <v>3</v>
      </c>
      <c r="S80" s="648">
        <v>4</v>
      </c>
      <c r="T80" s="648">
        <v>1</v>
      </c>
      <c r="U80" s="648">
        <v>3</v>
      </c>
      <c r="V80" s="648">
        <v>1</v>
      </c>
      <c r="W80" s="648">
        <v>5</v>
      </c>
      <c r="X80" s="672">
        <v>1</v>
      </c>
      <c r="Y80" s="672">
        <v>1.05</v>
      </c>
      <c r="Z80" s="673">
        <f t="shared" si="12"/>
        <v>1.2555818742947564</v>
      </c>
      <c r="AA80" s="673">
        <f t="shared" si="13"/>
        <v>1.2620910621938648</v>
      </c>
      <c r="AB80" s="673" t="str">
        <f t="shared" si="14"/>
        <v>(3,4,1,3,1,5)</v>
      </c>
      <c r="AC80" s="677">
        <v>1.1000000000000001</v>
      </c>
      <c r="AD80" s="677">
        <v>1.1000000000000001</v>
      </c>
      <c r="AE80" s="677">
        <v>1</v>
      </c>
      <c r="AF80" s="677">
        <v>1.02</v>
      </c>
      <c r="AG80" s="677">
        <v>1</v>
      </c>
      <c r="AH80" s="677">
        <v>1.2</v>
      </c>
    </row>
    <row r="81" spans="1:34" ht="24" customHeight="1">
      <c r="A81" s="627">
        <v>263015</v>
      </c>
      <c r="B81" s="640"/>
      <c r="C81" s="644"/>
      <c r="D81" s="647">
        <v>5</v>
      </c>
      <c r="E81" s="648" t="s">
        <v>98</v>
      </c>
      <c r="F81" s="649" t="s">
        <v>677</v>
      </c>
      <c r="G81" s="650" t="s">
        <v>103</v>
      </c>
      <c r="H81" s="651" t="s">
        <v>98</v>
      </c>
      <c r="I81" s="652" t="s">
        <v>98</v>
      </c>
      <c r="J81" s="653">
        <v>0</v>
      </c>
      <c r="K81" s="650" t="s">
        <v>96</v>
      </c>
      <c r="L81" s="650">
        <v>63567.5</v>
      </c>
      <c r="M81" s="654">
        <v>1</v>
      </c>
      <c r="N81" s="655">
        <f t="shared" si="10"/>
        <v>1.2620910621938648</v>
      </c>
      <c r="O81" s="656" t="str">
        <f t="shared" si="11"/>
        <v>(3,4,1,3,1,5); Brailovsky et al. (2024)</v>
      </c>
      <c r="Q81" s="216" t="s">
        <v>673</v>
      </c>
      <c r="R81" s="648">
        <v>3</v>
      </c>
      <c r="S81" s="648">
        <v>4</v>
      </c>
      <c r="T81" s="648">
        <v>1</v>
      </c>
      <c r="U81" s="648">
        <v>3</v>
      </c>
      <c r="V81" s="648">
        <v>1</v>
      </c>
      <c r="W81" s="648">
        <v>5</v>
      </c>
      <c r="X81" s="672">
        <v>3</v>
      </c>
      <c r="Y81" s="672">
        <v>1.05</v>
      </c>
      <c r="Z81" s="673">
        <f t="shared" si="12"/>
        <v>1.2555818742947564</v>
      </c>
      <c r="AA81" s="673">
        <f t="shared" si="13"/>
        <v>1.2620910621938648</v>
      </c>
      <c r="AB81" s="673" t="str">
        <f t="shared" si="14"/>
        <v>(3,4,1,3,1,5)</v>
      </c>
      <c r="AC81" s="677">
        <v>1.1000000000000001</v>
      </c>
      <c r="AD81" s="677">
        <v>1.1000000000000001</v>
      </c>
      <c r="AE81" s="677">
        <v>1</v>
      </c>
      <c r="AF81" s="677">
        <v>1.02</v>
      </c>
      <c r="AG81" s="677">
        <v>1</v>
      </c>
      <c r="AH81" s="677">
        <v>1.2</v>
      </c>
    </row>
    <row r="82" spans="1:34">
      <c r="A82" s="627">
        <v>268459</v>
      </c>
      <c r="B82" s="640"/>
      <c r="C82" s="644"/>
      <c r="D82" s="647">
        <v>5</v>
      </c>
      <c r="E82" s="648" t="s">
        <v>98</v>
      </c>
      <c r="F82" s="649" t="s">
        <v>678</v>
      </c>
      <c r="G82" s="650" t="s">
        <v>93</v>
      </c>
      <c r="H82" s="651" t="s">
        <v>98</v>
      </c>
      <c r="I82" s="652" t="s">
        <v>98</v>
      </c>
      <c r="J82" s="653">
        <v>0</v>
      </c>
      <c r="K82" s="650" t="s">
        <v>679</v>
      </c>
      <c r="L82" s="650">
        <v>39799.300000000003</v>
      </c>
      <c r="M82" s="654">
        <v>1</v>
      </c>
      <c r="N82" s="655">
        <f t="shared" si="10"/>
        <v>1.2620910621938648</v>
      </c>
      <c r="O82" s="656" t="str">
        <f t="shared" si="11"/>
        <v>(3,4,1,3,1,5); Brailovsky et al. (2024)</v>
      </c>
      <c r="Q82" s="216" t="s">
        <v>673</v>
      </c>
      <c r="R82" s="648">
        <v>3</v>
      </c>
      <c r="S82" s="648">
        <v>4</v>
      </c>
      <c r="T82" s="648">
        <v>1</v>
      </c>
      <c r="U82" s="648">
        <v>3</v>
      </c>
      <c r="V82" s="648">
        <v>1</v>
      </c>
      <c r="W82" s="648">
        <v>5</v>
      </c>
      <c r="X82" s="672">
        <v>3</v>
      </c>
      <c r="Y82" s="672">
        <v>1.05</v>
      </c>
      <c r="Z82" s="673">
        <f t="shared" si="12"/>
        <v>1.2555818742947564</v>
      </c>
      <c r="AA82" s="673">
        <f t="shared" si="13"/>
        <v>1.2620910621938648</v>
      </c>
      <c r="AB82" s="673" t="str">
        <f t="shared" si="14"/>
        <v>(3,4,1,3,1,5)</v>
      </c>
      <c r="AC82" s="677">
        <v>1.1000000000000001</v>
      </c>
      <c r="AD82" s="677">
        <v>1.1000000000000001</v>
      </c>
      <c r="AE82" s="677">
        <v>1</v>
      </c>
      <c r="AF82" s="677">
        <v>1.02</v>
      </c>
      <c r="AG82" s="677">
        <v>1</v>
      </c>
      <c r="AH82" s="677">
        <v>1.2</v>
      </c>
    </row>
    <row r="83" spans="1:34">
      <c r="A83" s="627">
        <v>269445</v>
      </c>
      <c r="B83" s="640"/>
      <c r="C83" s="644"/>
      <c r="D83" s="647">
        <v>5</v>
      </c>
      <c r="E83" s="648" t="s">
        <v>98</v>
      </c>
      <c r="F83" s="649" t="s">
        <v>682</v>
      </c>
      <c r="G83" s="650" t="s">
        <v>93</v>
      </c>
      <c r="H83" s="651" t="s">
        <v>98</v>
      </c>
      <c r="I83" s="652" t="s">
        <v>98</v>
      </c>
      <c r="J83" s="653">
        <v>0</v>
      </c>
      <c r="K83" s="650" t="s">
        <v>96</v>
      </c>
      <c r="L83" s="650">
        <v>129061.3</v>
      </c>
      <c r="M83" s="654">
        <v>1</v>
      </c>
      <c r="N83" s="655">
        <f t="shared" si="10"/>
        <v>1.2620910621938648</v>
      </c>
      <c r="O83" s="656" t="str">
        <f t="shared" si="11"/>
        <v>(3,4,1,3,1,5); Brailovsky et al. (2024)</v>
      </c>
      <c r="Q83" s="216" t="s">
        <v>673</v>
      </c>
      <c r="R83" s="648">
        <v>3</v>
      </c>
      <c r="S83" s="648">
        <v>4</v>
      </c>
      <c r="T83" s="648">
        <v>1</v>
      </c>
      <c r="U83" s="648">
        <v>3</v>
      </c>
      <c r="V83" s="648">
        <v>1</v>
      </c>
      <c r="W83" s="648">
        <v>5</v>
      </c>
      <c r="X83" s="672">
        <v>3</v>
      </c>
      <c r="Y83" s="672">
        <v>1.05</v>
      </c>
      <c r="Z83" s="673">
        <f t="shared" si="12"/>
        <v>1.2555818742947564</v>
      </c>
      <c r="AA83" s="673">
        <f t="shared" si="13"/>
        <v>1.2620910621938648</v>
      </c>
      <c r="AB83" s="673" t="str">
        <f t="shared" si="14"/>
        <v>(3,4,1,3,1,5)</v>
      </c>
      <c r="AC83" s="677">
        <v>1.1000000000000001</v>
      </c>
      <c r="AD83" s="677">
        <v>1.1000000000000001</v>
      </c>
      <c r="AE83" s="677">
        <v>1</v>
      </c>
      <c r="AF83" s="677">
        <v>1.02</v>
      </c>
      <c r="AG83" s="677">
        <v>1</v>
      </c>
      <c r="AH83" s="677">
        <v>1.2</v>
      </c>
    </row>
    <row r="84" spans="1:34">
      <c r="A84" s="627">
        <v>266627</v>
      </c>
      <c r="B84" s="640"/>
      <c r="C84" s="644"/>
      <c r="D84" s="647">
        <v>5</v>
      </c>
      <c r="E84" s="648" t="s">
        <v>98</v>
      </c>
      <c r="F84" s="649" t="s">
        <v>634</v>
      </c>
      <c r="G84" s="650" t="s">
        <v>93</v>
      </c>
      <c r="H84" s="651" t="s">
        <v>98</v>
      </c>
      <c r="I84" s="652" t="s">
        <v>98</v>
      </c>
      <c r="J84" s="653">
        <v>0</v>
      </c>
      <c r="K84" s="650" t="s">
        <v>96</v>
      </c>
      <c r="L84" s="650">
        <v>129061.3</v>
      </c>
      <c r="M84" s="654">
        <v>1</v>
      </c>
      <c r="N84" s="655">
        <f t="shared" si="10"/>
        <v>1.2620910621938648</v>
      </c>
      <c r="O84" s="656" t="str">
        <f t="shared" si="11"/>
        <v>(3,4,1,3,1,5); Brailovsky et al. (2024)</v>
      </c>
      <c r="Q84" s="216" t="s">
        <v>673</v>
      </c>
      <c r="R84" s="648">
        <v>3</v>
      </c>
      <c r="S84" s="648">
        <v>4</v>
      </c>
      <c r="T84" s="648">
        <v>1</v>
      </c>
      <c r="U84" s="648">
        <v>3</v>
      </c>
      <c r="V84" s="648">
        <v>1</v>
      </c>
      <c r="W84" s="648">
        <v>5</v>
      </c>
      <c r="X84" s="672">
        <v>3</v>
      </c>
      <c r="Y84" s="672">
        <v>1.05</v>
      </c>
      <c r="Z84" s="673">
        <f t="shared" si="12"/>
        <v>1.2555818742947564</v>
      </c>
      <c r="AA84" s="673">
        <f t="shared" si="13"/>
        <v>1.2620910621938648</v>
      </c>
      <c r="AB84" s="673" t="str">
        <f t="shared" si="14"/>
        <v>(3,4,1,3,1,5)</v>
      </c>
      <c r="AC84" s="677">
        <v>1.1000000000000001</v>
      </c>
      <c r="AD84" s="677">
        <v>1.1000000000000001</v>
      </c>
      <c r="AE84" s="677">
        <v>1</v>
      </c>
      <c r="AF84" s="677">
        <v>1.02</v>
      </c>
      <c r="AG84" s="677">
        <v>1</v>
      </c>
      <c r="AH84" s="677">
        <v>1.2</v>
      </c>
    </row>
    <row r="85" spans="1:34" ht="23.25" customHeight="1">
      <c r="A85" s="627">
        <v>267287</v>
      </c>
      <c r="B85" s="641" t="s">
        <v>734</v>
      </c>
      <c r="C85" s="644"/>
      <c r="D85" s="647">
        <v>5</v>
      </c>
      <c r="E85" s="648" t="s">
        <v>98</v>
      </c>
      <c r="F85" s="649" t="s">
        <v>690</v>
      </c>
      <c r="G85" s="650" t="s">
        <v>154</v>
      </c>
      <c r="H85" s="651" t="s">
        <v>98</v>
      </c>
      <c r="I85" s="652" t="s">
        <v>98</v>
      </c>
      <c r="J85" s="653">
        <v>0</v>
      </c>
      <c r="K85" s="650" t="s">
        <v>104</v>
      </c>
      <c r="L85" s="650">
        <v>695245.739658362</v>
      </c>
      <c r="M85" s="654">
        <v>1</v>
      </c>
      <c r="N85" s="655">
        <f t="shared" si="10"/>
        <v>1.2620910621938648</v>
      </c>
      <c r="O85" s="656" t="str">
        <f t="shared" si="11"/>
        <v>(3,4,1,3,1,5); Brailovsky et al. (2024): From machine operation, diesel,  &gt;= 74.57 kW, energy density 45.5MJ/kg</v>
      </c>
      <c r="Q85" s="216" t="s">
        <v>693</v>
      </c>
      <c r="R85" s="648">
        <v>3</v>
      </c>
      <c r="S85" s="648">
        <v>4</v>
      </c>
      <c r="T85" s="648">
        <v>1</v>
      </c>
      <c r="U85" s="648">
        <v>3</v>
      </c>
      <c r="V85" s="648">
        <v>1</v>
      </c>
      <c r="W85" s="648">
        <v>5</v>
      </c>
      <c r="X85" s="672">
        <v>1</v>
      </c>
      <c r="Y85" s="672">
        <v>1.05</v>
      </c>
      <c r="Z85" s="673">
        <f t="shared" si="12"/>
        <v>1.2555818742947564</v>
      </c>
      <c r="AA85" s="673">
        <f t="shared" si="13"/>
        <v>1.2620910621938648</v>
      </c>
      <c r="AB85" s="673" t="str">
        <f t="shared" si="14"/>
        <v>(3,4,1,3,1,5)</v>
      </c>
      <c r="AC85" s="677">
        <v>1.1000000000000001</v>
      </c>
      <c r="AD85" s="677">
        <v>1.1000000000000001</v>
      </c>
      <c r="AE85" s="677">
        <v>1</v>
      </c>
      <c r="AF85" s="677">
        <v>1.02</v>
      </c>
      <c r="AG85" s="677">
        <v>1</v>
      </c>
      <c r="AH85" s="677">
        <v>1.2</v>
      </c>
    </row>
    <row r="86" spans="1:34">
      <c r="A86" s="627">
        <v>160371</v>
      </c>
      <c r="B86" s="640"/>
      <c r="C86" s="644"/>
      <c r="D86" s="647">
        <v>5</v>
      </c>
      <c r="E86" s="648" t="s">
        <v>98</v>
      </c>
      <c r="F86" s="649" t="s">
        <v>242</v>
      </c>
      <c r="G86" s="650" t="s">
        <v>93</v>
      </c>
      <c r="H86" s="651" t="s">
        <v>98</v>
      </c>
      <c r="I86" s="652" t="s">
        <v>98</v>
      </c>
      <c r="J86" s="653">
        <v>0</v>
      </c>
      <c r="K86" s="650" t="s">
        <v>115</v>
      </c>
      <c r="L86" s="650">
        <f>48157.2+2448</f>
        <v>50605.2</v>
      </c>
      <c r="M86" s="654">
        <v>1</v>
      </c>
      <c r="N86" s="655">
        <f t="shared" si="10"/>
        <v>2.0741629046031922</v>
      </c>
      <c r="O86" s="656" t="str">
        <f t="shared" si="11"/>
        <v>(3,4,1,3,1,5); Brailovsky et al. (2024)</v>
      </c>
      <c r="Q86" s="216" t="s">
        <v>673</v>
      </c>
      <c r="R86" s="648">
        <v>3</v>
      </c>
      <c r="S86" s="648">
        <v>4</v>
      </c>
      <c r="T86" s="648">
        <v>1</v>
      </c>
      <c r="U86" s="648">
        <v>3</v>
      </c>
      <c r="V86" s="648">
        <v>1</v>
      </c>
      <c r="W86" s="648">
        <v>5</v>
      </c>
      <c r="X86" s="672">
        <v>5</v>
      </c>
      <c r="Y86" s="672">
        <v>2</v>
      </c>
      <c r="Z86" s="673">
        <f t="shared" si="12"/>
        <v>1.2555818742947564</v>
      </c>
      <c r="AA86" s="673">
        <f t="shared" si="13"/>
        <v>2.0741629046031922</v>
      </c>
      <c r="AB86" s="673" t="str">
        <f t="shared" si="14"/>
        <v>(3,4,1,3,1,5)</v>
      </c>
      <c r="AC86" s="677">
        <v>1.1000000000000001</v>
      </c>
      <c r="AD86" s="677">
        <v>1.1000000000000001</v>
      </c>
      <c r="AE86" s="677">
        <v>1</v>
      </c>
      <c r="AF86" s="677">
        <v>1.02</v>
      </c>
      <c r="AG86" s="677">
        <v>1</v>
      </c>
      <c r="AH86" s="677">
        <v>1.2</v>
      </c>
    </row>
    <row r="87" spans="1:34">
      <c r="A87" s="627">
        <v>269641</v>
      </c>
      <c r="B87" s="640"/>
      <c r="C87" s="644"/>
      <c r="D87" s="647">
        <v>5</v>
      </c>
      <c r="E87" s="648" t="s">
        <v>98</v>
      </c>
      <c r="F87" s="649" t="s">
        <v>240</v>
      </c>
      <c r="G87" s="650" t="s">
        <v>93</v>
      </c>
      <c r="H87" s="651" t="s">
        <v>98</v>
      </c>
      <c r="I87" s="652" t="s">
        <v>98</v>
      </c>
      <c r="J87" s="653">
        <v>0</v>
      </c>
      <c r="K87" s="650" t="s">
        <v>115</v>
      </c>
      <c r="L87" s="650">
        <v>89090.8</v>
      </c>
      <c r="M87" s="654">
        <v>1</v>
      </c>
      <c r="N87" s="655">
        <f t="shared" si="10"/>
        <v>2.0741629046031922</v>
      </c>
      <c r="O87" s="656" t="str">
        <f t="shared" si="11"/>
        <v>(3,4,1,3,1,5); Brailovsky et al. (2024)</v>
      </c>
      <c r="Q87" s="216" t="s">
        <v>673</v>
      </c>
      <c r="R87" s="648">
        <v>3</v>
      </c>
      <c r="S87" s="648">
        <v>4</v>
      </c>
      <c r="T87" s="648">
        <v>1</v>
      </c>
      <c r="U87" s="648">
        <v>3</v>
      </c>
      <c r="V87" s="648">
        <v>1</v>
      </c>
      <c r="W87" s="648">
        <v>5</v>
      </c>
      <c r="X87" s="672">
        <v>5</v>
      </c>
      <c r="Y87" s="672">
        <v>2</v>
      </c>
      <c r="Z87" s="673">
        <f t="shared" si="12"/>
        <v>1.2555818742947564</v>
      </c>
      <c r="AA87" s="673">
        <f t="shared" si="13"/>
        <v>2.0741629046031922</v>
      </c>
      <c r="AB87" s="673" t="str">
        <f t="shared" si="14"/>
        <v>(3,4,1,3,1,5)</v>
      </c>
      <c r="AC87" s="677">
        <v>1.1000000000000001</v>
      </c>
      <c r="AD87" s="677">
        <v>1.1000000000000001</v>
      </c>
      <c r="AE87" s="677">
        <v>1</v>
      </c>
      <c r="AF87" s="677">
        <v>1.02</v>
      </c>
      <c r="AG87" s="677">
        <v>1</v>
      </c>
      <c r="AH87" s="677">
        <v>1.2</v>
      </c>
    </row>
    <row r="88" spans="1:34">
      <c r="A88" s="627">
        <v>269641</v>
      </c>
      <c r="B88" s="640"/>
      <c r="C88" s="644"/>
      <c r="D88" s="647">
        <v>5</v>
      </c>
      <c r="E88" s="648" t="s">
        <v>98</v>
      </c>
      <c r="F88" s="649" t="s">
        <v>240</v>
      </c>
      <c r="G88" s="650" t="s">
        <v>93</v>
      </c>
      <c r="H88" s="651" t="s">
        <v>98</v>
      </c>
      <c r="I88" s="652" t="s">
        <v>98</v>
      </c>
      <c r="J88" s="653">
        <v>0</v>
      </c>
      <c r="K88" s="650" t="s">
        <v>115</v>
      </c>
      <c r="L88" s="650">
        <v>18115.2</v>
      </c>
      <c r="M88" s="654">
        <v>1</v>
      </c>
      <c r="N88" s="655">
        <f t="shared" si="10"/>
        <v>2.0741629046031922</v>
      </c>
      <c r="O88" s="656" t="str">
        <f t="shared" si="11"/>
        <v>(3,4,1,3,1,5); Brailovsky et al. (2024)</v>
      </c>
      <c r="Q88" s="216" t="s">
        <v>673</v>
      </c>
      <c r="R88" s="648">
        <v>3</v>
      </c>
      <c r="S88" s="648">
        <v>4</v>
      </c>
      <c r="T88" s="648">
        <v>1</v>
      </c>
      <c r="U88" s="648">
        <v>3</v>
      </c>
      <c r="V88" s="648">
        <v>1</v>
      </c>
      <c r="W88" s="648">
        <v>5</v>
      </c>
      <c r="X88" s="672">
        <v>5</v>
      </c>
      <c r="Y88" s="672">
        <v>2</v>
      </c>
      <c r="Z88" s="673">
        <f t="shared" si="12"/>
        <v>1.2555818742947564</v>
      </c>
      <c r="AA88" s="673">
        <f t="shared" si="13"/>
        <v>2.0741629046031922</v>
      </c>
      <c r="AB88" s="673" t="str">
        <f t="shared" si="14"/>
        <v>(3,4,1,3,1,5)</v>
      </c>
      <c r="AC88" s="677">
        <v>1.1000000000000001</v>
      </c>
      <c r="AD88" s="677">
        <v>1.1000000000000001</v>
      </c>
      <c r="AE88" s="677">
        <v>1</v>
      </c>
      <c r="AF88" s="677">
        <v>1.02</v>
      </c>
      <c r="AG88" s="677">
        <v>1</v>
      </c>
      <c r="AH88" s="677">
        <v>1.2</v>
      </c>
    </row>
    <row r="89" spans="1:34" ht="24">
      <c r="A89" s="627">
        <v>267874</v>
      </c>
      <c r="B89" s="641" t="s">
        <v>735</v>
      </c>
      <c r="C89" s="644"/>
      <c r="D89" s="647">
        <v>5</v>
      </c>
      <c r="E89" s="648" t="s">
        <v>98</v>
      </c>
      <c r="F89" s="649" t="s">
        <v>736</v>
      </c>
      <c r="G89" s="650" t="s">
        <v>93</v>
      </c>
      <c r="H89" s="651" t="s">
        <v>98</v>
      </c>
      <c r="I89" s="652" t="s">
        <v>98</v>
      </c>
      <c r="J89" s="653">
        <v>0</v>
      </c>
      <c r="K89" s="650" t="s">
        <v>96</v>
      </c>
      <c r="L89" s="650">
        <v>2122848</v>
      </c>
      <c r="M89" s="654">
        <v>1</v>
      </c>
      <c r="N89" s="655">
        <f t="shared" si="10"/>
        <v>1.2620910621938648</v>
      </c>
      <c r="O89" s="656" t="str">
        <f t="shared" si="11"/>
        <v>(3,4,1,3,1,5); Brailovsky et al. (2024)</v>
      </c>
      <c r="Q89" s="216" t="s">
        <v>673</v>
      </c>
      <c r="R89" s="648">
        <v>3</v>
      </c>
      <c r="S89" s="648">
        <v>4</v>
      </c>
      <c r="T89" s="648">
        <v>1</v>
      </c>
      <c r="U89" s="648">
        <v>3</v>
      </c>
      <c r="V89" s="648">
        <v>1</v>
      </c>
      <c r="W89" s="648">
        <v>5</v>
      </c>
      <c r="X89" s="672">
        <v>3</v>
      </c>
      <c r="Y89" s="672">
        <v>1.05</v>
      </c>
      <c r="Z89" s="673">
        <f t="shared" si="12"/>
        <v>1.2555818742947564</v>
      </c>
      <c r="AA89" s="673">
        <f t="shared" si="13"/>
        <v>1.2620910621938648</v>
      </c>
      <c r="AB89" s="673" t="str">
        <f t="shared" si="14"/>
        <v>(3,4,1,3,1,5)</v>
      </c>
      <c r="AC89" s="677">
        <v>1.1000000000000001</v>
      </c>
      <c r="AD89" s="677">
        <v>1.1000000000000001</v>
      </c>
      <c r="AE89" s="677">
        <v>1</v>
      </c>
      <c r="AF89" s="677">
        <v>1.02</v>
      </c>
      <c r="AG89" s="677">
        <v>1</v>
      </c>
      <c r="AH89" s="677">
        <v>1.2</v>
      </c>
    </row>
    <row r="90" spans="1:34">
      <c r="A90" s="627">
        <v>268459</v>
      </c>
      <c r="B90" s="640"/>
      <c r="C90" s="644"/>
      <c r="D90" s="647">
        <v>5</v>
      </c>
      <c r="E90" s="648" t="s">
        <v>98</v>
      </c>
      <c r="F90" s="649" t="s">
        <v>678</v>
      </c>
      <c r="G90" s="650" t="s">
        <v>93</v>
      </c>
      <c r="H90" s="651" t="s">
        <v>98</v>
      </c>
      <c r="I90" s="652" t="s">
        <v>98</v>
      </c>
      <c r="J90" s="653">
        <v>0</v>
      </c>
      <c r="K90" s="650" t="s">
        <v>679</v>
      </c>
      <c r="L90" s="650">
        <v>181958.39999999999</v>
      </c>
      <c r="M90" s="654">
        <v>1</v>
      </c>
      <c r="N90" s="655">
        <f t="shared" si="10"/>
        <v>1.2620910621938648</v>
      </c>
      <c r="O90" s="656" t="str">
        <f t="shared" si="11"/>
        <v>(3,4,1,3,1,5); Brailovsky et al. (2024)</v>
      </c>
      <c r="Q90" s="216" t="s">
        <v>673</v>
      </c>
      <c r="R90" s="648">
        <v>3</v>
      </c>
      <c r="S90" s="648">
        <v>4</v>
      </c>
      <c r="T90" s="648">
        <v>1</v>
      </c>
      <c r="U90" s="648">
        <v>3</v>
      </c>
      <c r="V90" s="648">
        <v>1</v>
      </c>
      <c r="W90" s="648">
        <v>5</v>
      </c>
      <c r="X90" s="672">
        <v>3</v>
      </c>
      <c r="Y90" s="672">
        <v>1.05</v>
      </c>
      <c r="Z90" s="673">
        <f t="shared" si="12"/>
        <v>1.2555818742947564</v>
      </c>
      <c r="AA90" s="673">
        <f t="shared" si="13"/>
        <v>1.2620910621938648</v>
      </c>
      <c r="AB90" s="673" t="str">
        <f t="shared" si="14"/>
        <v>(3,4,1,3,1,5)</v>
      </c>
      <c r="AC90" s="677">
        <v>1.1000000000000001</v>
      </c>
      <c r="AD90" s="677">
        <v>1.1000000000000001</v>
      </c>
      <c r="AE90" s="677">
        <v>1</v>
      </c>
      <c r="AF90" s="677">
        <v>1.02</v>
      </c>
      <c r="AG90" s="677">
        <v>1</v>
      </c>
      <c r="AH90" s="677">
        <v>1.2</v>
      </c>
    </row>
    <row r="91" spans="1:34">
      <c r="A91" s="627">
        <v>261394</v>
      </c>
      <c r="B91" s="640"/>
      <c r="C91" s="644"/>
      <c r="D91" s="647">
        <v>5</v>
      </c>
      <c r="E91" s="648" t="s">
        <v>98</v>
      </c>
      <c r="F91" s="649" t="s">
        <v>737</v>
      </c>
      <c r="G91" s="650" t="s">
        <v>103</v>
      </c>
      <c r="H91" s="651" t="s">
        <v>98</v>
      </c>
      <c r="I91" s="652" t="s">
        <v>98</v>
      </c>
      <c r="J91" s="653">
        <v>0</v>
      </c>
      <c r="K91" s="650" t="s">
        <v>96</v>
      </c>
      <c r="L91" s="650">
        <v>212284.79999999999</v>
      </c>
      <c r="M91" s="654">
        <v>1</v>
      </c>
      <c r="N91" s="655">
        <f t="shared" si="10"/>
        <v>1.2620910621938648</v>
      </c>
      <c r="O91" s="656" t="str">
        <f t="shared" si="11"/>
        <v>(3,4,1,3,1,5); Brailovsky et al. (2024)</v>
      </c>
      <c r="Q91" s="216" t="s">
        <v>673</v>
      </c>
      <c r="R91" s="648">
        <v>3</v>
      </c>
      <c r="S91" s="648">
        <v>4</v>
      </c>
      <c r="T91" s="648">
        <v>1</v>
      </c>
      <c r="U91" s="648">
        <v>3</v>
      </c>
      <c r="V91" s="648">
        <v>1</v>
      </c>
      <c r="W91" s="648">
        <v>5</v>
      </c>
      <c r="X91" s="672">
        <v>3</v>
      </c>
      <c r="Y91" s="672">
        <v>1.05</v>
      </c>
      <c r="Z91" s="673">
        <f t="shared" si="12"/>
        <v>1.2555818742947564</v>
      </c>
      <c r="AA91" s="673">
        <f t="shared" si="13"/>
        <v>1.2620910621938648</v>
      </c>
      <c r="AB91" s="673" t="str">
        <f t="shared" si="14"/>
        <v>(3,4,1,3,1,5)</v>
      </c>
      <c r="AC91" s="677">
        <v>1.1000000000000001</v>
      </c>
      <c r="AD91" s="677">
        <v>1.1000000000000001</v>
      </c>
      <c r="AE91" s="677">
        <v>1</v>
      </c>
      <c r="AF91" s="677">
        <v>1.02</v>
      </c>
      <c r="AG91" s="677">
        <v>1</v>
      </c>
      <c r="AH91" s="677">
        <v>1.2</v>
      </c>
    </row>
    <row r="92" spans="1:34">
      <c r="A92" s="627">
        <v>266627</v>
      </c>
      <c r="B92" s="640"/>
      <c r="C92" s="644"/>
      <c r="D92" s="647">
        <v>5</v>
      </c>
      <c r="E92" s="648" t="s">
        <v>98</v>
      </c>
      <c r="F92" s="649" t="s">
        <v>634</v>
      </c>
      <c r="G92" s="650" t="s">
        <v>93</v>
      </c>
      <c r="H92" s="651" t="s">
        <v>98</v>
      </c>
      <c r="I92" s="652" t="s">
        <v>98</v>
      </c>
      <c r="J92" s="653">
        <v>0</v>
      </c>
      <c r="K92" s="650" t="s">
        <v>96</v>
      </c>
      <c r="L92" s="650">
        <v>1910563.2</v>
      </c>
      <c r="M92" s="654">
        <v>1</v>
      </c>
      <c r="N92" s="655">
        <f t="shared" si="10"/>
        <v>1.2620910621938648</v>
      </c>
      <c r="O92" s="656" t="str">
        <f t="shared" si="11"/>
        <v>(3,4,1,3,1,5); Brailovsky et al. (2024)</v>
      </c>
      <c r="Q92" s="216" t="s">
        <v>673</v>
      </c>
      <c r="R92" s="648">
        <v>3</v>
      </c>
      <c r="S92" s="648">
        <v>4</v>
      </c>
      <c r="T92" s="648">
        <v>1</v>
      </c>
      <c r="U92" s="648">
        <v>3</v>
      </c>
      <c r="V92" s="648">
        <v>1</v>
      </c>
      <c r="W92" s="648">
        <v>5</v>
      </c>
      <c r="X92" s="672">
        <v>3</v>
      </c>
      <c r="Y92" s="672">
        <v>1.05</v>
      </c>
      <c r="Z92" s="673">
        <f t="shared" si="12"/>
        <v>1.2555818742947564</v>
      </c>
      <c r="AA92" s="673">
        <f t="shared" si="13"/>
        <v>1.2620910621938648</v>
      </c>
      <c r="AB92" s="673" t="str">
        <f t="shared" si="14"/>
        <v>(3,4,1,3,1,5)</v>
      </c>
      <c r="AC92" s="677">
        <v>1.1000000000000001</v>
      </c>
      <c r="AD92" s="677">
        <v>1.1000000000000001</v>
      </c>
      <c r="AE92" s="677">
        <v>1</v>
      </c>
      <c r="AF92" s="677">
        <v>1.02</v>
      </c>
      <c r="AG92" s="677">
        <v>1</v>
      </c>
      <c r="AH92" s="677">
        <v>1.2</v>
      </c>
    </row>
    <row r="93" spans="1:34">
      <c r="A93" s="627">
        <v>160371</v>
      </c>
      <c r="B93" s="640"/>
      <c r="C93" s="644"/>
      <c r="D93" s="647">
        <v>5</v>
      </c>
      <c r="E93" s="648" t="s">
        <v>98</v>
      </c>
      <c r="F93" s="649" t="s">
        <v>242</v>
      </c>
      <c r="G93" s="650" t="s">
        <v>93</v>
      </c>
      <c r="H93" s="651" t="s">
        <v>98</v>
      </c>
      <c r="I93" s="652" t="s">
        <v>98</v>
      </c>
      <c r="J93" s="653">
        <v>0</v>
      </c>
      <c r="K93" s="650" t="s">
        <v>115</v>
      </c>
      <c r="L93" s="650">
        <v>403341.1</v>
      </c>
      <c r="M93" s="654">
        <v>1</v>
      </c>
      <c r="N93" s="655">
        <f t="shared" si="10"/>
        <v>2.0741629046031922</v>
      </c>
      <c r="O93" s="656" t="str">
        <f t="shared" si="11"/>
        <v>(3,4,1,3,1,5); Brailovsky et al. (2024)</v>
      </c>
      <c r="Q93" s="216" t="s">
        <v>673</v>
      </c>
      <c r="R93" s="648">
        <v>3</v>
      </c>
      <c r="S93" s="648">
        <v>4</v>
      </c>
      <c r="T93" s="648">
        <v>1</v>
      </c>
      <c r="U93" s="648">
        <v>3</v>
      </c>
      <c r="V93" s="648">
        <v>1</v>
      </c>
      <c r="W93" s="648">
        <v>5</v>
      </c>
      <c r="X93" s="672">
        <v>5</v>
      </c>
      <c r="Y93" s="672">
        <v>2</v>
      </c>
      <c r="Z93" s="673">
        <f t="shared" si="12"/>
        <v>1.2555818742947564</v>
      </c>
      <c r="AA93" s="673">
        <f t="shared" si="13"/>
        <v>2.0741629046031922</v>
      </c>
      <c r="AB93" s="673" t="str">
        <f t="shared" si="14"/>
        <v>(3,4,1,3,1,5)</v>
      </c>
      <c r="AC93" s="677">
        <v>1.1000000000000001</v>
      </c>
      <c r="AD93" s="677">
        <v>1.1000000000000001</v>
      </c>
      <c r="AE93" s="677">
        <v>1</v>
      </c>
      <c r="AF93" s="677">
        <v>1.02</v>
      </c>
      <c r="AG93" s="677">
        <v>1</v>
      </c>
      <c r="AH93" s="677">
        <v>1.2</v>
      </c>
    </row>
    <row r="94" spans="1:34">
      <c r="A94" s="627">
        <v>269641</v>
      </c>
      <c r="B94" s="640"/>
      <c r="C94" s="644"/>
      <c r="D94" s="647">
        <v>5</v>
      </c>
      <c r="E94" s="648" t="s">
        <v>98</v>
      </c>
      <c r="F94" s="649" t="s">
        <v>240</v>
      </c>
      <c r="G94" s="650" t="s">
        <v>93</v>
      </c>
      <c r="H94" s="651" t="s">
        <v>98</v>
      </c>
      <c r="I94" s="652" t="s">
        <v>98</v>
      </c>
      <c r="J94" s="653">
        <v>0</v>
      </c>
      <c r="K94" s="650" t="s">
        <v>115</v>
      </c>
      <c r="L94" s="650">
        <v>824726.4</v>
      </c>
      <c r="M94" s="654">
        <v>1</v>
      </c>
      <c r="N94" s="655">
        <f t="shared" si="10"/>
        <v>2.0741629046031922</v>
      </c>
      <c r="O94" s="656" t="str">
        <f t="shared" si="11"/>
        <v>(3,4,1,3,1,5); Brailovsky et al. (2024)</v>
      </c>
      <c r="Q94" s="216" t="s">
        <v>673</v>
      </c>
      <c r="R94" s="648">
        <v>3</v>
      </c>
      <c r="S94" s="648">
        <v>4</v>
      </c>
      <c r="T94" s="648">
        <v>1</v>
      </c>
      <c r="U94" s="648">
        <v>3</v>
      </c>
      <c r="V94" s="648">
        <v>1</v>
      </c>
      <c r="W94" s="648">
        <v>5</v>
      </c>
      <c r="X94" s="672">
        <v>5</v>
      </c>
      <c r="Y94" s="672">
        <v>2</v>
      </c>
      <c r="Z94" s="673">
        <f t="shared" si="12"/>
        <v>1.2555818742947564</v>
      </c>
      <c r="AA94" s="673">
        <f t="shared" si="13"/>
        <v>2.0741629046031922</v>
      </c>
      <c r="AB94" s="673" t="str">
        <f t="shared" si="14"/>
        <v>(3,4,1,3,1,5)</v>
      </c>
      <c r="AC94" s="677">
        <v>1.1000000000000001</v>
      </c>
      <c r="AD94" s="677">
        <v>1.1000000000000001</v>
      </c>
      <c r="AE94" s="677">
        <v>1</v>
      </c>
      <c r="AF94" s="677">
        <v>1.02</v>
      </c>
      <c r="AG94" s="677">
        <v>1</v>
      </c>
      <c r="AH94" s="677">
        <v>1.2</v>
      </c>
    </row>
    <row r="95" spans="1:34" ht="26.25" customHeight="1">
      <c r="A95" s="627">
        <v>261895</v>
      </c>
      <c r="B95" s="640"/>
      <c r="C95" s="644"/>
      <c r="D95" s="647">
        <v>5</v>
      </c>
      <c r="E95" s="648" t="s">
        <v>98</v>
      </c>
      <c r="F95" s="649" t="s">
        <v>694</v>
      </c>
      <c r="G95" s="650" t="s">
        <v>245</v>
      </c>
      <c r="H95" s="651" t="s">
        <v>98</v>
      </c>
      <c r="I95" s="652" t="s">
        <v>98</v>
      </c>
      <c r="J95" s="653">
        <v>0</v>
      </c>
      <c r="K95" s="650" t="s">
        <v>115</v>
      </c>
      <c r="L95" s="650">
        <v>934053.1</v>
      </c>
      <c r="M95" s="654">
        <v>1</v>
      </c>
      <c r="N95" s="655">
        <f t="shared" si="10"/>
        <v>2.0741629046031922</v>
      </c>
      <c r="O95" s="656" t="str">
        <f t="shared" si="11"/>
        <v>(3,4,1,3,1,5); Brailovsky et al. (2024)</v>
      </c>
      <c r="Q95" s="216" t="s">
        <v>673</v>
      </c>
      <c r="R95" s="648">
        <v>3</v>
      </c>
      <c r="S95" s="648">
        <v>4</v>
      </c>
      <c r="T95" s="648">
        <v>1</v>
      </c>
      <c r="U95" s="648">
        <v>3</v>
      </c>
      <c r="V95" s="648">
        <v>1</v>
      </c>
      <c r="W95" s="648">
        <v>5</v>
      </c>
      <c r="X95" s="672">
        <v>5</v>
      </c>
      <c r="Y95" s="672">
        <v>2</v>
      </c>
      <c r="Z95" s="673">
        <f t="shared" si="12"/>
        <v>1.2555818742947564</v>
      </c>
      <c r="AA95" s="673">
        <f t="shared" si="13"/>
        <v>2.0741629046031922</v>
      </c>
      <c r="AB95" s="673" t="str">
        <f t="shared" si="14"/>
        <v>(3,4,1,3,1,5)</v>
      </c>
      <c r="AC95" s="677">
        <v>1.1000000000000001</v>
      </c>
      <c r="AD95" s="677">
        <v>1.1000000000000001</v>
      </c>
      <c r="AE95" s="677">
        <v>1</v>
      </c>
      <c r="AF95" s="677">
        <v>1.02</v>
      </c>
      <c r="AG95" s="677">
        <v>1</v>
      </c>
      <c r="AH95" s="677">
        <v>1.2</v>
      </c>
    </row>
    <row r="96" spans="1:34">
      <c r="A96" s="627">
        <v>266163</v>
      </c>
      <c r="B96" s="640"/>
      <c r="C96" s="644"/>
      <c r="D96" s="647">
        <v>5</v>
      </c>
      <c r="E96" s="648" t="s">
        <v>98</v>
      </c>
      <c r="F96" s="649" t="s">
        <v>738</v>
      </c>
      <c r="G96" s="650" t="s">
        <v>93</v>
      </c>
      <c r="H96" s="651" t="s">
        <v>98</v>
      </c>
      <c r="I96" s="652" t="s">
        <v>98</v>
      </c>
      <c r="J96" s="653">
        <v>0</v>
      </c>
      <c r="K96" s="650" t="s">
        <v>739</v>
      </c>
      <c r="L96" s="650">
        <v>169827.8</v>
      </c>
      <c r="M96" s="654">
        <v>1</v>
      </c>
      <c r="N96" s="655">
        <f t="shared" si="10"/>
        <v>1.2620910621938648</v>
      </c>
      <c r="O96" s="656" t="str">
        <f t="shared" si="11"/>
        <v>(3,4,1,3,1,5); Brailovsky et al. (2024)</v>
      </c>
      <c r="Q96" s="216" t="s">
        <v>673</v>
      </c>
      <c r="R96" s="648">
        <v>3</v>
      </c>
      <c r="S96" s="648">
        <v>4</v>
      </c>
      <c r="T96" s="648">
        <v>1</v>
      </c>
      <c r="U96" s="648">
        <v>3</v>
      </c>
      <c r="V96" s="648">
        <v>1</v>
      </c>
      <c r="W96" s="648">
        <v>5</v>
      </c>
      <c r="X96" s="672">
        <v>3</v>
      </c>
      <c r="Y96" s="672">
        <v>1.05</v>
      </c>
      <c r="Z96" s="673">
        <f t="shared" si="12"/>
        <v>1.2555818742947564</v>
      </c>
      <c r="AA96" s="673">
        <f t="shared" si="13"/>
        <v>1.2620910621938648</v>
      </c>
      <c r="AB96" s="673" t="str">
        <f t="shared" si="14"/>
        <v>(3,4,1,3,1,5)</v>
      </c>
      <c r="AC96" s="677">
        <v>1.1000000000000001</v>
      </c>
      <c r="AD96" s="677">
        <v>1.1000000000000001</v>
      </c>
      <c r="AE96" s="677">
        <v>1</v>
      </c>
      <c r="AF96" s="677">
        <v>1.02</v>
      </c>
      <c r="AG96" s="677">
        <v>1</v>
      </c>
      <c r="AH96" s="677">
        <v>1.2</v>
      </c>
    </row>
    <row r="97" spans="1:34" ht="24">
      <c r="A97" s="627">
        <v>79235</v>
      </c>
      <c r="B97" s="641" t="s">
        <v>740</v>
      </c>
      <c r="C97" s="644"/>
      <c r="D97" s="647">
        <v>5</v>
      </c>
      <c r="E97" s="648" t="s">
        <v>98</v>
      </c>
      <c r="F97" s="649" t="s">
        <v>688</v>
      </c>
      <c r="G97" s="650" t="s">
        <v>340</v>
      </c>
      <c r="H97" s="651" t="s">
        <v>98</v>
      </c>
      <c r="I97" s="652" t="s">
        <v>98</v>
      </c>
      <c r="J97" s="653">
        <v>0</v>
      </c>
      <c r="K97" s="650" t="s">
        <v>109</v>
      </c>
      <c r="L97" s="650">
        <v>104687.5</v>
      </c>
      <c r="M97" s="654">
        <v>1</v>
      </c>
      <c r="N97" s="655">
        <f t="shared" si="10"/>
        <v>1.2620910621938648</v>
      </c>
      <c r="O97" s="656" t="str">
        <f t="shared" si="11"/>
        <v>(3,4,1,3,1,5); Brailovsky et al. (2024)</v>
      </c>
      <c r="Q97" s="216" t="s">
        <v>673</v>
      </c>
      <c r="R97" s="648">
        <v>3</v>
      </c>
      <c r="S97" s="648">
        <v>4</v>
      </c>
      <c r="T97" s="648">
        <v>1</v>
      </c>
      <c r="U97" s="648">
        <v>3</v>
      </c>
      <c r="V97" s="648">
        <v>1</v>
      </c>
      <c r="W97" s="648">
        <v>5</v>
      </c>
      <c r="X97" s="672">
        <v>3</v>
      </c>
      <c r="Y97" s="672">
        <v>1.05</v>
      </c>
      <c r="Z97" s="673">
        <f t="shared" si="12"/>
        <v>1.2555818742947564</v>
      </c>
      <c r="AA97" s="673">
        <f t="shared" si="13"/>
        <v>1.2620910621938648</v>
      </c>
      <c r="AB97" s="673" t="str">
        <f t="shared" si="14"/>
        <v>(3,4,1,3,1,5)</v>
      </c>
      <c r="AC97" s="677">
        <v>1.1000000000000001</v>
      </c>
      <c r="AD97" s="677">
        <v>1.1000000000000001</v>
      </c>
      <c r="AE97" s="677">
        <v>1</v>
      </c>
      <c r="AF97" s="677">
        <v>1.02</v>
      </c>
      <c r="AG97" s="677">
        <v>1</v>
      </c>
      <c r="AH97" s="677">
        <v>1.2</v>
      </c>
    </row>
    <row r="98" spans="1:34" ht="23.25" customHeight="1">
      <c r="A98" s="627">
        <v>267287</v>
      </c>
      <c r="B98" s="640"/>
      <c r="C98" s="644"/>
      <c r="D98" s="647">
        <v>5</v>
      </c>
      <c r="E98" s="648" t="s">
        <v>98</v>
      </c>
      <c r="F98" s="649" t="s">
        <v>690</v>
      </c>
      <c r="G98" s="650" t="s">
        <v>154</v>
      </c>
      <c r="H98" s="651" t="s">
        <v>98</v>
      </c>
      <c r="I98" s="652" t="s">
        <v>98</v>
      </c>
      <c r="J98" s="653">
        <v>0</v>
      </c>
      <c r="K98" s="650" t="s">
        <v>104</v>
      </c>
      <c r="L98" s="650">
        <v>109595.65201950401</v>
      </c>
      <c r="M98" s="654">
        <v>1</v>
      </c>
      <c r="N98" s="655">
        <f t="shared" si="10"/>
        <v>1.2620910621938648</v>
      </c>
      <c r="O98" s="656" t="str">
        <f t="shared" si="11"/>
        <v>(3,4,1,3,1,5); Brailovsky et al. (2024): From machine operation, diesel, &lt;18.64kW, energy density 45.5MJ/kg</v>
      </c>
      <c r="Q98" s="216" t="s">
        <v>691</v>
      </c>
      <c r="R98" s="648">
        <v>3</v>
      </c>
      <c r="S98" s="648">
        <v>4</v>
      </c>
      <c r="T98" s="648">
        <v>1</v>
      </c>
      <c r="U98" s="648">
        <v>3</v>
      </c>
      <c r="V98" s="648">
        <v>1</v>
      </c>
      <c r="W98" s="648">
        <v>5</v>
      </c>
      <c r="X98" s="672">
        <v>1</v>
      </c>
      <c r="Y98" s="672">
        <v>1.05</v>
      </c>
      <c r="Z98" s="673">
        <f t="shared" si="12"/>
        <v>1.2555818742947564</v>
      </c>
      <c r="AA98" s="673">
        <f t="shared" si="13"/>
        <v>1.2620910621938648</v>
      </c>
      <c r="AB98" s="673" t="str">
        <f t="shared" si="14"/>
        <v>(3,4,1,3,1,5)</v>
      </c>
      <c r="AC98" s="677">
        <v>1.1000000000000001</v>
      </c>
      <c r="AD98" s="677">
        <v>1.1000000000000001</v>
      </c>
      <c r="AE98" s="677">
        <v>1</v>
      </c>
      <c r="AF98" s="677">
        <v>1.02</v>
      </c>
      <c r="AG98" s="677">
        <v>1</v>
      </c>
      <c r="AH98" s="677">
        <v>1.2</v>
      </c>
    </row>
    <row r="99" spans="1:34" ht="23.25" customHeight="1">
      <c r="A99" s="627">
        <v>267287</v>
      </c>
      <c r="B99" s="640"/>
      <c r="C99" s="644"/>
      <c r="D99" s="647">
        <v>5</v>
      </c>
      <c r="E99" s="648" t="s">
        <v>98</v>
      </c>
      <c r="F99" s="649" t="s">
        <v>690</v>
      </c>
      <c r="G99" s="650" t="s">
        <v>154</v>
      </c>
      <c r="H99" s="651" t="s">
        <v>98</v>
      </c>
      <c r="I99" s="652" t="s">
        <v>98</v>
      </c>
      <c r="J99" s="653">
        <v>0</v>
      </c>
      <c r="K99" s="650" t="s">
        <v>104</v>
      </c>
      <c r="L99" s="650">
        <v>9909329.0316661596</v>
      </c>
      <c r="M99" s="654">
        <v>1</v>
      </c>
      <c r="N99" s="655">
        <f t="shared" si="10"/>
        <v>1.2620910621938648</v>
      </c>
      <c r="O99" s="656" t="str">
        <f t="shared" si="11"/>
        <v>(3,4,1,3,1,5); Brailovsky et al. (2024): From machine operation, diesel,  &gt;= 74.57 kW, energy density 45.5MJ/kg</v>
      </c>
      <c r="Q99" s="216" t="s">
        <v>693</v>
      </c>
      <c r="R99" s="648">
        <v>3</v>
      </c>
      <c r="S99" s="648">
        <v>4</v>
      </c>
      <c r="T99" s="648">
        <v>1</v>
      </c>
      <c r="U99" s="648">
        <v>3</v>
      </c>
      <c r="V99" s="648">
        <v>1</v>
      </c>
      <c r="W99" s="648">
        <v>5</v>
      </c>
      <c r="X99" s="672">
        <v>1</v>
      </c>
      <c r="Y99" s="672">
        <v>1.05</v>
      </c>
      <c r="Z99" s="673">
        <f t="shared" si="12"/>
        <v>1.2555818742947564</v>
      </c>
      <c r="AA99" s="673">
        <f t="shared" si="13"/>
        <v>1.2620910621938648</v>
      </c>
      <c r="AB99" s="673" t="str">
        <f t="shared" si="14"/>
        <v>(3,4,1,3,1,5)</v>
      </c>
      <c r="AC99" s="677">
        <v>1.1000000000000001</v>
      </c>
      <c r="AD99" s="677">
        <v>1.1000000000000001</v>
      </c>
      <c r="AE99" s="677">
        <v>1</v>
      </c>
      <c r="AF99" s="677">
        <v>1.02</v>
      </c>
      <c r="AG99" s="677">
        <v>1</v>
      </c>
      <c r="AH99" s="677">
        <v>1.2</v>
      </c>
    </row>
    <row r="100" spans="1:34">
      <c r="A100" s="627">
        <v>160371</v>
      </c>
      <c r="B100" s="640"/>
      <c r="C100" s="644"/>
      <c r="D100" s="647">
        <v>5</v>
      </c>
      <c r="E100" s="648" t="s">
        <v>98</v>
      </c>
      <c r="F100" s="649" t="s">
        <v>242</v>
      </c>
      <c r="G100" s="650" t="s">
        <v>93</v>
      </c>
      <c r="H100" s="651" t="s">
        <v>98</v>
      </c>
      <c r="I100" s="652" t="s">
        <v>98</v>
      </c>
      <c r="J100" s="653">
        <v>0</v>
      </c>
      <c r="K100" s="650" t="s">
        <v>115</v>
      </c>
      <c r="L100" s="650">
        <v>1167566.3999999999</v>
      </c>
      <c r="M100" s="654">
        <v>1</v>
      </c>
      <c r="N100" s="655">
        <f t="shared" si="10"/>
        <v>2.0741629046031922</v>
      </c>
      <c r="O100" s="656" t="str">
        <f t="shared" si="11"/>
        <v>(3,4,1,3,1,5); Brailovsky et al. (2024)</v>
      </c>
      <c r="Q100" s="216" t="s">
        <v>673</v>
      </c>
      <c r="R100" s="648">
        <v>3</v>
      </c>
      <c r="S100" s="648">
        <v>4</v>
      </c>
      <c r="T100" s="648">
        <v>1</v>
      </c>
      <c r="U100" s="648">
        <v>3</v>
      </c>
      <c r="V100" s="648">
        <v>1</v>
      </c>
      <c r="W100" s="648">
        <v>5</v>
      </c>
      <c r="X100" s="672">
        <v>5</v>
      </c>
      <c r="Y100" s="672">
        <v>2</v>
      </c>
      <c r="Z100" s="673">
        <f t="shared" si="12"/>
        <v>1.2555818742947564</v>
      </c>
      <c r="AA100" s="673">
        <f t="shared" si="13"/>
        <v>2.0741629046031922</v>
      </c>
      <c r="AB100" s="673" t="str">
        <f t="shared" si="14"/>
        <v>(3,4,1,3,1,5)</v>
      </c>
      <c r="AC100" s="677">
        <v>1.1000000000000001</v>
      </c>
      <c r="AD100" s="677">
        <v>1.1000000000000001</v>
      </c>
      <c r="AE100" s="677">
        <v>1</v>
      </c>
      <c r="AF100" s="677">
        <v>1.02</v>
      </c>
      <c r="AG100" s="677">
        <v>1</v>
      </c>
      <c r="AH100" s="677">
        <v>1.2</v>
      </c>
    </row>
    <row r="101" spans="1:34">
      <c r="A101" s="627">
        <v>269641</v>
      </c>
      <c r="B101" s="640"/>
      <c r="C101" s="644"/>
      <c r="D101" s="647">
        <v>5</v>
      </c>
      <c r="E101" s="648" t="s">
        <v>98</v>
      </c>
      <c r="F101" s="649" t="s">
        <v>240</v>
      </c>
      <c r="G101" s="650" t="s">
        <v>93</v>
      </c>
      <c r="H101" s="651" t="s">
        <v>98</v>
      </c>
      <c r="I101" s="652" t="s">
        <v>98</v>
      </c>
      <c r="J101" s="653">
        <v>0</v>
      </c>
      <c r="K101" s="650" t="s">
        <v>115</v>
      </c>
      <c r="L101" s="650">
        <v>2159997.7999999998</v>
      </c>
      <c r="M101" s="654">
        <v>1</v>
      </c>
      <c r="N101" s="655">
        <f t="shared" si="10"/>
        <v>2.0741629046031922</v>
      </c>
      <c r="O101" s="656" t="str">
        <f t="shared" si="11"/>
        <v>(3,4,1,3,1,5); Brailovsky et al. (2024)</v>
      </c>
      <c r="Q101" s="216" t="s">
        <v>673</v>
      </c>
      <c r="R101" s="648">
        <v>3</v>
      </c>
      <c r="S101" s="648">
        <v>4</v>
      </c>
      <c r="T101" s="648">
        <v>1</v>
      </c>
      <c r="U101" s="648">
        <v>3</v>
      </c>
      <c r="V101" s="648">
        <v>1</v>
      </c>
      <c r="W101" s="648">
        <v>5</v>
      </c>
      <c r="X101" s="672">
        <v>5</v>
      </c>
      <c r="Y101" s="672">
        <v>2</v>
      </c>
      <c r="Z101" s="673">
        <f t="shared" si="12"/>
        <v>1.2555818742947564</v>
      </c>
      <c r="AA101" s="673">
        <f t="shared" si="13"/>
        <v>2.0741629046031922</v>
      </c>
      <c r="AB101" s="673" t="str">
        <f t="shared" si="14"/>
        <v>(3,4,1,3,1,5)</v>
      </c>
      <c r="AC101" s="677">
        <v>1.1000000000000001</v>
      </c>
      <c r="AD101" s="677">
        <v>1.1000000000000001</v>
      </c>
      <c r="AE101" s="677">
        <v>1</v>
      </c>
      <c r="AF101" s="677">
        <v>1.02</v>
      </c>
      <c r="AG101" s="677">
        <v>1</v>
      </c>
      <c r="AH101" s="677">
        <v>1.2</v>
      </c>
    </row>
    <row r="102" spans="1:34" ht="24" customHeight="1">
      <c r="A102" s="627">
        <v>269641</v>
      </c>
      <c r="B102" s="681" t="s">
        <v>741</v>
      </c>
      <c r="C102" s="644"/>
      <c r="D102" s="647">
        <v>5</v>
      </c>
      <c r="E102" s="648" t="s">
        <v>98</v>
      </c>
      <c r="F102" s="649" t="s">
        <v>240</v>
      </c>
      <c r="G102" s="650" t="s">
        <v>93</v>
      </c>
      <c r="H102" s="651" t="s">
        <v>98</v>
      </c>
      <c r="I102" s="652" t="s">
        <v>98</v>
      </c>
      <c r="J102" s="653">
        <v>0</v>
      </c>
      <c r="K102" s="650" t="s">
        <v>115</v>
      </c>
      <c r="L102" s="650">
        <v>24632173.600000001</v>
      </c>
      <c r="M102" s="654">
        <v>1</v>
      </c>
      <c r="N102" s="655">
        <f t="shared" si="10"/>
        <v>2.0741629046031922</v>
      </c>
      <c r="O102" s="656" t="str">
        <f t="shared" si="11"/>
        <v>(3,4,1,3,1,5); Brailovsky et al. (2024)</v>
      </c>
      <c r="Q102" s="216" t="s">
        <v>673</v>
      </c>
      <c r="R102" s="648">
        <v>3</v>
      </c>
      <c r="S102" s="648">
        <v>4</v>
      </c>
      <c r="T102" s="648">
        <v>1</v>
      </c>
      <c r="U102" s="648">
        <v>3</v>
      </c>
      <c r="V102" s="648">
        <v>1</v>
      </c>
      <c r="W102" s="648">
        <v>5</v>
      </c>
      <c r="X102" s="672">
        <v>5</v>
      </c>
      <c r="Y102" s="672">
        <v>2</v>
      </c>
      <c r="Z102" s="673">
        <f t="shared" si="12"/>
        <v>1.2555818742947564</v>
      </c>
      <c r="AA102" s="673">
        <f t="shared" si="13"/>
        <v>2.0741629046031922</v>
      </c>
      <c r="AB102" s="673" t="str">
        <f t="shared" si="14"/>
        <v>(3,4,1,3,1,5)</v>
      </c>
      <c r="AC102" s="677">
        <v>1.1000000000000001</v>
      </c>
      <c r="AD102" s="677">
        <v>1.1000000000000001</v>
      </c>
      <c r="AE102" s="677">
        <v>1</v>
      </c>
      <c r="AF102" s="677">
        <v>1.02</v>
      </c>
      <c r="AG102" s="677">
        <v>1</v>
      </c>
      <c r="AH102" s="677">
        <v>1.2</v>
      </c>
    </row>
    <row r="103" spans="1:34" ht="24">
      <c r="A103" s="627">
        <v>79235</v>
      </c>
      <c r="B103" s="641" t="s">
        <v>742</v>
      </c>
      <c r="C103" s="644"/>
      <c r="D103" s="647">
        <v>5</v>
      </c>
      <c r="E103" s="648" t="s">
        <v>98</v>
      </c>
      <c r="F103" s="649" t="s">
        <v>688</v>
      </c>
      <c r="G103" s="650" t="s">
        <v>340</v>
      </c>
      <c r="H103" s="651" t="s">
        <v>98</v>
      </c>
      <c r="I103" s="652" t="s">
        <v>98</v>
      </c>
      <c r="J103" s="653">
        <v>0</v>
      </c>
      <c r="K103" s="650" t="s">
        <v>109</v>
      </c>
      <c r="L103" s="650">
        <v>166.5</v>
      </c>
      <c r="M103" s="654">
        <v>1</v>
      </c>
      <c r="N103" s="655">
        <f t="shared" si="10"/>
        <v>1.2620910621938648</v>
      </c>
      <c r="O103" s="656" t="str">
        <f t="shared" si="11"/>
        <v>(3,4,1,3,1,5); Brailovsky et al. (2024)</v>
      </c>
      <c r="Q103" s="216" t="s">
        <v>673</v>
      </c>
      <c r="R103" s="648">
        <v>3</v>
      </c>
      <c r="S103" s="648">
        <v>4</v>
      </c>
      <c r="T103" s="648">
        <v>1</v>
      </c>
      <c r="U103" s="648">
        <v>3</v>
      </c>
      <c r="V103" s="648">
        <v>1</v>
      </c>
      <c r="W103" s="648">
        <v>5</v>
      </c>
      <c r="X103" s="672">
        <v>3</v>
      </c>
      <c r="Y103" s="672">
        <v>1.05</v>
      </c>
      <c r="Z103" s="673">
        <f t="shared" si="12"/>
        <v>1.2555818742947564</v>
      </c>
      <c r="AA103" s="673">
        <f t="shared" si="13"/>
        <v>1.2620910621938648</v>
      </c>
      <c r="AB103" s="673" t="str">
        <f t="shared" si="14"/>
        <v>(3,4,1,3,1,5)</v>
      </c>
      <c r="AC103" s="677">
        <v>1.1000000000000001</v>
      </c>
      <c r="AD103" s="677">
        <v>1.1000000000000001</v>
      </c>
      <c r="AE103" s="677">
        <v>1</v>
      </c>
      <c r="AF103" s="677">
        <v>1.02</v>
      </c>
      <c r="AG103" s="677">
        <v>1</v>
      </c>
      <c r="AH103" s="677">
        <v>1.2</v>
      </c>
    </row>
    <row r="104" spans="1:34">
      <c r="A104" s="627">
        <v>256348</v>
      </c>
      <c r="B104" s="640"/>
      <c r="C104" s="644"/>
      <c r="D104" s="647">
        <v>5</v>
      </c>
      <c r="E104" s="648" t="s">
        <v>98</v>
      </c>
      <c r="F104" s="649" t="s">
        <v>743</v>
      </c>
      <c r="G104" s="650" t="s">
        <v>103</v>
      </c>
      <c r="H104" s="651" t="s">
        <v>98</v>
      </c>
      <c r="I104" s="652" t="s">
        <v>98</v>
      </c>
      <c r="J104" s="653">
        <v>0</v>
      </c>
      <c r="K104" s="650" t="s">
        <v>96</v>
      </c>
      <c r="L104" s="650">
        <f>13.3*900</f>
        <v>11970</v>
      </c>
      <c r="M104" s="654">
        <v>1</v>
      </c>
      <c r="N104" s="655">
        <f t="shared" ref="N104:N125" si="15">AA104</f>
        <v>1.2620910621938648</v>
      </c>
      <c r="O104" s="656" t="str">
        <f t="shared" ref="O104:O125" si="16">AB104&amp;"; "&amp;Q104</f>
        <v>(3,4,1,3,1,5); Brailovsky et al. (2024) Density: 900 kg/m^3</v>
      </c>
      <c r="Q104" s="216" t="s">
        <v>744</v>
      </c>
      <c r="R104" s="648">
        <v>3</v>
      </c>
      <c r="S104" s="648">
        <v>4</v>
      </c>
      <c r="T104" s="648">
        <v>1</v>
      </c>
      <c r="U104" s="648">
        <v>3</v>
      </c>
      <c r="V104" s="648">
        <v>1</v>
      </c>
      <c r="W104" s="648">
        <v>5</v>
      </c>
      <c r="X104" s="672">
        <v>3</v>
      </c>
      <c r="Y104" s="672">
        <v>1.05</v>
      </c>
      <c r="Z104" s="673">
        <f t="shared" ref="Z104:Z125" si="17">EXP(SQRT((LN(AC104)^2)+(LN(AD104)^2)+(LN(AE104)^2)+(LN(AF104)^2)+(LN(AG104)^2)+(LN(AH104)^2)))</f>
        <v>1.2555818742947564</v>
      </c>
      <c r="AA104" s="673">
        <f t="shared" ref="AA104:AA125" si="18">EXP(SQRT((LN(AC104)^2)+(LN(AD104)^2)+(LN(AE104)^2)+(LN(AF104)^2)+(LN(AG104)^2)+(LN(AH104)^2)+LN(Y104)^2))</f>
        <v>1.2620910621938648</v>
      </c>
      <c r="AB104" s="673" t="str">
        <f t="shared" ref="AB104:AB125" si="19">CONCATENATE("(",R104,",",S104,",",T104,",",U104,",",V104,",",W104,")")</f>
        <v>(3,4,1,3,1,5)</v>
      </c>
      <c r="AC104" s="677">
        <v>1.1000000000000001</v>
      </c>
      <c r="AD104" s="677">
        <v>1.1000000000000001</v>
      </c>
      <c r="AE104" s="677">
        <v>1</v>
      </c>
      <c r="AF104" s="677">
        <v>1.02</v>
      </c>
      <c r="AG104" s="677">
        <v>1</v>
      </c>
      <c r="AH104" s="677">
        <v>1.2</v>
      </c>
    </row>
    <row r="105" spans="1:34" ht="24" customHeight="1">
      <c r="A105" s="627">
        <v>254233</v>
      </c>
      <c r="B105" s="640"/>
      <c r="C105" s="644"/>
      <c r="D105" s="647">
        <v>5</v>
      </c>
      <c r="E105" s="648" t="s">
        <v>98</v>
      </c>
      <c r="F105" s="649" t="s">
        <v>710</v>
      </c>
      <c r="G105" s="650" t="s">
        <v>103</v>
      </c>
      <c r="H105" s="651" t="s">
        <v>98</v>
      </c>
      <c r="I105" s="652" t="s">
        <v>98</v>
      </c>
      <c r="J105" s="653">
        <v>0</v>
      </c>
      <c r="K105" s="650" t="s">
        <v>104</v>
      </c>
      <c r="L105" s="650">
        <v>149.9</v>
      </c>
      <c r="M105" s="654">
        <v>1</v>
      </c>
      <c r="N105" s="655">
        <f t="shared" si="15"/>
        <v>1.2620910621938648</v>
      </c>
      <c r="O105" s="656" t="str">
        <f t="shared" si="16"/>
        <v>(3,4,1,3,1,5); Brailovsky et al. (2024)</v>
      </c>
      <c r="Q105" s="216" t="s">
        <v>673</v>
      </c>
      <c r="R105" s="648">
        <v>3</v>
      </c>
      <c r="S105" s="648">
        <v>4</v>
      </c>
      <c r="T105" s="648">
        <v>1</v>
      </c>
      <c r="U105" s="648">
        <v>3</v>
      </c>
      <c r="V105" s="648">
        <v>1</v>
      </c>
      <c r="W105" s="648">
        <v>5</v>
      </c>
      <c r="X105" s="672">
        <v>1</v>
      </c>
      <c r="Y105" s="672">
        <v>1.05</v>
      </c>
      <c r="Z105" s="673">
        <f t="shared" si="17"/>
        <v>1.2555818742947564</v>
      </c>
      <c r="AA105" s="673">
        <f t="shared" si="18"/>
        <v>1.2620910621938648</v>
      </c>
      <c r="AB105" s="673" t="str">
        <f t="shared" si="19"/>
        <v>(3,4,1,3,1,5)</v>
      </c>
      <c r="AC105" s="677">
        <v>1.1000000000000001</v>
      </c>
      <c r="AD105" s="677">
        <v>1.1000000000000001</v>
      </c>
      <c r="AE105" s="677">
        <v>1</v>
      </c>
      <c r="AF105" s="677">
        <v>1.02</v>
      </c>
      <c r="AG105" s="677">
        <v>1</v>
      </c>
      <c r="AH105" s="677">
        <v>1.2</v>
      </c>
    </row>
    <row r="106" spans="1:34">
      <c r="A106" s="627">
        <v>266105</v>
      </c>
      <c r="B106" s="640"/>
      <c r="C106" s="644"/>
      <c r="D106" s="647">
        <v>5</v>
      </c>
      <c r="E106" s="648" t="s">
        <v>98</v>
      </c>
      <c r="F106" s="649" t="s">
        <v>745</v>
      </c>
      <c r="G106" s="650" t="s">
        <v>93</v>
      </c>
      <c r="H106" s="651" t="s">
        <v>98</v>
      </c>
      <c r="I106" s="652" t="s">
        <v>98</v>
      </c>
      <c r="J106" s="653">
        <v>0</v>
      </c>
      <c r="K106" s="650" t="s">
        <v>96</v>
      </c>
      <c r="L106" s="650">
        <v>499.5</v>
      </c>
      <c r="M106" s="654">
        <v>1</v>
      </c>
      <c r="N106" s="655">
        <f t="shared" si="15"/>
        <v>1.2620910621938648</v>
      </c>
      <c r="O106" s="656" t="str">
        <f t="shared" si="16"/>
        <v>(3,4,1,3,1,5); Brailovsky et al. (2024)</v>
      </c>
      <c r="Q106" s="216" t="s">
        <v>673</v>
      </c>
      <c r="R106" s="648">
        <v>3</v>
      </c>
      <c r="S106" s="648">
        <v>4</v>
      </c>
      <c r="T106" s="648">
        <v>1</v>
      </c>
      <c r="U106" s="648">
        <v>3</v>
      </c>
      <c r="V106" s="648">
        <v>1</v>
      </c>
      <c r="W106" s="648">
        <v>5</v>
      </c>
      <c r="X106" s="672">
        <v>3</v>
      </c>
      <c r="Y106" s="672">
        <v>1.05</v>
      </c>
      <c r="Z106" s="673">
        <f t="shared" si="17"/>
        <v>1.2555818742947564</v>
      </c>
      <c r="AA106" s="673">
        <f t="shared" si="18"/>
        <v>1.2620910621938648</v>
      </c>
      <c r="AB106" s="673" t="str">
        <f t="shared" si="19"/>
        <v>(3,4,1,3,1,5)</v>
      </c>
      <c r="AC106" s="677">
        <v>1.1000000000000001</v>
      </c>
      <c r="AD106" s="677">
        <v>1.1000000000000001</v>
      </c>
      <c r="AE106" s="677">
        <v>1</v>
      </c>
      <c r="AF106" s="677">
        <v>1.02</v>
      </c>
      <c r="AG106" s="677">
        <v>1</v>
      </c>
      <c r="AH106" s="677">
        <v>1.2</v>
      </c>
    </row>
    <row r="107" spans="1:34">
      <c r="A107" s="627">
        <v>259385</v>
      </c>
      <c r="B107" s="641" t="s">
        <v>746</v>
      </c>
      <c r="C107" s="644"/>
      <c r="D107" s="647">
        <v>5</v>
      </c>
      <c r="E107" s="648" t="s">
        <v>98</v>
      </c>
      <c r="F107" s="649" t="s">
        <v>747</v>
      </c>
      <c r="G107" s="650" t="s">
        <v>103</v>
      </c>
      <c r="H107" s="651" t="s">
        <v>98</v>
      </c>
      <c r="I107" s="652" t="s">
        <v>98</v>
      </c>
      <c r="J107" s="653">
        <v>0</v>
      </c>
      <c r="K107" s="650" t="s">
        <v>96</v>
      </c>
      <c r="L107" s="650">
        <v>41796.5</v>
      </c>
      <c r="M107" s="654">
        <v>1</v>
      </c>
      <c r="N107" s="655">
        <f t="shared" si="15"/>
        <v>1.2620910621938648</v>
      </c>
      <c r="O107" s="656" t="str">
        <f t="shared" si="16"/>
        <v>(3,4,1,3,1,5); Brailovsky et al. (2024) from ceilings</v>
      </c>
      <c r="Q107" s="216" t="s">
        <v>748</v>
      </c>
      <c r="R107" s="648">
        <v>3</v>
      </c>
      <c r="S107" s="648">
        <v>4</v>
      </c>
      <c r="T107" s="648">
        <v>1</v>
      </c>
      <c r="U107" s="648">
        <v>3</v>
      </c>
      <c r="V107" s="648">
        <v>1</v>
      </c>
      <c r="W107" s="648">
        <v>5</v>
      </c>
      <c r="X107" s="672">
        <v>6</v>
      </c>
      <c r="Y107" s="672">
        <v>1.05</v>
      </c>
      <c r="Z107" s="673">
        <f t="shared" si="17"/>
        <v>1.2555818742947564</v>
      </c>
      <c r="AA107" s="673">
        <f t="shared" si="18"/>
        <v>1.2620910621938648</v>
      </c>
      <c r="AB107" s="673" t="str">
        <f t="shared" si="19"/>
        <v>(3,4,1,3,1,5)</v>
      </c>
      <c r="AC107" s="677">
        <v>1.1000000000000001</v>
      </c>
      <c r="AD107" s="677">
        <v>1.1000000000000001</v>
      </c>
      <c r="AE107" s="677">
        <v>1</v>
      </c>
      <c r="AF107" s="677">
        <v>1.02</v>
      </c>
      <c r="AG107" s="677">
        <v>1</v>
      </c>
      <c r="AH107" s="677">
        <v>1.2</v>
      </c>
    </row>
    <row r="108" spans="1:34">
      <c r="A108" s="627">
        <v>259385</v>
      </c>
      <c r="B108" s="640"/>
      <c r="C108" s="644"/>
      <c r="D108" s="647">
        <v>5</v>
      </c>
      <c r="E108" s="648" t="s">
        <v>98</v>
      </c>
      <c r="F108" s="649" t="s">
        <v>747</v>
      </c>
      <c r="G108" s="650" t="s">
        <v>103</v>
      </c>
      <c r="H108" s="651" t="s">
        <v>98</v>
      </c>
      <c r="I108" s="652" t="s">
        <v>98</v>
      </c>
      <c r="J108" s="653">
        <v>0</v>
      </c>
      <c r="K108" s="650" t="s">
        <v>96</v>
      </c>
      <c r="L108" s="650">
        <v>122002.7</v>
      </c>
      <c r="M108" s="654">
        <v>1</v>
      </c>
      <c r="N108" s="655">
        <f t="shared" si="15"/>
        <v>1.2620910621938648</v>
      </c>
      <c r="O108" s="656" t="str">
        <f t="shared" si="16"/>
        <v>(3,4,1,3,1,5); Brailovsky et al. (2024) from roofing A1-A3</v>
      </c>
      <c r="Q108" s="216" t="s">
        <v>749</v>
      </c>
      <c r="R108" s="648">
        <v>3</v>
      </c>
      <c r="S108" s="648">
        <v>4</v>
      </c>
      <c r="T108" s="648">
        <v>1</v>
      </c>
      <c r="U108" s="648">
        <v>3</v>
      </c>
      <c r="V108" s="648">
        <v>1</v>
      </c>
      <c r="W108" s="648">
        <v>5</v>
      </c>
      <c r="X108" s="672">
        <v>6</v>
      </c>
      <c r="Y108" s="672">
        <v>1.05</v>
      </c>
      <c r="Z108" s="673">
        <f t="shared" si="17"/>
        <v>1.2555818742947564</v>
      </c>
      <c r="AA108" s="673">
        <f t="shared" si="18"/>
        <v>1.2620910621938648</v>
      </c>
      <c r="AB108" s="673" t="str">
        <f t="shared" si="19"/>
        <v>(3,4,1,3,1,5)</v>
      </c>
      <c r="AC108" s="677">
        <v>1.1000000000000001</v>
      </c>
      <c r="AD108" s="677">
        <v>1.1000000000000001</v>
      </c>
      <c r="AE108" s="677">
        <v>1</v>
      </c>
      <c r="AF108" s="677">
        <v>1.02</v>
      </c>
      <c r="AG108" s="677">
        <v>1</v>
      </c>
      <c r="AH108" s="677">
        <v>1.2</v>
      </c>
    </row>
    <row r="109" spans="1:34">
      <c r="A109" s="627">
        <v>259385</v>
      </c>
      <c r="B109" s="640"/>
      <c r="C109" s="644"/>
      <c r="D109" s="647">
        <v>5</v>
      </c>
      <c r="E109" s="648" t="s">
        <v>98</v>
      </c>
      <c r="F109" s="649" t="s">
        <v>747</v>
      </c>
      <c r="G109" s="650" t="s">
        <v>103</v>
      </c>
      <c r="H109" s="651" t="s">
        <v>98</v>
      </c>
      <c r="I109" s="652" t="s">
        <v>98</v>
      </c>
      <c r="J109" s="653">
        <v>0</v>
      </c>
      <c r="K109" s="650" t="s">
        <v>96</v>
      </c>
      <c r="L109" s="650">
        <v>63567.5</v>
      </c>
      <c r="M109" s="654">
        <v>1</v>
      </c>
      <c r="N109" s="655">
        <f t="shared" si="15"/>
        <v>1.2620910621938648</v>
      </c>
      <c r="O109" s="656" t="str">
        <f t="shared" si="16"/>
        <v>(3,4,1,3,1,5); Brailovsky et al. (2024) from siding A1-A3</v>
      </c>
      <c r="Q109" s="216" t="s">
        <v>750</v>
      </c>
      <c r="R109" s="648">
        <v>3</v>
      </c>
      <c r="S109" s="648">
        <v>4</v>
      </c>
      <c r="T109" s="648">
        <v>1</v>
      </c>
      <c r="U109" s="648">
        <v>3</v>
      </c>
      <c r="V109" s="648">
        <v>1</v>
      </c>
      <c r="W109" s="648">
        <v>5</v>
      </c>
      <c r="X109" s="672">
        <v>6</v>
      </c>
      <c r="Y109" s="672">
        <v>1.05</v>
      </c>
      <c r="Z109" s="673">
        <f t="shared" si="17"/>
        <v>1.2555818742947564</v>
      </c>
      <c r="AA109" s="673">
        <f t="shared" si="18"/>
        <v>1.2620910621938648</v>
      </c>
      <c r="AB109" s="673" t="str">
        <f t="shared" si="19"/>
        <v>(3,4,1,3,1,5)</v>
      </c>
      <c r="AC109" s="677">
        <v>1.1000000000000001</v>
      </c>
      <c r="AD109" s="677">
        <v>1.1000000000000001</v>
      </c>
      <c r="AE109" s="677">
        <v>1</v>
      </c>
      <c r="AF109" s="677">
        <v>1.02</v>
      </c>
      <c r="AG109" s="677">
        <v>1</v>
      </c>
      <c r="AH109" s="677">
        <v>1.2</v>
      </c>
    </row>
    <row r="110" spans="1:34" ht="24" customHeight="1">
      <c r="A110" s="627">
        <v>268269</v>
      </c>
      <c r="B110" s="640"/>
      <c r="C110" s="644"/>
      <c r="D110" s="647">
        <v>5</v>
      </c>
      <c r="E110" s="648" t="s">
        <v>98</v>
      </c>
      <c r="F110" s="649" t="s">
        <v>751</v>
      </c>
      <c r="G110" s="650" t="s">
        <v>103</v>
      </c>
      <c r="H110" s="651" t="s">
        <v>98</v>
      </c>
      <c r="I110" s="652" t="s">
        <v>98</v>
      </c>
      <c r="J110" s="653">
        <v>0</v>
      </c>
      <c r="K110" s="650" t="s">
        <v>96</v>
      </c>
      <c r="L110" s="650">
        <v>235132.2</v>
      </c>
      <c r="M110" s="654">
        <v>1</v>
      </c>
      <c r="N110" s="655">
        <f t="shared" si="15"/>
        <v>1.2620910621938648</v>
      </c>
      <c r="O110" s="656" t="str">
        <f t="shared" si="16"/>
        <v>(3,4,1,3,1,5); Brailovsky et al. (2024) from ceilings</v>
      </c>
      <c r="Q110" s="216" t="s">
        <v>748</v>
      </c>
      <c r="R110" s="648">
        <v>3</v>
      </c>
      <c r="S110" s="648">
        <v>4</v>
      </c>
      <c r="T110" s="648">
        <v>1</v>
      </c>
      <c r="U110" s="648">
        <v>3</v>
      </c>
      <c r="V110" s="648">
        <v>1</v>
      </c>
      <c r="W110" s="648">
        <v>5</v>
      </c>
      <c r="X110" s="672">
        <v>6</v>
      </c>
      <c r="Y110" s="672">
        <v>1.05</v>
      </c>
      <c r="Z110" s="673">
        <f t="shared" si="17"/>
        <v>1.2555818742947564</v>
      </c>
      <c r="AA110" s="673">
        <f t="shared" si="18"/>
        <v>1.2620910621938648</v>
      </c>
      <c r="AB110" s="673" t="str">
        <f t="shared" si="19"/>
        <v>(3,4,1,3,1,5)</v>
      </c>
      <c r="AC110" s="677">
        <v>1.1000000000000001</v>
      </c>
      <c r="AD110" s="677">
        <v>1.1000000000000001</v>
      </c>
      <c r="AE110" s="677">
        <v>1</v>
      </c>
      <c r="AF110" s="677">
        <v>1.02</v>
      </c>
      <c r="AG110" s="677">
        <v>1</v>
      </c>
      <c r="AH110" s="677">
        <v>1.2</v>
      </c>
    </row>
    <row r="111" spans="1:34" ht="24" customHeight="1">
      <c r="A111" s="627">
        <v>268269</v>
      </c>
      <c r="B111" s="640"/>
      <c r="C111" s="644"/>
      <c r="D111" s="647">
        <v>5</v>
      </c>
      <c r="E111" s="648" t="s">
        <v>98</v>
      </c>
      <c r="F111" s="649" t="s">
        <v>751</v>
      </c>
      <c r="G111" s="650" t="s">
        <v>103</v>
      </c>
      <c r="H111" s="651" t="s">
        <v>98</v>
      </c>
      <c r="I111" s="652" t="s">
        <v>98</v>
      </c>
      <c r="J111" s="653">
        <v>0</v>
      </c>
      <c r="K111" s="650" t="s">
        <v>96</v>
      </c>
      <c r="L111" s="650">
        <v>247702.5</v>
      </c>
      <c r="M111" s="654">
        <v>1</v>
      </c>
      <c r="N111" s="655">
        <f t="shared" si="15"/>
        <v>1.2620910621938648</v>
      </c>
      <c r="O111" s="656" t="str">
        <f t="shared" si="16"/>
        <v>(3,4,1,3,1,5); Brailovsky et al. (2024) from roofing A1-A3</v>
      </c>
      <c r="Q111" s="216" t="s">
        <v>749</v>
      </c>
      <c r="R111" s="648">
        <v>3</v>
      </c>
      <c r="S111" s="648">
        <v>4</v>
      </c>
      <c r="T111" s="648">
        <v>1</v>
      </c>
      <c r="U111" s="648">
        <v>3</v>
      </c>
      <c r="V111" s="648">
        <v>1</v>
      </c>
      <c r="W111" s="648">
        <v>5</v>
      </c>
      <c r="X111" s="672">
        <v>6</v>
      </c>
      <c r="Y111" s="672">
        <v>1.05</v>
      </c>
      <c r="Z111" s="673">
        <f t="shared" si="17"/>
        <v>1.2555818742947564</v>
      </c>
      <c r="AA111" s="673">
        <f t="shared" si="18"/>
        <v>1.2620910621938648</v>
      </c>
      <c r="AB111" s="673" t="str">
        <f t="shared" si="19"/>
        <v>(3,4,1,3,1,5)</v>
      </c>
      <c r="AC111" s="677">
        <v>1.1000000000000001</v>
      </c>
      <c r="AD111" s="677">
        <v>1.1000000000000001</v>
      </c>
      <c r="AE111" s="677">
        <v>1</v>
      </c>
      <c r="AF111" s="677">
        <v>1.02</v>
      </c>
      <c r="AG111" s="677">
        <v>1</v>
      </c>
      <c r="AH111" s="677">
        <v>1.2</v>
      </c>
    </row>
    <row r="112" spans="1:34" ht="24" customHeight="1">
      <c r="A112" s="627">
        <v>268269</v>
      </c>
      <c r="B112" s="640"/>
      <c r="C112" s="644"/>
      <c r="D112" s="647">
        <v>5</v>
      </c>
      <c r="E112" s="648" t="s">
        <v>98</v>
      </c>
      <c r="F112" s="649" t="s">
        <v>751</v>
      </c>
      <c r="G112" s="650" t="s">
        <v>103</v>
      </c>
      <c r="H112" s="651" t="s">
        <v>98</v>
      </c>
      <c r="I112" s="652" t="s">
        <v>98</v>
      </c>
      <c r="J112" s="653">
        <v>0</v>
      </c>
      <c r="K112" s="650" t="s">
        <v>96</v>
      </c>
      <c r="L112" s="650">
        <v>129061.3</v>
      </c>
      <c r="M112" s="654">
        <v>1</v>
      </c>
      <c r="N112" s="655">
        <f t="shared" si="15"/>
        <v>1.2620910621938648</v>
      </c>
      <c r="O112" s="656" t="str">
        <f t="shared" si="16"/>
        <v>(3,4,1,3,1,5); Brailovsky et al. (2024) from siding A1-A3</v>
      </c>
      <c r="Q112" s="216" t="s">
        <v>750</v>
      </c>
      <c r="R112" s="648">
        <v>3</v>
      </c>
      <c r="S112" s="648">
        <v>4</v>
      </c>
      <c r="T112" s="648">
        <v>1</v>
      </c>
      <c r="U112" s="648">
        <v>3</v>
      </c>
      <c r="V112" s="648">
        <v>1</v>
      </c>
      <c r="W112" s="648">
        <v>5</v>
      </c>
      <c r="X112" s="672">
        <v>6</v>
      </c>
      <c r="Y112" s="672">
        <v>1.05</v>
      </c>
      <c r="Z112" s="673">
        <f t="shared" si="17"/>
        <v>1.2555818742947564</v>
      </c>
      <c r="AA112" s="673">
        <f t="shared" si="18"/>
        <v>1.2620910621938648</v>
      </c>
      <c r="AB112" s="673" t="str">
        <f t="shared" si="19"/>
        <v>(3,4,1,3,1,5)</v>
      </c>
      <c r="AC112" s="677">
        <v>1.1000000000000001</v>
      </c>
      <c r="AD112" s="677">
        <v>1.1000000000000001</v>
      </c>
      <c r="AE112" s="677">
        <v>1</v>
      </c>
      <c r="AF112" s="677">
        <v>1.02</v>
      </c>
      <c r="AG112" s="677">
        <v>1</v>
      </c>
      <c r="AH112" s="677">
        <v>1.2</v>
      </c>
    </row>
    <row r="113" spans="1:34" ht="24" customHeight="1">
      <c r="A113" s="627">
        <v>268269</v>
      </c>
      <c r="B113" s="640"/>
      <c r="C113" s="644"/>
      <c r="D113" s="647">
        <v>5</v>
      </c>
      <c r="E113" s="648" t="s">
        <v>98</v>
      </c>
      <c r="F113" s="649" t="s">
        <v>751</v>
      </c>
      <c r="G113" s="650" t="s">
        <v>103</v>
      </c>
      <c r="H113" s="651" t="s">
        <v>98</v>
      </c>
      <c r="I113" s="652" t="s">
        <v>98</v>
      </c>
      <c r="J113" s="653">
        <v>0</v>
      </c>
      <c r="K113" s="650" t="s">
        <v>96</v>
      </c>
      <c r="L113" s="650">
        <v>2729366.9020799999</v>
      </c>
      <c r="M113" s="654">
        <v>1</v>
      </c>
      <c r="N113" s="655">
        <f t="shared" si="15"/>
        <v>1.2620910621938648</v>
      </c>
      <c r="O113" s="656" t="str">
        <f t="shared" si="16"/>
        <v>(3,4,1,3,1,5); Brailovsky et al. (2024) from Ssteel A1-A3</v>
      </c>
      <c r="Q113" s="216" t="s">
        <v>752</v>
      </c>
      <c r="R113" s="648">
        <v>3</v>
      </c>
      <c r="S113" s="648">
        <v>4</v>
      </c>
      <c r="T113" s="648">
        <v>1</v>
      </c>
      <c r="U113" s="648">
        <v>3</v>
      </c>
      <c r="V113" s="648">
        <v>1</v>
      </c>
      <c r="W113" s="648">
        <v>5</v>
      </c>
      <c r="X113" s="672">
        <v>6</v>
      </c>
      <c r="Y113" s="672">
        <v>1.05</v>
      </c>
      <c r="Z113" s="673">
        <f t="shared" si="17"/>
        <v>1.2555818742947564</v>
      </c>
      <c r="AA113" s="673">
        <f t="shared" si="18"/>
        <v>1.2620910621938648</v>
      </c>
      <c r="AB113" s="673" t="str">
        <f t="shared" si="19"/>
        <v>(3,4,1,3,1,5)</v>
      </c>
      <c r="AC113" s="677">
        <v>1.1000000000000001</v>
      </c>
      <c r="AD113" s="677">
        <v>1.1000000000000001</v>
      </c>
      <c r="AE113" s="677">
        <v>1</v>
      </c>
      <c r="AF113" s="677">
        <v>1.02</v>
      </c>
      <c r="AG113" s="677">
        <v>1</v>
      </c>
      <c r="AH113" s="677">
        <v>1.2</v>
      </c>
    </row>
    <row r="114" spans="1:34">
      <c r="A114" s="627">
        <v>267245</v>
      </c>
      <c r="B114" s="640"/>
      <c r="C114" s="644"/>
      <c r="D114" s="647">
        <v>5</v>
      </c>
      <c r="E114" s="648" t="s">
        <v>98</v>
      </c>
      <c r="F114" s="649" t="s">
        <v>753</v>
      </c>
      <c r="G114" s="650" t="s">
        <v>103</v>
      </c>
      <c r="H114" s="651" t="s">
        <v>98</v>
      </c>
      <c r="I114" s="652" t="s">
        <v>98</v>
      </c>
      <c r="J114" s="653">
        <v>0</v>
      </c>
      <c r="K114" s="650" t="s">
        <v>96</v>
      </c>
      <c r="L114" s="650">
        <v>7297523.4000000004</v>
      </c>
      <c r="M114" s="654">
        <v>1</v>
      </c>
      <c r="N114" s="655">
        <f t="shared" si="15"/>
        <v>1.2620910621938648</v>
      </c>
      <c r="O114" s="656" t="str">
        <f t="shared" si="16"/>
        <v>(3,4,1,3,1,5); Brailovsky et al. (2024) from civil works A4A5</v>
      </c>
      <c r="Q114" s="216" t="s">
        <v>754</v>
      </c>
      <c r="R114" s="648">
        <v>3</v>
      </c>
      <c r="S114" s="648">
        <v>4</v>
      </c>
      <c r="T114" s="648">
        <v>1</v>
      </c>
      <c r="U114" s="648">
        <v>3</v>
      </c>
      <c r="V114" s="648">
        <v>1</v>
      </c>
      <c r="W114" s="648">
        <v>5</v>
      </c>
      <c r="X114" s="672">
        <v>6</v>
      </c>
      <c r="Y114" s="672">
        <v>1.05</v>
      </c>
      <c r="Z114" s="673">
        <f t="shared" si="17"/>
        <v>1.2555818742947564</v>
      </c>
      <c r="AA114" s="673">
        <f t="shared" si="18"/>
        <v>1.2620910621938648</v>
      </c>
      <c r="AB114" s="673" t="str">
        <f t="shared" si="19"/>
        <v>(3,4,1,3,1,5)</v>
      </c>
      <c r="AC114" s="677">
        <v>1.1000000000000001</v>
      </c>
      <c r="AD114" s="677">
        <v>1.1000000000000001</v>
      </c>
      <c r="AE114" s="677">
        <v>1</v>
      </c>
      <c r="AF114" s="677">
        <v>1.02</v>
      </c>
      <c r="AG114" s="677">
        <v>1</v>
      </c>
      <c r="AH114" s="677">
        <v>1.2</v>
      </c>
    </row>
    <row r="115" spans="1:34" ht="24" customHeight="1">
      <c r="A115" s="627">
        <v>255195</v>
      </c>
      <c r="B115" s="640"/>
      <c r="C115" s="644"/>
      <c r="D115" s="647">
        <v>5</v>
      </c>
      <c r="E115" s="648" t="s">
        <v>98</v>
      </c>
      <c r="F115" s="649" t="s">
        <v>755</v>
      </c>
      <c r="G115" s="650" t="s">
        <v>103</v>
      </c>
      <c r="H115" s="651" t="s">
        <v>98</v>
      </c>
      <c r="I115" s="652" t="s">
        <v>98</v>
      </c>
      <c r="J115" s="653">
        <v>0</v>
      </c>
      <c r="K115" s="650" t="s">
        <v>96</v>
      </c>
      <c r="L115" s="650">
        <v>665731.69999999995</v>
      </c>
      <c r="M115" s="654">
        <v>1</v>
      </c>
      <c r="N115" s="655">
        <f t="shared" si="15"/>
        <v>1.2620910621938648</v>
      </c>
      <c r="O115" s="656" t="str">
        <f t="shared" si="16"/>
        <v>(3,4,1,3,1,5); Brailovsky et al. (2024) from earthworks</v>
      </c>
      <c r="Q115" s="216" t="s">
        <v>756</v>
      </c>
      <c r="R115" s="648">
        <v>3</v>
      </c>
      <c r="S115" s="648">
        <v>4</v>
      </c>
      <c r="T115" s="648">
        <v>1</v>
      </c>
      <c r="U115" s="648">
        <v>3</v>
      </c>
      <c r="V115" s="648">
        <v>1</v>
      </c>
      <c r="W115" s="648">
        <v>5</v>
      </c>
      <c r="X115" s="672">
        <v>6</v>
      </c>
      <c r="Y115" s="672">
        <v>1.05</v>
      </c>
      <c r="Z115" s="673">
        <f t="shared" si="17"/>
        <v>1.2555818742947564</v>
      </c>
      <c r="AA115" s="673">
        <f t="shared" si="18"/>
        <v>1.2620910621938648</v>
      </c>
      <c r="AB115" s="673" t="str">
        <f t="shared" si="19"/>
        <v>(3,4,1,3,1,5)</v>
      </c>
      <c r="AC115" s="677">
        <v>1.1000000000000001</v>
      </c>
      <c r="AD115" s="677">
        <v>1.1000000000000001</v>
      </c>
      <c r="AE115" s="677">
        <v>1</v>
      </c>
      <c r="AF115" s="677">
        <v>1.02</v>
      </c>
      <c r="AG115" s="677">
        <v>1</v>
      </c>
      <c r="AH115" s="677">
        <v>1.2</v>
      </c>
    </row>
    <row r="116" spans="1:34" ht="24" customHeight="1">
      <c r="A116" s="627">
        <v>268265</v>
      </c>
      <c r="B116" s="640"/>
      <c r="C116" s="644"/>
      <c r="D116" s="647">
        <v>5</v>
      </c>
      <c r="E116" s="648" t="s">
        <v>98</v>
      </c>
      <c r="F116" s="649" t="s">
        <v>757</v>
      </c>
      <c r="G116" s="650" t="s">
        <v>103</v>
      </c>
      <c r="H116" s="651" t="s">
        <v>98</v>
      </c>
      <c r="I116" s="652" t="s">
        <v>98</v>
      </c>
      <c r="J116" s="653">
        <v>0</v>
      </c>
      <c r="K116" s="650" t="s">
        <v>96</v>
      </c>
      <c r="L116" s="650">
        <v>1167600</v>
      </c>
      <c r="M116" s="654">
        <v>1</v>
      </c>
      <c r="N116" s="655">
        <f t="shared" si="15"/>
        <v>1.2620910621938648</v>
      </c>
      <c r="O116" s="656" t="str">
        <f t="shared" si="16"/>
        <v>(3,4,1,3,1,5); Brailovsky et al. (2024) from insitu concrete A1-A3</v>
      </c>
      <c r="Q116" s="216" t="s">
        <v>758</v>
      </c>
      <c r="R116" s="648">
        <v>3</v>
      </c>
      <c r="S116" s="648">
        <v>4</v>
      </c>
      <c r="T116" s="648">
        <v>1</v>
      </c>
      <c r="U116" s="648">
        <v>3</v>
      </c>
      <c r="V116" s="648">
        <v>1</v>
      </c>
      <c r="W116" s="648">
        <v>5</v>
      </c>
      <c r="X116" s="672">
        <v>6</v>
      </c>
      <c r="Y116" s="672">
        <v>1.05</v>
      </c>
      <c r="Z116" s="673">
        <f t="shared" si="17"/>
        <v>1.2555818742947564</v>
      </c>
      <c r="AA116" s="673">
        <f t="shared" si="18"/>
        <v>1.2620910621938648</v>
      </c>
      <c r="AB116" s="673" t="str">
        <f t="shared" si="19"/>
        <v>(3,4,1,3,1,5)</v>
      </c>
      <c r="AC116" s="677">
        <v>1.1000000000000001</v>
      </c>
      <c r="AD116" s="677">
        <v>1.1000000000000001</v>
      </c>
      <c r="AE116" s="677">
        <v>1</v>
      </c>
      <c r="AF116" s="677">
        <v>1.02</v>
      </c>
      <c r="AG116" s="677">
        <v>1</v>
      </c>
      <c r="AH116" s="677">
        <v>1.2</v>
      </c>
    </row>
    <row r="117" spans="1:34" ht="24" customHeight="1">
      <c r="A117" s="627">
        <v>264229</v>
      </c>
      <c r="B117" s="640"/>
      <c r="C117" s="644"/>
      <c r="D117" s="647">
        <v>5</v>
      </c>
      <c r="E117" s="648" t="s">
        <v>98</v>
      </c>
      <c r="F117" s="649" t="s">
        <v>759</v>
      </c>
      <c r="G117" s="650" t="s">
        <v>103</v>
      </c>
      <c r="H117" s="651" t="s">
        <v>98</v>
      </c>
      <c r="I117" s="652" t="s">
        <v>98</v>
      </c>
      <c r="J117" s="653">
        <v>0</v>
      </c>
      <c r="K117" s="650" t="s">
        <v>96</v>
      </c>
      <c r="L117" s="650">
        <v>60736648</v>
      </c>
      <c r="M117" s="654">
        <v>1</v>
      </c>
      <c r="N117" s="655">
        <f t="shared" si="15"/>
        <v>1.2620910621938648</v>
      </c>
      <c r="O117" s="656" t="str">
        <f t="shared" si="16"/>
        <v>(3,4,1,3,1,5); Brailovsky et al. (2024) from insitu concrete A1-A3</v>
      </c>
      <c r="Q117" s="216" t="s">
        <v>758</v>
      </c>
      <c r="R117" s="648">
        <v>3</v>
      </c>
      <c r="S117" s="648">
        <v>4</v>
      </c>
      <c r="T117" s="648">
        <v>1</v>
      </c>
      <c r="U117" s="648">
        <v>3</v>
      </c>
      <c r="V117" s="648">
        <v>1</v>
      </c>
      <c r="W117" s="648">
        <v>5</v>
      </c>
      <c r="X117" s="672">
        <v>6</v>
      </c>
      <c r="Y117" s="672">
        <v>1.05</v>
      </c>
      <c r="Z117" s="673">
        <f t="shared" si="17"/>
        <v>1.2555818742947564</v>
      </c>
      <c r="AA117" s="673">
        <f t="shared" si="18"/>
        <v>1.2620910621938648</v>
      </c>
      <c r="AB117" s="673" t="str">
        <f t="shared" si="19"/>
        <v>(3,4,1,3,1,5)</v>
      </c>
      <c r="AC117" s="677">
        <v>1.1000000000000001</v>
      </c>
      <c r="AD117" s="677">
        <v>1.1000000000000001</v>
      </c>
      <c r="AE117" s="677">
        <v>1</v>
      </c>
      <c r="AF117" s="677">
        <v>1.02</v>
      </c>
      <c r="AG117" s="677">
        <v>1</v>
      </c>
      <c r="AH117" s="677">
        <v>1.2</v>
      </c>
    </row>
    <row r="118" spans="1:34">
      <c r="A118" s="627">
        <v>263293</v>
      </c>
      <c r="B118" s="640"/>
      <c r="C118" s="644"/>
      <c r="D118" s="647">
        <v>5</v>
      </c>
      <c r="E118" s="648" t="s">
        <v>98</v>
      </c>
      <c r="F118" s="649" t="s">
        <v>760</v>
      </c>
      <c r="G118" s="650" t="s">
        <v>103</v>
      </c>
      <c r="H118" s="651" t="s">
        <v>98</v>
      </c>
      <c r="I118" s="652" t="s">
        <v>98</v>
      </c>
      <c r="J118" s="653">
        <v>0</v>
      </c>
      <c r="K118" s="650" t="s">
        <v>96</v>
      </c>
      <c r="L118" s="650">
        <v>122400</v>
      </c>
      <c r="M118" s="654">
        <v>1</v>
      </c>
      <c r="N118" s="655">
        <f t="shared" si="15"/>
        <v>1.2620910621938648</v>
      </c>
      <c r="O118" s="656" t="str">
        <f t="shared" si="16"/>
        <v>(3,4,1,3,1,5); Brailovsky et al. (2024) from Masonry A1-A3</v>
      </c>
      <c r="Q118" s="216" t="s">
        <v>761</v>
      </c>
      <c r="R118" s="648">
        <v>3</v>
      </c>
      <c r="S118" s="648">
        <v>4</v>
      </c>
      <c r="T118" s="648">
        <v>1</v>
      </c>
      <c r="U118" s="648">
        <v>3</v>
      </c>
      <c r="V118" s="648">
        <v>1</v>
      </c>
      <c r="W118" s="648">
        <v>5</v>
      </c>
      <c r="X118" s="672">
        <v>6</v>
      </c>
      <c r="Y118" s="672">
        <v>1.05</v>
      </c>
      <c r="Z118" s="673">
        <f t="shared" si="17"/>
        <v>1.2555818742947564</v>
      </c>
      <c r="AA118" s="673">
        <f t="shared" si="18"/>
        <v>1.2620910621938648</v>
      </c>
      <c r="AB118" s="673" t="str">
        <f t="shared" si="19"/>
        <v>(3,4,1,3,1,5)</v>
      </c>
      <c r="AC118" s="677">
        <v>1.1000000000000001</v>
      </c>
      <c r="AD118" s="677">
        <v>1.1000000000000001</v>
      </c>
      <c r="AE118" s="677">
        <v>1</v>
      </c>
      <c r="AF118" s="677">
        <v>1.02</v>
      </c>
      <c r="AG118" s="677">
        <v>1</v>
      </c>
      <c r="AH118" s="677">
        <v>1.2</v>
      </c>
    </row>
    <row r="119" spans="1:34" ht="24">
      <c r="A119" s="627">
        <v>113599</v>
      </c>
      <c r="B119" s="642" t="s">
        <v>762</v>
      </c>
      <c r="C119" s="644"/>
      <c r="D119" s="647">
        <v>4</v>
      </c>
      <c r="E119" s="648" t="s">
        <v>98</v>
      </c>
      <c r="F119" s="649" t="s">
        <v>763</v>
      </c>
      <c r="G119" s="650" t="s">
        <v>98</v>
      </c>
      <c r="H119" s="651" t="s">
        <v>218</v>
      </c>
      <c r="I119" s="652" t="s">
        <v>764</v>
      </c>
      <c r="J119" s="653" t="s">
        <v>98</v>
      </c>
      <c r="K119" s="650" t="s">
        <v>725</v>
      </c>
      <c r="L119" s="650">
        <v>758160</v>
      </c>
      <c r="M119" s="654">
        <v>1</v>
      </c>
      <c r="N119" s="655">
        <f t="shared" si="15"/>
        <v>1.5919770563893134</v>
      </c>
      <c r="O119" s="656" t="str">
        <f t="shared" si="16"/>
        <v>(3,4,1,3,1,5); Brailovsky et al. (2024)</v>
      </c>
      <c r="Q119" s="216" t="s">
        <v>673</v>
      </c>
      <c r="R119" s="648">
        <v>3</v>
      </c>
      <c r="S119" s="648">
        <v>4</v>
      </c>
      <c r="T119" s="648">
        <v>1</v>
      </c>
      <c r="U119" s="648">
        <v>3</v>
      </c>
      <c r="V119" s="648">
        <v>1</v>
      </c>
      <c r="W119" s="648">
        <v>5</v>
      </c>
      <c r="X119" s="672">
        <v>7</v>
      </c>
      <c r="Y119" s="672">
        <v>1.5</v>
      </c>
      <c r="Z119" s="673">
        <f t="shared" si="17"/>
        <v>1.2555818742947564</v>
      </c>
      <c r="AA119" s="673">
        <f t="shared" si="18"/>
        <v>1.5919770563893134</v>
      </c>
      <c r="AB119" s="673" t="str">
        <f t="shared" si="19"/>
        <v>(3,4,1,3,1,5)</v>
      </c>
      <c r="AC119" s="677">
        <v>1.1000000000000001</v>
      </c>
      <c r="AD119" s="677">
        <v>1.1000000000000001</v>
      </c>
      <c r="AE119" s="677">
        <v>1</v>
      </c>
      <c r="AF119" s="677">
        <v>1.02</v>
      </c>
      <c r="AG119" s="677">
        <v>1</v>
      </c>
      <c r="AH119" s="677">
        <v>1.2</v>
      </c>
    </row>
    <row r="120" spans="1:34">
      <c r="A120" s="627">
        <v>131267</v>
      </c>
      <c r="B120" s="642"/>
      <c r="C120" s="645"/>
      <c r="D120" s="658">
        <v>4</v>
      </c>
      <c r="E120" s="659" t="s">
        <v>98</v>
      </c>
      <c r="F120" s="649" t="s">
        <v>765</v>
      </c>
      <c r="G120" s="650" t="s">
        <v>98</v>
      </c>
      <c r="H120" s="651" t="s">
        <v>218</v>
      </c>
      <c r="I120" s="652" t="s">
        <v>764</v>
      </c>
      <c r="J120" s="653" t="s">
        <v>98</v>
      </c>
      <c r="K120" s="650" t="s">
        <v>725</v>
      </c>
      <c r="L120" s="650">
        <v>1463318.6</v>
      </c>
      <c r="M120" s="654">
        <v>1</v>
      </c>
      <c r="N120" s="655">
        <f t="shared" si="15"/>
        <v>1.5919770563893134</v>
      </c>
      <c r="O120" s="656" t="str">
        <f t="shared" si="16"/>
        <v>(3,4,1,3,1,5); Brailovsky et al. (2024)</v>
      </c>
      <c r="Q120" s="216" t="s">
        <v>673</v>
      </c>
      <c r="R120" s="648">
        <v>3</v>
      </c>
      <c r="S120" s="648">
        <v>4</v>
      </c>
      <c r="T120" s="648">
        <v>1</v>
      </c>
      <c r="U120" s="648">
        <v>3</v>
      </c>
      <c r="V120" s="648">
        <v>1</v>
      </c>
      <c r="W120" s="648">
        <v>5</v>
      </c>
      <c r="X120" s="672">
        <v>7</v>
      </c>
      <c r="Y120" s="672">
        <v>1.5</v>
      </c>
      <c r="Z120" s="673">
        <f t="shared" si="17"/>
        <v>1.2555818742947564</v>
      </c>
      <c r="AA120" s="673">
        <f t="shared" si="18"/>
        <v>1.5919770563893134</v>
      </c>
      <c r="AB120" s="673" t="str">
        <f t="shared" si="19"/>
        <v>(3,4,1,3,1,5)</v>
      </c>
      <c r="AC120" s="677">
        <v>1.1000000000000001</v>
      </c>
      <c r="AD120" s="677">
        <v>1.1000000000000001</v>
      </c>
      <c r="AE120" s="677">
        <v>1</v>
      </c>
      <c r="AF120" s="677">
        <v>1.02</v>
      </c>
      <c r="AG120" s="677">
        <v>1</v>
      </c>
      <c r="AH120" s="677">
        <v>1.2</v>
      </c>
    </row>
    <row r="121" spans="1:34">
      <c r="A121" s="627">
        <v>113531</v>
      </c>
      <c r="B121" s="642"/>
      <c r="C121" s="645"/>
      <c r="D121" s="658">
        <v>4</v>
      </c>
      <c r="E121" s="659" t="s">
        <v>98</v>
      </c>
      <c r="F121" s="649" t="s">
        <v>766</v>
      </c>
      <c r="G121" s="650" t="s">
        <v>98</v>
      </c>
      <c r="H121" s="651" t="s">
        <v>218</v>
      </c>
      <c r="I121" s="652" t="s">
        <v>764</v>
      </c>
      <c r="J121" s="653" t="s">
        <v>98</v>
      </c>
      <c r="K121" s="650" t="s">
        <v>725</v>
      </c>
      <c r="L121" s="650">
        <v>630052.5</v>
      </c>
      <c r="M121" s="654">
        <v>1</v>
      </c>
      <c r="N121" s="655">
        <f t="shared" si="15"/>
        <v>1.5919770563893134</v>
      </c>
      <c r="O121" s="656" t="str">
        <f t="shared" si="16"/>
        <v>(3,4,1,3,1,5); Brailovsky et al. (2024) iso urban, green area</v>
      </c>
      <c r="Q121" s="216" t="s">
        <v>767</v>
      </c>
      <c r="R121" s="648">
        <v>3</v>
      </c>
      <c r="S121" s="648">
        <v>4</v>
      </c>
      <c r="T121" s="648">
        <v>1</v>
      </c>
      <c r="U121" s="648">
        <v>3</v>
      </c>
      <c r="V121" s="648">
        <v>1</v>
      </c>
      <c r="W121" s="648">
        <v>5</v>
      </c>
      <c r="X121" s="672">
        <v>7</v>
      </c>
      <c r="Y121" s="672">
        <v>1.5</v>
      </c>
      <c r="Z121" s="673">
        <f t="shared" si="17"/>
        <v>1.2555818742947564</v>
      </c>
      <c r="AA121" s="673">
        <f t="shared" si="18"/>
        <v>1.5919770563893134</v>
      </c>
      <c r="AB121" s="673" t="str">
        <f t="shared" si="19"/>
        <v>(3,4,1,3,1,5)</v>
      </c>
      <c r="AC121" s="677">
        <v>1.1000000000000001</v>
      </c>
      <c r="AD121" s="677">
        <v>1.1000000000000001</v>
      </c>
      <c r="AE121" s="677">
        <v>1</v>
      </c>
      <c r="AF121" s="677">
        <v>1.02</v>
      </c>
      <c r="AG121" s="677">
        <v>1</v>
      </c>
      <c r="AH121" s="677">
        <v>1.2</v>
      </c>
    </row>
    <row r="122" spans="1:34" ht="24" customHeight="1">
      <c r="A122" s="627">
        <v>1381</v>
      </c>
      <c r="B122" s="634"/>
      <c r="C122" s="644"/>
      <c r="D122" s="647">
        <v>4</v>
      </c>
      <c r="E122" s="648" t="s">
        <v>98</v>
      </c>
      <c r="F122" s="649" t="s">
        <v>768</v>
      </c>
      <c r="G122" s="650" t="s">
        <v>98</v>
      </c>
      <c r="H122" s="651" t="s">
        <v>218</v>
      </c>
      <c r="I122" s="652" t="s">
        <v>764</v>
      </c>
      <c r="J122" s="653" t="s">
        <v>98</v>
      </c>
      <c r="K122" s="650" t="s">
        <v>679</v>
      </c>
      <c r="L122" s="650">
        <v>95067.5</v>
      </c>
      <c r="M122" s="654">
        <v>1</v>
      </c>
      <c r="N122" s="655">
        <f t="shared" si="15"/>
        <v>1.3385948990307144</v>
      </c>
      <c r="O122" s="656" t="str">
        <f t="shared" si="16"/>
        <v>(3,4,1,3,1,5); Brailovsky et al. (2024) iso from grassland, natural (non-use)</v>
      </c>
      <c r="Q122" s="216" t="s">
        <v>769</v>
      </c>
      <c r="R122" s="648">
        <v>3</v>
      </c>
      <c r="S122" s="648">
        <v>4</v>
      </c>
      <c r="T122" s="648">
        <v>1</v>
      </c>
      <c r="U122" s="648">
        <v>3</v>
      </c>
      <c r="V122" s="648">
        <v>1</v>
      </c>
      <c r="W122" s="648">
        <v>5</v>
      </c>
      <c r="X122" s="672">
        <v>47</v>
      </c>
      <c r="Y122" s="672">
        <v>1.2</v>
      </c>
      <c r="Z122" s="673">
        <f t="shared" si="17"/>
        <v>1.2555818742947564</v>
      </c>
      <c r="AA122" s="673">
        <f t="shared" si="18"/>
        <v>1.3385948990307144</v>
      </c>
      <c r="AB122" s="673" t="str">
        <f t="shared" si="19"/>
        <v>(3,4,1,3,1,5)</v>
      </c>
      <c r="AC122" s="677">
        <v>1.1000000000000001</v>
      </c>
      <c r="AD122" s="677">
        <v>1.1000000000000001</v>
      </c>
      <c r="AE122" s="677">
        <v>1</v>
      </c>
      <c r="AF122" s="677">
        <v>1.02</v>
      </c>
      <c r="AG122" s="677">
        <v>1</v>
      </c>
      <c r="AH122" s="677">
        <v>1.2</v>
      </c>
    </row>
    <row r="123" spans="1:34">
      <c r="A123" s="627">
        <v>20910</v>
      </c>
      <c r="B123" s="634"/>
      <c r="C123" s="644"/>
      <c r="D123" s="647">
        <v>4</v>
      </c>
      <c r="E123" s="648" t="s">
        <v>98</v>
      </c>
      <c r="F123" s="649" t="s">
        <v>770</v>
      </c>
      <c r="G123" s="650" t="s">
        <v>98</v>
      </c>
      <c r="H123" s="651" t="s">
        <v>218</v>
      </c>
      <c r="I123" s="652" t="s">
        <v>764</v>
      </c>
      <c r="J123" s="653" t="s">
        <v>98</v>
      </c>
      <c r="K123" s="650" t="s">
        <v>679</v>
      </c>
      <c r="L123" s="650">
        <v>25272</v>
      </c>
      <c r="M123" s="654">
        <v>1</v>
      </c>
      <c r="N123" s="655">
        <f t="shared" si="15"/>
        <v>2.0741629046031922</v>
      </c>
      <c r="O123" s="656" t="str">
        <f t="shared" si="16"/>
        <v>(3,4,1,3,1,5); Brailovsky et al. (2024)</v>
      </c>
      <c r="Q123" s="216" t="s">
        <v>673</v>
      </c>
      <c r="R123" s="648">
        <v>3</v>
      </c>
      <c r="S123" s="648">
        <v>4</v>
      </c>
      <c r="T123" s="648">
        <v>1</v>
      </c>
      <c r="U123" s="648">
        <v>3</v>
      </c>
      <c r="V123" s="648">
        <v>1</v>
      </c>
      <c r="W123" s="648">
        <v>5</v>
      </c>
      <c r="X123" s="672">
        <v>8</v>
      </c>
      <c r="Y123" s="672">
        <v>2</v>
      </c>
      <c r="Z123" s="673">
        <f t="shared" si="17"/>
        <v>1.2555818742947564</v>
      </c>
      <c r="AA123" s="673">
        <f t="shared" si="18"/>
        <v>2.0741629046031922</v>
      </c>
      <c r="AB123" s="673" t="str">
        <f t="shared" si="19"/>
        <v>(3,4,1,3,1,5)</v>
      </c>
      <c r="AC123" s="677">
        <v>1.1000000000000001</v>
      </c>
      <c r="AD123" s="677">
        <v>1.1000000000000001</v>
      </c>
      <c r="AE123" s="677">
        <v>1</v>
      </c>
      <c r="AF123" s="677">
        <v>1.02</v>
      </c>
      <c r="AG123" s="677">
        <v>1</v>
      </c>
      <c r="AH123" s="677">
        <v>1.2</v>
      </c>
    </row>
    <row r="124" spans="1:34">
      <c r="A124" s="627">
        <v>21292</v>
      </c>
      <c r="B124" s="634"/>
      <c r="C124" s="644"/>
      <c r="D124" s="647">
        <v>4</v>
      </c>
      <c r="E124" s="648" t="s">
        <v>98</v>
      </c>
      <c r="F124" s="649" t="s">
        <v>771</v>
      </c>
      <c r="G124" s="650" t="s">
        <v>98</v>
      </c>
      <c r="H124" s="651" t="s">
        <v>218</v>
      </c>
      <c r="I124" s="652" t="s">
        <v>764</v>
      </c>
      <c r="J124" s="653" t="s">
        <v>98</v>
      </c>
      <c r="K124" s="650" t="s">
        <v>679</v>
      </c>
      <c r="L124" s="650">
        <v>21001.8</v>
      </c>
      <c r="M124" s="654">
        <v>1</v>
      </c>
      <c r="N124" s="655">
        <f t="shared" si="15"/>
        <v>2.0741629046031922</v>
      </c>
      <c r="O124" s="656" t="str">
        <f t="shared" si="16"/>
        <v>(3,4,1,3,1,5); Brailovsky et al. (2024) iso to urban, green area</v>
      </c>
      <c r="Q124" s="216" t="s">
        <v>772</v>
      </c>
      <c r="R124" s="648">
        <v>3</v>
      </c>
      <c r="S124" s="648">
        <v>4</v>
      </c>
      <c r="T124" s="648">
        <v>1</v>
      </c>
      <c r="U124" s="648">
        <v>3</v>
      </c>
      <c r="V124" s="648">
        <v>1</v>
      </c>
      <c r="W124" s="648">
        <v>5</v>
      </c>
      <c r="X124" s="672">
        <v>8</v>
      </c>
      <c r="Y124" s="672">
        <v>2</v>
      </c>
      <c r="Z124" s="673">
        <f t="shared" si="17"/>
        <v>1.2555818742947564</v>
      </c>
      <c r="AA124" s="673">
        <f t="shared" si="18"/>
        <v>2.0741629046031922</v>
      </c>
      <c r="AB124" s="673" t="str">
        <f t="shared" si="19"/>
        <v>(3,4,1,3,1,5)</v>
      </c>
      <c r="AC124" s="677">
        <v>1.1000000000000001</v>
      </c>
      <c r="AD124" s="677">
        <v>1.1000000000000001</v>
      </c>
      <c r="AE124" s="677">
        <v>1</v>
      </c>
      <c r="AF124" s="677">
        <v>1.02</v>
      </c>
      <c r="AG124" s="677">
        <v>1</v>
      </c>
      <c r="AH124" s="677">
        <v>1.2</v>
      </c>
    </row>
    <row r="125" spans="1:34">
      <c r="A125" s="628">
        <v>22234</v>
      </c>
      <c r="B125" s="634"/>
      <c r="C125" s="644"/>
      <c r="D125" s="647">
        <v>4</v>
      </c>
      <c r="E125" s="648" t="s">
        <v>98</v>
      </c>
      <c r="F125" s="649" t="s">
        <v>773</v>
      </c>
      <c r="G125" s="650" t="s">
        <v>98</v>
      </c>
      <c r="H125" s="651" t="s">
        <v>218</v>
      </c>
      <c r="I125" s="652" t="s">
        <v>764</v>
      </c>
      <c r="J125" s="653" t="s">
        <v>98</v>
      </c>
      <c r="K125" s="650" t="s">
        <v>679</v>
      </c>
      <c r="L125" s="650">
        <v>48793.8</v>
      </c>
      <c r="M125" s="654">
        <v>1</v>
      </c>
      <c r="N125" s="655">
        <f t="shared" si="15"/>
        <v>2.0741629046031922</v>
      </c>
      <c r="O125" s="656" t="str">
        <f t="shared" si="16"/>
        <v>(3,4,1,3,1,5); Brailovsky et al. (2024)</v>
      </c>
      <c r="Q125" s="216" t="s">
        <v>673</v>
      </c>
      <c r="R125" s="648">
        <v>3</v>
      </c>
      <c r="S125" s="648">
        <v>4</v>
      </c>
      <c r="T125" s="648">
        <v>1</v>
      </c>
      <c r="U125" s="648">
        <v>3</v>
      </c>
      <c r="V125" s="648">
        <v>1</v>
      </c>
      <c r="W125" s="648">
        <v>5</v>
      </c>
      <c r="X125" s="672">
        <v>8</v>
      </c>
      <c r="Y125" s="672">
        <v>2</v>
      </c>
      <c r="Z125" s="673">
        <f t="shared" si="17"/>
        <v>1.2555818742947564</v>
      </c>
      <c r="AA125" s="673">
        <f t="shared" si="18"/>
        <v>2.0741629046031922</v>
      </c>
      <c r="AB125" s="673" t="str">
        <f t="shared" si="19"/>
        <v>(3,4,1,3,1,5)</v>
      </c>
      <c r="AC125" s="677">
        <v>1.1000000000000001</v>
      </c>
      <c r="AD125" s="677">
        <v>1.1000000000000001</v>
      </c>
      <c r="AE125" s="677">
        <v>1</v>
      </c>
      <c r="AF125" s="677">
        <v>1.02</v>
      </c>
      <c r="AG125" s="677">
        <v>1</v>
      </c>
      <c r="AH125" s="677">
        <v>1.2</v>
      </c>
    </row>
  </sheetData>
  <mergeCells count="1">
    <mergeCell ref="R1:W1"/>
  </mergeCells>
  <conditionalFormatting sqref="B7 B119:B121">
    <cfRule type="cellIs" dxfId="345" priority="17" stopIfTrue="1" operator="notEqual">
      <formula>""</formula>
    </cfRule>
  </conditionalFormatting>
  <conditionalFormatting sqref="D8:O125 Q8:W125">
    <cfRule type="expression" dxfId="344" priority="3">
      <formula>MOD(ROW(),2)=0</formula>
    </cfRule>
  </conditionalFormatting>
  <conditionalFormatting sqref="R8:W125">
    <cfRule type="cellIs" dxfId="343" priority="4" stopIfTrue="1" operator="notBetween">
      <formula>1</formula>
      <formula>5</formula>
    </cfRule>
  </conditionalFormatting>
  <conditionalFormatting sqref="X8:AH125">
    <cfRule type="expression" dxfId="342" priority="1">
      <formula>MOD(ROW(),2)=0</formula>
    </cfRule>
  </conditionalFormatting>
  <conditionalFormatting sqref="AC8:AH125">
    <cfRule type="cellIs" dxfId="341" priority="8" stopIfTrue="1" operator="equal">
      <formula>0</formula>
    </cfRule>
  </conditionalFormatting>
  <dataValidations count="1">
    <dataValidation allowBlank="1" showInputMessage="1" showErrorMessage="1" promptTitle="Do not change" prompt="This field is automatically updated from the names-list" sqref="X8:X125" xr:uid="{00000000-0002-0000-1400-000000000000}"/>
  </dataValidation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57">
    <tabColor rgb="FF9CD9F0"/>
  </sheetPr>
  <dimension ref="A1:AI113"/>
  <sheetViews>
    <sheetView showGridLines="0" workbookViewId="0">
      <selection activeCell="N105" sqref="J105:N111"/>
    </sheetView>
  </sheetViews>
  <sheetFormatPr baseColWidth="10" defaultColWidth="11.42578125" defaultRowHeight="12.75" outlineLevelCol="1"/>
  <cols>
    <col min="1" max="1" width="9.42578125" style="401" customWidth="1"/>
    <col min="2" max="2" width="12.28515625" style="309" customWidth="1"/>
    <col min="3" max="3" width="5.85546875" style="310" hidden="1" customWidth="1" outlineLevel="1"/>
    <col min="4" max="4" width="2.5703125" style="11" hidden="1" customWidth="1" outlineLevel="1"/>
    <col min="5" max="5" width="2.85546875" style="11" hidden="1" customWidth="1" outlineLevel="1"/>
    <col min="6" max="6" width="37.42578125" style="11" bestFit="1" customWidth="1" collapsed="1"/>
    <col min="7" max="7" width="5.28515625" style="11" customWidth="1"/>
    <col min="8" max="8" width="9.140625" style="11" hidden="1" customWidth="1" outlineLevel="1"/>
    <col min="9" max="9" width="5" style="11" hidden="1" customWidth="1" outlineLevel="1"/>
    <col min="10" max="10" width="6" style="11" bestFit="1" customWidth="1" collapsed="1"/>
    <col min="11" max="11" width="5.140625" style="11" customWidth="1"/>
    <col min="12" max="12" width="11.42578125" style="11" customWidth="1"/>
    <col min="13" max="14" width="5" style="20" customWidth="1" outlineLevel="1"/>
    <col min="15" max="15" width="51.140625" style="20" customWidth="1" outlineLevel="1"/>
    <col min="16" max="16" width="4.28515625" style="401" customWidth="1"/>
    <col min="17" max="17" width="40.28515625" style="9" customWidth="1"/>
    <col min="18" max="18" width="4" style="396" hidden="1" customWidth="1" outlineLevel="1"/>
    <col min="19" max="19" width="6.28515625" style="396" hidden="1" customWidth="1" outlineLevel="1"/>
    <col min="20" max="20" width="5.85546875" style="396" hidden="1" customWidth="1" outlineLevel="1"/>
    <col min="21" max="21" width="4.7109375" style="396" hidden="1" customWidth="1" outlineLevel="1"/>
    <col min="22" max="22" width="5.28515625" style="396" hidden="1" customWidth="1" outlineLevel="1"/>
    <col min="23" max="23" width="5.85546875" style="396" hidden="1" customWidth="1" outlineLevel="1"/>
    <col min="24" max="25" width="6.85546875" style="396" hidden="1" customWidth="1" outlineLevel="1"/>
    <col min="26" max="26" width="8.28515625" style="396" hidden="1" customWidth="1" outlineLevel="1"/>
    <col min="27" max="27" width="9.140625" style="396" hidden="1" customWidth="1" outlineLevel="1"/>
    <col min="28" max="28" width="12.140625" style="396" hidden="1" customWidth="1" outlineLevel="1"/>
    <col min="29" max="31" width="5.42578125" style="401" hidden="1" customWidth="1" outlineLevel="1"/>
    <col min="32" max="32" width="5.85546875" style="401" hidden="1" customWidth="1" outlineLevel="1"/>
    <col min="33" max="33" width="5.42578125" style="401" hidden="1" customWidth="1" outlineLevel="1"/>
    <col min="34" max="34" width="5.28515625" style="401" hidden="1" customWidth="1" outlineLevel="1"/>
    <col min="35" max="35" width="11.42578125" style="401" customWidth="1" collapsed="1"/>
    <col min="36" max="36" width="11.42578125" style="401" customWidth="1"/>
    <col min="37" max="16384" width="11.42578125" style="401"/>
  </cols>
  <sheetData>
    <row r="1" spans="1:34" ht="24">
      <c r="A1" s="1259"/>
      <c r="B1" s="1260"/>
      <c r="C1" s="1261"/>
      <c r="D1" s="1288"/>
      <c r="E1" s="1288"/>
      <c r="F1" s="1289" t="s">
        <v>65</v>
      </c>
      <c r="G1" s="1288"/>
      <c r="H1" s="1288"/>
      <c r="I1" s="1288"/>
      <c r="J1" s="1288"/>
      <c r="K1" s="1288"/>
      <c r="L1" s="1303" t="s">
        <v>774</v>
      </c>
      <c r="M1" s="1290"/>
      <c r="N1" s="1290"/>
      <c r="O1" s="1290"/>
      <c r="P1" s="968"/>
      <c r="Q1" s="303" t="s">
        <v>775</v>
      </c>
      <c r="R1" s="1589"/>
      <c r="S1" s="1590"/>
      <c r="T1" s="1590"/>
      <c r="U1" s="1590"/>
      <c r="V1" s="1590"/>
      <c r="W1" s="1590"/>
    </row>
    <row r="2" spans="1:34" ht="38.25" customHeight="1">
      <c r="A2" s="1259"/>
      <c r="B2" s="1262"/>
      <c r="C2" s="1261" t="s">
        <v>67</v>
      </c>
      <c r="D2" s="1264">
        <v>3503</v>
      </c>
      <c r="E2" s="1264">
        <v>3504</v>
      </c>
      <c r="F2" s="1264">
        <v>3702</v>
      </c>
      <c r="G2" s="1264">
        <v>3703</v>
      </c>
      <c r="H2" s="1264">
        <v>3506</v>
      </c>
      <c r="I2" s="1264">
        <v>3507</v>
      </c>
      <c r="J2" s="1264">
        <v>3508</v>
      </c>
      <c r="K2" s="1264">
        <v>3706</v>
      </c>
      <c r="L2" s="1264">
        <v>3707</v>
      </c>
      <c r="M2" s="1265">
        <v>3708</v>
      </c>
      <c r="N2" s="1265">
        <v>3709</v>
      </c>
      <c r="O2" s="1266">
        <v>3792</v>
      </c>
      <c r="P2" s="968"/>
      <c r="Q2" s="682" t="s">
        <v>81</v>
      </c>
      <c r="R2" s="300" t="s">
        <v>82</v>
      </c>
      <c r="S2" s="300" t="s">
        <v>83</v>
      </c>
      <c r="T2" s="300" t="s">
        <v>84</v>
      </c>
      <c r="U2" s="300" t="s">
        <v>85</v>
      </c>
      <c r="V2" s="300" t="s">
        <v>86</v>
      </c>
      <c r="W2" s="300" t="s">
        <v>87</v>
      </c>
      <c r="X2" s="241" t="s">
        <v>88</v>
      </c>
      <c r="Y2" s="241" t="s">
        <v>89</v>
      </c>
      <c r="Z2" s="242" t="s">
        <v>90</v>
      </c>
      <c r="AA2" s="242" t="s">
        <v>91</v>
      </c>
      <c r="AB2" s="243" t="s">
        <v>92</v>
      </c>
      <c r="AC2" s="24" t="s">
        <v>82</v>
      </c>
      <c r="AD2" s="24" t="s">
        <v>83</v>
      </c>
      <c r="AE2" s="24" t="s">
        <v>84</v>
      </c>
      <c r="AF2" s="24" t="s">
        <v>85</v>
      </c>
      <c r="AG2" s="24" t="s">
        <v>86</v>
      </c>
      <c r="AH2" s="24" t="s">
        <v>87</v>
      </c>
    </row>
    <row r="3" spans="1:34" ht="101.25" customHeight="1">
      <c r="A3" s="1302" t="s">
        <v>68</v>
      </c>
      <c r="B3" s="1263"/>
      <c r="C3" s="1261">
        <v>401</v>
      </c>
      <c r="D3" s="1267" t="s">
        <v>69</v>
      </c>
      <c r="E3" s="1267" t="s">
        <v>70</v>
      </c>
      <c r="F3" s="1268" t="s">
        <v>71</v>
      </c>
      <c r="G3" s="1269" t="s">
        <v>72</v>
      </c>
      <c r="H3" s="1269" t="s">
        <v>73</v>
      </c>
      <c r="I3" s="1269" t="s">
        <v>74</v>
      </c>
      <c r="J3" s="1269" t="s">
        <v>75</v>
      </c>
      <c r="K3" s="1269" t="s">
        <v>76</v>
      </c>
      <c r="L3" s="1274" t="s">
        <v>775</v>
      </c>
      <c r="M3" s="1270" t="s">
        <v>78</v>
      </c>
      <c r="N3" s="1270" t="s">
        <v>79</v>
      </c>
      <c r="O3" s="1271" t="s">
        <v>80</v>
      </c>
      <c r="P3" s="968"/>
      <c r="Q3" s="683"/>
      <c r="R3" s="25" t="s">
        <v>668</v>
      </c>
      <c r="S3" s="300"/>
      <c r="T3" s="300"/>
      <c r="U3" s="300"/>
      <c r="V3" s="300"/>
      <c r="W3" s="300"/>
      <c r="X3" s="26"/>
      <c r="Y3" s="26"/>
      <c r="Z3" s="242" t="s">
        <v>95</v>
      </c>
      <c r="AA3" s="242" t="s">
        <v>95</v>
      </c>
      <c r="AB3" s="400"/>
    </row>
    <row r="4" spans="1:34">
      <c r="A4" s="1259"/>
      <c r="B4" s="1263"/>
      <c r="C4" s="1261">
        <v>662</v>
      </c>
      <c r="D4" s="1268"/>
      <c r="E4" s="1268"/>
      <c r="F4" s="1268" t="s">
        <v>72</v>
      </c>
      <c r="G4" s="1268"/>
      <c r="H4" s="1268"/>
      <c r="I4" s="1268"/>
      <c r="J4" s="1268"/>
      <c r="K4" s="1268"/>
      <c r="L4" s="1274" t="s">
        <v>340</v>
      </c>
      <c r="M4" s="1272"/>
      <c r="N4" s="1272"/>
      <c r="O4" s="1273"/>
      <c r="P4" s="968"/>
      <c r="Q4" s="683"/>
      <c r="R4" s="27" t="s">
        <v>94</v>
      </c>
      <c r="Z4" s="28"/>
      <c r="AA4" s="28"/>
      <c r="AB4" s="28"/>
    </row>
    <row r="5" spans="1:34">
      <c r="A5" s="1259"/>
      <c r="B5" s="1263"/>
      <c r="C5" s="1261">
        <v>493</v>
      </c>
      <c r="D5" s="1268"/>
      <c r="E5" s="1268"/>
      <c r="F5" s="1268" t="s">
        <v>75</v>
      </c>
      <c r="G5" s="1268"/>
      <c r="H5" s="1268"/>
      <c r="I5" s="1268"/>
      <c r="J5" s="1268"/>
      <c r="K5" s="1268"/>
      <c r="L5" s="1274">
        <v>1</v>
      </c>
      <c r="M5" s="1272"/>
      <c r="N5" s="1272"/>
      <c r="O5" s="1273"/>
      <c r="P5" s="968"/>
      <c r="Q5" s="684"/>
    </row>
    <row r="6" spans="1:34" ht="13.5" customHeight="1">
      <c r="A6" s="1259"/>
      <c r="B6" s="1263"/>
      <c r="C6" s="1261">
        <v>403</v>
      </c>
      <c r="D6" s="1268"/>
      <c r="E6" s="1268"/>
      <c r="F6" s="1268" t="s">
        <v>76</v>
      </c>
      <c r="G6" s="1268"/>
      <c r="H6" s="1268"/>
      <c r="I6" s="1268"/>
      <c r="J6" s="1268"/>
      <c r="K6" s="1268"/>
      <c r="L6" s="1274" t="s">
        <v>144</v>
      </c>
      <c r="M6" s="1272"/>
      <c r="N6" s="1272"/>
      <c r="O6" s="1273"/>
      <c r="P6" s="968"/>
      <c r="Q6" s="684"/>
      <c r="R6" s="10"/>
      <c r="S6" s="10"/>
      <c r="T6" s="10"/>
      <c r="U6" s="10"/>
      <c r="V6" s="10"/>
      <c r="W6" s="10"/>
      <c r="Z6" s="450"/>
      <c r="AA6" s="450"/>
      <c r="AB6" s="244"/>
    </row>
    <row r="7" spans="1:34">
      <c r="A7" s="1275"/>
      <c r="B7" s="1276"/>
      <c r="C7" s="1277"/>
      <c r="D7" s="1301" t="s">
        <v>98</v>
      </c>
      <c r="E7" s="1280">
        <v>0</v>
      </c>
      <c r="F7" s="1281" t="s">
        <v>775</v>
      </c>
      <c r="G7" s="1282" t="s">
        <v>340</v>
      </c>
      <c r="H7" s="1283"/>
      <c r="I7" s="1283"/>
      <c r="J7" s="1284">
        <v>1</v>
      </c>
      <c r="K7" s="1282" t="s">
        <v>144</v>
      </c>
      <c r="L7" s="1282">
        <v>1</v>
      </c>
      <c r="M7" s="1285"/>
      <c r="N7" s="1286"/>
      <c r="O7" s="1287"/>
      <c r="P7" s="968"/>
      <c r="Q7" s="614"/>
      <c r="R7" s="21">
        <v>1</v>
      </c>
      <c r="S7" s="21">
        <v>1</v>
      </c>
      <c r="T7" s="21">
        <v>1</v>
      </c>
      <c r="U7" s="21">
        <v>1</v>
      </c>
      <c r="V7" s="21">
        <v>1</v>
      </c>
      <c r="W7" s="21">
        <v>1</v>
      </c>
      <c r="X7" s="21">
        <v>45</v>
      </c>
      <c r="Y7" s="6">
        <v>1</v>
      </c>
      <c r="Z7" s="245">
        <f t="shared" ref="Z7:Z38" si="0">EXP(SQRT((LN(AC7)^2)+(LN(AD7)^2)+(LN(AE7)^2)+(LN(AF7)^2)+(LN(AG7)^2)+(LN(AH7)^2)))</f>
        <v>1</v>
      </c>
      <c r="AA7" s="245">
        <f t="shared" ref="AA7:AA38" si="1">EXP(SQRT((LN(AC7)^2)+(LN(AD7)^2)+(LN(AE7)^2)+(LN(AF7)^2)+(LN(AG7)^2)+(LN(AH7)^2)+LN(Y7)^2))</f>
        <v>1</v>
      </c>
      <c r="AB7" s="246"/>
      <c r="AC7" s="30">
        <v>1</v>
      </c>
      <c r="AD7" s="30">
        <v>1</v>
      </c>
      <c r="AE7" s="30">
        <v>1</v>
      </c>
      <c r="AF7" s="30">
        <v>1</v>
      </c>
      <c r="AG7" s="30">
        <v>1</v>
      </c>
      <c r="AH7" s="30">
        <v>1</v>
      </c>
    </row>
    <row r="8" spans="1:34">
      <c r="A8" s="1246">
        <v>268743</v>
      </c>
      <c r="B8" s="1248" t="s">
        <v>671</v>
      </c>
      <c r="C8" s="1247"/>
      <c r="D8" s="1298">
        <v>5</v>
      </c>
      <c r="E8" s="1299" t="s">
        <v>98</v>
      </c>
      <c r="F8" s="1291" t="s">
        <v>672</v>
      </c>
      <c r="G8" s="1292" t="s">
        <v>103</v>
      </c>
      <c r="H8" s="1300" t="s">
        <v>98</v>
      </c>
      <c r="I8" s="1293" t="s">
        <v>98</v>
      </c>
      <c r="J8" s="1294">
        <v>0</v>
      </c>
      <c r="K8" s="1292" t="s">
        <v>96</v>
      </c>
      <c r="L8" s="1292">
        <v>24120402.081999999</v>
      </c>
      <c r="M8" s="1295">
        <v>1</v>
      </c>
      <c r="N8" s="1296">
        <v>1.2620910621938648</v>
      </c>
      <c r="O8" s="1297" t="s">
        <v>3169</v>
      </c>
      <c r="P8" s="968"/>
      <c r="Q8" s="615" t="s">
        <v>673</v>
      </c>
      <c r="R8" s="21">
        <v>3</v>
      </c>
      <c r="S8" s="21">
        <v>4</v>
      </c>
      <c r="T8" s="21">
        <v>1</v>
      </c>
      <c r="U8" s="21">
        <v>3</v>
      </c>
      <c r="V8" s="21">
        <v>1</v>
      </c>
      <c r="W8" s="21">
        <v>5</v>
      </c>
      <c r="X8" s="297">
        <v>3</v>
      </c>
      <c r="Y8" s="6">
        <v>1.05</v>
      </c>
      <c r="Z8" s="245">
        <f t="shared" si="0"/>
        <v>1.2555818742947564</v>
      </c>
      <c r="AA8" s="245">
        <f t="shared" si="1"/>
        <v>1.2620910621938648</v>
      </c>
      <c r="AB8" s="246" t="str">
        <f t="shared" ref="AB8:AB39" si="2">CONCATENATE("(",R8,",",S8,",",T8,",",U8,",",V8,",",W8,")")</f>
        <v>(3,4,1,3,1,5)</v>
      </c>
      <c r="AC8" s="30">
        <v>1.1000000000000001</v>
      </c>
      <c r="AD8" s="30">
        <v>1.1000000000000001</v>
      </c>
      <c r="AE8" s="30">
        <v>1</v>
      </c>
      <c r="AF8" s="30">
        <v>1.02</v>
      </c>
      <c r="AG8" s="30">
        <v>1</v>
      </c>
      <c r="AH8" s="30">
        <v>1.2</v>
      </c>
    </row>
    <row r="9" spans="1:34">
      <c r="A9" s="1246">
        <v>269089</v>
      </c>
      <c r="B9" s="1304" t="s">
        <v>674</v>
      </c>
      <c r="C9" s="1247"/>
      <c r="D9" s="1249">
        <v>5</v>
      </c>
      <c r="E9" s="1250" t="s">
        <v>98</v>
      </c>
      <c r="F9" s="1251" t="s">
        <v>675</v>
      </c>
      <c r="G9" s="1252" t="s">
        <v>93</v>
      </c>
      <c r="H9" s="1253" t="s">
        <v>98</v>
      </c>
      <c r="I9" s="1254" t="s">
        <v>98</v>
      </c>
      <c r="J9" s="1255">
        <v>0</v>
      </c>
      <c r="K9" s="1252" t="s">
        <v>96</v>
      </c>
      <c r="L9" s="1252">
        <v>126157.5</v>
      </c>
      <c r="M9" s="1256">
        <v>1</v>
      </c>
      <c r="N9" s="1257">
        <v>1.2620910621938648</v>
      </c>
      <c r="O9" s="1258" t="s">
        <v>3170</v>
      </c>
      <c r="P9" s="968"/>
      <c r="Q9" s="615" t="s">
        <v>676</v>
      </c>
      <c r="R9" s="21">
        <v>3</v>
      </c>
      <c r="S9" s="21">
        <v>4</v>
      </c>
      <c r="T9" s="21">
        <v>1</v>
      </c>
      <c r="U9" s="21">
        <v>3</v>
      </c>
      <c r="V9" s="21">
        <v>1</v>
      </c>
      <c r="W9" s="21">
        <v>5</v>
      </c>
      <c r="X9" s="297">
        <v>3</v>
      </c>
      <c r="Y9" s="6">
        <v>1.05</v>
      </c>
      <c r="Z9" s="245">
        <f t="shared" si="0"/>
        <v>1.2555818742947564</v>
      </c>
      <c r="AA9" s="245">
        <f t="shared" si="1"/>
        <v>1.2620910621938648</v>
      </c>
      <c r="AB9" s="246" t="str">
        <f t="shared" si="2"/>
        <v>(3,4,1,3,1,5)</v>
      </c>
      <c r="AC9" s="30">
        <v>1.1000000000000001</v>
      </c>
      <c r="AD9" s="30">
        <v>1.1000000000000001</v>
      </c>
      <c r="AE9" s="30">
        <v>1</v>
      </c>
      <c r="AF9" s="30">
        <v>1.02</v>
      </c>
      <c r="AG9" s="30">
        <v>1</v>
      </c>
      <c r="AH9" s="30">
        <v>1.2</v>
      </c>
    </row>
    <row r="10" spans="1:34" ht="24" customHeight="1">
      <c r="A10" s="1246">
        <v>263015</v>
      </c>
      <c r="B10" s="1276"/>
      <c r="C10" s="1247"/>
      <c r="D10" s="1298">
        <v>5</v>
      </c>
      <c r="E10" s="1299" t="s">
        <v>98</v>
      </c>
      <c r="F10" s="1291" t="s">
        <v>677</v>
      </c>
      <c r="G10" s="1292" t="s">
        <v>103</v>
      </c>
      <c r="H10" s="1300" t="s">
        <v>98</v>
      </c>
      <c r="I10" s="1293" t="s">
        <v>98</v>
      </c>
      <c r="J10" s="1294">
        <v>0</v>
      </c>
      <c r="K10" s="1292" t="s">
        <v>96</v>
      </c>
      <c r="L10" s="1292">
        <v>43535.4</v>
      </c>
      <c r="M10" s="1295">
        <v>1</v>
      </c>
      <c r="N10" s="1296">
        <v>1.2620910621938648</v>
      </c>
      <c r="O10" s="1297" t="s">
        <v>3169</v>
      </c>
      <c r="P10" s="968"/>
      <c r="Q10" s="614" t="s">
        <v>673</v>
      </c>
      <c r="R10" s="21">
        <v>3</v>
      </c>
      <c r="S10" s="21">
        <v>4</v>
      </c>
      <c r="T10" s="21">
        <v>1</v>
      </c>
      <c r="U10" s="21">
        <v>3</v>
      </c>
      <c r="V10" s="21">
        <v>1</v>
      </c>
      <c r="W10" s="21">
        <v>5</v>
      </c>
      <c r="X10" s="297">
        <v>3</v>
      </c>
      <c r="Y10" s="6">
        <v>1.05</v>
      </c>
      <c r="Z10" s="245">
        <f t="shared" si="0"/>
        <v>1.2555818742947564</v>
      </c>
      <c r="AA10" s="245">
        <f t="shared" si="1"/>
        <v>1.2620910621938648</v>
      </c>
      <c r="AB10" s="246" t="str">
        <f t="shared" si="2"/>
        <v>(3,4,1,3,1,5)</v>
      </c>
      <c r="AC10" s="30">
        <v>1.1000000000000001</v>
      </c>
      <c r="AD10" s="30">
        <v>1.1000000000000001</v>
      </c>
      <c r="AE10" s="30">
        <v>1</v>
      </c>
      <c r="AF10" s="30">
        <v>1.02</v>
      </c>
      <c r="AG10" s="30">
        <v>1</v>
      </c>
      <c r="AH10" s="30">
        <v>1.2</v>
      </c>
    </row>
    <row r="11" spans="1:34">
      <c r="A11" s="1246">
        <v>269423</v>
      </c>
      <c r="B11" s="1276"/>
      <c r="C11" s="1247"/>
      <c r="D11" s="1249">
        <v>5</v>
      </c>
      <c r="E11" s="1250" t="s">
        <v>98</v>
      </c>
      <c r="F11" s="1251" t="s">
        <v>681</v>
      </c>
      <c r="G11" s="1252" t="s">
        <v>93</v>
      </c>
      <c r="H11" s="1253" t="s">
        <v>98</v>
      </c>
      <c r="I11" s="1254" t="s">
        <v>98</v>
      </c>
      <c r="J11" s="1255">
        <v>0</v>
      </c>
      <c r="K11" s="1252" t="s">
        <v>96</v>
      </c>
      <c r="L11" s="1252">
        <v>126157.5</v>
      </c>
      <c r="M11" s="1256">
        <v>1</v>
      </c>
      <c r="N11" s="1257">
        <v>1.2620910621938648</v>
      </c>
      <c r="O11" s="1258" t="s">
        <v>3171</v>
      </c>
      <c r="P11" s="968"/>
      <c r="Q11" s="615" t="s">
        <v>680</v>
      </c>
      <c r="R11" s="21">
        <v>3</v>
      </c>
      <c r="S11" s="21">
        <v>4</v>
      </c>
      <c r="T11" s="21">
        <v>1</v>
      </c>
      <c r="U11" s="21">
        <v>3</v>
      </c>
      <c r="V11" s="21">
        <v>1</v>
      </c>
      <c r="W11" s="21">
        <v>5</v>
      </c>
      <c r="X11" s="297">
        <v>3</v>
      </c>
      <c r="Y11" s="6">
        <v>1.05</v>
      </c>
      <c r="Z11" s="245">
        <f t="shared" si="0"/>
        <v>1.2555818742947564</v>
      </c>
      <c r="AA11" s="245">
        <f t="shared" si="1"/>
        <v>1.2620910621938648</v>
      </c>
      <c r="AB11" s="246" t="str">
        <f t="shared" si="2"/>
        <v>(3,4,1,3,1,5)</v>
      </c>
      <c r="AC11" s="30">
        <v>1.1000000000000001</v>
      </c>
      <c r="AD11" s="30">
        <v>1.1000000000000001</v>
      </c>
      <c r="AE11" s="30">
        <v>1</v>
      </c>
      <c r="AF11" s="30">
        <v>1.02</v>
      </c>
      <c r="AG11" s="30">
        <v>1</v>
      </c>
      <c r="AH11" s="30">
        <v>1.2</v>
      </c>
    </row>
    <row r="12" spans="1:34" ht="36" customHeight="1">
      <c r="A12" s="1246">
        <v>256002</v>
      </c>
      <c r="B12" s="1248" t="s">
        <v>684</v>
      </c>
      <c r="C12" s="1247"/>
      <c r="D12" s="1298">
        <v>5</v>
      </c>
      <c r="E12" s="1299" t="s">
        <v>98</v>
      </c>
      <c r="F12" s="1291" t="s">
        <v>685</v>
      </c>
      <c r="G12" s="1292" t="s">
        <v>103</v>
      </c>
      <c r="H12" s="1300" t="s">
        <v>98</v>
      </c>
      <c r="I12" s="1293" t="s">
        <v>98</v>
      </c>
      <c r="J12" s="1294">
        <v>0</v>
      </c>
      <c r="K12" s="1292" t="s">
        <v>679</v>
      </c>
      <c r="L12" s="1292">
        <v>3233.0790400000005</v>
      </c>
      <c r="M12" s="1295">
        <v>1</v>
      </c>
      <c r="N12" s="1296">
        <v>1.2620910621938648</v>
      </c>
      <c r="O12" s="1297" t="s">
        <v>3172</v>
      </c>
      <c r="P12" s="968"/>
      <c r="Q12" s="615" t="s">
        <v>686</v>
      </c>
      <c r="R12" s="21">
        <v>3</v>
      </c>
      <c r="S12" s="21">
        <v>4</v>
      </c>
      <c r="T12" s="21">
        <v>1</v>
      </c>
      <c r="U12" s="21">
        <v>3</v>
      </c>
      <c r="V12" s="21">
        <v>1</v>
      </c>
      <c r="W12" s="21">
        <v>5</v>
      </c>
      <c r="X12" s="297">
        <v>3</v>
      </c>
      <c r="Y12" s="6">
        <v>1.05</v>
      </c>
      <c r="Z12" s="245">
        <f t="shared" si="0"/>
        <v>1.2555818742947564</v>
      </c>
      <c r="AA12" s="245">
        <f t="shared" si="1"/>
        <v>1.2620910621938648</v>
      </c>
      <c r="AB12" s="246" t="str">
        <f t="shared" si="2"/>
        <v>(3,4,1,3,1,5)</v>
      </c>
      <c r="AC12" s="30">
        <v>1.1000000000000001</v>
      </c>
      <c r="AD12" s="30">
        <v>1.1000000000000001</v>
      </c>
      <c r="AE12" s="30">
        <v>1</v>
      </c>
      <c r="AF12" s="30">
        <v>1.02</v>
      </c>
      <c r="AG12" s="30">
        <v>1</v>
      </c>
      <c r="AH12" s="30">
        <v>1.2</v>
      </c>
    </row>
    <row r="13" spans="1:34" ht="23.25" customHeight="1">
      <c r="A13" s="1246">
        <v>267287</v>
      </c>
      <c r="B13" s="1279"/>
      <c r="C13" s="1247"/>
      <c r="D13" s="1249">
        <v>5</v>
      </c>
      <c r="E13" s="1250" t="s">
        <v>98</v>
      </c>
      <c r="F13" s="1251" t="s">
        <v>690</v>
      </c>
      <c r="G13" s="1252" t="s">
        <v>154</v>
      </c>
      <c r="H13" s="1253" t="s">
        <v>98</v>
      </c>
      <c r="I13" s="1254" t="s">
        <v>98</v>
      </c>
      <c r="J13" s="1255">
        <v>0</v>
      </c>
      <c r="K13" s="1252" t="s">
        <v>104</v>
      </c>
      <c r="L13" s="1252">
        <v>38329.814410895939</v>
      </c>
      <c r="M13" s="1256">
        <v>1</v>
      </c>
      <c r="N13" s="1257">
        <v>1.2620910621938648</v>
      </c>
      <c r="O13" s="1258" t="s">
        <v>3173</v>
      </c>
      <c r="P13" s="968"/>
      <c r="Q13" s="615" t="s">
        <v>691</v>
      </c>
      <c r="R13" s="21">
        <v>3</v>
      </c>
      <c r="S13" s="21">
        <v>4</v>
      </c>
      <c r="T13" s="21">
        <v>1</v>
      </c>
      <c r="U13" s="21">
        <v>3</v>
      </c>
      <c r="V13" s="21">
        <v>1</v>
      </c>
      <c r="W13" s="21">
        <v>5</v>
      </c>
      <c r="X13" s="297">
        <v>1</v>
      </c>
      <c r="Y13" s="6">
        <v>1.05</v>
      </c>
      <c r="Z13" s="245">
        <f t="shared" si="0"/>
        <v>1.2555818742947564</v>
      </c>
      <c r="AA13" s="245">
        <f t="shared" si="1"/>
        <v>1.2620910621938648</v>
      </c>
      <c r="AB13" s="246" t="str">
        <f t="shared" si="2"/>
        <v>(3,4,1,3,1,5)</v>
      </c>
      <c r="AC13" s="30">
        <v>1.1000000000000001</v>
      </c>
      <c r="AD13" s="30">
        <v>1.1000000000000001</v>
      </c>
      <c r="AE13" s="30">
        <v>1</v>
      </c>
      <c r="AF13" s="30">
        <v>1.02</v>
      </c>
      <c r="AG13" s="30">
        <v>1</v>
      </c>
      <c r="AH13" s="30">
        <v>1.2</v>
      </c>
    </row>
    <row r="14" spans="1:34" ht="23.25" customHeight="1">
      <c r="A14" s="1246">
        <v>267287</v>
      </c>
      <c r="B14" s="1279"/>
      <c r="C14" s="1247"/>
      <c r="D14" s="1298">
        <v>5</v>
      </c>
      <c r="E14" s="1299" t="s">
        <v>98</v>
      </c>
      <c r="F14" s="1291" t="s">
        <v>690</v>
      </c>
      <c r="G14" s="1292" t="s">
        <v>154</v>
      </c>
      <c r="H14" s="1300" t="s">
        <v>98</v>
      </c>
      <c r="I14" s="1293" t="s">
        <v>98</v>
      </c>
      <c r="J14" s="1294">
        <v>0</v>
      </c>
      <c r="K14" s="1292" t="s">
        <v>104</v>
      </c>
      <c r="L14" s="1292">
        <v>413534.66600671492</v>
      </c>
      <c r="M14" s="1295">
        <v>1</v>
      </c>
      <c r="N14" s="1296">
        <v>1.2620910621938648</v>
      </c>
      <c r="O14" s="1297" t="s">
        <v>3174</v>
      </c>
      <c r="P14" s="968"/>
      <c r="Q14" s="615" t="s">
        <v>692</v>
      </c>
      <c r="R14" s="21">
        <v>3</v>
      </c>
      <c r="S14" s="21">
        <v>4</v>
      </c>
      <c r="T14" s="21">
        <v>1</v>
      </c>
      <c r="U14" s="21">
        <v>3</v>
      </c>
      <c r="V14" s="21">
        <v>1</v>
      </c>
      <c r="W14" s="21">
        <v>5</v>
      </c>
      <c r="X14" s="297">
        <v>1</v>
      </c>
      <c r="Y14" s="6">
        <v>1.05</v>
      </c>
      <c r="Z14" s="245">
        <f t="shared" si="0"/>
        <v>1.2555818742947564</v>
      </c>
      <c r="AA14" s="245">
        <f t="shared" si="1"/>
        <v>1.2620910621938648</v>
      </c>
      <c r="AB14" s="246" t="str">
        <f t="shared" si="2"/>
        <v>(3,4,1,3,1,5)</v>
      </c>
      <c r="AC14" s="30">
        <v>1.1000000000000001</v>
      </c>
      <c r="AD14" s="30">
        <v>1.1000000000000001</v>
      </c>
      <c r="AE14" s="30">
        <v>1</v>
      </c>
      <c r="AF14" s="30">
        <v>1.02</v>
      </c>
      <c r="AG14" s="30">
        <v>1</v>
      </c>
      <c r="AH14" s="30">
        <v>1.2</v>
      </c>
    </row>
    <row r="15" spans="1:34" ht="23.25" customHeight="1">
      <c r="A15" s="1246">
        <v>267287</v>
      </c>
      <c r="B15" s="1279"/>
      <c r="C15" s="1247"/>
      <c r="D15" s="1249">
        <v>5</v>
      </c>
      <c r="E15" s="1250" t="s">
        <v>98</v>
      </c>
      <c r="F15" s="1251" t="s">
        <v>690</v>
      </c>
      <c r="G15" s="1252" t="s">
        <v>154</v>
      </c>
      <c r="H15" s="1253" t="s">
        <v>98</v>
      </c>
      <c r="I15" s="1254" t="s">
        <v>98</v>
      </c>
      <c r="J15" s="1255">
        <v>0</v>
      </c>
      <c r="K15" s="1252" t="s">
        <v>104</v>
      </c>
      <c r="L15" s="1252">
        <v>28640072.685942631</v>
      </c>
      <c r="M15" s="1256">
        <v>1</v>
      </c>
      <c r="N15" s="1257">
        <v>1.2620910621938648</v>
      </c>
      <c r="O15" s="1258" t="s">
        <v>3175</v>
      </c>
      <c r="P15" s="968"/>
      <c r="Q15" s="615" t="s">
        <v>693</v>
      </c>
      <c r="R15" s="21">
        <v>3</v>
      </c>
      <c r="S15" s="21">
        <v>4</v>
      </c>
      <c r="T15" s="21">
        <v>1</v>
      </c>
      <c r="U15" s="21">
        <v>3</v>
      </c>
      <c r="V15" s="21">
        <v>1</v>
      </c>
      <c r="W15" s="21">
        <v>5</v>
      </c>
      <c r="X15" s="297">
        <v>1</v>
      </c>
      <c r="Y15" s="6">
        <v>1.05</v>
      </c>
      <c r="Z15" s="245">
        <f t="shared" si="0"/>
        <v>1.2555818742947564</v>
      </c>
      <c r="AA15" s="245">
        <f t="shared" si="1"/>
        <v>1.2620910621938648</v>
      </c>
      <c r="AB15" s="246" t="str">
        <f t="shared" si="2"/>
        <v>(3,4,1,3,1,5)</v>
      </c>
      <c r="AC15" s="30">
        <v>1.1000000000000001</v>
      </c>
      <c r="AD15" s="30">
        <v>1.1000000000000001</v>
      </c>
      <c r="AE15" s="30">
        <v>1</v>
      </c>
      <c r="AF15" s="30">
        <v>1.02</v>
      </c>
      <c r="AG15" s="30">
        <v>1</v>
      </c>
      <c r="AH15" s="30">
        <v>1.2</v>
      </c>
    </row>
    <row r="16" spans="1:34">
      <c r="A16" s="1246">
        <v>160371</v>
      </c>
      <c r="B16" s="1279"/>
      <c r="C16" s="1247"/>
      <c r="D16" s="1298">
        <v>5</v>
      </c>
      <c r="E16" s="1299" t="s">
        <v>98</v>
      </c>
      <c r="F16" s="1291" t="s">
        <v>242</v>
      </c>
      <c r="G16" s="1292" t="s">
        <v>93</v>
      </c>
      <c r="H16" s="1300" t="s">
        <v>98</v>
      </c>
      <c r="I16" s="1293" t="s">
        <v>98</v>
      </c>
      <c r="J16" s="1294">
        <v>0</v>
      </c>
      <c r="K16" s="1292" t="s">
        <v>115</v>
      </c>
      <c r="L16" s="1292">
        <v>283655.321712</v>
      </c>
      <c r="M16" s="1295">
        <v>1</v>
      </c>
      <c r="N16" s="1296">
        <v>2.0741629046031922</v>
      </c>
      <c r="O16" s="1297" t="s">
        <v>3169</v>
      </c>
      <c r="P16" s="968"/>
      <c r="Q16" s="615" t="s">
        <v>673</v>
      </c>
      <c r="R16" s="21">
        <v>3</v>
      </c>
      <c r="S16" s="21">
        <v>4</v>
      </c>
      <c r="T16" s="21">
        <v>1</v>
      </c>
      <c r="U16" s="21">
        <v>3</v>
      </c>
      <c r="V16" s="21">
        <v>1</v>
      </c>
      <c r="W16" s="21">
        <v>5</v>
      </c>
      <c r="X16" s="297">
        <v>5</v>
      </c>
      <c r="Y16" s="6">
        <v>2</v>
      </c>
      <c r="Z16" s="245">
        <f t="shared" si="0"/>
        <v>1.2555818742947564</v>
      </c>
      <c r="AA16" s="245">
        <f t="shared" si="1"/>
        <v>2.0741629046031922</v>
      </c>
      <c r="AB16" s="246" t="str">
        <f t="shared" si="2"/>
        <v>(3,4,1,3,1,5)</v>
      </c>
      <c r="AC16" s="30">
        <v>1.1000000000000001</v>
      </c>
      <c r="AD16" s="30">
        <v>1.1000000000000001</v>
      </c>
      <c r="AE16" s="30">
        <v>1</v>
      </c>
      <c r="AF16" s="30">
        <v>1.02</v>
      </c>
      <c r="AG16" s="30">
        <v>1</v>
      </c>
      <c r="AH16" s="30">
        <v>1.2</v>
      </c>
    </row>
    <row r="17" spans="1:34">
      <c r="A17" s="1246">
        <v>269641</v>
      </c>
      <c r="B17" s="1279"/>
      <c r="C17" s="1247"/>
      <c r="D17" s="1249">
        <v>5</v>
      </c>
      <c r="E17" s="1250" t="s">
        <v>98</v>
      </c>
      <c r="F17" s="1251" t="s">
        <v>240</v>
      </c>
      <c r="G17" s="1252" t="s">
        <v>93</v>
      </c>
      <c r="H17" s="1253" t="s">
        <v>98</v>
      </c>
      <c r="I17" s="1254" t="s">
        <v>98</v>
      </c>
      <c r="J17" s="1255">
        <v>0</v>
      </c>
      <c r="K17" s="1252" t="s">
        <v>115</v>
      </c>
      <c r="L17" s="1252">
        <v>526665.75939200004</v>
      </c>
      <c r="M17" s="1256">
        <v>1</v>
      </c>
      <c r="N17" s="1257">
        <v>2.0741629046031922</v>
      </c>
      <c r="O17" s="1258" t="s">
        <v>3169</v>
      </c>
      <c r="P17" s="968"/>
      <c r="Q17" s="615" t="s">
        <v>673</v>
      </c>
      <c r="R17" s="21">
        <v>3</v>
      </c>
      <c r="S17" s="21">
        <v>4</v>
      </c>
      <c r="T17" s="21">
        <v>1</v>
      </c>
      <c r="U17" s="21">
        <v>3</v>
      </c>
      <c r="V17" s="21">
        <v>1</v>
      </c>
      <c r="W17" s="21">
        <v>5</v>
      </c>
      <c r="X17" s="297">
        <v>5</v>
      </c>
      <c r="Y17" s="6">
        <v>2</v>
      </c>
      <c r="Z17" s="245">
        <f t="shared" si="0"/>
        <v>1.2555818742947564</v>
      </c>
      <c r="AA17" s="245">
        <f t="shared" si="1"/>
        <v>2.0741629046031922</v>
      </c>
      <c r="AB17" s="246" t="str">
        <f t="shared" si="2"/>
        <v>(3,4,1,3,1,5)</v>
      </c>
      <c r="AC17" s="30">
        <v>1.1000000000000001</v>
      </c>
      <c r="AD17" s="30">
        <v>1.1000000000000001</v>
      </c>
      <c r="AE17" s="30">
        <v>1</v>
      </c>
      <c r="AF17" s="30">
        <v>1.02</v>
      </c>
      <c r="AG17" s="30">
        <v>1</v>
      </c>
      <c r="AH17" s="30">
        <v>1.2</v>
      </c>
    </row>
    <row r="18" spans="1:34" ht="24" customHeight="1">
      <c r="A18" s="1246">
        <v>261895</v>
      </c>
      <c r="B18" s="1279"/>
      <c r="C18" s="1247"/>
      <c r="D18" s="1298">
        <v>5</v>
      </c>
      <c r="E18" s="1299" t="s">
        <v>98</v>
      </c>
      <c r="F18" s="1291" t="s">
        <v>694</v>
      </c>
      <c r="G18" s="1292" t="s">
        <v>245</v>
      </c>
      <c r="H18" s="1300" t="s">
        <v>98</v>
      </c>
      <c r="I18" s="1293" t="s">
        <v>98</v>
      </c>
      <c r="J18" s="1294">
        <v>0</v>
      </c>
      <c r="K18" s="1292" t="s">
        <v>115</v>
      </c>
      <c r="L18" s="1292">
        <v>6466.0980799999988</v>
      </c>
      <c r="M18" s="1295">
        <v>1</v>
      </c>
      <c r="N18" s="1296">
        <v>2.0741629046031922</v>
      </c>
      <c r="O18" s="1297" t="s">
        <v>3169</v>
      </c>
      <c r="P18" s="968"/>
      <c r="Q18" s="615" t="s">
        <v>673</v>
      </c>
      <c r="R18" s="21">
        <v>3</v>
      </c>
      <c r="S18" s="21">
        <v>4</v>
      </c>
      <c r="T18" s="21">
        <v>1</v>
      </c>
      <c r="U18" s="21">
        <v>3</v>
      </c>
      <c r="V18" s="21">
        <v>1</v>
      </c>
      <c r="W18" s="21">
        <v>5</v>
      </c>
      <c r="X18" s="297">
        <v>5</v>
      </c>
      <c r="Y18" s="6">
        <v>2</v>
      </c>
      <c r="Z18" s="245">
        <f t="shared" si="0"/>
        <v>1.2555818742947564</v>
      </c>
      <c r="AA18" s="245">
        <f t="shared" si="1"/>
        <v>2.0741629046031922</v>
      </c>
      <c r="AB18" s="246" t="str">
        <f t="shared" si="2"/>
        <v>(3,4,1,3,1,5)</v>
      </c>
      <c r="AC18" s="30">
        <v>1.1000000000000001</v>
      </c>
      <c r="AD18" s="30">
        <v>1.1000000000000001</v>
      </c>
      <c r="AE18" s="30">
        <v>1</v>
      </c>
      <c r="AF18" s="30">
        <v>1.02</v>
      </c>
      <c r="AG18" s="30">
        <v>1</v>
      </c>
      <c r="AH18" s="30">
        <v>1.2</v>
      </c>
    </row>
    <row r="19" spans="1:34" ht="24" customHeight="1">
      <c r="A19" s="1246">
        <v>258103</v>
      </c>
      <c r="B19" s="1248" t="s">
        <v>695</v>
      </c>
      <c r="C19" s="1247"/>
      <c r="D19" s="1249">
        <v>5</v>
      </c>
      <c r="E19" s="1250" t="s">
        <v>98</v>
      </c>
      <c r="F19" s="1251" t="s">
        <v>696</v>
      </c>
      <c r="G19" s="1252" t="s">
        <v>103</v>
      </c>
      <c r="H19" s="1253" t="s">
        <v>98</v>
      </c>
      <c r="I19" s="1254" t="s">
        <v>98</v>
      </c>
      <c r="J19" s="1255">
        <v>0</v>
      </c>
      <c r="K19" s="1252" t="s">
        <v>679</v>
      </c>
      <c r="L19" s="1252">
        <v>310</v>
      </c>
      <c r="M19" s="1256">
        <v>1</v>
      </c>
      <c r="N19" s="1257">
        <v>1.2620910621938648</v>
      </c>
      <c r="O19" s="1258" t="s">
        <v>3169</v>
      </c>
      <c r="P19" s="968"/>
      <c r="Q19" s="615" t="s">
        <v>673</v>
      </c>
      <c r="R19" s="21">
        <v>3</v>
      </c>
      <c r="S19" s="21">
        <v>4</v>
      </c>
      <c r="T19" s="21">
        <v>1</v>
      </c>
      <c r="U19" s="21">
        <v>3</v>
      </c>
      <c r="V19" s="21">
        <v>1</v>
      </c>
      <c r="W19" s="21">
        <v>5</v>
      </c>
      <c r="X19" s="297">
        <v>3</v>
      </c>
      <c r="Y19" s="6">
        <v>1.05</v>
      </c>
      <c r="Z19" s="245">
        <f t="shared" si="0"/>
        <v>1.2555818742947564</v>
      </c>
      <c r="AA19" s="245">
        <f t="shared" si="1"/>
        <v>1.2620910621938648</v>
      </c>
      <c r="AB19" s="246" t="str">
        <f t="shared" si="2"/>
        <v>(3,4,1,3,1,5)</v>
      </c>
      <c r="AC19" s="30">
        <v>1.1000000000000001</v>
      </c>
      <c r="AD19" s="30">
        <v>1.1000000000000001</v>
      </c>
      <c r="AE19" s="30">
        <v>1</v>
      </c>
      <c r="AF19" s="30">
        <v>1.02</v>
      </c>
      <c r="AG19" s="30">
        <v>1</v>
      </c>
      <c r="AH19" s="30">
        <v>1.2</v>
      </c>
    </row>
    <row r="20" spans="1:34">
      <c r="A20" s="1246">
        <v>79235</v>
      </c>
      <c r="B20" s="1279"/>
      <c r="C20" s="1247"/>
      <c r="D20" s="1298">
        <v>5</v>
      </c>
      <c r="E20" s="1299" t="s">
        <v>98</v>
      </c>
      <c r="F20" s="1291" t="s">
        <v>688</v>
      </c>
      <c r="G20" s="1292" t="s">
        <v>340</v>
      </c>
      <c r="H20" s="1300" t="s">
        <v>98</v>
      </c>
      <c r="I20" s="1293" t="s">
        <v>98</v>
      </c>
      <c r="J20" s="1294">
        <v>0</v>
      </c>
      <c r="K20" s="1292" t="s">
        <v>109</v>
      </c>
      <c r="L20" s="1292">
        <v>1807.2</v>
      </c>
      <c r="M20" s="1295">
        <v>1</v>
      </c>
      <c r="N20" s="1296">
        <v>1.2620910621938648</v>
      </c>
      <c r="O20" s="1297" t="s">
        <v>3169</v>
      </c>
      <c r="P20" s="968"/>
      <c r="Q20" s="615" t="s">
        <v>673</v>
      </c>
      <c r="R20" s="21">
        <v>3</v>
      </c>
      <c r="S20" s="21">
        <v>4</v>
      </c>
      <c r="T20" s="21">
        <v>1</v>
      </c>
      <c r="U20" s="21">
        <v>3</v>
      </c>
      <c r="V20" s="21">
        <v>1</v>
      </c>
      <c r="W20" s="21">
        <v>5</v>
      </c>
      <c r="X20" s="297">
        <v>3</v>
      </c>
      <c r="Y20" s="6">
        <v>1.05</v>
      </c>
      <c r="Z20" s="245">
        <f t="shared" si="0"/>
        <v>1.2555818742947564</v>
      </c>
      <c r="AA20" s="245">
        <f t="shared" si="1"/>
        <v>1.2620910621938648</v>
      </c>
      <c r="AB20" s="246" t="str">
        <f t="shared" si="2"/>
        <v>(3,4,1,3,1,5)</v>
      </c>
      <c r="AC20" s="30">
        <v>1.1000000000000001</v>
      </c>
      <c r="AD20" s="30">
        <v>1.1000000000000001</v>
      </c>
      <c r="AE20" s="30">
        <v>1</v>
      </c>
      <c r="AF20" s="30">
        <v>1.02</v>
      </c>
      <c r="AG20" s="30">
        <v>1</v>
      </c>
      <c r="AH20" s="30">
        <v>1.2</v>
      </c>
    </row>
    <row r="21" spans="1:34" ht="24" customHeight="1">
      <c r="A21" s="1246">
        <v>263665</v>
      </c>
      <c r="B21" s="1279"/>
      <c r="C21" s="1247"/>
      <c r="D21" s="1249">
        <v>5</v>
      </c>
      <c r="E21" s="1250" t="s">
        <v>98</v>
      </c>
      <c r="F21" s="1251" t="s">
        <v>697</v>
      </c>
      <c r="G21" s="1252" t="s">
        <v>93</v>
      </c>
      <c r="H21" s="1253" t="s">
        <v>98</v>
      </c>
      <c r="I21" s="1254" t="s">
        <v>98</v>
      </c>
      <c r="J21" s="1255">
        <v>0</v>
      </c>
      <c r="K21" s="1252" t="s">
        <v>679</v>
      </c>
      <c r="L21" s="1252">
        <v>2618.9</v>
      </c>
      <c r="M21" s="1256">
        <v>1</v>
      </c>
      <c r="N21" s="1257">
        <v>1.2620910621938648</v>
      </c>
      <c r="O21" s="1258" t="s">
        <v>3169</v>
      </c>
      <c r="P21" s="968"/>
      <c r="Q21" s="615" t="s">
        <v>673</v>
      </c>
      <c r="R21" s="21">
        <v>3</v>
      </c>
      <c r="S21" s="21">
        <v>4</v>
      </c>
      <c r="T21" s="21">
        <v>1</v>
      </c>
      <c r="U21" s="21">
        <v>3</v>
      </c>
      <c r="V21" s="21">
        <v>1</v>
      </c>
      <c r="W21" s="21">
        <v>5</v>
      </c>
      <c r="X21" s="297">
        <v>3</v>
      </c>
      <c r="Y21" s="6">
        <v>1.05</v>
      </c>
      <c r="Z21" s="245">
        <f t="shared" si="0"/>
        <v>1.2555818742947564</v>
      </c>
      <c r="AA21" s="245">
        <f t="shared" si="1"/>
        <v>1.2620910621938648</v>
      </c>
      <c r="AB21" s="246" t="str">
        <f t="shared" si="2"/>
        <v>(3,4,1,3,1,5)</v>
      </c>
      <c r="AC21" s="30">
        <v>1.1000000000000001</v>
      </c>
      <c r="AD21" s="30">
        <v>1.1000000000000001</v>
      </c>
      <c r="AE21" s="30">
        <v>1</v>
      </c>
      <c r="AF21" s="30">
        <v>1.02</v>
      </c>
      <c r="AG21" s="30">
        <v>1</v>
      </c>
      <c r="AH21" s="30">
        <v>1.2</v>
      </c>
    </row>
    <row r="22" spans="1:34">
      <c r="A22" s="1246">
        <v>269445</v>
      </c>
      <c r="B22" s="1279"/>
      <c r="C22" s="1247"/>
      <c r="D22" s="1298">
        <v>5</v>
      </c>
      <c r="E22" s="1299" t="s">
        <v>98</v>
      </c>
      <c r="F22" s="1291" t="s">
        <v>682</v>
      </c>
      <c r="G22" s="1292" t="s">
        <v>93</v>
      </c>
      <c r="H22" s="1300" t="s">
        <v>98</v>
      </c>
      <c r="I22" s="1293" t="s">
        <v>98</v>
      </c>
      <c r="J22" s="1294">
        <v>0</v>
      </c>
      <c r="K22" s="1292" t="s">
        <v>96</v>
      </c>
      <c r="L22" s="1292">
        <v>567.00000000000011</v>
      </c>
      <c r="M22" s="1295">
        <v>1</v>
      </c>
      <c r="N22" s="1296">
        <v>1.2620910621938648</v>
      </c>
      <c r="O22" s="1297" t="s">
        <v>3169</v>
      </c>
      <c r="P22" s="968"/>
      <c r="Q22" s="615" t="s">
        <v>673</v>
      </c>
      <c r="R22" s="21">
        <v>3</v>
      </c>
      <c r="S22" s="21">
        <v>4</v>
      </c>
      <c r="T22" s="21">
        <v>1</v>
      </c>
      <c r="U22" s="21">
        <v>3</v>
      </c>
      <c r="V22" s="21">
        <v>1</v>
      </c>
      <c r="W22" s="21">
        <v>5</v>
      </c>
      <c r="X22" s="297">
        <v>3</v>
      </c>
      <c r="Y22" s="6">
        <v>1.05</v>
      </c>
      <c r="Z22" s="245">
        <f t="shared" si="0"/>
        <v>1.2555818742947564</v>
      </c>
      <c r="AA22" s="245">
        <f t="shared" si="1"/>
        <v>1.2620910621938648</v>
      </c>
      <c r="AB22" s="246" t="str">
        <f t="shared" si="2"/>
        <v>(3,4,1,3,1,5)</v>
      </c>
      <c r="AC22" s="30">
        <v>1.1000000000000001</v>
      </c>
      <c r="AD22" s="30">
        <v>1.1000000000000001</v>
      </c>
      <c r="AE22" s="30">
        <v>1</v>
      </c>
      <c r="AF22" s="30">
        <v>1.02</v>
      </c>
      <c r="AG22" s="30">
        <v>1</v>
      </c>
      <c r="AH22" s="30">
        <v>1.2</v>
      </c>
    </row>
    <row r="23" spans="1:34">
      <c r="A23" s="1246">
        <v>266627</v>
      </c>
      <c r="B23" s="1279"/>
      <c r="C23" s="1247"/>
      <c r="D23" s="1249">
        <v>5</v>
      </c>
      <c r="E23" s="1250" t="s">
        <v>98</v>
      </c>
      <c r="F23" s="1251" t="s">
        <v>634</v>
      </c>
      <c r="G23" s="1252" t="s">
        <v>93</v>
      </c>
      <c r="H23" s="1253" t="s">
        <v>98</v>
      </c>
      <c r="I23" s="1254" t="s">
        <v>98</v>
      </c>
      <c r="J23" s="1255">
        <v>0</v>
      </c>
      <c r="K23" s="1252" t="s">
        <v>96</v>
      </c>
      <c r="L23" s="1252">
        <v>567.00000000000011</v>
      </c>
      <c r="M23" s="1256">
        <v>1</v>
      </c>
      <c r="N23" s="1257">
        <v>1.2620910621938648</v>
      </c>
      <c r="O23" s="1258" t="s">
        <v>3169</v>
      </c>
      <c r="P23" s="968"/>
      <c r="Q23" s="615" t="s">
        <v>673</v>
      </c>
      <c r="R23" s="21">
        <v>3</v>
      </c>
      <c r="S23" s="21">
        <v>4</v>
      </c>
      <c r="T23" s="21">
        <v>1</v>
      </c>
      <c r="U23" s="21">
        <v>3</v>
      </c>
      <c r="V23" s="21">
        <v>1</v>
      </c>
      <c r="W23" s="21">
        <v>5</v>
      </c>
      <c r="X23" s="297">
        <v>3</v>
      </c>
      <c r="Y23" s="6">
        <v>1.05</v>
      </c>
      <c r="Z23" s="245">
        <f t="shared" si="0"/>
        <v>1.2555818742947564</v>
      </c>
      <c r="AA23" s="245">
        <f t="shared" si="1"/>
        <v>1.2620910621938648</v>
      </c>
      <c r="AB23" s="246" t="str">
        <f t="shared" si="2"/>
        <v>(3,4,1,3,1,5)</v>
      </c>
      <c r="AC23" s="30">
        <v>1.1000000000000001</v>
      </c>
      <c r="AD23" s="30">
        <v>1.1000000000000001</v>
      </c>
      <c r="AE23" s="30">
        <v>1</v>
      </c>
      <c r="AF23" s="30">
        <v>1.02</v>
      </c>
      <c r="AG23" s="30">
        <v>1</v>
      </c>
      <c r="AH23" s="30">
        <v>1.2</v>
      </c>
    </row>
    <row r="24" spans="1:34" ht="24" customHeight="1">
      <c r="A24" s="1246">
        <v>255515</v>
      </c>
      <c r="B24" s="1279"/>
      <c r="C24" s="1247"/>
      <c r="D24" s="1298">
        <v>5</v>
      </c>
      <c r="E24" s="1299" t="s">
        <v>98</v>
      </c>
      <c r="F24" s="1291" t="s">
        <v>698</v>
      </c>
      <c r="G24" s="1292" t="s">
        <v>103</v>
      </c>
      <c r="H24" s="1300" t="s">
        <v>98</v>
      </c>
      <c r="I24" s="1293" t="s">
        <v>98</v>
      </c>
      <c r="J24" s="1294">
        <v>0</v>
      </c>
      <c r="K24" s="1292" t="s">
        <v>679</v>
      </c>
      <c r="L24" s="1292">
        <v>235.7</v>
      </c>
      <c r="M24" s="1295">
        <v>1</v>
      </c>
      <c r="N24" s="1296">
        <v>1.2620910621938648</v>
      </c>
      <c r="O24" s="1297" t="s">
        <v>3169</v>
      </c>
      <c r="P24" s="968"/>
      <c r="Q24" s="615" t="s">
        <v>673</v>
      </c>
      <c r="R24" s="21">
        <v>3</v>
      </c>
      <c r="S24" s="21">
        <v>4</v>
      </c>
      <c r="T24" s="21">
        <v>1</v>
      </c>
      <c r="U24" s="21">
        <v>3</v>
      </c>
      <c r="V24" s="21">
        <v>1</v>
      </c>
      <c r="W24" s="21">
        <v>5</v>
      </c>
      <c r="X24" s="297">
        <v>3</v>
      </c>
      <c r="Y24" s="6">
        <v>1.05</v>
      </c>
      <c r="Z24" s="245">
        <f t="shared" si="0"/>
        <v>1.2555818742947564</v>
      </c>
      <c r="AA24" s="245">
        <f t="shared" si="1"/>
        <v>1.2620910621938648</v>
      </c>
      <c r="AB24" s="246" t="str">
        <f t="shared" si="2"/>
        <v>(3,4,1,3,1,5)</v>
      </c>
      <c r="AC24" s="30">
        <v>1.1000000000000001</v>
      </c>
      <c r="AD24" s="30">
        <v>1.1000000000000001</v>
      </c>
      <c r="AE24" s="30">
        <v>1</v>
      </c>
      <c r="AF24" s="30">
        <v>1.02</v>
      </c>
      <c r="AG24" s="30">
        <v>1</v>
      </c>
      <c r="AH24" s="30">
        <v>1.2</v>
      </c>
    </row>
    <row r="25" spans="1:34" ht="23.25" customHeight="1">
      <c r="A25" s="1246">
        <v>267287</v>
      </c>
      <c r="B25" s="1248" t="s">
        <v>699</v>
      </c>
      <c r="C25" s="1247"/>
      <c r="D25" s="1249">
        <v>5</v>
      </c>
      <c r="E25" s="1250" t="s">
        <v>98</v>
      </c>
      <c r="F25" s="1251" t="s">
        <v>690</v>
      </c>
      <c r="G25" s="1252" t="s">
        <v>154</v>
      </c>
      <c r="H25" s="1253" t="s">
        <v>98</v>
      </c>
      <c r="I25" s="1254" t="s">
        <v>98</v>
      </c>
      <c r="J25" s="1255">
        <v>0</v>
      </c>
      <c r="K25" s="1252" t="s">
        <v>104</v>
      </c>
      <c r="L25" s="1252">
        <v>687470.3326366581</v>
      </c>
      <c r="M25" s="1256">
        <v>1</v>
      </c>
      <c r="N25" s="1257">
        <v>1.2620910621938648</v>
      </c>
      <c r="O25" s="1258" t="s">
        <v>3174</v>
      </c>
      <c r="P25" s="968"/>
      <c r="Q25" s="615" t="s">
        <v>692</v>
      </c>
      <c r="R25" s="21">
        <v>3</v>
      </c>
      <c r="S25" s="21">
        <v>4</v>
      </c>
      <c r="T25" s="21">
        <v>1</v>
      </c>
      <c r="U25" s="21">
        <v>3</v>
      </c>
      <c r="V25" s="21">
        <v>1</v>
      </c>
      <c r="W25" s="21">
        <v>5</v>
      </c>
      <c r="X25" s="297">
        <v>1</v>
      </c>
      <c r="Y25" s="6">
        <v>1.05</v>
      </c>
      <c r="Z25" s="245">
        <f t="shared" si="0"/>
        <v>1.2555818742947564</v>
      </c>
      <c r="AA25" s="245">
        <f t="shared" si="1"/>
        <v>1.2620910621938648</v>
      </c>
      <c r="AB25" s="246" t="str">
        <f t="shared" si="2"/>
        <v>(3,4,1,3,1,5)</v>
      </c>
      <c r="AC25" s="30">
        <v>1.1000000000000001</v>
      </c>
      <c r="AD25" s="30">
        <v>1.1000000000000001</v>
      </c>
      <c r="AE25" s="30">
        <v>1</v>
      </c>
      <c r="AF25" s="30">
        <v>1.02</v>
      </c>
      <c r="AG25" s="30">
        <v>1</v>
      </c>
      <c r="AH25" s="30">
        <v>1.2</v>
      </c>
    </row>
    <row r="26" spans="1:34" ht="23.25" customHeight="1">
      <c r="A26" s="1246">
        <v>267287</v>
      </c>
      <c r="B26" s="1279"/>
      <c r="C26" s="1247"/>
      <c r="D26" s="1298">
        <v>5</v>
      </c>
      <c r="E26" s="1299" t="s">
        <v>98</v>
      </c>
      <c r="F26" s="1291" t="s">
        <v>690</v>
      </c>
      <c r="G26" s="1292" t="s">
        <v>154</v>
      </c>
      <c r="H26" s="1300" t="s">
        <v>98</v>
      </c>
      <c r="I26" s="1293" t="s">
        <v>98</v>
      </c>
      <c r="J26" s="1294">
        <v>0</v>
      </c>
      <c r="K26" s="1292" t="s">
        <v>104</v>
      </c>
      <c r="L26" s="1292">
        <v>2081750.7824122547</v>
      </c>
      <c r="M26" s="1295">
        <v>1</v>
      </c>
      <c r="N26" s="1296">
        <v>1.2620910621938648</v>
      </c>
      <c r="O26" s="1297" t="s">
        <v>3175</v>
      </c>
      <c r="P26" s="968"/>
      <c r="Q26" s="615" t="s">
        <v>693</v>
      </c>
      <c r="R26" s="21">
        <v>3</v>
      </c>
      <c r="S26" s="21">
        <v>4</v>
      </c>
      <c r="T26" s="21">
        <v>1</v>
      </c>
      <c r="U26" s="21">
        <v>3</v>
      </c>
      <c r="V26" s="21">
        <v>1</v>
      </c>
      <c r="W26" s="21">
        <v>5</v>
      </c>
      <c r="X26" s="297">
        <v>1</v>
      </c>
      <c r="Y26" s="6">
        <v>1.05</v>
      </c>
      <c r="Z26" s="245">
        <f t="shared" si="0"/>
        <v>1.2555818742947564</v>
      </c>
      <c r="AA26" s="245">
        <f t="shared" si="1"/>
        <v>1.2620910621938648</v>
      </c>
      <c r="AB26" s="246" t="str">
        <f t="shared" si="2"/>
        <v>(3,4,1,3,1,5)</v>
      </c>
      <c r="AC26" s="30">
        <v>1.1000000000000001</v>
      </c>
      <c r="AD26" s="30">
        <v>1.1000000000000001</v>
      </c>
      <c r="AE26" s="30">
        <v>1</v>
      </c>
      <c r="AF26" s="30">
        <v>1.02</v>
      </c>
      <c r="AG26" s="30">
        <v>1</v>
      </c>
      <c r="AH26" s="30">
        <v>1.2</v>
      </c>
    </row>
    <row r="27" spans="1:34" ht="28.5" customHeight="1">
      <c r="A27" s="1246">
        <v>265477</v>
      </c>
      <c r="B27" s="1279"/>
      <c r="C27" s="1247"/>
      <c r="D27" s="1249">
        <v>5</v>
      </c>
      <c r="E27" s="1250" t="s">
        <v>98</v>
      </c>
      <c r="F27" s="1251" t="s">
        <v>700</v>
      </c>
      <c r="G27" s="1252" t="s">
        <v>103</v>
      </c>
      <c r="H27" s="1253" t="s">
        <v>98</v>
      </c>
      <c r="I27" s="1254" t="s">
        <v>98</v>
      </c>
      <c r="J27" s="1255">
        <v>0</v>
      </c>
      <c r="K27" s="1252" t="s">
        <v>115</v>
      </c>
      <c r="L27" s="1252">
        <v>307533.7</v>
      </c>
      <c r="M27" s="1256">
        <v>1</v>
      </c>
      <c r="N27" s="1257">
        <v>2.0741629046031922</v>
      </c>
      <c r="O27" s="1258" t="s">
        <v>3169</v>
      </c>
      <c r="P27" s="968"/>
      <c r="Q27" s="615" t="s">
        <v>673</v>
      </c>
      <c r="R27" s="21">
        <v>3</v>
      </c>
      <c r="S27" s="21">
        <v>4</v>
      </c>
      <c r="T27" s="21">
        <v>1</v>
      </c>
      <c r="U27" s="21">
        <v>3</v>
      </c>
      <c r="V27" s="21">
        <v>1</v>
      </c>
      <c r="W27" s="21">
        <v>5</v>
      </c>
      <c r="X27" s="297">
        <v>5</v>
      </c>
      <c r="Y27" s="6">
        <v>2</v>
      </c>
      <c r="Z27" s="245">
        <f t="shared" si="0"/>
        <v>1.2555818742947564</v>
      </c>
      <c r="AA27" s="245">
        <f t="shared" si="1"/>
        <v>2.0741629046031922</v>
      </c>
      <c r="AB27" s="246" t="str">
        <f t="shared" si="2"/>
        <v>(3,4,1,3,1,5)</v>
      </c>
      <c r="AC27" s="30">
        <v>1.1000000000000001</v>
      </c>
      <c r="AD27" s="30">
        <v>1.1000000000000001</v>
      </c>
      <c r="AE27" s="30">
        <v>1</v>
      </c>
      <c r="AF27" s="30">
        <v>1.02</v>
      </c>
      <c r="AG27" s="30">
        <v>1</v>
      </c>
      <c r="AH27" s="30">
        <v>1.2</v>
      </c>
    </row>
    <row r="28" spans="1:34">
      <c r="A28" s="1246">
        <v>269641</v>
      </c>
      <c r="B28" s="1279"/>
      <c r="C28" s="1247"/>
      <c r="D28" s="1298">
        <v>5</v>
      </c>
      <c r="E28" s="1299" t="s">
        <v>98</v>
      </c>
      <c r="F28" s="1291" t="s">
        <v>240</v>
      </c>
      <c r="G28" s="1292" t="s">
        <v>93</v>
      </c>
      <c r="H28" s="1300" t="s">
        <v>98</v>
      </c>
      <c r="I28" s="1293" t="s">
        <v>98</v>
      </c>
      <c r="J28" s="1294">
        <v>0</v>
      </c>
      <c r="K28" s="1292" t="s">
        <v>115</v>
      </c>
      <c r="L28" s="1292">
        <v>1518733.9</v>
      </c>
      <c r="M28" s="1295">
        <v>1</v>
      </c>
      <c r="N28" s="1296">
        <v>2.0741629046031922</v>
      </c>
      <c r="O28" s="1297" t="s">
        <v>3169</v>
      </c>
      <c r="P28" s="968"/>
      <c r="Q28" s="615" t="s">
        <v>673</v>
      </c>
      <c r="R28" s="21">
        <v>3</v>
      </c>
      <c r="S28" s="21">
        <v>4</v>
      </c>
      <c r="T28" s="21">
        <v>1</v>
      </c>
      <c r="U28" s="21">
        <v>3</v>
      </c>
      <c r="V28" s="21">
        <v>1</v>
      </c>
      <c r="W28" s="21">
        <v>5</v>
      </c>
      <c r="X28" s="297">
        <v>5</v>
      </c>
      <c r="Y28" s="6">
        <v>2</v>
      </c>
      <c r="Z28" s="245">
        <f t="shared" si="0"/>
        <v>1.2555818742947564</v>
      </c>
      <c r="AA28" s="245">
        <f t="shared" si="1"/>
        <v>2.0741629046031922</v>
      </c>
      <c r="AB28" s="246" t="str">
        <f t="shared" si="2"/>
        <v>(3,4,1,3,1,5)</v>
      </c>
      <c r="AC28" s="30">
        <v>1.1000000000000001</v>
      </c>
      <c r="AD28" s="30">
        <v>1.1000000000000001</v>
      </c>
      <c r="AE28" s="30">
        <v>1</v>
      </c>
      <c r="AF28" s="30">
        <v>1.02</v>
      </c>
      <c r="AG28" s="30">
        <v>1</v>
      </c>
      <c r="AH28" s="30">
        <v>1.2</v>
      </c>
    </row>
    <row r="29" spans="1:34" ht="36" customHeight="1">
      <c r="A29" s="1246">
        <v>269643</v>
      </c>
      <c r="B29" s="1248" t="s">
        <v>701</v>
      </c>
      <c r="C29" s="1247"/>
      <c r="D29" s="1249">
        <v>5</v>
      </c>
      <c r="E29" s="1250" t="s">
        <v>98</v>
      </c>
      <c r="F29" s="1251" t="s">
        <v>702</v>
      </c>
      <c r="G29" s="1252" t="s">
        <v>103</v>
      </c>
      <c r="H29" s="1253" t="s">
        <v>98</v>
      </c>
      <c r="I29" s="1254" t="s">
        <v>98</v>
      </c>
      <c r="J29" s="1255">
        <v>0</v>
      </c>
      <c r="K29" s="1252" t="s">
        <v>119</v>
      </c>
      <c r="L29" s="1252">
        <v>44421.7</v>
      </c>
      <c r="M29" s="1256">
        <v>1</v>
      </c>
      <c r="N29" s="1257">
        <v>1.2620910621938648</v>
      </c>
      <c r="O29" s="1258" t="s">
        <v>3176</v>
      </c>
      <c r="P29" s="968"/>
      <c r="Q29" s="615" t="s">
        <v>703</v>
      </c>
      <c r="R29" s="21">
        <v>3</v>
      </c>
      <c r="S29" s="21">
        <v>4</v>
      </c>
      <c r="T29" s="21">
        <v>1</v>
      </c>
      <c r="U29" s="21">
        <v>3</v>
      </c>
      <c r="V29" s="21">
        <v>1</v>
      </c>
      <c r="W29" s="21">
        <v>5</v>
      </c>
      <c r="X29" s="297">
        <v>3</v>
      </c>
      <c r="Y29" s="6">
        <v>1.05</v>
      </c>
      <c r="Z29" s="245">
        <f t="shared" si="0"/>
        <v>1.2555818742947564</v>
      </c>
      <c r="AA29" s="245">
        <f t="shared" si="1"/>
        <v>1.2620910621938648</v>
      </c>
      <c r="AB29" s="246" t="str">
        <f t="shared" si="2"/>
        <v>(3,4,1,3,1,5)</v>
      </c>
      <c r="AC29" s="30">
        <v>1.1000000000000001</v>
      </c>
      <c r="AD29" s="30">
        <v>1.1000000000000001</v>
      </c>
      <c r="AE29" s="30">
        <v>1</v>
      </c>
      <c r="AF29" s="30">
        <v>1.02</v>
      </c>
      <c r="AG29" s="30">
        <v>1</v>
      </c>
      <c r="AH29" s="30">
        <v>1.2</v>
      </c>
    </row>
    <row r="30" spans="1:34" ht="24" customHeight="1">
      <c r="A30" s="1246">
        <v>265101</v>
      </c>
      <c r="B30" s="1279"/>
      <c r="C30" s="1247"/>
      <c r="D30" s="1298">
        <v>5</v>
      </c>
      <c r="E30" s="1299" t="s">
        <v>98</v>
      </c>
      <c r="F30" s="1291" t="s">
        <v>704</v>
      </c>
      <c r="G30" s="1292" t="s">
        <v>103</v>
      </c>
      <c r="H30" s="1300" t="s">
        <v>98</v>
      </c>
      <c r="I30" s="1293" t="s">
        <v>98</v>
      </c>
      <c r="J30" s="1294">
        <v>0</v>
      </c>
      <c r="K30" s="1292" t="s">
        <v>119</v>
      </c>
      <c r="L30" s="1292">
        <v>624.79999999999995</v>
      </c>
      <c r="M30" s="1295">
        <v>1</v>
      </c>
      <c r="N30" s="1296">
        <v>1.2620910621938648</v>
      </c>
      <c r="O30" s="1297" t="s">
        <v>3169</v>
      </c>
      <c r="P30" s="968"/>
      <c r="Q30" s="615" t="s">
        <v>673</v>
      </c>
      <c r="R30" s="21">
        <v>3</v>
      </c>
      <c r="S30" s="21">
        <v>4</v>
      </c>
      <c r="T30" s="21">
        <v>1</v>
      </c>
      <c r="U30" s="21">
        <v>3</v>
      </c>
      <c r="V30" s="21">
        <v>1</v>
      </c>
      <c r="W30" s="21">
        <v>5</v>
      </c>
      <c r="X30" s="297">
        <v>3</v>
      </c>
      <c r="Y30" s="6">
        <v>1.05</v>
      </c>
      <c r="Z30" s="245">
        <f t="shared" si="0"/>
        <v>1.2555818742947564</v>
      </c>
      <c r="AA30" s="245">
        <f t="shared" si="1"/>
        <v>1.2620910621938648</v>
      </c>
      <c r="AB30" s="246" t="str">
        <f t="shared" si="2"/>
        <v>(3,4,1,3,1,5)</v>
      </c>
      <c r="AC30" s="30">
        <v>1.1000000000000001</v>
      </c>
      <c r="AD30" s="30">
        <v>1.1000000000000001</v>
      </c>
      <c r="AE30" s="30">
        <v>1</v>
      </c>
      <c r="AF30" s="30">
        <v>1.02</v>
      </c>
      <c r="AG30" s="30">
        <v>1</v>
      </c>
      <c r="AH30" s="30">
        <v>1.2</v>
      </c>
    </row>
    <row r="31" spans="1:34" ht="24" customHeight="1">
      <c r="A31" s="1246">
        <v>79235</v>
      </c>
      <c r="B31" s="1248" t="s">
        <v>705</v>
      </c>
      <c r="C31" s="1247"/>
      <c r="D31" s="1249">
        <v>5</v>
      </c>
      <c r="E31" s="1250" t="s">
        <v>98</v>
      </c>
      <c r="F31" s="1251" t="s">
        <v>688</v>
      </c>
      <c r="G31" s="1252" t="s">
        <v>340</v>
      </c>
      <c r="H31" s="1253" t="s">
        <v>98</v>
      </c>
      <c r="I31" s="1254" t="s">
        <v>98</v>
      </c>
      <c r="J31" s="1255">
        <v>0</v>
      </c>
      <c r="K31" s="1252" t="s">
        <v>109</v>
      </c>
      <c r="L31" s="1252">
        <v>948.80000000000007</v>
      </c>
      <c r="M31" s="1256">
        <v>1</v>
      </c>
      <c r="N31" s="1257">
        <v>1.2620910621938648</v>
      </c>
      <c r="O31" s="1258" t="s">
        <v>3177</v>
      </c>
      <c r="P31" s="968"/>
      <c r="Q31" s="615" t="s">
        <v>706</v>
      </c>
      <c r="R31" s="21">
        <v>3</v>
      </c>
      <c r="S31" s="21">
        <v>4</v>
      </c>
      <c r="T31" s="21">
        <v>1</v>
      </c>
      <c r="U31" s="21">
        <v>3</v>
      </c>
      <c r="V31" s="21">
        <v>1</v>
      </c>
      <c r="W31" s="21">
        <v>5</v>
      </c>
      <c r="X31" s="297">
        <v>3</v>
      </c>
      <c r="Y31" s="6">
        <v>1.05</v>
      </c>
      <c r="Z31" s="245">
        <f t="shared" si="0"/>
        <v>1.2555818742947564</v>
      </c>
      <c r="AA31" s="245">
        <f t="shared" si="1"/>
        <v>1.2620910621938648</v>
      </c>
      <c r="AB31" s="246" t="str">
        <f t="shared" si="2"/>
        <v>(3,4,1,3,1,5)</v>
      </c>
      <c r="AC31" s="30">
        <v>1.1000000000000001</v>
      </c>
      <c r="AD31" s="30">
        <v>1.1000000000000001</v>
      </c>
      <c r="AE31" s="30">
        <v>1</v>
      </c>
      <c r="AF31" s="30">
        <v>1.02</v>
      </c>
      <c r="AG31" s="30">
        <v>1</v>
      </c>
      <c r="AH31" s="30">
        <v>1.2</v>
      </c>
    </row>
    <row r="32" spans="1:34">
      <c r="A32" s="1246">
        <v>263587</v>
      </c>
      <c r="B32" s="1279"/>
      <c r="C32" s="1247"/>
      <c r="D32" s="1298">
        <v>5</v>
      </c>
      <c r="E32" s="1299" t="s">
        <v>98</v>
      </c>
      <c r="F32" s="1291" t="s">
        <v>707</v>
      </c>
      <c r="G32" s="1292" t="s">
        <v>103</v>
      </c>
      <c r="H32" s="1300" t="s">
        <v>98</v>
      </c>
      <c r="I32" s="1293" t="s">
        <v>98</v>
      </c>
      <c r="J32" s="1294">
        <v>0</v>
      </c>
      <c r="K32" s="1292" t="s">
        <v>96</v>
      </c>
      <c r="L32" s="1292">
        <v>61669.099999999991</v>
      </c>
      <c r="M32" s="1295">
        <v>1</v>
      </c>
      <c r="N32" s="1296">
        <v>1.2620910621938648</v>
      </c>
      <c r="O32" s="1297" t="s">
        <v>3169</v>
      </c>
      <c r="P32" s="968"/>
      <c r="Q32" s="615" t="s">
        <v>673</v>
      </c>
      <c r="R32" s="21">
        <v>3</v>
      </c>
      <c r="S32" s="21">
        <v>4</v>
      </c>
      <c r="T32" s="21">
        <v>1</v>
      </c>
      <c r="U32" s="21">
        <v>3</v>
      </c>
      <c r="V32" s="21">
        <v>1</v>
      </c>
      <c r="W32" s="21">
        <v>5</v>
      </c>
      <c r="X32" s="297">
        <v>3</v>
      </c>
      <c r="Y32" s="6">
        <v>1.05</v>
      </c>
      <c r="Z32" s="245">
        <f t="shared" si="0"/>
        <v>1.2555818742947564</v>
      </c>
      <c r="AA32" s="245">
        <f t="shared" si="1"/>
        <v>1.2620910621938648</v>
      </c>
      <c r="AB32" s="246" t="str">
        <f t="shared" si="2"/>
        <v>(3,4,1,3,1,5)</v>
      </c>
      <c r="AC32" s="30">
        <v>1.1000000000000001</v>
      </c>
      <c r="AD32" s="30">
        <v>1.1000000000000001</v>
      </c>
      <c r="AE32" s="30">
        <v>1</v>
      </c>
      <c r="AF32" s="30">
        <v>1.02</v>
      </c>
      <c r="AG32" s="30">
        <v>1</v>
      </c>
      <c r="AH32" s="30">
        <v>1.2</v>
      </c>
    </row>
    <row r="33" spans="1:34" ht="24" customHeight="1">
      <c r="A33" s="1246">
        <v>257828</v>
      </c>
      <c r="B33" s="1279"/>
      <c r="C33" s="1247"/>
      <c r="D33" s="1249">
        <v>5</v>
      </c>
      <c r="E33" s="1250" t="s">
        <v>98</v>
      </c>
      <c r="F33" s="1251" t="s">
        <v>708</v>
      </c>
      <c r="G33" s="1252" t="s">
        <v>103</v>
      </c>
      <c r="H33" s="1253" t="s">
        <v>98</v>
      </c>
      <c r="I33" s="1254" t="s">
        <v>98</v>
      </c>
      <c r="J33" s="1255">
        <v>0</v>
      </c>
      <c r="K33" s="1252" t="s">
        <v>679</v>
      </c>
      <c r="L33" s="1252">
        <v>9487.5600000000013</v>
      </c>
      <c r="M33" s="1256">
        <v>1</v>
      </c>
      <c r="N33" s="1257">
        <v>1.2620910621938648</v>
      </c>
      <c r="O33" s="1258" t="s">
        <v>3178</v>
      </c>
      <c r="P33" s="968"/>
      <c r="Q33" s="615" t="s">
        <v>709</v>
      </c>
      <c r="R33" s="21">
        <v>3</v>
      </c>
      <c r="S33" s="21">
        <v>4</v>
      </c>
      <c r="T33" s="21">
        <v>1</v>
      </c>
      <c r="U33" s="21">
        <v>3</v>
      </c>
      <c r="V33" s="21">
        <v>1</v>
      </c>
      <c r="W33" s="21">
        <v>5</v>
      </c>
      <c r="X33" s="297">
        <v>3</v>
      </c>
      <c r="Y33" s="6">
        <v>1.05</v>
      </c>
      <c r="Z33" s="245">
        <f t="shared" si="0"/>
        <v>1.2555818742947564</v>
      </c>
      <c r="AA33" s="245">
        <f t="shared" si="1"/>
        <v>1.2620910621938648</v>
      </c>
      <c r="AB33" s="246" t="str">
        <f t="shared" si="2"/>
        <v>(3,4,1,3,1,5)</v>
      </c>
      <c r="AC33" s="30">
        <v>1.1000000000000001</v>
      </c>
      <c r="AD33" s="30">
        <v>1.1000000000000001</v>
      </c>
      <c r="AE33" s="30">
        <v>1</v>
      </c>
      <c r="AF33" s="30">
        <v>1.02</v>
      </c>
      <c r="AG33" s="30">
        <v>1</v>
      </c>
      <c r="AH33" s="30">
        <v>1.2</v>
      </c>
    </row>
    <row r="34" spans="1:34" ht="24" customHeight="1">
      <c r="A34" s="1246">
        <v>254233</v>
      </c>
      <c r="B34" s="1279"/>
      <c r="C34" s="1247"/>
      <c r="D34" s="1298">
        <v>5</v>
      </c>
      <c r="E34" s="1299" t="s">
        <v>98</v>
      </c>
      <c r="F34" s="1291" t="s">
        <v>710</v>
      </c>
      <c r="G34" s="1292" t="s">
        <v>103</v>
      </c>
      <c r="H34" s="1300" t="s">
        <v>98</v>
      </c>
      <c r="I34" s="1293" t="s">
        <v>98</v>
      </c>
      <c r="J34" s="1294">
        <v>0</v>
      </c>
      <c r="K34" s="1292" t="s">
        <v>104</v>
      </c>
      <c r="L34" s="1292">
        <v>853.80000000000007</v>
      </c>
      <c r="M34" s="1295">
        <v>1</v>
      </c>
      <c r="N34" s="1296">
        <v>1.2620910621938648</v>
      </c>
      <c r="O34" s="1297" t="s">
        <v>3176</v>
      </c>
      <c r="P34" s="968"/>
      <c r="Q34" s="615" t="s">
        <v>703</v>
      </c>
      <c r="R34" s="21">
        <v>3</v>
      </c>
      <c r="S34" s="21">
        <v>4</v>
      </c>
      <c r="T34" s="21">
        <v>1</v>
      </c>
      <c r="U34" s="21">
        <v>3</v>
      </c>
      <c r="V34" s="21">
        <v>1</v>
      </c>
      <c r="W34" s="21">
        <v>5</v>
      </c>
      <c r="X34" s="297">
        <v>1</v>
      </c>
      <c r="Y34" s="6">
        <v>1.05</v>
      </c>
      <c r="Z34" s="245">
        <f t="shared" si="0"/>
        <v>1.2555818742947564</v>
      </c>
      <c r="AA34" s="245">
        <f t="shared" si="1"/>
        <v>1.2620910621938648</v>
      </c>
      <c r="AB34" s="246" t="str">
        <f t="shared" si="2"/>
        <v>(3,4,1,3,1,5)</v>
      </c>
      <c r="AC34" s="30">
        <v>1.1000000000000001</v>
      </c>
      <c r="AD34" s="30">
        <v>1.1000000000000001</v>
      </c>
      <c r="AE34" s="30">
        <v>1</v>
      </c>
      <c r="AF34" s="30">
        <v>1.02</v>
      </c>
      <c r="AG34" s="30">
        <v>1</v>
      </c>
      <c r="AH34" s="30">
        <v>1.2</v>
      </c>
    </row>
    <row r="35" spans="1:34">
      <c r="A35" s="1246">
        <v>269445</v>
      </c>
      <c r="B35" s="1279"/>
      <c r="C35" s="1247"/>
      <c r="D35" s="1249">
        <v>5</v>
      </c>
      <c r="E35" s="1250" t="s">
        <v>98</v>
      </c>
      <c r="F35" s="1251" t="s">
        <v>682</v>
      </c>
      <c r="G35" s="1252" t="s">
        <v>93</v>
      </c>
      <c r="H35" s="1253" t="s">
        <v>98</v>
      </c>
      <c r="I35" s="1254" t="s">
        <v>98</v>
      </c>
      <c r="J35" s="1255">
        <v>0</v>
      </c>
      <c r="K35" s="1252" t="s">
        <v>96</v>
      </c>
      <c r="L35" s="1252">
        <v>61669.099999999991</v>
      </c>
      <c r="M35" s="1256">
        <v>1</v>
      </c>
      <c r="N35" s="1257">
        <v>1.2620910621938648</v>
      </c>
      <c r="O35" s="1258" t="s">
        <v>3169</v>
      </c>
      <c r="P35" s="968"/>
      <c r="Q35" s="615" t="s">
        <v>673</v>
      </c>
      <c r="R35" s="21">
        <v>3</v>
      </c>
      <c r="S35" s="21">
        <v>4</v>
      </c>
      <c r="T35" s="21">
        <v>1</v>
      </c>
      <c r="U35" s="21">
        <v>3</v>
      </c>
      <c r="V35" s="21">
        <v>1</v>
      </c>
      <c r="W35" s="21">
        <v>5</v>
      </c>
      <c r="X35" s="297">
        <v>3</v>
      </c>
      <c r="Y35" s="6">
        <v>1.05</v>
      </c>
      <c r="Z35" s="245">
        <f t="shared" si="0"/>
        <v>1.2555818742947564</v>
      </c>
      <c r="AA35" s="245">
        <f t="shared" si="1"/>
        <v>1.2620910621938648</v>
      </c>
      <c r="AB35" s="246" t="str">
        <f t="shared" si="2"/>
        <v>(3,4,1,3,1,5)</v>
      </c>
      <c r="AC35" s="30">
        <v>1.1000000000000001</v>
      </c>
      <c r="AD35" s="30">
        <v>1.1000000000000001</v>
      </c>
      <c r="AE35" s="30">
        <v>1</v>
      </c>
      <c r="AF35" s="30">
        <v>1.02</v>
      </c>
      <c r="AG35" s="30">
        <v>1</v>
      </c>
      <c r="AH35" s="30">
        <v>1.2</v>
      </c>
    </row>
    <row r="36" spans="1:34">
      <c r="A36" s="1246">
        <v>266627</v>
      </c>
      <c r="B36" s="1279"/>
      <c r="C36" s="1247"/>
      <c r="D36" s="1298">
        <v>5</v>
      </c>
      <c r="E36" s="1299" t="s">
        <v>98</v>
      </c>
      <c r="F36" s="1291" t="s">
        <v>634</v>
      </c>
      <c r="G36" s="1292" t="s">
        <v>93</v>
      </c>
      <c r="H36" s="1300" t="s">
        <v>98</v>
      </c>
      <c r="I36" s="1293" t="s">
        <v>98</v>
      </c>
      <c r="J36" s="1294">
        <v>0</v>
      </c>
      <c r="K36" s="1292" t="s">
        <v>96</v>
      </c>
      <c r="L36" s="1292">
        <v>61669.099999999991</v>
      </c>
      <c r="M36" s="1295">
        <v>1</v>
      </c>
      <c r="N36" s="1296">
        <v>1.2620910621938648</v>
      </c>
      <c r="O36" s="1297" t="s">
        <v>3169</v>
      </c>
      <c r="P36" s="968"/>
      <c r="Q36" s="615" t="s">
        <v>673</v>
      </c>
      <c r="R36" s="21">
        <v>3</v>
      </c>
      <c r="S36" s="21">
        <v>4</v>
      </c>
      <c r="T36" s="21">
        <v>1</v>
      </c>
      <c r="U36" s="21">
        <v>3</v>
      </c>
      <c r="V36" s="21">
        <v>1</v>
      </c>
      <c r="W36" s="21">
        <v>5</v>
      </c>
      <c r="X36" s="297">
        <v>3</v>
      </c>
      <c r="Y36" s="6">
        <v>1.05</v>
      </c>
      <c r="Z36" s="245">
        <f t="shared" si="0"/>
        <v>1.2555818742947564</v>
      </c>
      <c r="AA36" s="245">
        <f t="shared" si="1"/>
        <v>1.2620910621938648</v>
      </c>
      <c r="AB36" s="246" t="str">
        <f t="shared" si="2"/>
        <v>(3,4,1,3,1,5)</v>
      </c>
      <c r="AC36" s="30">
        <v>1.1000000000000001</v>
      </c>
      <c r="AD36" s="30">
        <v>1.1000000000000001</v>
      </c>
      <c r="AE36" s="30">
        <v>1</v>
      </c>
      <c r="AF36" s="30">
        <v>1.02</v>
      </c>
      <c r="AG36" s="30">
        <v>1</v>
      </c>
      <c r="AH36" s="30">
        <v>1.2</v>
      </c>
    </row>
    <row r="37" spans="1:34" ht="36" customHeight="1">
      <c r="A37" s="1246">
        <v>267017</v>
      </c>
      <c r="B37" s="1248" t="s">
        <v>714</v>
      </c>
      <c r="C37" s="1247"/>
      <c r="D37" s="1249">
        <v>5</v>
      </c>
      <c r="E37" s="1250" t="s">
        <v>98</v>
      </c>
      <c r="F37" s="1251" t="s">
        <v>715</v>
      </c>
      <c r="G37" s="1252" t="s">
        <v>93</v>
      </c>
      <c r="H37" s="1253" t="s">
        <v>98</v>
      </c>
      <c r="I37" s="1254" t="s">
        <v>98</v>
      </c>
      <c r="J37" s="1255">
        <v>0</v>
      </c>
      <c r="K37" s="1252" t="s">
        <v>96</v>
      </c>
      <c r="L37" s="1252">
        <v>7058.7999999999993</v>
      </c>
      <c r="M37" s="1256">
        <v>1</v>
      </c>
      <c r="N37" s="1257">
        <v>1.2620910621938648</v>
      </c>
      <c r="O37" s="1258" t="s">
        <v>3169</v>
      </c>
      <c r="P37" s="968"/>
      <c r="Q37" s="615" t="s">
        <v>673</v>
      </c>
      <c r="R37" s="21">
        <v>3</v>
      </c>
      <c r="S37" s="21">
        <v>4</v>
      </c>
      <c r="T37" s="21">
        <v>1</v>
      </c>
      <c r="U37" s="21">
        <v>3</v>
      </c>
      <c r="V37" s="21">
        <v>1</v>
      </c>
      <c r="W37" s="21">
        <v>5</v>
      </c>
      <c r="X37" s="297">
        <v>3</v>
      </c>
      <c r="Y37" s="6">
        <v>1.05</v>
      </c>
      <c r="Z37" s="245">
        <f t="shared" si="0"/>
        <v>1.2555818742947564</v>
      </c>
      <c r="AA37" s="245">
        <f t="shared" si="1"/>
        <v>1.2620910621938648</v>
      </c>
      <c r="AB37" s="246" t="str">
        <f t="shared" si="2"/>
        <v>(3,4,1,3,1,5)</v>
      </c>
      <c r="AC37" s="30">
        <v>1.1000000000000001</v>
      </c>
      <c r="AD37" s="30">
        <v>1.1000000000000001</v>
      </c>
      <c r="AE37" s="30">
        <v>1</v>
      </c>
      <c r="AF37" s="30">
        <v>1.02</v>
      </c>
      <c r="AG37" s="30">
        <v>1</v>
      </c>
      <c r="AH37" s="30">
        <v>1.2</v>
      </c>
    </row>
    <row r="38" spans="1:34" ht="23.25" customHeight="1">
      <c r="A38" s="1246">
        <v>267287</v>
      </c>
      <c r="B38" s="1279"/>
      <c r="C38" s="1247"/>
      <c r="D38" s="1298">
        <v>5</v>
      </c>
      <c r="E38" s="1299" t="s">
        <v>98</v>
      </c>
      <c r="F38" s="1291" t="s">
        <v>690</v>
      </c>
      <c r="G38" s="1292" t="s">
        <v>154</v>
      </c>
      <c r="H38" s="1300" t="s">
        <v>98</v>
      </c>
      <c r="I38" s="1293" t="s">
        <v>98</v>
      </c>
      <c r="J38" s="1294">
        <v>0</v>
      </c>
      <c r="K38" s="1292" t="s">
        <v>104</v>
      </c>
      <c r="L38" s="1292">
        <v>215339.86460022209</v>
      </c>
      <c r="M38" s="1295">
        <v>1</v>
      </c>
      <c r="N38" s="1296">
        <v>1.2620910621938648</v>
      </c>
      <c r="O38" s="1297" t="s">
        <v>3173</v>
      </c>
      <c r="P38" s="968"/>
      <c r="Q38" s="615" t="s">
        <v>691</v>
      </c>
      <c r="R38" s="21">
        <v>3</v>
      </c>
      <c r="S38" s="21">
        <v>4</v>
      </c>
      <c r="T38" s="21">
        <v>1</v>
      </c>
      <c r="U38" s="21">
        <v>3</v>
      </c>
      <c r="V38" s="21">
        <v>1</v>
      </c>
      <c r="W38" s="21">
        <v>5</v>
      </c>
      <c r="X38" s="297">
        <v>1</v>
      </c>
      <c r="Y38" s="6">
        <v>1.05</v>
      </c>
      <c r="Z38" s="245">
        <f t="shared" si="0"/>
        <v>1.2555818742947564</v>
      </c>
      <c r="AA38" s="245">
        <f t="shared" si="1"/>
        <v>1.2620910621938648</v>
      </c>
      <c r="AB38" s="246" t="str">
        <f t="shared" si="2"/>
        <v>(3,4,1,3,1,5)</v>
      </c>
      <c r="AC38" s="30">
        <v>1.1000000000000001</v>
      </c>
      <c r="AD38" s="30">
        <v>1.1000000000000001</v>
      </c>
      <c r="AE38" s="30">
        <v>1</v>
      </c>
      <c r="AF38" s="30">
        <v>1.02</v>
      </c>
      <c r="AG38" s="30">
        <v>1</v>
      </c>
      <c r="AH38" s="30">
        <v>1.2</v>
      </c>
    </row>
    <row r="39" spans="1:34" ht="23.25" customHeight="1">
      <c r="A39" s="1246">
        <v>267287</v>
      </c>
      <c r="B39" s="1279"/>
      <c r="C39" s="1247"/>
      <c r="D39" s="1249">
        <v>5</v>
      </c>
      <c r="E39" s="1250" t="s">
        <v>98</v>
      </c>
      <c r="F39" s="1251" t="s">
        <v>690</v>
      </c>
      <c r="G39" s="1252" t="s">
        <v>154</v>
      </c>
      <c r="H39" s="1253" t="s">
        <v>98</v>
      </c>
      <c r="I39" s="1254" t="s">
        <v>98</v>
      </c>
      <c r="J39" s="1255">
        <v>0</v>
      </c>
      <c r="K39" s="1252" t="s">
        <v>104</v>
      </c>
      <c r="L39" s="1252">
        <v>303697.38030195417</v>
      </c>
      <c r="M39" s="1256">
        <v>1</v>
      </c>
      <c r="N39" s="1257">
        <v>1.2620910621938648</v>
      </c>
      <c r="O39" s="1258" t="s">
        <v>3175</v>
      </c>
      <c r="P39" s="968"/>
      <c r="Q39" s="615" t="s">
        <v>693</v>
      </c>
      <c r="R39" s="21">
        <v>3</v>
      </c>
      <c r="S39" s="21">
        <v>4</v>
      </c>
      <c r="T39" s="21">
        <v>1</v>
      </c>
      <c r="U39" s="21">
        <v>3</v>
      </c>
      <c r="V39" s="21">
        <v>1</v>
      </c>
      <c r="W39" s="21">
        <v>5</v>
      </c>
      <c r="X39" s="297">
        <v>1</v>
      </c>
      <c r="Y39" s="6">
        <v>1.05</v>
      </c>
      <c r="Z39" s="245">
        <f t="shared" ref="Z39:Z70" si="3">EXP(SQRT((LN(AC39)^2)+(LN(AD39)^2)+(LN(AE39)^2)+(LN(AF39)^2)+(LN(AG39)^2)+(LN(AH39)^2)))</f>
        <v>1.2555818742947564</v>
      </c>
      <c r="AA39" s="245">
        <f t="shared" ref="AA39:AA70" si="4">EXP(SQRT((LN(AC39)^2)+(LN(AD39)^2)+(LN(AE39)^2)+(LN(AF39)^2)+(LN(AG39)^2)+(LN(AH39)^2)+LN(Y39)^2))</f>
        <v>1.2620910621938648</v>
      </c>
      <c r="AB39" s="246" t="str">
        <f t="shared" si="2"/>
        <v>(3,4,1,3,1,5)</v>
      </c>
      <c r="AC39" s="30">
        <v>1.1000000000000001</v>
      </c>
      <c r="AD39" s="30">
        <v>1.1000000000000001</v>
      </c>
      <c r="AE39" s="30">
        <v>1</v>
      </c>
      <c r="AF39" s="30">
        <v>1.02</v>
      </c>
      <c r="AG39" s="30">
        <v>1</v>
      </c>
      <c r="AH39" s="30">
        <v>1.2</v>
      </c>
    </row>
    <row r="40" spans="1:34">
      <c r="A40" s="1246">
        <v>160371</v>
      </c>
      <c r="B40" s="1279"/>
      <c r="C40" s="1247"/>
      <c r="D40" s="1298">
        <v>5</v>
      </c>
      <c r="E40" s="1299" t="s">
        <v>98</v>
      </c>
      <c r="F40" s="1291" t="s">
        <v>242</v>
      </c>
      <c r="G40" s="1292" t="s">
        <v>93</v>
      </c>
      <c r="H40" s="1300" t="s">
        <v>98</v>
      </c>
      <c r="I40" s="1293" t="s">
        <v>98</v>
      </c>
      <c r="J40" s="1294">
        <v>0</v>
      </c>
      <c r="K40" s="1292" t="s">
        <v>115</v>
      </c>
      <c r="L40" s="1292">
        <v>108502</v>
      </c>
      <c r="M40" s="1295">
        <v>1</v>
      </c>
      <c r="N40" s="1296">
        <v>2.0741629046031922</v>
      </c>
      <c r="O40" s="1297" t="s">
        <v>3169</v>
      </c>
      <c r="P40" s="968"/>
      <c r="Q40" s="615" t="s">
        <v>673</v>
      </c>
      <c r="R40" s="21">
        <v>3</v>
      </c>
      <c r="S40" s="21">
        <v>4</v>
      </c>
      <c r="T40" s="21">
        <v>1</v>
      </c>
      <c r="U40" s="21">
        <v>3</v>
      </c>
      <c r="V40" s="21">
        <v>1</v>
      </c>
      <c r="W40" s="21">
        <v>5</v>
      </c>
      <c r="X40" s="297">
        <v>5</v>
      </c>
      <c r="Y40" s="6">
        <v>2</v>
      </c>
      <c r="Z40" s="245">
        <f t="shared" si="3"/>
        <v>1.2555818742947564</v>
      </c>
      <c r="AA40" s="245">
        <f t="shared" si="4"/>
        <v>2.0741629046031922</v>
      </c>
      <c r="AB40" s="246" t="str">
        <f t="shared" ref="AB40:AB71" si="5">CONCATENATE("(",R40,",",S40,",",T40,",",U40,",",V40,",",W40,")")</f>
        <v>(3,4,1,3,1,5)</v>
      </c>
      <c r="AC40" s="30">
        <v>1.1000000000000001</v>
      </c>
      <c r="AD40" s="30">
        <v>1.1000000000000001</v>
      </c>
      <c r="AE40" s="30">
        <v>1</v>
      </c>
      <c r="AF40" s="30">
        <v>1.02</v>
      </c>
      <c r="AG40" s="30">
        <v>1</v>
      </c>
      <c r="AH40" s="30">
        <v>1.2</v>
      </c>
    </row>
    <row r="41" spans="1:34">
      <c r="A41" s="1246">
        <v>269641</v>
      </c>
      <c r="B41" s="1279"/>
      <c r="C41" s="1247"/>
      <c r="D41" s="1249">
        <v>5</v>
      </c>
      <c r="E41" s="1250" t="s">
        <v>98</v>
      </c>
      <c r="F41" s="1251" t="s">
        <v>240</v>
      </c>
      <c r="G41" s="1252" t="s">
        <v>93</v>
      </c>
      <c r="H41" s="1253" t="s">
        <v>98</v>
      </c>
      <c r="I41" s="1254" t="s">
        <v>98</v>
      </c>
      <c r="J41" s="1255">
        <v>0</v>
      </c>
      <c r="K41" s="1252" t="s">
        <v>115</v>
      </c>
      <c r="L41" s="1252">
        <v>5480.2000000000007</v>
      </c>
      <c r="M41" s="1256">
        <v>1</v>
      </c>
      <c r="N41" s="1257">
        <v>2.0741629046031922</v>
      </c>
      <c r="O41" s="1258" t="s">
        <v>3169</v>
      </c>
      <c r="P41" s="968"/>
      <c r="Q41" s="615" t="s">
        <v>673</v>
      </c>
      <c r="R41" s="21">
        <v>3</v>
      </c>
      <c r="S41" s="21">
        <v>4</v>
      </c>
      <c r="T41" s="21">
        <v>1</v>
      </c>
      <c r="U41" s="21">
        <v>3</v>
      </c>
      <c r="V41" s="21">
        <v>1</v>
      </c>
      <c r="W41" s="21">
        <v>5</v>
      </c>
      <c r="X41" s="297">
        <v>5</v>
      </c>
      <c r="Y41" s="6">
        <v>2</v>
      </c>
      <c r="Z41" s="245">
        <f t="shared" si="3"/>
        <v>1.2555818742947564</v>
      </c>
      <c r="AA41" s="245">
        <f t="shared" si="4"/>
        <v>2.0741629046031922</v>
      </c>
      <c r="AB41" s="246" t="str">
        <f t="shared" si="5"/>
        <v>(3,4,1,3,1,5)</v>
      </c>
      <c r="AC41" s="30">
        <v>1.1000000000000001</v>
      </c>
      <c r="AD41" s="30">
        <v>1.1000000000000001</v>
      </c>
      <c r="AE41" s="30">
        <v>1</v>
      </c>
      <c r="AF41" s="30">
        <v>1.02</v>
      </c>
      <c r="AG41" s="30">
        <v>1</v>
      </c>
      <c r="AH41" s="30">
        <v>1.2</v>
      </c>
    </row>
    <row r="42" spans="1:34">
      <c r="A42" s="1246">
        <v>269641</v>
      </c>
      <c r="B42" s="1279"/>
      <c r="C42" s="1247"/>
      <c r="D42" s="1298">
        <v>5</v>
      </c>
      <c r="E42" s="1299" t="s">
        <v>98</v>
      </c>
      <c r="F42" s="1291" t="s">
        <v>240</v>
      </c>
      <c r="G42" s="1292" t="s">
        <v>93</v>
      </c>
      <c r="H42" s="1300" t="s">
        <v>98</v>
      </c>
      <c r="I42" s="1293" t="s">
        <v>98</v>
      </c>
      <c r="J42" s="1294">
        <v>0</v>
      </c>
      <c r="K42" s="1292" t="s">
        <v>115</v>
      </c>
      <c r="L42" s="1292">
        <v>212507.8</v>
      </c>
      <c r="M42" s="1295">
        <v>1</v>
      </c>
      <c r="N42" s="1296">
        <v>2.0741629046031922</v>
      </c>
      <c r="O42" s="1297" t="s">
        <v>3169</v>
      </c>
      <c r="P42" s="968"/>
      <c r="Q42" s="615" t="s">
        <v>673</v>
      </c>
      <c r="R42" s="21">
        <v>3</v>
      </c>
      <c r="S42" s="21">
        <v>4</v>
      </c>
      <c r="T42" s="21">
        <v>1</v>
      </c>
      <c r="U42" s="21">
        <v>3</v>
      </c>
      <c r="V42" s="21">
        <v>1</v>
      </c>
      <c r="W42" s="21">
        <v>5</v>
      </c>
      <c r="X42" s="297">
        <v>5</v>
      </c>
      <c r="Y42" s="6">
        <v>2</v>
      </c>
      <c r="Z42" s="245">
        <f t="shared" si="3"/>
        <v>1.2555818742947564</v>
      </c>
      <c r="AA42" s="245">
        <f t="shared" si="4"/>
        <v>2.0741629046031922</v>
      </c>
      <c r="AB42" s="246" t="str">
        <f t="shared" si="5"/>
        <v>(3,4,1,3,1,5)</v>
      </c>
      <c r="AC42" s="30">
        <v>1.1000000000000001</v>
      </c>
      <c r="AD42" s="30">
        <v>1.1000000000000001</v>
      </c>
      <c r="AE42" s="30">
        <v>1</v>
      </c>
      <c r="AF42" s="30">
        <v>1.02</v>
      </c>
      <c r="AG42" s="30">
        <v>1</v>
      </c>
      <c r="AH42" s="30">
        <v>1.2</v>
      </c>
    </row>
    <row r="43" spans="1:34" ht="26.25" customHeight="1">
      <c r="A43" s="1246">
        <v>261895</v>
      </c>
      <c r="B43" s="1279"/>
      <c r="C43" s="1247"/>
      <c r="D43" s="1249">
        <v>5</v>
      </c>
      <c r="E43" s="1250" t="s">
        <v>98</v>
      </c>
      <c r="F43" s="1251" t="s">
        <v>694</v>
      </c>
      <c r="G43" s="1252" t="s">
        <v>245</v>
      </c>
      <c r="H43" s="1253" t="s">
        <v>98</v>
      </c>
      <c r="I43" s="1254" t="s">
        <v>98</v>
      </c>
      <c r="J43" s="1255">
        <v>0</v>
      </c>
      <c r="K43" s="1252" t="s">
        <v>115</v>
      </c>
      <c r="L43" s="1252">
        <v>911.20000000000016</v>
      </c>
      <c r="M43" s="1256">
        <v>1</v>
      </c>
      <c r="N43" s="1257">
        <v>2.0741629046031922</v>
      </c>
      <c r="O43" s="1258" t="s">
        <v>3169</v>
      </c>
      <c r="P43" s="968"/>
      <c r="Q43" s="615" t="s">
        <v>673</v>
      </c>
      <c r="R43" s="21">
        <v>3</v>
      </c>
      <c r="S43" s="21">
        <v>4</v>
      </c>
      <c r="T43" s="21">
        <v>1</v>
      </c>
      <c r="U43" s="21">
        <v>3</v>
      </c>
      <c r="V43" s="21">
        <v>1</v>
      </c>
      <c r="W43" s="21">
        <v>5</v>
      </c>
      <c r="X43" s="297">
        <v>5</v>
      </c>
      <c r="Y43" s="6">
        <v>2</v>
      </c>
      <c r="Z43" s="245">
        <f t="shared" si="3"/>
        <v>1.2555818742947564</v>
      </c>
      <c r="AA43" s="245">
        <f t="shared" si="4"/>
        <v>2.0741629046031922</v>
      </c>
      <c r="AB43" s="246" t="str">
        <f t="shared" si="5"/>
        <v>(3,4,1,3,1,5)</v>
      </c>
      <c r="AC43" s="30">
        <v>1.1000000000000001</v>
      </c>
      <c r="AD43" s="30">
        <v>1.1000000000000001</v>
      </c>
      <c r="AE43" s="30">
        <v>1</v>
      </c>
      <c r="AF43" s="30">
        <v>1.02</v>
      </c>
      <c r="AG43" s="30">
        <v>1</v>
      </c>
      <c r="AH43" s="30">
        <v>1.2</v>
      </c>
    </row>
    <row r="44" spans="1:34">
      <c r="A44" s="1246">
        <v>257118</v>
      </c>
      <c r="B44" s="1248" t="s">
        <v>716</v>
      </c>
      <c r="C44" s="1247"/>
      <c r="D44" s="1298">
        <v>5</v>
      </c>
      <c r="E44" s="1299" t="s">
        <v>98</v>
      </c>
      <c r="F44" s="1291" t="s">
        <v>717</v>
      </c>
      <c r="G44" s="1292" t="s">
        <v>103</v>
      </c>
      <c r="H44" s="1300" t="s">
        <v>98</v>
      </c>
      <c r="I44" s="1293" t="s">
        <v>98</v>
      </c>
      <c r="J44" s="1294">
        <v>1</v>
      </c>
      <c r="K44" s="1292" t="s">
        <v>168</v>
      </c>
      <c r="L44" s="1292">
        <v>1.89</v>
      </c>
      <c r="M44" s="1295">
        <v>1</v>
      </c>
      <c r="N44" s="1296">
        <v>3.0708070945678916</v>
      </c>
      <c r="O44" s="1297" t="s">
        <v>3169</v>
      </c>
      <c r="P44" s="968"/>
      <c r="Q44" s="615" t="s">
        <v>673</v>
      </c>
      <c r="R44" s="21">
        <v>3</v>
      </c>
      <c r="S44" s="21">
        <v>4</v>
      </c>
      <c r="T44" s="21">
        <v>1</v>
      </c>
      <c r="U44" s="21">
        <v>3</v>
      </c>
      <c r="V44" s="21">
        <v>1</v>
      </c>
      <c r="W44" s="21">
        <v>5</v>
      </c>
      <c r="X44" s="297">
        <v>9</v>
      </c>
      <c r="Y44" s="6">
        <v>3</v>
      </c>
      <c r="Z44" s="245">
        <f t="shared" si="3"/>
        <v>1.2555818742947564</v>
      </c>
      <c r="AA44" s="245">
        <f t="shared" si="4"/>
        <v>3.0708070945678916</v>
      </c>
      <c r="AB44" s="246" t="str">
        <f t="shared" si="5"/>
        <v>(3,4,1,3,1,5)</v>
      </c>
      <c r="AC44" s="30">
        <v>1.1000000000000001</v>
      </c>
      <c r="AD44" s="30">
        <v>1.1000000000000001</v>
      </c>
      <c r="AE44" s="30">
        <v>1</v>
      </c>
      <c r="AF44" s="30">
        <v>1.02</v>
      </c>
      <c r="AG44" s="30">
        <v>1</v>
      </c>
      <c r="AH44" s="30">
        <v>1.2</v>
      </c>
    </row>
    <row r="45" spans="1:34" ht="36" customHeight="1">
      <c r="A45" s="1246">
        <v>264499</v>
      </c>
      <c r="B45" s="1248" t="s">
        <v>776</v>
      </c>
      <c r="C45" s="1247"/>
      <c r="D45" s="1249">
        <v>5</v>
      </c>
      <c r="E45" s="1250" t="s">
        <v>98</v>
      </c>
      <c r="F45" s="1251" t="s">
        <v>510</v>
      </c>
      <c r="G45" s="1252" t="s">
        <v>93</v>
      </c>
      <c r="H45" s="1253" t="s">
        <v>98</v>
      </c>
      <c r="I45" s="1254" t="s">
        <v>98</v>
      </c>
      <c r="J45" s="1255">
        <v>1</v>
      </c>
      <c r="K45" s="1252" t="s">
        <v>96</v>
      </c>
      <c r="L45" s="1252">
        <v>6545000</v>
      </c>
      <c r="M45" s="1256">
        <v>1</v>
      </c>
      <c r="N45" s="1257">
        <v>3.0708070945678916</v>
      </c>
      <c r="O45" s="1258" t="s">
        <v>3169</v>
      </c>
      <c r="P45" s="968"/>
      <c r="Q45" s="615" t="s">
        <v>673</v>
      </c>
      <c r="R45" s="21">
        <v>3</v>
      </c>
      <c r="S45" s="21">
        <v>4</v>
      </c>
      <c r="T45" s="21">
        <v>1</v>
      </c>
      <c r="U45" s="21">
        <v>3</v>
      </c>
      <c r="V45" s="21">
        <v>1</v>
      </c>
      <c r="W45" s="21">
        <v>5</v>
      </c>
      <c r="X45" s="297">
        <v>9</v>
      </c>
      <c r="Y45" s="6">
        <v>3</v>
      </c>
      <c r="Z45" s="245">
        <f t="shared" si="3"/>
        <v>1.2555818742947564</v>
      </c>
      <c r="AA45" s="245">
        <f t="shared" si="4"/>
        <v>3.0708070945678916</v>
      </c>
      <c r="AB45" s="246" t="str">
        <f t="shared" si="5"/>
        <v>(3,4,1,3,1,5)</v>
      </c>
      <c r="AC45" s="30">
        <v>1.1000000000000001</v>
      </c>
      <c r="AD45" s="30">
        <v>1.1000000000000001</v>
      </c>
      <c r="AE45" s="30">
        <v>1</v>
      </c>
      <c r="AF45" s="30">
        <v>1.02</v>
      </c>
      <c r="AG45" s="30">
        <v>1</v>
      </c>
      <c r="AH45" s="30">
        <v>1.2</v>
      </c>
    </row>
    <row r="46" spans="1:34" ht="36" customHeight="1">
      <c r="A46" s="1246">
        <v>267287</v>
      </c>
      <c r="B46" s="1248" t="s">
        <v>718</v>
      </c>
      <c r="C46" s="1247"/>
      <c r="D46" s="1298">
        <v>5</v>
      </c>
      <c r="E46" s="1299" t="s">
        <v>98</v>
      </c>
      <c r="F46" s="1291" t="s">
        <v>690</v>
      </c>
      <c r="G46" s="1292" t="s">
        <v>154</v>
      </c>
      <c r="H46" s="1300" t="s">
        <v>98</v>
      </c>
      <c r="I46" s="1293" t="s">
        <v>98</v>
      </c>
      <c r="J46" s="1294">
        <v>0</v>
      </c>
      <c r="K46" s="1292" t="s">
        <v>104</v>
      </c>
      <c r="L46" s="1292">
        <v>4888286.1458992688</v>
      </c>
      <c r="M46" s="1295">
        <v>1</v>
      </c>
      <c r="N46" s="1296">
        <v>1.2620910621938648</v>
      </c>
      <c r="O46" s="1297" t="s">
        <v>3175</v>
      </c>
      <c r="P46" s="968"/>
      <c r="Q46" s="615" t="s">
        <v>693</v>
      </c>
      <c r="R46" s="21">
        <v>3</v>
      </c>
      <c r="S46" s="21">
        <v>4</v>
      </c>
      <c r="T46" s="21">
        <v>1</v>
      </c>
      <c r="U46" s="21">
        <v>3</v>
      </c>
      <c r="V46" s="21">
        <v>1</v>
      </c>
      <c r="W46" s="21">
        <v>5</v>
      </c>
      <c r="X46" s="297">
        <v>1</v>
      </c>
      <c r="Y46" s="6">
        <v>1.05</v>
      </c>
      <c r="Z46" s="245">
        <f t="shared" si="3"/>
        <v>1.2555818742947564</v>
      </c>
      <c r="AA46" s="245">
        <f t="shared" si="4"/>
        <v>1.2620910621938648</v>
      </c>
      <c r="AB46" s="246" t="str">
        <f t="shared" si="5"/>
        <v>(3,4,1,3,1,5)</v>
      </c>
      <c r="AC46" s="30">
        <v>1.1000000000000001</v>
      </c>
      <c r="AD46" s="30">
        <v>1.1000000000000001</v>
      </c>
      <c r="AE46" s="30">
        <v>1</v>
      </c>
      <c r="AF46" s="30">
        <v>1.02</v>
      </c>
      <c r="AG46" s="30">
        <v>1</v>
      </c>
      <c r="AH46" s="30">
        <v>1.2</v>
      </c>
    </row>
    <row r="47" spans="1:34">
      <c r="A47" s="1246">
        <v>160371</v>
      </c>
      <c r="B47" s="1279"/>
      <c r="C47" s="1247"/>
      <c r="D47" s="1249">
        <v>5</v>
      </c>
      <c r="E47" s="1250" t="s">
        <v>98</v>
      </c>
      <c r="F47" s="1251" t="s">
        <v>242</v>
      </c>
      <c r="G47" s="1252" t="s">
        <v>93</v>
      </c>
      <c r="H47" s="1253" t="s">
        <v>98</v>
      </c>
      <c r="I47" s="1254" t="s">
        <v>98</v>
      </c>
      <c r="J47" s="1255">
        <v>0</v>
      </c>
      <c r="K47" s="1252" t="s">
        <v>115</v>
      </c>
      <c r="L47" s="1252">
        <v>26834.5</v>
      </c>
      <c r="M47" s="1256">
        <v>1</v>
      </c>
      <c r="N47" s="1257">
        <v>2.0741629046031922</v>
      </c>
      <c r="O47" s="1258" t="s">
        <v>3179</v>
      </c>
      <c r="P47" s="968"/>
      <c r="Q47" s="615" t="s">
        <v>719</v>
      </c>
      <c r="R47" s="21">
        <v>3</v>
      </c>
      <c r="S47" s="21">
        <v>4</v>
      </c>
      <c r="T47" s="21">
        <v>1</v>
      </c>
      <c r="U47" s="21">
        <v>3</v>
      </c>
      <c r="V47" s="21">
        <v>1</v>
      </c>
      <c r="W47" s="21">
        <v>5</v>
      </c>
      <c r="X47" s="297">
        <v>5</v>
      </c>
      <c r="Y47" s="6">
        <v>2</v>
      </c>
      <c r="Z47" s="245">
        <f t="shared" si="3"/>
        <v>1.2555818742947564</v>
      </c>
      <c r="AA47" s="245">
        <f t="shared" si="4"/>
        <v>2.0741629046031922</v>
      </c>
      <c r="AB47" s="246" t="str">
        <f t="shared" si="5"/>
        <v>(3,4,1,3,1,5)</v>
      </c>
      <c r="AC47" s="30">
        <v>1.1000000000000001</v>
      </c>
      <c r="AD47" s="30">
        <v>1.1000000000000001</v>
      </c>
      <c r="AE47" s="30">
        <v>1</v>
      </c>
      <c r="AF47" s="30">
        <v>1.02</v>
      </c>
      <c r="AG47" s="30">
        <v>1</v>
      </c>
      <c r="AH47" s="30">
        <v>1.2</v>
      </c>
    </row>
    <row r="48" spans="1:34">
      <c r="A48" s="1246">
        <v>269609</v>
      </c>
      <c r="B48" s="1279"/>
      <c r="C48" s="1247"/>
      <c r="D48" s="1298">
        <v>5</v>
      </c>
      <c r="E48" s="1299" t="s">
        <v>98</v>
      </c>
      <c r="F48" s="1291" t="s">
        <v>720</v>
      </c>
      <c r="G48" s="1292" t="s">
        <v>93</v>
      </c>
      <c r="H48" s="1300" t="s">
        <v>98</v>
      </c>
      <c r="I48" s="1293" t="s">
        <v>98</v>
      </c>
      <c r="J48" s="1294">
        <v>0</v>
      </c>
      <c r="K48" s="1292" t="s">
        <v>115</v>
      </c>
      <c r="L48" s="1292">
        <v>9490.2999999999993</v>
      </c>
      <c r="M48" s="1295">
        <v>1</v>
      </c>
      <c r="N48" s="1296">
        <v>2.0741629046031922</v>
      </c>
      <c r="O48" s="1297" t="s">
        <v>3179</v>
      </c>
      <c r="P48" s="968"/>
      <c r="Q48" s="615" t="s">
        <v>719</v>
      </c>
      <c r="R48" s="21">
        <v>3</v>
      </c>
      <c r="S48" s="21">
        <v>4</v>
      </c>
      <c r="T48" s="21">
        <v>1</v>
      </c>
      <c r="U48" s="21">
        <v>3</v>
      </c>
      <c r="V48" s="21">
        <v>1</v>
      </c>
      <c r="W48" s="21">
        <v>5</v>
      </c>
      <c r="X48" s="297">
        <v>5</v>
      </c>
      <c r="Y48" s="6">
        <v>2</v>
      </c>
      <c r="Z48" s="245">
        <f t="shared" si="3"/>
        <v>1.2555818742947564</v>
      </c>
      <c r="AA48" s="245">
        <f t="shared" si="4"/>
        <v>2.0741629046031922</v>
      </c>
      <c r="AB48" s="246" t="str">
        <f t="shared" si="5"/>
        <v>(3,4,1,3,1,5)</v>
      </c>
      <c r="AC48" s="30">
        <v>1.1000000000000001</v>
      </c>
      <c r="AD48" s="30">
        <v>1.1000000000000001</v>
      </c>
      <c r="AE48" s="30">
        <v>1</v>
      </c>
      <c r="AF48" s="30">
        <v>1.02</v>
      </c>
      <c r="AG48" s="30">
        <v>1</v>
      </c>
      <c r="AH48" s="30">
        <v>1.2</v>
      </c>
    </row>
    <row r="49" spans="1:34">
      <c r="A49" s="1246">
        <v>269641</v>
      </c>
      <c r="B49" s="1279"/>
      <c r="C49" s="1247"/>
      <c r="D49" s="1249">
        <v>5</v>
      </c>
      <c r="E49" s="1250" t="s">
        <v>98</v>
      </c>
      <c r="F49" s="1251" t="s">
        <v>240</v>
      </c>
      <c r="G49" s="1252" t="s">
        <v>93</v>
      </c>
      <c r="H49" s="1253" t="s">
        <v>98</v>
      </c>
      <c r="I49" s="1254" t="s">
        <v>98</v>
      </c>
      <c r="J49" s="1255">
        <v>0</v>
      </c>
      <c r="K49" s="1252" t="s">
        <v>115</v>
      </c>
      <c r="L49" s="1252">
        <v>2252134.5</v>
      </c>
      <c r="M49" s="1256">
        <v>1</v>
      </c>
      <c r="N49" s="1257">
        <v>2.0741629046031922</v>
      </c>
      <c r="O49" s="1258" t="s">
        <v>3169</v>
      </c>
      <c r="P49" s="968"/>
      <c r="Q49" s="615" t="s">
        <v>673</v>
      </c>
      <c r="R49" s="21">
        <v>3</v>
      </c>
      <c r="S49" s="21">
        <v>4</v>
      </c>
      <c r="T49" s="21">
        <v>1</v>
      </c>
      <c r="U49" s="21">
        <v>3</v>
      </c>
      <c r="V49" s="21">
        <v>1</v>
      </c>
      <c r="W49" s="21">
        <v>5</v>
      </c>
      <c r="X49" s="297">
        <v>5</v>
      </c>
      <c r="Y49" s="6">
        <v>2</v>
      </c>
      <c r="Z49" s="245">
        <f t="shared" si="3"/>
        <v>1.2555818742947564</v>
      </c>
      <c r="AA49" s="245">
        <f t="shared" si="4"/>
        <v>2.0741629046031922</v>
      </c>
      <c r="AB49" s="246" t="str">
        <f t="shared" si="5"/>
        <v>(3,4,1,3,1,5)</v>
      </c>
      <c r="AC49" s="30">
        <v>1.1000000000000001</v>
      </c>
      <c r="AD49" s="30">
        <v>1.1000000000000001</v>
      </c>
      <c r="AE49" s="30">
        <v>1</v>
      </c>
      <c r="AF49" s="30">
        <v>1.02</v>
      </c>
      <c r="AG49" s="30">
        <v>1</v>
      </c>
      <c r="AH49" s="30">
        <v>1.2</v>
      </c>
    </row>
    <row r="50" spans="1:34" ht="24" customHeight="1">
      <c r="A50" s="1246">
        <v>79235</v>
      </c>
      <c r="B50" s="1248" t="s">
        <v>721</v>
      </c>
      <c r="C50" s="1247"/>
      <c r="D50" s="1298">
        <v>5</v>
      </c>
      <c r="E50" s="1299" t="s">
        <v>98</v>
      </c>
      <c r="F50" s="1291" t="s">
        <v>688</v>
      </c>
      <c r="G50" s="1292" t="s">
        <v>340</v>
      </c>
      <c r="H50" s="1300" t="s">
        <v>98</v>
      </c>
      <c r="I50" s="1293" t="s">
        <v>98</v>
      </c>
      <c r="J50" s="1294">
        <v>0</v>
      </c>
      <c r="K50" s="1292" t="s">
        <v>109</v>
      </c>
      <c r="L50" s="1292">
        <v>4558.0829434195612</v>
      </c>
      <c r="M50" s="1295">
        <v>1</v>
      </c>
      <c r="N50" s="1296">
        <v>1.2620910621938648</v>
      </c>
      <c r="O50" s="1297" t="s">
        <v>3169</v>
      </c>
      <c r="P50" s="968"/>
      <c r="Q50" s="615" t="s">
        <v>673</v>
      </c>
      <c r="R50" s="21">
        <v>3</v>
      </c>
      <c r="S50" s="21">
        <v>4</v>
      </c>
      <c r="T50" s="21">
        <v>1</v>
      </c>
      <c r="U50" s="21">
        <v>3</v>
      </c>
      <c r="V50" s="21">
        <v>1</v>
      </c>
      <c r="W50" s="21">
        <v>5</v>
      </c>
      <c r="X50" s="297">
        <v>3</v>
      </c>
      <c r="Y50" s="6">
        <v>1.05</v>
      </c>
      <c r="Z50" s="245">
        <f t="shared" si="3"/>
        <v>1.2555818742947564</v>
      </c>
      <c r="AA50" s="245">
        <f t="shared" si="4"/>
        <v>1.2620910621938648</v>
      </c>
      <c r="AB50" s="246" t="str">
        <f t="shared" si="5"/>
        <v>(3,4,1,3,1,5)</v>
      </c>
      <c r="AC50" s="30">
        <v>1.1000000000000001</v>
      </c>
      <c r="AD50" s="30">
        <v>1.1000000000000001</v>
      </c>
      <c r="AE50" s="30">
        <v>1</v>
      </c>
      <c r="AF50" s="30">
        <v>1.02</v>
      </c>
      <c r="AG50" s="30">
        <v>1</v>
      </c>
      <c r="AH50" s="30">
        <v>1.2</v>
      </c>
    </row>
    <row r="51" spans="1:34">
      <c r="A51" s="1246">
        <v>263631</v>
      </c>
      <c r="B51" s="1279"/>
      <c r="C51" s="1247"/>
      <c r="D51" s="1249">
        <v>5</v>
      </c>
      <c r="E51" s="1250" t="s">
        <v>98</v>
      </c>
      <c r="F51" s="1251" t="s">
        <v>722</v>
      </c>
      <c r="G51" s="1252" t="s">
        <v>103</v>
      </c>
      <c r="H51" s="1253" t="s">
        <v>98</v>
      </c>
      <c r="I51" s="1254" t="s">
        <v>98</v>
      </c>
      <c r="J51" s="1255">
        <v>0</v>
      </c>
      <c r="K51" s="1252" t="s">
        <v>96</v>
      </c>
      <c r="L51" s="1252">
        <v>3164556.3097907859</v>
      </c>
      <c r="M51" s="1256">
        <v>1</v>
      </c>
      <c r="N51" s="1257">
        <v>1.2620910621938648</v>
      </c>
      <c r="O51" s="1258" t="s">
        <v>3169</v>
      </c>
      <c r="P51" s="968"/>
      <c r="Q51" s="615" t="s">
        <v>673</v>
      </c>
      <c r="R51" s="21">
        <v>3</v>
      </c>
      <c r="S51" s="21">
        <v>4</v>
      </c>
      <c r="T51" s="21">
        <v>1</v>
      </c>
      <c r="U51" s="21">
        <v>3</v>
      </c>
      <c r="V51" s="21">
        <v>1</v>
      </c>
      <c r="W51" s="21">
        <v>5</v>
      </c>
      <c r="X51" s="297">
        <v>3</v>
      </c>
      <c r="Y51" s="6">
        <v>1.05</v>
      </c>
      <c r="Z51" s="245">
        <f t="shared" si="3"/>
        <v>1.2555818742947564</v>
      </c>
      <c r="AA51" s="245">
        <f t="shared" si="4"/>
        <v>1.2620910621938648</v>
      </c>
      <c r="AB51" s="246" t="str">
        <f t="shared" si="5"/>
        <v>(3,4,1,3,1,5)</v>
      </c>
      <c r="AC51" s="30">
        <v>1.1000000000000001</v>
      </c>
      <c r="AD51" s="30">
        <v>1.1000000000000001</v>
      </c>
      <c r="AE51" s="30">
        <v>1</v>
      </c>
      <c r="AF51" s="30">
        <v>1.02</v>
      </c>
      <c r="AG51" s="30">
        <v>1</v>
      </c>
      <c r="AH51" s="30">
        <v>1.2</v>
      </c>
    </row>
    <row r="52" spans="1:34">
      <c r="A52" s="1246">
        <v>79235</v>
      </c>
      <c r="B52" s="1248" t="s">
        <v>726</v>
      </c>
      <c r="C52" s="1247"/>
      <c r="D52" s="1298">
        <v>5</v>
      </c>
      <c r="E52" s="1299" t="s">
        <v>98</v>
      </c>
      <c r="F52" s="1291" t="s">
        <v>688</v>
      </c>
      <c r="G52" s="1292" t="s">
        <v>340</v>
      </c>
      <c r="H52" s="1300" t="s">
        <v>98</v>
      </c>
      <c r="I52" s="1293" t="s">
        <v>98</v>
      </c>
      <c r="J52" s="1294">
        <v>0</v>
      </c>
      <c r="K52" s="1292" t="s">
        <v>109</v>
      </c>
      <c r="L52" s="1292">
        <v>3165.6</v>
      </c>
      <c r="M52" s="1295">
        <v>1</v>
      </c>
      <c r="N52" s="1296">
        <v>1.2620910621938648</v>
      </c>
      <c r="O52" s="1297" t="s">
        <v>3180</v>
      </c>
      <c r="P52" s="968"/>
      <c r="Q52" s="615" t="s">
        <v>727</v>
      </c>
      <c r="R52" s="21">
        <v>3</v>
      </c>
      <c r="S52" s="21">
        <v>4</v>
      </c>
      <c r="T52" s="21">
        <v>1</v>
      </c>
      <c r="U52" s="21">
        <v>3</v>
      </c>
      <c r="V52" s="21">
        <v>1</v>
      </c>
      <c r="W52" s="21">
        <v>5</v>
      </c>
      <c r="X52" s="297">
        <v>3</v>
      </c>
      <c r="Y52" s="6">
        <v>1.05</v>
      </c>
      <c r="Z52" s="245">
        <f t="shared" si="3"/>
        <v>1.2555818742947564</v>
      </c>
      <c r="AA52" s="245">
        <f t="shared" si="4"/>
        <v>1.2620910621938648</v>
      </c>
      <c r="AB52" s="246" t="str">
        <f t="shared" si="5"/>
        <v>(3,4,1,3,1,5)</v>
      </c>
      <c r="AC52" s="30">
        <v>1.1000000000000001</v>
      </c>
      <c r="AD52" s="30">
        <v>1.1000000000000001</v>
      </c>
      <c r="AE52" s="30">
        <v>1</v>
      </c>
      <c r="AF52" s="30">
        <v>1.02</v>
      </c>
      <c r="AG52" s="30">
        <v>1</v>
      </c>
      <c r="AH52" s="30">
        <v>1.2</v>
      </c>
    </row>
    <row r="53" spans="1:34" ht="24" customHeight="1">
      <c r="A53" s="1246">
        <v>254233</v>
      </c>
      <c r="B53" s="1279"/>
      <c r="C53" s="1247"/>
      <c r="D53" s="1249">
        <v>5</v>
      </c>
      <c r="E53" s="1250" t="s">
        <v>98</v>
      </c>
      <c r="F53" s="1251" t="s">
        <v>710</v>
      </c>
      <c r="G53" s="1252" t="s">
        <v>103</v>
      </c>
      <c r="H53" s="1253" t="s">
        <v>98</v>
      </c>
      <c r="I53" s="1254" t="s">
        <v>98</v>
      </c>
      <c r="J53" s="1255">
        <v>0</v>
      </c>
      <c r="K53" s="1252" t="s">
        <v>104</v>
      </c>
      <c r="L53" s="1252">
        <v>2849</v>
      </c>
      <c r="M53" s="1256">
        <v>1</v>
      </c>
      <c r="N53" s="1257">
        <v>1.2620910621938648</v>
      </c>
      <c r="O53" s="1258" t="s">
        <v>3169</v>
      </c>
      <c r="P53" s="968"/>
      <c r="Q53" s="615" t="s">
        <v>673</v>
      </c>
      <c r="R53" s="21">
        <v>3</v>
      </c>
      <c r="S53" s="21">
        <v>4</v>
      </c>
      <c r="T53" s="21">
        <v>1</v>
      </c>
      <c r="U53" s="21">
        <v>3</v>
      </c>
      <c r="V53" s="21">
        <v>1</v>
      </c>
      <c r="W53" s="21">
        <v>5</v>
      </c>
      <c r="X53" s="297">
        <v>1</v>
      </c>
      <c r="Y53" s="6">
        <v>1.05</v>
      </c>
      <c r="Z53" s="245">
        <f t="shared" si="3"/>
        <v>1.2555818742947564</v>
      </c>
      <c r="AA53" s="245">
        <f t="shared" si="4"/>
        <v>1.2620910621938648</v>
      </c>
      <c r="AB53" s="246" t="str">
        <f t="shared" si="5"/>
        <v>(3,4,1,3,1,5)</v>
      </c>
      <c r="AC53" s="30">
        <v>1.1000000000000001</v>
      </c>
      <c r="AD53" s="30">
        <v>1.1000000000000001</v>
      </c>
      <c r="AE53" s="30">
        <v>1</v>
      </c>
      <c r="AF53" s="30">
        <v>1.02</v>
      </c>
      <c r="AG53" s="30">
        <v>1</v>
      </c>
      <c r="AH53" s="30">
        <v>1.2</v>
      </c>
    </row>
    <row r="54" spans="1:34" ht="24" customHeight="1">
      <c r="A54" s="1246">
        <v>263015</v>
      </c>
      <c r="B54" s="1279"/>
      <c r="C54" s="1247"/>
      <c r="D54" s="1298">
        <v>5</v>
      </c>
      <c r="E54" s="1299" t="s">
        <v>98</v>
      </c>
      <c r="F54" s="1291" t="s">
        <v>677</v>
      </c>
      <c r="G54" s="1292" t="s">
        <v>103</v>
      </c>
      <c r="H54" s="1300" t="s">
        <v>98</v>
      </c>
      <c r="I54" s="1293" t="s">
        <v>98</v>
      </c>
      <c r="J54" s="1294">
        <v>0</v>
      </c>
      <c r="K54" s="1292" t="s">
        <v>96</v>
      </c>
      <c r="L54" s="1292">
        <v>151683.20000000001</v>
      </c>
      <c r="M54" s="1295">
        <v>1</v>
      </c>
      <c r="N54" s="1296">
        <v>1.2620910621938648</v>
      </c>
      <c r="O54" s="1297" t="s">
        <v>3169</v>
      </c>
      <c r="P54" s="968"/>
      <c r="Q54" s="615" t="s">
        <v>673</v>
      </c>
      <c r="R54" s="21">
        <v>3</v>
      </c>
      <c r="S54" s="21">
        <v>4</v>
      </c>
      <c r="T54" s="21">
        <v>1</v>
      </c>
      <c r="U54" s="21">
        <v>3</v>
      </c>
      <c r="V54" s="21">
        <v>1</v>
      </c>
      <c r="W54" s="21">
        <v>5</v>
      </c>
      <c r="X54" s="297">
        <v>3</v>
      </c>
      <c r="Y54" s="6">
        <v>1.05</v>
      </c>
      <c r="Z54" s="245">
        <f t="shared" si="3"/>
        <v>1.2555818742947564</v>
      </c>
      <c r="AA54" s="245">
        <f t="shared" si="4"/>
        <v>1.2620910621938648</v>
      </c>
      <c r="AB54" s="246" t="str">
        <f t="shared" si="5"/>
        <v>(3,4,1,3,1,5)</v>
      </c>
      <c r="AC54" s="30">
        <v>1.1000000000000001</v>
      </c>
      <c r="AD54" s="30">
        <v>1.1000000000000001</v>
      </c>
      <c r="AE54" s="30">
        <v>1</v>
      </c>
      <c r="AF54" s="30">
        <v>1.02</v>
      </c>
      <c r="AG54" s="30">
        <v>1</v>
      </c>
      <c r="AH54" s="30">
        <v>1.2</v>
      </c>
    </row>
    <row r="55" spans="1:34">
      <c r="A55" s="1246">
        <v>268459</v>
      </c>
      <c r="B55" s="1279"/>
      <c r="C55" s="1247"/>
      <c r="D55" s="1249">
        <v>5</v>
      </c>
      <c r="E55" s="1250" t="s">
        <v>98</v>
      </c>
      <c r="F55" s="1251" t="s">
        <v>678</v>
      </c>
      <c r="G55" s="1252" t="s">
        <v>93</v>
      </c>
      <c r="H55" s="1253" t="s">
        <v>98</v>
      </c>
      <c r="I55" s="1254" t="s">
        <v>98</v>
      </c>
      <c r="J55" s="1255">
        <v>0</v>
      </c>
      <c r="K55" s="1252" t="s">
        <v>679</v>
      </c>
      <c r="L55" s="1252">
        <v>94968</v>
      </c>
      <c r="M55" s="1256">
        <v>1</v>
      </c>
      <c r="N55" s="1257">
        <v>1.2620910621938648</v>
      </c>
      <c r="O55" s="1258" t="s">
        <v>3169</v>
      </c>
      <c r="P55" s="968"/>
      <c r="Q55" s="615" t="s">
        <v>673</v>
      </c>
      <c r="R55" s="21">
        <v>3</v>
      </c>
      <c r="S55" s="21">
        <v>4</v>
      </c>
      <c r="T55" s="21">
        <v>1</v>
      </c>
      <c r="U55" s="21">
        <v>3</v>
      </c>
      <c r="V55" s="21">
        <v>1</v>
      </c>
      <c r="W55" s="21">
        <v>5</v>
      </c>
      <c r="X55" s="297">
        <v>3</v>
      </c>
      <c r="Y55" s="6">
        <v>1.05</v>
      </c>
      <c r="Z55" s="245">
        <f t="shared" si="3"/>
        <v>1.2555818742947564</v>
      </c>
      <c r="AA55" s="245">
        <f t="shared" si="4"/>
        <v>1.2620910621938648</v>
      </c>
      <c r="AB55" s="246" t="str">
        <f t="shared" si="5"/>
        <v>(3,4,1,3,1,5)</v>
      </c>
      <c r="AC55" s="30">
        <v>1.1000000000000001</v>
      </c>
      <c r="AD55" s="30">
        <v>1.1000000000000001</v>
      </c>
      <c r="AE55" s="30">
        <v>1</v>
      </c>
      <c r="AF55" s="30">
        <v>1.02</v>
      </c>
      <c r="AG55" s="30">
        <v>1</v>
      </c>
      <c r="AH55" s="30">
        <v>1.2</v>
      </c>
    </row>
    <row r="56" spans="1:34">
      <c r="A56" s="1246">
        <v>269445</v>
      </c>
      <c r="B56" s="1279"/>
      <c r="C56" s="1247"/>
      <c r="D56" s="1298">
        <v>5</v>
      </c>
      <c r="E56" s="1299" t="s">
        <v>98</v>
      </c>
      <c r="F56" s="1291" t="s">
        <v>682</v>
      </c>
      <c r="G56" s="1292" t="s">
        <v>93</v>
      </c>
      <c r="H56" s="1300" t="s">
        <v>98</v>
      </c>
      <c r="I56" s="1293" t="s">
        <v>98</v>
      </c>
      <c r="J56" s="1294">
        <v>0</v>
      </c>
      <c r="K56" s="1292" t="s">
        <v>96</v>
      </c>
      <c r="L56" s="1292">
        <v>307962.59999999998</v>
      </c>
      <c r="M56" s="1295">
        <v>1</v>
      </c>
      <c r="N56" s="1296">
        <v>1.2620910621938648</v>
      </c>
      <c r="O56" s="1297" t="s">
        <v>3169</v>
      </c>
      <c r="P56" s="968"/>
      <c r="Q56" s="615" t="s">
        <v>673</v>
      </c>
      <c r="R56" s="21">
        <v>3</v>
      </c>
      <c r="S56" s="21">
        <v>4</v>
      </c>
      <c r="T56" s="21">
        <v>1</v>
      </c>
      <c r="U56" s="21">
        <v>3</v>
      </c>
      <c r="V56" s="21">
        <v>1</v>
      </c>
      <c r="W56" s="21">
        <v>5</v>
      </c>
      <c r="X56" s="297">
        <v>3</v>
      </c>
      <c r="Y56" s="6">
        <v>1.05</v>
      </c>
      <c r="Z56" s="245">
        <f t="shared" si="3"/>
        <v>1.2555818742947564</v>
      </c>
      <c r="AA56" s="245">
        <f t="shared" si="4"/>
        <v>1.2620910621938648</v>
      </c>
      <c r="AB56" s="246" t="str">
        <f t="shared" si="5"/>
        <v>(3,4,1,3,1,5)</v>
      </c>
      <c r="AC56" s="30">
        <v>1.1000000000000001</v>
      </c>
      <c r="AD56" s="30">
        <v>1.1000000000000001</v>
      </c>
      <c r="AE56" s="30">
        <v>1</v>
      </c>
      <c r="AF56" s="30">
        <v>1.02</v>
      </c>
      <c r="AG56" s="30">
        <v>1</v>
      </c>
      <c r="AH56" s="30">
        <v>1.2</v>
      </c>
    </row>
    <row r="57" spans="1:34">
      <c r="A57" s="1246">
        <v>266627</v>
      </c>
      <c r="B57" s="1279"/>
      <c r="C57" s="1247"/>
      <c r="D57" s="1249">
        <v>5</v>
      </c>
      <c r="E57" s="1250" t="s">
        <v>98</v>
      </c>
      <c r="F57" s="1251" t="s">
        <v>634</v>
      </c>
      <c r="G57" s="1252" t="s">
        <v>93</v>
      </c>
      <c r="H57" s="1253" t="s">
        <v>98</v>
      </c>
      <c r="I57" s="1254" t="s">
        <v>98</v>
      </c>
      <c r="J57" s="1255">
        <v>0</v>
      </c>
      <c r="K57" s="1252" t="s">
        <v>96</v>
      </c>
      <c r="L57" s="1252">
        <v>307962.59999999998</v>
      </c>
      <c r="M57" s="1256">
        <v>1</v>
      </c>
      <c r="N57" s="1257">
        <v>1.2620910621938648</v>
      </c>
      <c r="O57" s="1258" t="s">
        <v>3169</v>
      </c>
      <c r="P57" s="968"/>
      <c r="Q57" s="615" t="s">
        <v>673</v>
      </c>
      <c r="R57" s="21">
        <v>3</v>
      </c>
      <c r="S57" s="21">
        <v>4</v>
      </c>
      <c r="T57" s="21">
        <v>1</v>
      </c>
      <c r="U57" s="21">
        <v>3</v>
      </c>
      <c r="V57" s="21">
        <v>1</v>
      </c>
      <c r="W57" s="21">
        <v>5</v>
      </c>
      <c r="X57" s="297">
        <v>3</v>
      </c>
      <c r="Y57" s="6">
        <v>1.05</v>
      </c>
      <c r="Z57" s="245">
        <f t="shared" si="3"/>
        <v>1.2555818742947564</v>
      </c>
      <c r="AA57" s="245">
        <f t="shared" si="4"/>
        <v>1.2620910621938648</v>
      </c>
      <c r="AB57" s="246" t="str">
        <f t="shared" si="5"/>
        <v>(3,4,1,3,1,5)</v>
      </c>
      <c r="AC57" s="30">
        <v>1.1000000000000001</v>
      </c>
      <c r="AD57" s="30">
        <v>1.1000000000000001</v>
      </c>
      <c r="AE57" s="30">
        <v>1</v>
      </c>
      <c r="AF57" s="30">
        <v>1.02</v>
      </c>
      <c r="AG57" s="30">
        <v>1</v>
      </c>
      <c r="AH57" s="30">
        <v>1.2</v>
      </c>
    </row>
    <row r="58" spans="1:34" ht="23.25" customHeight="1">
      <c r="A58" s="1246">
        <v>267287</v>
      </c>
      <c r="B58" s="1248" t="s">
        <v>728</v>
      </c>
      <c r="C58" s="1247"/>
      <c r="D58" s="1298">
        <v>5</v>
      </c>
      <c r="E58" s="1299" t="s">
        <v>98</v>
      </c>
      <c r="F58" s="1291" t="s">
        <v>690</v>
      </c>
      <c r="G58" s="1292" t="s">
        <v>154</v>
      </c>
      <c r="H58" s="1300" t="s">
        <v>98</v>
      </c>
      <c r="I58" s="1293" t="s">
        <v>98</v>
      </c>
      <c r="J58" s="1294">
        <v>0</v>
      </c>
      <c r="K58" s="1292" t="s">
        <v>104</v>
      </c>
      <c r="L58" s="1292">
        <v>295388.41416396649</v>
      </c>
      <c r="M58" s="1295">
        <v>1</v>
      </c>
      <c r="N58" s="1296">
        <v>1.2620910621938648</v>
      </c>
      <c r="O58" s="1297" t="s">
        <v>3175</v>
      </c>
      <c r="P58" s="968"/>
      <c r="Q58" s="615" t="s">
        <v>693</v>
      </c>
      <c r="R58" s="21">
        <v>3</v>
      </c>
      <c r="S58" s="21">
        <v>4</v>
      </c>
      <c r="T58" s="21">
        <v>1</v>
      </c>
      <c r="U58" s="21">
        <v>3</v>
      </c>
      <c r="V58" s="21">
        <v>1</v>
      </c>
      <c r="W58" s="21">
        <v>5</v>
      </c>
      <c r="X58" s="297">
        <v>1</v>
      </c>
      <c r="Y58" s="6">
        <v>1.05</v>
      </c>
      <c r="Z58" s="245">
        <f t="shared" si="3"/>
        <v>1.2555818742947564</v>
      </c>
      <c r="AA58" s="245">
        <f t="shared" si="4"/>
        <v>1.2620910621938648</v>
      </c>
      <c r="AB58" s="246" t="str">
        <f t="shared" si="5"/>
        <v>(3,4,1,3,1,5)</v>
      </c>
      <c r="AC58" s="30">
        <v>1.1000000000000001</v>
      </c>
      <c r="AD58" s="30">
        <v>1.1000000000000001</v>
      </c>
      <c r="AE58" s="30">
        <v>1</v>
      </c>
      <c r="AF58" s="30">
        <v>1.02</v>
      </c>
      <c r="AG58" s="30">
        <v>1</v>
      </c>
      <c r="AH58" s="30">
        <v>1.2</v>
      </c>
    </row>
    <row r="59" spans="1:34">
      <c r="A59" s="1246">
        <v>160371</v>
      </c>
      <c r="B59" s="1279"/>
      <c r="C59" s="1247"/>
      <c r="D59" s="1249">
        <v>5</v>
      </c>
      <c r="E59" s="1250" t="s">
        <v>98</v>
      </c>
      <c r="F59" s="1251" t="s">
        <v>242</v>
      </c>
      <c r="G59" s="1252" t="s">
        <v>93</v>
      </c>
      <c r="H59" s="1253" t="s">
        <v>98</v>
      </c>
      <c r="I59" s="1254" t="s">
        <v>98</v>
      </c>
      <c r="J59" s="1255">
        <v>0</v>
      </c>
      <c r="K59" s="1252" t="s">
        <v>115</v>
      </c>
      <c r="L59" s="1252">
        <v>114911.4</v>
      </c>
      <c r="M59" s="1256">
        <v>1</v>
      </c>
      <c r="N59" s="1257">
        <v>2.0741629046031922</v>
      </c>
      <c r="O59" s="1258" t="s">
        <v>3169</v>
      </c>
      <c r="P59" s="968"/>
      <c r="Q59" s="615" t="s">
        <v>673</v>
      </c>
      <c r="R59" s="21">
        <v>3</v>
      </c>
      <c r="S59" s="21">
        <v>4</v>
      </c>
      <c r="T59" s="21">
        <v>1</v>
      </c>
      <c r="U59" s="21">
        <v>3</v>
      </c>
      <c r="V59" s="21">
        <v>1</v>
      </c>
      <c r="W59" s="21">
        <v>5</v>
      </c>
      <c r="X59" s="297">
        <v>5</v>
      </c>
      <c r="Y59" s="6">
        <v>2</v>
      </c>
      <c r="Z59" s="245">
        <f t="shared" si="3"/>
        <v>1.2555818742947564</v>
      </c>
      <c r="AA59" s="245">
        <f t="shared" si="4"/>
        <v>2.0741629046031922</v>
      </c>
      <c r="AB59" s="246" t="str">
        <f t="shared" si="5"/>
        <v>(3,4,1,3,1,5)</v>
      </c>
      <c r="AC59" s="30">
        <v>1.1000000000000001</v>
      </c>
      <c r="AD59" s="30">
        <v>1.1000000000000001</v>
      </c>
      <c r="AE59" s="30">
        <v>1</v>
      </c>
      <c r="AF59" s="30">
        <v>1.02</v>
      </c>
      <c r="AG59" s="30">
        <v>1</v>
      </c>
      <c r="AH59" s="30">
        <v>1.2</v>
      </c>
    </row>
    <row r="60" spans="1:34">
      <c r="A60" s="1246">
        <v>269641</v>
      </c>
      <c r="B60" s="1279"/>
      <c r="C60" s="1247"/>
      <c r="D60" s="1298">
        <v>5</v>
      </c>
      <c r="E60" s="1299" t="s">
        <v>98</v>
      </c>
      <c r="F60" s="1291" t="s">
        <v>240</v>
      </c>
      <c r="G60" s="1292" t="s">
        <v>93</v>
      </c>
      <c r="H60" s="1300" t="s">
        <v>98</v>
      </c>
      <c r="I60" s="1293" t="s">
        <v>98</v>
      </c>
      <c r="J60" s="1294">
        <v>0</v>
      </c>
      <c r="K60" s="1292" t="s">
        <v>115</v>
      </c>
      <c r="L60" s="1292">
        <v>212586.09999999989</v>
      </c>
      <c r="M60" s="1295">
        <v>1</v>
      </c>
      <c r="N60" s="1296">
        <v>2.0741629046031922</v>
      </c>
      <c r="O60" s="1297" t="s">
        <v>3169</v>
      </c>
      <c r="P60" s="968"/>
      <c r="Q60" s="615" t="s">
        <v>673</v>
      </c>
      <c r="R60" s="21">
        <v>3</v>
      </c>
      <c r="S60" s="21">
        <v>4</v>
      </c>
      <c r="T60" s="21">
        <v>1</v>
      </c>
      <c r="U60" s="21">
        <v>3</v>
      </c>
      <c r="V60" s="21">
        <v>1</v>
      </c>
      <c r="W60" s="21">
        <v>5</v>
      </c>
      <c r="X60" s="297">
        <v>5</v>
      </c>
      <c r="Y60" s="6">
        <v>2</v>
      </c>
      <c r="Z60" s="245">
        <f t="shared" si="3"/>
        <v>1.2555818742947564</v>
      </c>
      <c r="AA60" s="245">
        <f t="shared" si="4"/>
        <v>2.0741629046031922</v>
      </c>
      <c r="AB60" s="246" t="str">
        <f t="shared" si="5"/>
        <v>(3,4,1,3,1,5)</v>
      </c>
      <c r="AC60" s="30">
        <v>1.1000000000000001</v>
      </c>
      <c r="AD60" s="30">
        <v>1.1000000000000001</v>
      </c>
      <c r="AE60" s="30">
        <v>1</v>
      </c>
      <c r="AF60" s="30">
        <v>1.02</v>
      </c>
      <c r="AG60" s="30">
        <v>1</v>
      </c>
      <c r="AH60" s="30">
        <v>1.2</v>
      </c>
    </row>
    <row r="61" spans="1:34" ht="24" customHeight="1">
      <c r="A61" s="1246">
        <v>77572</v>
      </c>
      <c r="B61" s="1248" t="s">
        <v>729</v>
      </c>
      <c r="C61" s="1247"/>
      <c r="D61" s="1249">
        <v>5</v>
      </c>
      <c r="E61" s="1250" t="s">
        <v>98</v>
      </c>
      <c r="F61" s="1251" t="s">
        <v>687</v>
      </c>
      <c r="G61" s="1252" t="s">
        <v>103</v>
      </c>
      <c r="H61" s="1253" t="s">
        <v>98</v>
      </c>
      <c r="I61" s="1254" t="s">
        <v>98</v>
      </c>
      <c r="J61" s="1255">
        <v>0</v>
      </c>
      <c r="K61" s="1252" t="s">
        <v>104</v>
      </c>
      <c r="L61" s="1252">
        <v>134736.85999999999</v>
      </c>
      <c r="M61" s="1256">
        <v>1</v>
      </c>
      <c r="N61" s="1257">
        <v>2.0741629046031922</v>
      </c>
      <c r="O61" s="1258" t="s">
        <v>3169</v>
      </c>
      <c r="P61" s="968"/>
      <c r="Q61" s="615" t="s">
        <v>673</v>
      </c>
      <c r="R61" s="21">
        <v>3</v>
      </c>
      <c r="S61" s="21">
        <v>4</v>
      </c>
      <c r="T61" s="21">
        <v>1</v>
      </c>
      <c r="U61" s="21">
        <v>3</v>
      </c>
      <c r="V61" s="21">
        <v>1</v>
      </c>
      <c r="W61" s="21">
        <v>5</v>
      </c>
      <c r="X61" s="297">
        <v>5</v>
      </c>
      <c r="Y61" s="6">
        <v>2</v>
      </c>
      <c r="Z61" s="245">
        <f t="shared" si="3"/>
        <v>1.2555818742947564</v>
      </c>
      <c r="AA61" s="245">
        <f t="shared" si="4"/>
        <v>2.0741629046031922</v>
      </c>
      <c r="AB61" s="246" t="str">
        <f t="shared" si="5"/>
        <v>(3,4,1,3,1,5)</v>
      </c>
      <c r="AC61" s="30">
        <v>1.1000000000000001</v>
      </c>
      <c r="AD61" s="30">
        <v>1.1000000000000001</v>
      </c>
      <c r="AE61" s="30">
        <v>1</v>
      </c>
      <c r="AF61" s="30">
        <v>1.02</v>
      </c>
      <c r="AG61" s="30">
        <v>1</v>
      </c>
      <c r="AH61" s="30">
        <v>1.2</v>
      </c>
    </row>
    <row r="62" spans="1:34" ht="24" customHeight="1">
      <c r="A62" s="1246">
        <v>268893</v>
      </c>
      <c r="B62" s="1279"/>
      <c r="C62" s="1247"/>
      <c r="D62" s="1298">
        <v>5</v>
      </c>
      <c r="E62" s="1299" t="s">
        <v>98</v>
      </c>
      <c r="F62" s="1291" t="s">
        <v>730</v>
      </c>
      <c r="G62" s="1292" t="s">
        <v>93</v>
      </c>
      <c r="H62" s="1300" t="s">
        <v>98</v>
      </c>
      <c r="I62" s="1293" t="s">
        <v>98</v>
      </c>
      <c r="J62" s="1294">
        <v>0</v>
      </c>
      <c r="K62" s="1292" t="s">
        <v>119</v>
      </c>
      <c r="L62" s="1292">
        <v>22393.439999999999</v>
      </c>
      <c r="M62" s="1295">
        <v>1</v>
      </c>
      <c r="N62" s="1296">
        <v>2.0741629046031922</v>
      </c>
      <c r="O62" s="1297" t="s">
        <v>3169</v>
      </c>
      <c r="P62" s="968"/>
      <c r="Q62" s="615" t="s">
        <v>673</v>
      </c>
      <c r="R62" s="21">
        <v>3</v>
      </c>
      <c r="S62" s="21">
        <v>4</v>
      </c>
      <c r="T62" s="21">
        <v>1</v>
      </c>
      <c r="U62" s="21">
        <v>3</v>
      </c>
      <c r="V62" s="21">
        <v>1</v>
      </c>
      <c r="W62" s="21">
        <v>5</v>
      </c>
      <c r="X62" s="297">
        <v>5</v>
      </c>
      <c r="Y62" s="6">
        <v>2</v>
      </c>
      <c r="Z62" s="245">
        <f t="shared" si="3"/>
        <v>1.2555818742947564</v>
      </c>
      <c r="AA62" s="245">
        <f t="shared" si="4"/>
        <v>2.0741629046031922</v>
      </c>
      <c r="AB62" s="246" t="str">
        <f t="shared" si="5"/>
        <v>(3,4,1,3,1,5)</v>
      </c>
      <c r="AC62" s="30">
        <v>1.1000000000000001</v>
      </c>
      <c r="AD62" s="30">
        <v>1.1000000000000001</v>
      </c>
      <c r="AE62" s="30">
        <v>1</v>
      </c>
      <c r="AF62" s="30">
        <v>1.02</v>
      </c>
      <c r="AG62" s="30">
        <v>1</v>
      </c>
      <c r="AH62" s="30">
        <v>1.2</v>
      </c>
    </row>
    <row r="63" spans="1:34">
      <c r="A63" s="1246">
        <v>259813</v>
      </c>
      <c r="B63" s="1248" t="s">
        <v>731</v>
      </c>
      <c r="C63" s="1247"/>
      <c r="D63" s="1249">
        <v>5</v>
      </c>
      <c r="E63" s="1250" t="s">
        <v>98</v>
      </c>
      <c r="F63" s="1251" t="s">
        <v>732</v>
      </c>
      <c r="G63" s="1252" t="s">
        <v>103</v>
      </c>
      <c r="H63" s="1253" t="s">
        <v>98</v>
      </c>
      <c r="I63" s="1254" t="s">
        <v>98</v>
      </c>
      <c r="J63" s="1255">
        <v>1</v>
      </c>
      <c r="K63" s="1252" t="s">
        <v>168</v>
      </c>
      <c r="L63" s="1252">
        <v>1.89</v>
      </c>
      <c r="M63" s="1256">
        <v>1</v>
      </c>
      <c r="N63" s="1257">
        <v>3.0708070945678916</v>
      </c>
      <c r="O63" s="1258" t="s">
        <v>3169</v>
      </c>
      <c r="P63" s="968"/>
      <c r="Q63" s="615" t="s">
        <v>673</v>
      </c>
      <c r="R63" s="21">
        <v>3</v>
      </c>
      <c r="S63" s="21">
        <v>4</v>
      </c>
      <c r="T63" s="21">
        <v>1</v>
      </c>
      <c r="U63" s="21">
        <v>3</v>
      </c>
      <c r="V63" s="21">
        <v>1</v>
      </c>
      <c r="W63" s="21">
        <v>5</v>
      </c>
      <c r="X63" s="297">
        <v>9</v>
      </c>
      <c r="Y63" s="6">
        <v>3</v>
      </c>
      <c r="Z63" s="245">
        <f t="shared" si="3"/>
        <v>1.2555818742947564</v>
      </c>
      <c r="AA63" s="245">
        <f t="shared" si="4"/>
        <v>3.0708070945678916</v>
      </c>
      <c r="AB63" s="246" t="str">
        <f t="shared" si="5"/>
        <v>(3,4,1,3,1,5)</v>
      </c>
      <c r="AC63" s="30">
        <v>1.1000000000000001</v>
      </c>
      <c r="AD63" s="30">
        <v>1.1000000000000001</v>
      </c>
      <c r="AE63" s="30">
        <v>1</v>
      </c>
      <c r="AF63" s="30">
        <v>1.02</v>
      </c>
      <c r="AG63" s="30">
        <v>1</v>
      </c>
      <c r="AH63" s="30">
        <v>1.2</v>
      </c>
    </row>
    <row r="64" spans="1:34">
      <c r="A64" s="1246">
        <v>79235</v>
      </c>
      <c r="B64" s="1248" t="s">
        <v>733</v>
      </c>
      <c r="C64" s="1247"/>
      <c r="D64" s="1298">
        <v>5</v>
      </c>
      <c r="E64" s="1299" t="s">
        <v>98</v>
      </c>
      <c r="F64" s="1291" t="s">
        <v>688</v>
      </c>
      <c r="G64" s="1292" t="s">
        <v>340</v>
      </c>
      <c r="H64" s="1300" t="s">
        <v>98</v>
      </c>
      <c r="I64" s="1293" t="s">
        <v>98</v>
      </c>
      <c r="J64" s="1294">
        <v>0</v>
      </c>
      <c r="K64" s="1292" t="s">
        <v>109</v>
      </c>
      <c r="L64" s="1292">
        <v>850.2</v>
      </c>
      <c r="M64" s="1295">
        <v>1</v>
      </c>
      <c r="N64" s="1296">
        <v>1.2620910621938648</v>
      </c>
      <c r="O64" s="1297" t="s">
        <v>3169</v>
      </c>
      <c r="P64" s="968"/>
      <c r="Q64" s="615" t="s">
        <v>673</v>
      </c>
      <c r="R64" s="21">
        <v>3</v>
      </c>
      <c r="S64" s="21">
        <v>4</v>
      </c>
      <c r="T64" s="21">
        <v>1</v>
      </c>
      <c r="U64" s="21">
        <v>3</v>
      </c>
      <c r="V64" s="21">
        <v>1</v>
      </c>
      <c r="W64" s="21">
        <v>5</v>
      </c>
      <c r="X64" s="297">
        <v>3</v>
      </c>
      <c r="Y64" s="6">
        <v>1.05</v>
      </c>
      <c r="Z64" s="245">
        <f t="shared" si="3"/>
        <v>1.2555818742947564</v>
      </c>
      <c r="AA64" s="245">
        <f t="shared" si="4"/>
        <v>1.2620910621938648</v>
      </c>
      <c r="AB64" s="246" t="str">
        <f t="shared" si="5"/>
        <v>(3,4,1,3,1,5)</v>
      </c>
      <c r="AC64" s="30">
        <v>1.1000000000000001</v>
      </c>
      <c r="AD64" s="30">
        <v>1.1000000000000001</v>
      </c>
      <c r="AE64" s="30">
        <v>1</v>
      </c>
      <c r="AF64" s="30">
        <v>1.02</v>
      </c>
      <c r="AG64" s="30">
        <v>1</v>
      </c>
      <c r="AH64" s="30">
        <v>1.2</v>
      </c>
    </row>
    <row r="65" spans="1:34" ht="24" customHeight="1">
      <c r="A65" s="1246">
        <v>254233</v>
      </c>
      <c r="B65" s="1279"/>
      <c r="C65" s="1247"/>
      <c r="D65" s="1249">
        <v>5</v>
      </c>
      <c r="E65" s="1250" t="s">
        <v>98</v>
      </c>
      <c r="F65" s="1251" t="s">
        <v>710</v>
      </c>
      <c r="G65" s="1252" t="s">
        <v>103</v>
      </c>
      <c r="H65" s="1253" t="s">
        <v>98</v>
      </c>
      <c r="I65" s="1254" t="s">
        <v>98</v>
      </c>
      <c r="J65" s="1255">
        <v>0</v>
      </c>
      <c r="K65" s="1252" t="s">
        <v>104</v>
      </c>
      <c r="L65" s="1252">
        <v>765.3</v>
      </c>
      <c r="M65" s="1256">
        <v>1</v>
      </c>
      <c r="N65" s="1257">
        <v>1.2620910621938648</v>
      </c>
      <c r="O65" s="1258" t="s">
        <v>3169</v>
      </c>
      <c r="P65" s="968"/>
      <c r="Q65" s="615" t="s">
        <v>673</v>
      </c>
      <c r="R65" s="21">
        <v>3</v>
      </c>
      <c r="S65" s="21">
        <v>4</v>
      </c>
      <c r="T65" s="21">
        <v>1</v>
      </c>
      <c r="U65" s="21">
        <v>3</v>
      </c>
      <c r="V65" s="21">
        <v>1</v>
      </c>
      <c r="W65" s="21">
        <v>5</v>
      </c>
      <c r="X65" s="297">
        <v>1</v>
      </c>
      <c r="Y65" s="6">
        <v>1.05</v>
      </c>
      <c r="Z65" s="245">
        <f t="shared" si="3"/>
        <v>1.2555818742947564</v>
      </c>
      <c r="AA65" s="245">
        <f t="shared" si="4"/>
        <v>1.2620910621938648</v>
      </c>
      <c r="AB65" s="246" t="str">
        <f t="shared" si="5"/>
        <v>(3,4,1,3,1,5)</v>
      </c>
      <c r="AC65" s="30">
        <v>1.1000000000000001</v>
      </c>
      <c r="AD65" s="30">
        <v>1.1000000000000001</v>
      </c>
      <c r="AE65" s="30">
        <v>1</v>
      </c>
      <c r="AF65" s="30">
        <v>1.02</v>
      </c>
      <c r="AG65" s="30">
        <v>1</v>
      </c>
      <c r="AH65" s="30">
        <v>1.2</v>
      </c>
    </row>
    <row r="66" spans="1:34" ht="24" customHeight="1">
      <c r="A66" s="1246">
        <v>263015</v>
      </c>
      <c r="B66" s="1279"/>
      <c r="C66" s="1247"/>
      <c r="D66" s="1298">
        <v>5</v>
      </c>
      <c r="E66" s="1299" t="s">
        <v>98</v>
      </c>
      <c r="F66" s="1291" t="s">
        <v>677</v>
      </c>
      <c r="G66" s="1292" t="s">
        <v>103</v>
      </c>
      <c r="H66" s="1300" t="s">
        <v>98</v>
      </c>
      <c r="I66" s="1293" t="s">
        <v>98</v>
      </c>
      <c r="J66" s="1294">
        <v>0</v>
      </c>
      <c r="K66" s="1292" t="s">
        <v>96</v>
      </c>
      <c r="L66" s="1292">
        <v>40736.800000000003</v>
      </c>
      <c r="M66" s="1295">
        <v>1</v>
      </c>
      <c r="N66" s="1296">
        <v>1.2620910621938648</v>
      </c>
      <c r="O66" s="1297" t="s">
        <v>3169</v>
      </c>
      <c r="P66" s="968"/>
      <c r="Q66" s="615" t="s">
        <v>673</v>
      </c>
      <c r="R66" s="21">
        <v>3</v>
      </c>
      <c r="S66" s="21">
        <v>4</v>
      </c>
      <c r="T66" s="21">
        <v>1</v>
      </c>
      <c r="U66" s="21">
        <v>3</v>
      </c>
      <c r="V66" s="21">
        <v>1</v>
      </c>
      <c r="W66" s="21">
        <v>5</v>
      </c>
      <c r="X66" s="297">
        <v>3</v>
      </c>
      <c r="Y66" s="6">
        <v>1.05</v>
      </c>
      <c r="Z66" s="245">
        <f t="shared" si="3"/>
        <v>1.2555818742947564</v>
      </c>
      <c r="AA66" s="245">
        <f t="shared" si="4"/>
        <v>1.2620910621938648</v>
      </c>
      <c r="AB66" s="246" t="str">
        <f t="shared" si="5"/>
        <v>(3,4,1,3,1,5)</v>
      </c>
      <c r="AC66" s="30">
        <v>1.1000000000000001</v>
      </c>
      <c r="AD66" s="30">
        <v>1.1000000000000001</v>
      </c>
      <c r="AE66" s="30">
        <v>1</v>
      </c>
      <c r="AF66" s="30">
        <v>1.02</v>
      </c>
      <c r="AG66" s="30">
        <v>1</v>
      </c>
      <c r="AH66" s="30">
        <v>1.2</v>
      </c>
    </row>
    <row r="67" spans="1:34">
      <c r="A67" s="1246">
        <v>268459</v>
      </c>
      <c r="B67" s="1279"/>
      <c r="C67" s="1247"/>
      <c r="D67" s="1249">
        <v>5</v>
      </c>
      <c r="E67" s="1250" t="s">
        <v>98</v>
      </c>
      <c r="F67" s="1251" t="s">
        <v>678</v>
      </c>
      <c r="G67" s="1252" t="s">
        <v>93</v>
      </c>
      <c r="H67" s="1253" t="s">
        <v>98</v>
      </c>
      <c r="I67" s="1254" t="s">
        <v>98</v>
      </c>
      <c r="J67" s="1255">
        <v>0</v>
      </c>
      <c r="K67" s="1252" t="s">
        <v>679</v>
      </c>
      <c r="L67" s="1252">
        <v>25505.1</v>
      </c>
      <c r="M67" s="1256">
        <v>1</v>
      </c>
      <c r="N67" s="1257">
        <v>1.2620910621938648</v>
      </c>
      <c r="O67" s="1258" t="s">
        <v>3169</v>
      </c>
      <c r="P67" s="968"/>
      <c r="Q67" s="615" t="s">
        <v>673</v>
      </c>
      <c r="R67" s="21">
        <v>3</v>
      </c>
      <c r="S67" s="21">
        <v>4</v>
      </c>
      <c r="T67" s="21">
        <v>1</v>
      </c>
      <c r="U67" s="21">
        <v>3</v>
      </c>
      <c r="V67" s="21">
        <v>1</v>
      </c>
      <c r="W67" s="21">
        <v>5</v>
      </c>
      <c r="X67" s="297">
        <v>3</v>
      </c>
      <c r="Y67" s="6">
        <v>1.05</v>
      </c>
      <c r="Z67" s="245">
        <f t="shared" si="3"/>
        <v>1.2555818742947564</v>
      </c>
      <c r="AA67" s="245">
        <f t="shared" si="4"/>
        <v>1.2620910621938648</v>
      </c>
      <c r="AB67" s="246" t="str">
        <f t="shared" si="5"/>
        <v>(3,4,1,3,1,5)</v>
      </c>
      <c r="AC67" s="30">
        <v>1.1000000000000001</v>
      </c>
      <c r="AD67" s="30">
        <v>1.1000000000000001</v>
      </c>
      <c r="AE67" s="30">
        <v>1</v>
      </c>
      <c r="AF67" s="30">
        <v>1.02</v>
      </c>
      <c r="AG67" s="30">
        <v>1</v>
      </c>
      <c r="AH67" s="30">
        <v>1.2</v>
      </c>
    </row>
    <row r="68" spans="1:34">
      <c r="A68" s="1246">
        <v>269445</v>
      </c>
      <c r="B68" s="1279"/>
      <c r="C68" s="1247"/>
      <c r="D68" s="1298">
        <v>5</v>
      </c>
      <c r="E68" s="1299" t="s">
        <v>98</v>
      </c>
      <c r="F68" s="1291" t="s">
        <v>682</v>
      </c>
      <c r="G68" s="1292" t="s">
        <v>93</v>
      </c>
      <c r="H68" s="1300" t="s">
        <v>98</v>
      </c>
      <c r="I68" s="1293" t="s">
        <v>98</v>
      </c>
      <c r="J68" s="1294">
        <v>0</v>
      </c>
      <c r="K68" s="1292" t="s">
        <v>96</v>
      </c>
      <c r="L68" s="1292">
        <v>82707.999999999985</v>
      </c>
      <c r="M68" s="1295">
        <v>1</v>
      </c>
      <c r="N68" s="1296">
        <v>1.2620910621938648</v>
      </c>
      <c r="O68" s="1297" t="s">
        <v>3169</v>
      </c>
      <c r="P68" s="968"/>
      <c r="Q68" s="615" t="s">
        <v>673</v>
      </c>
      <c r="R68" s="21">
        <v>3</v>
      </c>
      <c r="S68" s="21">
        <v>4</v>
      </c>
      <c r="T68" s="21">
        <v>1</v>
      </c>
      <c r="U68" s="21">
        <v>3</v>
      </c>
      <c r="V68" s="21">
        <v>1</v>
      </c>
      <c r="W68" s="21">
        <v>5</v>
      </c>
      <c r="X68" s="297">
        <v>3</v>
      </c>
      <c r="Y68" s="6">
        <v>1.05</v>
      </c>
      <c r="Z68" s="245">
        <f t="shared" si="3"/>
        <v>1.2555818742947564</v>
      </c>
      <c r="AA68" s="245">
        <f t="shared" si="4"/>
        <v>1.2620910621938648</v>
      </c>
      <c r="AB68" s="246" t="str">
        <f t="shared" si="5"/>
        <v>(3,4,1,3,1,5)</v>
      </c>
      <c r="AC68" s="30">
        <v>1.1000000000000001</v>
      </c>
      <c r="AD68" s="30">
        <v>1.1000000000000001</v>
      </c>
      <c r="AE68" s="30">
        <v>1</v>
      </c>
      <c r="AF68" s="30">
        <v>1.02</v>
      </c>
      <c r="AG68" s="30">
        <v>1</v>
      </c>
      <c r="AH68" s="30">
        <v>1.2</v>
      </c>
    </row>
    <row r="69" spans="1:34">
      <c r="A69" s="1246">
        <v>266627</v>
      </c>
      <c r="B69" s="1279"/>
      <c r="C69" s="1247"/>
      <c r="D69" s="1249">
        <v>5</v>
      </c>
      <c r="E69" s="1250" t="s">
        <v>98</v>
      </c>
      <c r="F69" s="1251" t="s">
        <v>634</v>
      </c>
      <c r="G69" s="1252" t="s">
        <v>93</v>
      </c>
      <c r="H69" s="1253" t="s">
        <v>98</v>
      </c>
      <c r="I69" s="1254" t="s">
        <v>98</v>
      </c>
      <c r="J69" s="1255">
        <v>0</v>
      </c>
      <c r="K69" s="1252" t="s">
        <v>96</v>
      </c>
      <c r="L69" s="1252">
        <v>82707.999999999985</v>
      </c>
      <c r="M69" s="1256">
        <v>1</v>
      </c>
      <c r="N69" s="1257">
        <v>1.2620910621938648</v>
      </c>
      <c r="O69" s="1258" t="s">
        <v>3169</v>
      </c>
      <c r="P69" s="968"/>
      <c r="Q69" s="615" t="s">
        <v>673</v>
      </c>
      <c r="R69" s="21">
        <v>3</v>
      </c>
      <c r="S69" s="21">
        <v>4</v>
      </c>
      <c r="T69" s="21">
        <v>1</v>
      </c>
      <c r="U69" s="21">
        <v>3</v>
      </c>
      <c r="V69" s="21">
        <v>1</v>
      </c>
      <c r="W69" s="21">
        <v>5</v>
      </c>
      <c r="X69" s="297">
        <v>3</v>
      </c>
      <c r="Y69" s="6">
        <v>1.05</v>
      </c>
      <c r="Z69" s="245">
        <f t="shared" si="3"/>
        <v>1.2555818742947564</v>
      </c>
      <c r="AA69" s="245">
        <f t="shared" si="4"/>
        <v>1.2620910621938648</v>
      </c>
      <c r="AB69" s="246" t="str">
        <f t="shared" si="5"/>
        <v>(3,4,1,3,1,5)</v>
      </c>
      <c r="AC69" s="30">
        <v>1.1000000000000001</v>
      </c>
      <c r="AD69" s="30">
        <v>1.1000000000000001</v>
      </c>
      <c r="AE69" s="30">
        <v>1</v>
      </c>
      <c r="AF69" s="30">
        <v>1.02</v>
      </c>
      <c r="AG69" s="30">
        <v>1</v>
      </c>
      <c r="AH69" s="30">
        <v>1.2</v>
      </c>
    </row>
    <row r="70" spans="1:34" ht="23.25" customHeight="1">
      <c r="A70" s="1246">
        <v>267287</v>
      </c>
      <c r="B70" s="1248" t="s">
        <v>734</v>
      </c>
      <c r="C70" s="1247"/>
      <c r="D70" s="1298">
        <v>5</v>
      </c>
      <c r="E70" s="1299" t="s">
        <v>98</v>
      </c>
      <c r="F70" s="1291" t="s">
        <v>690</v>
      </c>
      <c r="G70" s="1292" t="s">
        <v>154</v>
      </c>
      <c r="H70" s="1300" t="s">
        <v>98</v>
      </c>
      <c r="I70" s="1293" t="s">
        <v>98</v>
      </c>
      <c r="J70" s="1294">
        <v>0</v>
      </c>
      <c r="K70" s="1292" t="s">
        <v>104</v>
      </c>
      <c r="L70" s="1292">
        <v>79635.372086556075</v>
      </c>
      <c r="M70" s="1295">
        <v>1</v>
      </c>
      <c r="N70" s="1296">
        <v>1.2620910621938648</v>
      </c>
      <c r="O70" s="1297" t="s">
        <v>3175</v>
      </c>
      <c r="P70" s="968"/>
      <c r="Q70" s="615" t="s">
        <v>693</v>
      </c>
      <c r="R70" s="21">
        <v>3</v>
      </c>
      <c r="S70" s="21">
        <v>4</v>
      </c>
      <c r="T70" s="21">
        <v>1</v>
      </c>
      <c r="U70" s="21">
        <v>3</v>
      </c>
      <c r="V70" s="21">
        <v>1</v>
      </c>
      <c r="W70" s="21">
        <v>5</v>
      </c>
      <c r="X70" s="297">
        <v>1</v>
      </c>
      <c r="Y70" s="6">
        <v>1.05</v>
      </c>
      <c r="Z70" s="245">
        <f t="shared" si="3"/>
        <v>1.2555818742947564</v>
      </c>
      <c r="AA70" s="245">
        <f t="shared" si="4"/>
        <v>1.2620910621938648</v>
      </c>
      <c r="AB70" s="246" t="str">
        <f t="shared" si="5"/>
        <v>(3,4,1,3,1,5)</v>
      </c>
      <c r="AC70" s="30">
        <v>1.1000000000000001</v>
      </c>
      <c r="AD70" s="30">
        <v>1.1000000000000001</v>
      </c>
      <c r="AE70" s="30">
        <v>1</v>
      </c>
      <c r="AF70" s="30">
        <v>1.02</v>
      </c>
      <c r="AG70" s="30">
        <v>1</v>
      </c>
      <c r="AH70" s="30">
        <v>1.2</v>
      </c>
    </row>
    <row r="71" spans="1:34">
      <c r="A71" s="1246">
        <v>160371</v>
      </c>
      <c r="B71" s="1279"/>
      <c r="C71" s="1247"/>
      <c r="D71" s="1249">
        <v>5</v>
      </c>
      <c r="E71" s="1250" t="s">
        <v>98</v>
      </c>
      <c r="F71" s="1251" t="s">
        <v>242</v>
      </c>
      <c r="G71" s="1252" t="s">
        <v>93</v>
      </c>
      <c r="H71" s="1253" t="s">
        <v>98</v>
      </c>
      <c r="I71" s="1254" t="s">
        <v>98</v>
      </c>
      <c r="J71" s="1255">
        <v>0</v>
      </c>
      <c r="K71" s="1252" t="s">
        <v>115</v>
      </c>
      <c r="L71" s="1252">
        <v>30985.200000000001</v>
      </c>
      <c r="M71" s="1256">
        <v>1</v>
      </c>
      <c r="N71" s="1257">
        <v>2.0741629046031922</v>
      </c>
      <c r="O71" s="1258" t="s">
        <v>3169</v>
      </c>
      <c r="P71" s="968"/>
      <c r="Q71" s="615" t="s">
        <v>673</v>
      </c>
      <c r="R71" s="21">
        <v>3</v>
      </c>
      <c r="S71" s="21">
        <v>4</v>
      </c>
      <c r="T71" s="21">
        <v>1</v>
      </c>
      <c r="U71" s="21">
        <v>3</v>
      </c>
      <c r="V71" s="21">
        <v>1</v>
      </c>
      <c r="W71" s="21">
        <v>5</v>
      </c>
      <c r="X71" s="297">
        <v>5</v>
      </c>
      <c r="Y71" s="6">
        <v>2</v>
      </c>
      <c r="Z71" s="245">
        <f t="shared" ref="Z71:Z102" si="6">EXP(SQRT((LN(AC71)^2)+(LN(AD71)^2)+(LN(AE71)^2)+(LN(AF71)^2)+(LN(AG71)^2)+(LN(AH71)^2)))</f>
        <v>1.2555818742947564</v>
      </c>
      <c r="AA71" s="245">
        <f t="shared" ref="AA71:AA102" si="7">EXP(SQRT((LN(AC71)^2)+(LN(AD71)^2)+(LN(AE71)^2)+(LN(AF71)^2)+(LN(AG71)^2)+(LN(AH71)^2)+LN(Y71)^2))</f>
        <v>2.0741629046031922</v>
      </c>
      <c r="AB71" s="246" t="str">
        <f t="shared" si="5"/>
        <v>(3,4,1,3,1,5)</v>
      </c>
      <c r="AC71" s="30">
        <v>1.1000000000000001</v>
      </c>
      <c r="AD71" s="30">
        <v>1.1000000000000001</v>
      </c>
      <c r="AE71" s="30">
        <v>1</v>
      </c>
      <c r="AF71" s="30">
        <v>1.02</v>
      </c>
      <c r="AG71" s="30">
        <v>1</v>
      </c>
      <c r="AH71" s="30">
        <v>1.2</v>
      </c>
    </row>
    <row r="72" spans="1:34">
      <c r="A72" s="1246">
        <v>269641</v>
      </c>
      <c r="B72" s="1279"/>
      <c r="C72" s="1247"/>
      <c r="D72" s="1298">
        <v>5</v>
      </c>
      <c r="E72" s="1299" t="s">
        <v>98</v>
      </c>
      <c r="F72" s="1291" t="s">
        <v>240</v>
      </c>
      <c r="G72" s="1292" t="s">
        <v>93</v>
      </c>
      <c r="H72" s="1300" t="s">
        <v>98</v>
      </c>
      <c r="I72" s="1293" t="s">
        <v>98</v>
      </c>
      <c r="J72" s="1294">
        <v>0</v>
      </c>
      <c r="K72" s="1292" t="s">
        <v>115</v>
      </c>
      <c r="L72" s="1292">
        <v>57322.8</v>
      </c>
      <c r="M72" s="1295">
        <v>1</v>
      </c>
      <c r="N72" s="1296">
        <v>2.0741629046031922</v>
      </c>
      <c r="O72" s="1297" t="s">
        <v>3169</v>
      </c>
      <c r="P72" s="968"/>
      <c r="Q72" s="615" t="s">
        <v>673</v>
      </c>
      <c r="R72" s="21">
        <v>3</v>
      </c>
      <c r="S72" s="21">
        <v>4</v>
      </c>
      <c r="T72" s="21">
        <v>1</v>
      </c>
      <c r="U72" s="21">
        <v>3</v>
      </c>
      <c r="V72" s="21">
        <v>1</v>
      </c>
      <c r="W72" s="21">
        <v>5</v>
      </c>
      <c r="X72" s="297">
        <v>5</v>
      </c>
      <c r="Y72" s="6">
        <v>2</v>
      </c>
      <c r="Z72" s="245">
        <f t="shared" si="6"/>
        <v>1.2555818742947564</v>
      </c>
      <c r="AA72" s="245">
        <f t="shared" si="7"/>
        <v>2.0741629046031922</v>
      </c>
      <c r="AB72" s="246" t="str">
        <f t="shared" ref="AB72:AB102" si="8">CONCATENATE("(",R72,",",S72,",",T72,",",U72,",",V72,",",W72,")")</f>
        <v>(3,4,1,3,1,5)</v>
      </c>
      <c r="AC72" s="30">
        <v>1.1000000000000001</v>
      </c>
      <c r="AD72" s="30">
        <v>1.1000000000000001</v>
      </c>
      <c r="AE72" s="30">
        <v>1</v>
      </c>
      <c r="AF72" s="30">
        <v>1.02</v>
      </c>
      <c r="AG72" s="30">
        <v>1</v>
      </c>
      <c r="AH72" s="30">
        <v>1.2</v>
      </c>
    </row>
    <row r="73" spans="1:34">
      <c r="A73" s="1246">
        <v>267874</v>
      </c>
      <c r="B73" s="1248" t="s">
        <v>735</v>
      </c>
      <c r="C73" s="1247"/>
      <c r="D73" s="1249">
        <v>5</v>
      </c>
      <c r="E73" s="1250" t="s">
        <v>98</v>
      </c>
      <c r="F73" s="1251" t="s">
        <v>736</v>
      </c>
      <c r="G73" s="1252" t="s">
        <v>93</v>
      </c>
      <c r="H73" s="1253" t="s">
        <v>98</v>
      </c>
      <c r="I73" s="1254" t="s">
        <v>98</v>
      </c>
      <c r="J73" s="1255">
        <v>0</v>
      </c>
      <c r="K73" s="1252" t="s">
        <v>96</v>
      </c>
      <c r="L73" s="1252">
        <v>2526069.2999999998</v>
      </c>
      <c r="M73" s="1256">
        <v>1</v>
      </c>
      <c r="N73" s="1257">
        <v>1.2620910621938648</v>
      </c>
      <c r="O73" s="1258" t="s">
        <v>3169</v>
      </c>
      <c r="P73" s="968"/>
      <c r="Q73" s="615" t="s">
        <v>673</v>
      </c>
      <c r="R73" s="21">
        <v>3</v>
      </c>
      <c r="S73" s="21">
        <v>4</v>
      </c>
      <c r="T73" s="21">
        <v>1</v>
      </c>
      <c r="U73" s="21">
        <v>3</v>
      </c>
      <c r="V73" s="21">
        <v>1</v>
      </c>
      <c r="W73" s="21">
        <v>5</v>
      </c>
      <c r="X73" s="297">
        <v>3</v>
      </c>
      <c r="Y73" s="6">
        <v>1.05</v>
      </c>
      <c r="Z73" s="245">
        <f t="shared" si="6"/>
        <v>1.2555818742947564</v>
      </c>
      <c r="AA73" s="245">
        <f t="shared" si="7"/>
        <v>1.2620910621938648</v>
      </c>
      <c r="AB73" s="246" t="str">
        <f t="shared" si="8"/>
        <v>(3,4,1,3,1,5)</v>
      </c>
      <c r="AC73" s="30">
        <v>1.1000000000000001</v>
      </c>
      <c r="AD73" s="30">
        <v>1.1000000000000001</v>
      </c>
      <c r="AE73" s="30">
        <v>1</v>
      </c>
      <c r="AF73" s="30">
        <v>1.02</v>
      </c>
      <c r="AG73" s="30">
        <v>1</v>
      </c>
      <c r="AH73" s="30">
        <v>1.2</v>
      </c>
    </row>
    <row r="74" spans="1:34">
      <c r="A74" s="1246">
        <v>268459</v>
      </c>
      <c r="B74" s="1279"/>
      <c r="C74" s="1247"/>
      <c r="D74" s="1298">
        <v>5</v>
      </c>
      <c r="E74" s="1299" t="s">
        <v>98</v>
      </c>
      <c r="F74" s="1291" t="s">
        <v>678</v>
      </c>
      <c r="G74" s="1292" t="s">
        <v>93</v>
      </c>
      <c r="H74" s="1300" t="s">
        <v>98</v>
      </c>
      <c r="I74" s="1293" t="s">
        <v>98</v>
      </c>
      <c r="J74" s="1294">
        <v>0</v>
      </c>
      <c r="K74" s="1292" t="s">
        <v>679</v>
      </c>
      <c r="L74" s="1292">
        <v>216520.3</v>
      </c>
      <c r="M74" s="1295">
        <v>1</v>
      </c>
      <c r="N74" s="1296">
        <v>1.2620910621938648</v>
      </c>
      <c r="O74" s="1297" t="s">
        <v>3169</v>
      </c>
      <c r="P74" s="968"/>
      <c r="Q74" s="615" t="s">
        <v>673</v>
      </c>
      <c r="R74" s="21">
        <v>3</v>
      </c>
      <c r="S74" s="21">
        <v>4</v>
      </c>
      <c r="T74" s="21">
        <v>1</v>
      </c>
      <c r="U74" s="21">
        <v>3</v>
      </c>
      <c r="V74" s="21">
        <v>1</v>
      </c>
      <c r="W74" s="21">
        <v>5</v>
      </c>
      <c r="X74" s="297">
        <v>3</v>
      </c>
      <c r="Y74" s="6">
        <v>1.05</v>
      </c>
      <c r="Z74" s="245">
        <f t="shared" si="6"/>
        <v>1.2555818742947564</v>
      </c>
      <c r="AA74" s="245">
        <f t="shared" si="7"/>
        <v>1.2620910621938648</v>
      </c>
      <c r="AB74" s="246" t="str">
        <f t="shared" si="8"/>
        <v>(3,4,1,3,1,5)</v>
      </c>
      <c r="AC74" s="30">
        <v>1.1000000000000001</v>
      </c>
      <c r="AD74" s="30">
        <v>1.1000000000000001</v>
      </c>
      <c r="AE74" s="30">
        <v>1</v>
      </c>
      <c r="AF74" s="30">
        <v>1.02</v>
      </c>
      <c r="AG74" s="30">
        <v>1</v>
      </c>
      <c r="AH74" s="30">
        <v>1.2</v>
      </c>
    </row>
    <row r="75" spans="1:34">
      <c r="A75" s="1246">
        <v>261394</v>
      </c>
      <c r="B75" s="1279"/>
      <c r="C75" s="1247"/>
      <c r="D75" s="1249">
        <v>5</v>
      </c>
      <c r="E75" s="1250" t="s">
        <v>98</v>
      </c>
      <c r="F75" s="1251" t="s">
        <v>737</v>
      </c>
      <c r="G75" s="1252" t="s">
        <v>103</v>
      </c>
      <c r="H75" s="1253" t="s">
        <v>98</v>
      </c>
      <c r="I75" s="1254" t="s">
        <v>98</v>
      </c>
      <c r="J75" s="1255">
        <v>0</v>
      </c>
      <c r="K75" s="1252" t="s">
        <v>96</v>
      </c>
      <c r="L75" s="1252">
        <v>252606.93</v>
      </c>
      <c r="M75" s="1256">
        <v>1</v>
      </c>
      <c r="N75" s="1257">
        <v>1.2620910621938648</v>
      </c>
      <c r="O75" s="1258" t="s">
        <v>3169</v>
      </c>
      <c r="P75" s="968"/>
      <c r="Q75" s="615" t="s">
        <v>673</v>
      </c>
      <c r="R75" s="21">
        <v>3</v>
      </c>
      <c r="S75" s="21">
        <v>4</v>
      </c>
      <c r="T75" s="21">
        <v>1</v>
      </c>
      <c r="U75" s="21">
        <v>3</v>
      </c>
      <c r="V75" s="21">
        <v>1</v>
      </c>
      <c r="W75" s="21">
        <v>5</v>
      </c>
      <c r="X75" s="297">
        <v>3</v>
      </c>
      <c r="Y75" s="6">
        <v>1.05</v>
      </c>
      <c r="Z75" s="245">
        <f t="shared" si="6"/>
        <v>1.2555818742947564</v>
      </c>
      <c r="AA75" s="245">
        <f t="shared" si="7"/>
        <v>1.2620910621938648</v>
      </c>
      <c r="AB75" s="246" t="str">
        <f t="shared" si="8"/>
        <v>(3,4,1,3,1,5)</v>
      </c>
      <c r="AC75" s="30">
        <v>1.1000000000000001</v>
      </c>
      <c r="AD75" s="30">
        <v>1.1000000000000001</v>
      </c>
      <c r="AE75" s="30">
        <v>1</v>
      </c>
      <c r="AF75" s="30">
        <v>1.02</v>
      </c>
      <c r="AG75" s="30">
        <v>1</v>
      </c>
      <c r="AH75" s="30">
        <v>1.2</v>
      </c>
    </row>
    <row r="76" spans="1:34">
      <c r="A76" s="1246">
        <v>266627</v>
      </c>
      <c r="B76" s="1279"/>
      <c r="C76" s="1247"/>
      <c r="D76" s="1298">
        <v>5</v>
      </c>
      <c r="E76" s="1299" t="s">
        <v>98</v>
      </c>
      <c r="F76" s="1291" t="s">
        <v>634</v>
      </c>
      <c r="G76" s="1292" t="s">
        <v>93</v>
      </c>
      <c r="H76" s="1300" t="s">
        <v>98</v>
      </c>
      <c r="I76" s="1293" t="s">
        <v>98</v>
      </c>
      <c r="J76" s="1294">
        <v>0</v>
      </c>
      <c r="K76" s="1292" t="s">
        <v>96</v>
      </c>
      <c r="L76" s="1292">
        <v>2273462.37</v>
      </c>
      <c r="M76" s="1295">
        <v>1</v>
      </c>
      <c r="N76" s="1296">
        <v>1.2620910621938648</v>
      </c>
      <c r="O76" s="1297" t="s">
        <v>3169</v>
      </c>
      <c r="P76" s="968"/>
      <c r="Q76" s="615" t="s">
        <v>673</v>
      </c>
      <c r="R76" s="21">
        <v>3</v>
      </c>
      <c r="S76" s="21">
        <v>4</v>
      </c>
      <c r="T76" s="21">
        <v>1</v>
      </c>
      <c r="U76" s="21">
        <v>3</v>
      </c>
      <c r="V76" s="21">
        <v>1</v>
      </c>
      <c r="W76" s="21">
        <v>5</v>
      </c>
      <c r="X76" s="297">
        <v>3</v>
      </c>
      <c r="Y76" s="6">
        <v>1.05</v>
      </c>
      <c r="Z76" s="245">
        <f t="shared" si="6"/>
        <v>1.2555818742947564</v>
      </c>
      <c r="AA76" s="245">
        <f t="shared" si="7"/>
        <v>1.2620910621938648</v>
      </c>
      <c r="AB76" s="246" t="str">
        <f t="shared" si="8"/>
        <v>(3,4,1,3,1,5)</v>
      </c>
      <c r="AC76" s="30">
        <v>1.1000000000000001</v>
      </c>
      <c r="AD76" s="30">
        <v>1.1000000000000001</v>
      </c>
      <c r="AE76" s="30">
        <v>1</v>
      </c>
      <c r="AF76" s="30">
        <v>1.02</v>
      </c>
      <c r="AG76" s="30">
        <v>1</v>
      </c>
      <c r="AH76" s="30">
        <v>1.2</v>
      </c>
    </row>
    <row r="77" spans="1:34">
      <c r="A77" s="1246">
        <v>160371</v>
      </c>
      <c r="B77" s="1279"/>
      <c r="C77" s="1247"/>
      <c r="D77" s="1249">
        <v>5</v>
      </c>
      <c r="E77" s="1250" t="s">
        <v>98</v>
      </c>
      <c r="F77" s="1251" t="s">
        <v>242</v>
      </c>
      <c r="G77" s="1252" t="s">
        <v>93</v>
      </c>
      <c r="H77" s="1253" t="s">
        <v>98</v>
      </c>
      <c r="I77" s="1254" t="s">
        <v>98</v>
      </c>
      <c r="J77" s="1255">
        <v>0</v>
      </c>
      <c r="K77" s="1252" t="s">
        <v>115</v>
      </c>
      <c r="L77" s="1252">
        <v>479953.2</v>
      </c>
      <c r="M77" s="1256">
        <v>1</v>
      </c>
      <c r="N77" s="1257">
        <v>2.0741629046031922</v>
      </c>
      <c r="O77" s="1258" t="s">
        <v>3169</v>
      </c>
      <c r="P77" s="968"/>
      <c r="Q77" s="615" t="s">
        <v>673</v>
      </c>
      <c r="R77" s="21">
        <v>3</v>
      </c>
      <c r="S77" s="21">
        <v>4</v>
      </c>
      <c r="T77" s="21">
        <v>1</v>
      </c>
      <c r="U77" s="21">
        <v>3</v>
      </c>
      <c r="V77" s="21">
        <v>1</v>
      </c>
      <c r="W77" s="21">
        <v>5</v>
      </c>
      <c r="X77" s="297">
        <v>5</v>
      </c>
      <c r="Y77" s="6">
        <v>2</v>
      </c>
      <c r="Z77" s="245">
        <f t="shared" si="6"/>
        <v>1.2555818742947564</v>
      </c>
      <c r="AA77" s="245">
        <f t="shared" si="7"/>
        <v>2.0741629046031922</v>
      </c>
      <c r="AB77" s="246" t="str">
        <f t="shared" si="8"/>
        <v>(3,4,1,3,1,5)</v>
      </c>
      <c r="AC77" s="30">
        <v>1.1000000000000001</v>
      </c>
      <c r="AD77" s="30">
        <v>1.1000000000000001</v>
      </c>
      <c r="AE77" s="30">
        <v>1</v>
      </c>
      <c r="AF77" s="30">
        <v>1.02</v>
      </c>
      <c r="AG77" s="30">
        <v>1</v>
      </c>
      <c r="AH77" s="30">
        <v>1.2</v>
      </c>
    </row>
    <row r="78" spans="1:34">
      <c r="A78" s="1246">
        <v>269641</v>
      </c>
      <c r="B78" s="1279"/>
      <c r="C78" s="1247"/>
      <c r="D78" s="1298">
        <v>5</v>
      </c>
      <c r="E78" s="1299" t="s">
        <v>98</v>
      </c>
      <c r="F78" s="1291" t="s">
        <v>240</v>
      </c>
      <c r="G78" s="1292" t="s">
        <v>93</v>
      </c>
      <c r="H78" s="1300" t="s">
        <v>98</v>
      </c>
      <c r="I78" s="1293" t="s">
        <v>98</v>
      </c>
      <c r="J78" s="1294">
        <v>0</v>
      </c>
      <c r="K78" s="1292" t="s">
        <v>115</v>
      </c>
      <c r="L78" s="1292">
        <v>981377.9</v>
      </c>
      <c r="M78" s="1295">
        <v>1</v>
      </c>
      <c r="N78" s="1296">
        <v>2.0741629046031922</v>
      </c>
      <c r="O78" s="1297" t="s">
        <v>3169</v>
      </c>
      <c r="P78" s="968"/>
      <c r="Q78" s="615" t="s">
        <v>673</v>
      </c>
      <c r="R78" s="21">
        <v>3</v>
      </c>
      <c r="S78" s="21">
        <v>4</v>
      </c>
      <c r="T78" s="21">
        <v>1</v>
      </c>
      <c r="U78" s="21">
        <v>3</v>
      </c>
      <c r="V78" s="21">
        <v>1</v>
      </c>
      <c r="W78" s="21">
        <v>5</v>
      </c>
      <c r="X78" s="297">
        <v>5</v>
      </c>
      <c r="Y78" s="6">
        <v>2</v>
      </c>
      <c r="Z78" s="245">
        <f t="shared" si="6"/>
        <v>1.2555818742947564</v>
      </c>
      <c r="AA78" s="245">
        <f t="shared" si="7"/>
        <v>2.0741629046031922</v>
      </c>
      <c r="AB78" s="246" t="str">
        <f t="shared" si="8"/>
        <v>(3,4,1,3,1,5)</v>
      </c>
      <c r="AC78" s="30">
        <v>1.1000000000000001</v>
      </c>
      <c r="AD78" s="30">
        <v>1.1000000000000001</v>
      </c>
      <c r="AE78" s="30">
        <v>1</v>
      </c>
      <c r="AF78" s="30">
        <v>1.02</v>
      </c>
      <c r="AG78" s="30">
        <v>1</v>
      </c>
      <c r="AH78" s="30">
        <v>1.2</v>
      </c>
    </row>
    <row r="79" spans="1:34" ht="26.25" customHeight="1">
      <c r="A79" s="1246">
        <v>261895</v>
      </c>
      <c r="B79" s="1279"/>
      <c r="C79" s="1247"/>
      <c r="D79" s="1249">
        <v>5</v>
      </c>
      <c r="E79" s="1250" t="s">
        <v>98</v>
      </c>
      <c r="F79" s="1251" t="s">
        <v>694</v>
      </c>
      <c r="G79" s="1252" t="s">
        <v>245</v>
      </c>
      <c r="H79" s="1253" t="s">
        <v>98</v>
      </c>
      <c r="I79" s="1254" t="s">
        <v>98</v>
      </c>
      <c r="J79" s="1255">
        <v>0</v>
      </c>
      <c r="K79" s="1252" t="s">
        <v>115</v>
      </c>
      <c r="L79" s="1252">
        <v>1111470.5</v>
      </c>
      <c r="M79" s="1256">
        <v>1</v>
      </c>
      <c r="N79" s="1257">
        <v>2.0741629046031922</v>
      </c>
      <c r="O79" s="1258" t="s">
        <v>3169</v>
      </c>
      <c r="P79" s="968"/>
      <c r="Q79" s="615" t="s">
        <v>673</v>
      </c>
      <c r="R79" s="21">
        <v>3</v>
      </c>
      <c r="S79" s="21">
        <v>4</v>
      </c>
      <c r="T79" s="21">
        <v>1</v>
      </c>
      <c r="U79" s="21">
        <v>3</v>
      </c>
      <c r="V79" s="21">
        <v>1</v>
      </c>
      <c r="W79" s="21">
        <v>5</v>
      </c>
      <c r="X79" s="297">
        <v>5</v>
      </c>
      <c r="Y79" s="6">
        <v>2</v>
      </c>
      <c r="Z79" s="245">
        <f t="shared" si="6"/>
        <v>1.2555818742947564</v>
      </c>
      <c r="AA79" s="245">
        <f t="shared" si="7"/>
        <v>2.0741629046031922</v>
      </c>
      <c r="AB79" s="246" t="str">
        <f t="shared" si="8"/>
        <v>(3,4,1,3,1,5)</v>
      </c>
      <c r="AC79" s="30">
        <v>1.1000000000000001</v>
      </c>
      <c r="AD79" s="30">
        <v>1.1000000000000001</v>
      </c>
      <c r="AE79" s="30">
        <v>1</v>
      </c>
      <c r="AF79" s="30">
        <v>1.02</v>
      </c>
      <c r="AG79" s="30">
        <v>1</v>
      </c>
      <c r="AH79" s="30">
        <v>1.2</v>
      </c>
    </row>
    <row r="80" spans="1:34">
      <c r="A80" s="1246">
        <v>266163</v>
      </c>
      <c r="B80" s="1279"/>
      <c r="C80" s="1247"/>
      <c r="D80" s="1298">
        <v>5</v>
      </c>
      <c r="E80" s="1299" t="s">
        <v>98</v>
      </c>
      <c r="F80" s="1291" t="s">
        <v>738</v>
      </c>
      <c r="G80" s="1292" t="s">
        <v>93</v>
      </c>
      <c r="H80" s="1300" t="s">
        <v>98</v>
      </c>
      <c r="I80" s="1293" t="s">
        <v>98</v>
      </c>
      <c r="J80" s="1294">
        <v>0</v>
      </c>
      <c r="K80" s="1292" t="s">
        <v>739</v>
      </c>
      <c r="L80" s="1292">
        <v>202085.4</v>
      </c>
      <c r="M80" s="1295">
        <v>1</v>
      </c>
      <c r="N80" s="1296">
        <v>1.2620910621938648</v>
      </c>
      <c r="O80" s="1297" t="s">
        <v>3169</v>
      </c>
      <c r="P80" s="968"/>
      <c r="Q80" s="615" t="s">
        <v>673</v>
      </c>
      <c r="R80" s="21">
        <v>3</v>
      </c>
      <c r="S80" s="21">
        <v>4</v>
      </c>
      <c r="T80" s="21">
        <v>1</v>
      </c>
      <c r="U80" s="21">
        <v>3</v>
      </c>
      <c r="V80" s="21">
        <v>1</v>
      </c>
      <c r="W80" s="21">
        <v>5</v>
      </c>
      <c r="X80" s="297">
        <v>3</v>
      </c>
      <c r="Y80" s="6">
        <v>1.05</v>
      </c>
      <c r="Z80" s="245">
        <f t="shared" si="6"/>
        <v>1.2555818742947564</v>
      </c>
      <c r="AA80" s="245">
        <f t="shared" si="7"/>
        <v>1.2620910621938648</v>
      </c>
      <c r="AB80" s="246" t="str">
        <f t="shared" si="8"/>
        <v>(3,4,1,3,1,5)</v>
      </c>
      <c r="AC80" s="30">
        <v>1.1000000000000001</v>
      </c>
      <c r="AD80" s="30">
        <v>1.1000000000000001</v>
      </c>
      <c r="AE80" s="30">
        <v>1</v>
      </c>
      <c r="AF80" s="30">
        <v>1.02</v>
      </c>
      <c r="AG80" s="30">
        <v>1</v>
      </c>
      <c r="AH80" s="30">
        <v>1.2</v>
      </c>
    </row>
    <row r="81" spans="1:34" ht="23.25" customHeight="1">
      <c r="A81" s="1246">
        <v>267287</v>
      </c>
      <c r="B81" s="1248" t="s">
        <v>740</v>
      </c>
      <c r="C81" s="1247"/>
      <c r="D81" s="1249">
        <v>5</v>
      </c>
      <c r="E81" s="1250" t="s">
        <v>98</v>
      </c>
      <c r="F81" s="1251" t="s">
        <v>690</v>
      </c>
      <c r="G81" s="1252" t="s">
        <v>154</v>
      </c>
      <c r="H81" s="1253" t="s">
        <v>98</v>
      </c>
      <c r="I81" s="1254" t="s">
        <v>98</v>
      </c>
      <c r="J81" s="1255">
        <v>0</v>
      </c>
      <c r="K81" s="1252" t="s">
        <v>104</v>
      </c>
      <c r="L81" s="1252">
        <v>130417.17381122537</v>
      </c>
      <c r="M81" s="1256">
        <v>1</v>
      </c>
      <c r="N81" s="1257">
        <v>1.2620910621938648</v>
      </c>
      <c r="O81" s="1258" t="s">
        <v>3173</v>
      </c>
      <c r="P81" s="968"/>
      <c r="Q81" s="615" t="s">
        <v>691</v>
      </c>
      <c r="R81" s="21">
        <v>3</v>
      </c>
      <c r="S81" s="21">
        <v>4</v>
      </c>
      <c r="T81" s="21">
        <v>1</v>
      </c>
      <c r="U81" s="21">
        <v>3</v>
      </c>
      <c r="V81" s="21">
        <v>1</v>
      </c>
      <c r="W81" s="21">
        <v>5</v>
      </c>
      <c r="X81" s="297">
        <v>1</v>
      </c>
      <c r="Y81" s="6">
        <v>1.05</v>
      </c>
      <c r="Z81" s="245">
        <f t="shared" si="6"/>
        <v>1.2555818742947564</v>
      </c>
      <c r="AA81" s="245">
        <f t="shared" si="7"/>
        <v>1.2620910621938648</v>
      </c>
      <c r="AB81" s="246" t="str">
        <f t="shared" si="8"/>
        <v>(3,4,1,3,1,5)</v>
      </c>
      <c r="AC81" s="30">
        <v>1.1000000000000001</v>
      </c>
      <c r="AD81" s="30">
        <v>1.1000000000000001</v>
      </c>
      <c r="AE81" s="30">
        <v>1</v>
      </c>
      <c r="AF81" s="30">
        <v>1.02</v>
      </c>
      <c r="AG81" s="30">
        <v>1</v>
      </c>
      <c r="AH81" s="30">
        <v>1.2</v>
      </c>
    </row>
    <row r="82" spans="1:34" ht="23.25" customHeight="1">
      <c r="A82" s="1246">
        <v>267287</v>
      </c>
      <c r="B82" s="1279"/>
      <c r="C82" s="1247"/>
      <c r="D82" s="1298">
        <v>5</v>
      </c>
      <c r="E82" s="1299" t="s">
        <v>98</v>
      </c>
      <c r="F82" s="1291" t="s">
        <v>690</v>
      </c>
      <c r="G82" s="1292" t="s">
        <v>154</v>
      </c>
      <c r="H82" s="1300" t="s">
        <v>98</v>
      </c>
      <c r="I82" s="1293" t="s">
        <v>98</v>
      </c>
      <c r="J82" s="1294">
        <v>0</v>
      </c>
      <c r="K82" s="1292" t="s">
        <v>104</v>
      </c>
      <c r="L82" s="1292">
        <v>11791449.900675504</v>
      </c>
      <c r="M82" s="1295">
        <v>1</v>
      </c>
      <c r="N82" s="1296">
        <v>1.2620910621938648</v>
      </c>
      <c r="O82" s="1297" t="s">
        <v>3175</v>
      </c>
      <c r="P82" s="968"/>
      <c r="Q82" s="615" t="s">
        <v>693</v>
      </c>
      <c r="R82" s="21">
        <v>3</v>
      </c>
      <c r="S82" s="21">
        <v>4</v>
      </c>
      <c r="T82" s="21">
        <v>1</v>
      </c>
      <c r="U82" s="21">
        <v>3</v>
      </c>
      <c r="V82" s="21">
        <v>1</v>
      </c>
      <c r="W82" s="21">
        <v>5</v>
      </c>
      <c r="X82" s="297">
        <v>1</v>
      </c>
      <c r="Y82" s="6">
        <v>1.05</v>
      </c>
      <c r="Z82" s="245">
        <f t="shared" si="6"/>
        <v>1.2555818742947564</v>
      </c>
      <c r="AA82" s="245">
        <f t="shared" si="7"/>
        <v>1.2620910621938648</v>
      </c>
      <c r="AB82" s="246" t="str">
        <f t="shared" si="8"/>
        <v>(3,4,1,3,1,5)</v>
      </c>
      <c r="AC82" s="30">
        <v>1.1000000000000001</v>
      </c>
      <c r="AD82" s="30">
        <v>1.1000000000000001</v>
      </c>
      <c r="AE82" s="30">
        <v>1</v>
      </c>
      <c r="AF82" s="30">
        <v>1.02</v>
      </c>
      <c r="AG82" s="30">
        <v>1</v>
      </c>
      <c r="AH82" s="30">
        <v>1.2</v>
      </c>
    </row>
    <row r="83" spans="1:34">
      <c r="A83" s="1246">
        <v>160371</v>
      </c>
      <c r="B83" s="1279"/>
      <c r="C83" s="1247"/>
      <c r="D83" s="1249">
        <v>5</v>
      </c>
      <c r="E83" s="1250" t="s">
        <v>98</v>
      </c>
      <c r="F83" s="1251" t="s">
        <v>242</v>
      </c>
      <c r="G83" s="1252" t="s">
        <v>93</v>
      </c>
      <c r="H83" s="1253" t="s">
        <v>98</v>
      </c>
      <c r="I83" s="1254" t="s">
        <v>98</v>
      </c>
      <c r="J83" s="1255">
        <v>0</v>
      </c>
      <c r="K83" s="1252" t="s">
        <v>115</v>
      </c>
      <c r="L83" s="1252">
        <v>1389338.1</v>
      </c>
      <c r="M83" s="1256">
        <v>1</v>
      </c>
      <c r="N83" s="1257">
        <v>2.0741629046031922</v>
      </c>
      <c r="O83" s="1258" t="s">
        <v>3169</v>
      </c>
      <c r="P83" s="968"/>
      <c r="Q83" s="615" t="s">
        <v>673</v>
      </c>
      <c r="R83" s="21">
        <v>3</v>
      </c>
      <c r="S83" s="21">
        <v>4</v>
      </c>
      <c r="T83" s="21">
        <v>1</v>
      </c>
      <c r="U83" s="21">
        <v>3</v>
      </c>
      <c r="V83" s="21">
        <v>1</v>
      </c>
      <c r="W83" s="21">
        <v>5</v>
      </c>
      <c r="X83" s="297">
        <v>5</v>
      </c>
      <c r="Y83" s="6">
        <v>2</v>
      </c>
      <c r="Z83" s="245">
        <f t="shared" si="6"/>
        <v>1.2555818742947564</v>
      </c>
      <c r="AA83" s="245">
        <f t="shared" si="7"/>
        <v>2.0741629046031922</v>
      </c>
      <c r="AB83" s="246" t="str">
        <f t="shared" si="8"/>
        <v>(3,4,1,3,1,5)</v>
      </c>
      <c r="AC83" s="30">
        <v>1.1000000000000001</v>
      </c>
      <c r="AD83" s="30">
        <v>1.1000000000000001</v>
      </c>
      <c r="AE83" s="30">
        <v>1</v>
      </c>
      <c r="AF83" s="30">
        <v>1.02</v>
      </c>
      <c r="AG83" s="30">
        <v>1</v>
      </c>
      <c r="AH83" s="30">
        <v>1.2</v>
      </c>
    </row>
    <row r="84" spans="1:34">
      <c r="A84" s="1246">
        <v>269641</v>
      </c>
      <c r="B84" s="1279"/>
      <c r="C84" s="1247"/>
      <c r="D84" s="1298">
        <v>5</v>
      </c>
      <c r="E84" s="1299" t="s">
        <v>98</v>
      </c>
      <c r="F84" s="1291" t="s">
        <v>240</v>
      </c>
      <c r="G84" s="1292" t="s">
        <v>93</v>
      </c>
      <c r="H84" s="1300" t="s">
        <v>98</v>
      </c>
      <c r="I84" s="1293" t="s">
        <v>98</v>
      </c>
      <c r="J84" s="1294">
        <v>0</v>
      </c>
      <c r="K84" s="1292" t="s">
        <v>115</v>
      </c>
      <c r="L84" s="1292">
        <v>2570275.2999999998</v>
      </c>
      <c r="M84" s="1295">
        <v>1</v>
      </c>
      <c r="N84" s="1296">
        <v>2.0741629046031922</v>
      </c>
      <c r="O84" s="1297" t="s">
        <v>3169</v>
      </c>
      <c r="P84" s="968"/>
      <c r="Q84" s="615" t="s">
        <v>673</v>
      </c>
      <c r="R84" s="21">
        <v>3</v>
      </c>
      <c r="S84" s="21">
        <v>4</v>
      </c>
      <c r="T84" s="21">
        <v>1</v>
      </c>
      <c r="U84" s="21">
        <v>3</v>
      </c>
      <c r="V84" s="21">
        <v>1</v>
      </c>
      <c r="W84" s="21">
        <v>5</v>
      </c>
      <c r="X84" s="297">
        <v>5</v>
      </c>
      <c r="Y84" s="6">
        <v>2</v>
      </c>
      <c r="Z84" s="245">
        <f t="shared" si="6"/>
        <v>1.2555818742947564</v>
      </c>
      <c r="AA84" s="245">
        <f t="shared" si="7"/>
        <v>2.0741629046031922</v>
      </c>
      <c r="AB84" s="246" t="str">
        <f t="shared" si="8"/>
        <v>(3,4,1,3,1,5)</v>
      </c>
      <c r="AC84" s="30">
        <v>1.1000000000000001</v>
      </c>
      <c r="AD84" s="30">
        <v>1.1000000000000001</v>
      </c>
      <c r="AE84" s="30">
        <v>1</v>
      </c>
      <c r="AF84" s="30">
        <v>1.02</v>
      </c>
      <c r="AG84" s="30">
        <v>1</v>
      </c>
      <c r="AH84" s="30">
        <v>1.2</v>
      </c>
    </row>
    <row r="85" spans="1:34" ht="24" customHeight="1">
      <c r="A85" s="1246">
        <v>269641</v>
      </c>
      <c r="B85" s="1248" t="s">
        <v>741</v>
      </c>
      <c r="C85" s="1247"/>
      <c r="D85" s="1249">
        <v>5</v>
      </c>
      <c r="E85" s="1250" t="s">
        <v>98</v>
      </c>
      <c r="F85" s="1251" t="s">
        <v>240</v>
      </c>
      <c r="G85" s="1252" t="s">
        <v>93</v>
      </c>
      <c r="H85" s="1253" t="s">
        <v>98</v>
      </c>
      <c r="I85" s="1254" t="s">
        <v>98</v>
      </c>
      <c r="J85" s="1255">
        <v>0</v>
      </c>
      <c r="K85" s="1252" t="s">
        <v>115</v>
      </c>
      <c r="L85" s="1252">
        <v>1212758.5400053421</v>
      </c>
      <c r="M85" s="1256">
        <v>1</v>
      </c>
      <c r="N85" s="1257">
        <v>2.0741629046031922</v>
      </c>
      <c r="O85" s="1258" t="s">
        <v>3169</v>
      </c>
      <c r="P85" s="968"/>
      <c r="Q85" s="615" t="s">
        <v>673</v>
      </c>
      <c r="R85" s="21">
        <v>3</v>
      </c>
      <c r="S85" s="21">
        <v>4</v>
      </c>
      <c r="T85" s="21">
        <v>1</v>
      </c>
      <c r="U85" s="21">
        <v>3</v>
      </c>
      <c r="V85" s="21">
        <v>1</v>
      </c>
      <c r="W85" s="21">
        <v>5</v>
      </c>
      <c r="X85" s="297">
        <v>5</v>
      </c>
      <c r="Y85" s="6">
        <v>2</v>
      </c>
      <c r="Z85" s="245">
        <f t="shared" si="6"/>
        <v>1.2555818742947564</v>
      </c>
      <c r="AA85" s="245">
        <f t="shared" si="7"/>
        <v>2.0741629046031922</v>
      </c>
      <c r="AB85" s="246" t="str">
        <f t="shared" si="8"/>
        <v>(3,4,1,3,1,5)</v>
      </c>
      <c r="AC85" s="30">
        <v>1.1000000000000001</v>
      </c>
      <c r="AD85" s="30">
        <v>1.1000000000000001</v>
      </c>
      <c r="AE85" s="30">
        <v>1</v>
      </c>
      <c r="AF85" s="30">
        <v>1.02</v>
      </c>
      <c r="AG85" s="30">
        <v>1</v>
      </c>
      <c r="AH85" s="30">
        <v>1.2</v>
      </c>
    </row>
    <row r="86" spans="1:34">
      <c r="A86" s="1246">
        <v>79235</v>
      </c>
      <c r="B86" s="1248" t="s">
        <v>742</v>
      </c>
      <c r="C86" s="1247"/>
      <c r="D86" s="1298">
        <v>5</v>
      </c>
      <c r="E86" s="1299" t="s">
        <v>98</v>
      </c>
      <c r="F86" s="1291" t="s">
        <v>688</v>
      </c>
      <c r="G86" s="1292" t="s">
        <v>340</v>
      </c>
      <c r="H86" s="1300" t="s">
        <v>98</v>
      </c>
      <c r="I86" s="1293" t="s">
        <v>98</v>
      </c>
      <c r="J86" s="1294">
        <v>0</v>
      </c>
      <c r="K86" s="1292" t="s">
        <v>109</v>
      </c>
      <c r="L86" s="1292">
        <v>816.1</v>
      </c>
      <c r="M86" s="1295">
        <v>1</v>
      </c>
      <c r="N86" s="1296">
        <v>1.2620910621938648</v>
      </c>
      <c r="O86" s="1297" t="s">
        <v>3169</v>
      </c>
      <c r="P86" s="968"/>
      <c r="Q86" s="615" t="s">
        <v>673</v>
      </c>
      <c r="R86" s="21">
        <v>3</v>
      </c>
      <c r="S86" s="21">
        <v>4</v>
      </c>
      <c r="T86" s="21">
        <v>1</v>
      </c>
      <c r="U86" s="21">
        <v>3</v>
      </c>
      <c r="V86" s="21">
        <v>1</v>
      </c>
      <c r="W86" s="21">
        <v>5</v>
      </c>
      <c r="X86" s="297">
        <v>3</v>
      </c>
      <c r="Y86" s="6">
        <v>1.05</v>
      </c>
      <c r="Z86" s="245">
        <f t="shared" si="6"/>
        <v>1.2555818742947564</v>
      </c>
      <c r="AA86" s="245">
        <f t="shared" si="7"/>
        <v>1.2620910621938648</v>
      </c>
      <c r="AB86" s="246" t="str">
        <f t="shared" si="8"/>
        <v>(3,4,1,3,1,5)</v>
      </c>
      <c r="AC86" s="30">
        <v>1.1000000000000001</v>
      </c>
      <c r="AD86" s="30">
        <v>1.1000000000000001</v>
      </c>
      <c r="AE86" s="30">
        <v>1</v>
      </c>
      <c r="AF86" s="30">
        <v>1.02</v>
      </c>
      <c r="AG86" s="30">
        <v>1</v>
      </c>
      <c r="AH86" s="30">
        <v>1.2</v>
      </c>
    </row>
    <row r="87" spans="1:34">
      <c r="A87" s="1246">
        <v>256348</v>
      </c>
      <c r="B87" s="1279"/>
      <c r="C87" s="1247"/>
      <c r="D87" s="1249">
        <v>5</v>
      </c>
      <c r="E87" s="1250" t="s">
        <v>98</v>
      </c>
      <c r="F87" s="1251" t="s">
        <v>743</v>
      </c>
      <c r="G87" s="1252" t="s">
        <v>103</v>
      </c>
      <c r="H87" s="1253" t="s">
        <v>98</v>
      </c>
      <c r="I87" s="1254" t="s">
        <v>98</v>
      </c>
      <c r="J87" s="1255">
        <v>0</v>
      </c>
      <c r="K87" s="1252" t="s">
        <v>96</v>
      </c>
      <c r="L87" s="1252">
        <v>58770</v>
      </c>
      <c r="M87" s="1256">
        <v>1</v>
      </c>
      <c r="N87" s="1257">
        <v>1.2620910621938648</v>
      </c>
      <c r="O87" s="1258" t="s">
        <v>3181</v>
      </c>
      <c r="P87" s="968"/>
      <c r="Q87" s="615" t="s">
        <v>744</v>
      </c>
      <c r="R87" s="21">
        <v>3</v>
      </c>
      <c r="S87" s="21">
        <v>4</v>
      </c>
      <c r="T87" s="21">
        <v>1</v>
      </c>
      <c r="U87" s="21">
        <v>3</v>
      </c>
      <c r="V87" s="21">
        <v>1</v>
      </c>
      <c r="W87" s="21">
        <v>5</v>
      </c>
      <c r="X87" s="297">
        <v>3</v>
      </c>
      <c r="Y87" s="6">
        <v>1.05</v>
      </c>
      <c r="Z87" s="245">
        <f t="shared" si="6"/>
        <v>1.2555818742947564</v>
      </c>
      <c r="AA87" s="245">
        <f t="shared" si="7"/>
        <v>1.2620910621938648</v>
      </c>
      <c r="AB87" s="246" t="str">
        <f t="shared" si="8"/>
        <v>(3,4,1,3,1,5)</v>
      </c>
      <c r="AC87" s="30">
        <v>1.1000000000000001</v>
      </c>
      <c r="AD87" s="30">
        <v>1.1000000000000001</v>
      </c>
      <c r="AE87" s="30">
        <v>1</v>
      </c>
      <c r="AF87" s="30">
        <v>1.02</v>
      </c>
      <c r="AG87" s="30">
        <v>1</v>
      </c>
      <c r="AH87" s="30">
        <v>1.2</v>
      </c>
    </row>
    <row r="88" spans="1:34" ht="24" customHeight="1">
      <c r="A88" s="1246">
        <v>254233</v>
      </c>
      <c r="B88" s="1279"/>
      <c r="C88" s="1247"/>
      <c r="D88" s="1298">
        <v>5</v>
      </c>
      <c r="E88" s="1299" t="s">
        <v>98</v>
      </c>
      <c r="F88" s="1291" t="s">
        <v>710</v>
      </c>
      <c r="G88" s="1292" t="s">
        <v>103</v>
      </c>
      <c r="H88" s="1300" t="s">
        <v>98</v>
      </c>
      <c r="I88" s="1293" t="s">
        <v>98</v>
      </c>
      <c r="J88" s="1294">
        <v>0</v>
      </c>
      <c r="K88" s="1292" t="s">
        <v>104</v>
      </c>
      <c r="L88" s="1292">
        <v>734.5</v>
      </c>
      <c r="M88" s="1295">
        <v>1</v>
      </c>
      <c r="N88" s="1296">
        <v>1.2620910621938648</v>
      </c>
      <c r="O88" s="1297" t="s">
        <v>3169</v>
      </c>
      <c r="P88" s="968"/>
      <c r="Q88" s="615" t="s">
        <v>673</v>
      </c>
      <c r="R88" s="21">
        <v>3</v>
      </c>
      <c r="S88" s="21">
        <v>4</v>
      </c>
      <c r="T88" s="21">
        <v>1</v>
      </c>
      <c r="U88" s="21">
        <v>3</v>
      </c>
      <c r="V88" s="21">
        <v>1</v>
      </c>
      <c r="W88" s="21">
        <v>5</v>
      </c>
      <c r="X88" s="297">
        <v>1</v>
      </c>
      <c r="Y88" s="6">
        <v>1.05</v>
      </c>
      <c r="Z88" s="245">
        <f t="shared" si="6"/>
        <v>1.2555818742947564</v>
      </c>
      <c r="AA88" s="245">
        <f t="shared" si="7"/>
        <v>1.2620910621938648</v>
      </c>
      <c r="AB88" s="246" t="str">
        <f t="shared" si="8"/>
        <v>(3,4,1,3,1,5)</v>
      </c>
      <c r="AC88" s="30">
        <v>1.1000000000000001</v>
      </c>
      <c r="AD88" s="30">
        <v>1.1000000000000001</v>
      </c>
      <c r="AE88" s="30">
        <v>1</v>
      </c>
      <c r="AF88" s="30">
        <v>1.02</v>
      </c>
      <c r="AG88" s="30">
        <v>1</v>
      </c>
      <c r="AH88" s="30">
        <v>1.2</v>
      </c>
    </row>
    <row r="89" spans="1:34" ht="24" customHeight="1">
      <c r="A89" s="1246">
        <v>266105</v>
      </c>
      <c r="B89" s="1279"/>
      <c r="C89" s="1247"/>
      <c r="D89" s="1249">
        <v>5</v>
      </c>
      <c r="E89" s="1250" t="s">
        <v>98</v>
      </c>
      <c r="F89" s="1251" t="s">
        <v>745</v>
      </c>
      <c r="G89" s="1252" t="s">
        <v>93</v>
      </c>
      <c r="H89" s="1253" t="s">
        <v>98</v>
      </c>
      <c r="I89" s="1254" t="s">
        <v>98</v>
      </c>
      <c r="J89" s="1255">
        <v>0</v>
      </c>
      <c r="K89" s="1252" t="s">
        <v>96</v>
      </c>
      <c r="L89" s="1252">
        <v>2448.1999999999998</v>
      </c>
      <c r="M89" s="1256">
        <v>1</v>
      </c>
      <c r="N89" s="1257">
        <v>1.2620910621938648</v>
      </c>
      <c r="O89" s="1258" t="s">
        <v>3169</v>
      </c>
      <c r="P89" s="968"/>
      <c r="Q89" s="615" t="s">
        <v>673</v>
      </c>
      <c r="R89" s="21">
        <v>3</v>
      </c>
      <c r="S89" s="21">
        <v>4</v>
      </c>
      <c r="T89" s="21">
        <v>1</v>
      </c>
      <c r="U89" s="21">
        <v>3</v>
      </c>
      <c r="V89" s="21">
        <v>1</v>
      </c>
      <c r="W89" s="21">
        <v>5</v>
      </c>
      <c r="X89" s="297">
        <v>3</v>
      </c>
      <c r="Y89" s="6">
        <v>1.05</v>
      </c>
      <c r="Z89" s="245">
        <f t="shared" si="6"/>
        <v>1.2555818742947564</v>
      </c>
      <c r="AA89" s="245">
        <f t="shared" si="7"/>
        <v>1.2620910621938648</v>
      </c>
      <c r="AB89" s="246" t="str">
        <f t="shared" si="8"/>
        <v>(3,4,1,3,1,5)</v>
      </c>
      <c r="AC89" s="30">
        <v>1.1000000000000001</v>
      </c>
      <c r="AD89" s="30">
        <v>1.1000000000000001</v>
      </c>
      <c r="AE89" s="30">
        <v>1</v>
      </c>
      <c r="AF89" s="30">
        <v>1.02</v>
      </c>
      <c r="AG89" s="30">
        <v>1</v>
      </c>
      <c r="AH89" s="30">
        <v>1.2</v>
      </c>
    </row>
    <row r="90" spans="1:34" ht="24" customHeight="1">
      <c r="A90" s="1246">
        <v>259385</v>
      </c>
      <c r="B90" s="1248" t="s">
        <v>746</v>
      </c>
      <c r="C90" s="1247"/>
      <c r="D90" s="1298">
        <v>5</v>
      </c>
      <c r="E90" s="1299" t="s">
        <v>98</v>
      </c>
      <c r="F90" s="1291" t="s">
        <v>747</v>
      </c>
      <c r="G90" s="1292" t="s">
        <v>103</v>
      </c>
      <c r="H90" s="1300" t="s">
        <v>98</v>
      </c>
      <c r="I90" s="1293" t="s">
        <v>98</v>
      </c>
      <c r="J90" s="1294">
        <v>0</v>
      </c>
      <c r="K90" s="1292" t="s">
        <v>96</v>
      </c>
      <c r="L90" s="1292">
        <v>44151.3</v>
      </c>
      <c r="M90" s="1295">
        <v>1</v>
      </c>
      <c r="N90" s="1296">
        <v>1.2620910621938648</v>
      </c>
      <c r="O90" s="1297" t="s">
        <v>3182</v>
      </c>
      <c r="P90" s="968"/>
      <c r="Q90" s="615" t="s">
        <v>748</v>
      </c>
      <c r="R90" s="21">
        <v>3</v>
      </c>
      <c r="S90" s="21">
        <v>4</v>
      </c>
      <c r="T90" s="21">
        <v>1</v>
      </c>
      <c r="U90" s="21">
        <v>3</v>
      </c>
      <c r="V90" s="21">
        <v>1</v>
      </c>
      <c r="W90" s="21">
        <v>5</v>
      </c>
      <c r="X90" s="297">
        <v>6</v>
      </c>
      <c r="Y90" s="6">
        <v>1.05</v>
      </c>
      <c r="Z90" s="245">
        <f t="shared" si="6"/>
        <v>1.2555818742947564</v>
      </c>
      <c r="AA90" s="245">
        <f t="shared" si="7"/>
        <v>1.2620910621938648</v>
      </c>
      <c r="AB90" s="246" t="str">
        <f t="shared" si="8"/>
        <v>(3,4,1,3,1,5)</v>
      </c>
      <c r="AC90" s="30">
        <v>1.1000000000000001</v>
      </c>
      <c r="AD90" s="30">
        <v>1.1000000000000001</v>
      </c>
      <c r="AE90" s="30">
        <v>1</v>
      </c>
      <c r="AF90" s="30">
        <v>1.02</v>
      </c>
      <c r="AG90" s="30">
        <v>1</v>
      </c>
      <c r="AH90" s="30">
        <v>1.2</v>
      </c>
    </row>
    <row r="91" spans="1:34" ht="24" customHeight="1">
      <c r="A91" s="1246">
        <v>259385</v>
      </c>
      <c r="B91" s="1279"/>
      <c r="C91" s="1247"/>
      <c r="D91" s="1249">
        <v>5</v>
      </c>
      <c r="E91" s="1250" t="s">
        <v>98</v>
      </c>
      <c r="F91" s="1251" t="s">
        <v>747</v>
      </c>
      <c r="G91" s="1252" t="s">
        <v>103</v>
      </c>
      <c r="H91" s="1253" t="s">
        <v>98</v>
      </c>
      <c r="I91" s="1254" t="s">
        <v>98</v>
      </c>
      <c r="J91" s="1255">
        <v>0</v>
      </c>
      <c r="K91" s="1252" t="s">
        <v>96</v>
      </c>
      <c r="L91" s="1252">
        <v>152237.20000000001</v>
      </c>
      <c r="M91" s="1256">
        <v>1</v>
      </c>
      <c r="N91" s="1257">
        <v>1.2620910621938648</v>
      </c>
      <c r="O91" s="1258" t="s">
        <v>3183</v>
      </c>
      <c r="P91" s="968"/>
      <c r="Q91" s="615" t="s">
        <v>749</v>
      </c>
      <c r="R91" s="21">
        <v>3</v>
      </c>
      <c r="S91" s="21">
        <v>4</v>
      </c>
      <c r="T91" s="21">
        <v>1</v>
      </c>
      <c r="U91" s="21">
        <v>3</v>
      </c>
      <c r="V91" s="21">
        <v>1</v>
      </c>
      <c r="W91" s="21">
        <v>5</v>
      </c>
      <c r="X91" s="297">
        <v>6</v>
      </c>
      <c r="Y91" s="6">
        <v>1.05</v>
      </c>
      <c r="Z91" s="245">
        <f t="shared" si="6"/>
        <v>1.2555818742947564</v>
      </c>
      <c r="AA91" s="245">
        <f t="shared" si="7"/>
        <v>1.2620910621938648</v>
      </c>
      <c r="AB91" s="246" t="str">
        <f t="shared" si="8"/>
        <v>(3,4,1,3,1,5)</v>
      </c>
      <c r="AC91" s="30">
        <v>1.1000000000000001</v>
      </c>
      <c r="AD91" s="30">
        <v>1.1000000000000001</v>
      </c>
      <c r="AE91" s="30">
        <v>1</v>
      </c>
      <c r="AF91" s="30">
        <v>1.02</v>
      </c>
      <c r="AG91" s="30">
        <v>1</v>
      </c>
      <c r="AH91" s="30">
        <v>1.2</v>
      </c>
    </row>
    <row r="92" spans="1:34" ht="24" customHeight="1">
      <c r="A92" s="1246">
        <v>259385</v>
      </c>
      <c r="B92" s="1279"/>
      <c r="C92" s="1247"/>
      <c r="D92" s="1298">
        <v>5</v>
      </c>
      <c r="E92" s="1299" t="s">
        <v>98</v>
      </c>
      <c r="F92" s="1291" t="s">
        <v>747</v>
      </c>
      <c r="G92" s="1292" t="s">
        <v>103</v>
      </c>
      <c r="H92" s="1300" t="s">
        <v>98</v>
      </c>
      <c r="I92" s="1293" t="s">
        <v>98</v>
      </c>
      <c r="J92" s="1294">
        <v>0</v>
      </c>
      <c r="K92" s="1292" t="s">
        <v>96</v>
      </c>
      <c r="L92" s="1292">
        <v>41012.800000000003</v>
      </c>
      <c r="M92" s="1295">
        <v>1</v>
      </c>
      <c r="N92" s="1296">
        <v>1.2620910621938648</v>
      </c>
      <c r="O92" s="1297" t="s">
        <v>3184</v>
      </c>
      <c r="P92" s="968"/>
      <c r="Q92" s="615" t="s">
        <v>750</v>
      </c>
      <c r="R92" s="21">
        <v>3</v>
      </c>
      <c r="S92" s="21">
        <v>4</v>
      </c>
      <c r="T92" s="21">
        <v>1</v>
      </c>
      <c r="U92" s="21">
        <v>3</v>
      </c>
      <c r="V92" s="21">
        <v>1</v>
      </c>
      <c r="W92" s="21">
        <v>5</v>
      </c>
      <c r="X92" s="297">
        <v>6</v>
      </c>
      <c r="Y92" s="6">
        <v>1.05</v>
      </c>
      <c r="Z92" s="245">
        <f t="shared" si="6"/>
        <v>1.2555818742947564</v>
      </c>
      <c r="AA92" s="245">
        <f t="shared" si="7"/>
        <v>1.2620910621938648</v>
      </c>
      <c r="AB92" s="246" t="str">
        <f t="shared" si="8"/>
        <v>(3,4,1,3,1,5)</v>
      </c>
      <c r="AC92" s="30">
        <v>1.1000000000000001</v>
      </c>
      <c r="AD92" s="30">
        <v>1.1000000000000001</v>
      </c>
      <c r="AE92" s="30">
        <v>1</v>
      </c>
      <c r="AF92" s="30">
        <v>1.02</v>
      </c>
      <c r="AG92" s="30">
        <v>1</v>
      </c>
      <c r="AH92" s="30">
        <v>1.2</v>
      </c>
    </row>
    <row r="93" spans="1:34" ht="24" customHeight="1">
      <c r="A93" s="1246">
        <v>268269</v>
      </c>
      <c r="B93" s="1279"/>
      <c r="C93" s="1247"/>
      <c r="D93" s="1249">
        <v>5</v>
      </c>
      <c r="E93" s="1250" t="s">
        <v>98</v>
      </c>
      <c r="F93" s="1251" t="s">
        <v>751</v>
      </c>
      <c r="G93" s="1252" t="s">
        <v>103</v>
      </c>
      <c r="H93" s="1253" t="s">
        <v>98</v>
      </c>
      <c r="I93" s="1254" t="s">
        <v>98</v>
      </c>
      <c r="J93" s="1255">
        <v>0</v>
      </c>
      <c r="K93" s="1252" t="s">
        <v>96</v>
      </c>
      <c r="L93" s="1252">
        <v>307962.59999999998</v>
      </c>
      <c r="M93" s="1256">
        <v>1</v>
      </c>
      <c r="N93" s="1257">
        <v>1.2620910621938648</v>
      </c>
      <c r="O93" s="1258" t="s">
        <v>3183</v>
      </c>
      <c r="P93" s="968"/>
      <c r="Q93" s="615" t="s">
        <v>749</v>
      </c>
      <c r="R93" s="21">
        <v>3</v>
      </c>
      <c r="S93" s="21">
        <v>4</v>
      </c>
      <c r="T93" s="21">
        <v>1</v>
      </c>
      <c r="U93" s="21">
        <v>3</v>
      </c>
      <c r="V93" s="21">
        <v>1</v>
      </c>
      <c r="W93" s="21">
        <v>5</v>
      </c>
      <c r="X93" s="297">
        <v>6</v>
      </c>
      <c r="Y93" s="6">
        <v>1.05</v>
      </c>
      <c r="Z93" s="245">
        <f t="shared" si="6"/>
        <v>1.2555818742947564</v>
      </c>
      <c r="AA93" s="245">
        <f t="shared" si="7"/>
        <v>1.2620910621938648</v>
      </c>
      <c r="AB93" s="246" t="str">
        <f t="shared" si="8"/>
        <v>(3,4,1,3,1,5)</v>
      </c>
      <c r="AC93" s="30">
        <v>1.1000000000000001</v>
      </c>
      <c r="AD93" s="30">
        <v>1.1000000000000001</v>
      </c>
      <c r="AE93" s="30">
        <v>1</v>
      </c>
      <c r="AF93" s="30">
        <v>1.02</v>
      </c>
      <c r="AG93" s="30">
        <v>1</v>
      </c>
      <c r="AH93" s="30">
        <v>1.2</v>
      </c>
    </row>
    <row r="94" spans="1:34" ht="24" customHeight="1">
      <c r="A94" s="1246">
        <v>268269</v>
      </c>
      <c r="B94" s="1279"/>
      <c r="C94" s="1247"/>
      <c r="D94" s="1298">
        <v>5</v>
      </c>
      <c r="E94" s="1299" t="s">
        <v>98</v>
      </c>
      <c r="F94" s="1291" t="s">
        <v>751</v>
      </c>
      <c r="G94" s="1292" t="s">
        <v>103</v>
      </c>
      <c r="H94" s="1300" t="s">
        <v>98</v>
      </c>
      <c r="I94" s="1293" t="s">
        <v>98</v>
      </c>
      <c r="J94" s="1294">
        <v>0</v>
      </c>
      <c r="K94" s="1292" t="s">
        <v>96</v>
      </c>
      <c r="L94" s="1292">
        <v>82707.999999999985</v>
      </c>
      <c r="M94" s="1295">
        <v>1</v>
      </c>
      <c r="N94" s="1296">
        <v>1.2620910621938648</v>
      </c>
      <c r="O94" s="1297" t="s">
        <v>3184</v>
      </c>
      <c r="P94" s="968"/>
      <c r="Q94" s="615" t="s">
        <v>750</v>
      </c>
      <c r="R94" s="21">
        <v>3</v>
      </c>
      <c r="S94" s="21">
        <v>4</v>
      </c>
      <c r="T94" s="21">
        <v>1</v>
      </c>
      <c r="U94" s="21">
        <v>3</v>
      </c>
      <c r="V94" s="21">
        <v>1</v>
      </c>
      <c r="W94" s="21">
        <v>5</v>
      </c>
      <c r="X94" s="297">
        <v>6</v>
      </c>
      <c r="Y94" s="6">
        <v>1.05</v>
      </c>
      <c r="Z94" s="245">
        <f t="shared" si="6"/>
        <v>1.2555818742947564</v>
      </c>
      <c r="AA94" s="245">
        <f t="shared" si="7"/>
        <v>1.2620910621938648</v>
      </c>
      <c r="AB94" s="246" t="str">
        <f t="shared" si="8"/>
        <v>(3,4,1,3,1,5)</v>
      </c>
      <c r="AC94" s="30">
        <v>1.1000000000000001</v>
      </c>
      <c r="AD94" s="30">
        <v>1.1000000000000001</v>
      </c>
      <c r="AE94" s="30">
        <v>1</v>
      </c>
      <c r="AF94" s="30">
        <v>1.02</v>
      </c>
      <c r="AG94" s="30">
        <v>1</v>
      </c>
      <c r="AH94" s="30">
        <v>1.2</v>
      </c>
    </row>
    <row r="95" spans="1:34" ht="24" customHeight="1">
      <c r="A95" s="1246">
        <v>268269</v>
      </c>
      <c r="B95" s="1279"/>
      <c r="C95" s="1247"/>
      <c r="D95" s="1249">
        <v>5</v>
      </c>
      <c r="E95" s="1250" t="s">
        <v>98</v>
      </c>
      <c r="F95" s="1251" t="s">
        <v>751</v>
      </c>
      <c r="G95" s="1252" t="s">
        <v>103</v>
      </c>
      <c r="H95" s="1253" t="s">
        <v>98</v>
      </c>
      <c r="I95" s="1254" t="s">
        <v>98</v>
      </c>
      <c r="J95" s="1255">
        <v>0</v>
      </c>
      <c r="K95" s="1252" t="s">
        <v>96</v>
      </c>
      <c r="L95" s="1252">
        <v>541749.97987499996</v>
      </c>
      <c r="M95" s="1256">
        <v>1</v>
      </c>
      <c r="N95" s="1257">
        <v>1.2620910621938648</v>
      </c>
      <c r="O95" s="1258" t="s">
        <v>3185</v>
      </c>
      <c r="P95" s="968"/>
      <c r="Q95" s="615" t="s">
        <v>752</v>
      </c>
      <c r="R95" s="21">
        <v>3</v>
      </c>
      <c r="S95" s="21">
        <v>4</v>
      </c>
      <c r="T95" s="21">
        <v>1</v>
      </c>
      <c r="U95" s="21">
        <v>3</v>
      </c>
      <c r="V95" s="21">
        <v>1</v>
      </c>
      <c r="W95" s="21">
        <v>5</v>
      </c>
      <c r="X95" s="297">
        <v>6</v>
      </c>
      <c r="Y95" s="6">
        <v>1.05</v>
      </c>
      <c r="Z95" s="245">
        <f t="shared" si="6"/>
        <v>1.2555818742947564</v>
      </c>
      <c r="AA95" s="245">
        <f t="shared" si="7"/>
        <v>1.2620910621938648</v>
      </c>
      <c r="AB95" s="246" t="str">
        <f t="shared" si="8"/>
        <v>(3,4,1,3,1,5)</v>
      </c>
      <c r="AC95" s="30">
        <v>1.1000000000000001</v>
      </c>
      <c r="AD95" s="30">
        <v>1.1000000000000001</v>
      </c>
      <c r="AE95" s="30">
        <v>1</v>
      </c>
      <c r="AF95" s="30">
        <v>1.02</v>
      </c>
      <c r="AG95" s="30">
        <v>1</v>
      </c>
      <c r="AH95" s="30">
        <v>1.2</v>
      </c>
    </row>
    <row r="96" spans="1:34">
      <c r="A96" s="1246">
        <v>267245</v>
      </c>
      <c r="B96" s="1279"/>
      <c r="C96" s="1247"/>
      <c r="D96" s="1298">
        <v>5</v>
      </c>
      <c r="E96" s="1299" t="s">
        <v>98</v>
      </c>
      <c r="F96" s="1291" t="s">
        <v>753</v>
      </c>
      <c r="G96" s="1292" t="s">
        <v>103</v>
      </c>
      <c r="H96" s="1300" t="s">
        <v>98</v>
      </c>
      <c r="I96" s="1293" t="s">
        <v>98</v>
      </c>
      <c r="J96" s="1294">
        <v>0</v>
      </c>
      <c r="K96" s="1292" t="s">
        <v>96</v>
      </c>
      <c r="L96" s="1292">
        <v>11368086.905999999</v>
      </c>
      <c r="M96" s="1295">
        <v>1</v>
      </c>
      <c r="N96" s="1296">
        <v>1.2620910621938648</v>
      </c>
      <c r="O96" s="1297" t="s">
        <v>3186</v>
      </c>
      <c r="P96" s="968"/>
      <c r="Q96" s="615" t="s">
        <v>754</v>
      </c>
      <c r="R96" s="21">
        <v>3</v>
      </c>
      <c r="S96" s="21">
        <v>4</v>
      </c>
      <c r="T96" s="21">
        <v>1</v>
      </c>
      <c r="U96" s="21">
        <v>3</v>
      </c>
      <c r="V96" s="21">
        <v>1</v>
      </c>
      <c r="W96" s="21">
        <v>5</v>
      </c>
      <c r="X96" s="297">
        <v>6</v>
      </c>
      <c r="Y96" s="6">
        <v>1.05</v>
      </c>
      <c r="Z96" s="245">
        <f t="shared" si="6"/>
        <v>1.2555818742947564</v>
      </c>
      <c r="AA96" s="245">
        <f t="shared" si="7"/>
        <v>1.2620910621938648</v>
      </c>
      <c r="AB96" s="246" t="str">
        <f t="shared" si="8"/>
        <v>(3,4,1,3,1,5)</v>
      </c>
      <c r="AC96" s="30">
        <v>1.1000000000000001</v>
      </c>
      <c r="AD96" s="30">
        <v>1.1000000000000001</v>
      </c>
      <c r="AE96" s="30">
        <v>1</v>
      </c>
      <c r="AF96" s="30">
        <v>1.02</v>
      </c>
      <c r="AG96" s="30">
        <v>1</v>
      </c>
      <c r="AH96" s="30">
        <v>1.2</v>
      </c>
    </row>
    <row r="97" spans="1:34" ht="24" customHeight="1">
      <c r="A97" s="1246">
        <v>255195</v>
      </c>
      <c r="B97" s="1279"/>
      <c r="C97" s="1247"/>
      <c r="D97" s="1249">
        <v>5</v>
      </c>
      <c r="E97" s="1250" t="s">
        <v>98</v>
      </c>
      <c r="F97" s="1251" t="s">
        <v>755</v>
      </c>
      <c r="G97" s="1252" t="s">
        <v>103</v>
      </c>
      <c r="H97" s="1253" t="s">
        <v>98</v>
      </c>
      <c r="I97" s="1254" t="s">
        <v>98</v>
      </c>
      <c r="J97" s="1255">
        <v>0</v>
      </c>
      <c r="K97" s="1252" t="s">
        <v>96</v>
      </c>
      <c r="L97" s="1252">
        <v>32777230</v>
      </c>
      <c r="M97" s="1256">
        <v>1</v>
      </c>
      <c r="N97" s="1257">
        <v>1.2620910621938648</v>
      </c>
      <c r="O97" s="1258" t="s">
        <v>3187</v>
      </c>
      <c r="P97" s="968"/>
      <c r="Q97" s="615" t="s">
        <v>756</v>
      </c>
      <c r="R97" s="21">
        <v>3</v>
      </c>
      <c r="S97" s="21">
        <v>4</v>
      </c>
      <c r="T97" s="21">
        <v>1</v>
      </c>
      <c r="U97" s="21">
        <v>3</v>
      </c>
      <c r="V97" s="21">
        <v>1</v>
      </c>
      <c r="W97" s="21">
        <v>5</v>
      </c>
      <c r="X97" s="297">
        <v>6</v>
      </c>
      <c r="Y97" s="6">
        <v>1.05</v>
      </c>
      <c r="Z97" s="245">
        <f t="shared" si="6"/>
        <v>1.2555818742947564</v>
      </c>
      <c r="AA97" s="245">
        <f t="shared" si="7"/>
        <v>1.2620910621938648</v>
      </c>
      <c r="AB97" s="246" t="str">
        <f t="shared" si="8"/>
        <v>(3,4,1,3,1,5)</v>
      </c>
      <c r="AC97" s="30">
        <v>1.1000000000000001</v>
      </c>
      <c r="AD97" s="30">
        <v>1.1000000000000001</v>
      </c>
      <c r="AE97" s="30">
        <v>1</v>
      </c>
      <c r="AF97" s="30">
        <v>1.02</v>
      </c>
      <c r="AG97" s="30">
        <v>1</v>
      </c>
      <c r="AH97" s="30">
        <v>1.2</v>
      </c>
    </row>
    <row r="98" spans="1:34" ht="24" customHeight="1">
      <c r="A98" s="1246">
        <v>268265</v>
      </c>
      <c r="B98" s="1279"/>
      <c r="C98" s="1247"/>
      <c r="D98" s="1298">
        <v>5</v>
      </c>
      <c r="E98" s="1299" t="s">
        <v>98</v>
      </c>
      <c r="F98" s="1291" t="s">
        <v>757</v>
      </c>
      <c r="G98" s="1292" t="s">
        <v>103</v>
      </c>
      <c r="H98" s="1300" t="s">
        <v>98</v>
      </c>
      <c r="I98" s="1293" t="s">
        <v>98</v>
      </c>
      <c r="J98" s="1294">
        <v>0</v>
      </c>
      <c r="K98" s="1292" t="s">
        <v>96</v>
      </c>
      <c r="L98" s="1292">
        <v>82882836.721000001</v>
      </c>
      <c r="M98" s="1295">
        <v>1</v>
      </c>
      <c r="N98" s="1296">
        <v>1.2620910621938648</v>
      </c>
      <c r="O98" s="1297" t="s">
        <v>3188</v>
      </c>
      <c r="P98" s="968"/>
      <c r="Q98" s="615" t="s">
        <v>758</v>
      </c>
      <c r="R98" s="21">
        <v>3</v>
      </c>
      <c r="S98" s="21">
        <v>4</v>
      </c>
      <c r="T98" s="21">
        <v>1</v>
      </c>
      <c r="U98" s="21">
        <v>3</v>
      </c>
      <c r="V98" s="21">
        <v>1</v>
      </c>
      <c r="W98" s="21">
        <v>5</v>
      </c>
      <c r="X98" s="297">
        <v>6</v>
      </c>
      <c r="Y98" s="6">
        <v>1.05</v>
      </c>
      <c r="Z98" s="245">
        <f t="shared" si="6"/>
        <v>1.2555818742947564</v>
      </c>
      <c r="AA98" s="245">
        <f t="shared" si="7"/>
        <v>1.2620910621938648</v>
      </c>
      <c r="AB98" s="246" t="str">
        <f t="shared" si="8"/>
        <v>(3,4,1,3,1,5)</v>
      </c>
      <c r="AC98" s="30">
        <v>1.1000000000000001</v>
      </c>
      <c r="AD98" s="30">
        <v>1.1000000000000001</v>
      </c>
      <c r="AE98" s="30">
        <v>1</v>
      </c>
      <c r="AF98" s="30">
        <v>1.02</v>
      </c>
      <c r="AG98" s="30">
        <v>1</v>
      </c>
      <c r="AH98" s="30">
        <v>1.2</v>
      </c>
    </row>
    <row r="99" spans="1:34" ht="24" customHeight="1">
      <c r="A99" s="1246">
        <v>264229</v>
      </c>
      <c r="B99" s="1279"/>
      <c r="C99" s="1247"/>
      <c r="D99" s="1249">
        <v>5</v>
      </c>
      <c r="E99" s="1250" t="s">
        <v>98</v>
      </c>
      <c r="F99" s="1251" t="s">
        <v>759</v>
      </c>
      <c r="G99" s="1252" t="s">
        <v>103</v>
      </c>
      <c r="H99" s="1253" t="s">
        <v>98</v>
      </c>
      <c r="I99" s="1254" t="s">
        <v>98</v>
      </c>
      <c r="J99" s="1255">
        <v>0</v>
      </c>
      <c r="K99" s="1252" t="s">
        <v>96</v>
      </c>
      <c r="L99" s="1252">
        <v>17313009.800000001</v>
      </c>
      <c r="M99" s="1256">
        <v>1</v>
      </c>
      <c r="N99" s="1257">
        <v>1.2620910621938648</v>
      </c>
      <c r="O99" s="1258" t="s">
        <v>3188</v>
      </c>
      <c r="P99" s="968"/>
      <c r="Q99" s="615" t="s">
        <v>758</v>
      </c>
      <c r="R99" s="21">
        <v>3</v>
      </c>
      <c r="S99" s="21">
        <v>4</v>
      </c>
      <c r="T99" s="21">
        <v>1</v>
      </c>
      <c r="U99" s="21">
        <v>3</v>
      </c>
      <c r="V99" s="21">
        <v>1</v>
      </c>
      <c r="W99" s="21">
        <v>5</v>
      </c>
      <c r="X99" s="297">
        <v>6</v>
      </c>
      <c r="Y99" s="6">
        <v>1.05</v>
      </c>
      <c r="Z99" s="245">
        <f t="shared" si="6"/>
        <v>1.2555818742947564</v>
      </c>
      <c r="AA99" s="245">
        <f t="shared" si="7"/>
        <v>1.2620910621938648</v>
      </c>
      <c r="AB99" s="246" t="str">
        <f t="shared" si="8"/>
        <v>(3,4,1,3,1,5)</v>
      </c>
      <c r="AC99" s="30">
        <v>1.1000000000000001</v>
      </c>
      <c r="AD99" s="30">
        <v>1.1000000000000001</v>
      </c>
      <c r="AE99" s="30">
        <v>1</v>
      </c>
      <c r="AF99" s="30">
        <v>1.02</v>
      </c>
      <c r="AG99" s="30">
        <v>1</v>
      </c>
      <c r="AH99" s="30">
        <v>1.2</v>
      </c>
    </row>
    <row r="100" spans="1:34">
      <c r="A100" s="1246">
        <v>113599</v>
      </c>
      <c r="B100" s="1278" t="s">
        <v>762</v>
      </c>
      <c r="C100" s="1247"/>
      <c r="D100" s="1298">
        <v>4</v>
      </c>
      <c r="E100" s="1299" t="s">
        <v>98</v>
      </c>
      <c r="F100" s="1291" t="s">
        <v>763</v>
      </c>
      <c r="G100" s="1292" t="s">
        <v>98</v>
      </c>
      <c r="H100" s="1300" t="s">
        <v>218</v>
      </c>
      <c r="I100" s="1293" t="s">
        <v>764</v>
      </c>
      <c r="J100" s="1294" t="s">
        <v>98</v>
      </c>
      <c r="K100" s="1292" t="s">
        <v>725</v>
      </c>
      <c r="L100" s="1292">
        <v>1774640.4</v>
      </c>
      <c r="M100" s="1295">
        <v>1</v>
      </c>
      <c r="N100" s="1296">
        <v>1.5919770563893134</v>
      </c>
      <c r="O100" s="1297" t="s">
        <v>3169</v>
      </c>
      <c r="P100" s="968"/>
      <c r="Q100" s="615" t="s">
        <v>673</v>
      </c>
      <c r="R100" s="21">
        <v>3</v>
      </c>
      <c r="S100" s="21">
        <v>4</v>
      </c>
      <c r="T100" s="21">
        <v>1</v>
      </c>
      <c r="U100" s="21">
        <v>3</v>
      </c>
      <c r="V100" s="21">
        <v>1</v>
      </c>
      <c r="W100" s="21">
        <v>5</v>
      </c>
      <c r="X100" s="297">
        <v>7</v>
      </c>
      <c r="Y100" s="6">
        <v>1.5</v>
      </c>
      <c r="Z100" s="245">
        <f t="shared" si="6"/>
        <v>1.2555818742947564</v>
      </c>
      <c r="AA100" s="245">
        <f t="shared" si="7"/>
        <v>1.5919770563893134</v>
      </c>
      <c r="AB100" s="246" t="str">
        <f t="shared" si="8"/>
        <v>(3,4,1,3,1,5)</v>
      </c>
      <c r="AC100" s="30">
        <v>1.1000000000000001</v>
      </c>
      <c r="AD100" s="30">
        <v>1.1000000000000001</v>
      </c>
      <c r="AE100" s="30">
        <v>1</v>
      </c>
      <c r="AF100" s="30">
        <v>1.02</v>
      </c>
      <c r="AG100" s="30">
        <v>1</v>
      </c>
      <c r="AH100" s="30">
        <v>1.2</v>
      </c>
    </row>
    <row r="101" spans="1:34" ht="24" customHeight="1">
      <c r="A101" s="1246">
        <v>1381</v>
      </c>
      <c r="B101" s="1276"/>
      <c r="C101" s="1247"/>
      <c r="D101" s="1249">
        <v>4</v>
      </c>
      <c r="E101" s="1250" t="s">
        <v>98</v>
      </c>
      <c r="F101" s="1251" t="s">
        <v>768</v>
      </c>
      <c r="G101" s="1252" t="s">
        <v>98</v>
      </c>
      <c r="H101" s="1253" t="s">
        <v>218</v>
      </c>
      <c r="I101" s="1254" t="s">
        <v>764</v>
      </c>
      <c r="J101" s="1255" t="s">
        <v>98</v>
      </c>
      <c r="K101" s="1252" t="s">
        <v>679</v>
      </c>
      <c r="L101" s="1252">
        <v>59154.7</v>
      </c>
      <c r="M101" s="1256">
        <v>1</v>
      </c>
      <c r="N101" s="1257">
        <v>1.3385948990307144</v>
      </c>
      <c r="O101" s="1258" t="s">
        <v>3189</v>
      </c>
      <c r="P101" s="968"/>
      <c r="Q101" s="615" t="s">
        <v>769</v>
      </c>
      <c r="R101" s="21">
        <v>3</v>
      </c>
      <c r="S101" s="21">
        <v>4</v>
      </c>
      <c r="T101" s="21">
        <v>1</v>
      </c>
      <c r="U101" s="21">
        <v>3</v>
      </c>
      <c r="V101" s="21">
        <v>1</v>
      </c>
      <c r="W101" s="21">
        <v>5</v>
      </c>
      <c r="X101" s="297">
        <v>47</v>
      </c>
      <c r="Y101" s="6">
        <v>1.2</v>
      </c>
      <c r="Z101" s="245">
        <f t="shared" si="6"/>
        <v>1.2555818742947564</v>
      </c>
      <c r="AA101" s="245">
        <f t="shared" si="7"/>
        <v>1.3385948990307144</v>
      </c>
      <c r="AB101" s="246" t="str">
        <f t="shared" si="8"/>
        <v>(3,4,1,3,1,5)</v>
      </c>
      <c r="AC101" s="30">
        <v>1.1000000000000001</v>
      </c>
      <c r="AD101" s="30">
        <v>1.1000000000000001</v>
      </c>
      <c r="AE101" s="30">
        <v>1</v>
      </c>
      <c r="AF101" s="30">
        <v>1.02</v>
      </c>
      <c r="AG101" s="30">
        <v>1</v>
      </c>
      <c r="AH101" s="30">
        <v>1.2</v>
      </c>
    </row>
    <row r="102" spans="1:34">
      <c r="A102" s="1246">
        <v>20910</v>
      </c>
      <c r="B102" s="1276"/>
      <c r="C102" s="1247"/>
      <c r="D102" s="1298">
        <v>4</v>
      </c>
      <c r="E102" s="1299" t="s">
        <v>98</v>
      </c>
      <c r="F102" s="1291" t="s">
        <v>770</v>
      </c>
      <c r="G102" s="1292" t="s">
        <v>98</v>
      </c>
      <c r="H102" s="1300" t="s">
        <v>218</v>
      </c>
      <c r="I102" s="1293" t="s">
        <v>764</v>
      </c>
      <c r="J102" s="1294" t="s">
        <v>98</v>
      </c>
      <c r="K102" s="1292" t="s">
        <v>679</v>
      </c>
      <c r="L102" s="1292">
        <v>59154.7</v>
      </c>
      <c r="M102" s="1295">
        <v>1</v>
      </c>
      <c r="N102" s="1296">
        <v>2.0741629046031922</v>
      </c>
      <c r="O102" s="1297" t="s">
        <v>3169</v>
      </c>
      <c r="P102" s="968"/>
      <c r="Q102" s="615" t="s">
        <v>673</v>
      </c>
      <c r="R102" s="21">
        <v>3</v>
      </c>
      <c r="S102" s="21">
        <v>4</v>
      </c>
      <c r="T102" s="21">
        <v>1</v>
      </c>
      <c r="U102" s="21">
        <v>3</v>
      </c>
      <c r="V102" s="21">
        <v>1</v>
      </c>
      <c r="W102" s="21">
        <v>5</v>
      </c>
      <c r="X102" s="297">
        <v>8</v>
      </c>
      <c r="Y102" s="6">
        <v>2</v>
      </c>
      <c r="Z102" s="245">
        <f t="shared" si="6"/>
        <v>1.2555818742947564</v>
      </c>
      <c r="AA102" s="245">
        <f t="shared" si="7"/>
        <v>2.0741629046031922</v>
      </c>
      <c r="AB102" s="246" t="str">
        <f t="shared" si="8"/>
        <v>(3,4,1,3,1,5)</v>
      </c>
      <c r="AC102" s="30">
        <v>1.1000000000000001</v>
      </c>
      <c r="AD102" s="30">
        <v>1.1000000000000001</v>
      </c>
      <c r="AE102" s="30">
        <v>1</v>
      </c>
      <c r="AF102" s="30">
        <v>1.02</v>
      </c>
      <c r="AG102" s="30">
        <v>1</v>
      </c>
      <c r="AH102" s="30">
        <v>1.2</v>
      </c>
    </row>
    <row r="103" spans="1:34">
      <c r="D103" s="308"/>
      <c r="E103" s="308"/>
      <c r="F103" s="308"/>
      <c r="G103" s="308"/>
      <c r="H103" s="308"/>
      <c r="I103" s="308"/>
      <c r="J103" s="308"/>
      <c r="K103" s="308"/>
      <c r="L103" s="1245"/>
      <c r="M103" s="307"/>
      <c r="N103" s="307"/>
      <c r="O103" s="307"/>
    </row>
    <row r="104" spans="1:34">
      <c r="D104" s="308"/>
      <c r="E104" s="308"/>
      <c r="F104" s="308"/>
      <c r="G104" s="308"/>
      <c r="H104" s="308"/>
      <c r="I104" s="308"/>
      <c r="J104" s="308"/>
      <c r="K104" s="308"/>
      <c r="L104" s="1245"/>
      <c r="M104" s="307"/>
      <c r="N104" s="307"/>
      <c r="O104" s="307"/>
    </row>
    <row r="105" spans="1:34">
      <c r="D105" s="308"/>
      <c r="E105" s="308"/>
      <c r="F105" s="308"/>
      <c r="G105" s="308"/>
      <c r="H105" s="308"/>
      <c r="I105" s="308"/>
      <c r="J105" s="308"/>
      <c r="K105" s="308"/>
      <c r="L105" s="308"/>
      <c r="M105" s="308"/>
      <c r="N105" s="308"/>
      <c r="O105" s="307"/>
    </row>
    <row r="106" spans="1:34">
      <c r="D106" s="308"/>
      <c r="E106" s="308"/>
      <c r="F106" s="308"/>
      <c r="G106" s="308"/>
      <c r="H106" s="308"/>
      <c r="I106" s="308"/>
      <c r="J106" s="308"/>
      <c r="K106" s="308"/>
      <c r="L106" s="308"/>
      <c r="M106" s="308"/>
      <c r="N106" s="308"/>
      <c r="O106" s="307"/>
    </row>
    <row r="107" spans="1:34">
      <c r="D107" s="308"/>
      <c r="E107" s="308"/>
      <c r="F107" s="308"/>
      <c r="G107" s="308"/>
      <c r="H107" s="308"/>
      <c r="I107" s="308"/>
      <c r="J107" s="308"/>
      <c r="K107" s="308"/>
      <c r="L107" s="308"/>
      <c r="M107" s="308"/>
      <c r="N107" s="308"/>
      <c r="O107" s="307"/>
    </row>
    <row r="108" spans="1:34">
      <c r="J108" s="308"/>
      <c r="K108" s="308"/>
      <c r="L108" s="308"/>
      <c r="M108" s="308"/>
      <c r="N108" s="308"/>
    </row>
    <row r="109" spans="1:34">
      <c r="J109" s="308"/>
      <c r="K109" s="308"/>
      <c r="L109" s="308"/>
      <c r="M109" s="308"/>
      <c r="N109" s="308"/>
    </row>
    <row r="110" spans="1:34">
      <c r="J110" s="308"/>
      <c r="K110" s="308"/>
      <c r="L110" s="308"/>
      <c r="M110" s="308"/>
      <c r="N110" s="308"/>
    </row>
    <row r="111" spans="1:34">
      <c r="J111" s="308"/>
      <c r="K111" s="308"/>
      <c r="L111" s="308"/>
      <c r="M111" s="308"/>
      <c r="N111" s="308"/>
    </row>
    <row r="112" spans="1:34">
      <c r="L112" s="1245"/>
    </row>
    <row r="113" spans="12:12">
      <c r="L113" s="1245"/>
    </row>
  </sheetData>
  <mergeCells count="1">
    <mergeCell ref="R1:W1"/>
  </mergeCells>
  <conditionalFormatting sqref="B7 B100">
    <cfRule type="cellIs" dxfId="340" priority="4" stopIfTrue="1" operator="notEqual">
      <formula>""</formula>
    </cfRule>
  </conditionalFormatting>
  <conditionalFormatting sqref="Q7:Q102">
    <cfRule type="expression" dxfId="339" priority="1">
      <formula>MOD(ROW(),2)=0</formula>
    </cfRule>
  </conditionalFormatting>
  <conditionalFormatting sqref="R7:W102">
    <cfRule type="cellIs" dxfId="338" priority="2" stopIfTrue="1" operator="notBetween">
      <formula>1</formula>
      <formula>5</formula>
    </cfRule>
  </conditionalFormatting>
  <conditionalFormatting sqref="AC7:AH102">
    <cfRule type="cellIs" dxfId="337" priority="3" stopIfTrue="1" operator="equal">
      <formula>0</formula>
    </cfRule>
  </conditionalFormatting>
  <dataValidations count="1">
    <dataValidation allowBlank="1" showInputMessage="1" showErrorMessage="1" promptTitle="Do not change" prompt="This field is automatically updated from the names-list" sqref="X8:X102" xr:uid="{00000000-0002-0000-1500-000000000000}"/>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2">
    <tabColor rgb="FF9CD9F0"/>
  </sheetPr>
  <dimension ref="A1:M39"/>
  <sheetViews>
    <sheetView workbookViewId="0">
      <selection activeCell="I44" sqref="I44"/>
    </sheetView>
  </sheetViews>
  <sheetFormatPr baseColWidth="10" defaultColWidth="11.42578125" defaultRowHeight="12" outlineLevelRow="1"/>
  <cols>
    <col min="1" max="1" width="5.7109375" style="38" customWidth="1"/>
    <col min="2" max="2" width="26" style="38" bestFit="1" customWidth="1"/>
    <col min="3" max="3" width="25.5703125" style="513" customWidth="1"/>
    <col min="4" max="6" width="20.5703125" style="38" customWidth="1"/>
    <col min="9" max="9" width="33.28515625" style="38" bestFit="1" customWidth="1"/>
    <col min="10" max="10" width="4.5703125" style="38" bestFit="1" customWidth="1"/>
    <col min="11" max="11" width="7.42578125" style="38" bestFit="1" customWidth="1"/>
    <col min="12" max="12" width="2.85546875" style="38" bestFit="1" customWidth="1"/>
    <col min="13" max="13" width="12" style="38" bestFit="1" customWidth="1"/>
  </cols>
  <sheetData>
    <row r="1" spans="1:6" ht="10.5" customHeight="1">
      <c r="D1" s="408"/>
      <c r="E1" s="408"/>
      <c r="F1" s="408"/>
    </row>
    <row r="2" spans="1:6" ht="26.25" customHeight="1">
      <c r="A2" s="1571" t="s">
        <v>0</v>
      </c>
      <c r="B2" s="1572"/>
      <c r="C2" s="1573"/>
      <c r="D2" s="1562" t="s">
        <v>1</v>
      </c>
      <c r="E2" s="1563"/>
      <c r="F2" s="1563"/>
    </row>
    <row r="3" spans="1:6" ht="22.5">
      <c r="A3" s="1574"/>
      <c r="B3" s="1575"/>
      <c r="C3" s="1576"/>
      <c r="D3" s="585" t="s">
        <v>2</v>
      </c>
      <c r="E3" s="585" t="s">
        <v>3</v>
      </c>
      <c r="F3" s="585" t="s">
        <v>4</v>
      </c>
    </row>
    <row r="4" spans="1:6" ht="26.25" customHeight="1">
      <c r="A4" s="1571" t="s">
        <v>5</v>
      </c>
      <c r="B4" s="1565"/>
      <c r="C4" s="1566"/>
      <c r="D4" s="585" t="s">
        <v>6</v>
      </c>
      <c r="E4" s="585" t="s">
        <v>6</v>
      </c>
      <c r="F4" s="585" t="s">
        <v>7</v>
      </c>
    </row>
    <row r="5" spans="1:6" ht="12" customHeight="1">
      <c r="A5" s="1567" t="s">
        <v>8</v>
      </c>
      <c r="B5" s="586" t="s">
        <v>9</v>
      </c>
      <c r="C5" s="587"/>
      <c r="D5" s="588">
        <v>3.2678670500712902E-2</v>
      </c>
      <c r="E5" s="588">
        <v>2.6869957576165501E-2</v>
      </c>
      <c r="F5" s="588"/>
    </row>
    <row r="6" spans="1:6" ht="12" customHeight="1">
      <c r="A6" s="1568"/>
      <c r="B6" s="1196" t="s">
        <v>10</v>
      </c>
      <c r="C6" s="589" t="s">
        <v>11</v>
      </c>
      <c r="D6" s="590">
        <v>3.2678670500712902E-2</v>
      </c>
      <c r="E6" s="590">
        <v>2.6869957576165501E-2</v>
      </c>
      <c r="F6" s="590"/>
    </row>
    <row r="7" spans="1:6">
      <c r="A7" s="1568"/>
      <c r="B7" s="586" t="s">
        <v>12</v>
      </c>
      <c r="C7" s="587"/>
      <c r="D7" s="588">
        <v>1.7506668939558899E-2</v>
      </c>
      <c r="E7" s="588">
        <v>1.4513104678584601E-2</v>
      </c>
      <c r="F7" s="588"/>
    </row>
    <row r="8" spans="1:6">
      <c r="A8" s="1568"/>
      <c r="B8" s="1570" t="s">
        <v>13</v>
      </c>
      <c r="C8" s="589" t="s">
        <v>14</v>
      </c>
      <c r="D8" s="590">
        <v>2.4879713817565099E-3</v>
      </c>
      <c r="E8" s="590">
        <v>9.4100517975258095E-4</v>
      </c>
      <c r="F8" s="590"/>
    </row>
    <row r="9" spans="1:6">
      <c r="A9" s="1568"/>
      <c r="B9" s="1568"/>
      <c r="C9" s="589" t="s">
        <v>15</v>
      </c>
      <c r="D9" s="590">
        <v>1.32173479655814E-2</v>
      </c>
      <c r="E9" s="590">
        <v>1.1588304528434601E-2</v>
      </c>
      <c r="F9" s="590"/>
    </row>
    <row r="10" spans="1:6">
      <c r="A10" s="1568"/>
      <c r="B10" s="1568"/>
      <c r="C10" s="589" t="s">
        <v>16</v>
      </c>
      <c r="D10" s="590">
        <v>3.5084283938050702E-4</v>
      </c>
      <c r="E10" s="590">
        <v>5.0099812810901298E-4</v>
      </c>
      <c r="F10" s="590"/>
    </row>
    <row r="11" spans="1:6">
      <c r="A11" s="1568"/>
      <c r="B11" s="1568"/>
      <c r="C11" s="589" t="s">
        <v>17</v>
      </c>
      <c r="D11" s="590">
        <v>1.9923208330472001E-4</v>
      </c>
      <c r="E11" s="590">
        <v>1.9586243354204801E-4</v>
      </c>
      <c r="F11" s="590"/>
    </row>
    <row r="12" spans="1:6">
      <c r="A12" s="1568"/>
      <c r="B12" s="1568"/>
      <c r="C12" s="589" t="s">
        <v>18</v>
      </c>
      <c r="D12" s="590">
        <v>0</v>
      </c>
      <c r="E12" s="590">
        <v>0</v>
      </c>
      <c r="F12" s="590"/>
    </row>
    <row r="13" spans="1:6">
      <c r="A13" s="1568"/>
      <c r="B13" s="1568"/>
      <c r="C13" s="589" t="s">
        <v>19</v>
      </c>
      <c r="D13" s="590">
        <v>1.2512746695357399E-3</v>
      </c>
      <c r="E13" s="590">
        <v>5.28879763064645E-4</v>
      </c>
      <c r="F13" s="590"/>
    </row>
    <row r="14" spans="1:6" outlineLevel="1">
      <c r="A14" s="1568"/>
      <c r="B14" s="1569"/>
      <c r="C14" s="589" t="s">
        <v>20</v>
      </c>
      <c r="D14" s="590">
        <v>0</v>
      </c>
      <c r="E14" s="590">
        <v>7.5805464568169797E-4</v>
      </c>
      <c r="F14" s="590"/>
    </row>
    <row r="15" spans="1:6">
      <c r="A15" s="1568"/>
      <c r="B15" s="586" t="s">
        <v>21</v>
      </c>
      <c r="C15" s="587"/>
      <c r="D15" s="588">
        <v>0.17232360376082001</v>
      </c>
      <c r="E15" s="588">
        <v>0.108358547581522</v>
      </c>
      <c r="F15" s="588"/>
    </row>
    <row r="16" spans="1:6">
      <c r="A16" s="1568"/>
      <c r="B16" s="1570" t="s">
        <v>22</v>
      </c>
      <c r="C16" s="589" t="s">
        <v>23</v>
      </c>
      <c r="D16" s="590">
        <v>8.5038084337380498E-2</v>
      </c>
      <c r="E16" s="590">
        <v>9.2067038004854398E-2</v>
      </c>
      <c r="F16" s="590"/>
    </row>
    <row r="17" spans="1:9">
      <c r="A17" s="1568"/>
      <c r="B17" s="1568"/>
      <c r="C17" s="589" t="s">
        <v>24</v>
      </c>
      <c r="D17" s="590">
        <v>1.08727264974222E-2</v>
      </c>
      <c r="E17" s="590">
        <v>0</v>
      </c>
      <c r="F17" s="590"/>
    </row>
    <row r="18" spans="1:9">
      <c r="A18" s="1568"/>
      <c r="B18" s="1568"/>
      <c r="C18" s="589" t="s">
        <v>25</v>
      </c>
      <c r="D18" s="590">
        <v>3.3590043313265303E-2</v>
      </c>
      <c r="E18" s="590">
        <v>0</v>
      </c>
      <c r="F18" s="590"/>
    </row>
    <row r="19" spans="1:9">
      <c r="A19" s="1568"/>
      <c r="B19" s="1568"/>
      <c r="C19" s="589" t="s">
        <v>26</v>
      </c>
      <c r="D19" s="590">
        <v>2.3081765748717599E-3</v>
      </c>
      <c r="E19" s="590">
        <v>0</v>
      </c>
      <c r="F19" s="590"/>
    </row>
    <row r="20" spans="1:9">
      <c r="A20" s="1568"/>
      <c r="B20" s="1568"/>
      <c r="C20" s="589" t="s">
        <v>27</v>
      </c>
      <c r="D20" s="590">
        <v>0</v>
      </c>
      <c r="E20" s="590">
        <v>3.1961364778309801E-3</v>
      </c>
      <c r="F20" s="590"/>
    </row>
    <row r="21" spans="1:9" ht="22.5">
      <c r="A21" s="1568"/>
      <c r="B21" s="1568"/>
      <c r="C21" s="589" t="s">
        <v>28</v>
      </c>
      <c r="D21" s="590">
        <v>2.86699827194597E-2</v>
      </c>
      <c r="E21" s="590">
        <v>0</v>
      </c>
      <c r="F21" s="590"/>
    </row>
    <row r="22" spans="1:9">
      <c r="A22" s="1568"/>
      <c r="B22" s="1568"/>
      <c r="C22" s="589" t="s">
        <v>29</v>
      </c>
      <c r="D22" s="590">
        <v>1.1844590318420899E-2</v>
      </c>
      <c r="E22" s="590">
        <v>1.3095373098837E-2</v>
      </c>
      <c r="F22" s="590"/>
    </row>
    <row r="23" spans="1:9">
      <c r="A23" s="1568"/>
      <c r="B23" s="586" t="s">
        <v>30</v>
      </c>
      <c r="C23" s="587"/>
      <c r="D23" s="588">
        <v>0.77749105679890795</v>
      </c>
      <c r="E23" s="588">
        <v>0.85025839016372795</v>
      </c>
      <c r="F23" s="588"/>
    </row>
    <row r="24" spans="1:9">
      <c r="A24" s="1568"/>
      <c r="B24" s="1570" t="s">
        <v>31</v>
      </c>
      <c r="C24" s="589" t="s">
        <v>32</v>
      </c>
      <c r="D24" s="590">
        <v>0</v>
      </c>
      <c r="E24" s="590">
        <v>0</v>
      </c>
      <c r="F24" s="590"/>
    </row>
    <row r="25" spans="1:9">
      <c r="A25" s="1569"/>
      <c r="B25" s="1569"/>
      <c r="C25" s="589" t="s">
        <v>33</v>
      </c>
      <c r="D25" s="590">
        <v>0.77749105679890795</v>
      </c>
      <c r="E25" s="590">
        <v>0.85025839016372795</v>
      </c>
      <c r="F25" s="590"/>
    </row>
    <row r="26" spans="1:9">
      <c r="A26" s="591"/>
      <c r="B26" s="586" t="s">
        <v>34</v>
      </c>
      <c r="C26" s="587"/>
      <c r="D26" s="588">
        <v>0</v>
      </c>
      <c r="E26" s="588">
        <v>0</v>
      </c>
      <c r="F26" s="588"/>
    </row>
    <row r="27" spans="1:9">
      <c r="A27" s="591"/>
      <c r="B27" s="592" t="s">
        <v>35</v>
      </c>
      <c r="C27" s="593" t="s">
        <v>36</v>
      </c>
      <c r="D27" s="590">
        <v>0</v>
      </c>
      <c r="E27" s="590">
        <v>0</v>
      </c>
      <c r="F27" s="590"/>
    </row>
    <row r="28" spans="1:9">
      <c r="A28" s="1577" t="s">
        <v>37</v>
      </c>
      <c r="B28" s="1564" t="s">
        <v>38</v>
      </c>
      <c r="C28" s="1566"/>
      <c r="D28" s="588">
        <v>0.14577957314979501</v>
      </c>
      <c r="E28" s="588">
        <v>9.2753280205328498E-2</v>
      </c>
      <c r="F28" s="588"/>
    </row>
    <row r="29" spans="1:9" ht="34.5" customHeight="1">
      <c r="A29" s="1568"/>
      <c r="B29" s="592" t="s">
        <v>13</v>
      </c>
      <c r="C29" s="589" t="s">
        <v>39</v>
      </c>
      <c r="D29" s="590">
        <v>0.14577957314979501</v>
      </c>
      <c r="E29" s="590">
        <v>9.2753280205328498E-2</v>
      </c>
      <c r="F29" s="590"/>
    </row>
    <row r="30" spans="1:9" outlineLevel="1">
      <c r="A30" s="1564" t="s">
        <v>40</v>
      </c>
      <c r="B30" s="1565"/>
      <c r="C30" s="1566"/>
      <c r="D30" s="594">
        <v>1</v>
      </c>
      <c r="E30" s="594">
        <v>1</v>
      </c>
      <c r="F30" s="594"/>
    </row>
    <row r="31" spans="1:9" outlineLevel="1">
      <c r="A31" s="1564" t="s">
        <v>41</v>
      </c>
      <c r="B31" s="1565"/>
      <c r="C31" s="1566"/>
      <c r="D31" s="594">
        <v>1.1457795731497999</v>
      </c>
      <c r="E31" s="594">
        <v>1.0927532802053299</v>
      </c>
      <c r="F31" s="594"/>
    </row>
    <row r="32" spans="1:9">
      <c r="A32" s="1564" t="s">
        <v>42</v>
      </c>
      <c r="B32" s="1565"/>
      <c r="C32" s="1566"/>
      <c r="D32" s="596">
        <v>11.7895074226804</v>
      </c>
      <c r="E32" s="596">
        <v>12.5416264226309</v>
      </c>
      <c r="F32" s="596">
        <v>12.195967743732901</v>
      </c>
      <c r="I32"/>
    </row>
    <row r="33" spans="1:9" collapsed="1">
      <c r="A33" s="1564" t="s">
        <v>43</v>
      </c>
      <c r="B33" s="1565"/>
      <c r="C33" s="1566"/>
      <c r="D33" s="596">
        <v>10.2895074226804</v>
      </c>
      <c r="E33" s="596">
        <v>11.477088790137801</v>
      </c>
      <c r="F33" s="596">
        <v>10.1</v>
      </c>
      <c r="I33"/>
    </row>
    <row r="34" spans="1:9" collapsed="1">
      <c r="A34" s="1564" t="s">
        <v>44</v>
      </c>
      <c r="B34" s="1565"/>
      <c r="C34" s="1566"/>
      <c r="D34" s="597">
        <v>217</v>
      </c>
      <c r="E34" s="597">
        <v>232</v>
      </c>
      <c r="F34" s="597">
        <v>180</v>
      </c>
      <c r="I34"/>
    </row>
    <row r="35" spans="1:9" ht="11.25" customHeight="1">
      <c r="A35" s="1564" t="s">
        <v>45</v>
      </c>
      <c r="B35" s="1565"/>
      <c r="C35" s="1566"/>
      <c r="D35" s="595">
        <v>0.217</v>
      </c>
      <c r="E35" s="595">
        <v>0.23200000000000001</v>
      </c>
      <c r="F35" s="595">
        <v>0.18</v>
      </c>
      <c r="I35"/>
    </row>
    <row r="36" spans="1:9">
      <c r="A36" s="1564" t="s">
        <v>46</v>
      </c>
      <c r="B36" s="1565"/>
      <c r="C36" s="1566"/>
      <c r="D36" s="751">
        <v>46.082949308755801</v>
      </c>
      <c r="E36" s="596">
        <v>43.1034482758621</v>
      </c>
      <c r="F36" s="596">
        <v>55.5555555555556</v>
      </c>
      <c r="I36"/>
    </row>
    <row r="37" spans="1:9">
      <c r="A37" s="1564" t="s">
        <v>47</v>
      </c>
      <c r="B37" s="1565"/>
      <c r="C37" s="1566"/>
      <c r="D37" s="596">
        <v>1152.0737327188899</v>
      </c>
      <c r="E37" s="596">
        <v>1077.58620689655</v>
      </c>
      <c r="F37" s="596">
        <v>1388.8888888888901</v>
      </c>
      <c r="I37"/>
    </row>
    <row r="38" spans="1:9">
      <c r="A38" s="1564" t="s">
        <v>48</v>
      </c>
      <c r="B38" s="1565"/>
      <c r="C38" s="1566"/>
      <c r="D38" s="596">
        <v>46082.9493087558</v>
      </c>
      <c r="E38" s="596">
        <v>43103.448275862102</v>
      </c>
      <c r="F38" s="596">
        <v>55555.555555555598</v>
      </c>
      <c r="I38"/>
    </row>
    <row r="39" spans="1:9" ht="22.5">
      <c r="D39" s="1164" t="s">
        <v>2</v>
      </c>
      <c r="E39" s="1164" t="s">
        <v>3</v>
      </c>
      <c r="F39" s="1164" t="s">
        <v>4</v>
      </c>
    </row>
  </sheetData>
  <mergeCells count="18">
    <mergeCell ref="A38:C38"/>
    <mergeCell ref="A35:C35"/>
    <mergeCell ref="B28:C28"/>
    <mergeCell ref="A28:A29"/>
    <mergeCell ref="A30:C30"/>
    <mergeCell ref="A37:C37"/>
    <mergeCell ref="A31:C31"/>
    <mergeCell ref="D2:F2"/>
    <mergeCell ref="A36:C36"/>
    <mergeCell ref="A5:A25"/>
    <mergeCell ref="A33:C33"/>
    <mergeCell ref="B16:B22"/>
    <mergeCell ref="B24:B25"/>
    <mergeCell ref="B8:B14"/>
    <mergeCell ref="A34:C34"/>
    <mergeCell ref="A2:C3"/>
    <mergeCell ref="A32:C32"/>
    <mergeCell ref="A4:C4"/>
  </mergeCells>
  <pageMargins left="0.7" right="0.7" top="0.78740157499999996" bottom="0.78740157499999996"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8">
    <tabColor rgb="FF9CD9F0"/>
  </sheetPr>
  <dimension ref="A1:BH123"/>
  <sheetViews>
    <sheetView showGridLines="0" workbookViewId="0">
      <selection activeCell="S5" sqref="S5"/>
    </sheetView>
  </sheetViews>
  <sheetFormatPr baseColWidth="10" defaultColWidth="11.42578125" defaultRowHeight="12.75" outlineLevelCol="1"/>
  <cols>
    <col min="1" max="1" width="12.7109375" style="401" customWidth="1"/>
    <col min="2" max="2" width="12.28515625" style="309" customWidth="1"/>
    <col min="3" max="3" width="5.85546875" style="310" hidden="1" customWidth="1" outlineLevel="1"/>
    <col min="4" max="4" width="2.5703125" style="11" hidden="1" customWidth="1" outlineLevel="1"/>
    <col min="5" max="5" width="2.85546875" style="11" hidden="1" customWidth="1" outlineLevel="1"/>
    <col min="6" max="6" width="37.42578125" style="11" bestFit="1" customWidth="1" collapsed="1"/>
    <col min="7" max="7" width="5.28515625" style="11" customWidth="1"/>
    <col min="8" max="8" width="9.140625" style="11" hidden="1" customWidth="1" outlineLevel="1"/>
    <col min="9" max="9" width="5" style="11" hidden="1" customWidth="1" outlineLevel="1"/>
    <col min="10" max="10" width="6" style="11" bestFit="1" customWidth="1" collapsed="1"/>
    <col min="11" max="11" width="5.140625" style="11" customWidth="1"/>
    <col min="12" max="12" width="11.42578125" style="11" customWidth="1"/>
    <col min="13" max="13" width="2.85546875" style="20" hidden="1" customWidth="1" outlineLevel="1"/>
    <col min="14" max="14" width="5" style="20" hidden="1" customWidth="1" outlineLevel="1"/>
    <col min="15" max="15" width="51.140625" style="20" hidden="1" customWidth="1" outlineLevel="1"/>
    <col min="16" max="16" width="10.85546875" style="11" customWidth="1" collapsed="1"/>
    <col min="17" max="18" width="5" style="20" customWidth="1" outlineLevel="1"/>
    <col min="19" max="19" width="51.140625" style="20" customWidth="1" outlineLevel="1"/>
    <col min="20" max="20" width="4.28515625" style="401" customWidth="1"/>
    <col min="21" max="21" width="11.5703125" style="401" hidden="1" customWidth="1" outlineLevel="1"/>
    <col min="22" max="22" width="9.42578125" style="401" hidden="1" customWidth="1" outlineLevel="1"/>
    <col min="23" max="23" width="40.28515625" style="9" customWidth="1" collapsed="1"/>
    <col min="24" max="24" width="4" style="396" hidden="1" customWidth="1" outlineLevel="1"/>
    <col min="25" max="25" width="6.28515625" style="396" hidden="1" customWidth="1" outlineLevel="1"/>
    <col min="26" max="26" width="5.85546875" style="396" hidden="1" customWidth="1" outlineLevel="1"/>
    <col min="27" max="27" width="4.7109375" style="396" hidden="1" customWidth="1" outlineLevel="1"/>
    <col min="28" max="28" width="5.28515625" style="396" hidden="1" customWidth="1" outlineLevel="1"/>
    <col min="29" max="29" width="5.85546875" style="396" hidden="1" customWidth="1" outlineLevel="1"/>
    <col min="30" max="31" width="6.85546875" style="396" hidden="1" customWidth="1" outlineLevel="1"/>
    <col min="32" max="32" width="8.28515625" style="396" hidden="1" customWidth="1" outlineLevel="1"/>
    <col min="33" max="33" width="9.140625" style="396" hidden="1" customWidth="1" outlineLevel="1"/>
    <col min="34" max="34" width="12.140625" style="396" hidden="1" customWidth="1" outlineLevel="1"/>
    <col min="35" max="37" width="5.42578125" style="401" hidden="1" customWidth="1" outlineLevel="1"/>
    <col min="38" max="38" width="5.85546875" style="401" hidden="1" customWidth="1" outlineLevel="1"/>
    <col min="39" max="39" width="5.42578125" style="401" hidden="1" customWidth="1" outlineLevel="1"/>
    <col min="40" max="40" width="5.28515625" style="401" hidden="1" customWidth="1" outlineLevel="1"/>
    <col min="41" max="41" width="11.42578125" style="401" customWidth="1" collapsed="1"/>
    <col min="42" max="42" width="40.28515625" style="9" customWidth="1"/>
    <col min="43" max="43" width="4" style="396" hidden="1" customWidth="1" outlineLevel="1"/>
    <col min="44" max="44" width="6.28515625" style="396" hidden="1" customWidth="1" outlineLevel="1"/>
    <col min="45" max="45" width="5.85546875" style="396" hidden="1" customWidth="1" outlineLevel="1"/>
    <col min="46" max="46" width="4.7109375" style="396" hidden="1" customWidth="1" outlineLevel="1"/>
    <col min="47" max="47" width="5.28515625" style="396" hidden="1" customWidth="1" outlineLevel="1"/>
    <col min="48" max="48" width="5.85546875" style="396" hidden="1" customWidth="1" outlineLevel="1"/>
    <col min="49" max="50" width="6.85546875" style="396" hidden="1" customWidth="1" outlineLevel="1"/>
    <col min="51" max="51" width="8.28515625" style="396" hidden="1" customWidth="1" outlineLevel="1"/>
    <col min="52" max="52" width="9.140625" style="396" hidden="1" customWidth="1" outlineLevel="1"/>
    <col min="53" max="53" width="12.140625" style="396" hidden="1" customWidth="1" outlineLevel="1"/>
    <col min="54" max="56" width="5.42578125" style="401" hidden="1" customWidth="1" outlineLevel="1"/>
    <col min="57" max="57" width="5.85546875" style="401" hidden="1" customWidth="1" outlineLevel="1"/>
    <col min="58" max="58" width="5.42578125" style="401" hidden="1" customWidth="1" outlineLevel="1"/>
    <col min="59" max="59" width="5.28515625" style="401" hidden="1" customWidth="1" outlineLevel="1"/>
    <col min="60" max="60" width="11.42578125" style="401" customWidth="1" collapsed="1"/>
    <col min="61" max="61" width="11.42578125" style="401" customWidth="1"/>
    <col min="62" max="16384" width="11.42578125" style="401"/>
  </cols>
  <sheetData>
    <row r="1" spans="1:59">
      <c r="A1" s="1318"/>
      <c r="B1" s="1319"/>
      <c r="C1" s="1320"/>
      <c r="D1" s="1350"/>
      <c r="E1" s="1350"/>
      <c r="F1" s="1351" t="s">
        <v>65</v>
      </c>
      <c r="G1" s="1350"/>
      <c r="H1" s="1350"/>
      <c r="I1" s="1350"/>
      <c r="J1" s="1350"/>
      <c r="K1" s="1350"/>
      <c r="L1" s="1335">
        <v>262325</v>
      </c>
      <c r="M1" s="1352"/>
      <c r="N1" s="1352"/>
      <c r="O1" s="1352"/>
      <c r="P1" s="1335" t="s">
        <v>777</v>
      </c>
      <c r="Q1" s="1352"/>
      <c r="R1" s="1352"/>
      <c r="S1" s="1352"/>
      <c r="T1" s="968"/>
      <c r="U1" s="24"/>
      <c r="V1" s="24"/>
      <c r="W1" s="613" t="s">
        <v>778</v>
      </c>
      <c r="AP1" s="613" t="s">
        <v>779</v>
      </c>
    </row>
    <row r="2" spans="1:59" ht="38.25" customHeight="1">
      <c r="A2" s="1318"/>
      <c r="B2" s="1321"/>
      <c r="C2" s="1320" t="s">
        <v>67</v>
      </c>
      <c r="D2" s="1323">
        <v>3503</v>
      </c>
      <c r="E2" s="1323">
        <v>3504</v>
      </c>
      <c r="F2" s="1323">
        <v>3702</v>
      </c>
      <c r="G2" s="1323">
        <v>3703</v>
      </c>
      <c r="H2" s="1323">
        <v>3506</v>
      </c>
      <c r="I2" s="1323">
        <v>3507</v>
      </c>
      <c r="J2" s="1323">
        <v>3508</v>
      </c>
      <c r="K2" s="1323">
        <v>3706</v>
      </c>
      <c r="L2" s="1323">
        <v>3707</v>
      </c>
      <c r="M2" s="1324">
        <v>3708</v>
      </c>
      <c r="N2" s="1324">
        <v>3709</v>
      </c>
      <c r="O2" s="1325">
        <v>3792</v>
      </c>
      <c r="P2" s="1323">
        <v>3707</v>
      </c>
      <c r="Q2" s="1324">
        <v>3708</v>
      </c>
      <c r="R2" s="1324">
        <v>3709</v>
      </c>
      <c r="S2" s="1325">
        <v>3792</v>
      </c>
      <c r="T2" s="968"/>
      <c r="U2" s="13"/>
      <c r="V2" s="13"/>
      <c r="W2" s="682" t="s">
        <v>81</v>
      </c>
      <c r="X2" s="300" t="s">
        <v>82</v>
      </c>
      <c r="Y2" s="300" t="s">
        <v>83</v>
      </c>
      <c r="Z2" s="300" t="s">
        <v>84</v>
      </c>
      <c r="AA2" s="300" t="s">
        <v>85</v>
      </c>
      <c r="AB2" s="300" t="s">
        <v>86</v>
      </c>
      <c r="AC2" s="300" t="s">
        <v>87</v>
      </c>
      <c r="AD2" s="241" t="s">
        <v>88</v>
      </c>
      <c r="AE2" s="241" t="s">
        <v>89</v>
      </c>
      <c r="AF2" s="242" t="s">
        <v>90</v>
      </c>
      <c r="AG2" s="242" t="s">
        <v>91</v>
      </c>
      <c r="AH2" s="243" t="s">
        <v>92</v>
      </c>
      <c r="AI2" s="24" t="s">
        <v>82</v>
      </c>
      <c r="AJ2" s="24" t="s">
        <v>83</v>
      </c>
      <c r="AK2" s="24" t="s">
        <v>84</v>
      </c>
      <c r="AL2" s="24" t="s">
        <v>85</v>
      </c>
      <c r="AM2" s="24" t="s">
        <v>86</v>
      </c>
      <c r="AN2" s="24" t="s">
        <v>87</v>
      </c>
      <c r="AP2" s="685" t="s">
        <v>81</v>
      </c>
      <c r="AQ2" s="300" t="s">
        <v>82</v>
      </c>
      <c r="AR2" s="300" t="s">
        <v>83</v>
      </c>
      <c r="AS2" s="300" t="s">
        <v>84</v>
      </c>
      <c r="AT2" s="300" t="s">
        <v>85</v>
      </c>
      <c r="AU2" s="300" t="s">
        <v>86</v>
      </c>
      <c r="AV2" s="300" t="s">
        <v>87</v>
      </c>
      <c r="AW2" s="241" t="s">
        <v>88</v>
      </c>
      <c r="AX2" s="241" t="s">
        <v>89</v>
      </c>
      <c r="AY2" s="242" t="s">
        <v>90</v>
      </c>
      <c r="AZ2" s="242" t="s">
        <v>91</v>
      </c>
      <c r="BA2" s="243" t="s">
        <v>92</v>
      </c>
      <c r="BB2" s="24" t="s">
        <v>82</v>
      </c>
      <c r="BC2" s="24" t="s">
        <v>83</v>
      </c>
      <c r="BD2" s="24" t="s">
        <v>84</v>
      </c>
      <c r="BE2" s="24" t="s">
        <v>85</v>
      </c>
      <c r="BF2" s="24" t="s">
        <v>86</v>
      </c>
      <c r="BG2" s="24" t="s">
        <v>87</v>
      </c>
    </row>
    <row r="3" spans="1:59" ht="101.25" customHeight="1">
      <c r="A3" s="1318"/>
      <c r="B3" s="1322"/>
      <c r="C3" s="1320">
        <v>401</v>
      </c>
      <c r="D3" s="1326" t="s">
        <v>69</v>
      </c>
      <c r="E3" s="1326" t="s">
        <v>70</v>
      </c>
      <c r="F3" s="1327" t="s">
        <v>71</v>
      </c>
      <c r="G3" s="1328" t="s">
        <v>72</v>
      </c>
      <c r="H3" s="1328" t="s">
        <v>73</v>
      </c>
      <c r="I3" s="1328" t="s">
        <v>74</v>
      </c>
      <c r="J3" s="1328" t="s">
        <v>75</v>
      </c>
      <c r="K3" s="1328" t="s">
        <v>76</v>
      </c>
      <c r="L3" s="1333" t="s">
        <v>780</v>
      </c>
      <c r="M3" s="1329" t="s">
        <v>78</v>
      </c>
      <c r="N3" s="1329" t="s">
        <v>79</v>
      </c>
      <c r="O3" s="1330" t="s">
        <v>80</v>
      </c>
      <c r="P3" s="1333" t="s">
        <v>781</v>
      </c>
      <c r="Q3" s="1329" t="s">
        <v>78</v>
      </c>
      <c r="R3" s="1329" t="s">
        <v>79</v>
      </c>
      <c r="S3" s="1330" t="s">
        <v>80</v>
      </c>
      <c r="T3" s="968"/>
      <c r="U3" s="19" t="s">
        <v>782</v>
      </c>
      <c r="V3" s="19" t="s">
        <v>783</v>
      </c>
      <c r="W3" s="683"/>
      <c r="X3" s="25" t="s">
        <v>668</v>
      </c>
      <c r="Y3" s="300"/>
      <c r="Z3" s="300"/>
      <c r="AA3" s="300"/>
      <c r="AB3" s="300"/>
      <c r="AC3" s="300"/>
      <c r="AD3" s="26"/>
      <c r="AE3" s="26"/>
      <c r="AF3" s="242" t="s">
        <v>95</v>
      </c>
      <c r="AG3" s="242" t="s">
        <v>95</v>
      </c>
      <c r="AH3" s="400"/>
      <c r="AP3" s="683"/>
      <c r="AQ3" s="25" t="s">
        <v>668</v>
      </c>
      <c r="AR3" s="300"/>
      <c r="AS3" s="300"/>
      <c r="AT3" s="300"/>
      <c r="AU3" s="300"/>
      <c r="AV3" s="300"/>
      <c r="AW3" s="26"/>
      <c r="AX3" s="26"/>
      <c r="AY3" s="242" t="s">
        <v>95</v>
      </c>
      <c r="AZ3" s="242" t="s">
        <v>95</v>
      </c>
      <c r="BA3" s="400"/>
    </row>
    <row r="4" spans="1:59">
      <c r="A4" s="1318"/>
      <c r="B4" s="1322"/>
      <c r="C4" s="1320">
        <v>662</v>
      </c>
      <c r="D4" s="1327"/>
      <c r="E4" s="1327"/>
      <c r="F4" s="1327" t="s">
        <v>72</v>
      </c>
      <c r="G4" s="1327"/>
      <c r="H4" s="1327"/>
      <c r="I4" s="1327"/>
      <c r="J4" s="1327"/>
      <c r="K4" s="1327"/>
      <c r="L4" s="1333" t="s">
        <v>340</v>
      </c>
      <c r="M4" s="1331"/>
      <c r="N4" s="1331"/>
      <c r="O4" s="1332"/>
      <c r="P4" s="1333" t="s">
        <v>340</v>
      </c>
      <c r="Q4" s="1331"/>
      <c r="R4" s="1331"/>
      <c r="S4" s="1332"/>
      <c r="T4" s="968"/>
      <c r="U4" s="19" t="s">
        <v>340</v>
      </c>
      <c r="V4" s="19" t="s">
        <v>93</v>
      </c>
      <c r="W4" s="683"/>
      <c r="X4" s="27" t="s">
        <v>94</v>
      </c>
      <c r="AF4" s="28"/>
      <c r="AG4" s="28"/>
      <c r="AH4" s="28"/>
      <c r="AP4" s="683"/>
      <c r="AQ4" s="27" t="s">
        <v>94</v>
      </c>
      <c r="AY4" s="28"/>
      <c r="AZ4" s="28"/>
      <c r="BA4" s="28"/>
    </row>
    <row r="5" spans="1:59">
      <c r="A5" s="1318"/>
      <c r="B5" s="1322"/>
      <c r="C5" s="1320">
        <v>493</v>
      </c>
      <c r="D5" s="1327"/>
      <c r="E5" s="1327"/>
      <c r="F5" s="1327" t="s">
        <v>75</v>
      </c>
      <c r="G5" s="1327"/>
      <c r="H5" s="1327"/>
      <c r="I5" s="1327"/>
      <c r="J5" s="1327"/>
      <c r="K5" s="1327"/>
      <c r="L5" s="1333">
        <v>1</v>
      </c>
      <c r="M5" s="1331"/>
      <c r="N5" s="1331"/>
      <c r="O5" s="1332"/>
      <c r="P5" s="1333">
        <v>1</v>
      </c>
      <c r="Q5" s="1331"/>
      <c r="R5" s="1331"/>
      <c r="S5" s="1332"/>
      <c r="T5" s="968"/>
      <c r="U5" s="19">
        <v>0</v>
      </c>
      <c r="V5" s="19"/>
      <c r="W5" s="684"/>
      <c r="AP5" s="684"/>
    </row>
    <row r="6" spans="1:59" ht="13.5" customHeight="1">
      <c r="A6" s="1318"/>
      <c r="B6" s="1322"/>
      <c r="C6" s="1320">
        <v>403</v>
      </c>
      <c r="D6" s="1327"/>
      <c r="E6" s="1327"/>
      <c r="F6" s="1327" t="s">
        <v>76</v>
      </c>
      <c r="G6" s="1327"/>
      <c r="H6" s="1327"/>
      <c r="I6" s="1327"/>
      <c r="J6" s="1327"/>
      <c r="K6" s="1327"/>
      <c r="L6" s="1333" t="s">
        <v>144</v>
      </c>
      <c r="M6" s="1331"/>
      <c r="N6" s="1331"/>
      <c r="O6" s="1332"/>
      <c r="P6" s="1333" t="s">
        <v>144</v>
      </c>
      <c r="Q6" s="1331"/>
      <c r="R6" s="1331"/>
      <c r="S6" s="1332"/>
      <c r="T6" s="968"/>
      <c r="U6" s="19" t="s">
        <v>374</v>
      </c>
      <c r="V6" s="19" t="s">
        <v>374</v>
      </c>
      <c r="W6" s="684"/>
      <c r="X6" s="10"/>
      <c r="Y6" s="10"/>
      <c r="Z6" s="10"/>
      <c r="AA6" s="10"/>
      <c r="AB6" s="10"/>
      <c r="AC6" s="10"/>
      <c r="AF6" s="450"/>
      <c r="AG6" s="450"/>
      <c r="AH6" s="244"/>
      <c r="AP6" s="684"/>
      <c r="AQ6" s="10"/>
      <c r="AR6" s="10"/>
      <c r="AS6" s="10"/>
      <c r="AT6" s="10"/>
      <c r="AU6" s="10"/>
      <c r="AV6" s="10"/>
      <c r="AY6" s="450"/>
      <c r="AZ6" s="450"/>
      <c r="BA6" s="244"/>
    </row>
    <row r="7" spans="1:59">
      <c r="A7" s="1334"/>
      <c r="B7" s="1337" t="s">
        <v>97</v>
      </c>
      <c r="C7" s="1338"/>
      <c r="D7" s="1341" t="s">
        <v>98</v>
      </c>
      <c r="E7" s="1342">
        <v>0</v>
      </c>
      <c r="F7" s="1343" t="s">
        <v>780</v>
      </c>
      <c r="G7" s="1344" t="s">
        <v>340</v>
      </c>
      <c r="H7" s="1345" t="s">
        <v>98</v>
      </c>
      <c r="I7" s="1345" t="s">
        <v>98</v>
      </c>
      <c r="J7" s="1346">
        <v>1</v>
      </c>
      <c r="K7" s="1344" t="s">
        <v>144</v>
      </c>
      <c r="L7" s="1344">
        <v>1</v>
      </c>
      <c r="M7" s="1347"/>
      <c r="N7" s="1348"/>
      <c r="O7" s="1349"/>
      <c r="P7" s="1344">
        <v>0</v>
      </c>
      <c r="Q7" s="1347"/>
      <c r="R7" s="1348"/>
      <c r="S7" s="1349"/>
      <c r="T7" s="968"/>
      <c r="U7" s="451"/>
      <c r="V7" s="451"/>
      <c r="W7" s="614"/>
      <c r="X7" s="686">
        <v>1</v>
      </c>
      <c r="Y7" s="686">
        <v>1</v>
      </c>
      <c r="Z7" s="686">
        <v>1</v>
      </c>
      <c r="AA7" s="686">
        <v>1</v>
      </c>
      <c r="AB7" s="686">
        <v>1</v>
      </c>
      <c r="AC7" s="686">
        <v>1</v>
      </c>
      <c r="AD7" s="21">
        <v>45</v>
      </c>
      <c r="AE7" s="6">
        <v>1</v>
      </c>
      <c r="AF7" s="245">
        <f t="shared" ref="AF7:AF38" si="0">EXP(SQRT((LN(AI7)^2)+(LN(AJ7)^2)+(LN(AK7)^2)+(LN(AL7)^2)+(LN(AM7)^2)+(LN(AN7)^2)))</f>
        <v>1</v>
      </c>
      <c r="AG7" s="245">
        <f t="shared" ref="AG7:AG38" si="1">EXP(SQRT((LN(AI7)^2)+(LN(AJ7)^2)+(LN(AK7)^2)+(LN(AL7)^2)+(LN(AM7)^2)+(LN(AN7)^2)+LN(AE7)^2))</f>
        <v>1</v>
      </c>
      <c r="AH7" s="246" t="str">
        <f t="shared" ref="AH7:AH38" si="2">CONCATENATE("(",X7,",",Y7,",",Z7,",",AA7,",",AB7,",",AC7,")")</f>
        <v>(1,1,1,1,1,1)</v>
      </c>
      <c r="AI7" s="30">
        <v>1</v>
      </c>
      <c r="AJ7" s="30">
        <v>1</v>
      </c>
      <c r="AK7" s="30">
        <v>1</v>
      </c>
      <c r="AL7" s="30">
        <v>1</v>
      </c>
      <c r="AM7" s="30">
        <v>1</v>
      </c>
      <c r="AN7" s="30">
        <v>1</v>
      </c>
      <c r="AP7" s="614"/>
      <c r="AQ7" s="686">
        <v>1</v>
      </c>
      <c r="AR7" s="686">
        <v>1</v>
      </c>
      <c r="AS7" s="686">
        <v>1</v>
      </c>
      <c r="AT7" s="686">
        <v>1</v>
      </c>
      <c r="AU7" s="686">
        <v>1</v>
      </c>
      <c r="AV7" s="686">
        <v>1</v>
      </c>
      <c r="AW7" s="21">
        <v>45</v>
      </c>
      <c r="AX7" s="6">
        <v>1</v>
      </c>
      <c r="AY7" s="245">
        <f t="shared" ref="AY7:AY38" si="3">EXP(SQRT((LN(BB7)^2)+(LN(BC7)^2)+(LN(BD7)^2)+(LN(BE7)^2)+(LN(BF7)^2)+(LN(BG7)^2)))</f>
        <v>1</v>
      </c>
      <c r="AZ7" s="245">
        <f t="shared" ref="AZ7:AZ38" si="4">EXP(SQRT((LN(BB7)^2)+(LN(BC7)^2)+(LN(BD7)^2)+(LN(BE7)^2)+(LN(BF7)^2)+(LN(BG7)^2)+LN(AX7)^2))</f>
        <v>1</v>
      </c>
      <c r="BA7" s="246" t="str">
        <f>CONCATENATE("(",AQ7,",",AR7,",",AS7,",",AT7,",",AU7,",",AV7,")")</f>
        <v>(1,1,1,1,1,1)</v>
      </c>
      <c r="BB7" s="30">
        <v>1</v>
      </c>
      <c r="BC7" s="30">
        <v>1</v>
      </c>
      <c r="BD7" s="30">
        <v>1</v>
      </c>
      <c r="BE7" s="30">
        <v>1</v>
      </c>
      <c r="BF7" s="30">
        <v>1</v>
      </c>
      <c r="BG7" s="30">
        <v>1</v>
      </c>
    </row>
    <row r="8" spans="1:59">
      <c r="A8" s="1334"/>
      <c r="B8" s="1337"/>
      <c r="C8" s="1338"/>
      <c r="D8" s="1371" t="s">
        <v>98</v>
      </c>
      <c r="E8" s="1342">
        <v>0</v>
      </c>
      <c r="F8" s="1343" t="s">
        <v>781</v>
      </c>
      <c r="G8" s="1344" t="s">
        <v>340</v>
      </c>
      <c r="H8" s="1345"/>
      <c r="I8" s="1345"/>
      <c r="J8" s="1346">
        <v>1</v>
      </c>
      <c r="K8" s="1344" t="s">
        <v>144</v>
      </c>
      <c r="L8" s="1344">
        <v>0</v>
      </c>
      <c r="M8" s="1347"/>
      <c r="N8" s="1348"/>
      <c r="O8" s="1349"/>
      <c r="P8" s="1344">
        <v>1</v>
      </c>
      <c r="Q8" s="1347"/>
      <c r="R8" s="1348"/>
      <c r="S8" s="1349"/>
      <c r="T8" s="968"/>
      <c r="U8" s="451"/>
      <c r="V8" s="451"/>
      <c r="W8" s="614"/>
      <c r="X8" s="686">
        <v>1</v>
      </c>
      <c r="Y8" s="686">
        <v>1</v>
      </c>
      <c r="Z8" s="686">
        <v>1</v>
      </c>
      <c r="AA8" s="686">
        <v>1</v>
      </c>
      <c r="AB8" s="686">
        <v>1</v>
      </c>
      <c r="AC8" s="686">
        <v>1</v>
      </c>
      <c r="AD8" s="21">
        <v>45</v>
      </c>
      <c r="AE8" s="6">
        <v>1</v>
      </c>
      <c r="AF8" s="245">
        <f t="shared" si="0"/>
        <v>1</v>
      </c>
      <c r="AG8" s="245">
        <f t="shared" si="1"/>
        <v>1</v>
      </c>
      <c r="AH8" s="246" t="str">
        <f t="shared" si="2"/>
        <v>(1,1,1,1,1,1)</v>
      </c>
      <c r="AI8" s="30">
        <v>1</v>
      </c>
      <c r="AJ8" s="30">
        <v>1</v>
      </c>
      <c r="AK8" s="30">
        <v>1</v>
      </c>
      <c r="AL8" s="30">
        <v>1</v>
      </c>
      <c r="AM8" s="30">
        <v>1</v>
      </c>
      <c r="AN8" s="30">
        <v>1</v>
      </c>
      <c r="AP8" s="614"/>
      <c r="AQ8" s="686">
        <v>1</v>
      </c>
      <c r="AR8" s="686">
        <v>1</v>
      </c>
      <c r="AS8" s="686">
        <v>1</v>
      </c>
      <c r="AT8" s="686">
        <v>1</v>
      </c>
      <c r="AU8" s="686">
        <v>1</v>
      </c>
      <c r="AV8" s="686">
        <v>1</v>
      </c>
      <c r="AW8" s="21">
        <v>45</v>
      </c>
      <c r="AX8" s="6">
        <v>1</v>
      </c>
      <c r="AY8" s="245">
        <f t="shared" si="3"/>
        <v>1</v>
      </c>
      <c r="AZ8" s="245">
        <f t="shared" si="4"/>
        <v>1</v>
      </c>
      <c r="BA8" s="246"/>
      <c r="BB8" s="30">
        <v>1</v>
      </c>
      <c r="BC8" s="30">
        <v>1</v>
      </c>
      <c r="BD8" s="30">
        <v>1</v>
      </c>
      <c r="BE8" s="30">
        <v>1</v>
      </c>
      <c r="BF8" s="30">
        <v>1</v>
      </c>
      <c r="BG8" s="30">
        <v>1</v>
      </c>
    </row>
    <row r="9" spans="1:59">
      <c r="A9" s="1336">
        <v>267976</v>
      </c>
      <c r="B9" s="1339" t="s">
        <v>221</v>
      </c>
      <c r="C9" s="1338"/>
      <c r="D9" s="1353">
        <v>5</v>
      </c>
      <c r="E9" s="1354" t="s">
        <v>98</v>
      </c>
      <c r="F9" s="1355" t="s">
        <v>784</v>
      </c>
      <c r="G9" s="1356" t="s">
        <v>103</v>
      </c>
      <c r="H9" s="1357" t="s">
        <v>98</v>
      </c>
      <c r="I9" s="1357" t="s">
        <v>98</v>
      </c>
      <c r="J9" s="1358">
        <v>1</v>
      </c>
      <c r="K9" s="1356" t="s">
        <v>679</v>
      </c>
      <c r="L9" s="1356">
        <v>109.73936899862825</v>
      </c>
      <c r="M9" s="1359">
        <v>1</v>
      </c>
      <c r="N9" s="1360">
        <v>3.0708070945678916</v>
      </c>
      <c r="O9" s="1361" t="s">
        <v>3190</v>
      </c>
      <c r="P9" s="1356">
        <v>0</v>
      </c>
      <c r="Q9" s="1359">
        <v>1</v>
      </c>
      <c r="R9" s="1360">
        <v>3.0000000000000004</v>
      </c>
      <c r="S9" s="1361" t="s">
        <v>3191</v>
      </c>
      <c r="T9" s="968"/>
      <c r="U9" s="452">
        <f>U120</f>
        <v>10000</v>
      </c>
      <c r="V9" s="452">
        <f>V120</f>
        <v>2400</v>
      </c>
      <c r="W9" s="615" t="s">
        <v>785</v>
      </c>
      <c r="X9" s="686">
        <v>3</v>
      </c>
      <c r="Y9" s="686">
        <v>4</v>
      </c>
      <c r="Z9" s="686">
        <v>1</v>
      </c>
      <c r="AA9" s="686">
        <v>3</v>
      </c>
      <c r="AB9" s="686">
        <v>1</v>
      </c>
      <c r="AC9" s="686">
        <v>5</v>
      </c>
      <c r="AD9" s="297">
        <v>9</v>
      </c>
      <c r="AE9" s="6">
        <v>3</v>
      </c>
      <c r="AF9" s="245">
        <f t="shared" si="0"/>
        <v>1.2555818742947564</v>
      </c>
      <c r="AG9" s="245">
        <f t="shared" si="1"/>
        <v>3.0708070945678916</v>
      </c>
      <c r="AH9" s="246" t="str">
        <f t="shared" si="2"/>
        <v>(3,4,1,3,1,5)</v>
      </c>
      <c r="AI9" s="30">
        <v>1.1000000000000001</v>
      </c>
      <c r="AJ9" s="30">
        <v>1.1000000000000001</v>
      </c>
      <c r="AK9" s="30">
        <v>1</v>
      </c>
      <c r="AL9" s="30">
        <v>1.02</v>
      </c>
      <c r="AM9" s="30">
        <v>1</v>
      </c>
      <c r="AN9" s="30">
        <v>1.2</v>
      </c>
      <c r="AP9" s="615"/>
      <c r="AQ9" s="686">
        <v>1</v>
      </c>
      <c r="AR9" s="686">
        <v>1</v>
      </c>
      <c r="AS9" s="686">
        <v>1</v>
      </c>
      <c r="AT9" s="686">
        <v>1</v>
      </c>
      <c r="AU9" s="686">
        <v>1</v>
      </c>
      <c r="AV9" s="686">
        <v>1</v>
      </c>
      <c r="AW9" s="297">
        <v>9</v>
      </c>
      <c r="AX9" s="6">
        <v>3</v>
      </c>
      <c r="AY9" s="245">
        <f t="shared" si="3"/>
        <v>1</v>
      </c>
      <c r="AZ9" s="245">
        <f t="shared" si="4"/>
        <v>3.0000000000000004</v>
      </c>
      <c r="BA9" s="246" t="str">
        <f t="shared" ref="BA9:BA40" si="5">CONCATENATE("(",AQ9,",",AR9,",",AS9,",",AT9,",",AU9,",",AV9,")")</f>
        <v>(1,1,1,1,1,1)</v>
      </c>
      <c r="BB9" s="30">
        <v>1</v>
      </c>
      <c r="BC9" s="30">
        <v>1</v>
      </c>
      <c r="BD9" s="30">
        <v>1</v>
      </c>
      <c r="BE9" s="30">
        <v>1</v>
      </c>
      <c r="BF9" s="30">
        <v>1</v>
      </c>
      <c r="BG9" s="30">
        <v>1</v>
      </c>
    </row>
    <row r="10" spans="1:59">
      <c r="A10" s="1336">
        <v>257118</v>
      </c>
      <c r="B10" s="1337"/>
      <c r="C10" s="1306"/>
      <c r="D10" s="1308">
        <v>5</v>
      </c>
      <c r="E10" s="1309" t="s">
        <v>98</v>
      </c>
      <c r="F10" s="1310" t="s">
        <v>717</v>
      </c>
      <c r="G10" s="1311" t="s">
        <v>103</v>
      </c>
      <c r="H10" s="1312" t="s">
        <v>98</v>
      </c>
      <c r="I10" s="1313" t="s">
        <v>98</v>
      </c>
      <c r="J10" s="1314">
        <v>1</v>
      </c>
      <c r="K10" s="1311" t="s">
        <v>168</v>
      </c>
      <c r="L10" s="1311">
        <v>2.194787379972565E-2</v>
      </c>
      <c r="M10" s="1315">
        <v>1</v>
      </c>
      <c r="N10" s="1316">
        <v>3.0708070945678916</v>
      </c>
      <c r="O10" s="1317" t="s">
        <v>3192</v>
      </c>
      <c r="P10" s="1311">
        <v>0.83000000000000007</v>
      </c>
      <c r="Q10" s="1315">
        <v>1</v>
      </c>
      <c r="R10" s="1316">
        <v>3.0616345979734279</v>
      </c>
      <c r="S10" s="1317" t="s">
        <v>3193</v>
      </c>
      <c r="T10" s="968"/>
      <c r="U10" s="452">
        <v>2</v>
      </c>
      <c r="V10" s="452"/>
      <c r="W10" s="614" t="s">
        <v>786</v>
      </c>
      <c r="X10" s="686">
        <v>3</v>
      </c>
      <c r="Y10" s="686">
        <v>4</v>
      </c>
      <c r="Z10" s="686">
        <v>1</v>
      </c>
      <c r="AA10" s="686">
        <v>3</v>
      </c>
      <c r="AB10" s="686">
        <v>1</v>
      </c>
      <c r="AC10" s="686">
        <v>5</v>
      </c>
      <c r="AD10" s="297">
        <v>9</v>
      </c>
      <c r="AE10" s="6">
        <v>3</v>
      </c>
      <c r="AF10" s="245">
        <f t="shared" si="0"/>
        <v>1.2555818742947564</v>
      </c>
      <c r="AG10" s="245">
        <f t="shared" si="1"/>
        <v>3.0708070945678916</v>
      </c>
      <c r="AH10" s="246" t="str">
        <f t="shared" si="2"/>
        <v>(3,4,1,3,1,5)</v>
      </c>
      <c r="AI10" s="30">
        <v>1.1000000000000001</v>
      </c>
      <c r="AJ10" s="30">
        <v>1.1000000000000001</v>
      </c>
      <c r="AK10" s="30">
        <v>1</v>
      </c>
      <c r="AL10" s="30">
        <v>1.02</v>
      </c>
      <c r="AM10" s="30">
        <v>1</v>
      </c>
      <c r="AN10" s="30">
        <v>1.2</v>
      </c>
      <c r="AP10" s="614" t="s">
        <v>673</v>
      </c>
      <c r="AQ10" s="686">
        <v>2</v>
      </c>
      <c r="AR10" s="686">
        <v>4</v>
      </c>
      <c r="AS10" s="686">
        <v>1</v>
      </c>
      <c r="AT10" s="686">
        <v>3</v>
      </c>
      <c r="AU10" s="686">
        <v>1</v>
      </c>
      <c r="AV10" s="686">
        <v>5</v>
      </c>
      <c r="AW10" s="297">
        <v>9</v>
      </c>
      <c r="AX10" s="6">
        <v>3</v>
      </c>
      <c r="AY10" s="245">
        <f t="shared" si="3"/>
        <v>1.2365959919080913</v>
      </c>
      <c r="AZ10" s="245">
        <f t="shared" si="4"/>
        <v>3.0616345979734279</v>
      </c>
      <c r="BA10" s="246" t="str">
        <f t="shared" si="5"/>
        <v>(2,4,1,3,1,5)</v>
      </c>
      <c r="BB10" s="30">
        <v>1.05</v>
      </c>
      <c r="BC10" s="30">
        <v>1.1000000000000001</v>
      </c>
      <c r="BD10" s="30">
        <v>1</v>
      </c>
      <c r="BE10" s="30">
        <v>1.02</v>
      </c>
      <c r="BF10" s="30">
        <v>1</v>
      </c>
      <c r="BG10" s="30">
        <v>1.2</v>
      </c>
    </row>
    <row r="11" spans="1:59" ht="24" customHeight="1">
      <c r="A11" s="1336">
        <v>264499</v>
      </c>
      <c r="B11" s="1337"/>
      <c r="C11" s="1306"/>
      <c r="D11" s="1362">
        <v>5</v>
      </c>
      <c r="E11" s="1363" t="s">
        <v>98</v>
      </c>
      <c r="F11" s="1355" t="s">
        <v>510</v>
      </c>
      <c r="G11" s="1356" t="s">
        <v>93</v>
      </c>
      <c r="H11" s="1364" t="s">
        <v>98</v>
      </c>
      <c r="I11" s="1357" t="s">
        <v>98</v>
      </c>
      <c r="J11" s="1358">
        <v>1</v>
      </c>
      <c r="K11" s="1356" t="s">
        <v>96</v>
      </c>
      <c r="L11" s="1356">
        <v>10000</v>
      </c>
      <c r="M11" s="1359">
        <v>1</v>
      </c>
      <c r="N11" s="1360">
        <v>3.0708070945678916</v>
      </c>
      <c r="O11" s="1361" t="s">
        <v>3194</v>
      </c>
      <c r="P11" s="1356">
        <v>2703000</v>
      </c>
      <c r="Q11" s="1359">
        <v>1</v>
      </c>
      <c r="R11" s="1360">
        <v>3.287562838530901</v>
      </c>
      <c r="S11" s="1361" t="s">
        <v>3195</v>
      </c>
      <c r="T11" s="968"/>
      <c r="U11" s="452"/>
      <c r="V11" s="452"/>
      <c r="W11" s="614" t="s">
        <v>787</v>
      </c>
      <c r="X11" s="686">
        <v>3</v>
      </c>
      <c r="Y11" s="686">
        <v>4</v>
      </c>
      <c r="Z11" s="686">
        <v>1</v>
      </c>
      <c r="AA11" s="686">
        <v>3</v>
      </c>
      <c r="AB11" s="686">
        <v>1</v>
      </c>
      <c r="AC11" s="686">
        <v>5</v>
      </c>
      <c r="AD11" s="297">
        <v>9</v>
      </c>
      <c r="AE11" s="6">
        <v>3</v>
      </c>
      <c r="AF11" s="245">
        <f t="shared" si="0"/>
        <v>1.2555818742947564</v>
      </c>
      <c r="AG11" s="245">
        <f t="shared" si="1"/>
        <v>3.0708070945678916</v>
      </c>
      <c r="AH11" s="246" t="str">
        <f t="shared" si="2"/>
        <v>(3,4,1,3,1,5)</v>
      </c>
      <c r="AI11" s="30">
        <v>1.1000000000000001</v>
      </c>
      <c r="AJ11" s="30">
        <v>1.1000000000000001</v>
      </c>
      <c r="AK11" s="30">
        <v>1</v>
      </c>
      <c r="AL11" s="30">
        <v>1.02</v>
      </c>
      <c r="AM11" s="30">
        <v>1</v>
      </c>
      <c r="AN11" s="30">
        <v>1.2</v>
      </c>
      <c r="AP11" s="614" t="s">
        <v>788</v>
      </c>
      <c r="AQ11" s="686">
        <v>2</v>
      </c>
      <c r="AR11" s="686">
        <v>4</v>
      </c>
      <c r="AS11" s="686">
        <v>1</v>
      </c>
      <c r="AT11" s="686">
        <v>3</v>
      </c>
      <c r="AU11" s="686">
        <v>4</v>
      </c>
      <c r="AV11" s="686">
        <v>5</v>
      </c>
      <c r="AW11" s="297">
        <v>9</v>
      </c>
      <c r="AX11" s="6">
        <v>3</v>
      </c>
      <c r="AY11" s="245">
        <f t="shared" si="3"/>
        <v>1.5804528752110836</v>
      </c>
      <c r="AZ11" s="245">
        <f t="shared" si="4"/>
        <v>3.287562838530901</v>
      </c>
      <c r="BA11" s="246" t="str">
        <f t="shared" si="5"/>
        <v>(2,4,1,3,4,5)</v>
      </c>
      <c r="BB11" s="30">
        <v>1.05</v>
      </c>
      <c r="BC11" s="30">
        <v>1.1000000000000001</v>
      </c>
      <c r="BD11" s="30">
        <v>1</v>
      </c>
      <c r="BE11" s="30">
        <v>1.02</v>
      </c>
      <c r="BF11" s="30">
        <v>1.5</v>
      </c>
      <c r="BG11" s="30">
        <v>1.2</v>
      </c>
    </row>
    <row r="12" spans="1:59">
      <c r="A12" s="1305">
        <v>268743</v>
      </c>
      <c r="B12" s="1307" t="s">
        <v>671</v>
      </c>
      <c r="C12" s="1306"/>
      <c r="D12" s="1308">
        <v>5</v>
      </c>
      <c r="E12" s="1309" t="s">
        <v>98</v>
      </c>
      <c r="F12" s="1310" t="s">
        <v>672</v>
      </c>
      <c r="G12" s="1311" t="s">
        <v>103</v>
      </c>
      <c r="H12" s="1312" t="s">
        <v>98</v>
      </c>
      <c r="I12" s="1313" t="s">
        <v>98</v>
      </c>
      <c r="J12" s="1314">
        <v>0</v>
      </c>
      <c r="K12" s="1311" t="s">
        <v>96</v>
      </c>
      <c r="L12" s="1311">
        <v>0</v>
      </c>
      <c r="M12" s="1315">
        <v>1</v>
      </c>
      <c r="N12" s="1316">
        <v>1.2620910621938648</v>
      </c>
      <c r="O12" s="1317" t="s">
        <v>3196</v>
      </c>
      <c r="P12" s="1311">
        <v>4223741</v>
      </c>
      <c r="Q12" s="1315">
        <v>1</v>
      </c>
      <c r="R12" s="1316">
        <v>1.2434566510799234</v>
      </c>
      <c r="S12" s="1317" t="s">
        <v>3193</v>
      </c>
      <c r="T12" s="968"/>
      <c r="U12" s="452"/>
      <c r="V12" s="452"/>
      <c r="W12" s="615"/>
      <c r="X12" s="686">
        <v>3</v>
      </c>
      <c r="Y12" s="686">
        <v>4</v>
      </c>
      <c r="Z12" s="686">
        <v>1</v>
      </c>
      <c r="AA12" s="686">
        <v>3</v>
      </c>
      <c r="AB12" s="686">
        <v>1</v>
      </c>
      <c r="AC12" s="686">
        <v>5</v>
      </c>
      <c r="AD12" s="297">
        <v>3</v>
      </c>
      <c r="AE12" s="6">
        <v>1.05</v>
      </c>
      <c r="AF12" s="245">
        <f t="shared" si="0"/>
        <v>1.2555818742947564</v>
      </c>
      <c r="AG12" s="245">
        <f t="shared" si="1"/>
        <v>1.2620910621938648</v>
      </c>
      <c r="AH12" s="246" t="str">
        <f t="shared" si="2"/>
        <v>(3,4,1,3,1,5)</v>
      </c>
      <c r="AI12" s="30">
        <v>1.1000000000000001</v>
      </c>
      <c r="AJ12" s="30">
        <v>1.1000000000000001</v>
      </c>
      <c r="AK12" s="30">
        <v>1</v>
      </c>
      <c r="AL12" s="30">
        <v>1.02</v>
      </c>
      <c r="AM12" s="30">
        <v>1</v>
      </c>
      <c r="AN12" s="30">
        <v>1.2</v>
      </c>
      <c r="AP12" s="615" t="s">
        <v>673</v>
      </c>
      <c r="AQ12" s="686">
        <v>2</v>
      </c>
      <c r="AR12" s="686">
        <v>4</v>
      </c>
      <c r="AS12" s="686">
        <v>1</v>
      </c>
      <c r="AT12" s="686">
        <v>3</v>
      </c>
      <c r="AU12" s="686">
        <v>1</v>
      </c>
      <c r="AV12" s="686">
        <v>5</v>
      </c>
      <c r="AW12" s="297">
        <v>3</v>
      </c>
      <c r="AX12" s="6">
        <v>1.05</v>
      </c>
      <c r="AY12" s="245">
        <f t="shared" si="3"/>
        <v>1.2365959919080913</v>
      </c>
      <c r="AZ12" s="245">
        <f t="shared" si="4"/>
        <v>1.2434566510799234</v>
      </c>
      <c r="BA12" s="246" t="str">
        <f t="shared" si="5"/>
        <v>(2,4,1,3,1,5)</v>
      </c>
      <c r="BB12" s="30">
        <v>1.05</v>
      </c>
      <c r="BC12" s="30">
        <v>1.1000000000000001</v>
      </c>
      <c r="BD12" s="30">
        <v>1</v>
      </c>
      <c r="BE12" s="30">
        <v>1.02</v>
      </c>
      <c r="BF12" s="30">
        <v>1</v>
      </c>
      <c r="BG12" s="30">
        <v>1.2</v>
      </c>
    </row>
    <row r="13" spans="1:59">
      <c r="A13" s="1305">
        <v>269089</v>
      </c>
      <c r="B13" s="1307" t="s">
        <v>674</v>
      </c>
      <c r="C13" s="1306"/>
      <c r="D13" s="1362">
        <v>5</v>
      </c>
      <c r="E13" s="1363" t="s">
        <v>98</v>
      </c>
      <c r="F13" s="1355" t="s">
        <v>675</v>
      </c>
      <c r="G13" s="1356" t="s">
        <v>93</v>
      </c>
      <c r="H13" s="1364" t="s">
        <v>98</v>
      </c>
      <c r="I13" s="1357" t="s">
        <v>98</v>
      </c>
      <c r="J13" s="1358">
        <v>0</v>
      </c>
      <c r="K13" s="1356" t="s">
        <v>96</v>
      </c>
      <c r="L13" s="1356">
        <v>0</v>
      </c>
      <c r="M13" s="1359">
        <v>1</v>
      </c>
      <c r="N13" s="1360">
        <v>1.2620910621938648</v>
      </c>
      <c r="O13" s="1361" t="s">
        <v>3196</v>
      </c>
      <c r="P13" s="1356">
        <v>2997.3000000000011</v>
      </c>
      <c r="Q13" s="1359">
        <v>1</v>
      </c>
      <c r="R13" s="1360">
        <v>1.3285812705862265</v>
      </c>
      <c r="S13" s="1361" t="s">
        <v>3197</v>
      </c>
      <c r="T13" s="968"/>
      <c r="U13" s="452"/>
      <c r="V13" s="452"/>
      <c r="W13" s="615"/>
      <c r="X13" s="686">
        <v>3</v>
      </c>
      <c r="Y13" s="686">
        <v>4</v>
      </c>
      <c r="Z13" s="686">
        <v>1</v>
      </c>
      <c r="AA13" s="686">
        <v>3</v>
      </c>
      <c r="AB13" s="686">
        <v>1</v>
      </c>
      <c r="AC13" s="686">
        <v>5</v>
      </c>
      <c r="AD13" s="297">
        <v>3</v>
      </c>
      <c r="AE13" s="6">
        <v>1.05</v>
      </c>
      <c r="AF13" s="245">
        <f t="shared" si="0"/>
        <v>1.2555818742947564</v>
      </c>
      <c r="AG13" s="245">
        <f t="shared" si="1"/>
        <v>1.2620910621938648</v>
      </c>
      <c r="AH13" s="246" t="str">
        <f t="shared" si="2"/>
        <v>(3,4,1,3,1,5)</v>
      </c>
      <c r="AI13" s="30">
        <v>1.1000000000000001</v>
      </c>
      <c r="AJ13" s="30">
        <v>1.1000000000000001</v>
      </c>
      <c r="AK13" s="30">
        <v>1</v>
      </c>
      <c r="AL13" s="30">
        <v>1.02</v>
      </c>
      <c r="AM13" s="30">
        <v>1</v>
      </c>
      <c r="AN13" s="30">
        <v>1.2</v>
      </c>
      <c r="AP13" s="615" t="s">
        <v>676</v>
      </c>
      <c r="AQ13" s="686">
        <v>2</v>
      </c>
      <c r="AR13" s="686">
        <v>4</v>
      </c>
      <c r="AS13" s="686">
        <v>1</v>
      </c>
      <c r="AT13" s="686">
        <v>3</v>
      </c>
      <c r="AU13" s="686">
        <v>3</v>
      </c>
      <c r="AV13" s="686">
        <v>5</v>
      </c>
      <c r="AW13" s="297">
        <v>3</v>
      </c>
      <c r="AX13" s="6">
        <v>1.05</v>
      </c>
      <c r="AY13" s="245">
        <f t="shared" si="3"/>
        <v>1.3229855584076429</v>
      </c>
      <c r="AZ13" s="245">
        <f t="shared" si="4"/>
        <v>1.3285812705862265</v>
      </c>
      <c r="BA13" s="246" t="str">
        <f t="shared" si="5"/>
        <v>(2,4,1,3,3,5)</v>
      </c>
      <c r="BB13" s="30">
        <v>1.05</v>
      </c>
      <c r="BC13" s="30">
        <v>1.1000000000000001</v>
      </c>
      <c r="BD13" s="30">
        <v>1</v>
      </c>
      <c r="BE13" s="30">
        <v>1.02</v>
      </c>
      <c r="BF13" s="30">
        <v>1.2</v>
      </c>
      <c r="BG13" s="30">
        <v>1.2</v>
      </c>
    </row>
    <row r="14" spans="1:59" ht="24" customHeight="1">
      <c r="A14" s="1305">
        <v>263015</v>
      </c>
      <c r="B14" s="1337"/>
      <c r="C14" s="1306"/>
      <c r="D14" s="1308">
        <v>5</v>
      </c>
      <c r="E14" s="1309" t="s">
        <v>98</v>
      </c>
      <c r="F14" s="1310" t="s">
        <v>677</v>
      </c>
      <c r="G14" s="1311" t="s">
        <v>103</v>
      </c>
      <c r="H14" s="1312" t="s">
        <v>98</v>
      </c>
      <c r="I14" s="1313" t="s">
        <v>98</v>
      </c>
      <c r="J14" s="1314">
        <v>0</v>
      </c>
      <c r="K14" s="1311" t="s">
        <v>96</v>
      </c>
      <c r="L14" s="1311">
        <v>0</v>
      </c>
      <c r="M14" s="1315">
        <v>1</v>
      </c>
      <c r="N14" s="1316">
        <v>1.2620910621938648</v>
      </c>
      <c r="O14" s="1317" t="s">
        <v>3196</v>
      </c>
      <c r="P14" s="1311">
        <v>19089.18</v>
      </c>
      <c r="Q14" s="1315">
        <v>1</v>
      </c>
      <c r="R14" s="1316">
        <v>1.2434566510799234</v>
      </c>
      <c r="S14" s="1317" t="s">
        <v>3193</v>
      </c>
      <c r="T14" s="968"/>
      <c r="U14" s="452"/>
      <c r="V14" s="452"/>
      <c r="W14" s="614"/>
      <c r="X14" s="686">
        <v>3</v>
      </c>
      <c r="Y14" s="686">
        <v>4</v>
      </c>
      <c r="Z14" s="686">
        <v>1</v>
      </c>
      <c r="AA14" s="686">
        <v>3</v>
      </c>
      <c r="AB14" s="686">
        <v>1</v>
      </c>
      <c r="AC14" s="686">
        <v>5</v>
      </c>
      <c r="AD14" s="297">
        <v>3</v>
      </c>
      <c r="AE14" s="6">
        <v>1.05</v>
      </c>
      <c r="AF14" s="245">
        <f t="shared" si="0"/>
        <v>1.2555818742947564</v>
      </c>
      <c r="AG14" s="245">
        <f t="shared" si="1"/>
        <v>1.2620910621938648</v>
      </c>
      <c r="AH14" s="246" t="str">
        <f t="shared" si="2"/>
        <v>(3,4,1,3,1,5)</v>
      </c>
      <c r="AI14" s="30">
        <v>1.1000000000000001</v>
      </c>
      <c r="AJ14" s="30">
        <v>1.1000000000000001</v>
      </c>
      <c r="AK14" s="30">
        <v>1</v>
      </c>
      <c r="AL14" s="30">
        <v>1.02</v>
      </c>
      <c r="AM14" s="30">
        <v>1</v>
      </c>
      <c r="AN14" s="30">
        <v>1.2</v>
      </c>
      <c r="AP14" s="614" t="s">
        <v>673</v>
      </c>
      <c r="AQ14" s="686">
        <v>2</v>
      </c>
      <c r="AR14" s="686">
        <v>4</v>
      </c>
      <c r="AS14" s="686">
        <v>1</v>
      </c>
      <c r="AT14" s="686">
        <v>3</v>
      </c>
      <c r="AU14" s="686">
        <v>1</v>
      </c>
      <c r="AV14" s="686">
        <v>5</v>
      </c>
      <c r="AW14" s="297">
        <v>3</v>
      </c>
      <c r="AX14" s="6">
        <v>1.05</v>
      </c>
      <c r="AY14" s="245">
        <f t="shared" si="3"/>
        <v>1.2365959919080913</v>
      </c>
      <c r="AZ14" s="245">
        <f t="shared" si="4"/>
        <v>1.2434566510799234</v>
      </c>
      <c r="BA14" s="246" t="str">
        <f t="shared" si="5"/>
        <v>(2,4,1,3,1,5)</v>
      </c>
      <c r="BB14" s="30">
        <v>1.05</v>
      </c>
      <c r="BC14" s="30">
        <v>1.1000000000000001</v>
      </c>
      <c r="BD14" s="30">
        <v>1</v>
      </c>
      <c r="BE14" s="30">
        <v>1.02</v>
      </c>
      <c r="BF14" s="30">
        <v>1</v>
      </c>
      <c r="BG14" s="30">
        <v>1.2</v>
      </c>
    </row>
    <row r="15" spans="1:59">
      <c r="A15" s="1305">
        <v>268459</v>
      </c>
      <c r="B15" s="1337"/>
      <c r="C15" s="1306"/>
      <c r="D15" s="1362">
        <v>5</v>
      </c>
      <c r="E15" s="1363" t="s">
        <v>98</v>
      </c>
      <c r="F15" s="1355" t="s">
        <v>678</v>
      </c>
      <c r="G15" s="1356" t="s">
        <v>93</v>
      </c>
      <c r="H15" s="1364" t="s">
        <v>98</v>
      </c>
      <c r="I15" s="1357" t="s">
        <v>98</v>
      </c>
      <c r="J15" s="1358">
        <v>0</v>
      </c>
      <c r="K15" s="1356" t="s">
        <v>679</v>
      </c>
      <c r="L15" s="1356">
        <v>0</v>
      </c>
      <c r="M15" s="1359">
        <v>1</v>
      </c>
      <c r="N15" s="1360">
        <v>1.2620910621938648</v>
      </c>
      <c r="O15" s="1361" t="s">
        <v>3196</v>
      </c>
      <c r="P15" s="1356">
        <v>13689</v>
      </c>
      <c r="Q15" s="1359">
        <v>1</v>
      </c>
      <c r="R15" s="1360">
        <v>1.2434566510799234</v>
      </c>
      <c r="S15" s="1361" t="s">
        <v>3198</v>
      </c>
      <c r="T15" s="968"/>
      <c r="U15" s="452"/>
      <c r="V15" s="452"/>
      <c r="W15" s="615"/>
      <c r="X15" s="686">
        <v>3</v>
      </c>
      <c r="Y15" s="686">
        <v>4</v>
      </c>
      <c r="Z15" s="686">
        <v>1</v>
      </c>
      <c r="AA15" s="686">
        <v>3</v>
      </c>
      <c r="AB15" s="686">
        <v>1</v>
      </c>
      <c r="AC15" s="686">
        <v>5</v>
      </c>
      <c r="AD15" s="297">
        <v>3</v>
      </c>
      <c r="AE15" s="6">
        <v>1.05</v>
      </c>
      <c r="AF15" s="245">
        <f t="shared" si="0"/>
        <v>1.2555818742947564</v>
      </c>
      <c r="AG15" s="245">
        <f t="shared" si="1"/>
        <v>1.2620910621938648</v>
      </c>
      <c r="AH15" s="246" t="str">
        <f t="shared" si="2"/>
        <v>(3,4,1,3,1,5)</v>
      </c>
      <c r="AI15" s="30">
        <v>1.1000000000000001</v>
      </c>
      <c r="AJ15" s="30">
        <v>1.1000000000000001</v>
      </c>
      <c r="AK15" s="30">
        <v>1</v>
      </c>
      <c r="AL15" s="30">
        <v>1.02</v>
      </c>
      <c r="AM15" s="30">
        <v>1</v>
      </c>
      <c r="AN15" s="30">
        <v>1.2</v>
      </c>
      <c r="AP15" s="615" t="s">
        <v>680</v>
      </c>
      <c r="AQ15" s="686">
        <v>2</v>
      </c>
      <c r="AR15" s="686">
        <v>4</v>
      </c>
      <c r="AS15" s="686">
        <v>1</v>
      </c>
      <c r="AT15" s="686">
        <v>3</v>
      </c>
      <c r="AU15" s="686">
        <v>1</v>
      </c>
      <c r="AV15" s="686">
        <v>5</v>
      </c>
      <c r="AW15" s="297">
        <v>3</v>
      </c>
      <c r="AX15" s="6">
        <v>1.05</v>
      </c>
      <c r="AY15" s="245">
        <f t="shared" si="3"/>
        <v>1.2365959919080913</v>
      </c>
      <c r="AZ15" s="245">
        <f t="shared" si="4"/>
        <v>1.2434566510799234</v>
      </c>
      <c r="BA15" s="246" t="str">
        <f t="shared" si="5"/>
        <v>(2,4,1,3,1,5)</v>
      </c>
      <c r="BB15" s="30">
        <v>1.05</v>
      </c>
      <c r="BC15" s="30">
        <v>1.1000000000000001</v>
      </c>
      <c r="BD15" s="30">
        <v>1</v>
      </c>
      <c r="BE15" s="30">
        <v>1.02</v>
      </c>
      <c r="BF15" s="30">
        <v>1</v>
      </c>
      <c r="BG15" s="30">
        <v>1.2</v>
      </c>
    </row>
    <row r="16" spans="1:59">
      <c r="A16" s="1305">
        <v>269423</v>
      </c>
      <c r="B16" s="1337"/>
      <c r="C16" s="1306"/>
      <c r="D16" s="1308">
        <v>5</v>
      </c>
      <c r="E16" s="1309" t="s">
        <v>98</v>
      </c>
      <c r="F16" s="1310" t="s">
        <v>681</v>
      </c>
      <c r="G16" s="1311" t="s">
        <v>93</v>
      </c>
      <c r="H16" s="1312" t="s">
        <v>98</v>
      </c>
      <c r="I16" s="1313" t="s">
        <v>98</v>
      </c>
      <c r="J16" s="1314">
        <v>0</v>
      </c>
      <c r="K16" s="1311" t="s">
        <v>96</v>
      </c>
      <c r="L16" s="1311">
        <v>0</v>
      </c>
      <c r="M16" s="1315">
        <v>1</v>
      </c>
      <c r="N16" s="1316">
        <v>1.2620910621938648</v>
      </c>
      <c r="O16" s="1317" t="s">
        <v>3196</v>
      </c>
      <c r="P16" s="1311">
        <v>2997.3000000000011</v>
      </c>
      <c r="Q16" s="1315">
        <v>1</v>
      </c>
      <c r="R16" s="1316">
        <v>1.2434566510799234</v>
      </c>
      <c r="S16" s="1317" t="s">
        <v>3198</v>
      </c>
      <c r="T16" s="968"/>
      <c r="U16" s="452"/>
      <c r="V16" s="452"/>
      <c r="W16" s="615"/>
      <c r="X16" s="686">
        <v>3</v>
      </c>
      <c r="Y16" s="686">
        <v>4</v>
      </c>
      <c r="Z16" s="686">
        <v>1</v>
      </c>
      <c r="AA16" s="686">
        <v>3</v>
      </c>
      <c r="AB16" s="686">
        <v>1</v>
      </c>
      <c r="AC16" s="686">
        <v>5</v>
      </c>
      <c r="AD16" s="297">
        <v>3</v>
      </c>
      <c r="AE16" s="6">
        <v>1.05</v>
      </c>
      <c r="AF16" s="245">
        <f t="shared" si="0"/>
        <v>1.2555818742947564</v>
      </c>
      <c r="AG16" s="245">
        <f t="shared" si="1"/>
        <v>1.2620910621938648</v>
      </c>
      <c r="AH16" s="246" t="str">
        <f t="shared" si="2"/>
        <v>(3,4,1,3,1,5)</v>
      </c>
      <c r="AI16" s="30">
        <v>1.1000000000000001</v>
      </c>
      <c r="AJ16" s="30">
        <v>1.1000000000000001</v>
      </c>
      <c r="AK16" s="30">
        <v>1</v>
      </c>
      <c r="AL16" s="30">
        <v>1.02</v>
      </c>
      <c r="AM16" s="30">
        <v>1</v>
      </c>
      <c r="AN16" s="30">
        <v>1.2</v>
      </c>
      <c r="AP16" s="615" t="s">
        <v>680</v>
      </c>
      <c r="AQ16" s="686">
        <v>2</v>
      </c>
      <c r="AR16" s="686">
        <v>4</v>
      </c>
      <c r="AS16" s="686">
        <v>1</v>
      </c>
      <c r="AT16" s="686">
        <v>3</v>
      </c>
      <c r="AU16" s="686">
        <v>1</v>
      </c>
      <c r="AV16" s="686">
        <v>5</v>
      </c>
      <c r="AW16" s="297">
        <v>3</v>
      </c>
      <c r="AX16" s="6">
        <v>1.05</v>
      </c>
      <c r="AY16" s="245">
        <f t="shared" si="3"/>
        <v>1.2365959919080913</v>
      </c>
      <c r="AZ16" s="245">
        <f t="shared" si="4"/>
        <v>1.2434566510799234</v>
      </c>
      <c r="BA16" s="246" t="str">
        <f t="shared" si="5"/>
        <v>(2,4,1,3,1,5)</v>
      </c>
      <c r="BB16" s="30">
        <v>1.05</v>
      </c>
      <c r="BC16" s="30">
        <v>1.1000000000000001</v>
      </c>
      <c r="BD16" s="30">
        <v>1</v>
      </c>
      <c r="BE16" s="30">
        <v>1.02</v>
      </c>
      <c r="BF16" s="30">
        <v>1</v>
      </c>
      <c r="BG16" s="30">
        <v>1.2</v>
      </c>
    </row>
    <row r="17" spans="1:59">
      <c r="A17" s="1305">
        <v>269445</v>
      </c>
      <c r="B17" s="1340"/>
      <c r="C17" s="1306"/>
      <c r="D17" s="1362">
        <v>5</v>
      </c>
      <c r="E17" s="1363" t="s">
        <v>98</v>
      </c>
      <c r="F17" s="1355" t="s">
        <v>682</v>
      </c>
      <c r="G17" s="1356" t="s">
        <v>93</v>
      </c>
      <c r="H17" s="1364" t="s">
        <v>98</v>
      </c>
      <c r="I17" s="1357" t="s">
        <v>98</v>
      </c>
      <c r="J17" s="1358">
        <v>0</v>
      </c>
      <c r="K17" s="1356" t="s">
        <v>96</v>
      </c>
      <c r="L17" s="1356">
        <v>0</v>
      </c>
      <c r="M17" s="1359">
        <v>1</v>
      </c>
      <c r="N17" s="1360">
        <v>1.2620910621938648</v>
      </c>
      <c r="O17" s="1361" t="s">
        <v>3196</v>
      </c>
      <c r="P17" s="1356">
        <v>107294.38</v>
      </c>
      <c r="Q17" s="1359">
        <v>1</v>
      </c>
      <c r="R17" s="1360">
        <v>1.2434566510799234</v>
      </c>
      <c r="S17" s="1361" t="s">
        <v>3193</v>
      </c>
      <c r="T17" s="968"/>
      <c r="U17" s="452"/>
      <c r="V17" s="452"/>
      <c r="W17" s="615"/>
      <c r="X17" s="686">
        <v>3</v>
      </c>
      <c r="Y17" s="686">
        <v>4</v>
      </c>
      <c r="Z17" s="686">
        <v>1</v>
      </c>
      <c r="AA17" s="686">
        <v>3</v>
      </c>
      <c r="AB17" s="686">
        <v>1</v>
      </c>
      <c r="AC17" s="686">
        <v>5</v>
      </c>
      <c r="AD17" s="297">
        <v>3</v>
      </c>
      <c r="AE17" s="6">
        <v>1.05</v>
      </c>
      <c r="AF17" s="245">
        <f t="shared" si="0"/>
        <v>1.2555818742947564</v>
      </c>
      <c r="AG17" s="245">
        <f t="shared" si="1"/>
        <v>1.2620910621938648</v>
      </c>
      <c r="AH17" s="246" t="str">
        <f t="shared" si="2"/>
        <v>(3,4,1,3,1,5)</v>
      </c>
      <c r="AI17" s="30">
        <v>1.1000000000000001</v>
      </c>
      <c r="AJ17" s="30">
        <v>1.1000000000000001</v>
      </c>
      <c r="AK17" s="30">
        <v>1</v>
      </c>
      <c r="AL17" s="30">
        <v>1.02</v>
      </c>
      <c r="AM17" s="30">
        <v>1</v>
      </c>
      <c r="AN17" s="30">
        <v>1.2</v>
      </c>
      <c r="AP17" s="615" t="s">
        <v>673</v>
      </c>
      <c r="AQ17" s="686">
        <v>2</v>
      </c>
      <c r="AR17" s="686">
        <v>4</v>
      </c>
      <c r="AS17" s="686">
        <v>1</v>
      </c>
      <c r="AT17" s="686">
        <v>3</v>
      </c>
      <c r="AU17" s="686">
        <v>1</v>
      </c>
      <c r="AV17" s="686">
        <v>5</v>
      </c>
      <c r="AW17" s="297">
        <v>3</v>
      </c>
      <c r="AX17" s="6">
        <v>1.05</v>
      </c>
      <c r="AY17" s="245">
        <f t="shared" si="3"/>
        <v>1.2365959919080913</v>
      </c>
      <c r="AZ17" s="245">
        <f t="shared" si="4"/>
        <v>1.2434566510799234</v>
      </c>
      <c r="BA17" s="246" t="str">
        <f t="shared" si="5"/>
        <v>(2,4,1,3,1,5)</v>
      </c>
      <c r="BB17" s="30">
        <v>1.05</v>
      </c>
      <c r="BC17" s="30">
        <v>1.1000000000000001</v>
      </c>
      <c r="BD17" s="30">
        <v>1</v>
      </c>
      <c r="BE17" s="30">
        <v>1.02</v>
      </c>
      <c r="BF17" s="30">
        <v>1</v>
      </c>
      <c r="BG17" s="30">
        <v>1.2</v>
      </c>
    </row>
    <row r="18" spans="1:59">
      <c r="A18" s="1305">
        <v>266627</v>
      </c>
      <c r="B18" s="1340"/>
      <c r="C18" s="1306"/>
      <c r="D18" s="1308">
        <v>5</v>
      </c>
      <c r="E18" s="1309" t="s">
        <v>98</v>
      </c>
      <c r="F18" s="1310" t="s">
        <v>634</v>
      </c>
      <c r="G18" s="1311" t="s">
        <v>93</v>
      </c>
      <c r="H18" s="1312" t="s">
        <v>98</v>
      </c>
      <c r="I18" s="1313" t="s">
        <v>98</v>
      </c>
      <c r="J18" s="1314">
        <v>0</v>
      </c>
      <c r="K18" s="1311" t="s">
        <v>96</v>
      </c>
      <c r="L18" s="1311">
        <v>0</v>
      </c>
      <c r="M18" s="1315">
        <v>1</v>
      </c>
      <c r="N18" s="1316">
        <v>1.2620910621938648</v>
      </c>
      <c r="O18" s="1317" t="s">
        <v>3196</v>
      </c>
      <c r="P18" s="1311">
        <v>107294.38</v>
      </c>
      <c r="Q18" s="1315">
        <v>1</v>
      </c>
      <c r="R18" s="1316">
        <v>1.2434566510799234</v>
      </c>
      <c r="S18" s="1317" t="s">
        <v>3193</v>
      </c>
      <c r="T18" s="968"/>
      <c r="U18" s="452"/>
      <c r="V18" s="452"/>
      <c r="W18" s="615"/>
      <c r="X18" s="686">
        <v>3</v>
      </c>
      <c r="Y18" s="686">
        <v>4</v>
      </c>
      <c r="Z18" s="686">
        <v>1</v>
      </c>
      <c r="AA18" s="686">
        <v>3</v>
      </c>
      <c r="AB18" s="686">
        <v>1</v>
      </c>
      <c r="AC18" s="686">
        <v>5</v>
      </c>
      <c r="AD18" s="297">
        <v>3</v>
      </c>
      <c r="AE18" s="6">
        <v>1.05</v>
      </c>
      <c r="AF18" s="245">
        <f t="shared" si="0"/>
        <v>1.2555818742947564</v>
      </c>
      <c r="AG18" s="245">
        <f t="shared" si="1"/>
        <v>1.2620910621938648</v>
      </c>
      <c r="AH18" s="246" t="str">
        <f t="shared" si="2"/>
        <v>(3,4,1,3,1,5)</v>
      </c>
      <c r="AI18" s="30">
        <v>1.1000000000000001</v>
      </c>
      <c r="AJ18" s="30">
        <v>1.1000000000000001</v>
      </c>
      <c r="AK18" s="30">
        <v>1</v>
      </c>
      <c r="AL18" s="30">
        <v>1.02</v>
      </c>
      <c r="AM18" s="30">
        <v>1</v>
      </c>
      <c r="AN18" s="30">
        <v>1.2</v>
      </c>
      <c r="AP18" s="615" t="s">
        <v>673</v>
      </c>
      <c r="AQ18" s="686">
        <v>2</v>
      </c>
      <c r="AR18" s="686">
        <v>4</v>
      </c>
      <c r="AS18" s="686">
        <v>1</v>
      </c>
      <c r="AT18" s="686">
        <v>3</v>
      </c>
      <c r="AU18" s="686">
        <v>1</v>
      </c>
      <c r="AV18" s="686">
        <v>5</v>
      </c>
      <c r="AW18" s="297">
        <v>3</v>
      </c>
      <c r="AX18" s="6">
        <v>1.05</v>
      </c>
      <c r="AY18" s="245">
        <f t="shared" si="3"/>
        <v>1.2365959919080913</v>
      </c>
      <c r="AZ18" s="245">
        <f t="shared" si="4"/>
        <v>1.2434566510799234</v>
      </c>
      <c r="BA18" s="246" t="str">
        <f t="shared" si="5"/>
        <v>(2,4,1,3,1,5)</v>
      </c>
      <c r="BB18" s="30">
        <v>1.05</v>
      </c>
      <c r="BC18" s="30">
        <v>1.1000000000000001</v>
      </c>
      <c r="BD18" s="30">
        <v>1</v>
      </c>
      <c r="BE18" s="30">
        <v>1.02</v>
      </c>
      <c r="BF18" s="30">
        <v>1</v>
      </c>
      <c r="BG18" s="30">
        <v>1.2</v>
      </c>
    </row>
    <row r="19" spans="1:59">
      <c r="A19" s="1305">
        <v>268933</v>
      </c>
      <c r="B19" s="1337"/>
      <c r="C19" s="1306"/>
      <c r="D19" s="1362">
        <v>5</v>
      </c>
      <c r="E19" s="1363" t="s">
        <v>98</v>
      </c>
      <c r="F19" s="1355" t="s">
        <v>683</v>
      </c>
      <c r="G19" s="1356" t="s">
        <v>93</v>
      </c>
      <c r="H19" s="1364" t="s">
        <v>98</v>
      </c>
      <c r="I19" s="1357" t="s">
        <v>98</v>
      </c>
      <c r="J19" s="1358">
        <v>0</v>
      </c>
      <c r="K19" s="1356" t="s">
        <v>679</v>
      </c>
      <c r="L19" s="1356">
        <v>0</v>
      </c>
      <c r="M19" s="1359">
        <v>1</v>
      </c>
      <c r="N19" s="1360">
        <v>1.2620910621938648</v>
      </c>
      <c r="O19" s="1361" t="s">
        <v>3196</v>
      </c>
      <c r="P19" s="1356">
        <v>772.50000000000011</v>
      </c>
      <c r="Q19" s="1359">
        <v>1</v>
      </c>
      <c r="R19" s="1360">
        <v>1.2434566510799234</v>
      </c>
      <c r="S19" s="1361" t="s">
        <v>3193</v>
      </c>
      <c r="T19" s="968"/>
      <c r="U19" s="452"/>
      <c r="V19" s="452"/>
      <c r="W19" s="614"/>
      <c r="X19" s="686">
        <v>3</v>
      </c>
      <c r="Y19" s="686">
        <v>4</v>
      </c>
      <c r="Z19" s="686">
        <v>1</v>
      </c>
      <c r="AA19" s="686">
        <v>3</v>
      </c>
      <c r="AB19" s="686">
        <v>1</v>
      </c>
      <c r="AC19" s="686">
        <v>5</v>
      </c>
      <c r="AD19" s="297">
        <v>3</v>
      </c>
      <c r="AE19" s="6">
        <v>1.05</v>
      </c>
      <c r="AF19" s="245">
        <f t="shared" si="0"/>
        <v>1.2555818742947564</v>
      </c>
      <c r="AG19" s="245">
        <f t="shared" si="1"/>
        <v>1.2620910621938648</v>
      </c>
      <c r="AH19" s="246" t="str">
        <f t="shared" si="2"/>
        <v>(3,4,1,3,1,5)</v>
      </c>
      <c r="AI19" s="30">
        <v>1.1000000000000001</v>
      </c>
      <c r="AJ19" s="30">
        <v>1.1000000000000001</v>
      </c>
      <c r="AK19" s="30">
        <v>1</v>
      </c>
      <c r="AL19" s="30">
        <v>1.02</v>
      </c>
      <c r="AM19" s="30">
        <v>1</v>
      </c>
      <c r="AN19" s="30">
        <v>1.2</v>
      </c>
      <c r="AP19" s="614" t="s">
        <v>673</v>
      </c>
      <c r="AQ19" s="686">
        <v>2</v>
      </c>
      <c r="AR19" s="686">
        <v>4</v>
      </c>
      <c r="AS19" s="686">
        <v>1</v>
      </c>
      <c r="AT19" s="686">
        <v>3</v>
      </c>
      <c r="AU19" s="686">
        <v>1</v>
      </c>
      <c r="AV19" s="686">
        <v>5</v>
      </c>
      <c r="AW19" s="297">
        <v>3</v>
      </c>
      <c r="AX19" s="6">
        <v>1.05</v>
      </c>
      <c r="AY19" s="245">
        <f t="shared" si="3"/>
        <v>1.2365959919080913</v>
      </c>
      <c r="AZ19" s="245">
        <f t="shared" si="4"/>
        <v>1.2434566510799234</v>
      </c>
      <c r="BA19" s="246" t="str">
        <f t="shared" si="5"/>
        <v>(2,4,1,3,1,5)</v>
      </c>
      <c r="BB19" s="30">
        <v>1.05</v>
      </c>
      <c r="BC19" s="30">
        <v>1.1000000000000001</v>
      </c>
      <c r="BD19" s="30">
        <v>1</v>
      </c>
      <c r="BE19" s="30">
        <v>1.02</v>
      </c>
      <c r="BF19" s="30">
        <v>1</v>
      </c>
      <c r="BG19" s="30">
        <v>1.2</v>
      </c>
    </row>
    <row r="20" spans="1:59" ht="36" customHeight="1">
      <c r="A20" s="1305">
        <v>256002</v>
      </c>
      <c r="B20" s="1307" t="s">
        <v>684</v>
      </c>
      <c r="C20" s="1306"/>
      <c r="D20" s="1308">
        <v>5</v>
      </c>
      <c r="E20" s="1309" t="s">
        <v>98</v>
      </c>
      <c r="F20" s="1310" t="s">
        <v>685</v>
      </c>
      <c r="G20" s="1311" t="s">
        <v>103</v>
      </c>
      <c r="H20" s="1312" t="s">
        <v>98</v>
      </c>
      <c r="I20" s="1313" t="s">
        <v>98</v>
      </c>
      <c r="J20" s="1314">
        <v>0</v>
      </c>
      <c r="K20" s="1311" t="s">
        <v>679</v>
      </c>
      <c r="L20" s="1311">
        <v>0</v>
      </c>
      <c r="M20" s="1315">
        <v>1</v>
      </c>
      <c r="N20" s="1316">
        <v>1.2620910621938648</v>
      </c>
      <c r="O20" s="1317" t="s">
        <v>3196</v>
      </c>
      <c r="P20" s="1311">
        <v>645.84999999999991</v>
      </c>
      <c r="Q20" s="1315">
        <v>1</v>
      </c>
      <c r="R20" s="1316">
        <v>1.3285812705862265</v>
      </c>
      <c r="S20" s="1317" t="s">
        <v>3199</v>
      </c>
      <c r="T20" s="968"/>
      <c r="U20" s="452"/>
      <c r="V20" s="452"/>
      <c r="W20" s="615"/>
      <c r="X20" s="686">
        <v>3</v>
      </c>
      <c r="Y20" s="686">
        <v>4</v>
      </c>
      <c r="Z20" s="686">
        <v>1</v>
      </c>
      <c r="AA20" s="686">
        <v>3</v>
      </c>
      <c r="AB20" s="686">
        <v>1</v>
      </c>
      <c r="AC20" s="686">
        <v>5</v>
      </c>
      <c r="AD20" s="297">
        <v>3</v>
      </c>
      <c r="AE20" s="6">
        <v>1.05</v>
      </c>
      <c r="AF20" s="245">
        <f t="shared" si="0"/>
        <v>1.2555818742947564</v>
      </c>
      <c r="AG20" s="245">
        <f t="shared" si="1"/>
        <v>1.2620910621938648</v>
      </c>
      <c r="AH20" s="246" t="str">
        <f t="shared" si="2"/>
        <v>(3,4,1,3,1,5)</v>
      </c>
      <c r="AI20" s="30">
        <v>1.1000000000000001</v>
      </c>
      <c r="AJ20" s="30">
        <v>1.1000000000000001</v>
      </c>
      <c r="AK20" s="30">
        <v>1</v>
      </c>
      <c r="AL20" s="30">
        <v>1.02</v>
      </c>
      <c r="AM20" s="30">
        <v>1</v>
      </c>
      <c r="AN20" s="30">
        <v>1.2</v>
      </c>
      <c r="AP20" s="615" t="s">
        <v>686</v>
      </c>
      <c r="AQ20" s="686">
        <v>2</v>
      </c>
      <c r="AR20" s="686">
        <v>4</v>
      </c>
      <c r="AS20" s="686">
        <v>1</v>
      </c>
      <c r="AT20" s="686">
        <v>3</v>
      </c>
      <c r="AU20" s="686">
        <v>3</v>
      </c>
      <c r="AV20" s="686">
        <v>5</v>
      </c>
      <c r="AW20" s="297">
        <v>3</v>
      </c>
      <c r="AX20" s="6">
        <v>1.05</v>
      </c>
      <c r="AY20" s="245">
        <f t="shared" si="3"/>
        <v>1.3229855584076429</v>
      </c>
      <c r="AZ20" s="245">
        <f t="shared" si="4"/>
        <v>1.3285812705862265</v>
      </c>
      <c r="BA20" s="246" t="str">
        <f t="shared" si="5"/>
        <v>(2,4,1,3,3,5)</v>
      </c>
      <c r="BB20" s="30">
        <v>1.05</v>
      </c>
      <c r="BC20" s="30">
        <v>1.1000000000000001</v>
      </c>
      <c r="BD20" s="30">
        <v>1</v>
      </c>
      <c r="BE20" s="30">
        <v>1.02</v>
      </c>
      <c r="BF20" s="30">
        <v>1.2</v>
      </c>
      <c r="BG20" s="30">
        <v>1.2</v>
      </c>
    </row>
    <row r="21" spans="1:59" ht="24" customHeight="1">
      <c r="A21" s="1305">
        <v>77572</v>
      </c>
      <c r="B21" s="1340"/>
      <c r="C21" s="1306"/>
      <c r="D21" s="1362">
        <v>5</v>
      </c>
      <c r="E21" s="1363" t="s">
        <v>98</v>
      </c>
      <c r="F21" s="1355" t="s">
        <v>687</v>
      </c>
      <c r="G21" s="1356" t="s">
        <v>103</v>
      </c>
      <c r="H21" s="1364" t="s">
        <v>98</v>
      </c>
      <c r="I21" s="1357" t="s">
        <v>98</v>
      </c>
      <c r="J21" s="1358">
        <v>0</v>
      </c>
      <c r="K21" s="1356" t="s">
        <v>104</v>
      </c>
      <c r="L21" s="1356">
        <v>0</v>
      </c>
      <c r="M21" s="1359">
        <v>1</v>
      </c>
      <c r="N21" s="1360">
        <v>2.0741629046031922</v>
      </c>
      <c r="O21" s="1361" t="s">
        <v>3196</v>
      </c>
      <c r="P21" s="1356">
        <v>287883.35000000009</v>
      </c>
      <c r="Q21" s="1359">
        <v>1</v>
      </c>
      <c r="R21" s="1360">
        <v>2.0646254680556719</v>
      </c>
      <c r="S21" s="1361" t="s">
        <v>3193</v>
      </c>
      <c r="T21" s="968"/>
      <c r="U21" s="452"/>
      <c r="V21" s="452"/>
      <c r="W21" s="615"/>
      <c r="X21" s="686">
        <v>3</v>
      </c>
      <c r="Y21" s="686">
        <v>4</v>
      </c>
      <c r="Z21" s="686">
        <v>1</v>
      </c>
      <c r="AA21" s="686">
        <v>3</v>
      </c>
      <c r="AB21" s="686">
        <v>1</v>
      </c>
      <c r="AC21" s="686">
        <v>5</v>
      </c>
      <c r="AD21" s="297">
        <v>5</v>
      </c>
      <c r="AE21" s="6">
        <v>2</v>
      </c>
      <c r="AF21" s="245">
        <f t="shared" si="0"/>
        <v>1.2555818742947564</v>
      </c>
      <c r="AG21" s="245">
        <f t="shared" si="1"/>
        <v>2.0741629046031922</v>
      </c>
      <c r="AH21" s="246" t="str">
        <f t="shared" si="2"/>
        <v>(3,4,1,3,1,5)</v>
      </c>
      <c r="AI21" s="30">
        <v>1.1000000000000001</v>
      </c>
      <c r="AJ21" s="30">
        <v>1.1000000000000001</v>
      </c>
      <c r="AK21" s="30">
        <v>1</v>
      </c>
      <c r="AL21" s="30">
        <v>1.02</v>
      </c>
      <c r="AM21" s="30">
        <v>1</v>
      </c>
      <c r="AN21" s="30">
        <v>1.2</v>
      </c>
      <c r="AP21" s="615" t="s">
        <v>673</v>
      </c>
      <c r="AQ21" s="686">
        <v>2</v>
      </c>
      <c r="AR21" s="686">
        <v>4</v>
      </c>
      <c r="AS21" s="686">
        <v>1</v>
      </c>
      <c r="AT21" s="686">
        <v>3</v>
      </c>
      <c r="AU21" s="686">
        <v>1</v>
      </c>
      <c r="AV21" s="686">
        <v>5</v>
      </c>
      <c r="AW21" s="297">
        <v>5</v>
      </c>
      <c r="AX21" s="6">
        <v>2</v>
      </c>
      <c r="AY21" s="245">
        <f t="shared" si="3"/>
        <v>1.2365959919080913</v>
      </c>
      <c r="AZ21" s="245">
        <f t="shared" si="4"/>
        <v>2.0646254680556719</v>
      </c>
      <c r="BA21" s="246" t="str">
        <f t="shared" si="5"/>
        <v>(2,4,1,3,1,5)</v>
      </c>
      <c r="BB21" s="30">
        <v>1.05</v>
      </c>
      <c r="BC21" s="30">
        <v>1.1000000000000001</v>
      </c>
      <c r="BD21" s="30">
        <v>1</v>
      </c>
      <c r="BE21" s="30">
        <v>1.02</v>
      </c>
      <c r="BF21" s="30">
        <v>1</v>
      </c>
      <c r="BG21" s="30">
        <v>1.2</v>
      </c>
    </row>
    <row r="22" spans="1:59">
      <c r="A22" s="1305">
        <v>79235</v>
      </c>
      <c r="B22" s="1340"/>
      <c r="C22" s="1306"/>
      <c r="D22" s="1308">
        <v>5</v>
      </c>
      <c r="E22" s="1309" t="s">
        <v>98</v>
      </c>
      <c r="F22" s="1310" t="s">
        <v>688</v>
      </c>
      <c r="G22" s="1311" t="s">
        <v>340</v>
      </c>
      <c r="H22" s="1312" t="s">
        <v>98</v>
      </c>
      <c r="I22" s="1313" t="s">
        <v>98</v>
      </c>
      <c r="J22" s="1314">
        <v>0</v>
      </c>
      <c r="K22" s="1311" t="s">
        <v>109</v>
      </c>
      <c r="L22" s="1311">
        <v>0</v>
      </c>
      <c r="M22" s="1315">
        <v>1</v>
      </c>
      <c r="N22" s="1316">
        <v>1.2620910621938648</v>
      </c>
      <c r="O22" s="1317" t="s">
        <v>3196</v>
      </c>
      <c r="P22" s="1311">
        <v>109859.64</v>
      </c>
      <c r="Q22" s="1315">
        <v>1</v>
      </c>
      <c r="R22" s="1316">
        <v>1.2434566510799234</v>
      </c>
      <c r="S22" s="1317" t="s">
        <v>3193</v>
      </c>
      <c r="T22" s="968"/>
      <c r="U22" s="452"/>
      <c r="V22" s="452"/>
      <c r="W22" s="615"/>
      <c r="X22" s="686">
        <v>3</v>
      </c>
      <c r="Y22" s="686">
        <v>4</v>
      </c>
      <c r="Z22" s="686">
        <v>1</v>
      </c>
      <c r="AA22" s="686">
        <v>3</v>
      </c>
      <c r="AB22" s="686">
        <v>1</v>
      </c>
      <c r="AC22" s="686">
        <v>5</v>
      </c>
      <c r="AD22" s="297">
        <v>3</v>
      </c>
      <c r="AE22" s="6">
        <v>1.05</v>
      </c>
      <c r="AF22" s="245">
        <f t="shared" si="0"/>
        <v>1.2555818742947564</v>
      </c>
      <c r="AG22" s="245">
        <f t="shared" si="1"/>
        <v>1.2620910621938648</v>
      </c>
      <c r="AH22" s="246" t="str">
        <f t="shared" si="2"/>
        <v>(3,4,1,3,1,5)</v>
      </c>
      <c r="AI22" s="30">
        <v>1.1000000000000001</v>
      </c>
      <c r="AJ22" s="30">
        <v>1.1000000000000001</v>
      </c>
      <c r="AK22" s="30">
        <v>1</v>
      </c>
      <c r="AL22" s="30">
        <v>1.02</v>
      </c>
      <c r="AM22" s="30">
        <v>1</v>
      </c>
      <c r="AN22" s="30">
        <v>1.2</v>
      </c>
      <c r="AP22" s="615" t="s">
        <v>673</v>
      </c>
      <c r="AQ22" s="686">
        <v>2</v>
      </c>
      <c r="AR22" s="686">
        <v>4</v>
      </c>
      <c r="AS22" s="686">
        <v>1</v>
      </c>
      <c r="AT22" s="686">
        <v>3</v>
      </c>
      <c r="AU22" s="686">
        <v>1</v>
      </c>
      <c r="AV22" s="686">
        <v>5</v>
      </c>
      <c r="AW22" s="297">
        <v>3</v>
      </c>
      <c r="AX22" s="6">
        <v>1.05</v>
      </c>
      <c r="AY22" s="245">
        <f t="shared" si="3"/>
        <v>1.2365959919080913</v>
      </c>
      <c r="AZ22" s="245">
        <f t="shared" si="4"/>
        <v>1.2434566510799234</v>
      </c>
      <c r="BA22" s="246" t="str">
        <f t="shared" si="5"/>
        <v>(2,4,1,3,1,5)</v>
      </c>
      <c r="BB22" s="30">
        <v>1.05</v>
      </c>
      <c r="BC22" s="30">
        <v>1.1000000000000001</v>
      </c>
      <c r="BD22" s="30">
        <v>1</v>
      </c>
      <c r="BE22" s="30">
        <v>1.02</v>
      </c>
      <c r="BF22" s="30">
        <v>1</v>
      </c>
      <c r="BG22" s="30">
        <v>1.2</v>
      </c>
    </row>
    <row r="23" spans="1:59">
      <c r="A23" s="1305">
        <v>268949</v>
      </c>
      <c r="B23" s="1337"/>
      <c r="C23" s="1306"/>
      <c r="D23" s="1362">
        <v>5</v>
      </c>
      <c r="E23" s="1363" t="s">
        <v>98</v>
      </c>
      <c r="F23" s="1355" t="s">
        <v>689</v>
      </c>
      <c r="G23" s="1356" t="s">
        <v>93</v>
      </c>
      <c r="H23" s="1364" t="s">
        <v>98</v>
      </c>
      <c r="I23" s="1357" t="s">
        <v>98</v>
      </c>
      <c r="J23" s="1358">
        <v>0</v>
      </c>
      <c r="K23" s="1356" t="s">
        <v>119</v>
      </c>
      <c r="L23" s="1356">
        <v>0</v>
      </c>
      <c r="M23" s="1359">
        <v>1</v>
      </c>
      <c r="N23" s="1360">
        <v>1.2620910621938648</v>
      </c>
      <c r="O23" s="1361" t="s">
        <v>3196</v>
      </c>
      <c r="P23" s="1356">
        <v>1024.67</v>
      </c>
      <c r="Q23" s="1359">
        <v>1</v>
      </c>
      <c r="R23" s="1360">
        <v>1.2434566510799234</v>
      </c>
      <c r="S23" s="1361" t="s">
        <v>3193</v>
      </c>
      <c r="T23" s="968"/>
      <c r="U23" s="452"/>
      <c r="V23" s="452"/>
      <c r="W23" s="614"/>
      <c r="X23" s="686">
        <v>3</v>
      </c>
      <c r="Y23" s="686">
        <v>4</v>
      </c>
      <c r="Z23" s="686">
        <v>1</v>
      </c>
      <c r="AA23" s="686">
        <v>3</v>
      </c>
      <c r="AB23" s="686">
        <v>1</v>
      </c>
      <c r="AC23" s="686">
        <v>5</v>
      </c>
      <c r="AD23" s="297">
        <v>2</v>
      </c>
      <c r="AE23" s="6">
        <v>1.05</v>
      </c>
      <c r="AF23" s="245">
        <f t="shared" si="0"/>
        <v>1.2555818742947564</v>
      </c>
      <c r="AG23" s="245">
        <f t="shared" si="1"/>
        <v>1.2620910621938648</v>
      </c>
      <c r="AH23" s="246" t="str">
        <f t="shared" si="2"/>
        <v>(3,4,1,3,1,5)</v>
      </c>
      <c r="AI23" s="30">
        <v>1.1000000000000001</v>
      </c>
      <c r="AJ23" s="30">
        <v>1.1000000000000001</v>
      </c>
      <c r="AK23" s="30">
        <v>1</v>
      </c>
      <c r="AL23" s="30">
        <v>1.02</v>
      </c>
      <c r="AM23" s="30">
        <v>1</v>
      </c>
      <c r="AN23" s="30">
        <v>1.2</v>
      </c>
      <c r="AP23" s="614" t="s">
        <v>673</v>
      </c>
      <c r="AQ23" s="686">
        <v>2</v>
      </c>
      <c r="AR23" s="686">
        <v>4</v>
      </c>
      <c r="AS23" s="686">
        <v>1</v>
      </c>
      <c r="AT23" s="686">
        <v>3</v>
      </c>
      <c r="AU23" s="686">
        <v>1</v>
      </c>
      <c r="AV23" s="686">
        <v>5</v>
      </c>
      <c r="AW23" s="297">
        <v>2</v>
      </c>
      <c r="AX23" s="6">
        <v>1.05</v>
      </c>
      <c r="AY23" s="245">
        <f t="shared" si="3"/>
        <v>1.2365959919080913</v>
      </c>
      <c r="AZ23" s="245">
        <f t="shared" si="4"/>
        <v>1.2434566510799234</v>
      </c>
      <c r="BA23" s="246" t="str">
        <f t="shared" si="5"/>
        <v>(2,4,1,3,1,5)</v>
      </c>
      <c r="BB23" s="30">
        <v>1.05</v>
      </c>
      <c r="BC23" s="30">
        <v>1.1000000000000001</v>
      </c>
      <c r="BD23" s="30">
        <v>1</v>
      </c>
      <c r="BE23" s="30">
        <v>1.02</v>
      </c>
      <c r="BF23" s="30">
        <v>1</v>
      </c>
      <c r="BG23" s="30">
        <v>1.2</v>
      </c>
    </row>
    <row r="24" spans="1:59" ht="23.25" customHeight="1">
      <c r="A24" s="1305">
        <v>267287</v>
      </c>
      <c r="B24" s="1340"/>
      <c r="C24" s="1306"/>
      <c r="D24" s="1308">
        <v>5</v>
      </c>
      <c r="E24" s="1309" t="s">
        <v>98</v>
      </c>
      <c r="F24" s="1310" t="s">
        <v>690</v>
      </c>
      <c r="G24" s="1311" t="s">
        <v>154</v>
      </c>
      <c r="H24" s="1312" t="s">
        <v>98</v>
      </c>
      <c r="I24" s="1313" t="s">
        <v>98</v>
      </c>
      <c r="J24" s="1314">
        <v>0</v>
      </c>
      <c r="K24" s="1311" t="s">
        <v>104</v>
      </c>
      <c r="L24" s="1311">
        <v>0</v>
      </c>
      <c r="M24" s="1315">
        <v>1</v>
      </c>
      <c r="N24" s="1316">
        <v>1.2620910621938648</v>
      </c>
      <c r="O24" s="1317" t="s">
        <v>3196</v>
      </c>
      <c r="P24" s="1311">
        <v>6668.7725510454766</v>
      </c>
      <c r="Q24" s="1315">
        <v>1</v>
      </c>
      <c r="R24" s="1316">
        <v>1.2434566510799234</v>
      </c>
      <c r="S24" s="1317" t="s">
        <v>3200</v>
      </c>
      <c r="T24" s="968"/>
      <c r="U24" s="452"/>
      <c r="V24" s="452"/>
      <c r="W24" s="615"/>
      <c r="X24" s="686">
        <v>3</v>
      </c>
      <c r="Y24" s="686">
        <v>4</v>
      </c>
      <c r="Z24" s="686">
        <v>1</v>
      </c>
      <c r="AA24" s="686">
        <v>3</v>
      </c>
      <c r="AB24" s="686">
        <v>1</v>
      </c>
      <c r="AC24" s="686">
        <v>5</v>
      </c>
      <c r="AD24" s="297">
        <v>1</v>
      </c>
      <c r="AE24" s="6">
        <v>1.05</v>
      </c>
      <c r="AF24" s="245">
        <f t="shared" si="0"/>
        <v>1.2555818742947564</v>
      </c>
      <c r="AG24" s="245">
        <f t="shared" si="1"/>
        <v>1.2620910621938648</v>
      </c>
      <c r="AH24" s="246" t="str">
        <f t="shared" si="2"/>
        <v>(3,4,1,3,1,5)</v>
      </c>
      <c r="AI24" s="30">
        <v>1.1000000000000001</v>
      </c>
      <c r="AJ24" s="30">
        <v>1.1000000000000001</v>
      </c>
      <c r="AK24" s="30">
        <v>1</v>
      </c>
      <c r="AL24" s="30">
        <v>1.02</v>
      </c>
      <c r="AM24" s="30">
        <v>1</v>
      </c>
      <c r="AN24" s="30">
        <v>1.2</v>
      </c>
      <c r="AP24" s="615" t="s">
        <v>691</v>
      </c>
      <c r="AQ24" s="686">
        <v>2</v>
      </c>
      <c r="AR24" s="686">
        <v>4</v>
      </c>
      <c r="AS24" s="686">
        <v>1</v>
      </c>
      <c r="AT24" s="686">
        <v>3</v>
      </c>
      <c r="AU24" s="686">
        <v>1</v>
      </c>
      <c r="AV24" s="686">
        <v>5</v>
      </c>
      <c r="AW24" s="297">
        <v>1</v>
      </c>
      <c r="AX24" s="6">
        <v>1.05</v>
      </c>
      <c r="AY24" s="245">
        <f t="shared" si="3"/>
        <v>1.2365959919080913</v>
      </c>
      <c r="AZ24" s="245">
        <f t="shared" si="4"/>
        <v>1.2434566510799234</v>
      </c>
      <c r="BA24" s="246" t="str">
        <f t="shared" si="5"/>
        <v>(2,4,1,3,1,5)</v>
      </c>
      <c r="BB24" s="30">
        <v>1.05</v>
      </c>
      <c r="BC24" s="30">
        <v>1.1000000000000001</v>
      </c>
      <c r="BD24" s="30">
        <v>1</v>
      </c>
      <c r="BE24" s="30">
        <v>1.02</v>
      </c>
      <c r="BF24" s="30">
        <v>1</v>
      </c>
      <c r="BG24" s="30">
        <v>1.2</v>
      </c>
    </row>
    <row r="25" spans="1:59" ht="23.25" customHeight="1">
      <c r="A25" s="1305">
        <v>267287</v>
      </c>
      <c r="B25" s="1340"/>
      <c r="C25" s="1306"/>
      <c r="D25" s="1362">
        <v>5</v>
      </c>
      <c r="E25" s="1363" t="s">
        <v>98</v>
      </c>
      <c r="F25" s="1355" t="s">
        <v>690</v>
      </c>
      <c r="G25" s="1356" t="s">
        <v>154</v>
      </c>
      <c r="H25" s="1364" t="s">
        <v>98</v>
      </c>
      <c r="I25" s="1357" t="s">
        <v>98</v>
      </c>
      <c r="J25" s="1358">
        <v>0</v>
      </c>
      <c r="K25" s="1356" t="s">
        <v>104</v>
      </c>
      <c r="L25" s="1356">
        <v>0</v>
      </c>
      <c r="M25" s="1359">
        <v>1</v>
      </c>
      <c r="N25" s="1360">
        <v>1.2620910621938648</v>
      </c>
      <c r="O25" s="1361" t="s">
        <v>3196</v>
      </c>
      <c r="P25" s="1356">
        <v>58182.349532657769</v>
      </c>
      <c r="Q25" s="1359">
        <v>1</v>
      </c>
      <c r="R25" s="1360">
        <v>1.2434566510799234</v>
      </c>
      <c r="S25" s="1361" t="s">
        <v>3201</v>
      </c>
      <c r="T25" s="968"/>
      <c r="U25" s="452"/>
      <c r="V25" s="452"/>
      <c r="W25" s="615"/>
      <c r="X25" s="686">
        <v>3</v>
      </c>
      <c r="Y25" s="686">
        <v>4</v>
      </c>
      <c r="Z25" s="686">
        <v>1</v>
      </c>
      <c r="AA25" s="686">
        <v>3</v>
      </c>
      <c r="AB25" s="686">
        <v>1</v>
      </c>
      <c r="AC25" s="686">
        <v>5</v>
      </c>
      <c r="AD25" s="297">
        <v>1</v>
      </c>
      <c r="AE25" s="6">
        <v>1.05</v>
      </c>
      <c r="AF25" s="245">
        <f t="shared" si="0"/>
        <v>1.2555818742947564</v>
      </c>
      <c r="AG25" s="245">
        <f t="shared" si="1"/>
        <v>1.2620910621938648</v>
      </c>
      <c r="AH25" s="246" t="str">
        <f t="shared" si="2"/>
        <v>(3,4,1,3,1,5)</v>
      </c>
      <c r="AI25" s="30">
        <v>1.1000000000000001</v>
      </c>
      <c r="AJ25" s="30">
        <v>1.1000000000000001</v>
      </c>
      <c r="AK25" s="30">
        <v>1</v>
      </c>
      <c r="AL25" s="30">
        <v>1.02</v>
      </c>
      <c r="AM25" s="30">
        <v>1</v>
      </c>
      <c r="AN25" s="30">
        <v>1.2</v>
      </c>
      <c r="AP25" s="615" t="s">
        <v>692</v>
      </c>
      <c r="AQ25" s="686">
        <v>2</v>
      </c>
      <c r="AR25" s="686">
        <v>4</v>
      </c>
      <c r="AS25" s="686">
        <v>1</v>
      </c>
      <c r="AT25" s="686">
        <v>3</v>
      </c>
      <c r="AU25" s="686">
        <v>1</v>
      </c>
      <c r="AV25" s="686">
        <v>5</v>
      </c>
      <c r="AW25" s="297">
        <v>1</v>
      </c>
      <c r="AX25" s="6">
        <v>1.05</v>
      </c>
      <c r="AY25" s="245">
        <f t="shared" si="3"/>
        <v>1.2365959919080913</v>
      </c>
      <c r="AZ25" s="245">
        <f t="shared" si="4"/>
        <v>1.2434566510799234</v>
      </c>
      <c r="BA25" s="246" t="str">
        <f t="shared" si="5"/>
        <v>(2,4,1,3,1,5)</v>
      </c>
      <c r="BB25" s="30">
        <v>1.05</v>
      </c>
      <c r="BC25" s="30">
        <v>1.1000000000000001</v>
      </c>
      <c r="BD25" s="30">
        <v>1</v>
      </c>
      <c r="BE25" s="30">
        <v>1.02</v>
      </c>
      <c r="BF25" s="30">
        <v>1</v>
      </c>
      <c r="BG25" s="30">
        <v>1.2</v>
      </c>
    </row>
    <row r="26" spans="1:59" ht="23.25" customHeight="1">
      <c r="A26" s="1305">
        <v>267287</v>
      </c>
      <c r="B26" s="1340"/>
      <c r="C26" s="1306"/>
      <c r="D26" s="1308">
        <v>5</v>
      </c>
      <c r="E26" s="1309" t="s">
        <v>98</v>
      </c>
      <c r="F26" s="1310" t="s">
        <v>690</v>
      </c>
      <c r="G26" s="1311" t="s">
        <v>154</v>
      </c>
      <c r="H26" s="1312" t="s">
        <v>98</v>
      </c>
      <c r="I26" s="1313" t="s">
        <v>98</v>
      </c>
      <c r="J26" s="1314">
        <v>0</v>
      </c>
      <c r="K26" s="1311" t="s">
        <v>104</v>
      </c>
      <c r="L26" s="1311">
        <v>0</v>
      </c>
      <c r="M26" s="1315">
        <v>1</v>
      </c>
      <c r="N26" s="1316">
        <v>1.2620910621938648</v>
      </c>
      <c r="O26" s="1317" t="s">
        <v>3196</v>
      </c>
      <c r="P26" s="1311">
        <v>4335991.9674823303</v>
      </c>
      <c r="Q26" s="1315">
        <v>1</v>
      </c>
      <c r="R26" s="1316">
        <v>1.2434566510799234</v>
      </c>
      <c r="S26" s="1317" t="s">
        <v>3202</v>
      </c>
      <c r="T26" s="968"/>
      <c r="U26" s="452"/>
      <c r="V26" s="452"/>
      <c r="W26" s="615"/>
      <c r="X26" s="686">
        <v>3</v>
      </c>
      <c r="Y26" s="686">
        <v>4</v>
      </c>
      <c r="Z26" s="686">
        <v>1</v>
      </c>
      <c r="AA26" s="686">
        <v>3</v>
      </c>
      <c r="AB26" s="686">
        <v>1</v>
      </c>
      <c r="AC26" s="686">
        <v>5</v>
      </c>
      <c r="AD26" s="297">
        <v>1</v>
      </c>
      <c r="AE26" s="6">
        <v>1.05</v>
      </c>
      <c r="AF26" s="245">
        <f t="shared" si="0"/>
        <v>1.2555818742947564</v>
      </c>
      <c r="AG26" s="245">
        <f t="shared" si="1"/>
        <v>1.2620910621938648</v>
      </c>
      <c r="AH26" s="246" t="str">
        <f t="shared" si="2"/>
        <v>(3,4,1,3,1,5)</v>
      </c>
      <c r="AI26" s="30">
        <v>1.1000000000000001</v>
      </c>
      <c r="AJ26" s="30">
        <v>1.1000000000000001</v>
      </c>
      <c r="AK26" s="30">
        <v>1</v>
      </c>
      <c r="AL26" s="30">
        <v>1.02</v>
      </c>
      <c r="AM26" s="30">
        <v>1</v>
      </c>
      <c r="AN26" s="30">
        <v>1.2</v>
      </c>
      <c r="AP26" s="615" t="s">
        <v>693</v>
      </c>
      <c r="AQ26" s="686">
        <v>2</v>
      </c>
      <c r="AR26" s="686">
        <v>4</v>
      </c>
      <c r="AS26" s="686">
        <v>1</v>
      </c>
      <c r="AT26" s="686">
        <v>3</v>
      </c>
      <c r="AU26" s="686">
        <v>1</v>
      </c>
      <c r="AV26" s="686">
        <v>5</v>
      </c>
      <c r="AW26" s="297">
        <v>1</v>
      </c>
      <c r="AX26" s="6">
        <v>1.05</v>
      </c>
      <c r="AY26" s="245">
        <f t="shared" si="3"/>
        <v>1.2365959919080913</v>
      </c>
      <c r="AZ26" s="245">
        <f t="shared" si="4"/>
        <v>1.2434566510799234</v>
      </c>
      <c r="BA26" s="246" t="str">
        <f t="shared" si="5"/>
        <v>(2,4,1,3,1,5)</v>
      </c>
      <c r="BB26" s="30">
        <v>1.05</v>
      </c>
      <c r="BC26" s="30">
        <v>1.1000000000000001</v>
      </c>
      <c r="BD26" s="30">
        <v>1</v>
      </c>
      <c r="BE26" s="30">
        <v>1.02</v>
      </c>
      <c r="BF26" s="30">
        <v>1</v>
      </c>
      <c r="BG26" s="30">
        <v>1.2</v>
      </c>
    </row>
    <row r="27" spans="1:59">
      <c r="A27" s="1305">
        <v>160371</v>
      </c>
      <c r="B27" s="1340"/>
      <c r="C27" s="1306"/>
      <c r="D27" s="1362">
        <v>5</v>
      </c>
      <c r="E27" s="1363" t="s">
        <v>98</v>
      </c>
      <c r="F27" s="1355" t="s">
        <v>242</v>
      </c>
      <c r="G27" s="1356" t="s">
        <v>93</v>
      </c>
      <c r="H27" s="1364" t="s">
        <v>98</v>
      </c>
      <c r="I27" s="1357" t="s">
        <v>98</v>
      </c>
      <c r="J27" s="1358">
        <v>0</v>
      </c>
      <c r="K27" s="1356" t="s">
        <v>115</v>
      </c>
      <c r="L27" s="1356">
        <v>0</v>
      </c>
      <c r="M27" s="1359">
        <v>1</v>
      </c>
      <c r="N27" s="1360">
        <v>2.0741629046031922</v>
      </c>
      <c r="O27" s="1361" t="s">
        <v>3196</v>
      </c>
      <c r="P27" s="1356">
        <v>46120.760000000017</v>
      </c>
      <c r="Q27" s="1359">
        <v>1</v>
      </c>
      <c r="R27" s="1360">
        <v>2.0646254680556719</v>
      </c>
      <c r="S27" s="1361" t="s">
        <v>3193</v>
      </c>
      <c r="T27" s="968"/>
      <c r="U27" s="452"/>
      <c r="V27" s="452"/>
      <c r="W27" s="615"/>
      <c r="X27" s="686">
        <v>3</v>
      </c>
      <c r="Y27" s="686">
        <v>4</v>
      </c>
      <c r="Z27" s="686">
        <v>1</v>
      </c>
      <c r="AA27" s="686">
        <v>3</v>
      </c>
      <c r="AB27" s="686">
        <v>1</v>
      </c>
      <c r="AC27" s="686">
        <v>5</v>
      </c>
      <c r="AD27" s="297">
        <v>5</v>
      </c>
      <c r="AE27" s="6">
        <v>2</v>
      </c>
      <c r="AF27" s="245">
        <f t="shared" si="0"/>
        <v>1.2555818742947564</v>
      </c>
      <c r="AG27" s="245">
        <f t="shared" si="1"/>
        <v>2.0741629046031922</v>
      </c>
      <c r="AH27" s="246" t="str">
        <f t="shared" si="2"/>
        <v>(3,4,1,3,1,5)</v>
      </c>
      <c r="AI27" s="30">
        <v>1.1000000000000001</v>
      </c>
      <c r="AJ27" s="30">
        <v>1.1000000000000001</v>
      </c>
      <c r="AK27" s="30">
        <v>1</v>
      </c>
      <c r="AL27" s="30">
        <v>1.02</v>
      </c>
      <c r="AM27" s="30">
        <v>1</v>
      </c>
      <c r="AN27" s="30">
        <v>1.2</v>
      </c>
      <c r="AP27" s="615" t="s">
        <v>673</v>
      </c>
      <c r="AQ27" s="686">
        <v>2</v>
      </c>
      <c r="AR27" s="686">
        <v>4</v>
      </c>
      <c r="AS27" s="686">
        <v>1</v>
      </c>
      <c r="AT27" s="686">
        <v>3</v>
      </c>
      <c r="AU27" s="686">
        <v>1</v>
      </c>
      <c r="AV27" s="686">
        <v>5</v>
      </c>
      <c r="AW27" s="297">
        <v>5</v>
      </c>
      <c r="AX27" s="6">
        <v>2</v>
      </c>
      <c r="AY27" s="245">
        <f t="shared" si="3"/>
        <v>1.2365959919080913</v>
      </c>
      <c r="AZ27" s="245">
        <f t="shared" si="4"/>
        <v>2.0646254680556719</v>
      </c>
      <c r="BA27" s="246" t="str">
        <f t="shared" si="5"/>
        <v>(2,4,1,3,1,5)</v>
      </c>
      <c r="BB27" s="30">
        <v>1.05</v>
      </c>
      <c r="BC27" s="30">
        <v>1.1000000000000001</v>
      </c>
      <c r="BD27" s="30">
        <v>1</v>
      </c>
      <c r="BE27" s="30">
        <v>1.02</v>
      </c>
      <c r="BF27" s="30">
        <v>1</v>
      </c>
      <c r="BG27" s="30">
        <v>1.2</v>
      </c>
    </row>
    <row r="28" spans="1:59">
      <c r="A28" s="1305">
        <v>269641</v>
      </c>
      <c r="B28" s="1340"/>
      <c r="C28" s="1306"/>
      <c r="D28" s="1308">
        <v>5</v>
      </c>
      <c r="E28" s="1309" t="s">
        <v>98</v>
      </c>
      <c r="F28" s="1310" t="s">
        <v>240</v>
      </c>
      <c r="G28" s="1311" t="s">
        <v>93</v>
      </c>
      <c r="H28" s="1312" t="s">
        <v>98</v>
      </c>
      <c r="I28" s="1313" t="s">
        <v>98</v>
      </c>
      <c r="J28" s="1314">
        <v>0</v>
      </c>
      <c r="K28" s="1311" t="s">
        <v>115</v>
      </c>
      <c r="L28" s="1311">
        <v>0</v>
      </c>
      <c r="M28" s="1315">
        <v>1</v>
      </c>
      <c r="N28" s="1316">
        <v>2.0741629046031922</v>
      </c>
      <c r="O28" s="1317" t="s">
        <v>3196</v>
      </c>
      <c r="P28" s="1311">
        <v>85347.290000000037</v>
      </c>
      <c r="Q28" s="1315">
        <v>1</v>
      </c>
      <c r="R28" s="1316">
        <v>2.0646254680556719</v>
      </c>
      <c r="S28" s="1317" t="s">
        <v>3193</v>
      </c>
      <c r="T28" s="968"/>
      <c r="U28" s="452"/>
      <c r="V28" s="452"/>
      <c r="W28" s="615"/>
      <c r="X28" s="686">
        <v>3</v>
      </c>
      <c r="Y28" s="686">
        <v>4</v>
      </c>
      <c r="Z28" s="686">
        <v>1</v>
      </c>
      <c r="AA28" s="686">
        <v>3</v>
      </c>
      <c r="AB28" s="686">
        <v>1</v>
      </c>
      <c r="AC28" s="686">
        <v>5</v>
      </c>
      <c r="AD28" s="297">
        <v>5</v>
      </c>
      <c r="AE28" s="6">
        <v>2</v>
      </c>
      <c r="AF28" s="245">
        <f t="shared" si="0"/>
        <v>1.2555818742947564</v>
      </c>
      <c r="AG28" s="245">
        <f t="shared" si="1"/>
        <v>2.0741629046031922</v>
      </c>
      <c r="AH28" s="246" t="str">
        <f t="shared" si="2"/>
        <v>(3,4,1,3,1,5)</v>
      </c>
      <c r="AI28" s="30">
        <v>1.1000000000000001</v>
      </c>
      <c r="AJ28" s="30">
        <v>1.1000000000000001</v>
      </c>
      <c r="AK28" s="30">
        <v>1</v>
      </c>
      <c r="AL28" s="30">
        <v>1.02</v>
      </c>
      <c r="AM28" s="30">
        <v>1</v>
      </c>
      <c r="AN28" s="30">
        <v>1.2</v>
      </c>
      <c r="AP28" s="615" t="s">
        <v>673</v>
      </c>
      <c r="AQ28" s="686">
        <v>2</v>
      </c>
      <c r="AR28" s="686">
        <v>4</v>
      </c>
      <c r="AS28" s="686">
        <v>1</v>
      </c>
      <c r="AT28" s="686">
        <v>3</v>
      </c>
      <c r="AU28" s="686">
        <v>1</v>
      </c>
      <c r="AV28" s="686">
        <v>5</v>
      </c>
      <c r="AW28" s="297">
        <v>5</v>
      </c>
      <c r="AX28" s="6">
        <v>2</v>
      </c>
      <c r="AY28" s="245">
        <f t="shared" si="3"/>
        <v>1.2365959919080913</v>
      </c>
      <c r="AZ28" s="245">
        <f t="shared" si="4"/>
        <v>2.0646254680556719</v>
      </c>
      <c r="BA28" s="246" t="str">
        <f t="shared" si="5"/>
        <v>(2,4,1,3,1,5)</v>
      </c>
      <c r="BB28" s="30">
        <v>1.05</v>
      </c>
      <c r="BC28" s="30">
        <v>1.1000000000000001</v>
      </c>
      <c r="BD28" s="30">
        <v>1</v>
      </c>
      <c r="BE28" s="30">
        <v>1.02</v>
      </c>
      <c r="BF28" s="30">
        <v>1</v>
      </c>
      <c r="BG28" s="30">
        <v>1.2</v>
      </c>
    </row>
    <row r="29" spans="1:59" ht="24" customHeight="1">
      <c r="A29" s="1305">
        <v>261895</v>
      </c>
      <c r="B29" s="1340"/>
      <c r="C29" s="1306"/>
      <c r="D29" s="1362">
        <v>5</v>
      </c>
      <c r="E29" s="1363" t="s">
        <v>98</v>
      </c>
      <c r="F29" s="1355" t="s">
        <v>694</v>
      </c>
      <c r="G29" s="1356" t="s">
        <v>245</v>
      </c>
      <c r="H29" s="1364" t="s">
        <v>98</v>
      </c>
      <c r="I29" s="1357" t="s">
        <v>98</v>
      </c>
      <c r="J29" s="1358">
        <v>0</v>
      </c>
      <c r="K29" s="1356" t="s">
        <v>115</v>
      </c>
      <c r="L29" s="1356">
        <v>0</v>
      </c>
      <c r="M29" s="1359">
        <v>1</v>
      </c>
      <c r="N29" s="1360">
        <v>2.0741629046031922</v>
      </c>
      <c r="O29" s="1361" t="s">
        <v>3196</v>
      </c>
      <c r="P29" s="1356">
        <v>51.670000000000023</v>
      </c>
      <c r="Q29" s="1359">
        <v>1</v>
      </c>
      <c r="R29" s="1360">
        <v>2.0646254680556719</v>
      </c>
      <c r="S29" s="1361" t="s">
        <v>3193</v>
      </c>
      <c r="T29" s="968"/>
      <c r="U29" s="452"/>
      <c r="V29" s="452"/>
      <c r="W29" s="615"/>
      <c r="X29" s="686">
        <v>3</v>
      </c>
      <c r="Y29" s="686">
        <v>4</v>
      </c>
      <c r="Z29" s="686">
        <v>1</v>
      </c>
      <c r="AA29" s="686">
        <v>3</v>
      </c>
      <c r="AB29" s="686">
        <v>1</v>
      </c>
      <c r="AC29" s="686">
        <v>5</v>
      </c>
      <c r="AD29" s="297">
        <v>5</v>
      </c>
      <c r="AE29" s="6">
        <v>2</v>
      </c>
      <c r="AF29" s="245">
        <f t="shared" si="0"/>
        <v>1.2555818742947564</v>
      </c>
      <c r="AG29" s="245">
        <f t="shared" si="1"/>
        <v>2.0741629046031922</v>
      </c>
      <c r="AH29" s="246" t="str">
        <f t="shared" si="2"/>
        <v>(3,4,1,3,1,5)</v>
      </c>
      <c r="AI29" s="30">
        <v>1.1000000000000001</v>
      </c>
      <c r="AJ29" s="30">
        <v>1.1000000000000001</v>
      </c>
      <c r="AK29" s="30">
        <v>1</v>
      </c>
      <c r="AL29" s="30">
        <v>1.02</v>
      </c>
      <c r="AM29" s="30">
        <v>1</v>
      </c>
      <c r="AN29" s="30">
        <v>1.2</v>
      </c>
      <c r="AP29" s="615" t="s">
        <v>673</v>
      </c>
      <c r="AQ29" s="686">
        <v>2</v>
      </c>
      <c r="AR29" s="686">
        <v>4</v>
      </c>
      <c r="AS29" s="686">
        <v>1</v>
      </c>
      <c r="AT29" s="686">
        <v>3</v>
      </c>
      <c r="AU29" s="686">
        <v>1</v>
      </c>
      <c r="AV29" s="686">
        <v>5</v>
      </c>
      <c r="AW29" s="297">
        <v>5</v>
      </c>
      <c r="AX29" s="6">
        <v>2</v>
      </c>
      <c r="AY29" s="245">
        <f t="shared" si="3"/>
        <v>1.2365959919080913</v>
      </c>
      <c r="AZ29" s="245">
        <f t="shared" si="4"/>
        <v>2.0646254680556719</v>
      </c>
      <c r="BA29" s="246" t="str">
        <f t="shared" si="5"/>
        <v>(2,4,1,3,1,5)</v>
      </c>
      <c r="BB29" s="30">
        <v>1.05</v>
      </c>
      <c r="BC29" s="30">
        <v>1.1000000000000001</v>
      </c>
      <c r="BD29" s="30">
        <v>1</v>
      </c>
      <c r="BE29" s="30">
        <v>1.02</v>
      </c>
      <c r="BF29" s="30">
        <v>1</v>
      </c>
      <c r="BG29" s="30">
        <v>1.2</v>
      </c>
    </row>
    <row r="30" spans="1:59" ht="24" customHeight="1">
      <c r="A30" s="1305">
        <v>258103</v>
      </c>
      <c r="B30" s="1307" t="s">
        <v>695</v>
      </c>
      <c r="C30" s="1306"/>
      <c r="D30" s="1308">
        <v>5</v>
      </c>
      <c r="E30" s="1309" t="s">
        <v>98</v>
      </c>
      <c r="F30" s="1310" t="s">
        <v>696</v>
      </c>
      <c r="G30" s="1311" t="s">
        <v>103</v>
      </c>
      <c r="H30" s="1312" t="s">
        <v>98</v>
      </c>
      <c r="I30" s="1313" t="s">
        <v>98</v>
      </c>
      <c r="J30" s="1314">
        <v>0</v>
      </c>
      <c r="K30" s="1311" t="s">
        <v>679</v>
      </c>
      <c r="L30" s="1311">
        <v>0</v>
      </c>
      <c r="M30" s="1315">
        <v>1</v>
      </c>
      <c r="N30" s="1316">
        <v>1.2620910621938648</v>
      </c>
      <c r="O30" s="1317" t="s">
        <v>3196</v>
      </c>
      <c r="P30" s="1311">
        <v>22.68</v>
      </c>
      <c r="Q30" s="1315">
        <v>1</v>
      </c>
      <c r="R30" s="1316">
        <v>1.2434566510799234</v>
      </c>
      <c r="S30" s="1317" t="s">
        <v>3193</v>
      </c>
      <c r="T30" s="968"/>
      <c r="U30" s="452"/>
      <c r="V30" s="452"/>
      <c r="W30" s="615"/>
      <c r="X30" s="686">
        <v>3</v>
      </c>
      <c r="Y30" s="686">
        <v>4</v>
      </c>
      <c r="Z30" s="686">
        <v>1</v>
      </c>
      <c r="AA30" s="686">
        <v>3</v>
      </c>
      <c r="AB30" s="686">
        <v>1</v>
      </c>
      <c r="AC30" s="686">
        <v>5</v>
      </c>
      <c r="AD30" s="297">
        <v>3</v>
      </c>
      <c r="AE30" s="6">
        <v>1.05</v>
      </c>
      <c r="AF30" s="245">
        <f t="shared" si="0"/>
        <v>1.2555818742947564</v>
      </c>
      <c r="AG30" s="245">
        <f t="shared" si="1"/>
        <v>1.2620910621938648</v>
      </c>
      <c r="AH30" s="246" t="str">
        <f t="shared" si="2"/>
        <v>(3,4,1,3,1,5)</v>
      </c>
      <c r="AI30" s="30">
        <v>1.1000000000000001</v>
      </c>
      <c r="AJ30" s="30">
        <v>1.1000000000000001</v>
      </c>
      <c r="AK30" s="30">
        <v>1</v>
      </c>
      <c r="AL30" s="30">
        <v>1.02</v>
      </c>
      <c r="AM30" s="30">
        <v>1</v>
      </c>
      <c r="AN30" s="30">
        <v>1.2</v>
      </c>
      <c r="AP30" s="615" t="s">
        <v>673</v>
      </c>
      <c r="AQ30" s="686">
        <v>2</v>
      </c>
      <c r="AR30" s="686">
        <v>4</v>
      </c>
      <c r="AS30" s="686">
        <v>1</v>
      </c>
      <c r="AT30" s="686">
        <v>3</v>
      </c>
      <c r="AU30" s="686">
        <v>1</v>
      </c>
      <c r="AV30" s="686">
        <v>5</v>
      </c>
      <c r="AW30" s="297">
        <v>3</v>
      </c>
      <c r="AX30" s="6">
        <v>1.05</v>
      </c>
      <c r="AY30" s="245">
        <f t="shared" si="3"/>
        <v>1.2365959919080913</v>
      </c>
      <c r="AZ30" s="245">
        <f t="shared" si="4"/>
        <v>1.2434566510799234</v>
      </c>
      <c r="BA30" s="246" t="str">
        <f t="shared" si="5"/>
        <v>(2,4,1,3,1,5)</v>
      </c>
      <c r="BB30" s="30">
        <v>1.05</v>
      </c>
      <c r="BC30" s="30">
        <v>1.1000000000000001</v>
      </c>
      <c r="BD30" s="30">
        <v>1</v>
      </c>
      <c r="BE30" s="30">
        <v>1.02</v>
      </c>
      <c r="BF30" s="30">
        <v>1</v>
      </c>
      <c r="BG30" s="30">
        <v>1.2</v>
      </c>
    </row>
    <row r="31" spans="1:59">
      <c r="A31" s="1305">
        <v>79235</v>
      </c>
      <c r="B31" s="1340"/>
      <c r="C31" s="1306"/>
      <c r="D31" s="1362">
        <v>5</v>
      </c>
      <c r="E31" s="1363" t="s">
        <v>98</v>
      </c>
      <c r="F31" s="1355" t="s">
        <v>688</v>
      </c>
      <c r="G31" s="1356" t="s">
        <v>340</v>
      </c>
      <c r="H31" s="1364" t="s">
        <v>98</v>
      </c>
      <c r="I31" s="1357" t="s">
        <v>98</v>
      </c>
      <c r="J31" s="1358">
        <v>0</v>
      </c>
      <c r="K31" s="1356" t="s">
        <v>109</v>
      </c>
      <c r="L31" s="1356">
        <v>0</v>
      </c>
      <c r="M31" s="1359">
        <v>1</v>
      </c>
      <c r="N31" s="1360">
        <v>1.2620910621938648</v>
      </c>
      <c r="O31" s="1361" t="s">
        <v>3196</v>
      </c>
      <c r="P31" s="1356">
        <v>447.48000000000008</v>
      </c>
      <c r="Q31" s="1359">
        <v>1</v>
      </c>
      <c r="R31" s="1360">
        <v>1.2434566510799234</v>
      </c>
      <c r="S31" s="1361" t="s">
        <v>3193</v>
      </c>
      <c r="T31" s="968"/>
      <c r="U31" s="452"/>
      <c r="V31" s="452"/>
      <c r="W31" s="615"/>
      <c r="X31" s="686">
        <v>3</v>
      </c>
      <c r="Y31" s="686">
        <v>4</v>
      </c>
      <c r="Z31" s="686">
        <v>1</v>
      </c>
      <c r="AA31" s="686">
        <v>3</v>
      </c>
      <c r="AB31" s="686">
        <v>1</v>
      </c>
      <c r="AC31" s="686">
        <v>5</v>
      </c>
      <c r="AD31" s="297">
        <v>3</v>
      </c>
      <c r="AE31" s="6">
        <v>1.05</v>
      </c>
      <c r="AF31" s="245">
        <f t="shared" si="0"/>
        <v>1.2555818742947564</v>
      </c>
      <c r="AG31" s="245">
        <f t="shared" si="1"/>
        <v>1.2620910621938648</v>
      </c>
      <c r="AH31" s="246" t="str">
        <f t="shared" si="2"/>
        <v>(3,4,1,3,1,5)</v>
      </c>
      <c r="AI31" s="30">
        <v>1.1000000000000001</v>
      </c>
      <c r="AJ31" s="30">
        <v>1.1000000000000001</v>
      </c>
      <c r="AK31" s="30">
        <v>1</v>
      </c>
      <c r="AL31" s="30">
        <v>1.02</v>
      </c>
      <c r="AM31" s="30">
        <v>1</v>
      </c>
      <c r="AN31" s="30">
        <v>1.2</v>
      </c>
      <c r="AP31" s="615" t="s">
        <v>673</v>
      </c>
      <c r="AQ31" s="686">
        <v>2</v>
      </c>
      <c r="AR31" s="686">
        <v>4</v>
      </c>
      <c r="AS31" s="686">
        <v>1</v>
      </c>
      <c r="AT31" s="686">
        <v>3</v>
      </c>
      <c r="AU31" s="686">
        <v>1</v>
      </c>
      <c r="AV31" s="686">
        <v>5</v>
      </c>
      <c r="AW31" s="297">
        <v>3</v>
      </c>
      <c r="AX31" s="6">
        <v>1.05</v>
      </c>
      <c r="AY31" s="245">
        <f t="shared" si="3"/>
        <v>1.2365959919080913</v>
      </c>
      <c r="AZ31" s="245">
        <f t="shared" si="4"/>
        <v>1.2434566510799234</v>
      </c>
      <c r="BA31" s="246" t="str">
        <f t="shared" si="5"/>
        <v>(2,4,1,3,1,5)</v>
      </c>
      <c r="BB31" s="30">
        <v>1.05</v>
      </c>
      <c r="BC31" s="30">
        <v>1.1000000000000001</v>
      </c>
      <c r="BD31" s="30">
        <v>1</v>
      </c>
      <c r="BE31" s="30">
        <v>1.02</v>
      </c>
      <c r="BF31" s="30">
        <v>1</v>
      </c>
      <c r="BG31" s="30">
        <v>1.2</v>
      </c>
    </row>
    <row r="32" spans="1:59" ht="24" customHeight="1">
      <c r="A32" s="1305">
        <v>263665</v>
      </c>
      <c r="B32" s="1340"/>
      <c r="C32" s="1306"/>
      <c r="D32" s="1308">
        <v>5</v>
      </c>
      <c r="E32" s="1309" t="s">
        <v>98</v>
      </c>
      <c r="F32" s="1310" t="s">
        <v>697</v>
      </c>
      <c r="G32" s="1311" t="s">
        <v>93</v>
      </c>
      <c r="H32" s="1312" t="s">
        <v>98</v>
      </c>
      <c r="I32" s="1313" t="s">
        <v>98</v>
      </c>
      <c r="J32" s="1314">
        <v>0</v>
      </c>
      <c r="K32" s="1311" t="s">
        <v>679</v>
      </c>
      <c r="L32" s="1311">
        <v>0</v>
      </c>
      <c r="M32" s="1315">
        <v>1</v>
      </c>
      <c r="N32" s="1316">
        <v>1.2620910621938648</v>
      </c>
      <c r="O32" s="1317" t="s">
        <v>3196</v>
      </c>
      <c r="P32" s="1311">
        <v>648.5200000000001</v>
      </c>
      <c r="Q32" s="1315">
        <v>1</v>
      </c>
      <c r="R32" s="1316">
        <v>1.2434566510799234</v>
      </c>
      <c r="S32" s="1317" t="s">
        <v>3193</v>
      </c>
      <c r="T32" s="968"/>
      <c r="U32" s="452"/>
      <c r="V32" s="452"/>
      <c r="W32" s="615"/>
      <c r="X32" s="686">
        <v>3</v>
      </c>
      <c r="Y32" s="686">
        <v>4</v>
      </c>
      <c r="Z32" s="686">
        <v>1</v>
      </c>
      <c r="AA32" s="686">
        <v>3</v>
      </c>
      <c r="AB32" s="686">
        <v>1</v>
      </c>
      <c r="AC32" s="686">
        <v>5</v>
      </c>
      <c r="AD32" s="297">
        <v>3</v>
      </c>
      <c r="AE32" s="6">
        <v>1.05</v>
      </c>
      <c r="AF32" s="245">
        <f t="shared" si="0"/>
        <v>1.2555818742947564</v>
      </c>
      <c r="AG32" s="245">
        <f t="shared" si="1"/>
        <v>1.2620910621938648</v>
      </c>
      <c r="AH32" s="246" t="str">
        <f t="shared" si="2"/>
        <v>(3,4,1,3,1,5)</v>
      </c>
      <c r="AI32" s="30">
        <v>1.1000000000000001</v>
      </c>
      <c r="AJ32" s="30">
        <v>1.1000000000000001</v>
      </c>
      <c r="AK32" s="30">
        <v>1</v>
      </c>
      <c r="AL32" s="30">
        <v>1.02</v>
      </c>
      <c r="AM32" s="30">
        <v>1</v>
      </c>
      <c r="AN32" s="30">
        <v>1.2</v>
      </c>
      <c r="AP32" s="615" t="s">
        <v>673</v>
      </c>
      <c r="AQ32" s="686">
        <v>2</v>
      </c>
      <c r="AR32" s="686">
        <v>4</v>
      </c>
      <c r="AS32" s="686">
        <v>1</v>
      </c>
      <c r="AT32" s="686">
        <v>3</v>
      </c>
      <c r="AU32" s="686">
        <v>1</v>
      </c>
      <c r="AV32" s="686">
        <v>5</v>
      </c>
      <c r="AW32" s="297">
        <v>3</v>
      </c>
      <c r="AX32" s="6">
        <v>1.05</v>
      </c>
      <c r="AY32" s="245">
        <f t="shared" si="3"/>
        <v>1.2365959919080913</v>
      </c>
      <c r="AZ32" s="245">
        <f t="shared" si="4"/>
        <v>1.2434566510799234</v>
      </c>
      <c r="BA32" s="246" t="str">
        <f t="shared" si="5"/>
        <v>(2,4,1,3,1,5)</v>
      </c>
      <c r="BB32" s="30">
        <v>1.05</v>
      </c>
      <c r="BC32" s="30">
        <v>1.1000000000000001</v>
      </c>
      <c r="BD32" s="30">
        <v>1</v>
      </c>
      <c r="BE32" s="30">
        <v>1.02</v>
      </c>
      <c r="BF32" s="30">
        <v>1</v>
      </c>
      <c r="BG32" s="30">
        <v>1.2</v>
      </c>
    </row>
    <row r="33" spans="1:59">
      <c r="A33" s="1305">
        <v>269445</v>
      </c>
      <c r="B33" s="1340"/>
      <c r="C33" s="1306"/>
      <c r="D33" s="1362">
        <v>5</v>
      </c>
      <c r="E33" s="1363" t="s">
        <v>98</v>
      </c>
      <c r="F33" s="1355" t="s">
        <v>682</v>
      </c>
      <c r="G33" s="1356" t="s">
        <v>93</v>
      </c>
      <c r="H33" s="1364" t="s">
        <v>98</v>
      </c>
      <c r="I33" s="1357" t="s">
        <v>98</v>
      </c>
      <c r="J33" s="1358">
        <v>0</v>
      </c>
      <c r="K33" s="1356" t="s">
        <v>96</v>
      </c>
      <c r="L33" s="1356">
        <v>0</v>
      </c>
      <c r="M33" s="1359">
        <v>1</v>
      </c>
      <c r="N33" s="1360">
        <v>1.2620910621938648</v>
      </c>
      <c r="O33" s="1361" t="s">
        <v>3196</v>
      </c>
      <c r="P33" s="1356">
        <v>360</v>
      </c>
      <c r="Q33" s="1359">
        <v>1</v>
      </c>
      <c r="R33" s="1360">
        <v>1.2434566510799234</v>
      </c>
      <c r="S33" s="1361" t="s">
        <v>3193</v>
      </c>
      <c r="T33" s="968"/>
      <c r="U33" s="452"/>
      <c r="V33" s="452"/>
      <c r="W33" s="615"/>
      <c r="X33" s="686">
        <v>3</v>
      </c>
      <c r="Y33" s="686">
        <v>4</v>
      </c>
      <c r="Z33" s="686">
        <v>1</v>
      </c>
      <c r="AA33" s="686">
        <v>3</v>
      </c>
      <c r="AB33" s="686">
        <v>1</v>
      </c>
      <c r="AC33" s="686">
        <v>5</v>
      </c>
      <c r="AD33" s="297">
        <v>3</v>
      </c>
      <c r="AE33" s="6">
        <v>1.05</v>
      </c>
      <c r="AF33" s="245">
        <f t="shared" si="0"/>
        <v>1.2555818742947564</v>
      </c>
      <c r="AG33" s="245">
        <f t="shared" si="1"/>
        <v>1.2620910621938648</v>
      </c>
      <c r="AH33" s="246" t="str">
        <f t="shared" si="2"/>
        <v>(3,4,1,3,1,5)</v>
      </c>
      <c r="AI33" s="30">
        <v>1.1000000000000001</v>
      </c>
      <c r="AJ33" s="30">
        <v>1.1000000000000001</v>
      </c>
      <c r="AK33" s="30">
        <v>1</v>
      </c>
      <c r="AL33" s="30">
        <v>1.02</v>
      </c>
      <c r="AM33" s="30">
        <v>1</v>
      </c>
      <c r="AN33" s="30">
        <v>1.2</v>
      </c>
      <c r="AP33" s="615" t="s">
        <v>673</v>
      </c>
      <c r="AQ33" s="686">
        <v>2</v>
      </c>
      <c r="AR33" s="686">
        <v>4</v>
      </c>
      <c r="AS33" s="686">
        <v>1</v>
      </c>
      <c r="AT33" s="686">
        <v>3</v>
      </c>
      <c r="AU33" s="686">
        <v>1</v>
      </c>
      <c r="AV33" s="686">
        <v>5</v>
      </c>
      <c r="AW33" s="297">
        <v>3</v>
      </c>
      <c r="AX33" s="6">
        <v>1.05</v>
      </c>
      <c r="AY33" s="245">
        <f t="shared" si="3"/>
        <v>1.2365959919080913</v>
      </c>
      <c r="AZ33" s="245">
        <f t="shared" si="4"/>
        <v>1.2434566510799234</v>
      </c>
      <c r="BA33" s="246" t="str">
        <f t="shared" si="5"/>
        <v>(2,4,1,3,1,5)</v>
      </c>
      <c r="BB33" s="30">
        <v>1.05</v>
      </c>
      <c r="BC33" s="30">
        <v>1.1000000000000001</v>
      </c>
      <c r="BD33" s="30">
        <v>1</v>
      </c>
      <c r="BE33" s="30">
        <v>1.02</v>
      </c>
      <c r="BF33" s="30">
        <v>1</v>
      </c>
      <c r="BG33" s="30">
        <v>1.2</v>
      </c>
    </row>
    <row r="34" spans="1:59">
      <c r="A34" s="1305">
        <v>266627</v>
      </c>
      <c r="B34" s="1340"/>
      <c r="C34" s="1306"/>
      <c r="D34" s="1308">
        <v>5</v>
      </c>
      <c r="E34" s="1309" t="s">
        <v>98</v>
      </c>
      <c r="F34" s="1310" t="s">
        <v>634</v>
      </c>
      <c r="G34" s="1311" t="s">
        <v>93</v>
      </c>
      <c r="H34" s="1312" t="s">
        <v>98</v>
      </c>
      <c r="I34" s="1313" t="s">
        <v>98</v>
      </c>
      <c r="J34" s="1314">
        <v>0</v>
      </c>
      <c r="K34" s="1311" t="s">
        <v>96</v>
      </c>
      <c r="L34" s="1311">
        <v>0</v>
      </c>
      <c r="M34" s="1315">
        <v>1</v>
      </c>
      <c r="N34" s="1316">
        <v>1.2620910621938648</v>
      </c>
      <c r="O34" s="1317" t="s">
        <v>3196</v>
      </c>
      <c r="P34" s="1311">
        <v>360</v>
      </c>
      <c r="Q34" s="1315">
        <v>1</v>
      </c>
      <c r="R34" s="1316">
        <v>1.2434566510799234</v>
      </c>
      <c r="S34" s="1317" t="s">
        <v>3193</v>
      </c>
      <c r="T34" s="968"/>
      <c r="U34" s="452"/>
      <c r="V34" s="452"/>
      <c r="W34" s="615"/>
      <c r="X34" s="686">
        <v>3</v>
      </c>
      <c r="Y34" s="686">
        <v>4</v>
      </c>
      <c r="Z34" s="686">
        <v>1</v>
      </c>
      <c r="AA34" s="686">
        <v>3</v>
      </c>
      <c r="AB34" s="686">
        <v>1</v>
      </c>
      <c r="AC34" s="686">
        <v>5</v>
      </c>
      <c r="AD34" s="297">
        <v>3</v>
      </c>
      <c r="AE34" s="6">
        <v>1.05</v>
      </c>
      <c r="AF34" s="245">
        <f t="shared" si="0"/>
        <v>1.2555818742947564</v>
      </c>
      <c r="AG34" s="245">
        <f t="shared" si="1"/>
        <v>1.2620910621938648</v>
      </c>
      <c r="AH34" s="246" t="str">
        <f t="shared" si="2"/>
        <v>(3,4,1,3,1,5)</v>
      </c>
      <c r="AI34" s="30">
        <v>1.1000000000000001</v>
      </c>
      <c r="AJ34" s="30">
        <v>1.1000000000000001</v>
      </c>
      <c r="AK34" s="30">
        <v>1</v>
      </c>
      <c r="AL34" s="30">
        <v>1.02</v>
      </c>
      <c r="AM34" s="30">
        <v>1</v>
      </c>
      <c r="AN34" s="30">
        <v>1.2</v>
      </c>
      <c r="AP34" s="615" t="s">
        <v>673</v>
      </c>
      <c r="AQ34" s="686">
        <v>2</v>
      </c>
      <c r="AR34" s="686">
        <v>4</v>
      </c>
      <c r="AS34" s="686">
        <v>1</v>
      </c>
      <c r="AT34" s="686">
        <v>3</v>
      </c>
      <c r="AU34" s="686">
        <v>1</v>
      </c>
      <c r="AV34" s="686">
        <v>5</v>
      </c>
      <c r="AW34" s="297">
        <v>3</v>
      </c>
      <c r="AX34" s="6">
        <v>1.05</v>
      </c>
      <c r="AY34" s="245">
        <f t="shared" si="3"/>
        <v>1.2365959919080913</v>
      </c>
      <c r="AZ34" s="245">
        <f t="shared" si="4"/>
        <v>1.2434566510799234</v>
      </c>
      <c r="BA34" s="246" t="str">
        <f t="shared" si="5"/>
        <v>(2,4,1,3,1,5)</v>
      </c>
      <c r="BB34" s="30">
        <v>1.05</v>
      </c>
      <c r="BC34" s="30">
        <v>1.1000000000000001</v>
      </c>
      <c r="BD34" s="30">
        <v>1</v>
      </c>
      <c r="BE34" s="30">
        <v>1.02</v>
      </c>
      <c r="BF34" s="30">
        <v>1</v>
      </c>
      <c r="BG34" s="30">
        <v>1.2</v>
      </c>
    </row>
    <row r="35" spans="1:59" ht="24" customHeight="1">
      <c r="A35" s="1305">
        <v>255515</v>
      </c>
      <c r="B35" s="1340"/>
      <c r="C35" s="1306"/>
      <c r="D35" s="1362">
        <v>5</v>
      </c>
      <c r="E35" s="1363" t="s">
        <v>98</v>
      </c>
      <c r="F35" s="1355" t="s">
        <v>698</v>
      </c>
      <c r="G35" s="1356" t="s">
        <v>103</v>
      </c>
      <c r="H35" s="1364" t="s">
        <v>98</v>
      </c>
      <c r="I35" s="1357" t="s">
        <v>98</v>
      </c>
      <c r="J35" s="1358">
        <v>0</v>
      </c>
      <c r="K35" s="1356" t="s">
        <v>679</v>
      </c>
      <c r="L35" s="1356">
        <v>0</v>
      </c>
      <c r="M35" s="1359">
        <v>1</v>
      </c>
      <c r="N35" s="1360">
        <v>1.2620910621938648</v>
      </c>
      <c r="O35" s="1361" t="s">
        <v>3196</v>
      </c>
      <c r="P35" s="1356">
        <v>58.37</v>
      </c>
      <c r="Q35" s="1359">
        <v>1</v>
      </c>
      <c r="R35" s="1360">
        <v>1.2434566510799234</v>
      </c>
      <c r="S35" s="1361" t="s">
        <v>3193</v>
      </c>
      <c r="T35" s="968"/>
      <c r="U35" s="452"/>
      <c r="V35" s="452"/>
      <c r="W35" s="615"/>
      <c r="X35" s="686">
        <v>3</v>
      </c>
      <c r="Y35" s="686">
        <v>4</v>
      </c>
      <c r="Z35" s="686">
        <v>1</v>
      </c>
      <c r="AA35" s="686">
        <v>3</v>
      </c>
      <c r="AB35" s="686">
        <v>1</v>
      </c>
      <c r="AC35" s="686">
        <v>5</v>
      </c>
      <c r="AD35" s="297">
        <v>3</v>
      </c>
      <c r="AE35" s="6">
        <v>1.05</v>
      </c>
      <c r="AF35" s="245">
        <f t="shared" si="0"/>
        <v>1.2555818742947564</v>
      </c>
      <c r="AG35" s="245">
        <f t="shared" si="1"/>
        <v>1.2620910621938648</v>
      </c>
      <c r="AH35" s="246" t="str">
        <f t="shared" si="2"/>
        <v>(3,4,1,3,1,5)</v>
      </c>
      <c r="AI35" s="30">
        <v>1.1000000000000001</v>
      </c>
      <c r="AJ35" s="30">
        <v>1.1000000000000001</v>
      </c>
      <c r="AK35" s="30">
        <v>1</v>
      </c>
      <c r="AL35" s="30">
        <v>1.02</v>
      </c>
      <c r="AM35" s="30">
        <v>1</v>
      </c>
      <c r="AN35" s="30">
        <v>1.2</v>
      </c>
      <c r="AP35" s="615" t="s">
        <v>673</v>
      </c>
      <c r="AQ35" s="686">
        <v>2</v>
      </c>
      <c r="AR35" s="686">
        <v>4</v>
      </c>
      <c r="AS35" s="686">
        <v>1</v>
      </c>
      <c r="AT35" s="686">
        <v>3</v>
      </c>
      <c r="AU35" s="686">
        <v>1</v>
      </c>
      <c r="AV35" s="686">
        <v>5</v>
      </c>
      <c r="AW35" s="297">
        <v>3</v>
      </c>
      <c r="AX35" s="6">
        <v>1.05</v>
      </c>
      <c r="AY35" s="245">
        <f t="shared" si="3"/>
        <v>1.2365959919080913</v>
      </c>
      <c r="AZ35" s="245">
        <f t="shared" si="4"/>
        <v>1.2434566510799234</v>
      </c>
      <c r="BA35" s="246" t="str">
        <f t="shared" si="5"/>
        <v>(2,4,1,3,1,5)</v>
      </c>
      <c r="BB35" s="30">
        <v>1.05</v>
      </c>
      <c r="BC35" s="30">
        <v>1.1000000000000001</v>
      </c>
      <c r="BD35" s="30">
        <v>1</v>
      </c>
      <c r="BE35" s="30">
        <v>1.02</v>
      </c>
      <c r="BF35" s="30">
        <v>1</v>
      </c>
      <c r="BG35" s="30">
        <v>1.2</v>
      </c>
    </row>
    <row r="36" spans="1:59">
      <c r="A36" s="1305">
        <v>79235</v>
      </c>
      <c r="B36" s="1307" t="s">
        <v>699</v>
      </c>
      <c r="C36" s="1306"/>
      <c r="D36" s="1308">
        <v>5</v>
      </c>
      <c r="E36" s="1309" t="s">
        <v>98</v>
      </c>
      <c r="F36" s="1310" t="s">
        <v>688</v>
      </c>
      <c r="G36" s="1311" t="s">
        <v>340</v>
      </c>
      <c r="H36" s="1312" t="s">
        <v>98</v>
      </c>
      <c r="I36" s="1313" t="s">
        <v>98</v>
      </c>
      <c r="J36" s="1314">
        <v>0</v>
      </c>
      <c r="K36" s="1311" t="s">
        <v>109</v>
      </c>
      <c r="L36" s="1311">
        <v>0</v>
      </c>
      <c r="M36" s="1315">
        <v>1</v>
      </c>
      <c r="N36" s="1316">
        <v>1.2620910621938648</v>
      </c>
      <c r="O36" s="1317" t="s">
        <v>3196</v>
      </c>
      <c r="P36" s="1311">
        <v>209375</v>
      </c>
      <c r="Q36" s="1315">
        <v>1</v>
      </c>
      <c r="R36" s="1316">
        <v>1.2434566510799234</v>
      </c>
      <c r="S36" s="1317" t="s">
        <v>3193</v>
      </c>
      <c r="T36" s="968"/>
      <c r="U36" s="452"/>
      <c r="V36" s="452"/>
      <c r="W36" s="615"/>
      <c r="X36" s="686">
        <v>3</v>
      </c>
      <c r="Y36" s="686">
        <v>4</v>
      </c>
      <c r="Z36" s="686">
        <v>1</v>
      </c>
      <c r="AA36" s="686">
        <v>3</v>
      </c>
      <c r="AB36" s="686">
        <v>1</v>
      </c>
      <c r="AC36" s="686">
        <v>5</v>
      </c>
      <c r="AD36" s="297">
        <v>3</v>
      </c>
      <c r="AE36" s="6">
        <v>1.05</v>
      </c>
      <c r="AF36" s="245">
        <f t="shared" si="0"/>
        <v>1.2555818742947564</v>
      </c>
      <c r="AG36" s="245">
        <f t="shared" si="1"/>
        <v>1.2620910621938648</v>
      </c>
      <c r="AH36" s="246" t="str">
        <f t="shared" si="2"/>
        <v>(3,4,1,3,1,5)</v>
      </c>
      <c r="AI36" s="30">
        <v>1.1000000000000001</v>
      </c>
      <c r="AJ36" s="30">
        <v>1.1000000000000001</v>
      </c>
      <c r="AK36" s="30">
        <v>1</v>
      </c>
      <c r="AL36" s="30">
        <v>1.02</v>
      </c>
      <c r="AM36" s="30">
        <v>1</v>
      </c>
      <c r="AN36" s="30">
        <v>1.2</v>
      </c>
      <c r="AP36" s="615" t="s">
        <v>673</v>
      </c>
      <c r="AQ36" s="686">
        <v>2</v>
      </c>
      <c r="AR36" s="686">
        <v>4</v>
      </c>
      <c r="AS36" s="686">
        <v>1</v>
      </c>
      <c r="AT36" s="686">
        <v>3</v>
      </c>
      <c r="AU36" s="686">
        <v>1</v>
      </c>
      <c r="AV36" s="686">
        <v>5</v>
      </c>
      <c r="AW36" s="297">
        <v>3</v>
      </c>
      <c r="AX36" s="6">
        <v>1.05</v>
      </c>
      <c r="AY36" s="245">
        <f t="shared" si="3"/>
        <v>1.2365959919080913</v>
      </c>
      <c r="AZ36" s="245">
        <f t="shared" si="4"/>
        <v>1.2434566510799234</v>
      </c>
      <c r="BA36" s="246" t="str">
        <f t="shared" si="5"/>
        <v>(2,4,1,3,1,5)</v>
      </c>
      <c r="BB36" s="30">
        <v>1.05</v>
      </c>
      <c r="BC36" s="30">
        <v>1.1000000000000001</v>
      </c>
      <c r="BD36" s="30">
        <v>1</v>
      </c>
      <c r="BE36" s="30">
        <v>1.02</v>
      </c>
      <c r="BF36" s="30">
        <v>1</v>
      </c>
      <c r="BG36" s="30">
        <v>1.2</v>
      </c>
    </row>
    <row r="37" spans="1:59" ht="23.25" customHeight="1">
      <c r="A37" s="1305">
        <v>267287</v>
      </c>
      <c r="B37" s="1340"/>
      <c r="C37" s="1306"/>
      <c r="D37" s="1362">
        <v>5</v>
      </c>
      <c r="E37" s="1363" t="s">
        <v>98</v>
      </c>
      <c r="F37" s="1355" t="s">
        <v>690</v>
      </c>
      <c r="G37" s="1356" t="s">
        <v>154</v>
      </c>
      <c r="H37" s="1364" t="s">
        <v>98</v>
      </c>
      <c r="I37" s="1357" t="s">
        <v>98</v>
      </c>
      <c r="J37" s="1358">
        <v>0</v>
      </c>
      <c r="K37" s="1356" t="s">
        <v>104</v>
      </c>
      <c r="L37" s="1356">
        <v>0</v>
      </c>
      <c r="M37" s="1359">
        <v>1</v>
      </c>
      <c r="N37" s="1360">
        <v>1.2620910621938648</v>
      </c>
      <c r="O37" s="1361" t="s">
        <v>3196</v>
      </c>
      <c r="P37" s="1356">
        <v>2469809.3430662667</v>
      </c>
      <c r="Q37" s="1359">
        <v>1</v>
      </c>
      <c r="R37" s="1360">
        <v>1.2434566510799234</v>
      </c>
      <c r="S37" s="1361" t="s">
        <v>3201</v>
      </c>
      <c r="T37" s="968"/>
      <c r="U37" s="452"/>
      <c r="V37" s="452"/>
      <c r="W37" s="615"/>
      <c r="X37" s="686">
        <v>3</v>
      </c>
      <c r="Y37" s="686">
        <v>4</v>
      </c>
      <c r="Z37" s="686">
        <v>1</v>
      </c>
      <c r="AA37" s="686">
        <v>3</v>
      </c>
      <c r="AB37" s="686">
        <v>1</v>
      </c>
      <c r="AC37" s="686">
        <v>5</v>
      </c>
      <c r="AD37" s="297">
        <v>1</v>
      </c>
      <c r="AE37" s="6">
        <v>1.05</v>
      </c>
      <c r="AF37" s="245">
        <f t="shared" si="0"/>
        <v>1.2555818742947564</v>
      </c>
      <c r="AG37" s="245">
        <f t="shared" si="1"/>
        <v>1.2620910621938648</v>
      </c>
      <c r="AH37" s="246" t="str">
        <f t="shared" si="2"/>
        <v>(3,4,1,3,1,5)</v>
      </c>
      <c r="AI37" s="30">
        <v>1.1000000000000001</v>
      </c>
      <c r="AJ37" s="30">
        <v>1.1000000000000001</v>
      </c>
      <c r="AK37" s="30">
        <v>1</v>
      </c>
      <c r="AL37" s="30">
        <v>1.02</v>
      </c>
      <c r="AM37" s="30">
        <v>1</v>
      </c>
      <c r="AN37" s="30">
        <v>1.2</v>
      </c>
      <c r="AP37" s="615" t="s">
        <v>692</v>
      </c>
      <c r="AQ37" s="686">
        <v>2</v>
      </c>
      <c r="AR37" s="686">
        <v>4</v>
      </c>
      <c r="AS37" s="686">
        <v>1</v>
      </c>
      <c r="AT37" s="686">
        <v>3</v>
      </c>
      <c r="AU37" s="686">
        <v>1</v>
      </c>
      <c r="AV37" s="686">
        <v>5</v>
      </c>
      <c r="AW37" s="297">
        <v>1</v>
      </c>
      <c r="AX37" s="6">
        <v>1.05</v>
      </c>
      <c r="AY37" s="245">
        <f t="shared" si="3"/>
        <v>1.2365959919080913</v>
      </c>
      <c r="AZ37" s="245">
        <f t="shared" si="4"/>
        <v>1.2434566510799234</v>
      </c>
      <c r="BA37" s="246" t="str">
        <f t="shared" si="5"/>
        <v>(2,4,1,3,1,5)</v>
      </c>
      <c r="BB37" s="30">
        <v>1.05</v>
      </c>
      <c r="BC37" s="30">
        <v>1.1000000000000001</v>
      </c>
      <c r="BD37" s="30">
        <v>1</v>
      </c>
      <c r="BE37" s="30">
        <v>1.02</v>
      </c>
      <c r="BF37" s="30">
        <v>1</v>
      </c>
      <c r="BG37" s="30">
        <v>1.2</v>
      </c>
    </row>
    <row r="38" spans="1:59" ht="23.25" customHeight="1">
      <c r="A38" s="1305">
        <v>267287</v>
      </c>
      <c r="B38" s="1340"/>
      <c r="C38" s="1306"/>
      <c r="D38" s="1308">
        <v>5</v>
      </c>
      <c r="E38" s="1309" t="s">
        <v>98</v>
      </c>
      <c r="F38" s="1310" t="s">
        <v>690</v>
      </c>
      <c r="G38" s="1311" t="s">
        <v>154</v>
      </c>
      <c r="H38" s="1312" t="s">
        <v>98</v>
      </c>
      <c r="I38" s="1313" t="s">
        <v>98</v>
      </c>
      <c r="J38" s="1314">
        <v>0</v>
      </c>
      <c r="K38" s="1311" t="s">
        <v>104</v>
      </c>
      <c r="L38" s="1311">
        <v>0</v>
      </c>
      <c r="M38" s="1315">
        <v>1</v>
      </c>
      <c r="N38" s="1316">
        <v>1.2620910621938648</v>
      </c>
      <c r="O38" s="1317" t="s">
        <v>3196</v>
      </c>
      <c r="P38" s="1311">
        <v>14543304.79824095</v>
      </c>
      <c r="Q38" s="1315">
        <v>1</v>
      </c>
      <c r="R38" s="1316">
        <v>1.2434566510799234</v>
      </c>
      <c r="S38" s="1317" t="s">
        <v>3202</v>
      </c>
      <c r="T38" s="968"/>
      <c r="U38" s="452"/>
      <c r="V38" s="452"/>
      <c r="W38" s="615"/>
      <c r="X38" s="686">
        <v>3</v>
      </c>
      <c r="Y38" s="686">
        <v>4</v>
      </c>
      <c r="Z38" s="686">
        <v>1</v>
      </c>
      <c r="AA38" s="686">
        <v>3</v>
      </c>
      <c r="AB38" s="686">
        <v>1</v>
      </c>
      <c r="AC38" s="686">
        <v>5</v>
      </c>
      <c r="AD38" s="297">
        <v>1</v>
      </c>
      <c r="AE38" s="6">
        <v>1.05</v>
      </c>
      <c r="AF38" s="245">
        <f t="shared" si="0"/>
        <v>1.2555818742947564</v>
      </c>
      <c r="AG38" s="245">
        <f t="shared" si="1"/>
        <v>1.2620910621938648</v>
      </c>
      <c r="AH38" s="246" t="str">
        <f t="shared" si="2"/>
        <v>(3,4,1,3,1,5)</v>
      </c>
      <c r="AI38" s="30">
        <v>1.1000000000000001</v>
      </c>
      <c r="AJ38" s="30">
        <v>1.1000000000000001</v>
      </c>
      <c r="AK38" s="30">
        <v>1</v>
      </c>
      <c r="AL38" s="30">
        <v>1.02</v>
      </c>
      <c r="AM38" s="30">
        <v>1</v>
      </c>
      <c r="AN38" s="30">
        <v>1.2</v>
      </c>
      <c r="AP38" s="615" t="s">
        <v>693</v>
      </c>
      <c r="AQ38" s="686">
        <v>2</v>
      </c>
      <c r="AR38" s="686">
        <v>4</v>
      </c>
      <c r="AS38" s="686">
        <v>1</v>
      </c>
      <c r="AT38" s="686">
        <v>3</v>
      </c>
      <c r="AU38" s="686">
        <v>1</v>
      </c>
      <c r="AV38" s="686">
        <v>5</v>
      </c>
      <c r="AW38" s="297">
        <v>1</v>
      </c>
      <c r="AX38" s="6">
        <v>1.05</v>
      </c>
      <c r="AY38" s="245">
        <f t="shared" si="3"/>
        <v>1.2365959919080913</v>
      </c>
      <c r="AZ38" s="245">
        <f t="shared" si="4"/>
        <v>1.2434566510799234</v>
      </c>
      <c r="BA38" s="246" t="str">
        <f t="shared" si="5"/>
        <v>(2,4,1,3,1,5)</v>
      </c>
      <c r="BB38" s="30">
        <v>1.05</v>
      </c>
      <c r="BC38" s="30">
        <v>1.1000000000000001</v>
      </c>
      <c r="BD38" s="30">
        <v>1</v>
      </c>
      <c r="BE38" s="30">
        <v>1.02</v>
      </c>
      <c r="BF38" s="30">
        <v>1</v>
      </c>
      <c r="BG38" s="30">
        <v>1.2</v>
      </c>
    </row>
    <row r="39" spans="1:59" ht="28.5" customHeight="1">
      <c r="A39" s="1305">
        <v>265477</v>
      </c>
      <c r="B39" s="1340"/>
      <c r="C39" s="1306"/>
      <c r="D39" s="1362">
        <v>5</v>
      </c>
      <c r="E39" s="1363" t="s">
        <v>98</v>
      </c>
      <c r="F39" s="1355" t="s">
        <v>700</v>
      </c>
      <c r="G39" s="1356" t="s">
        <v>103</v>
      </c>
      <c r="H39" s="1364" t="s">
        <v>98</v>
      </c>
      <c r="I39" s="1357" t="s">
        <v>98</v>
      </c>
      <c r="J39" s="1358">
        <v>0</v>
      </c>
      <c r="K39" s="1356" t="s">
        <v>115</v>
      </c>
      <c r="L39" s="1356">
        <v>0</v>
      </c>
      <c r="M39" s="1359">
        <v>1</v>
      </c>
      <c r="N39" s="1360">
        <v>2.0741629046031922</v>
      </c>
      <c r="O39" s="1361" t="s">
        <v>3196</v>
      </c>
      <c r="P39" s="1356">
        <v>51107.27</v>
      </c>
      <c r="Q39" s="1359">
        <v>1</v>
      </c>
      <c r="R39" s="1360">
        <v>2.0646254680556719</v>
      </c>
      <c r="S39" s="1361" t="s">
        <v>3193</v>
      </c>
      <c r="T39" s="968"/>
      <c r="U39" s="452"/>
      <c r="V39" s="452"/>
      <c r="W39" s="615"/>
      <c r="X39" s="686">
        <v>3</v>
      </c>
      <c r="Y39" s="686">
        <v>4</v>
      </c>
      <c r="Z39" s="686">
        <v>1</v>
      </c>
      <c r="AA39" s="686">
        <v>3</v>
      </c>
      <c r="AB39" s="686">
        <v>1</v>
      </c>
      <c r="AC39" s="686">
        <v>5</v>
      </c>
      <c r="AD39" s="297">
        <v>5</v>
      </c>
      <c r="AE39" s="6">
        <v>2</v>
      </c>
      <c r="AF39" s="245">
        <f t="shared" ref="AF39:AF70" si="6">EXP(SQRT((LN(AI39)^2)+(LN(AJ39)^2)+(LN(AK39)^2)+(LN(AL39)^2)+(LN(AM39)^2)+(LN(AN39)^2)))</f>
        <v>1.2555818742947564</v>
      </c>
      <c r="AG39" s="245">
        <f t="shared" ref="AG39:AG70" si="7">EXP(SQRT((LN(AI39)^2)+(LN(AJ39)^2)+(LN(AK39)^2)+(LN(AL39)^2)+(LN(AM39)^2)+(LN(AN39)^2)+LN(AE39)^2))</f>
        <v>2.0741629046031922</v>
      </c>
      <c r="AH39" s="246" t="str">
        <f t="shared" ref="AH39:AH70" si="8">CONCATENATE("(",X39,",",Y39,",",Z39,",",AA39,",",AB39,",",AC39,")")</f>
        <v>(3,4,1,3,1,5)</v>
      </c>
      <c r="AI39" s="30">
        <v>1.1000000000000001</v>
      </c>
      <c r="AJ39" s="30">
        <v>1.1000000000000001</v>
      </c>
      <c r="AK39" s="30">
        <v>1</v>
      </c>
      <c r="AL39" s="30">
        <v>1.02</v>
      </c>
      <c r="AM39" s="30">
        <v>1</v>
      </c>
      <c r="AN39" s="30">
        <v>1.2</v>
      </c>
      <c r="AP39" s="615" t="s">
        <v>673</v>
      </c>
      <c r="AQ39" s="686">
        <v>2</v>
      </c>
      <c r="AR39" s="686">
        <v>4</v>
      </c>
      <c r="AS39" s="686">
        <v>1</v>
      </c>
      <c r="AT39" s="686">
        <v>3</v>
      </c>
      <c r="AU39" s="686">
        <v>1</v>
      </c>
      <c r="AV39" s="686">
        <v>5</v>
      </c>
      <c r="AW39" s="297">
        <v>5</v>
      </c>
      <c r="AX39" s="6">
        <v>2</v>
      </c>
      <c r="AY39" s="245">
        <f t="shared" ref="AY39:AY70" si="9">EXP(SQRT((LN(BB39)^2)+(LN(BC39)^2)+(LN(BD39)^2)+(LN(BE39)^2)+(LN(BF39)^2)+(LN(BG39)^2)))</f>
        <v>1.2365959919080913</v>
      </c>
      <c r="AZ39" s="245">
        <f t="shared" ref="AZ39:AZ70" si="10">EXP(SQRT((LN(BB39)^2)+(LN(BC39)^2)+(LN(BD39)^2)+(LN(BE39)^2)+(LN(BF39)^2)+(LN(BG39)^2)+LN(AX39)^2))</f>
        <v>2.0646254680556719</v>
      </c>
      <c r="BA39" s="246" t="str">
        <f t="shared" si="5"/>
        <v>(2,4,1,3,1,5)</v>
      </c>
      <c r="BB39" s="30">
        <v>1.05</v>
      </c>
      <c r="BC39" s="30">
        <v>1.1000000000000001</v>
      </c>
      <c r="BD39" s="30">
        <v>1</v>
      </c>
      <c r="BE39" s="30">
        <v>1.02</v>
      </c>
      <c r="BF39" s="30">
        <v>1</v>
      </c>
      <c r="BG39" s="30">
        <v>1.2</v>
      </c>
    </row>
    <row r="40" spans="1:59">
      <c r="A40" s="1305">
        <v>269641</v>
      </c>
      <c r="B40" s="1340"/>
      <c r="C40" s="1306"/>
      <c r="D40" s="1308">
        <v>5</v>
      </c>
      <c r="E40" s="1309" t="s">
        <v>98</v>
      </c>
      <c r="F40" s="1310" t="s">
        <v>240</v>
      </c>
      <c r="G40" s="1311" t="s">
        <v>93</v>
      </c>
      <c r="H40" s="1312" t="s">
        <v>98</v>
      </c>
      <c r="I40" s="1313" t="s">
        <v>98</v>
      </c>
      <c r="J40" s="1314">
        <v>0</v>
      </c>
      <c r="K40" s="1311" t="s">
        <v>115</v>
      </c>
      <c r="L40" s="1311">
        <v>0</v>
      </c>
      <c r="M40" s="1315">
        <v>1</v>
      </c>
      <c r="N40" s="1316">
        <v>2.0741629046031922</v>
      </c>
      <c r="O40" s="1317" t="s">
        <v>3196</v>
      </c>
      <c r="P40" s="1311">
        <v>252389.64</v>
      </c>
      <c r="Q40" s="1315">
        <v>1</v>
      </c>
      <c r="R40" s="1316">
        <v>2.0646254680556719</v>
      </c>
      <c r="S40" s="1317" t="s">
        <v>3193</v>
      </c>
      <c r="T40" s="968"/>
      <c r="U40" s="452"/>
      <c r="V40" s="452"/>
      <c r="W40" s="615"/>
      <c r="X40" s="686">
        <v>3</v>
      </c>
      <c r="Y40" s="686">
        <v>4</v>
      </c>
      <c r="Z40" s="686">
        <v>1</v>
      </c>
      <c r="AA40" s="686">
        <v>3</v>
      </c>
      <c r="AB40" s="686">
        <v>1</v>
      </c>
      <c r="AC40" s="686">
        <v>5</v>
      </c>
      <c r="AD40" s="297">
        <v>5</v>
      </c>
      <c r="AE40" s="6">
        <v>2</v>
      </c>
      <c r="AF40" s="245">
        <f t="shared" si="6"/>
        <v>1.2555818742947564</v>
      </c>
      <c r="AG40" s="245">
        <f t="shared" si="7"/>
        <v>2.0741629046031922</v>
      </c>
      <c r="AH40" s="246" t="str">
        <f t="shared" si="8"/>
        <v>(3,4,1,3,1,5)</v>
      </c>
      <c r="AI40" s="30">
        <v>1.1000000000000001</v>
      </c>
      <c r="AJ40" s="30">
        <v>1.1000000000000001</v>
      </c>
      <c r="AK40" s="30">
        <v>1</v>
      </c>
      <c r="AL40" s="30">
        <v>1.02</v>
      </c>
      <c r="AM40" s="30">
        <v>1</v>
      </c>
      <c r="AN40" s="30">
        <v>1.2</v>
      </c>
      <c r="AP40" s="615" t="s">
        <v>673</v>
      </c>
      <c r="AQ40" s="686">
        <v>2</v>
      </c>
      <c r="AR40" s="686">
        <v>4</v>
      </c>
      <c r="AS40" s="686">
        <v>1</v>
      </c>
      <c r="AT40" s="686">
        <v>3</v>
      </c>
      <c r="AU40" s="686">
        <v>1</v>
      </c>
      <c r="AV40" s="686">
        <v>5</v>
      </c>
      <c r="AW40" s="297">
        <v>5</v>
      </c>
      <c r="AX40" s="6">
        <v>2</v>
      </c>
      <c r="AY40" s="245">
        <f t="shared" si="9"/>
        <v>1.2365959919080913</v>
      </c>
      <c r="AZ40" s="245">
        <f t="shared" si="10"/>
        <v>2.0646254680556719</v>
      </c>
      <c r="BA40" s="246" t="str">
        <f t="shared" si="5"/>
        <v>(2,4,1,3,1,5)</v>
      </c>
      <c r="BB40" s="30">
        <v>1.05</v>
      </c>
      <c r="BC40" s="30">
        <v>1.1000000000000001</v>
      </c>
      <c r="BD40" s="30">
        <v>1</v>
      </c>
      <c r="BE40" s="30">
        <v>1.02</v>
      </c>
      <c r="BF40" s="30">
        <v>1</v>
      </c>
      <c r="BG40" s="30">
        <v>1.2</v>
      </c>
    </row>
    <row r="41" spans="1:59" ht="36" customHeight="1">
      <c r="A41" s="1305">
        <v>269643</v>
      </c>
      <c r="B41" s="1307" t="s">
        <v>701</v>
      </c>
      <c r="C41" s="1306"/>
      <c r="D41" s="1362">
        <v>5</v>
      </c>
      <c r="E41" s="1363" t="s">
        <v>98</v>
      </c>
      <c r="F41" s="1355" t="s">
        <v>702</v>
      </c>
      <c r="G41" s="1356" t="s">
        <v>103</v>
      </c>
      <c r="H41" s="1364" t="s">
        <v>98</v>
      </c>
      <c r="I41" s="1357" t="s">
        <v>98</v>
      </c>
      <c r="J41" s="1358">
        <v>0</v>
      </c>
      <c r="K41" s="1356" t="s">
        <v>119</v>
      </c>
      <c r="L41" s="1356">
        <v>0</v>
      </c>
      <c r="M41" s="1359">
        <v>1</v>
      </c>
      <c r="N41" s="1360">
        <v>1.2620910621938648</v>
      </c>
      <c r="O41" s="1361" t="s">
        <v>3196</v>
      </c>
      <c r="P41" s="1356">
        <v>6023.1700000000028</v>
      </c>
      <c r="Q41" s="1359">
        <v>1</v>
      </c>
      <c r="R41" s="1360">
        <v>1.2434566510799234</v>
      </c>
      <c r="S41" s="1361" t="s">
        <v>3203</v>
      </c>
      <c r="T41" s="968"/>
      <c r="U41" s="452"/>
      <c r="V41" s="452"/>
      <c r="W41" s="615"/>
      <c r="X41" s="686">
        <v>3</v>
      </c>
      <c r="Y41" s="686">
        <v>4</v>
      </c>
      <c r="Z41" s="686">
        <v>1</v>
      </c>
      <c r="AA41" s="686">
        <v>3</v>
      </c>
      <c r="AB41" s="686">
        <v>1</v>
      </c>
      <c r="AC41" s="686">
        <v>5</v>
      </c>
      <c r="AD41" s="297">
        <v>3</v>
      </c>
      <c r="AE41" s="6">
        <v>1.05</v>
      </c>
      <c r="AF41" s="245">
        <f t="shared" si="6"/>
        <v>1.2555818742947564</v>
      </c>
      <c r="AG41" s="245">
        <f t="shared" si="7"/>
        <v>1.2620910621938648</v>
      </c>
      <c r="AH41" s="246" t="str">
        <f t="shared" si="8"/>
        <v>(3,4,1,3,1,5)</v>
      </c>
      <c r="AI41" s="30">
        <v>1.1000000000000001</v>
      </c>
      <c r="AJ41" s="30">
        <v>1.1000000000000001</v>
      </c>
      <c r="AK41" s="30">
        <v>1</v>
      </c>
      <c r="AL41" s="30">
        <v>1.02</v>
      </c>
      <c r="AM41" s="30">
        <v>1</v>
      </c>
      <c r="AN41" s="30">
        <v>1.2</v>
      </c>
      <c r="AP41" s="615" t="s">
        <v>703</v>
      </c>
      <c r="AQ41" s="686">
        <v>2</v>
      </c>
      <c r="AR41" s="686">
        <v>4</v>
      </c>
      <c r="AS41" s="686">
        <v>1</v>
      </c>
      <c r="AT41" s="686">
        <v>3</v>
      </c>
      <c r="AU41" s="686">
        <v>1</v>
      </c>
      <c r="AV41" s="686">
        <v>5</v>
      </c>
      <c r="AW41" s="297">
        <v>3</v>
      </c>
      <c r="AX41" s="6">
        <v>1.05</v>
      </c>
      <c r="AY41" s="245">
        <f t="shared" si="9"/>
        <v>1.2365959919080913</v>
      </c>
      <c r="AZ41" s="245">
        <f t="shared" si="10"/>
        <v>1.2434566510799234</v>
      </c>
      <c r="BA41" s="246" t="str">
        <f t="shared" ref="BA41:BA72" si="11">CONCATENATE("(",AQ41,",",AR41,",",AS41,",",AT41,",",AU41,",",AV41,")")</f>
        <v>(2,4,1,3,1,5)</v>
      </c>
      <c r="BB41" s="30">
        <v>1.05</v>
      </c>
      <c r="BC41" s="30">
        <v>1.1000000000000001</v>
      </c>
      <c r="BD41" s="30">
        <v>1</v>
      </c>
      <c r="BE41" s="30">
        <v>1.02</v>
      </c>
      <c r="BF41" s="30">
        <v>1</v>
      </c>
      <c r="BG41" s="30">
        <v>1.2</v>
      </c>
    </row>
    <row r="42" spans="1:59" ht="24" customHeight="1">
      <c r="A42" s="1305">
        <v>265101</v>
      </c>
      <c r="B42" s="1340"/>
      <c r="C42" s="1306"/>
      <c r="D42" s="1308">
        <v>5</v>
      </c>
      <c r="E42" s="1309" t="s">
        <v>98</v>
      </c>
      <c r="F42" s="1310" t="s">
        <v>704</v>
      </c>
      <c r="G42" s="1311" t="s">
        <v>103</v>
      </c>
      <c r="H42" s="1312" t="s">
        <v>98</v>
      </c>
      <c r="I42" s="1313" t="s">
        <v>98</v>
      </c>
      <c r="J42" s="1314">
        <v>0</v>
      </c>
      <c r="K42" s="1311" t="s">
        <v>119</v>
      </c>
      <c r="L42" s="1311">
        <v>0</v>
      </c>
      <c r="M42" s="1315">
        <v>1</v>
      </c>
      <c r="N42" s="1316">
        <v>1.2620910621938648</v>
      </c>
      <c r="O42" s="1317" t="s">
        <v>3196</v>
      </c>
      <c r="P42" s="1311">
        <v>301.16000000000008</v>
      </c>
      <c r="Q42" s="1315">
        <v>1</v>
      </c>
      <c r="R42" s="1316">
        <v>1.2434566510799234</v>
      </c>
      <c r="S42" s="1317" t="s">
        <v>3193</v>
      </c>
      <c r="T42" s="968"/>
      <c r="U42" s="452"/>
      <c r="V42" s="452"/>
      <c r="W42" s="615"/>
      <c r="X42" s="686">
        <v>3</v>
      </c>
      <c r="Y42" s="686">
        <v>4</v>
      </c>
      <c r="Z42" s="686">
        <v>1</v>
      </c>
      <c r="AA42" s="686">
        <v>3</v>
      </c>
      <c r="AB42" s="686">
        <v>1</v>
      </c>
      <c r="AC42" s="686">
        <v>5</v>
      </c>
      <c r="AD42" s="297">
        <v>3</v>
      </c>
      <c r="AE42" s="6">
        <v>1.05</v>
      </c>
      <c r="AF42" s="245">
        <f t="shared" si="6"/>
        <v>1.2555818742947564</v>
      </c>
      <c r="AG42" s="245">
        <f t="shared" si="7"/>
        <v>1.2620910621938648</v>
      </c>
      <c r="AH42" s="246" t="str">
        <f t="shared" si="8"/>
        <v>(3,4,1,3,1,5)</v>
      </c>
      <c r="AI42" s="30">
        <v>1.1000000000000001</v>
      </c>
      <c r="AJ42" s="30">
        <v>1.1000000000000001</v>
      </c>
      <c r="AK42" s="30">
        <v>1</v>
      </c>
      <c r="AL42" s="30">
        <v>1.02</v>
      </c>
      <c r="AM42" s="30">
        <v>1</v>
      </c>
      <c r="AN42" s="30">
        <v>1.2</v>
      </c>
      <c r="AP42" s="615" t="s">
        <v>673</v>
      </c>
      <c r="AQ42" s="686">
        <v>2</v>
      </c>
      <c r="AR42" s="686">
        <v>4</v>
      </c>
      <c r="AS42" s="686">
        <v>1</v>
      </c>
      <c r="AT42" s="686">
        <v>3</v>
      </c>
      <c r="AU42" s="686">
        <v>1</v>
      </c>
      <c r="AV42" s="686">
        <v>5</v>
      </c>
      <c r="AW42" s="297">
        <v>3</v>
      </c>
      <c r="AX42" s="6">
        <v>1.05</v>
      </c>
      <c r="AY42" s="245">
        <f t="shared" si="9"/>
        <v>1.2365959919080913</v>
      </c>
      <c r="AZ42" s="245">
        <f t="shared" si="10"/>
        <v>1.2434566510799234</v>
      </c>
      <c r="BA42" s="246" t="str">
        <f t="shared" si="11"/>
        <v>(2,4,1,3,1,5)</v>
      </c>
      <c r="BB42" s="30">
        <v>1.05</v>
      </c>
      <c r="BC42" s="30">
        <v>1.1000000000000001</v>
      </c>
      <c r="BD42" s="30">
        <v>1</v>
      </c>
      <c r="BE42" s="30">
        <v>1.02</v>
      </c>
      <c r="BF42" s="30">
        <v>1</v>
      </c>
      <c r="BG42" s="30">
        <v>1.2</v>
      </c>
    </row>
    <row r="43" spans="1:59" ht="24" customHeight="1">
      <c r="A43" s="1305">
        <v>79235</v>
      </c>
      <c r="B43" s="1307" t="s">
        <v>705</v>
      </c>
      <c r="C43" s="1306"/>
      <c r="D43" s="1362">
        <v>5</v>
      </c>
      <c r="E43" s="1363" t="s">
        <v>98</v>
      </c>
      <c r="F43" s="1355" t="s">
        <v>688</v>
      </c>
      <c r="G43" s="1356" t="s">
        <v>340</v>
      </c>
      <c r="H43" s="1364" t="s">
        <v>98</v>
      </c>
      <c r="I43" s="1357" t="s">
        <v>98</v>
      </c>
      <c r="J43" s="1358">
        <v>0</v>
      </c>
      <c r="K43" s="1356" t="s">
        <v>109</v>
      </c>
      <c r="L43" s="1356">
        <v>0</v>
      </c>
      <c r="M43" s="1359">
        <v>1</v>
      </c>
      <c r="N43" s="1360">
        <v>1.2620910621938648</v>
      </c>
      <c r="O43" s="1361" t="s">
        <v>3196</v>
      </c>
      <c r="P43" s="1356">
        <v>59.819999999999993</v>
      </c>
      <c r="Q43" s="1359">
        <v>1</v>
      </c>
      <c r="R43" s="1360">
        <v>1.2434566510799234</v>
      </c>
      <c r="S43" s="1361" t="s">
        <v>3204</v>
      </c>
      <c r="T43" s="968"/>
      <c r="U43" s="452"/>
      <c r="V43" s="452"/>
      <c r="W43" s="615"/>
      <c r="X43" s="686">
        <v>3</v>
      </c>
      <c r="Y43" s="686">
        <v>4</v>
      </c>
      <c r="Z43" s="686">
        <v>1</v>
      </c>
      <c r="AA43" s="686">
        <v>3</v>
      </c>
      <c r="AB43" s="686">
        <v>1</v>
      </c>
      <c r="AC43" s="686">
        <v>5</v>
      </c>
      <c r="AD43" s="297">
        <v>3</v>
      </c>
      <c r="AE43" s="6">
        <v>1.05</v>
      </c>
      <c r="AF43" s="245">
        <f t="shared" si="6"/>
        <v>1.2555818742947564</v>
      </c>
      <c r="AG43" s="245">
        <f t="shared" si="7"/>
        <v>1.2620910621938648</v>
      </c>
      <c r="AH43" s="246" t="str">
        <f t="shared" si="8"/>
        <v>(3,4,1,3,1,5)</v>
      </c>
      <c r="AI43" s="30">
        <v>1.1000000000000001</v>
      </c>
      <c r="AJ43" s="30">
        <v>1.1000000000000001</v>
      </c>
      <c r="AK43" s="30">
        <v>1</v>
      </c>
      <c r="AL43" s="30">
        <v>1.02</v>
      </c>
      <c r="AM43" s="30">
        <v>1</v>
      </c>
      <c r="AN43" s="30">
        <v>1.2</v>
      </c>
      <c r="AP43" s="615" t="s">
        <v>706</v>
      </c>
      <c r="AQ43" s="686">
        <v>2</v>
      </c>
      <c r="AR43" s="686">
        <v>4</v>
      </c>
      <c r="AS43" s="686">
        <v>1</v>
      </c>
      <c r="AT43" s="686">
        <v>3</v>
      </c>
      <c r="AU43" s="686">
        <v>1</v>
      </c>
      <c r="AV43" s="686">
        <v>5</v>
      </c>
      <c r="AW43" s="297">
        <v>3</v>
      </c>
      <c r="AX43" s="6">
        <v>1.05</v>
      </c>
      <c r="AY43" s="245">
        <f t="shared" si="9"/>
        <v>1.2365959919080913</v>
      </c>
      <c r="AZ43" s="245">
        <f t="shared" si="10"/>
        <v>1.2434566510799234</v>
      </c>
      <c r="BA43" s="246" t="str">
        <f t="shared" si="11"/>
        <v>(2,4,1,3,1,5)</v>
      </c>
      <c r="BB43" s="30">
        <v>1.05</v>
      </c>
      <c r="BC43" s="30">
        <v>1.1000000000000001</v>
      </c>
      <c r="BD43" s="30">
        <v>1</v>
      </c>
      <c r="BE43" s="30">
        <v>1.02</v>
      </c>
      <c r="BF43" s="30">
        <v>1</v>
      </c>
      <c r="BG43" s="30">
        <v>1.2</v>
      </c>
    </row>
    <row r="44" spans="1:59">
      <c r="A44" s="1305">
        <v>263587</v>
      </c>
      <c r="B44" s="1340"/>
      <c r="C44" s="1306"/>
      <c r="D44" s="1308">
        <v>5</v>
      </c>
      <c r="E44" s="1309" t="s">
        <v>98</v>
      </c>
      <c r="F44" s="1310" t="s">
        <v>707</v>
      </c>
      <c r="G44" s="1311" t="s">
        <v>103</v>
      </c>
      <c r="H44" s="1312" t="s">
        <v>98</v>
      </c>
      <c r="I44" s="1313" t="s">
        <v>98</v>
      </c>
      <c r="J44" s="1314">
        <v>0</v>
      </c>
      <c r="K44" s="1311" t="s">
        <v>96</v>
      </c>
      <c r="L44" s="1311">
        <v>0</v>
      </c>
      <c r="M44" s="1315">
        <v>1</v>
      </c>
      <c r="N44" s="1316">
        <v>1.2620910621938648</v>
      </c>
      <c r="O44" s="1317" t="s">
        <v>3196</v>
      </c>
      <c r="P44" s="1311">
        <v>3888.1999999999989</v>
      </c>
      <c r="Q44" s="1315">
        <v>1</v>
      </c>
      <c r="R44" s="1316">
        <v>1.2434566510799234</v>
      </c>
      <c r="S44" s="1317" t="s">
        <v>3193</v>
      </c>
      <c r="T44" s="968"/>
      <c r="U44" s="452"/>
      <c r="V44" s="452"/>
      <c r="W44" s="615"/>
      <c r="X44" s="686">
        <v>3</v>
      </c>
      <c r="Y44" s="686">
        <v>4</v>
      </c>
      <c r="Z44" s="686">
        <v>1</v>
      </c>
      <c r="AA44" s="686">
        <v>3</v>
      </c>
      <c r="AB44" s="686">
        <v>1</v>
      </c>
      <c r="AC44" s="686">
        <v>5</v>
      </c>
      <c r="AD44" s="297">
        <v>3</v>
      </c>
      <c r="AE44" s="6">
        <v>1.05</v>
      </c>
      <c r="AF44" s="245">
        <f t="shared" si="6"/>
        <v>1.2555818742947564</v>
      </c>
      <c r="AG44" s="245">
        <f t="shared" si="7"/>
        <v>1.2620910621938648</v>
      </c>
      <c r="AH44" s="246" t="str">
        <f t="shared" si="8"/>
        <v>(3,4,1,3,1,5)</v>
      </c>
      <c r="AI44" s="30">
        <v>1.1000000000000001</v>
      </c>
      <c r="AJ44" s="30">
        <v>1.1000000000000001</v>
      </c>
      <c r="AK44" s="30">
        <v>1</v>
      </c>
      <c r="AL44" s="30">
        <v>1.02</v>
      </c>
      <c r="AM44" s="30">
        <v>1</v>
      </c>
      <c r="AN44" s="30">
        <v>1.2</v>
      </c>
      <c r="AP44" s="615" t="s">
        <v>673</v>
      </c>
      <c r="AQ44" s="686">
        <v>2</v>
      </c>
      <c r="AR44" s="686">
        <v>4</v>
      </c>
      <c r="AS44" s="686">
        <v>1</v>
      </c>
      <c r="AT44" s="686">
        <v>3</v>
      </c>
      <c r="AU44" s="686">
        <v>1</v>
      </c>
      <c r="AV44" s="686">
        <v>5</v>
      </c>
      <c r="AW44" s="297">
        <v>3</v>
      </c>
      <c r="AX44" s="6">
        <v>1.05</v>
      </c>
      <c r="AY44" s="245">
        <f t="shared" si="9"/>
        <v>1.2365959919080913</v>
      </c>
      <c r="AZ44" s="245">
        <f t="shared" si="10"/>
        <v>1.2434566510799234</v>
      </c>
      <c r="BA44" s="246" t="str">
        <f t="shared" si="11"/>
        <v>(2,4,1,3,1,5)</v>
      </c>
      <c r="BB44" s="30">
        <v>1.05</v>
      </c>
      <c r="BC44" s="30">
        <v>1.1000000000000001</v>
      </c>
      <c r="BD44" s="30">
        <v>1</v>
      </c>
      <c r="BE44" s="30">
        <v>1.02</v>
      </c>
      <c r="BF44" s="30">
        <v>1</v>
      </c>
      <c r="BG44" s="30">
        <v>1.2</v>
      </c>
    </row>
    <row r="45" spans="1:59" ht="24" customHeight="1">
      <c r="A45" s="1305">
        <v>257828</v>
      </c>
      <c r="B45" s="1340"/>
      <c r="C45" s="1306"/>
      <c r="D45" s="1362">
        <v>5</v>
      </c>
      <c r="E45" s="1363" t="s">
        <v>98</v>
      </c>
      <c r="F45" s="1355" t="s">
        <v>708</v>
      </c>
      <c r="G45" s="1356" t="s">
        <v>103</v>
      </c>
      <c r="H45" s="1364" t="s">
        <v>98</v>
      </c>
      <c r="I45" s="1357" t="s">
        <v>98</v>
      </c>
      <c r="J45" s="1358">
        <v>0</v>
      </c>
      <c r="K45" s="1356" t="s">
        <v>679</v>
      </c>
      <c r="L45" s="1356">
        <v>0</v>
      </c>
      <c r="M45" s="1359">
        <v>1</v>
      </c>
      <c r="N45" s="1360">
        <v>1.2620910621938648</v>
      </c>
      <c r="O45" s="1361" t="s">
        <v>3196</v>
      </c>
      <c r="P45" s="1356">
        <v>598.18500000000006</v>
      </c>
      <c r="Q45" s="1359">
        <v>1</v>
      </c>
      <c r="R45" s="1360">
        <v>1.2434566510799234</v>
      </c>
      <c r="S45" s="1361" t="s">
        <v>3205</v>
      </c>
      <c r="T45" s="968"/>
      <c r="U45" s="452"/>
      <c r="V45" s="452"/>
      <c r="W45" s="615"/>
      <c r="X45" s="686">
        <v>3</v>
      </c>
      <c r="Y45" s="686">
        <v>4</v>
      </c>
      <c r="Z45" s="686">
        <v>1</v>
      </c>
      <c r="AA45" s="686">
        <v>3</v>
      </c>
      <c r="AB45" s="686">
        <v>1</v>
      </c>
      <c r="AC45" s="686">
        <v>5</v>
      </c>
      <c r="AD45" s="297">
        <v>3</v>
      </c>
      <c r="AE45" s="6">
        <v>1.05</v>
      </c>
      <c r="AF45" s="245">
        <f t="shared" si="6"/>
        <v>1.2555818742947564</v>
      </c>
      <c r="AG45" s="245">
        <f t="shared" si="7"/>
        <v>1.2620910621938648</v>
      </c>
      <c r="AH45" s="246" t="str">
        <f t="shared" si="8"/>
        <v>(3,4,1,3,1,5)</v>
      </c>
      <c r="AI45" s="30">
        <v>1.1000000000000001</v>
      </c>
      <c r="AJ45" s="30">
        <v>1.1000000000000001</v>
      </c>
      <c r="AK45" s="30">
        <v>1</v>
      </c>
      <c r="AL45" s="30">
        <v>1.02</v>
      </c>
      <c r="AM45" s="30">
        <v>1</v>
      </c>
      <c r="AN45" s="30">
        <v>1.2</v>
      </c>
      <c r="AP45" s="615" t="s">
        <v>709</v>
      </c>
      <c r="AQ45" s="686">
        <v>2</v>
      </c>
      <c r="AR45" s="686">
        <v>4</v>
      </c>
      <c r="AS45" s="686">
        <v>1</v>
      </c>
      <c r="AT45" s="686">
        <v>3</v>
      </c>
      <c r="AU45" s="686">
        <v>1</v>
      </c>
      <c r="AV45" s="686">
        <v>5</v>
      </c>
      <c r="AW45" s="297">
        <v>3</v>
      </c>
      <c r="AX45" s="6">
        <v>1.05</v>
      </c>
      <c r="AY45" s="245">
        <f t="shared" si="9"/>
        <v>1.2365959919080913</v>
      </c>
      <c r="AZ45" s="245">
        <f t="shared" si="10"/>
        <v>1.2434566510799234</v>
      </c>
      <c r="BA45" s="246" t="str">
        <f t="shared" si="11"/>
        <v>(2,4,1,3,1,5)</v>
      </c>
      <c r="BB45" s="30">
        <v>1.05</v>
      </c>
      <c r="BC45" s="30">
        <v>1.1000000000000001</v>
      </c>
      <c r="BD45" s="30">
        <v>1</v>
      </c>
      <c r="BE45" s="30">
        <v>1.02</v>
      </c>
      <c r="BF45" s="30">
        <v>1</v>
      </c>
      <c r="BG45" s="30">
        <v>1.2</v>
      </c>
    </row>
    <row r="46" spans="1:59" ht="24" customHeight="1">
      <c r="A46" s="1305">
        <v>254233</v>
      </c>
      <c r="B46" s="1340"/>
      <c r="C46" s="1306"/>
      <c r="D46" s="1308">
        <v>5</v>
      </c>
      <c r="E46" s="1309" t="s">
        <v>98</v>
      </c>
      <c r="F46" s="1310" t="s">
        <v>710</v>
      </c>
      <c r="G46" s="1311" t="s">
        <v>103</v>
      </c>
      <c r="H46" s="1312" t="s">
        <v>98</v>
      </c>
      <c r="I46" s="1313" t="s">
        <v>98</v>
      </c>
      <c r="J46" s="1314">
        <v>0</v>
      </c>
      <c r="K46" s="1311" t="s">
        <v>104</v>
      </c>
      <c r="L46" s="1311">
        <v>0</v>
      </c>
      <c r="M46" s="1315">
        <v>1</v>
      </c>
      <c r="N46" s="1316">
        <v>1.2620910621938648</v>
      </c>
      <c r="O46" s="1317" t="s">
        <v>3196</v>
      </c>
      <c r="P46" s="1311">
        <v>53.840000000000011</v>
      </c>
      <c r="Q46" s="1315">
        <v>1</v>
      </c>
      <c r="R46" s="1316">
        <v>1.2434566510799234</v>
      </c>
      <c r="S46" s="1317" t="s">
        <v>3203</v>
      </c>
      <c r="T46" s="968"/>
      <c r="U46" s="452"/>
      <c r="V46" s="452"/>
      <c r="W46" s="615"/>
      <c r="X46" s="686">
        <v>3</v>
      </c>
      <c r="Y46" s="686">
        <v>4</v>
      </c>
      <c r="Z46" s="686">
        <v>1</v>
      </c>
      <c r="AA46" s="686">
        <v>3</v>
      </c>
      <c r="AB46" s="686">
        <v>1</v>
      </c>
      <c r="AC46" s="686">
        <v>5</v>
      </c>
      <c r="AD46" s="297">
        <v>1</v>
      </c>
      <c r="AE46" s="6">
        <v>1.05</v>
      </c>
      <c r="AF46" s="245">
        <f t="shared" si="6"/>
        <v>1.2555818742947564</v>
      </c>
      <c r="AG46" s="245">
        <f t="shared" si="7"/>
        <v>1.2620910621938648</v>
      </c>
      <c r="AH46" s="246" t="str">
        <f t="shared" si="8"/>
        <v>(3,4,1,3,1,5)</v>
      </c>
      <c r="AI46" s="30">
        <v>1.1000000000000001</v>
      </c>
      <c r="AJ46" s="30">
        <v>1.1000000000000001</v>
      </c>
      <c r="AK46" s="30">
        <v>1</v>
      </c>
      <c r="AL46" s="30">
        <v>1.02</v>
      </c>
      <c r="AM46" s="30">
        <v>1</v>
      </c>
      <c r="AN46" s="30">
        <v>1.2</v>
      </c>
      <c r="AP46" s="615" t="s">
        <v>703</v>
      </c>
      <c r="AQ46" s="686">
        <v>2</v>
      </c>
      <c r="AR46" s="686">
        <v>4</v>
      </c>
      <c r="AS46" s="686">
        <v>1</v>
      </c>
      <c r="AT46" s="686">
        <v>3</v>
      </c>
      <c r="AU46" s="686">
        <v>1</v>
      </c>
      <c r="AV46" s="686">
        <v>5</v>
      </c>
      <c r="AW46" s="297">
        <v>1</v>
      </c>
      <c r="AX46" s="6">
        <v>1.05</v>
      </c>
      <c r="AY46" s="245">
        <f t="shared" si="9"/>
        <v>1.2365959919080913</v>
      </c>
      <c r="AZ46" s="245">
        <f t="shared" si="10"/>
        <v>1.2434566510799234</v>
      </c>
      <c r="BA46" s="246" t="str">
        <f t="shared" si="11"/>
        <v>(2,4,1,3,1,5)</v>
      </c>
      <c r="BB46" s="30">
        <v>1.05</v>
      </c>
      <c r="BC46" s="30">
        <v>1.1000000000000001</v>
      </c>
      <c r="BD46" s="30">
        <v>1</v>
      </c>
      <c r="BE46" s="30">
        <v>1.02</v>
      </c>
      <c r="BF46" s="30">
        <v>1</v>
      </c>
      <c r="BG46" s="30">
        <v>1.2</v>
      </c>
    </row>
    <row r="47" spans="1:59">
      <c r="A47" s="1305">
        <v>269445</v>
      </c>
      <c r="B47" s="1340"/>
      <c r="C47" s="1306"/>
      <c r="D47" s="1362">
        <v>5</v>
      </c>
      <c r="E47" s="1363" t="s">
        <v>98</v>
      </c>
      <c r="F47" s="1355" t="s">
        <v>682</v>
      </c>
      <c r="G47" s="1356" t="s">
        <v>93</v>
      </c>
      <c r="H47" s="1364" t="s">
        <v>98</v>
      </c>
      <c r="I47" s="1357" t="s">
        <v>98</v>
      </c>
      <c r="J47" s="1358">
        <v>0</v>
      </c>
      <c r="K47" s="1356" t="s">
        <v>96</v>
      </c>
      <c r="L47" s="1356">
        <v>0</v>
      </c>
      <c r="M47" s="1359">
        <v>1</v>
      </c>
      <c r="N47" s="1360">
        <v>1.2620910621938648</v>
      </c>
      <c r="O47" s="1361" t="s">
        <v>3196</v>
      </c>
      <c r="P47" s="1356">
        <v>3888.1999999999989</v>
      </c>
      <c r="Q47" s="1359">
        <v>1</v>
      </c>
      <c r="R47" s="1360">
        <v>1.2434566510799234</v>
      </c>
      <c r="S47" s="1361" t="s">
        <v>3193</v>
      </c>
      <c r="T47" s="968"/>
      <c r="U47" s="452"/>
      <c r="V47" s="452"/>
      <c r="W47" s="615"/>
      <c r="X47" s="686">
        <v>3</v>
      </c>
      <c r="Y47" s="686">
        <v>4</v>
      </c>
      <c r="Z47" s="686">
        <v>1</v>
      </c>
      <c r="AA47" s="686">
        <v>3</v>
      </c>
      <c r="AB47" s="686">
        <v>1</v>
      </c>
      <c r="AC47" s="686">
        <v>5</v>
      </c>
      <c r="AD47" s="297">
        <v>3</v>
      </c>
      <c r="AE47" s="6">
        <v>1.05</v>
      </c>
      <c r="AF47" s="245">
        <f t="shared" si="6"/>
        <v>1.2555818742947564</v>
      </c>
      <c r="AG47" s="245">
        <f t="shared" si="7"/>
        <v>1.2620910621938648</v>
      </c>
      <c r="AH47" s="246" t="str">
        <f t="shared" si="8"/>
        <v>(3,4,1,3,1,5)</v>
      </c>
      <c r="AI47" s="30">
        <v>1.1000000000000001</v>
      </c>
      <c r="AJ47" s="30">
        <v>1.1000000000000001</v>
      </c>
      <c r="AK47" s="30">
        <v>1</v>
      </c>
      <c r="AL47" s="30">
        <v>1.02</v>
      </c>
      <c r="AM47" s="30">
        <v>1</v>
      </c>
      <c r="AN47" s="30">
        <v>1.2</v>
      </c>
      <c r="AP47" s="615" t="s">
        <v>673</v>
      </c>
      <c r="AQ47" s="686">
        <v>2</v>
      </c>
      <c r="AR47" s="686">
        <v>4</v>
      </c>
      <c r="AS47" s="686">
        <v>1</v>
      </c>
      <c r="AT47" s="686">
        <v>3</v>
      </c>
      <c r="AU47" s="686">
        <v>1</v>
      </c>
      <c r="AV47" s="686">
        <v>5</v>
      </c>
      <c r="AW47" s="297">
        <v>3</v>
      </c>
      <c r="AX47" s="6">
        <v>1.05</v>
      </c>
      <c r="AY47" s="245">
        <f t="shared" si="9"/>
        <v>1.2365959919080913</v>
      </c>
      <c r="AZ47" s="245">
        <f t="shared" si="10"/>
        <v>1.2434566510799234</v>
      </c>
      <c r="BA47" s="246" t="str">
        <f t="shared" si="11"/>
        <v>(2,4,1,3,1,5)</v>
      </c>
      <c r="BB47" s="30">
        <v>1.05</v>
      </c>
      <c r="BC47" s="30">
        <v>1.1000000000000001</v>
      </c>
      <c r="BD47" s="30">
        <v>1</v>
      </c>
      <c r="BE47" s="30">
        <v>1.02</v>
      </c>
      <c r="BF47" s="30">
        <v>1</v>
      </c>
      <c r="BG47" s="30">
        <v>1.2</v>
      </c>
    </row>
    <row r="48" spans="1:59">
      <c r="A48" s="1305">
        <v>266627</v>
      </c>
      <c r="B48" s="1340"/>
      <c r="C48" s="1306"/>
      <c r="D48" s="1308">
        <v>5</v>
      </c>
      <c r="E48" s="1309" t="s">
        <v>98</v>
      </c>
      <c r="F48" s="1310" t="s">
        <v>634</v>
      </c>
      <c r="G48" s="1311" t="s">
        <v>93</v>
      </c>
      <c r="H48" s="1312" t="s">
        <v>98</v>
      </c>
      <c r="I48" s="1313" t="s">
        <v>98</v>
      </c>
      <c r="J48" s="1314">
        <v>0</v>
      </c>
      <c r="K48" s="1311" t="s">
        <v>96</v>
      </c>
      <c r="L48" s="1311">
        <v>0</v>
      </c>
      <c r="M48" s="1315">
        <v>1</v>
      </c>
      <c r="N48" s="1316">
        <v>1.2620910621938648</v>
      </c>
      <c r="O48" s="1317" t="s">
        <v>3196</v>
      </c>
      <c r="P48" s="1311">
        <v>3888.1999999999989</v>
      </c>
      <c r="Q48" s="1315">
        <v>1</v>
      </c>
      <c r="R48" s="1316">
        <v>1.2434566510799234</v>
      </c>
      <c r="S48" s="1317" t="s">
        <v>3193</v>
      </c>
      <c r="T48" s="968"/>
      <c r="U48" s="452"/>
      <c r="V48" s="452"/>
      <c r="W48" s="615"/>
      <c r="X48" s="686">
        <v>3</v>
      </c>
      <c r="Y48" s="686">
        <v>4</v>
      </c>
      <c r="Z48" s="686">
        <v>1</v>
      </c>
      <c r="AA48" s="686">
        <v>3</v>
      </c>
      <c r="AB48" s="686">
        <v>1</v>
      </c>
      <c r="AC48" s="686">
        <v>5</v>
      </c>
      <c r="AD48" s="297">
        <v>3</v>
      </c>
      <c r="AE48" s="6">
        <v>1.05</v>
      </c>
      <c r="AF48" s="245">
        <f t="shared" si="6"/>
        <v>1.2555818742947564</v>
      </c>
      <c r="AG48" s="245">
        <f t="shared" si="7"/>
        <v>1.2620910621938648</v>
      </c>
      <c r="AH48" s="246" t="str">
        <f t="shared" si="8"/>
        <v>(3,4,1,3,1,5)</v>
      </c>
      <c r="AI48" s="30">
        <v>1.1000000000000001</v>
      </c>
      <c r="AJ48" s="30">
        <v>1.1000000000000001</v>
      </c>
      <c r="AK48" s="30">
        <v>1</v>
      </c>
      <c r="AL48" s="30">
        <v>1.02</v>
      </c>
      <c r="AM48" s="30">
        <v>1</v>
      </c>
      <c r="AN48" s="30">
        <v>1.2</v>
      </c>
      <c r="AP48" s="615" t="s">
        <v>673</v>
      </c>
      <c r="AQ48" s="686">
        <v>2</v>
      </c>
      <c r="AR48" s="686">
        <v>4</v>
      </c>
      <c r="AS48" s="686">
        <v>1</v>
      </c>
      <c r="AT48" s="686">
        <v>3</v>
      </c>
      <c r="AU48" s="686">
        <v>1</v>
      </c>
      <c r="AV48" s="686">
        <v>5</v>
      </c>
      <c r="AW48" s="297">
        <v>3</v>
      </c>
      <c r="AX48" s="6">
        <v>1.05</v>
      </c>
      <c r="AY48" s="245">
        <f t="shared" si="9"/>
        <v>1.2365959919080913</v>
      </c>
      <c r="AZ48" s="245">
        <f t="shared" si="10"/>
        <v>1.2434566510799234</v>
      </c>
      <c r="BA48" s="246" t="str">
        <f t="shared" si="11"/>
        <v>(2,4,1,3,1,5)</v>
      </c>
      <c r="BB48" s="30">
        <v>1.05</v>
      </c>
      <c r="BC48" s="30">
        <v>1.1000000000000001</v>
      </c>
      <c r="BD48" s="30">
        <v>1</v>
      </c>
      <c r="BE48" s="30">
        <v>1.02</v>
      </c>
      <c r="BF48" s="30">
        <v>1</v>
      </c>
      <c r="BG48" s="30">
        <v>1.2</v>
      </c>
    </row>
    <row r="49" spans="1:59" ht="36" customHeight="1">
      <c r="A49" s="1305">
        <v>267017</v>
      </c>
      <c r="B49" s="1307" t="s">
        <v>714</v>
      </c>
      <c r="C49" s="1306"/>
      <c r="D49" s="1362">
        <v>5</v>
      </c>
      <c r="E49" s="1363" t="s">
        <v>98</v>
      </c>
      <c r="F49" s="1355" t="s">
        <v>715</v>
      </c>
      <c r="G49" s="1356" t="s">
        <v>93</v>
      </c>
      <c r="H49" s="1364" t="s">
        <v>98</v>
      </c>
      <c r="I49" s="1357" t="s">
        <v>98</v>
      </c>
      <c r="J49" s="1358">
        <v>0</v>
      </c>
      <c r="K49" s="1356" t="s">
        <v>96</v>
      </c>
      <c r="L49" s="1356">
        <v>0</v>
      </c>
      <c r="M49" s="1359">
        <v>1</v>
      </c>
      <c r="N49" s="1360">
        <v>1.2620910621938648</v>
      </c>
      <c r="O49" s="1361" t="s">
        <v>3196</v>
      </c>
      <c r="P49" s="1356">
        <v>445.05000000000013</v>
      </c>
      <c r="Q49" s="1359">
        <v>1</v>
      </c>
      <c r="R49" s="1360">
        <v>1.2434566510799234</v>
      </c>
      <c r="S49" s="1361" t="s">
        <v>3193</v>
      </c>
      <c r="T49" s="968"/>
      <c r="U49" s="452"/>
      <c r="V49" s="452"/>
      <c r="W49" s="615"/>
      <c r="X49" s="686">
        <v>3</v>
      </c>
      <c r="Y49" s="686">
        <v>4</v>
      </c>
      <c r="Z49" s="686">
        <v>1</v>
      </c>
      <c r="AA49" s="686">
        <v>3</v>
      </c>
      <c r="AB49" s="686">
        <v>1</v>
      </c>
      <c r="AC49" s="686">
        <v>5</v>
      </c>
      <c r="AD49" s="297">
        <v>3</v>
      </c>
      <c r="AE49" s="6">
        <v>1.05</v>
      </c>
      <c r="AF49" s="245">
        <f t="shared" si="6"/>
        <v>1.2555818742947564</v>
      </c>
      <c r="AG49" s="245">
        <f t="shared" si="7"/>
        <v>1.2620910621938648</v>
      </c>
      <c r="AH49" s="246" t="str">
        <f t="shared" si="8"/>
        <v>(3,4,1,3,1,5)</v>
      </c>
      <c r="AI49" s="30">
        <v>1.1000000000000001</v>
      </c>
      <c r="AJ49" s="30">
        <v>1.1000000000000001</v>
      </c>
      <c r="AK49" s="30">
        <v>1</v>
      </c>
      <c r="AL49" s="30">
        <v>1.02</v>
      </c>
      <c r="AM49" s="30">
        <v>1</v>
      </c>
      <c r="AN49" s="30">
        <v>1.2</v>
      </c>
      <c r="AP49" s="615" t="s">
        <v>673</v>
      </c>
      <c r="AQ49" s="686">
        <v>2</v>
      </c>
      <c r="AR49" s="686">
        <v>4</v>
      </c>
      <c r="AS49" s="686">
        <v>1</v>
      </c>
      <c r="AT49" s="686">
        <v>3</v>
      </c>
      <c r="AU49" s="686">
        <v>1</v>
      </c>
      <c r="AV49" s="686">
        <v>5</v>
      </c>
      <c r="AW49" s="297">
        <v>3</v>
      </c>
      <c r="AX49" s="6">
        <v>1.05</v>
      </c>
      <c r="AY49" s="245">
        <f t="shared" si="9"/>
        <v>1.2365959919080913</v>
      </c>
      <c r="AZ49" s="245">
        <f t="shared" si="10"/>
        <v>1.2434566510799234</v>
      </c>
      <c r="BA49" s="246" t="str">
        <f t="shared" si="11"/>
        <v>(2,4,1,3,1,5)</v>
      </c>
      <c r="BB49" s="30">
        <v>1.05</v>
      </c>
      <c r="BC49" s="30">
        <v>1.1000000000000001</v>
      </c>
      <c r="BD49" s="30">
        <v>1</v>
      </c>
      <c r="BE49" s="30">
        <v>1.02</v>
      </c>
      <c r="BF49" s="30">
        <v>1</v>
      </c>
      <c r="BG49" s="30">
        <v>1.2</v>
      </c>
    </row>
    <row r="50" spans="1:59" ht="23.25" customHeight="1">
      <c r="A50" s="1305">
        <v>267287</v>
      </c>
      <c r="B50" s="1340"/>
      <c r="C50" s="1306"/>
      <c r="D50" s="1308">
        <v>5</v>
      </c>
      <c r="E50" s="1309" t="s">
        <v>98</v>
      </c>
      <c r="F50" s="1310" t="s">
        <v>690</v>
      </c>
      <c r="G50" s="1311" t="s">
        <v>154</v>
      </c>
      <c r="H50" s="1312" t="s">
        <v>98</v>
      </c>
      <c r="I50" s="1313" t="s">
        <v>98</v>
      </c>
      <c r="J50" s="1314">
        <v>0</v>
      </c>
      <c r="K50" s="1311" t="s">
        <v>104</v>
      </c>
      <c r="L50" s="1311">
        <v>0</v>
      </c>
      <c r="M50" s="1315">
        <v>1</v>
      </c>
      <c r="N50" s="1316">
        <v>1.2620910621938648</v>
      </c>
      <c r="O50" s="1317" t="s">
        <v>3196</v>
      </c>
      <c r="P50" s="1311">
        <v>14211.088738877279</v>
      </c>
      <c r="Q50" s="1315">
        <v>1</v>
      </c>
      <c r="R50" s="1316">
        <v>1.2434566510799234</v>
      </c>
      <c r="S50" s="1317" t="s">
        <v>3200</v>
      </c>
      <c r="T50" s="968"/>
      <c r="U50" s="452"/>
      <c r="V50" s="452"/>
      <c r="W50" s="615"/>
      <c r="X50" s="686">
        <v>3</v>
      </c>
      <c r="Y50" s="686">
        <v>4</v>
      </c>
      <c r="Z50" s="686">
        <v>1</v>
      </c>
      <c r="AA50" s="686">
        <v>3</v>
      </c>
      <c r="AB50" s="686">
        <v>1</v>
      </c>
      <c r="AC50" s="686">
        <v>5</v>
      </c>
      <c r="AD50" s="297">
        <v>1</v>
      </c>
      <c r="AE50" s="6">
        <v>1.05</v>
      </c>
      <c r="AF50" s="245">
        <f t="shared" si="6"/>
        <v>1.2555818742947564</v>
      </c>
      <c r="AG50" s="245">
        <f t="shared" si="7"/>
        <v>1.2620910621938648</v>
      </c>
      <c r="AH50" s="246" t="str">
        <f t="shared" si="8"/>
        <v>(3,4,1,3,1,5)</v>
      </c>
      <c r="AI50" s="30">
        <v>1.1000000000000001</v>
      </c>
      <c r="AJ50" s="30">
        <v>1.1000000000000001</v>
      </c>
      <c r="AK50" s="30">
        <v>1</v>
      </c>
      <c r="AL50" s="30">
        <v>1.02</v>
      </c>
      <c r="AM50" s="30">
        <v>1</v>
      </c>
      <c r="AN50" s="30">
        <v>1.2</v>
      </c>
      <c r="AP50" s="615" t="s">
        <v>691</v>
      </c>
      <c r="AQ50" s="686">
        <v>2</v>
      </c>
      <c r="AR50" s="686">
        <v>4</v>
      </c>
      <c r="AS50" s="686">
        <v>1</v>
      </c>
      <c r="AT50" s="686">
        <v>3</v>
      </c>
      <c r="AU50" s="686">
        <v>1</v>
      </c>
      <c r="AV50" s="686">
        <v>5</v>
      </c>
      <c r="AW50" s="297">
        <v>1</v>
      </c>
      <c r="AX50" s="6">
        <v>1.05</v>
      </c>
      <c r="AY50" s="245">
        <f t="shared" si="9"/>
        <v>1.2365959919080913</v>
      </c>
      <c r="AZ50" s="245">
        <f t="shared" si="10"/>
        <v>1.2434566510799234</v>
      </c>
      <c r="BA50" s="246" t="str">
        <f t="shared" si="11"/>
        <v>(2,4,1,3,1,5)</v>
      </c>
      <c r="BB50" s="30">
        <v>1.05</v>
      </c>
      <c r="BC50" s="30">
        <v>1.1000000000000001</v>
      </c>
      <c r="BD50" s="30">
        <v>1</v>
      </c>
      <c r="BE50" s="30">
        <v>1.02</v>
      </c>
      <c r="BF50" s="30">
        <v>1</v>
      </c>
      <c r="BG50" s="30">
        <v>1.2</v>
      </c>
    </row>
    <row r="51" spans="1:59" ht="23.25" customHeight="1">
      <c r="A51" s="1305">
        <v>267287</v>
      </c>
      <c r="B51" s="1340"/>
      <c r="C51" s="1306"/>
      <c r="D51" s="1362">
        <v>5</v>
      </c>
      <c r="E51" s="1363" t="s">
        <v>98</v>
      </c>
      <c r="F51" s="1355" t="s">
        <v>690</v>
      </c>
      <c r="G51" s="1356" t="s">
        <v>154</v>
      </c>
      <c r="H51" s="1364" t="s">
        <v>98</v>
      </c>
      <c r="I51" s="1357" t="s">
        <v>98</v>
      </c>
      <c r="J51" s="1358">
        <v>0</v>
      </c>
      <c r="K51" s="1356" t="s">
        <v>104</v>
      </c>
      <c r="L51" s="1356">
        <v>0</v>
      </c>
      <c r="M51" s="1359">
        <v>1</v>
      </c>
      <c r="N51" s="1360">
        <v>1.2620910621938648</v>
      </c>
      <c r="O51" s="1361" t="s">
        <v>3196</v>
      </c>
      <c r="P51" s="1356">
        <v>135016.0317837953</v>
      </c>
      <c r="Q51" s="1359">
        <v>1</v>
      </c>
      <c r="R51" s="1360">
        <v>1.2434566510799234</v>
      </c>
      <c r="S51" s="1361" t="s">
        <v>3202</v>
      </c>
      <c r="T51" s="968"/>
      <c r="U51" s="452"/>
      <c r="V51" s="452"/>
      <c r="W51" s="615"/>
      <c r="X51" s="686">
        <v>3</v>
      </c>
      <c r="Y51" s="686">
        <v>4</v>
      </c>
      <c r="Z51" s="686">
        <v>1</v>
      </c>
      <c r="AA51" s="686">
        <v>3</v>
      </c>
      <c r="AB51" s="686">
        <v>1</v>
      </c>
      <c r="AC51" s="686">
        <v>5</v>
      </c>
      <c r="AD51" s="297">
        <v>1</v>
      </c>
      <c r="AE51" s="6">
        <v>1.05</v>
      </c>
      <c r="AF51" s="245">
        <f t="shared" si="6"/>
        <v>1.2555818742947564</v>
      </c>
      <c r="AG51" s="245">
        <f t="shared" si="7"/>
        <v>1.2620910621938648</v>
      </c>
      <c r="AH51" s="246" t="str">
        <f t="shared" si="8"/>
        <v>(3,4,1,3,1,5)</v>
      </c>
      <c r="AI51" s="30">
        <v>1.1000000000000001</v>
      </c>
      <c r="AJ51" s="30">
        <v>1.1000000000000001</v>
      </c>
      <c r="AK51" s="30">
        <v>1</v>
      </c>
      <c r="AL51" s="30">
        <v>1.02</v>
      </c>
      <c r="AM51" s="30">
        <v>1</v>
      </c>
      <c r="AN51" s="30">
        <v>1.2</v>
      </c>
      <c r="AP51" s="615" t="s">
        <v>693</v>
      </c>
      <c r="AQ51" s="686">
        <v>2</v>
      </c>
      <c r="AR51" s="686">
        <v>4</v>
      </c>
      <c r="AS51" s="686">
        <v>1</v>
      </c>
      <c r="AT51" s="686">
        <v>3</v>
      </c>
      <c r="AU51" s="686">
        <v>1</v>
      </c>
      <c r="AV51" s="686">
        <v>5</v>
      </c>
      <c r="AW51" s="297">
        <v>1</v>
      </c>
      <c r="AX51" s="6">
        <v>1.05</v>
      </c>
      <c r="AY51" s="245">
        <f t="shared" si="9"/>
        <v>1.2365959919080913</v>
      </c>
      <c r="AZ51" s="245">
        <f t="shared" si="10"/>
        <v>1.2434566510799234</v>
      </c>
      <c r="BA51" s="246" t="str">
        <f t="shared" si="11"/>
        <v>(2,4,1,3,1,5)</v>
      </c>
      <c r="BB51" s="30">
        <v>1.05</v>
      </c>
      <c r="BC51" s="30">
        <v>1.1000000000000001</v>
      </c>
      <c r="BD51" s="30">
        <v>1</v>
      </c>
      <c r="BE51" s="30">
        <v>1.02</v>
      </c>
      <c r="BF51" s="30">
        <v>1</v>
      </c>
      <c r="BG51" s="30">
        <v>1.2</v>
      </c>
    </row>
    <row r="52" spans="1:59">
      <c r="A52" s="1305">
        <v>160371</v>
      </c>
      <c r="B52" s="1340"/>
      <c r="C52" s="1306"/>
      <c r="D52" s="1308">
        <v>5</v>
      </c>
      <c r="E52" s="1309" t="s">
        <v>98</v>
      </c>
      <c r="F52" s="1310" t="s">
        <v>242</v>
      </c>
      <c r="G52" s="1311" t="s">
        <v>93</v>
      </c>
      <c r="H52" s="1312" t="s">
        <v>98</v>
      </c>
      <c r="I52" s="1313" t="s">
        <v>98</v>
      </c>
      <c r="J52" s="1314">
        <v>0</v>
      </c>
      <c r="K52" s="1311" t="s">
        <v>115</v>
      </c>
      <c r="L52" s="1311">
        <v>0</v>
      </c>
      <c r="M52" s="1315">
        <v>1</v>
      </c>
      <c r="N52" s="1316">
        <v>2.0741629046031922</v>
      </c>
      <c r="O52" s="1317" t="s">
        <v>3196</v>
      </c>
      <c r="P52" s="1311">
        <v>33423.17</v>
      </c>
      <c r="Q52" s="1315">
        <v>1</v>
      </c>
      <c r="R52" s="1316">
        <v>2.0646254680556719</v>
      </c>
      <c r="S52" s="1317" t="s">
        <v>3193</v>
      </c>
      <c r="T52" s="968"/>
      <c r="U52" s="452"/>
      <c r="V52" s="452"/>
      <c r="W52" s="615"/>
      <c r="X52" s="686">
        <v>3</v>
      </c>
      <c r="Y52" s="686">
        <v>4</v>
      </c>
      <c r="Z52" s="686">
        <v>1</v>
      </c>
      <c r="AA52" s="686">
        <v>3</v>
      </c>
      <c r="AB52" s="686">
        <v>1</v>
      </c>
      <c r="AC52" s="686">
        <v>5</v>
      </c>
      <c r="AD52" s="297">
        <v>5</v>
      </c>
      <c r="AE52" s="6">
        <v>2</v>
      </c>
      <c r="AF52" s="245">
        <f t="shared" si="6"/>
        <v>1.2555818742947564</v>
      </c>
      <c r="AG52" s="245">
        <f t="shared" si="7"/>
        <v>2.0741629046031922</v>
      </c>
      <c r="AH52" s="246" t="str">
        <f t="shared" si="8"/>
        <v>(3,4,1,3,1,5)</v>
      </c>
      <c r="AI52" s="30">
        <v>1.1000000000000001</v>
      </c>
      <c r="AJ52" s="30">
        <v>1.1000000000000001</v>
      </c>
      <c r="AK52" s="30">
        <v>1</v>
      </c>
      <c r="AL52" s="30">
        <v>1.02</v>
      </c>
      <c r="AM52" s="30">
        <v>1</v>
      </c>
      <c r="AN52" s="30">
        <v>1.2</v>
      </c>
      <c r="AP52" s="615" t="s">
        <v>673</v>
      </c>
      <c r="AQ52" s="686">
        <v>2</v>
      </c>
      <c r="AR52" s="686">
        <v>4</v>
      </c>
      <c r="AS52" s="686">
        <v>1</v>
      </c>
      <c r="AT52" s="686">
        <v>3</v>
      </c>
      <c r="AU52" s="686">
        <v>1</v>
      </c>
      <c r="AV52" s="686">
        <v>5</v>
      </c>
      <c r="AW52" s="297">
        <v>5</v>
      </c>
      <c r="AX52" s="6">
        <v>2</v>
      </c>
      <c r="AY52" s="245">
        <f t="shared" si="9"/>
        <v>1.2365959919080913</v>
      </c>
      <c r="AZ52" s="245">
        <f t="shared" si="10"/>
        <v>2.0646254680556719</v>
      </c>
      <c r="BA52" s="246" t="str">
        <f t="shared" si="11"/>
        <v>(2,4,1,3,1,5)</v>
      </c>
      <c r="BB52" s="30">
        <v>1.05</v>
      </c>
      <c r="BC52" s="30">
        <v>1.1000000000000001</v>
      </c>
      <c r="BD52" s="30">
        <v>1</v>
      </c>
      <c r="BE52" s="30">
        <v>1.02</v>
      </c>
      <c r="BF52" s="30">
        <v>1</v>
      </c>
      <c r="BG52" s="30">
        <v>1.2</v>
      </c>
    </row>
    <row r="53" spans="1:59">
      <c r="A53" s="1305">
        <v>269641</v>
      </c>
      <c r="B53" s="1340"/>
      <c r="C53" s="1306"/>
      <c r="D53" s="1362">
        <v>5</v>
      </c>
      <c r="E53" s="1363" t="s">
        <v>98</v>
      </c>
      <c r="F53" s="1355" t="s">
        <v>240</v>
      </c>
      <c r="G53" s="1356" t="s">
        <v>93</v>
      </c>
      <c r="H53" s="1364" t="s">
        <v>98</v>
      </c>
      <c r="I53" s="1357" t="s">
        <v>98</v>
      </c>
      <c r="J53" s="1358">
        <v>0</v>
      </c>
      <c r="K53" s="1356" t="s">
        <v>115</v>
      </c>
      <c r="L53" s="1356">
        <v>0</v>
      </c>
      <c r="M53" s="1359">
        <v>1</v>
      </c>
      <c r="N53" s="1360">
        <v>2.0741629046031922</v>
      </c>
      <c r="O53" s="1361" t="s">
        <v>3196</v>
      </c>
      <c r="P53" s="1356">
        <v>902.01</v>
      </c>
      <c r="Q53" s="1359">
        <v>1</v>
      </c>
      <c r="R53" s="1360">
        <v>2.0646254680556719</v>
      </c>
      <c r="S53" s="1361" t="s">
        <v>3193</v>
      </c>
      <c r="T53" s="968"/>
      <c r="U53" s="452"/>
      <c r="V53" s="452"/>
      <c r="W53" s="615"/>
      <c r="X53" s="686">
        <v>3</v>
      </c>
      <c r="Y53" s="686">
        <v>4</v>
      </c>
      <c r="Z53" s="686">
        <v>1</v>
      </c>
      <c r="AA53" s="686">
        <v>3</v>
      </c>
      <c r="AB53" s="686">
        <v>1</v>
      </c>
      <c r="AC53" s="686">
        <v>5</v>
      </c>
      <c r="AD53" s="297">
        <v>5</v>
      </c>
      <c r="AE53" s="6">
        <v>2</v>
      </c>
      <c r="AF53" s="245">
        <f t="shared" si="6"/>
        <v>1.2555818742947564</v>
      </c>
      <c r="AG53" s="245">
        <f t="shared" si="7"/>
        <v>2.0741629046031922</v>
      </c>
      <c r="AH53" s="246" t="str">
        <f t="shared" si="8"/>
        <v>(3,4,1,3,1,5)</v>
      </c>
      <c r="AI53" s="30">
        <v>1.1000000000000001</v>
      </c>
      <c r="AJ53" s="30">
        <v>1.1000000000000001</v>
      </c>
      <c r="AK53" s="30">
        <v>1</v>
      </c>
      <c r="AL53" s="30">
        <v>1.02</v>
      </c>
      <c r="AM53" s="30">
        <v>1</v>
      </c>
      <c r="AN53" s="30">
        <v>1.2</v>
      </c>
      <c r="AP53" s="615" t="s">
        <v>673</v>
      </c>
      <c r="AQ53" s="686">
        <v>2</v>
      </c>
      <c r="AR53" s="686">
        <v>4</v>
      </c>
      <c r="AS53" s="686">
        <v>1</v>
      </c>
      <c r="AT53" s="686">
        <v>3</v>
      </c>
      <c r="AU53" s="686">
        <v>1</v>
      </c>
      <c r="AV53" s="686">
        <v>5</v>
      </c>
      <c r="AW53" s="297">
        <v>5</v>
      </c>
      <c r="AX53" s="6">
        <v>2</v>
      </c>
      <c r="AY53" s="245">
        <f t="shared" si="9"/>
        <v>1.2365959919080913</v>
      </c>
      <c r="AZ53" s="245">
        <f t="shared" si="10"/>
        <v>2.0646254680556719</v>
      </c>
      <c r="BA53" s="246" t="str">
        <f t="shared" si="11"/>
        <v>(2,4,1,3,1,5)</v>
      </c>
      <c r="BB53" s="30">
        <v>1.05</v>
      </c>
      <c r="BC53" s="30">
        <v>1.1000000000000001</v>
      </c>
      <c r="BD53" s="30">
        <v>1</v>
      </c>
      <c r="BE53" s="30">
        <v>1.02</v>
      </c>
      <c r="BF53" s="30">
        <v>1</v>
      </c>
      <c r="BG53" s="30">
        <v>1.2</v>
      </c>
    </row>
    <row r="54" spans="1:59">
      <c r="A54" s="1305">
        <v>269641</v>
      </c>
      <c r="B54" s="1340"/>
      <c r="C54" s="1306"/>
      <c r="D54" s="1308">
        <v>5</v>
      </c>
      <c r="E54" s="1309" t="s">
        <v>98</v>
      </c>
      <c r="F54" s="1310" t="s">
        <v>240</v>
      </c>
      <c r="G54" s="1311" t="s">
        <v>93</v>
      </c>
      <c r="H54" s="1312" t="s">
        <v>98</v>
      </c>
      <c r="I54" s="1313" t="s">
        <v>98</v>
      </c>
      <c r="J54" s="1314">
        <v>0</v>
      </c>
      <c r="K54" s="1311" t="s">
        <v>115</v>
      </c>
      <c r="L54" s="1311">
        <v>0</v>
      </c>
      <c r="M54" s="1315">
        <v>1</v>
      </c>
      <c r="N54" s="1316">
        <v>2.0741629046031922</v>
      </c>
      <c r="O54" s="1317" t="s">
        <v>3196</v>
      </c>
      <c r="P54" s="1311">
        <v>63382.499999999993</v>
      </c>
      <c r="Q54" s="1315">
        <v>1</v>
      </c>
      <c r="R54" s="1316">
        <v>2.0646254680556719</v>
      </c>
      <c r="S54" s="1317" t="s">
        <v>3193</v>
      </c>
      <c r="T54" s="968"/>
      <c r="U54" s="452"/>
      <c r="V54" s="452"/>
      <c r="W54" s="615"/>
      <c r="X54" s="686">
        <v>3</v>
      </c>
      <c r="Y54" s="686">
        <v>4</v>
      </c>
      <c r="Z54" s="686">
        <v>1</v>
      </c>
      <c r="AA54" s="686">
        <v>3</v>
      </c>
      <c r="AB54" s="686">
        <v>1</v>
      </c>
      <c r="AC54" s="686">
        <v>5</v>
      </c>
      <c r="AD54" s="297">
        <v>5</v>
      </c>
      <c r="AE54" s="6">
        <v>2</v>
      </c>
      <c r="AF54" s="245">
        <f t="shared" si="6"/>
        <v>1.2555818742947564</v>
      </c>
      <c r="AG54" s="245">
        <f t="shared" si="7"/>
        <v>2.0741629046031922</v>
      </c>
      <c r="AH54" s="246" t="str">
        <f t="shared" si="8"/>
        <v>(3,4,1,3,1,5)</v>
      </c>
      <c r="AI54" s="30">
        <v>1.1000000000000001</v>
      </c>
      <c r="AJ54" s="30">
        <v>1.1000000000000001</v>
      </c>
      <c r="AK54" s="30">
        <v>1</v>
      </c>
      <c r="AL54" s="30">
        <v>1.02</v>
      </c>
      <c r="AM54" s="30">
        <v>1</v>
      </c>
      <c r="AN54" s="30">
        <v>1.2</v>
      </c>
      <c r="AP54" s="615" t="s">
        <v>673</v>
      </c>
      <c r="AQ54" s="686">
        <v>2</v>
      </c>
      <c r="AR54" s="686">
        <v>4</v>
      </c>
      <c r="AS54" s="686">
        <v>1</v>
      </c>
      <c r="AT54" s="686">
        <v>3</v>
      </c>
      <c r="AU54" s="686">
        <v>1</v>
      </c>
      <c r="AV54" s="686">
        <v>5</v>
      </c>
      <c r="AW54" s="297">
        <v>5</v>
      </c>
      <c r="AX54" s="6">
        <v>2</v>
      </c>
      <c r="AY54" s="245">
        <f t="shared" si="9"/>
        <v>1.2365959919080913</v>
      </c>
      <c r="AZ54" s="245">
        <f t="shared" si="10"/>
        <v>2.0646254680556719</v>
      </c>
      <c r="BA54" s="246" t="str">
        <f t="shared" si="11"/>
        <v>(2,4,1,3,1,5)</v>
      </c>
      <c r="BB54" s="30">
        <v>1.05</v>
      </c>
      <c r="BC54" s="30">
        <v>1.1000000000000001</v>
      </c>
      <c r="BD54" s="30">
        <v>1</v>
      </c>
      <c r="BE54" s="30">
        <v>1.02</v>
      </c>
      <c r="BF54" s="30">
        <v>1</v>
      </c>
      <c r="BG54" s="30">
        <v>1.2</v>
      </c>
    </row>
    <row r="55" spans="1:59" ht="26.25" customHeight="1">
      <c r="A55" s="1305">
        <v>261895</v>
      </c>
      <c r="B55" s="1340"/>
      <c r="C55" s="1306"/>
      <c r="D55" s="1362">
        <v>5</v>
      </c>
      <c r="E55" s="1363" t="s">
        <v>98</v>
      </c>
      <c r="F55" s="1355" t="s">
        <v>694</v>
      </c>
      <c r="G55" s="1356" t="s">
        <v>245</v>
      </c>
      <c r="H55" s="1364" t="s">
        <v>98</v>
      </c>
      <c r="I55" s="1357" t="s">
        <v>98</v>
      </c>
      <c r="J55" s="1358">
        <v>0</v>
      </c>
      <c r="K55" s="1356" t="s">
        <v>115</v>
      </c>
      <c r="L55" s="1356">
        <v>0</v>
      </c>
      <c r="M55" s="1359">
        <v>1</v>
      </c>
      <c r="N55" s="1360">
        <v>2.0741629046031922</v>
      </c>
      <c r="O55" s="1361" t="s">
        <v>3196</v>
      </c>
      <c r="P55" s="1356">
        <v>66.680000000000007</v>
      </c>
      <c r="Q55" s="1359">
        <v>1</v>
      </c>
      <c r="R55" s="1360">
        <v>2.0646254680556719</v>
      </c>
      <c r="S55" s="1361" t="s">
        <v>3193</v>
      </c>
      <c r="T55" s="968"/>
      <c r="U55" s="452"/>
      <c r="V55" s="452"/>
      <c r="W55" s="615"/>
      <c r="X55" s="686">
        <v>3</v>
      </c>
      <c r="Y55" s="686">
        <v>4</v>
      </c>
      <c r="Z55" s="686">
        <v>1</v>
      </c>
      <c r="AA55" s="686">
        <v>3</v>
      </c>
      <c r="AB55" s="686">
        <v>1</v>
      </c>
      <c r="AC55" s="686">
        <v>5</v>
      </c>
      <c r="AD55" s="297">
        <v>5</v>
      </c>
      <c r="AE55" s="6">
        <v>2</v>
      </c>
      <c r="AF55" s="245">
        <f t="shared" si="6"/>
        <v>1.2555818742947564</v>
      </c>
      <c r="AG55" s="245">
        <f t="shared" si="7"/>
        <v>2.0741629046031922</v>
      </c>
      <c r="AH55" s="246" t="str">
        <f t="shared" si="8"/>
        <v>(3,4,1,3,1,5)</v>
      </c>
      <c r="AI55" s="30">
        <v>1.1000000000000001</v>
      </c>
      <c r="AJ55" s="30">
        <v>1.1000000000000001</v>
      </c>
      <c r="AK55" s="30">
        <v>1</v>
      </c>
      <c r="AL55" s="30">
        <v>1.02</v>
      </c>
      <c r="AM55" s="30">
        <v>1</v>
      </c>
      <c r="AN55" s="30">
        <v>1.2</v>
      </c>
      <c r="AP55" s="615" t="s">
        <v>673</v>
      </c>
      <c r="AQ55" s="686">
        <v>2</v>
      </c>
      <c r="AR55" s="686">
        <v>4</v>
      </c>
      <c r="AS55" s="686">
        <v>1</v>
      </c>
      <c r="AT55" s="686">
        <v>3</v>
      </c>
      <c r="AU55" s="686">
        <v>1</v>
      </c>
      <c r="AV55" s="686">
        <v>5</v>
      </c>
      <c r="AW55" s="297">
        <v>5</v>
      </c>
      <c r="AX55" s="6">
        <v>2</v>
      </c>
      <c r="AY55" s="245">
        <f t="shared" si="9"/>
        <v>1.2365959919080913</v>
      </c>
      <c r="AZ55" s="245">
        <f t="shared" si="10"/>
        <v>2.0646254680556719</v>
      </c>
      <c r="BA55" s="246" t="str">
        <f t="shared" si="11"/>
        <v>(2,4,1,3,1,5)</v>
      </c>
      <c r="BB55" s="30">
        <v>1.05</v>
      </c>
      <c r="BC55" s="30">
        <v>1.1000000000000001</v>
      </c>
      <c r="BD55" s="30">
        <v>1</v>
      </c>
      <c r="BE55" s="30">
        <v>1.02</v>
      </c>
      <c r="BF55" s="30">
        <v>1</v>
      </c>
      <c r="BG55" s="30">
        <v>1.2</v>
      </c>
    </row>
    <row r="56" spans="1:59" ht="36" customHeight="1">
      <c r="A56" s="1305">
        <v>79235</v>
      </c>
      <c r="B56" s="1307" t="s">
        <v>718</v>
      </c>
      <c r="C56" s="1306"/>
      <c r="D56" s="1308">
        <v>5</v>
      </c>
      <c r="E56" s="1309" t="s">
        <v>98</v>
      </c>
      <c r="F56" s="1310" t="s">
        <v>688</v>
      </c>
      <c r="G56" s="1311" t="s">
        <v>340</v>
      </c>
      <c r="H56" s="1312" t="s">
        <v>98</v>
      </c>
      <c r="I56" s="1313" t="s">
        <v>98</v>
      </c>
      <c r="J56" s="1314">
        <v>0</v>
      </c>
      <c r="K56" s="1311" t="s">
        <v>109</v>
      </c>
      <c r="L56" s="1311">
        <v>0</v>
      </c>
      <c r="M56" s="1315">
        <v>1</v>
      </c>
      <c r="N56" s="1316">
        <v>1.2620910621938648</v>
      </c>
      <c r="O56" s="1317" t="s">
        <v>3196</v>
      </c>
      <c r="P56" s="1311">
        <v>20529.000000000011</v>
      </c>
      <c r="Q56" s="1315">
        <v>1</v>
      </c>
      <c r="R56" s="1316">
        <v>1.2434566510799234</v>
      </c>
      <c r="S56" s="1317" t="s">
        <v>3193</v>
      </c>
      <c r="T56" s="968"/>
      <c r="U56" s="452"/>
      <c r="V56" s="452"/>
      <c r="W56" s="615"/>
      <c r="X56" s="686">
        <v>3</v>
      </c>
      <c r="Y56" s="686">
        <v>4</v>
      </c>
      <c r="Z56" s="686">
        <v>1</v>
      </c>
      <c r="AA56" s="686">
        <v>3</v>
      </c>
      <c r="AB56" s="686">
        <v>1</v>
      </c>
      <c r="AC56" s="686">
        <v>5</v>
      </c>
      <c r="AD56" s="297">
        <v>3</v>
      </c>
      <c r="AE56" s="6">
        <v>1.05</v>
      </c>
      <c r="AF56" s="245">
        <f t="shared" si="6"/>
        <v>1.2555818742947564</v>
      </c>
      <c r="AG56" s="245">
        <f t="shared" si="7"/>
        <v>1.2620910621938648</v>
      </c>
      <c r="AH56" s="246" t="str">
        <f t="shared" si="8"/>
        <v>(3,4,1,3,1,5)</v>
      </c>
      <c r="AI56" s="30">
        <v>1.1000000000000001</v>
      </c>
      <c r="AJ56" s="30">
        <v>1.1000000000000001</v>
      </c>
      <c r="AK56" s="30">
        <v>1</v>
      </c>
      <c r="AL56" s="30">
        <v>1.02</v>
      </c>
      <c r="AM56" s="30">
        <v>1</v>
      </c>
      <c r="AN56" s="30">
        <v>1.2</v>
      </c>
      <c r="AP56" s="615" t="s">
        <v>673</v>
      </c>
      <c r="AQ56" s="686">
        <v>2</v>
      </c>
      <c r="AR56" s="686">
        <v>4</v>
      </c>
      <c r="AS56" s="686">
        <v>1</v>
      </c>
      <c r="AT56" s="686">
        <v>3</v>
      </c>
      <c r="AU56" s="686">
        <v>1</v>
      </c>
      <c r="AV56" s="686">
        <v>5</v>
      </c>
      <c r="AW56" s="297">
        <v>3</v>
      </c>
      <c r="AX56" s="6">
        <v>1.05</v>
      </c>
      <c r="AY56" s="245">
        <f t="shared" si="9"/>
        <v>1.2365959919080913</v>
      </c>
      <c r="AZ56" s="245">
        <f t="shared" si="10"/>
        <v>1.2434566510799234</v>
      </c>
      <c r="BA56" s="246" t="str">
        <f t="shared" si="11"/>
        <v>(2,4,1,3,1,5)</v>
      </c>
      <c r="BB56" s="30">
        <v>1.05</v>
      </c>
      <c r="BC56" s="30">
        <v>1.1000000000000001</v>
      </c>
      <c r="BD56" s="30">
        <v>1</v>
      </c>
      <c r="BE56" s="30">
        <v>1.02</v>
      </c>
      <c r="BF56" s="30">
        <v>1</v>
      </c>
      <c r="BG56" s="30">
        <v>1.2</v>
      </c>
    </row>
    <row r="57" spans="1:59" ht="23.25" customHeight="1">
      <c r="A57" s="1305">
        <v>267287</v>
      </c>
      <c r="B57" s="1340"/>
      <c r="C57" s="1306"/>
      <c r="D57" s="1362">
        <v>5</v>
      </c>
      <c r="E57" s="1363" t="s">
        <v>98</v>
      </c>
      <c r="F57" s="1355" t="s">
        <v>690</v>
      </c>
      <c r="G57" s="1356" t="s">
        <v>154</v>
      </c>
      <c r="H57" s="1364" t="s">
        <v>98</v>
      </c>
      <c r="I57" s="1357" t="s">
        <v>98</v>
      </c>
      <c r="J57" s="1358">
        <v>0</v>
      </c>
      <c r="K57" s="1356" t="s">
        <v>104</v>
      </c>
      <c r="L57" s="1356">
        <v>0</v>
      </c>
      <c r="M57" s="1359">
        <v>1</v>
      </c>
      <c r="N57" s="1360">
        <v>1.2620910621938648</v>
      </c>
      <c r="O57" s="1361" t="s">
        <v>3196</v>
      </c>
      <c r="P57" s="1356">
        <v>2018798.694020737</v>
      </c>
      <c r="Q57" s="1359">
        <v>1</v>
      </c>
      <c r="R57" s="1360">
        <v>1.2434566510799234</v>
      </c>
      <c r="S57" s="1361" t="s">
        <v>3202</v>
      </c>
      <c r="T57" s="968"/>
      <c r="U57" s="452"/>
      <c r="V57" s="452"/>
      <c r="W57" s="615"/>
      <c r="X57" s="686">
        <v>3</v>
      </c>
      <c r="Y57" s="686">
        <v>4</v>
      </c>
      <c r="Z57" s="686">
        <v>1</v>
      </c>
      <c r="AA57" s="686">
        <v>3</v>
      </c>
      <c r="AB57" s="686">
        <v>1</v>
      </c>
      <c r="AC57" s="686">
        <v>5</v>
      </c>
      <c r="AD57" s="297">
        <v>1</v>
      </c>
      <c r="AE57" s="6">
        <v>1.05</v>
      </c>
      <c r="AF57" s="245">
        <f t="shared" si="6"/>
        <v>1.2555818742947564</v>
      </c>
      <c r="AG57" s="245">
        <f t="shared" si="7"/>
        <v>1.2620910621938648</v>
      </c>
      <c r="AH57" s="246" t="str">
        <f t="shared" si="8"/>
        <v>(3,4,1,3,1,5)</v>
      </c>
      <c r="AI57" s="30">
        <v>1.1000000000000001</v>
      </c>
      <c r="AJ57" s="30">
        <v>1.1000000000000001</v>
      </c>
      <c r="AK57" s="30">
        <v>1</v>
      </c>
      <c r="AL57" s="30">
        <v>1.02</v>
      </c>
      <c r="AM57" s="30">
        <v>1</v>
      </c>
      <c r="AN57" s="30">
        <v>1.2</v>
      </c>
      <c r="AP57" s="615" t="s">
        <v>693</v>
      </c>
      <c r="AQ57" s="686">
        <v>2</v>
      </c>
      <c r="AR57" s="686">
        <v>4</v>
      </c>
      <c r="AS57" s="686">
        <v>1</v>
      </c>
      <c r="AT57" s="686">
        <v>3</v>
      </c>
      <c r="AU57" s="686">
        <v>1</v>
      </c>
      <c r="AV57" s="686">
        <v>5</v>
      </c>
      <c r="AW57" s="297">
        <v>1</v>
      </c>
      <c r="AX57" s="6">
        <v>1.05</v>
      </c>
      <c r="AY57" s="245">
        <f t="shared" si="9"/>
        <v>1.2365959919080913</v>
      </c>
      <c r="AZ57" s="245">
        <f t="shared" si="10"/>
        <v>1.2434566510799234</v>
      </c>
      <c r="BA57" s="246" t="str">
        <f t="shared" si="11"/>
        <v>(2,4,1,3,1,5)</v>
      </c>
      <c r="BB57" s="30">
        <v>1.05</v>
      </c>
      <c r="BC57" s="30">
        <v>1.1000000000000001</v>
      </c>
      <c r="BD57" s="30">
        <v>1</v>
      </c>
      <c r="BE57" s="30">
        <v>1.02</v>
      </c>
      <c r="BF57" s="30">
        <v>1</v>
      </c>
      <c r="BG57" s="30">
        <v>1.2</v>
      </c>
    </row>
    <row r="58" spans="1:59">
      <c r="A58" s="1305">
        <v>160371</v>
      </c>
      <c r="B58" s="1340"/>
      <c r="C58" s="1306"/>
      <c r="D58" s="1308">
        <v>5</v>
      </c>
      <c r="E58" s="1309" t="s">
        <v>98</v>
      </c>
      <c r="F58" s="1310" t="s">
        <v>242</v>
      </c>
      <c r="G58" s="1311" t="s">
        <v>93</v>
      </c>
      <c r="H58" s="1312" t="s">
        <v>98</v>
      </c>
      <c r="I58" s="1313" t="s">
        <v>98</v>
      </c>
      <c r="J58" s="1314">
        <v>0</v>
      </c>
      <c r="K58" s="1311" t="s">
        <v>115</v>
      </c>
      <c r="L58" s="1311">
        <v>0</v>
      </c>
      <c r="M58" s="1315">
        <v>1</v>
      </c>
      <c r="N58" s="1316">
        <v>2.0741629046031922</v>
      </c>
      <c r="O58" s="1317" t="s">
        <v>3196</v>
      </c>
      <c r="P58" s="1311">
        <v>1108.2</v>
      </c>
      <c r="Q58" s="1315">
        <v>1</v>
      </c>
      <c r="R58" s="1316">
        <v>2.0646254680556719</v>
      </c>
      <c r="S58" s="1317" t="s">
        <v>3193</v>
      </c>
      <c r="T58" s="968"/>
      <c r="U58" s="452"/>
      <c r="V58" s="452"/>
      <c r="W58" s="615"/>
      <c r="X58" s="686">
        <v>3</v>
      </c>
      <c r="Y58" s="686">
        <v>4</v>
      </c>
      <c r="Z58" s="686">
        <v>1</v>
      </c>
      <c r="AA58" s="686">
        <v>3</v>
      </c>
      <c r="AB58" s="686">
        <v>1</v>
      </c>
      <c r="AC58" s="686">
        <v>5</v>
      </c>
      <c r="AD58" s="297">
        <v>5</v>
      </c>
      <c r="AE58" s="6">
        <v>2</v>
      </c>
      <c r="AF58" s="245">
        <f t="shared" si="6"/>
        <v>1.2555818742947564</v>
      </c>
      <c r="AG58" s="245">
        <f t="shared" si="7"/>
        <v>2.0741629046031922</v>
      </c>
      <c r="AH58" s="246" t="str">
        <f t="shared" si="8"/>
        <v>(3,4,1,3,1,5)</v>
      </c>
      <c r="AI58" s="30">
        <v>1.1000000000000001</v>
      </c>
      <c r="AJ58" s="30">
        <v>1.1000000000000001</v>
      </c>
      <c r="AK58" s="30">
        <v>1</v>
      </c>
      <c r="AL58" s="30">
        <v>1.02</v>
      </c>
      <c r="AM58" s="30">
        <v>1</v>
      </c>
      <c r="AN58" s="30">
        <v>1.2</v>
      </c>
      <c r="AP58" s="615" t="s">
        <v>673</v>
      </c>
      <c r="AQ58" s="686">
        <v>2</v>
      </c>
      <c r="AR58" s="686">
        <v>4</v>
      </c>
      <c r="AS58" s="686">
        <v>1</v>
      </c>
      <c r="AT58" s="686">
        <v>3</v>
      </c>
      <c r="AU58" s="686">
        <v>1</v>
      </c>
      <c r="AV58" s="686">
        <v>5</v>
      </c>
      <c r="AW58" s="297">
        <v>5</v>
      </c>
      <c r="AX58" s="6">
        <v>2</v>
      </c>
      <c r="AY58" s="245">
        <f t="shared" si="9"/>
        <v>1.2365959919080913</v>
      </c>
      <c r="AZ58" s="245">
        <f t="shared" si="10"/>
        <v>2.0646254680556719</v>
      </c>
      <c r="BA58" s="246" t="str">
        <f t="shared" si="11"/>
        <v>(2,4,1,3,1,5)</v>
      </c>
      <c r="BB58" s="30">
        <v>1.05</v>
      </c>
      <c r="BC58" s="30">
        <v>1.1000000000000001</v>
      </c>
      <c r="BD58" s="30">
        <v>1</v>
      </c>
      <c r="BE58" s="30">
        <v>1.02</v>
      </c>
      <c r="BF58" s="30">
        <v>1</v>
      </c>
      <c r="BG58" s="30">
        <v>1.2</v>
      </c>
    </row>
    <row r="59" spans="1:59">
      <c r="A59" s="1305">
        <v>160371</v>
      </c>
      <c r="B59" s="1340"/>
      <c r="C59" s="1306"/>
      <c r="D59" s="1362">
        <v>5</v>
      </c>
      <c r="E59" s="1363" t="s">
        <v>98</v>
      </c>
      <c r="F59" s="1355" t="s">
        <v>242</v>
      </c>
      <c r="G59" s="1356" t="s">
        <v>93</v>
      </c>
      <c r="H59" s="1364" t="s">
        <v>98</v>
      </c>
      <c r="I59" s="1357" t="s">
        <v>98</v>
      </c>
      <c r="J59" s="1358">
        <v>0</v>
      </c>
      <c r="K59" s="1356" t="s">
        <v>115</v>
      </c>
      <c r="L59" s="1356">
        <v>0</v>
      </c>
      <c r="M59" s="1359">
        <v>1</v>
      </c>
      <c r="N59" s="1360">
        <v>2.0741629046031922</v>
      </c>
      <c r="O59" s="1361" t="s">
        <v>3196</v>
      </c>
      <c r="P59" s="1356">
        <v>43788.6</v>
      </c>
      <c r="Q59" s="1359">
        <v>1</v>
      </c>
      <c r="R59" s="1360">
        <v>2.0646254680556719</v>
      </c>
      <c r="S59" s="1361" t="s">
        <v>3206</v>
      </c>
      <c r="T59" s="968"/>
      <c r="U59" s="452"/>
      <c r="V59" s="452"/>
      <c r="W59" s="615"/>
      <c r="X59" s="686">
        <v>3</v>
      </c>
      <c r="Y59" s="686">
        <v>4</v>
      </c>
      <c r="Z59" s="686">
        <v>1</v>
      </c>
      <c r="AA59" s="686">
        <v>3</v>
      </c>
      <c r="AB59" s="686">
        <v>1</v>
      </c>
      <c r="AC59" s="686">
        <v>5</v>
      </c>
      <c r="AD59" s="297">
        <v>5</v>
      </c>
      <c r="AE59" s="6">
        <v>2</v>
      </c>
      <c r="AF59" s="245">
        <f t="shared" si="6"/>
        <v>1.2555818742947564</v>
      </c>
      <c r="AG59" s="245">
        <f t="shared" si="7"/>
        <v>2.0741629046031922</v>
      </c>
      <c r="AH59" s="246" t="str">
        <f t="shared" si="8"/>
        <v>(3,4,1,3,1,5)</v>
      </c>
      <c r="AI59" s="30">
        <v>1.1000000000000001</v>
      </c>
      <c r="AJ59" s="30">
        <v>1.1000000000000001</v>
      </c>
      <c r="AK59" s="30">
        <v>1</v>
      </c>
      <c r="AL59" s="30">
        <v>1.02</v>
      </c>
      <c r="AM59" s="30">
        <v>1</v>
      </c>
      <c r="AN59" s="30">
        <v>1.2</v>
      </c>
      <c r="AP59" s="615" t="s">
        <v>719</v>
      </c>
      <c r="AQ59" s="686">
        <v>2</v>
      </c>
      <c r="AR59" s="686">
        <v>4</v>
      </c>
      <c r="AS59" s="686">
        <v>1</v>
      </c>
      <c r="AT59" s="686">
        <v>3</v>
      </c>
      <c r="AU59" s="686">
        <v>1</v>
      </c>
      <c r="AV59" s="686">
        <v>5</v>
      </c>
      <c r="AW59" s="297">
        <v>5</v>
      </c>
      <c r="AX59" s="6">
        <v>2</v>
      </c>
      <c r="AY59" s="245">
        <f t="shared" si="9"/>
        <v>1.2365959919080913</v>
      </c>
      <c r="AZ59" s="245">
        <f t="shared" si="10"/>
        <v>2.0646254680556719</v>
      </c>
      <c r="BA59" s="246" t="str">
        <f t="shared" si="11"/>
        <v>(2,4,1,3,1,5)</v>
      </c>
      <c r="BB59" s="30">
        <v>1.05</v>
      </c>
      <c r="BC59" s="30">
        <v>1.1000000000000001</v>
      </c>
      <c r="BD59" s="30">
        <v>1</v>
      </c>
      <c r="BE59" s="30">
        <v>1.02</v>
      </c>
      <c r="BF59" s="30">
        <v>1</v>
      </c>
      <c r="BG59" s="30">
        <v>1.2</v>
      </c>
    </row>
    <row r="60" spans="1:59">
      <c r="A60" s="1305">
        <v>269609</v>
      </c>
      <c r="B60" s="1340"/>
      <c r="C60" s="1306"/>
      <c r="D60" s="1308">
        <v>5</v>
      </c>
      <c r="E60" s="1309" t="s">
        <v>98</v>
      </c>
      <c r="F60" s="1310" t="s">
        <v>720</v>
      </c>
      <c r="G60" s="1311" t="s">
        <v>93</v>
      </c>
      <c r="H60" s="1312" t="s">
        <v>98</v>
      </c>
      <c r="I60" s="1313" t="s">
        <v>98</v>
      </c>
      <c r="J60" s="1314">
        <v>0</v>
      </c>
      <c r="K60" s="1311" t="s">
        <v>115</v>
      </c>
      <c r="L60" s="1311">
        <v>0</v>
      </c>
      <c r="M60" s="1315">
        <v>1</v>
      </c>
      <c r="N60" s="1316">
        <v>2.0741629046031922</v>
      </c>
      <c r="O60" s="1317" t="s">
        <v>3196</v>
      </c>
      <c r="P60" s="1311">
        <v>2824.6</v>
      </c>
      <c r="Q60" s="1315">
        <v>1</v>
      </c>
      <c r="R60" s="1316">
        <v>2.0646254680556719</v>
      </c>
      <c r="S60" s="1317" t="s">
        <v>3193</v>
      </c>
      <c r="T60" s="968"/>
      <c r="U60" s="452"/>
      <c r="V60" s="452"/>
      <c r="W60" s="615"/>
      <c r="X60" s="686">
        <v>3</v>
      </c>
      <c r="Y60" s="686">
        <v>4</v>
      </c>
      <c r="Z60" s="686">
        <v>1</v>
      </c>
      <c r="AA60" s="686">
        <v>3</v>
      </c>
      <c r="AB60" s="686">
        <v>1</v>
      </c>
      <c r="AC60" s="686">
        <v>5</v>
      </c>
      <c r="AD60" s="297">
        <v>5</v>
      </c>
      <c r="AE60" s="6">
        <v>2</v>
      </c>
      <c r="AF60" s="245">
        <f t="shared" si="6"/>
        <v>1.2555818742947564</v>
      </c>
      <c r="AG60" s="245">
        <f t="shared" si="7"/>
        <v>2.0741629046031922</v>
      </c>
      <c r="AH60" s="246" t="str">
        <f t="shared" si="8"/>
        <v>(3,4,1,3,1,5)</v>
      </c>
      <c r="AI60" s="30">
        <v>1.1000000000000001</v>
      </c>
      <c r="AJ60" s="30">
        <v>1.1000000000000001</v>
      </c>
      <c r="AK60" s="30">
        <v>1</v>
      </c>
      <c r="AL60" s="30">
        <v>1.02</v>
      </c>
      <c r="AM60" s="30">
        <v>1</v>
      </c>
      <c r="AN60" s="30">
        <v>1.2</v>
      </c>
      <c r="AP60" s="615" t="s">
        <v>673</v>
      </c>
      <c r="AQ60" s="686">
        <v>2</v>
      </c>
      <c r="AR60" s="686">
        <v>4</v>
      </c>
      <c r="AS60" s="686">
        <v>1</v>
      </c>
      <c r="AT60" s="686">
        <v>3</v>
      </c>
      <c r="AU60" s="686">
        <v>1</v>
      </c>
      <c r="AV60" s="686">
        <v>5</v>
      </c>
      <c r="AW60" s="297">
        <v>5</v>
      </c>
      <c r="AX60" s="6">
        <v>2</v>
      </c>
      <c r="AY60" s="245">
        <f t="shared" si="9"/>
        <v>1.2365959919080913</v>
      </c>
      <c r="AZ60" s="245">
        <f t="shared" si="10"/>
        <v>2.0646254680556719</v>
      </c>
      <c r="BA60" s="246" t="str">
        <f t="shared" si="11"/>
        <v>(2,4,1,3,1,5)</v>
      </c>
      <c r="BB60" s="30">
        <v>1.05</v>
      </c>
      <c r="BC60" s="30">
        <v>1.1000000000000001</v>
      </c>
      <c r="BD60" s="30">
        <v>1</v>
      </c>
      <c r="BE60" s="30">
        <v>1.02</v>
      </c>
      <c r="BF60" s="30">
        <v>1</v>
      </c>
      <c r="BG60" s="30">
        <v>1.2</v>
      </c>
    </row>
    <row r="61" spans="1:59">
      <c r="A61" s="1305">
        <v>269641</v>
      </c>
      <c r="B61" s="1340"/>
      <c r="C61" s="1306"/>
      <c r="D61" s="1362">
        <v>5</v>
      </c>
      <c r="E61" s="1363" t="s">
        <v>98</v>
      </c>
      <c r="F61" s="1355" t="s">
        <v>240</v>
      </c>
      <c r="G61" s="1356" t="s">
        <v>93</v>
      </c>
      <c r="H61" s="1364" t="s">
        <v>98</v>
      </c>
      <c r="I61" s="1357" t="s">
        <v>98</v>
      </c>
      <c r="J61" s="1358">
        <v>0</v>
      </c>
      <c r="K61" s="1356" t="s">
        <v>115</v>
      </c>
      <c r="L61" s="1356">
        <v>0</v>
      </c>
      <c r="M61" s="1359">
        <v>1</v>
      </c>
      <c r="N61" s="1360">
        <v>2.0741629046031922</v>
      </c>
      <c r="O61" s="1361" t="s">
        <v>3196</v>
      </c>
      <c r="P61" s="1356">
        <v>1555671.0999999999</v>
      </c>
      <c r="Q61" s="1359">
        <v>1</v>
      </c>
      <c r="R61" s="1360">
        <v>2.0646254680556719</v>
      </c>
      <c r="S61" s="1361" t="s">
        <v>3206</v>
      </c>
      <c r="T61" s="968"/>
      <c r="U61" s="452"/>
      <c r="V61" s="452"/>
      <c r="W61" s="615"/>
      <c r="X61" s="686">
        <v>3</v>
      </c>
      <c r="Y61" s="686">
        <v>4</v>
      </c>
      <c r="Z61" s="686">
        <v>1</v>
      </c>
      <c r="AA61" s="686">
        <v>3</v>
      </c>
      <c r="AB61" s="686">
        <v>1</v>
      </c>
      <c r="AC61" s="686">
        <v>5</v>
      </c>
      <c r="AD61" s="297">
        <v>5</v>
      </c>
      <c r="AE61" s="6">
        <v>2</v>
      </c>
      <c r="AF61" s="245">
        <f t="shared" si="6"/>
        <v>1.2555818742947564</v>
      </c>
      <c r="AG61" s="245">
        <f t="shared" si="7"/>
        <v>2.0741629046031922</v>
      </c>
      <c r="AH61" s="246" t="str">
        <f t="shared" si="8"/>
        <v>(3,4,1,3,1,5)</v>
      </c>
      <c r="AI61" s="30">
        <v>1.1000000000000001</v>
      </c>
      <c r="AJ61" s="30">
        <v>1.1000000000000001</v>
      </c>
      <c r="AK61" s="30">
        <v>1</v>
      </c>
      <c r="AL61" s="30">
        <v>1.02</v>
      </c>
      <c r="AM61" s="30">
        <v>1</v>
      </c>
      <c r="AN61" s="30">
        <v>1.2</v>
      </c>
      <c r="AP61" s="615" t="s">
        <v>719</v>
      </c>
      <c r="AQ61" s="686">
        <v>2</v>
      </c>
      <c r="AR61" s="686">
        <v>4</v>
      </c>
      <c r="AS61" s="686">
        <v>1</v>
      </c>
      <c r="AT61" s="686">
        <v>3</v>
      </c>
      <c r="AU61" s="686">
        <v>1</v>
      </c>
      <c r="AV61" s="686">
        <v>5</v>
      </c>
      <c r="AW61" s="297">
        <v>5</v>
      </c>
      <c r="AX61" s="6">
        <v>2</v>
      </c>
      <c r="AY61" s="245">
        <f t="shared" si="9"/>
        <v>1.2365959919080913</v>
      </c>
      <c r="AZ61" s="245">
        <f t="shared" si="10"/>
        <v>2.0646254680556719</v>
      </c>
      <c r="BA61" s="246" t="str">
        <f t="shared" si="11"/>
        <v>(2,4,1,3,1,5)</v>
      </c>
      <c r="BB61" s="30">
        <v>1.05</v>
      </c>
      <c r="BC61" s="30">
        <v>1.1000000000000001</v>
      </c>
      <c r="BD61" s="30">
        <v>1</v>
      </c>
      <c r="BE61" s="30">
        <v>1.02</v>
      </c>
      <c r="BF61" s="30">
        <v>1</v>
      </c>
      <c r="BG61" s="30">
        <v>1.2</v>
      </c>
    </row>
    <row r="62" spans="1:59" ht="26.25" customHeight="1">
      <c r="A62" s="1305">
        <v>261895</v>
      </c>
      <c r="B62" s="1340"/>
      <c r="C62" s="1306"/>
      <c r="D62" s="1308">
        <v>5</v>
      </c>
      <c r="E62" s="1309" t="s">
        <v>98</v>
      </c>
      <c r="F62" s="1310" t="s">
        <v>694</v>
      </c>
      <c r="G62" s="1311" t="s">
        <v>245</v>
      </c>
      <c r="H62" s="1312" t="s">
        <v>98</v>
      </c>
      <c r="I62" s="1313" t="s">
        <v>98</v>
      </c>
      <c r="J62" s="1314">
        <v>0</v>
      </c>
      <c r="K62" s="1311" t="s">
        <v>115</v>
      </c>
      <c r="L62" s="1311">
        <v>0</v>
      </c>
      <c r="M62" s="1315">
        <v>1</v>
      </c>
      <c r="N62" s="1316">
        <v>2.0741629046031922</v>
      </c>
      <c r="O62" s="1317" t="s">
        <v>3196</v>
      </c>
      <c r="P62" s="1311">
        <v>1792899.9</v>
      </c>
      <c r="Q62" s="1315">
        <v>1</v>
      </c>
      <c r="R62" s="1316">
        <v>2.0646254680556719</v>
      </c>
      <c r="S62" s="1317" t="s">
        <v>3193</v>
      </c>
      <c r="T62" s="968"/>
      <c r="U62" s="452"/>
      <c r="V62" s="452"/>
      <c r="W62" s="615"/>
      <c r="X62" s="686">
        <v>3</v>
      </c>
      <c r="Y62" s="686">
        <v>4</v>
      </c>
      <c r="Z62" s="686">
        <v>1</v>
      </c>
      <c r="AA62" s="686">
        <v>3</v>
      </c>
      <c r="AB62" s="686">
        <v>1</v>
      </c>
      <c r="AC62" s="686">
        <v>5</v>
      </c>
      <c r="AD62" s="297">
        <v>5</v>
      </c>
      <c r="AE62" s="6">
        <v>2</v>
      </c>
      <c r="AF62" s="245">
        <f t="shared" si="6"/>
        <v>1.2555818742947564</v>
      </c>
      <c r="AG62" s="245">
        <f t="shared" si="7"/>
        <v>2.0741629046031922</v>
      </c>
      <c r="AH62" s="246" t="str">
        <f t="shared" si="8"/>
        <v>(3,4,1,3,1,5)</v>
      </c>
      <c r="AI62" s="30">
        <v>1.1000000000000001</v>
      </c>
      <c r="AJ62" s="30">
        <v>1.1000000000000001</v>
      </c>
      <c r="AK62" s="30">
        <v>1</v>
      </c>
      <c r="AL62" s="30">
        <v>1.02</v>
      </c>
      <c r="AM62" s="30">
        <v>1</v>
      </c>
      <c r="AN62" s="30">
        <v>1.2</v>
      </c>
      <c r="AP62" s="615" t="s">
        <v>673</v>
      </c>
      <c r="AQ62" s="686">
        <v>2</v>
      </c>
      <c r="AR62" s="686">
        <v>4</v>
      </c>
      <c r="AS62" s="686">
        <v>1</v>
      </c>
      <c r="AT62" s="686">
        <v>3</v>
      </c>
      <c r="AU62" s="686">
        <v>1</v>
      </c>
      <c r="AV62" s="686">
        <v>5</v>
      </c>
      <c r="AW62" s="297">
        <v>5</v>
      </c>
      <c r="AX62" s="6">
        <v>2</v>
      </c>
      <c r="AY62" s="245">
        <f t="shared" si="9"/>
        <v>1.2365959919080913</v>
      </c>
      <c r="AZ62" s="245">
        <f t="shared" si="10"/>
        <v>2.0646254680556719</v>
      </c>
      <c r="BA62" s="246" t="str">
        <f t="shared" si="11"/>
        <v>(2,4,1,3,1,5)</v>
      </c>
      <c r="BB62" s="30">
        <v>1.05</v>
      </c>
      <c r="BC62" s="30">
        <v>1.1000000000000001</v>
      </c>
      <c r="BD62" s="30">
        <v>1</v>
      </c>
      <c r="BE62" s="30">
        <v>1.02</v>
      </c>
      <c r="BF62" s="30">
        <v>1</v>
      </c>
      <c r="BG62" s="30">
        <v>1.2</v>
      </c>
    </row>
    <row r="63" spans="1:59" ht="24" customHeight="1">
      <c r="A63" s="1305">
        <v>79235</v>
      </c>
      <c r="B63" s="1307" t="s">
        <v>721</v>
      </c>
      <c r="C63" s="1306"/>
      <c r="D63" s="1362">
        <v>5</v>
      </c>
      <c r="E63" s="1363" t="s">
        <v>98</v>
      </c>
      <c r="F63" s="1355" t="s">
        <v>688</v>
      </c>
      <c r="G63" s="1356" t="s">
        <v>340</v>
      </c>
      <c r="H63" s="1364" t="s">
        <v>98</v>
      </c>
      <c r="I63" s="1357" t="s">
        <v>98</v>
      </c>
      <c r="J63" s="1358">
        <v>0</v>
      </c>
      <c r="K63" s="1356" t="s">
        <v>109</v>
      </c>
      <c r="L63" s="1356">
        <v>0</v>
      </c>
      <c r="M63" s="1359">
        <v>1</v>
      </c>
      <c r="N63" s="1360">
        <v>1.2620910621938648</v>
      </c>
      <c r="O63" s="1361" t="s">
        <v>3196</v>
      </c>
      <c r="P63" s="1356">
        <v>1363.3000000000011</v>
      </c>
      <c r="Q63" s="1359">
        <v>1</v>
      </c>
      <c r="R63" s="1360">
        <v>1.2434566510799234</v>
      </c>
      <c r="S63" s="1361" t="s">
        <v>3193</v>
      </c>
      <c r="T63" s="968"/>
      <c r="U63" s="452"/>
      <c r="V63" s="452"/>
      <c r="W63" s="615"/>
      <c r="X63" s="686">
        <v>3</v>
      </c>
      <c r="Y63" s="686">
        <v>4</v>
      </c>
      <c r="Z63" s="686">
        <v>1</v>
      </c>
      <c r="AA63" s="686">
        <v>3</v>
      </c>
      <c r="AB63" s="686">
        <v>1</v>
      </c>
      <c r="AC63" s="686">
        <v>5</v>
      </c>
      <c r="AD63" s="297">
        <v>3</v>
      </c>
      <c r="AE63" s="6">
        <v>1.05</v>
      </c>
      <c r="AF63" s="245">
        <f t="shared" si="6"/>
        <v>1.2555818742947564</v>
      </c>
      <c r="AG63" s="245">
        <f t="shared" si="7"/>
        <v>1.2620910621938648</v>
      </c>
      <c r="AH63" s="246" t="str">
        <f t="shared" si="8"/>
        <v>(3,4,1,3,1,5)</v>
      </c>
      <c r="AI63" s="30">
        <v>1.1000000000000001</v>
      </c>
      <c r="AJ63" s="30">
        <v>1.1000000000000001</v>
      </c>
      <c r="AK63" s="30">
        <v>1</v>
      </c>
      <c r="AL63" s="30">
        <v>1.02</v>
      </c>
      <c r="AM63" s="30">
        <v>1</v>
      </c>
      <c r="AN63" s="30">
        <v>1.2</v>
      </c>
      <c r="AP63" s="615" t="s">
        <v>673</v>
      </c>
      <c r="AQ63" s="686">
        <v>2</v>
      </c>
      <c r="AR63" s="686">
        <v>4</v>
      </c>
      <c r="AS63" s="686">
        <v>1</v>
      </c>
      <c r="AT63" s="686">
        <v>3</v>
      </c>
      <c r="AU63" s="686">
        <v>1</v>
      </c>
      <c r="AV63" s="686">
        <v>5</v>
      </c>
      <c r="AW63" s="297">
        <v>3</v>
      </c>
      <c r="AX63" s="6">
        <v>1.05</v>
      </c>
      <c r="AY63" s="245">
        <f t="shared" si="9"/>
        <v>1.2365959919080913</v>
      </c>
      <c r="AZ63" s="245">
        <f t="shared" si="10"/>
        <v>1.2434566510799234</v>
      </c>
      <c r="BA63" s="246" t="str">
        <f t="shared" si="11"/>
        <v>(2,4,1,3,1,5)</v>
      </c>
      <c r="BB63" s="30">
        <v>1.05</v>
      </c>
      <c r="BC63" s="30">
        <v>1.1000000000000001</v>
      </c>
      <c r="BD63" s="30">
        <v>1</v>
      </c>
      <c r="BE63" s="30">
        <v>1.02</v>
      </c>
      <c r="BF63" s="30">
        <v>1</v>
      </c>
      <c r="BG63" s="30">
        <v>1.2</v>
      </c>
    </row>
    <row r="64" spans="1:59">
      <c r="A64" s="1305">
        <v>263631</v>
      </c>
      <c r="B64" s="1340"/>
      <c r="C64" s="1306"/>
      <c r="D64" s="1308">
        <v>5</v>
      </c>
      <c r="E64" s="1309" t="s">
        <v>98</v>
      </c>
      <c r="F64" s="1310" t="s">
        <v>722</v>
      </c>
      <c r="G64" s="1311" t="s">
        <v>103</v>
      </c>
      <c r="H64" s="1312" t="s">
        <v>98</v>
      </c>
      <c r="I64" s="1313" t="s">
        <v>98</v>
      </c>
      <c r="J64" s="1314">
        <v>0</v>
      </c>
      <c r="K64" s="1311" t="s">
        <v>96</v>
      </c>
      <c r="L64" s="1311">
        <v>0</v>
      </c>
      <c r="M64" s="1315">
        <v>1</v>
      </c>
      <c r="N64" s="1316">
        <v>1.2620910621938648</v>
      </c>
      <c r="O64" s="1317" t="s">
        <v>3196</v>
      </c>
      <c r="P64" s="1311">
        <v>460884.67000000022</v>
      </c>
      <c r="Q64" s="1315">
        <v>1</v>
      </c>
      <c r="R64" s="1316">
        <v>1.2434566510799234</v>
      </c>
      <c r="S64" s="1317" t="s">
        <v>3193</v>
      </c>
      <c r="T64" s="968"/>
      <c r="U64" s="452"/>
      <c r="V64" s="452"/>
      <c r="W64" s="615"/>
      <c r="X64" s="686">
        <v>3</v>
      </c>
      <c r="Y64" s="686">
        <v>4</v>
      </c>
      <c r="Z64" s="686">
        <v>1</v>
      </c>
      <c r="AA64" s="686">
        <v>3</v>
      </c>
      <c r="AB64" s="686">
        <v>1</v>
      </c>
      <c r="AC64" s="686">
        <v>5</v>
      </c>
      <c r="AD64" s="297">
        <v>3</v>
      </c>
      <c r="AE64" s="6">
        <v>1.05</v>
      </c>
      <c r="AF64" s="245">
        <f t="shared" si="6"/>
        <v>1.2555818742947564</v>
      </c>
      <c r="AG64" s="245">
        <f t="shared" si="7"/>
        <v>1.2620910621938648</v>
      </c>
      <c r="AH64" s="246" t="str">
        <f t="shared" si="8"/>
        <v>(3,4,1,3,1,5)</v>
      </c>
      <c r="AI64" s="30">
        <v>1.1000000000000001</v>
      </c>
      <c r="AJ64" s="30">
        <v>1.1000000000000001</v>
      </c>
      <c r="AK64" s="30">
        <v>1</v>
      </c>
      <c r="AL64" s="30">
        <v>1.02</v>
      </c>
      <c r="AM64" s="30">
        <v>1</v>
      </c>
      <c r="AN64" s="30">
        <v>1.2</v>
      </c>
      <c r="AP64" s="615" t="s">
        <v>673</v>
      </c>
      <c r="AQ64" s="686">
        <v>2</v>
      </c>
      <c r="AR64" s="686">
        <v>4</v>
      </c>
      <c r="AS64" s="686">
        <v>1</v>
      </c>
      <c r="AT64" s="686">
        <v>3</v>
      </c>
      <c r="AU64" s="686">
        <v>1</v>
      </c>
      <c r="AV64" s="686">
        <v>5</v>
      </c>
      <c r="AW64" s="297">
        <v>3</v>
      </c>
      <c r="AX64" s="6">
        <v>1.05</v>
      </c>
      <c r="AY64" s="245">
        <f t="shared" si="9"/>
        <v>1.2365959919080913</v>
      </c>
      <c r="AZ64" s="245">
        <f t="shared" si="10"/>
        <v>1.2434566510799234</v>
      </c>
      <c r="BA64" s="246" t="str">
        <f t="shared" si="11"/>
        <v>(2,4,1,3,1,5)</v>
      </c>
      <c r="BB64" s="30">
        <v>1.05</v>
      </c>
      <c r="BC64" s="30">
        <v>1.1000000000000001</v>
      </c>
      <c r="BD64" s="30">
        <v>1</v>
      </c>
      <c r="BE64" s="30">
        <v>1.02</v>
      </c>
      <c r="BF64" s="30">
        <v>1</v>
      </c>
      <c r="BG64" s="30">
        <v>1.2</v>
      </c>
    </row>
    <row r="65" spans="1:59">
      <c r="A65" s="1305">
        <v>268132</v>
      </c>
      <c r="B65" s="1307" t="s">
        <v>723</v>
      </c>
      <c r="C65" s="1306"/>
      <c r="D65" s="1362">
        <v>5</v>
      </c>
      <c r="E65" s="1363" t="s">
        <v>98</v>
      </c>
      <c r="F65" s="1355" t="s">
        <v>724</v>
      </c>
      <c r="G65" s="1356" t="s">
        <v>103</v>
      </c>
      <c r="H65" s="1364" t="s">
        <v>98</v>
      </c>
      <c r="I65" s="1357" t="s">
        <v>98</v>
      </c>
      <c r="J65" s="1358">
        <v>1</v>
      </c>
      <c r="K65" s="1356" t="s">
        <v>725</v>
      </c>
      <c r="L65" s="1356">
        <v>0</v>
      </c>
      <c r="M65" s="1359">
        <v>1</v>
      </c>
      <c r="N65" s="1360">
        <v>3.0708070945678916</v>
      </c>
      <c r="O65" s="1361" t="s">
        <v>3196</v>
      </c>
      <c r="P65" s="1356">
        <v>48793.800000000032</v>
      </c>
      <c r="Q65" s="1359">
        <v>1</v>
      </c>
      <c r="R65" s="1360">
        <v>3.0616345979734279</v>
      </c>
      <c r="S65" s="1361" t="s">
        <v>3193</v>
      </c>
      <c r="T65" s="968"/>
      <c r="U65" s="452"/>
      <c r="V65" s="452"/>
      <c r="W65" s="615"/>
      <c r="X65" s="686">
        <v>3</v>
      </c>
      <c r="Y65" s="686">
        <v>4</v>
      </c>
      <c r="Z65" s="686">
        <v>1</v>
      </c>
      <c r="AA65" s="686">
        <v>3</v>
      </c>
      <c r="AB65" s="686">
        <v>1</v>
      </c>
      <c r="AC65" s="686">
        <v>5</v>
      </c>
      <c r="AD65" s="297">
        <v>9</v>
      </c>
      <c r="AE65" s="6">
        <v>3</v>
      </c>
      <c r="AF65" s="245">
        <f t="shared" si="6"/>
        <v>1.2555818742947564</v>
      </c>
      <c r="AG65" s="245">
        <f t="shared" si="7"/>
        <v>3.0708070945678916</v>
      </c>
      <c r="AH65" s="246" t="str">
        <f t="shared" si="8"/>
        <v>(3,4,1,3,1,5)</v>
      </c>
      <c r="AI65" s="30">
        <v>1.1000000000000001</v>
      </c>
      <c r="AJ65" s="30">
        <v>1.1000000000000001</v>
      </c>
      <c r="AK65" s="30">
        <v>1</v>
      </c>
      <c r="AL65" s="30">
        <v>1.02</v>
      </c>
      <c r="AM65" s="30">
        <v>1</v>
      </c>
      <c r="AN65" s="30">
        <v>1.2</v>
      </c>
      <c r="AP65" s="615" t="s">
        <v>673</v>
      </c>
      <c r="AQ65" s="686">
        <v>2</v>
      </c>
      <c r="AR65" s="686">
        <v>4</v>
      </c>
      <c r="AS65" s="686">
        <v>1</v>
      </c>
      <c r="AT65" s="686">
        <v>3</v>
      </c>
      <c r="AU65" s="686">
        <v>1</v>
      </c>
      <c r="AV65" s="686">
        <v>5</v>
      </c>
      <c r="AW65" s="297">
        <v>9</v>
      </c>
      <c r="AX65" s="6">
        <v>3</v>
      </c>
      <c r="AY65" s="245">
        <f t="shared" si="9"/>
        <v>1.2365959919080913</v>
      </c>
      <c r="AZ65" s="245">
        <f t="shared" si="10"/>
        <v>3.0616345979734279</v>
      </c>
      <c r="BA65" s="246" t="str">
        <f t="shared" si="11"/>
        <v>(2,4,1,3,1,5)</v>
      </c>
      <c r="BB65" s="30">
        <v>1.05</v>
      </c>
      <c r="BC65" s="30">
        <v>1.1000000000000001</v>
      </c>
      <c r="BD65" s="30">
        <v>1</v>
      </c>
      <c r="BE65" s="30">
        <v>1.02</v>
      </c>
      <c r="BF65" s="30">
        <v>1</v>
      </c>
      <c r="BG65" s="30">
        <v>1.2</v>
      </c>
    </row>
    <row r="66" spans="1:59">
      <c r="A66" s="1305">
        <v>79235</v>
      </c>
      <c r="B66" s="1307" t="s">
        <v>726</v>
      </c>
      <c r="C66" s="1306"/>
      <c r="D66" s="1308">
        <v>5</v>
      </c>
      <c r="E66" s="1309" t="s">
        <v>98</v>
      </c>
      <c r="F66" s="1310" t="s">
        <v>688</v>
      </c>
      <c r="G66" s="1311" t="s">
        <v>340</v>
      </c>
      <c r="H66" s="1312" t="s">
        <v>98</v>
      </c>
      <c r="I66" s="1313" t="s">
        <v>98</v>
      </c>
      <c r="J66" s="1314">
        <v>0</v>
      </c>
      <c r="K66" s="1311" t="s">
        <v>109</v>
      </c>
      <c r="L66" s="1311">
        <v>0</v>
      </c>
      <c r="M66" s="1315">
        <v>1</v>
      </c>
      <c r="N66" s="1316">
        <v>1.2620910621938648</v>
      </c>
      <c r="O66" s="1317" t="s">
        <v>3196</v>
      </c>
      <c r="P66" s="1311">
        <v>1379.18</v>
      </c>
      <c r="Q66" s="1315">
        <v>1</v>
      </c>
      <c r="R66" s="1316">
        <v>1.2434566510799234</v>
      </c>
      <c r="S66" s="1317" t="s">
        <v>3207</v>
      </c>
      <c r="T66" s="968"/>
      <c r="U66" s="452"/>
      <c r="V66" s="452"/>
      <c r="W66" s="615"/>
      <c r="X66" s="686">
        <v>3</v>
      </c>
      <c r="Y66" s="686">
        <v>4</v>
      </c>
      <c r="Z66" s="686">
        <v>1</v>
      </c>
      <c r="AA66" s="686">
        <v>3</v>
      </c>
      <c r="AB66" s="686">
        <v>1</v>
      </c>
      <c r="AC66" s="686">
        <v>5</v>
      </c>
      <c r="AD66" s="297">
        <v>3</v>
      </c>
      <c r="AE66" s="6">
        <v>1.05</v>
      </c>
      <c r="AF66" s="245">
        <f t="shared" si="6"/>
        <v>1.2555818742947564</v>
      </c>
      <c r="AG66" s="245">
        <f t="shared" si="7"/>
        <v>1.2620910621938648</v>
      </c>
      <c r="AH66" s="246" t="str">
        <f t="shared" si="8"/>
        <v>(3,4,1,3,1,5)</v>
      </c>
      <c r="AI66" s="30">
        <v>1.1000000000000001</v>
      </c>
      <c r="AJ66" s="30">
        <v>1.1000000000000001</v>
      </c>
      <c r="AK66" s="30">
        <v>1</v>
      </c>
      <c r="AL66" s="30">
        <v>1.02</v>
      </c>
      <c r="AM66" s="30">
        <v>1</v>
      </c>
      <c r="AN66" s="30">
        <v>1.2</v>
      </c>
      <c r="AP66" s="615" t="s">
        <v>727</v>
      </c>
      <c r="AQ66" s="686">
        <v>2</v>
      </c>
      <c r="AR66" s="686">
        <v>4</v>
      </c>
      <c r="AS66" s="686">
        <v>1</v>
      </c>
      <c r="AT66" s="686">
        <v>3</v>
      </c>
      <c r="AU66" s="686">
        <v>1</v>
      </c>
      <c r="AV66" s="686">
        <v>5</v>
      </c>
      <c r="AW66" s="297">
        <v>3</v>
      </c>
      <c r="AX66" s="6">
        <v>1.05</v>
      </c>
      <c r="AY66" s="245">
        <f t="shared" si="9"/>
        <v>1.2365959919080913</v>
      </c>
      <c r="AZ66" s="245">
        <f t="shared" si="10"/>
        <v>1.2434566510799234</v>
      </c>
      <c r="BA66" s="246" t="str">
        <f t="shared" si="11"/>
        <v>(2,4,1,3,1,5)</v>
      </c>
      <c r="BB66" s="30">
        <v>1.05</v>
      </c>
      <c r="BC66" s="30">
        <v>1.1000000000000001</v>
      </c>
      <c r="BD66" s="30">
        <v>1</v>
      </c>
      <c r="BE66" s="30">
        <v>1.02</v>
      </c>
      <c r="BF66" s="30">
        <v>1</v>
      </c>
      <c r="BG66" s="30">
        <v>1.2</v>
      </c>
    </row>
    <row r="67" spans="1:59" ht="24" customHeight="1">
      <c r="A67" s="1305">
        <v>254233</v>
      </c>
      <c r="B67" s="1340"/>
      <c r="C67" s="1306"/>
      <c r="D67" s="1362">
        <v>5</v>
      </c>
      <c r="E67" s="1363" t="s">
        <v>98</v>
      </c>
      <c r="F67" s="1355" t="s">
        <v>710</v>
      </c>
      <c r="G67" s="1356" t="s">
        <v>103</v>
      </c>
      <c r="H67" s="1364" t="s">
        <v>98</v>
      </c>
      <c r="I67" s="1357" t="s">
        <v>98</v>
      </c>
      <c r="J67" s="1358">
        <v>0</v>
      </c>
      <c r="K67" s="1356" t="s">
        <v>104</v>
      </c>
      <c r="L67" s="1356">
        <v>0</v>
      </c>
      <c r="M67" s="1359">
        <v>1</v>
      </c>
      <c r="N67" s="1360">
        <v>1.2620910621938648</v>
      </c>
      <c r="O67" s="1361" t="s">
        <v>3196</v>
      </c>
      <c r="P67" s="1356">
        <v>1241.26</v>
      </c>
      <c r="Q67" s="1359">
        <v>1</v>
      </c>
      <c r="R67" s="1360">
        <v>1.2434566510799234</v>
      </c>
      <c r="S67" s="1361" t="s">
        <v>3193</v>
      </c>
      <c r="T67" s="968"/>
      <c r="U67" s="452"/>
      <c r="V67" s="452"/>
      <c r="W67" s="615"/>
      <c r="X67" s="686">
        <v>3</v>
      </c>
      <c r="Y67" s="686">
        <v>4</v>
      </c>
      <c r="Z67" s="686">
        <v>1</v>
      </c>
      <c r="AA67" s="686">
        <v>3</v>
      </c>
      <c r="AB67" s="686">
        <v>1</v>
      </c>
      <c r="AC67" s="686">
        <v>5</v>
      </c>
      <c r="AD67" s="297">
        <v>1</v>
      </c>
      <c r="AE67" s="6">
        <v>1.05</v>
      </c>
      <c r="AF67" s="245">
        <f t="shared" si="6"/>
        <v>1.2555818742947564</v>
      </c>
      <c r="AG67" s="245">
        <f t="shared" si="7"/>
        <v>1.2620910621938648</v>
      </c>
      <c r="AH67" s="246" t="str">
        <f t="shared" si="8"/>
        <v>(3,4,1,3,1,5)</v>
      </c>
      <c r="AI67" s="30">
        <v>1.1000000000000001</v>
      </c>
      <c r="AJ67" s="30">
        <v>1.1000000000000001</v>
      </c>
      <c r="AK67" s="30">
        <v>1</v>
      </c>
      <c r="AL67" s="30">
        <v>1.02</v>
      </c>
      <c r="AM67" s="30">
        <v>1</v>
      </c>
      <c r="AN67" s="30">
        <v>1.2</v>
      </c>
      <c r="AP67" s="615" t="s">
        <v>673</v>
      </c>
      <c r="AQ67" s="686">
        <v>2</v>
      </c>
      <c r="AR67" s="686">
        <v>4</v>
      </c>
      <c r="AS67" s="686">
        <v>1</v>
      </c>
      <c r="AT67" s="686">
        <v>3</v>
      </c>
      <c r="AU67" s="686">
        <v>1</v>
      </c>
      <c r="AV67" s="686">
        <v>5</v>
      </c>
      <c r="AW67" s="297">
        <v>1</v>
      </c>
      <c r="AX67" s="6">
        <v>1.05</v>
      </c>
      <c r="AY67" s="245">
        <f t="shared" si="9"/>
        <v>1.2365959919080913</v>
      </c>
      <c r="AZ67" s="245">
        <f t="shared" si="10"/>
        <v>1.2434566510799234</v>
      </c>
      <c r="BA67" s="246" t="str">
        <f t="shared" si="11"/>
        <v>(2,4,1,3,1,5)</v>
      </c>
      <c r="BB67" s="30">
        <v>1.05</v>
      </c>
      <c r="BC67" s="30">
        <v>1.1000000000000001</v>
      </c>
      <c r="BD67" s="30">
        <v>1</v>
      </c>
      <c r="BE67" s="30">
        <v>1.02</v>
      </c>
      <c r="BF67" s="30">
        <v>1</v>
      </c>
      <c r="BG67" s="30">
        <v>1.2</v>
      </c>
    </row>
    <row r="68" spans="1:59" ht="24" customHeight="1">
      <c r="A68" s="1305">
        <v>263015</v>
      </c>
      <c r="B68" s="1340"/>
      <c r="C68" s="1306"/>
      <c r="D68" s="1308">
        <v>5</v>
      </c>
      <c r="E68" s="1309" t="s">
        <v>98</v>
      </c>
      <c r="F68" s="1310" t="s">
        <v>677</v>
      </c>
      <c r="G68" s="1311" t="s">
        <v>103</v>
      </c>
      <c r="H68" s="1312" t="s">
        <v>98</v>
      </c>
      <c r="I68" s="1313" t="s">
        <v>98</v>
      </c>
      <c r="J68" s="1314">
        <v>0</v>
      </c>
      <c r="K68" s="1311" t="s">
        <v>96</v>
      </c>
      <c r="L68" s="1311">
        <v>0</v>
      </c>
      <c r="M68" s="1315">
        <v>1</v>
      </c>
      <c r="N68" s="1316">
        <v>1.2620910621938648</v>
      </c>
      <c r="O68" s="1317" t="s">
        <v>3196</v>
      </c>
      <c r="P68" s="1311">
        <v>66084.799999999988</v>
      </c>
      <c r="Q68" s="1315">
        <v>1</v>
      </c>
      <c r="R68" s="1316">
        <v>1.2434566510799234</v>
      </c>
      <c r="S68" s="1317" t="s">
        <v>3193</v>
      </c>
      <c r="T68" s="968"/>
      <c r="U68" s="452"/>
      <c r="V68" s="452"/>
      <c r="W68" s="615"/>
      <c r="X68" s="686">
        <v>3</v>
      </c>
      <c r="Y68" s="686">
        <v>4</v>
      </c>
      <c r="Z68" s="686">
        <v>1</v>
      </c>
      <c r="AA68" s="686">
        <v>3</v>
      </c>
      <c r="AB68" s="686">
        <v>1</v>
      </c>
      <c r="AC68" s="686">
        <v>5</v>
      </c>
      <c r="AD68" s="297">
        <v>3</v>
      </c>
      <c r="AE68" s="6">
        <v>1.05</v>
      </c>
      <c r="AF68" s="245">
        <f t="shared" si="6"/>
        <v>1.2555818742947564</v>
      </c>
      <c r="AG68" s="245">
        <f t="shared" si="7"/>
        <v>1.2620910621938648</v>
      </c>
      <c r="AH68" s="246" t="str">
        <f t="shared" si="8"/>
        <v>(3,4,1,3,1,5)</v>
      </c>
      <c r="AI68" s="30">
        <v>1.1000000000000001</v>
      </c>
      <c r="AJ68" s="30">
        <v>1.1000000000000001</v>
      </c>
      <c r="AK68" s="30">
        <v>1</v>
      </c>
      <c r="AL68" s="30">
        <v>1.02</v>
      </c>
      <c r="AM68" s="30">
        <v>1</v>
      </c>
      <c r="AN68" s="30">
        <v>1.2</v>
      </c>
      <c r="AP68" s="615" t="s">
        <v>673</v>
      </c>
      <c r="AQ68" s="686">
        <v>2</v>
      </c>
      <c r="AR68" s="686">
        <v>4</v>
      </c>
      <c r="AS68" s="686">
        <v>1</v>
      </c>
      <c r="AT68" s="686">
        <v>3</v>
      </c>
      <c r="AU68" s="686">
        <v>1</v>
      </c>
      <c r="AV68" s="686">
        <v>5</v>
      </c>
      <c r="AW68" s="297">
        <v>3</v>
      </c>
      <c r="AX68" s="6">
        <v>1.05</v>
      </c>
      <c r="AY68" s="245">
        <f t="shared" si="9"/>
        <v>1.2365959919080913</v>
      </c>
      <c r="AZ68" s="245">
        <f t="shared" si="10"/>
        <v>1.2434566510799234</v>
      </c>
      <c r="BA68" s="246" t="str">
        <f t="shared" si="11"/>
        <v>(2,4,1,3,1,5)</v>
      </c>
      <c r="BB68" s="30">
        <v>1.05</v>
      </c>
      <c r="BC68" s="30">
        <v>1.1000000000000001</v>
      </c>
      <c r="BD68" s="30">
        <v>1</v>
      </c>
      <c r="BE68" s="30">
        <v>1.02</v>
      </c>
      <c r="BF68" s="30">
        <v>1</v>
      </c>
      <c r="BG68" s="30">
        <v>1.2</v>
      </c>
    </row>
    <row r="69" spans="1:59">
      <c r="A69" s="1305">
        <v>268459</v>
      </c>
      <c r="B69" s="1340"/>
      <c r="C69" s="1306"/>
      <c r="D69" s="1362">
        <v>5</v>
      </c>
      <c r="E69" s="1363" t="s">
        <v>98</v>
      </c>
      <c r="F69" s="1355" t="s">
        <v>678</v>
      </c>
      <c r="G69" s="1356" t="s">
        <v>93</v>
      </c>
      <c r="H69" s="1364" t="s">
        <v>98</v>
      </c>
      <c r="I69" s="1357" t="s">
        <v>98</v>
      </c>
      <c r="J69" s="1358">
        <v>0</v>
      </c>
      <c r="K69" s="1356" t="s">
        <v>679</v>
      </c>
      <c r="L69" s="1356">
        <v>0</v>
      </c>
      <c r="M69" s="1359">
        <v>1</v>
      </c>
      <c r="N69" s="1360">
        <v>1.2620910621938648</v>
      </c>
      <c r="O69" s="1361" t="s">
        <v>3196</v>
      </c>
      <c r="P69" s="1356">
        <v>41375.410000000003</v>
      </c>
      <c r="Q69" s="1359">
        <v>1</v>
      </c>
      <c r="R69" s="1360">
        <v>1.2434566510799234</v>
      </c>
      <c r="S69" s="1361" t="s">
        <v>3193</v>
      </c>
      <c r="T69" s="968"/>
      <c r="U69" s="452"/>
      <c r="V69" s="452"/>
      <c r="W69" s="615"/>
      <c r="X69" s="686">
        <v>3</v>
      </c>
      <c r="Y69" s="686">
        <v>4</v>
      </c>
      <c r="Z69" s="686">
        <v>1</v>
      </c>
      <c r="AA69" s="686">
        <v>3</v>
      </c>
      <c r="AB69" s="686">
        <v>1</v>
      </c>
      <c r="AC69" s="686">
        <v>5</v>
      </c>
      <c r="AD69" s="297">
        <v>3</v>
      </c>
      <c r="AE69" s="6">
        <v>1.05</v>
      </c>
      <c r="AF69" s="245">
        <f t="shared" si="6"/>
        <v>1.2555818742947564</v>
      </c>
      <c r="AG69" s="245">
        <f t="shared" si="7"/>
        <v>1.2620910621938648</v>
      </c>
      <c r="AH69" s="246" t="str">
        <f t="shared" si="8"/>
        <v>(3,4,1,3,1,5)</v>
      </c>
      <c r="AI69" s="30">
        <v>1.1000000000000001</v>
      </c>
      <c r="AJ69" s="30">
        <v>1.1000000000000001</v>
      </c>
      <c r="AK69" s="30">
        <v>1</v>
      </c>
      <c r="AL69" s="30">
        <v>1.02</v>
      </c>
      <c r="AM69" s="30">
        <v>1</v>
      </c>
      <c r="AN69" s="30">
        <v>1.2</v>
      </c>
      <c r="AP69" s="615" t="s">
        <v>673</v>
      </c>
      <c r="AQ69" s="686">
        <v>2</v>
      </c>
      <c r="AR69" s="686">
        <v>4</v>
      </c>
      <c r="AS69" s="686">
        <v>1</v>
      </c>
      <c r="AT69" s="686">
        <v>3</v>
      </c>
      <c r="AU69" s="686">
        <v>1</v>
      </c>
      <c r="AV69" s="686">
        <v>5</v>
      </c>
      <c r="AW69" s="297">
        <v>3</v>
      </c>
      <c r="AX69" s="6">
        <v>1.05</v>
      </c>
      <c r="AY69" s="245">
        <f t="shared" si="9"/>
        <v>1.2365959919080913</v>
      </c>
      <c r="AZ69" s="245">
        <f t="shared" si="10"/>
        <v>1.2434566510799234</v>
      </c>
      <c r="BA69" s="246" t="str">
        <f t="shared" si="11"/>
        <v>(2,4,1,3,1,5)</v>
      </c>
      <c r="BB69" s="30">
        <v>1.05</v>
      </c>
      <c r="BC69" s="30">
        <v>1.1000000000000001</v>
      </c>
      <c r="BD69" s="30">
        <v>1</v>
      </c>
      <c r="BE69" s="30">
        <v>1.02</v>
      </c>
      <c r="BF69" s="30">
        <v>1</v>
      </c>
      <c r="BG69" s="30">
        <v>1.2</v>
      </c>
    </row>
    <row r="70" spans="1:59">
      <c r="A70" s="1305">
        <v>269445</v>
      </c>
      <c r="B70" s="1340"/>
      <c r="C70" s="1306"/>
      <c r="D70" s="1308">
        <v>5</v>
      </c>
      <c r="E70" s="1309" t="s">
        <v>98</v>
      </c>
      <c r="F70" s="1310" t="s">
        <v>682</v>
      </c>
      <c r="G70" s="1311" t="s">
        <v>93</v>
      </c>
      <c r="H70" s="1312" t="s">
        <v>98</v>
      </c>
      <c r="I70" s="1313" t="s">
        <v>98</v>
      </c>
      <c r="J70" s="1314">
        <v>0</v>
      </c>
      <c r="K70" s="1311" t="s">
        <v>96</v>
      </c>
      <c r="L70" s="1311">
        <v>0</v>
      </c>
      <c r="M70" s="1315">
        <v>1</v>
      </c>
      <c r="N70" s="1316">
        <v>1.2620910621938648</v>
      </c>
      <c r="O70" s="1317" t="s">
        <v>3196</v>
      </c>
      <c r="P70" s="1311">
        <v>134172.17000000001</v>
      </c>
      <c r="Q70" s="1315">
        <v>1</v>
      </c>
      <c r="R70" s="1316">
        <v>1.2434566510799234</v>
      </c>
      <c r="S70" s="1317" t="s">
        <v>3193</v>
      </c>
      <c r="T70" s="968"/>
      <c r="U70" s="452"/>
      <c r="V70" s="452"/>
      <c r="W70" s="615"/>
      <c r="X70" s="686">
        <v>3</v>
      </c>
      <c r="Y70" s="686">
        <v>4</v>
      </c>
      <c r="Z70" s="686">
        <v>1</v>
      </c>
      <c r="AA70" s="686">
        <v>3</v>
      </c>
      <c r="AB70" s="686">
        <v>1</v>
      </c>
      <c r="AC70" s="686">
        <v>5</v>
      </c>
      <c r="AD70" s="297">
        <v>3</v>
      </c>
      <c r="AE70" s="6">
        <v>1.05</v>
      </c>
      <c r="AF70" s="245">
        <f t="shared" si="6"/>
        <v>1.2555818742947564</v>
      </c>
      <c r="AG70" s="245">
        <f t="shared" si="7"/>
        <v>1.2620910621938648</v>
      </c>
      <c r="AH70" s="246" t="str">
        <f t="shared" si="8"/>
        <v>(3,4,1,3,1,5)</v>
      </c>
      <c r="AI70" s="30">
        <v>1.1000000000000001</v>
      </c>
      <c r="AJ70" s="30">
        <v>1.1000000000000001</v>
      </c>
      <c r="AK70" s="30">
        <v>1</v>
      </c>
      <c r="AL70" s="30">
        <v>1.02</v>
      </c>
      <c r="AM70" s="30">
        <v>1</v>
      </c>
      <c r="AN70" s="30">
        <v>1.2</v>
      </c>
      <c r="AP70" s="615" t="s">
        <v>673</v>
      </c>
      <c r="AQ70" s="686">
        <v>2</v>
      </c>
      <c r="AR70" s="686">
        <v>4</v>
      </c>
      <c r="AS70" s="686">
        <v>1</v>
      </c>
      <c r="AT70" s="686">
        <v>3</v>
      </c>
      <c r="AU70" s="686">
        <v>1</v>
      </c>
      <c r="AV70" s="686">
        <v>5</v>
      </c>
      <c r="AW70" s="297">
        <v>3</v>
      </c>
      <c r="AX70" s="6">
        <v>1.05</v>
      </c>
      <c r="AY70" s="245">
        <f t="shared" si="9"/>
        <v>1.2365959919080913</v>
      </c>
      <c r="AZ70" s="245">
        <f t="shared" si="10"/>
        <v>1.2434566510799234</v>
      </c>
      <c r="BA70" s="246" t="str">
        <f t="shared" si="11"/>
        <v>(2,4,1,3,1,5)</v>
      </c>
      <c r="BB70" s="30">
        <v>1.05</v>
      </c>
      <c r="BC70" s="30">
        <v>1.1000000000000001</v>
      </c>
      <c r="BD70" s="30">
        <v>1</v>
      </c>
      <c r="BE70" s="30">
        <v>1.02</v>
      </c>
      <c r="BF70" s="30">
        <v>1</v>
      </c>
      <c r="BG70" s="30">
        <v>1.2</v>
      </c>
    </row>
    <row r="71" spans="1:59">
      <c r="A71" s="1305">
        <v>266627</v>
      </c>
      <c r="B71" s="1340"/>
      <c r="C71" s="1306"/>
      <c r="D71" s="1362">
        <v>5</v>
      </c>
      <c r="E71" s="1363" t="s">
        <v>98</v>
      </c>
      <c r="F71" s="1355" t="s">
        <v>634</v>
      </c>
      <c r="G71" s="1356" t="s">
        <v>93</v>
      </c>
      <c r="H71" s="1364" t="s">
        <v>98</v>
      </c>
      <c r="I71" s="1357" t="s">
        <v>98</v>
      </c>
      <c r="J71" s="1358">
        <v>0</v>
      </c>
      <c r="K71" s="1356" t="s">
        <v>96</v>
      </c>
      <c r="L71" s="1356">
        <v>0</v>
      </c>
      <c r="M71" s="1359">
        <v>1</v>
      </c>
      <c r="N71" s="1360">
        <v>1.2620910621938648</v>
      </c>
      <c r="O71" s="1361" t="s">
        <v>3196</v>
      </c>
      <c r="P71" s="1356">
        <v>134172.17000000001</v>
      </c>
      <c r="Q71" s="1359">
        <v>1</v>
      </c>
      <c r="R71" s="1360">
        <v>1.2434566510799234</v>
      </c>
      <c r="S71" s="1361" t="s">
        <v>3193</v>
      </c>
      <c r="T71" s="968"/>
      <c r="U71" s="452"/>
      <c r="V71" s="452"/>
      <c r="W71" s="615"/>
      <c r="X71" s="686">
        <v>3</v>
      </c>
      <c r="Y71" s="686">
        <v>4</v>
      </c>
      <c r="Z71" s="686">
        <v>1</v>
      </c>
      <c r="AA71" s="686">
        <v>3</v>
      </c>
      <c r="AB71" s="686">
        <v>1</v>
      </c>
      <c r="AC71" s="686">
        <v>5</v>
      </c>
      <c r="AD71" s="297">
        <v>3</v>
      </c>
      <c r="AE71" s="6">
        <v>1.05</v>
      </c>
      <c r="AF71" s="245">
        <f t="shared" ref="AF71:AF102" si="12">EXP(SQRT((LN(AI71)^2)+(LN(AJ71)^2)+(LN(AK71)^2)+(LN(AL71)^2)+(LN(AM71)^2)+(LN(AN71)^2)))</f>
        <v>1.2555818742947564</v>
      </c>
      <c r="AG71" s="245">
        <f t="shared" ref="AG71:AG102" si="13">EXP(SQRT((LN(AI71)^2)+(LN(AJ71)^2)+(LN(AK71)^2)+(LN(AL71)^2)+(LN(AM71)^2)+(LN(AN71)^2)+LN(AE71)^2))</f>
        <v>1.2620910621938648</v>
      </c>
      <c r="AH71" s="246" t="str">
        <f t="shared" ref="AH71:AH102" si="14">CONCATENATE("(",X71,",",Y71,",",Z71,",",AA71,",",AB71,",",AC71,")")</f>
        <v>(3,4,1,3,1,5)</v>
      </c>
      <c r="AI71" s="30">
        <v>1.1000000000000001</v>
      </c>
      <c r="AJ71" s="30">
        <v>1.1000000000000001</v>
      </c>
      <c r="AK71" s="30">
        <v>1</v>
      </c>
      <c r="AL71" s="30">
        <v>1.02</v>
      </c>
      <c r="AM71" s="30">
        <v>1</v>
      </c>
      <c r="AN71" s="30">
        <v>1.2</v>
      </c>
      <c r="AP71" s="615" t="s">
        <v>673</v>
      </c>
      <c r="AQ71" s="686">
        <v>2</v>
      </c>
      <c r="AR71" s="686">
        <v>4</v>
      </c>
      <c r="AS71" s="686">
        <v>1</v>
      </c>
      <c r="AT71" s="686">
        <v>3</v>
      </c>
      <c r="AU71" s="686">
        <v>1</v>
      </c>
      <c r="AV71" s="686">
        <v>5</v>
      </c>
      <c r="AW71" s="297">
        <v>3</v>
      </c>
      <c r="AX71" s="6">
        <v>1.05</v>
      </c>
      <c r="AY71" s="245">
        <f t="shared" ref="AY71:AY102" si="15">EXP(SQRT((LN(BB71)^2)+(LN(BC71)^2)+(LN(BD71)^2)+(LN(BE71)^2)+(LN(BF71)^2)+(LN(BG71)^2)))</f>
        <v>1.2365959919080913</v>
      </c>
      <c r="AZ71" s="245">
        <f t="shared" ref="AZ71:AZ102" si="16">EXP(SQRT((LN(BB71)^2)+(LN(BC71)^2)+(LN(BD71)^2)+(LN(BE71)^2)+(LN(BF71)^2)+(LN(BG71)^2)+LN(AX71)^2))</f>
        <v>1.2434566510799234</v>
      </c>
      <c r="BA71" s="246" t="str">
        <f t="shared" si="11"/>
        <v>(2,4,1,3,1,5)</v>
      </c>
      <c r="BB71" s="30">
        <v>1.05</v>
      </c>
      <c r="BC71" s="30">
        <v>1.1000000000000001</v>
      </c>
      <c r="BD71" s="30">
        <v>1</v>
      </c>
      <c r="BE71" s="30">
        <v>1.02</v>
      </c>
      <c r="BF71" s="30">
        <v>1</v>
      </c>
      <c r="BG71" s="30">
        <v>1.2</v>
      </c>
    </row>
    <row r="72" spans="1:59" ht="23.25" customHeight="1">
      <c r="A72" s="1305">
        <v>267287</v>
      </c>
      <c r="B72" s="1307" t="s">
        <v>728</v>
      </c>
      <c r="C72" s="1306"/>
      <c r="D72" s="1308">
        <v>5</v>
      </c>
      <c r="E72" s="1309" t="s">
        <v>98</v>
      </c>
      <c r="F72" s="1310" t="s">
        <v>690</v>
      </c>
      <c r="G72" s="1311" t="s">
        <v>154</v>
      </c>
      <c r="H72" s="1312" t="s">
        <v>98</v>
      </c>
      <c r="I72" s="1313" t="s">
        <v>98</v>
      </c>
      <c r="J72" s="1314">
        <v>0</v>
      </c>
      <c r="K72" s="1311" t="s">
        <v>104</v>
      </c>
      <c r="L72" s="1311">
        <v>0</v>
      </c>
      <c r="M72" s="1315">
        <v>1</v>
      </c>
      <c r="N72" s="1316">
        <v>1.2620910621938648</v>
      </c>
      <c r="O72" s="1317" t="s">
        <v>3196</v>
      </c>
      <c r="P72" s="1311">
        <v>128760.9673877821</v>
      </c>
      <c r="Q72" s="1315">
        <v>1</v>
      </c>
      <c r="R72" s="1316">
        <v>1.2434566510799234</v>
      </c>
      <c r="S72" s="1317" t="s">
        <v>3202</v>
      </c>
      <c r="T72" s="968"/>
      <c r="U72" s="452"/>
      <c r="V72" s="452"/>
      <c r="W72" s="615"/>
      <c r="X72" s="686">
        <v>3</v>
      </c>
      <c r="Y72" s="686">
        <v>4</v>
      </c>
      <c r="Z72" s="686">
        <v>1</v>
      </c>
      <c r="AA72" s="686">
        <v>3</v>
      </c>
      <c r="AB72" s="686">
        <v>1</v>
      </c>
      <c r="AC72" s="686">
        <v>5</v>
      </c>
      <c r="AD72" s="297">
        <v>1</v>
      </c>
      <c r="AE72" s="6">
        <v>1.05</v>
      </c>
      <c r="AF72" s="245">
        <f t="shared" si="12"/>
        <v>1.2555818742947564</v>
      </c>
      <c r="AG72" s="245">
        <f t="shared" si="13"/>
        <v>1.2620910621938648</v>
      </c>
      <c r="AH72" s="246" t="str">
        <f t="shared" si="14"/>
        <v>(3,4,1,3,1,5)</v>
      </c>
      <c r="AI72" s="30">
        <v>1.1000000000000001</v>
      </c>
      <c r="AJ72" s="30">
        <v>1.1000000000000001</v>
      </c>
      <c r="AK72" s="30">
        <v>1</v>
      </c>
      <c r="AL72" s="30">
        <v>1.02</v>
      </c>
      <c r="AM72" s="30">
        <v>1</v>
      </c>
      <c r="AN72" s="30">
        <v>1.2</v>
      </c>
      <c r="AP72" s="615" t="s">
        <v>693</v>
      </c>
      <c r="AQ72" s="686">
        <v>2</v>
      </c>
      <c r="AR72" s="686">
        <v>4</v>
      </c>
      <c r="AS72" s="686">
        <v>1</v>
      </c>
      <c r="AT72" s="686">
        <v>3</v>
      </c>
      <c r="AU72" s="686">
        <v>1</v>
      </c>
      <c r="AV72" s="686">
        <v>5</v>
      </c>
      <c r="AW72" s="297">
        <v>1</v>
      </c>
      <c r="AX72" s="6">
        <v>1.05</v>
      </c>
      <c r="AY72" s="245">
        <f t="shared" si="15"/>
        <v>1.2365959919080913</v>
      </c>
      <c r="AZ72" s="245">
        <f t="shared" si="16"/>
        <v>1.2434566510799234</v>
      </c>
      <c r="BA72" s="246" t="str">
        <f t="shared" si="11"/>
        <v>(2,4,1,3,1,5)</v>
      </c>
      <c r="BB72" s="30">
        <v>1.05</v>
      </c>
      <c r="BC72" s="30">
        <v>1.1000000000000001</v>
      </c>
      <c r="BD72" s="30">
        <v>1</v>
      </c>
      <c r="BE72" s="30">
        <v>1.02</v>
      </c>
      <c r="BF72" s="30">
        <v>1</v>
      </c>
      <c r="BG72" s="30">
        <v>1.2</v>
      </c>
    </row>
    <row r="73" spans="1:59">
      <c r="A73" s="1305">
        <v>160371</v>
      </c>
      <c r="B73" s="1340"/>
      <c r="C73" s="1306"/>
      <c r="D73" s="1362">
        <v>5</v>
      </c>
      <c r="E73" s="1363" t="s">
        <v>98</v>
      </c>
      <c r="F73" s="1355" t="s">
        <v>242</v>
      </c>
      <c r="G73" s="1356" t="s">
        <v>93</v>
      </c>
      <c r="H73" s="1364" t="s">
        <v>98</v>
      </c>
      <c r="I73" s="1357" t="s">
        <v>98</v>
      </c>
      <c r="J73" s="1358">
        <v>0</v>
      </c>
      <c r="K73" s="1356" t="s">
        <v>115</v>
      </c>
      <c r="L73" s="1356">
        <v>0</v>
      </c>
      <c r="M73" s="1359">
        <v>1</v>
      </c>
      <c r="N73" s="1360">
        <v>2.0741629046031922</v>
      </c>
      <c r="O73" s="1361" t="s">
        <v>3196</v>
      </c>
      <c r="P73" s="1356">
        <v>50064.240000000013</v>
      </c>
      <c r="Q73" s="1359">
        <v>1</v>
      </c>
      <c r="R73" s="1360">
        <v>2.0646254680556719</v>
      </c>
      <c r="S73" s="1361" t="s">
        <v>3193</v>
      </c>
      <c r="T73" s="968"/>
      <c r="U73" s="452"/>
      <c r="V73" s="452"/>
      <c r="W73" s="615"/>
      <c r="X73" s="686">
        <v>3</v>
      </c>
      <c r="Y73" s="686">
        <v>4</v>
      </c>
      <c r="Z73" s="686">
        <v>1</v>
      </c>
      <c r="AA73" s="686">
        <v>3</v>
      </c>
      <c r="AB73" s="686">
        <v>1</v>
      </c>
      <c r="AC73" s="686">
        <v>5</v>
      </c>
      <c r="AD73" s="297">
        <v>5</v>
      </c>
      <c r="AE73" s="6">
        <v>2</v>
      </c>
      <c r="AF73" s="245">
        <f t="shared" si="12"/>
        <v>1.2555818742947564</v>
      </c>
      <c r="AG73" s="245">
        <f t="shared" si="13"/>
        <v>2.0741629046031922</v>
      </c>
      <c r="AH73" s="246" t="str">
        <f t="shared" si="14"/>
        <v>(3,4,1,3,1,5)</v>
      </c>
      <c r="AI73" s="30">
        <v>1.1000000000000001</v>
      </c>
      <c r="AJ73" s="30">
        <v>1.1000000000000001</v>
      </c>
      <c r="AK73" s="30">
        <v>1</v>
      </c>
      <c r="AL73" s="30">
        <v>1.02</v>
      </c>
      <c r="AM73" s="30">
        <v>1</v>
      </c>
      <c r="AN73" s="30">
        <v>1.2</v>
      </c>
      <c r="AP73" s="615" t="s">
        <v>673</v>
      </c>
      <c r="AQ73" s="686">
        <v>2</v>
      </c>
      <c r="AR73" s="686">
        <v>4</v>
      </c>
      <c r="AS73" s="686">
        <v>1</v>
      </c>
      <c r="AT73" s="686">
        <v>3</v>
      </c>
      <c r="AU73" s="686">
        <v>1</v>
      </c>
      <c r="AV73" s="686">
        <v>5</v>
      </c>
      <c r="AW73" s="297">
        <v>5</v>
      </c>
      <c r="AX73" s="6">
        <v>2</v>
      </c>
      <c r="AY73" s="245">
        <f t="shared" si="15"/>
        <v>1.2365959919080913</v>
      </c>
      <c r="AZ73" s="245">
        <f t="shared" si="16"/>
        <v>2.0646254680556719</v>
      </c>
      <c r="BA73" s="246" t="str">
        <f t="shared" ref="BA73:BA104" si="17">CONCATENATE("(",AQ73,",",AR73,",",AS73,",",AT73,",",AU73,",",AV73,")")</f>
        <v>(2,4,1,3,1,5)</v>
      </c>
      <c r="BB73" s="30">
        <v>1.05</v>
      </c>
      <c r="BC73" s="30">
        <v>1.1000000000000001</v>
      </c>
      <c r="BD73" s="30">
        <v>1</v>
      </c>
      <c r="BE73" s="30">
        <v>1.02</v>
      </c>
      <c r="BF73" s="30">
        <v>1</v>
      </c>
      <c r="BG73" s="30">
        <v>1.2</v>
      </c>
    </row>
    <row r="74" spans="1:59">
      <c r="A74" s="1305">
        <v>269641</v>
      </c>
      <c r="B74" s="1340"/>
      <c r="C74" s="1306"/>
      <c r="D74" s="1308">
        <v>5</v>
      </c>
      <c r="E74" s="1309" t="s">
        <v>98</v>
      </c>
      <c r="F74" s="1310" t="s">
        <v>240</v>
      </c>
      <c r="G74" s="1311" t="s">
        <v>93</v>
      </c>
      <c r="H74" s="1312" t="s">
        <v>98</v>
      </c>
      <c r="I74" s="1313" t="s">
        <v>98</v>
      </c>
      <c r="J74" s="1314">
        <v>0</v>
      </c>
      <c r="K74" s="1311" t="s">
        <v>115</v>
      </c>
      <c r="L74" s="1311">
        <v>0</v>
      </c>
      <c r="M74" s="1315">
        <v>1</v>
      </c>
      <c r="N74" s="1316">
        <v>2.0741629046031922</v>
      </c>
      <c r="O74" s="1317" t="s">
        <v>3196</v>
      </c>
      <c r="P74" s="1311">
        <v>92618.85</v>
      </c>
      <c r="Q74" s="1315">
        <v>1</v>
      </c>
      <c r="R74" s="1316">
        <v>2.0646254680556719</v>
      </c>
      <c r="S74" s="1317" t="s">
        <v>3193</v>
      </c>
      <c r="T74" s="968"/>
      <c r="U74" s="452"/>
      <c r="V74" s="452"/>
      <c r="W74" s="615"/>
      <c r="X74" s="686">
        <v>3</v>
      </c>
      <c r="Y74" s="686">
        <v>4</v>
      </c>
      <c r="Z74" s="686">
        <v>1</v>
      </c>
      <c r="AA74" s="686">
        <v>3</v>
      </c>
      <c r="AB74" s="686">
        <v>1</v>
      </c>
      <c r="AC74" s="686">
        <v>5</v>
      </c>
      <c r="AD74" s="297">
        <v>5</v>
      </c>
      <c r="AE74" s="6">
        <v>2</v>
      </c>
      <c r="AF74" s="245">
        <f t="shared" si="12"/>
        <v>1.2555818742947564</v>
      </c>
      <c r="AG74" s="245">
        <f t="shared" si="13"/>
        <v>2.0741629046031922</v>
      </c>
      <c r="AH74" s="246" t="str">
        <f t="shared" si="14"/>
        <v>(3,4,1,3,1,5)</v>
      </c>
      <c r="AI74" s="30">
        <v>1.1000000000000001</v>
      </c>
      <c r="AJ74" s="30">
        <v>1.1000000000000001</v>
      </c>
      <c r="AK74" s="30">
        <v>1</v>
      </c>
      <c r="AL74" s="30">
        <v>1.02</v>
      </c>
      <c r="AM74" s="30">
        <v>1</v>
      </c>
      <c r="AN74" s="30">
        <v>1.2</v>
      </c>
      <c r="AP74" s="615" t="s">
        <v>673</v>
      </c>
      <c r="AQ74" s="686">
        <v>2</v>
      </c>
      <c r="AR74" s="686">
        <v>4</v>
      </c>
      <c r="AS74" s="686">
        <v>1</v>
      </c>
      <c r="AT74" s="686">
        <v>3</v>
      </c>
      <c r="AU74" s="686">
        <v>1</v>
      </c>
      <c r="AV74" s="686">
        <v>5</v>
      </c>
      <c r="AW74" s="297">
        <v>5</v>
      </c>
      <c r="AX74" s="6">
        <v>2</v>
      </c>
      <c r="AY74" s="245">
        <f t="shared" si="15"/>
        <v>1.2365959919080913</v>
      </c>
      <c r="AZ74" s="245">
        <f t="shared" si="16"/>
        <v>2.0646254680556719</v>
      </c>
      <c r="BA74" s="246" t="str">
        <f t="shared" si="17"/>
        <v>(2,4,1,3,1,5)</v>
      </c>
      <c r="BB74" s="30">
        <v>1.05</v>
      </c>
      <c r="BC74" s="30">
        <v>1.1000000000000001</v>
      </c>
      <c r="BD74" s="30">
        <v>1</v>
      </c>
      <c r="BE74" s="30">
        <v>1.02</v>
      </c>
      <c r="BF74" s="30">
        <v>1</v>
      </c>
      <c r="BG74" s="30">
        <v>1.2</v>
      </c>
    </row>
    <row r="75" spans="1:59" ht="24" customHeight="1">
      <c r="A75" s="1305">
        <v>77572</v>
      </c>
      <c r="B75" s="1307" t="s">
        <v>729</v>
      </c>
      <c r="C75" s="1306"/>
      <c r="D75" s="1362">
        <v>5</v>
      </c>
      <c r="E75" s="1363" t="s">
        <v>98</v>
      </c>
      <c r="F75" s="1355" t="s">
        <v>687</v>
      </c>
      <c r="G75" s="1356" t="s">
        <v>103</v>
      </c>
      <c r="H75" s="1364" t="s">
        <v>98</v>
      </c>
      <c r="I75" s="1357" t="s">
        <v>98</v>
      </c>
      <c r="J75" s="1358">
        <v>0</v>
      </c>
      <c r="K75" s="1356" t="s">
        <v>104</v>
      </c>
      <c r="L75" s="1356">
        <v>0</v>
      </c>
      <c r="M75" s="1359">
        <v>1</v>
      </c>
      <c r="N75" s="1360">
        <v>2.0741629046031922</v>
      </c>
      <c r="O75" s="1361" t="s">
        <v>3196</v>
      </c>
      <c r="P75" s="1356">
        <v>59714.400000000009</v>
      </c>
      <c r="Q75" s="1359">
        <v>1</v>
      </c>
      <c r="R75" s="1360">
        <v>2.0646254680556719</v>
      </c>
      <c r="S75" s="1361" t="s">
        <v>3193</v>
      </c>
      <c r="T75" s="968"/>
      <c r="U75" s="452"/>
      <c r="V75" s="452"/>
      <c r="W75" s="615"/>
      <c r="X75" s="686">
        <v>3</v>
      </c>
      <c r="Y75" s="686">
        <v>4</v>
      </c>
      <c r="Z75" s="686">
        <v>1</v>
      </c>
      <c r="AA75" s="686">
        <v>3</v>
      </c>
      <c r="AB75" s="686">
        <v>1</v>
      </c>
      <c r="AC75" s="686">
        <v>5</v>
      </c>
      <c r="AD75" s="297">
        <v>5</v>
      </c>
      <c r="AE75" s="6">
        <v>2</v>
      </c>
      <c r="AF75" s="245">
        <f t="shared" si="12"/>
        <v>1.2555818742947564</v>
      </c>
      <c r="AG75" s="245">
        <f t="shared" si="13"/>
        <v>2.0741629046031922</v>
      </c>
      <c r="AH75" s="246" t="str">
        <f t="shared" si="14"/>
        <v>(3,4,1,3,1,5)</v>
      </c>
      <c r="AI75" s="30">
        <v>1.1000000000000001</v>
      </c>
      <c r="AJ75" s="30">
        <v>1.1000000000000001</v>
      </c>
      <c r="AK75" s="30">
        <v>1</v>
      </c>
      <c r="AL75" s="30">
        <v>1.02</v>
      </c>
      <c r="AM75" s="30">
        <v>1</v>
      </c>
      <c r="AN75" s="30">
        <v>1.2</v>
      </c>
      <c r="AP75" s="615" t="s">
        <v>673</v>
      </c>
      <c r="AQ75" s="686">
        <v>2</v>
      </c>
      <c r="AR75" s="686">
        <v>4</v>
      </c>
      <c r="AS75" s="686">
        <v>1</v>
      </c>
      <c r="AT75" s="686">
        <v>3</v>
      </c>
      <c r="AU75" s="686">
        <v>1</v>
      </c>
      <c r="AV75" s="686">
        <v>5</v>
      </c>
      <c r="AW75" s="297">
        <v>5</v>
      </c>
      <c r="AX75" s="6">
        <v>2</v>
      </c>
      <c r="AY75" s="245">
        <f t="shared" si="15"/>
        <v>1.2365959919080913</v>
      </c>
      <c r="AZ75" s="245">
        <f t="shared" si="16"/>
        <v>2.0646254680556719</v>
      </c>
      <c r="BA75" s="246" t="str">
        <f t="shared" si="17"/>
        <v>(2,4,1,3,1,5)</v>
      </c>
      <c r="BB75" s="30">
        <v>1.05</v>
      </c>
      <c r="BC75" s="30">
        <v>1.1000000000000001</v>
      </c>
      <c r="BD75" s="30">
        <v>1</v>
      </c>
      <c r="BE75" s="30">
        <v>1.02</v>
      </c>
      <c r="BF75" s="30">
        <v>1</v>
      </c>
      <c r="BG75" s="30">
        <v>1.2</v>
      </c>
    </row>
    <row r="76" spans="1:59" ht="24" customHeight="1">
      <c r="A76" s="1305">
        <v>268893</v>
      </c>
      <c r="B76" s="1340"/>
      <c r="C76" s="1306"/>
      <c r="D76" s="1308">
        <v>5</v>
      </c>
      <c r="E76" s="1309" t="s">
        <v>98</v>
      </c>
      <c r="F76" s="1310" t="s">
        <v>730</v>
      </c>
      <c r="G76" s="1311" t="s">
        <v>93</v>
      </c>
      <c r="H76" s="1312" t="s">
        <v>98</v>
      </c>
      <c r="I76" s="1313" t="s">
        <v>98</v>
      </c>
      <c r="J76" s="1314">
        <v>0</v>
      </c>
      <c r="K76" s="1311" t="s">
        <v>119</v>
      </c>
      <c r="L76" s="1311">
        <v>0</v>
      </c>
      <c r="M76" s="1315">
        <v>1</v>
      </c>
      <c r="N76" s="1316">
        <v>2.0741629046031922</v>
      </c>
      <c r="O76" s="1317" t="s">
        <v>3196</v>
      </c>
      <c r="P76" s="1311">
        <v>9924.6000000000022</v>
      </c>
      <c r="Q76" s="1315">
        <v>1</v>
      </c>
      <c r="R76" s="1316">
        <v>2.0646254680556719</v>
      </c>
      <c r="S76" s="1317" t="s">
        <v>3193</v>
      </c>
      <c r="T76" s="968"/>
      <c r="U76" s="452"/>
      <c r="V76" s="452"/>
      <c r="W76" s="615"/>
      <c r="X76" s="686">
        <v>3</v>
      </c>
      <c r="Y76" s="686">
        <v>4</v>
      </c>
      <c r="Z76" s="686">
        <v>1</v>
      </c>
      <c r="AA76" s="686">
        <v>3</v>
      </c>
      <c r="AB76" s="686">
        <v>1</v>
      </c>
      <c r="AC76" s="686">
        <v>5</v>
      </c>
      <c r="AD76" s="297">
        <v>5</v>
      </c>
      <c r="AE76" s="6">
        <v>2</v>
      </c>
      <c r="AF76" s="245">
        <f t="shared" si="12"/>
        <v>1.2555818742947564</v>
      </c>
      <c r="AG76" s="245">
        <f t="shared" si="13"/>
        <v>2.0741629046031922</v>
      </c>
      <c r="AH76" s="246" t="str">
        <f t="shared" si="14"/>
        <v>(3,4,1,3,1,5)</v>
      </c>
      <c r="AI76" s="30">
        <v>1.1000000000000001</v>
      </c>
      <c r="AJ76" s="30">
        <v>1.1000000000000001</v>
      </c>
      <c r="AK76" s="30">
        <v>1</v>
      </c>
      <c r="AL76" s="30">
        <v>1.02</v>
      </c>
      <c r="AM76" s="30">
        <v>1</v>
      </c>
      <c r="AN76" s="30">
        <v>1.2</v>
      </c>
      <c r="AP76" s="615" t="s">
        <v>673</v>
      </c>
      <c r="AQ76" s="686">
        <v>2</v>
      </c>
      <c r="AR76" s="686">
        <v>4</v>
      </c>
      <c r="AS76" s="686">
        <v>1</v>
      </c>
      <c r="AT76" s="686">
        <v>3</v>
      </c>
      <c r="AU76" s="686">
        <v>1</v>
      </c>
      <c r="AV76" s="686">
        <v>5</v>
      </c>
      <c r="AW76" s="297">
        <v>5</v>
      </c>
      <c r="AX76" s="6">
        <v>2</v>
      </c>
      <c r="AY76" s="245">
        <f t="shared" si="15"/>
        <v>1.2365959919080913</v>
      </c>
      <c r="AZ76" s="245">
        <f t="shared" si="16"/>
        <v>2.0646254680556719</v>
      </c>
      <c r="BA76" s="246" t="str">
        <f t="shared" si="17"/>
        <v>(2,4,1,3,1,5)</v>
      </c>
      <c r="BB76" s="30">
        <v>1.05</v>
      </c>
      <c r="BC76" s="30">
        <v>1.1000000000000001</v>
      </c>
      <c r="BD76" s="30">
        <v>1</v>
      </c>
      <c r="BE76" s="30">
        <v>1.02</v>
      </c>
      <c r="BF76" s="30">
        <v>1</v>
      </c>
      <c r="BG76" s="30">
        <v>1.2</v>
      </c>
    </row>
    <row r="77" spans="1:59">
      <c r="A77" s="1305">
        <v>259813</v>
      </c>
      <c r="B77" s="1307" t="s">
        <v>731</v>
      </c>
      <c r="C77" s="1306"/>
      <c r="D77" s="1362">
        <v>5</v>
      </c>
      <c r="E77" s="1363" t="s">
        <v>98</v>
      </c>
      <c r="F77" s="1355" t="s">
        <v>732</v>
      </c>
      <c r="G77" s="1356" t="s">
        <v>103</v>
      </c>
      <c r="H77" s="1364" t="s">
        <v>98</v>
      </c>
      <c r="I77" s="1357" t="s">
        <v>98</v>
      </c>
      <c r="J77" s="1358">
        <v>1</v>
      </c>
      <c r="K77" s="1356" t="s">
        <v>168</v>
      </c>
      <c r="L77" s="1356">
        <v>0</v>
      </c>
      <c r="M77" s="1359">
        <v>1</v>
      </c>
      <c r="N77" s="1360">
        <v>3.0708070945678916</v>
      </c>
      <c r="O77" s="1361" t="s">
        <v>3196</v>
      </c>
      <c r="P77" s="1356">
        <v>0.83000000000000007</v>
      </c>
      <c r="Q77" s="1359">
        <v>1</v>
      </c>
      <c r="R77" s="1360">
        <v>3.0616345979734279</v>
      </c>
      <c r="S77" s="1361" t="s">
        <v>3193</v>
      </c>
      <c r="T77" s="968"/>
      <c r="U77" s="452"/>
      <c r="V77" s="452"/>
      <c r="W77" s="615"/>
      <c r="X77" s="686">
        <v>3</v>
      </c>
      <c r="Y77" s="686">
        <v>4</v>
      </c>
      <c r="Z77" s="686">
        <v>1</v>
      </c>
      <c r="AA77" s="686">
        <v>3</v>
      </c>
      <c r="AB77" s="686">
        <v>1</v>
      </c>
      <c r="AC77" s="686">
        <v>5</v>
      </c>
      <c r="AD77" s="297">
        <v>9</v>
      </c>
      <c r="AE77" s="6">
        <v>3</v>
      </c>
      <c r="AF77" s="245">
        <f t="shared" si="12"/>
        <v>1.2555818742947564</v>
      </c>
      <c r="AG77" s="245">
        <f t="shared" si="13"/>
        <v>3.0708070945678916</v>
      </c>
      <c r="AH77" s="246" t="str">
        <f t="shared" si="14"/>
        <v>(3,4,1,3,1,5)</v>
      </c>
      <c r="AI77" s="30">
        <v>1.1000000000000001</v>
      </c>
      <c r="AJ77" s="30">
        <v>1.1000000000000001</v>
      </c>
      <c r="AK77" s="30">
        <v>1</v>
      </c>
      <c r="AL77" s="30">
        <v>1.02</v>
      </c>
      <c r="AM77" s="30">
        <v>1</v>
      </c>
      <c r="AN77" s="30">
        <v>1.2</v>
      </c>
      <c r="AP77" s="615" t="s">
        <v>673</v>
      </c>
      <c r="AQ77" s="686">
        <v>2</v>
      </c>
      <c r="AR77" s="686">
        <v>4</v>
      </c>
      <c r="AS77" s="686">
        <v>1</v>
      </c>
      <c r="AT77" s="686">
        <v>3</v>
      </c>
      <c r="AU77" s="686">
        <v>1</v>
      </c>
      <c r="AV77" s="686">
        <v>5</v>
      </c>
      <c r="AW77" s="297">
        <v>9</v>
      </c>
      <c r="AX77" s="6">
        <v>3</v>
      </c>
      <c r="AY77" s="245">
        <f t="shared" si="15"/>
        <v>1.2365959919080913</v>
      </c>
      <c r="AZ77" s="245">
        <f t="shared" si="16"/>
        <v>3.0616345979734279</v>
      </c>
      <c r="BA77" s="246" t="str">
        <f t="shared" si="17"/>
        <v>(2,4,1,3,1,5)</v>
      </c>
      <c r="BB77" s="30">
        <v>1.05</v>
      </c>
      <c r="BC77" s="30">
        <v>1.1000000000000001</v>
      </c>
      <c r="BD77" s="30">
        <v>1</v>
      </c>
      <c r="BE77" s="30">
        <v>1.02</v>
      </c>
      <c r="BF77" s="30">
        <v>1</v>
      </c>
      <c r="BG77" s="30">
        <v>1.2</v>
      </c>
    </row>
    <row r="78" spans="1:59">
      <c r="A78" s="1305">
        <v>79235</v>
      </c>
      <c r="B78" s="1307" t="s">
        <v>733</v>
      </c>
      <c r="C78" s="1306"/>
      <c r="D78" s="1308">
        <v>5</v>
      </c>
      <c r="E78" s="1309" t="s">
        <v>98</v>
      </c>
      <c r="F78" s="1310" t="s">
        <v>688</v>
      </c>
      <c r="G78" s="1311" t="s">
        <v>340</v>
      </c>
      <c r="H78" s="1312" t="s">
        <v>98</v>
      </c>
      <c r="I78" s="1313" t="s">
        <v>98</v>
      </c>
      <c r="J78" s="1314">
        <v>0</v>
      </c>
      <c r="K78" s="1311" t="s">
        <v>109</v>
      </c>
      <c r="L78" s="1311">
        <v>0</v>
      </c>
      <c r="M78" s="1315">
        <v>1</v>
      </c>
      <c r="N78" s="1316">
        <v>1.2620910621938648</v>
      </c>
      <c r="O78" s="1317" t="s">
        <v>3196</v>
      </c>
      <c r="P78" s="1311">
        <v>523.85</v>
      </c>
      <c r="Q78" s="1315">
        <v>1</v>
      </c>
      <c r="R78" s="1316">
        <v>1.2434566510799234</v>
      </c>
      <c r="S78" s="1317" t="s">
        <v>3193</v>
      </c>
      <c r="T78" s="968"/>
      <c r="U78" s="452"/>
      <c r="V78" s="452"/>
      <c r="W78" s="615"/>
      <c r="X78" s="686">
        <v>3</v>
      </c>
      <c r="Y78" s="686">
        <v>4</v>
      </c>
      <c r="Z78" s="686">
        <v>1</v>
      </c>
      <c r="AA78" s="686">
        <v>3</v>
      </c>
      <c r="AB78" s="686">
        <v>1</v>
      </c>
      <c r="AC78" s="686">
        <v>5</v>
      </c>
      <c r="AD78" s="297">
        <v>3</v>
      </c>
      <c r="AE78" s="6">
        <v>1.05</v>
      </c>
      <c r="AF78" s="245">
        <f t="shared" si="12"/>
        <v>1.2555818742947564</v>
      </c>
      <c r="AG78" s="245">
        <f t="shared" si="13"/>
        <v>1.2620910621938648</v>
      </c>
      <c r="AH78" s="246" t="str">
        <f t="shared" si="14"/>
        <v>(3,4,1,3,1,5)</v>
      </c>
      <c r="AI78" s="30">
        <v>1.1000000000000001</v>
      </c>
      <c r="AJ78" s="30">
        <v>1.1000000000000001</v>
      </c>
      <c r="AK78" s="30">
        <v>1</v>
      </c>
      <c r="AL78" s="30">
        <v>1.02</v>
      </c>
      <c r="AM78" s="30">
        <v>1</v>
      </c>
      <c r="AN78" s="30">
        <v>1.2</v>
      </c>
      <c r="AP78" s="615" t="s">
        <v>673</v>
      </c>
      <c r="AQ78" s="686">
        <v>2</v>
      </c>
      <c r="AR78" s="686">
        <v>4</v>
      </c>
      <c r="AS78" s="686">
        <v>1</v>
      </c>
      <c r="AT78" s="686">
        <v>3</v>
      </c>
      <c r="AU78" s="686">
        <v>1</v>
      </c>
      <c r="AV78" s="686">
        <v>5</v>
      </c>
      <c r="AW78" s="297">
        <v>3</v>
      </c>
      <c r="AX78" s="6">
        <v>1.05</v>
      </c>
      <c r="AY78" s="245">
        <f t="shared" si="15"/>
        <v>1.2365959919080913</v>
      </c>
      <c r="AZ78" s="245">
        <f t="shared" si="16"/>
        <v>1.2434566510799234</v>
      </c>
      <c r="BA78" s="246" t="str">
        <f t="shared" si="17"/>
        <v>(2,4,1,3,1,5)</v>
      </c>
      <c r="BB78" s="30">
        <v>1.05</v>
      </c>
      <c r="BC78" s="30">
        <v>1.1000000000000001</v>
      </c>
      <c r="BD78" s="30">
        <v>1</v>
      </c>
      <c r="BE78" s="30">
        <v>1.02</v>
      </c>
      <c r="BF78" s="30">
        <v>1</v>
      </c>
      <c r="BG78" s="30">
        <v>1.2</v>
      </c>
    </row>
    <row r="79" spans="1:59" ht="24" customHeight="1">
      <c r="A79" s="1305">
        <v>254233</v>
      </c>
      <c r="B79" s="1340"/>
      <c r="C79" s="1306"/>
      <c r="D79" s="1362">
        <v>5</v>
      </c>
      <c r="E79" s="1363" t="s">
        <v>98</v>
      </c>
      <c r="F79" s="1355" t="s">
        <v>710</v>
      </c>
      <c r="G79" s="1356" t="s">
        <v>103</v>
      </c>
      <c r="H79" s="1364" t="s">
        <v>98</v>
      </c>
      <c r="I79" s="1357" t="s">
        <v>98</v>
      </c>
      <c r="J79" s="1358">
        <v>0</v>
      </c>
      <c r="K79" s="1356" t="s">
        <v>104</v>
      </c>
      <c r="L79" s="1356">
        <v>0</v>
      </c>
      <c r="M79" s="1359">
        <v>1</v>
      </c>
      <c r="N79" s="1360">
        <v>1.2620910621938648</v>
      </c>
      <c r="O79" s="1361" t="s">
        <v>3196</v>
      </c>
      <c r="P79" s="1356">
        <v>471.46</v>
      </c>
      <c r="Q79" s="1359">
        <v>1</v>
      </c>
      <c r="R79" s="1360">
        <v>1.2434566510799234</v>
      </c>
      <c r="S79" s="1361" t="s">
        <v>3193</v>
      </c>
      <c r="T79" s="968"/>
      <c r="U79" s="452"/>
      <c r="V79" s="452"/>
      <c r="W79" s="615"/>
      <c r="X79" s="686">
        <v>3</v>
      </c>
      <c r="Y79" s="686">
        <v>4</v>
      </c>
      <c r="Z79" s="686">
        <v>1</v>
      </c>
      <c r="AA79" s="686">
        <v>3</v>
      </c>
      <c r="AB79" s="686">
        <v>1</v>
      </c>
      <c r="AC79" s="686">
        <v>5</v>
      </c>
      <c r="AD79" s="297">
        <v>1</v>
      </c>
      <c r="AE79" s="6">
        <v>1.05</v>
      </c>
      <c r="AF79" s="245">
        <f t="shared" si="12"/>
        <v>1.2555818742947564</v>
      </c>
      <c r="AG79" s="245">
        <f t="shared" si="13"/>
        <v>1.2620910621938648</v>
      </c>
      <c r="AH79" s="246" t="str">
        <f t="shared" si="14"/>
        <v>(3,4,1,3,1,5)</v>
      </c>
      <c r="AI79" s="30">
        <v>1.1000000000000001</v>
      </c>
      <c r="AJ79" s="30">
        <v>1.1000000000000001</v>
      </c>
      <c r="AK79" s="30">
        <v>1</v>
      </c>
      <c r="AL79" s="30">
        <v>1.02</v>
      </c>
      <c r="AM79" s="30">
        <v>1</v>
      </c>
      <c r="AN79" s="30">
        <v>1.2</v>
      </c>
      <c r="AP79" s="615" t="s">
        <v>673</v>
      </c>
      <c r="AQ79" s="686">
        <v>2</v>
      </c>
      <c r="AR79" s="686">
        <v>4</v>
      </c>
      <c r="AS79" s="686">
        <v>1</v>
      </c>
      <c r="AT79" s="686">
        <v>3</v>
      </c>
      <c r="AU79" s="686">
        <v>1</v>
      </c>
      <c r="AV79" s="686">
        <v>5</v>
      </c>
      <c r="AW79" s="297">
        <v>1</v>
      </c>
      <c r="AX79" s="6">
        <v>1.05</v>
      </c>
      <c r="AY79" s="245">
        <f t="shared" si="15"/>
        <v>1.2365959919080913</v>
      </c>
      <c r="AZ79" s="245">
        <f t="shared" si="16"/>
        <v>1.2434566510799234</v>
      </c>
      <c r="BA79" s="246" t="str">
        <f t="shared" si="17"/>
        <v>(2,4,1,3,1,5)</v>
      </c>
      <c r="BB79" s="30">
        <v>1.05</v>
      </c>
      <c r="BC79" s="30">
        <v>1.1000000000000001</v>
      </c>
      <c r="BD79" s="30">
        <v>1</v>
      </c>
      <c r="BE79" s="30">
        <v>1.02</v>
      </c>
      <c r="BF79" s="30">
        <v>1</v>
      </c>
      <c r="BG79" s="30">
        <v>1.2</v>
      </c>
    </row>
    <row r="80" spans="1:59" ht="24" customHeight="1">
      <c r="A80" s="1305">
        <v>263015</v>
      </c>
      <c r="B80" s="1340"/>
      <c r="C80" s="1306"/>
      <c r="D80" s="1308">
        <v>5</v>
      </c>
      <c r="E80" s="1309" t="s">
        <v>98</v>
      </c>
      <c r="F80" s="1310" t="s">
        <v>677</v>
      </c>
      <c r="G80" s="1311" t="s">
        <v>103</v>
      </c>
      <c r="H80" s="1312" t="s">
        <v>98</v>
      </c>
      <c r="I80" s="1313" t="s">
        <v>98</v>
      </c>
      <c r="J80" s="1314">
        <v>0</v>
      </c>
      <c r="K80" s="1311" t="s">
        <v>96</v>
      </c>
      <c r="L80" s="1311">
        <v>0</v>
      </c>
      <c r="M80" s="1315">
        <v>1</v>
      </c>
      <c r="N80" s="1316">
        <v>1.2620910621938648</v>
      </c>
      <c r="O80" s="1317" t="s">
        <v>3196</v>
      </c>
      <c r="P80" s="1311">
        <v>25100.78</v>
      </c>
      <c r="Q80" s="1315">
        <v>1</v>
      </c>
      <c r="R80" s="1316">
        <v>1.2434566510799234</v>
      </c>
      <c r="S80" s="1317" t="s">
        <v>3193</v>
      </c>
      <c r="T80" s="968"/>
      <c r="U80" s="452"/>
      <c r="V80" s="452"/>
      <c r="W80" s="615"/>
      <c r="X80" s="686">
        <v>3</v>
      </c>
      <c r="Y80" s="686">
        <v>4</v>
      </c>
      <c r="Z80" s="686">
        <v>1</v>
      </c>
      <c r="AA80" s="686">
        <v>3</v>
      </c>
      <c r="AB80" s="686">
        <v>1</v>
      </c>
      <c r="AC80" s="686">
        <v>5</v>
      </c>
      <c r="AD80" s="297">
        <v>3</v>
      </c>
      <c r="AE80" s="6">
        <v>1.05</v>
      </c>
      <c r="AF80" s="245">
        <f t="shared" si="12"/>
        <v>1.2555818742947564</v>
      </c>
      <c r="AG80" s="245">
        <f t="shared" si="13"/>
        <v>1.2620910621938648</v>
      </c>
      <c r="AH80" s="246" t="str">
        <f t="shared" si="14"/>
        <v>(3,4,1,3,1,5)</v>
      </c>
      <c r="AI80" s="30">
        <v>1.1000000000000001</v>
      </c>
      <c r="AJ80" s="30">
        <v>1.1000000000000001</v>
      </c>
      <c r="AK80" s="30">
        <v>1</v>
      </c>
      <c r="AL80" s="30">
        <v>1.02</v>
      </c>
      <c r="AM80" s="30">
        <v>1</v>
      </c>
      <c r="AN80" s="30">
        <v>1.2</v>
      </c>
      <c r="AP80" s="615" t="s">
        <v>673</v>
      </c>
      <c r="AQ80" s="686">
        <v>2</v>
      </c>
      <c r="AR80" s="686">
        <v>4</v>
      </c>
      <c r="AS80" s="686">
        <v>1</v>
      </c>
      <c r="AT80" s="686">
        <v>3</v>
      </c>
      <c r="AU80" s="686">
        <v>1</v>
      </c>
      <c r="AV80" s="686">
        <v>5</v>
      </c>
      <c r="AW80" s="297">
        <v>3</v>
      </c>
      <c r="AX80" s="6">
        <v>1.05</v>
      </c>
      <c r="AY80" s="245">
        <f t="shared" si="15"/>
        <v>1.2365959919080913</v>
      </c>
      <c r="AZ80" s="245">
        <f t="shared" si="16"/>
        <v>1.2434566510799234</v>
      </c>
      <c r="BA80" s="246" t="str">
        <f t="shared" si="17"/>
        <v>(2,4,1,3,1,5)</v>
      </c>
      <c r="BB80" s="30">
        <v>1.05</v>
      </c>
      <c r="BC80" s="30">
        <v>1.1000000000000001</v>
      </c>
      <c r="BD80" s="30">
        <v>1</v>
      </c>
      <c r="BE80" s="30">
        <v>1.02</v>
      </c>
      <c r="BF80" s="30">
        <v>1</v>
      </c>
      <c r="BG80" s="30">
        <v>1.2</v>
      </c>
    </row>
    <row r="81" spans="1:59">
      <c r="A81" s="1305">
        <v>268459</v>
      </c>
      <c r="B81" s="1340"/>
      <c r="C81" s="1306"/>
      <c r="D81" s="1362">
        <v>5</v>
      </c>
      <c r="E81" s="1363" t="s">
        <v>98</v>
      </c>
      <c r="F81" s="1355" t="s">
        <v>678</v>
      </c>
      <c r="G81" s="1356" t="s">
        <v>93</v>
      </c>
      <c r="H81" s="1364" t="s">
        <v>98</v>
      </c>
      <c r="I81" s="1357" t="s">
        <v>98</v>
      </c>
      <c r="J81" s="1358">
        <v>0</v>
      </c>
      <c r="K81" s="1356" t="s">
        <v>679</v>
      </c>
      <c r="L81" s="1356">
        <v>0</v>
      </c>
      <c r="M81" s="1359">
        <v>1</v>
      </c>
      <c r="N81" s="1360">
        <v>1.2620910621938648</v>
      </c>
      <c r="O81" s="1361" t="s">
        <v>3196</v>
      </c>
      <c r="P81" s="1356">
        <v>15715.49</v>
      </c>
      <c r="Q81" s="1359">
        <v>1</v>
      </c>
      <c r="R81" s="1360">
        <v>1.2434566510799234</v>
      </c>
      <c r="S81" s="1361" t="s">
        <v>3193</v>
      </c>
      <c r="T81" s="968"/>
      <c r="U81" s="452"/>
      <c r="V81" s="452"/>
      <c r="W81" s="615"/>
      <c r="X81" s="686">
        <v>3</v>
      </c>
      <c r="Y81" s="686">
        <v>4</v>
      </c>
      <c r="Z81" s="686">
        <v>1</v>
      </c>
      <c r="AA81" s="686">
        <v>3</v>
      </c>
      <c r="AB81" s="686">
        <v>1</v>
      </c>
      <c r="AC81" s="686">
        <v>5</v>
      </c>
      <c r="AD81" s="297">
        <v>3</v>
      </c>
      <c r="AE81" s="6">
        <v>1.05</v>
      </c>
      <c r="AF81" s="245">
        <f t="shared" si="12"/>
        <v>1.2555818742947564</v>
      </c>
      <c r="AG81" s="245">
        <f t="shared" si="13"/>
        <v>1.2620910621938648</v>
      </c>
      <c r="AH81" s="246" t="str">
        <f t="shared" si="14"/>
        <v>(3,4,1,3,1,5)</v>
      </c>
      <c r="AI81" s="30">
        <v>1.1000000000000001</v>
      </c>
      <c r="AJ81" s="30">
        <v>1.1000000000000001</v>
      </c>
      <c r="AK81" s="30">
        <v>1</v>
      </c>
      <c r="AL81" s="30">
        <v>1.02</v>
      </c>
      <c r="AM81" s="30">
        <v>1</v>
      </c>
      <c r="AN81" s="30">
        <v>1.2</v>
      </c>
      <c r="AP81" s="615" t="s">
        <v>673</v>
      </c>
      <c r="AQ81" s="686">
        <v>2</v>
      </c>
      <c r="AR81" s="686">
        <v>4</v>
      </c>
      <c r="AS81" s="686">
        <v>1</v>
      </c>
      <c r="AT81" s="686">
        <v>3</v>
      </c>
      <c r="AU81" s="686">
        <v>1</v>
      </c>
      <c r="AV81" s="686">
        <v>5</v>
      </c>
      <c r="AW81" s="297">
        <v>3</v>
      </c>
      <c r="AX81" s="6">
        <v>1.05</v>
      </c>
      <c r="AY81" s="245">
        <f t="shared" si="15"/>
        <v>1.2365959919080913</v>
      </c>
      <c r="AZ81" s="245">
        <f t="shared" si="16"/>
        <v>1.2434566510799234</v>
      </c>
      <c r="BA81" s="246" t="str">
        <f t="shared" si="17"/>
        <v>(2,4,1,3,1,5)</v>
      </c>
      <c r="BB81" s="30">
        <v>1.05</v>
      </c>
      <c r="BC81" s="30">
        <v>1.1000000000000001</v>
      </c>
      <c r="BD81" s="30">
        <v>1</v>
      </c>
      <c r="BE81" s="30">
        <v>1.02</v>
      </c>
      <c r="BF81" s="30">
        <v>1</v>
      </c>
      <c r="BG81" s="30">
        <v>1.2</v>
      </c>
    </row>
    <row r="82" spans="1:59">
      <c r="A82" s="1305">
        <v>269445</v>
      </c>
      <c r="B82" s="1340"/>
      <c r="C82" s="1306"/>
      <c r="D82" s="1308">
        <v>5</v>
      </c>
      <c r="E82" s="1309" t="s">
        <v>98</v>
      </c>
      <c r="F82" s="1310" t="s">
        <v>682</v>
      </c>
      <c r="G82" s="1311" t="s">
        <v>93</v>
      </c>
      <c r="H82" s="1312" t="s">
        <v>98</v>
      </c>
      <c r="I82" s="1313" t="s">
        <v>98</v>
      </c>
      <c r="J82" s="1314">
        <v>0</v>
      </c>
      <c r="K82" s="1311" t="s">
        <v>96</v>
      </c>
      <c r="L82" s="1311">
        <v>0</v>
      </c>
      <c r="M82" s="1315">
        <v>1</v>
      </c>
      <c r="N82" s="1316">
        <v>1.2620910621938648</v>
      </c>
      <c r="O82" s="1317" t="s">
        <v>3196</v>
      </c>
      <c r="P82" s="1311">
        <v>50962.19000000001</v>
      </c>
      <c r="Q82" s="1315">
        <v>1</v>
      </c>
      <c r="R82" s="1316">
        <v>1.2434566510799234</v>
      </c>
      <c r="S82" s="1317" t="s">
        <v>3193</v>
      </c>
      <c r="T82" s="968"/>
      <c r="U82" s="452"/>
      <c r="V82" s="452"/>
      <c r="W82" s="615"/>
      <c r="X82" s="686">
        <v>3</v>
      </c>
      <c r="Y82" s="686">
        <v>4</v>
      </c>
      <c r="Z82" s="686">
        <v>1</v>
      </c>
      <c r="AA82" s="686">
        <v>3</v>
      </c>
      <c r="AB82" s="686">
        <v>1</v>
      </c>
      <c r="AC82" s="686">
        <v>5</v>
      </c>
      <c r="AD82" s="297">
        <v>3</v>
      </c>
      <c r="AE82" s="6">
        <v>1.05</v>
      </c>
      <c r="AF82" s="245">
        <f t="shared" si="12"/>
        <v>1.2555818742947564</v>
      </c>
      <c r="AG82" s="245">
        <f t="shared" si="13"/>
        <v>1.2620910621938648</v>
      </c>
      <c r="AH82" s="246" t="str">
        <f t="shared" si="14"/>
        <v>(3,4,1,3,1,5)</v>
      </c>
      <c r="AI82" s="30">
        <v>1.1000000000000001</v>
      </c>
      <c r="AJ82" s="30">
        <v>1.1000000000000001</v>
      </c>
      <c r="AK82" s="30">
        <v>1</v>
      </c>
      <c r="AL82" s="30">
        <v>1.02</v>
      </c>
      <c r="AM82" s="30">
        <v>1</v>
      </c>
      <c r="AN82" s="30">
        <v>1.2</v>
      </c>
      <c r="AP82" s="615" t="s">
        <v>673</v>
      </c>
      <c r="AQ82" s="686">
        <v>2</v>
      </c>
      <c r="AR82" s="686">
        <v>4</v>
      </c>
      <c r="AS82" s="686">
        <v>1</v>
      </c>
      <c r="AT82" s="686">
        <v>3</v>
      </c>
      <c r="AU82" s="686">
        <v>1</v>
      </c>
      <c r="AV82" s="686">
        <v>5</v>
      </c>
      <c r="AW82" s="297">
        <v>3</v>
      </c>
      <c r="AX82" s="6">
        <v>1.05</v>
      </c>
      <c r="AY82" s="245">
        <f t="shared" si="15"/>
        <v>1.2365959919080913</v>
      </c>
      <c r="AZ82" s="245">
        <f t="shared" si="16"/>
        <v>1.2434566510799234</v>
      </c>
      <c r="BA82" s="246" t="str">
        <f t="shared" si="17"/>
        <v>(2,4,1,3,1,5)</v>
      </c>
      <c r="BB82" s="30">
        <v>1.05</v>
      </c>
      <c r="BC82" s="30">
        <v>1.1000000000000001</v>
      </c>
      <c r="BD82" s="30">
        <v>1</v>
      </c>
      <c r="BE82" s="30">
        <v>1.02</v>
      </c>
      <c r="BF82" s="30">
        <v>1</v>
      </c>
      <c r="BG82" s="30">
        <v>1.2</v>
      </c>
    </row>
    <row r="83" spans="1:59">
      <c r="A83" s="1305">
        <v>266627</v>
      </c>
      <c r="B83" s="1340"/>
      <c r="C83" s="1306"/>
      <c r="D83" s="1362">
        <v>5</v>
      </c>
      <c r="E83" s="1363" t="s">
        <v>98</v>
      </c>
      <c r="F83" s="1355" t="s">
        <v>634</v>
      </c>
      <c r="G83" s="1356" t="s">
        <v>93</v>
      </c>
      <c r="H83" s="1364" t="s">
        <v>98</v>
      </c>
      <c r="I83" s="1357" t="s">
        <v>98</v>
      </c>
      <c r="J83" s="1358">
        <v>0</v>
      </c>
      <c r="K83" s="1356" t="s">
        <v>96</v>
      </c>
      <c r="L83" s="1356">
        <v>0</v>
      </c>
      <c r="M83" s="1359">
        <v>1</v>
      </c>
      <c r="N83" s="1360">
        <v>1.2620910621938648</v>
      </c>
      <c r="O83" s="1361" t="s">
        <v>3196</v>
      </c>
      <c r="P83" s="1356">
        <v>50962.19000000001</v>
      </c>
      <c r="Q83" s="1359">
        <v>1</v>
      </c>
      <c r="R83" s="1360">
        <v>1.2434566510799234</v>
      </c>
      <c r="S83" s="1361" t="s">
        <v>3193</v>
      </c>
      <c r="T83" s="968"/>
      <c r="U83" s="452"/>
      <c r="V83" s="452"/>
      <c r="W83" s="615"/>
      <c r="X83" s="686">
        <v>3</v>
      </c>
      <c r="Y83" s="686">
        <v>4</v>
      </c>
      <c r="Z83" s="686">
        <v>1</v>
      </c>
      <c r="AA83" s="686">
        <v>3</v>
      </c>
      <c r="AB83" s="686">
        <v>1</v>
      </c>
      <c r="AC83" s="686">
        <v>5</v>
      </c>
      <c r="AD83" s="297">
        <v>3</v>
      </c>
      <c r="AE83" s="6">
        <v>1.05</v>
      </c>
      <c r="AF83" s="245">
        <f t="shared" si="12"/>
        <v>1.2555818742947564</v>
      </c>
      <c r="AG83" s="245">
        <f t="shared" si="13"/>
        <v>1.2620910621938648</v>
      </c>
      <c r="AH83" s="246" t="str">
        <f t="shared" si="14"/>
        <v>(3,4,1,3,1,5)</v>
      </c>
      <c r="AI83" s="30">
        <v>1.1000000000000001</v>
      </c>
      <c r="AJ83" s="30">
        <v>1.1000000000000001</v>
      </c>
      <c r="AK83" s="30">
        <v>1</v>
      </c>
      <c r="AL83" s="30">
        <v>1.02</v>
      </c>
      <c r="AM83" s="30">
        <v>1</v>
      </c>
      <c r="AN83" s="30">
        <v>1.2</v>
      </c>
      <c r="AP83" s="615" t="s">
        <v>673</v>
      </c>
      <c r="AQ83" s="686">
        <v>2</v>
      </c>
      <c r="AR83" s="686">
        <v>4</v>
      </c>
      <c r="AS83" s="686">
        <v>1</v>
      </c>
      <c r="AT83" s="686">
        <v>3</v>
      </c>
      <c r="AU83" s="686">
        <v>1</v>
      </c>
      <c r="AV83" s="686">
        <v>5</v>
      </c>
      <c r="AW83" s="297">
        <v>3</v>
      </c>
      <c r="AX83" s="6">
        <v>1.05</v>
      </c>
      <c r="AY83" s="245">
        <f t="shared" si="15"/>
        <v>1.2365959919080913</v>
      </c>
      <c r="AZ83" s="245">
        <f t="shared" si="16"/>
        <v>1.2434566510799234</v>
      </c>
      <c r="BA83" s="246" t="str">
        <f t="shared" si="17"/>
        <v>(2,4,1,3,1,5)</v>
      </c>
      <c r="BB83" s="30">
        <v>1.05</v>
      </c>
      <c r="BC83" s="30">
        <v>1.1000000000000001</v>
      </c>
      <c r="BD83" s="30">
        <v>1</v>
      </c>
      <c r="BE83" s="30">
        <v>1.02</v>
      </c>
      <c r="BF83" s="30">
        <v>1</v>
      </c>
      <c r="BG83" s="30">
        <v>1.2</v>
      </c>
    </row>
    <row r="84" spans="1:59" ht="23.25" customHeight="1">
      <c r="A84" s="1305">
        <v>267287</v>
      </c>
      <c r="B84" s="1307" t="s">
        <v>734</v>
      </c>
      <c r="C84" s="1306"/>
      <c r="D84" s="1308">
        <v>5</v>
      </c>
      <c r="E84" s="1309" t="s">
        <v>98</v>
      </c>
      <c r="F84" s="1310" t="s">
        <v>690</v>
      </c>
      <c r="G84" s="1311" t="s">
        <v>154</v>
      </c>
      <c r="H84" s="1312" t="s">
        <v>98</v>
      </c>
      <c r="I84" s="1313" t="s">
        <v>98</v>
      </c>
      <c r="J84" s="1314">
        <v>0</v>
      </c>
      <c r="K84" s="1311" t="s">
        <v>104</v>
      </c>
      <c r="L84" s="1311">
        <v>0</v>
      </c>
      <c r="M84" s="1315">
        <v>1</v>
      </c>
      <c r="N84" s="1316">
        <v>1.2620910621938648</v>
      </c>
      <c r="O84" s="1317" t="s">
        <v>3196</v>
      </c>
      <c r="P84" s="1311">
        <v>48901.533293010638</v>
      </c>
      <c r="Q84" s="1315">
        <v>1</v>
      </c>
      <c r="R84" s="1316">
        <v>1.2434566510799234</v>
      </c>
      <c r="S84" s="1317" t="s">
        <v>3202</v>
      </c>
      <c r="T84" s="968"/>
      <c r="U84" s="452"/>
      <c r="V84" s="452"/>
      <c r="W84" s="615"/>
      <c r="X84" s="686">
        <v>3</v>
      </c>
      <c r="Y84" s="686">
        <v>4</v>
      </c>
      <c r="Z84" s="686">
        <v>1</v>
      </c>
      <c r="AA84" s="686">
        <v>3</v>
      </c>
      <c r="AB84" s="686">
        <v>1</v>
      </c>
      <c r="AC84" s="686">
        <v>5</v>
      </c>
      <c r="AD84" s="297">
        <v>1</v>
      </c>
      <c r="AE84" s="6">
        <v>1.05</v>
      </c>
      <c r="AF84" s="245">
        <f t="shared" si="12"/>
        <v>1.2555818742947564</v>
      </c>
      <c r="AG84" s="245">
        <f t="shared" si="13"/>
        <v>1.2620910621938648</v>
      </c>
      <c r="AH84" s="246" t="str">
        <f t="shared" si="14"/>
        <v>(3,4,1,3,1,5)</v>
      </c>
      <c r="AI84" s="30">
        <v>1.1000000000000001</v>
      </c>
      <c r="AJ84" s="30">
        <v>1.1000000000000001</v>
      </c>
      <c r="AK84" s="30">
        <v>1</v>
      </c>
      <c r="AL84" s="30">
        <v>1.02</v>
      </c>
      <c r="AM84" s="30">
        <v>1</v>
      </c>
      <c r="AN84" s="30">
        <v>1.2</v>
      </c>
      <c r="AP84" s="615" t="s">
        <v>693</v>
      </c>
      <c r="AQ84" s="686">
        <v>2</v>
      </c>
      <c r="AR84" s="686">
        <v>4</v>
      </c>
      <c r="AS84" s="686">
        <v>1</v>
      </c>
      <c r="AT84" s="686">
        <v>3</v>
      </c>
      <c r="AU84" s="686">
        <v>1</v>
      </c>
      <c r="AV84" s="686">
        <v>5</v>
      </c>
      <c r="AW84" s="297">
        <v>1</v>
      </c>
      <c r="AX84" s="6">
        <v>1.05</v>
      </c>
      <c r="AY84" s="245">
        <f t="shared" si="15"/>
        <v>1.2365959919080913</v>
      </c>
      <c r="AZ84" s="245">
        <f t="shared" si="16"/>
        <v>1.2434566510799234</v>
      </c>
      <c r="BA84" s="246" t="str">
        <f t="shared" si="17"/>
        <v>(2,4,1,3,1,5)</v>
      </c>
      <c r="BB84" s="30">
        <v>1.05</v>
      </c>
      <c r="BC84" s="30">
        <v>1.1000000000000001</v>
      </c>
      <c r="BD84" s="30">
        <v>1</v>
      </c>
      <c r="BE84" s="30">
        <v>1.02</v>
      </c>
      <c r="BF84" s="30">
        <v>1</v>
      </c>
      <c r="BG84" s="30">
        <v>1.2</v>
      </c>
    </row>
    <row r="85" spans="1:59">
      <c r="A85" s="1305">
        <v>160371</v>
      </c>
      <c r="B85" s="1340"/>
      <c r="C85" s="1306"/>
      <c r="D85" s="1362">
        <v>5</v>
      </c>
      <c r="E85" s="1363" t="s">
        <v>98</v>
      </c>
      <c r="F85" s="1355" t="s">
        <v>242</v>
      </c>
      <c r="G85" s="1356" t="s">
        <v>93</v>
      </c>
      <c r="H85" s="1364" t="s">
        <v>98</v>
      </c>
      <c r="I85" s="1357" t="s">
        <v>98</v>
      </c>
      <c r="J85" s="1358">
        <v>0</v>
      </c>
      <c r="K85" s="1356" t="s">
        <v>115</v>
      </c>
      <c r="L85" s="1356">
        <v>0</v>
      </c>
      <c r="M85" s="1359">
        <v>1</v>
      </c>
      <c r="N85" s="1360">
        <v>2.0741629046031922</v>
      </c>
      <c r="O85" s="1361" t="s">
        <v>3196</v>
      </c>
      <c r="P85" s="1356">
        <v>19015.740000000002</v>
      </c>
      <c r="Q85" s="1359">
        <v>1</v>
      </c>
      <c r="R85" s="1360">
        <v>2.0646254680556719</v>
      </c>
      <c r="S85" s="1361" t="s">
        <v>3193</v>
      </c>
      <c r="T85" s="968"/>
      <c r="U85" s="452"/>
      <c r="V85" s="452"/>
      <c r="W85" s="615"/>
      <c r="X85" s="686">
        <v>3</v>
      </c>
      <c r="Y85" s="686">
        <v>4</v>
      </c>
      <c r="Z85" s="686">
        <v>1</v>
      </c>
      <c r="AA85" s="686">
        <v>3</v>
      </c>
      <c r="AB85" s="686">
        <v>1</v>
      </c>
      <c r="AC85" s="686">
        <v>5</v>
      </c>
      <c r="AD85" s="297">
        <v>5</v>
      </c>
      <c r="AE85" s="6">
        <v>2</v>
      </c>
      <c r="AF85" s="245">
        <f t="shared" si="12"/>
        <v>1.2555818742947564</v>
      </c>
      <c r="AG85" s="245">
        <f t="shared" si="13"/>
        <v>2.0741629046031922</v>
      </c>
      <c r="AH85" s="246" t="str">
        <f t="shared" si="14"/>
        <v>(3,4,1,3,1,5)</v>
      </c>
      <c r="AI85" s="30">
        <v>1.1000000000000001</v>
      </c>
      <c r="AJ85" s="30">
        <v>1.1000000000000001</v>
      </c>
      <c r="AK85" s="30">
        <v>1</v>
      </c>
      <c r="AL85" s="30">
        <v>1.02</v>
      </c>
      <c r="AM85" s="30">
        <v>1</v>
      </c>
      <c r="AN85" s="30">
        <v>1.2</v>
      </c>
      <c r="AP85" s="615" t="s">
        <v>673</v>
      </c>
      <c r="AQ85" s="686">
        <v>2</v>
      </c>
      <c r="AR85" s="686">
        <v>4</v>
      </c>
      <c r="AS85" s="686">
        <v>1</v>
      </c>
      <c r="AT85" s="686">
        <v>3</v>
      </c>
      <c r="AU85" s="686">
        <v>1</v>
      </c>
      <c r="AV85" s="686">
        <v>5</v>
      </c>
      <c r="AW85" s="297">
        <v>5</v>
      </c>
      <c r="AX85" s="6">
        <v>2</v>
      </c>
      <c r="AY85" s="245">
        <f t="shared" si="15"/>
        <v>1.2365959919080913</v>
      </c>
      <c r="AZ85" s="245">
        <f t="shared" si="16"/>
        <v>2.0646254680556719</v>
      </c>
      <c r="BA85" s="246" t="str">
        <f t="shared" si="17"/>
        <v>(2,4,1,3,1,5)</v>
      </c>
      <c r="BB85" s="30">
        <v>1.05</v>
      </c>
      <c r="BC85" s="30">
        <v>1.1000000000000001</v>
      </c>
      <c r="BD85" s="30">
        <v>1</v>
      </c>
      <c r="BE85" s="30">
        <v>1.02</v>
      </c>
      <c r="BF85" s="30">
        <v>1</v>
      </c>
      <c r="BG85" s="30">
        <v>1.2</v>
      </c>
    </row>
    <row r="86" spans="1:59">
      <c r="A86" s="1305">
        <v>269641</v>
      </c>
      <c r="B86" s="1340"/>
      <c r="C86" s="1306"/>
      <c r="D86" s="1308">
        <v>5</v>
      </c>
      <c r="E86" s="1309" t="s">
        <v>98</v>
      </c>
      <c r="F86" s="1310" t="s">
        <v>240</v>
      </c>
      <c r="G86" s="1311" t="s">
        <v>93</v>
      </c>
      <c r="H86" s="1312" t="s">
        <v>98</v>
      </c>
      <c r="I86" s="1313" t="s">
        <v>98</v>
      </c>
      <c r="J86" s="1314">
        <v>0</v>
      </c>
      <c r="K86" s="1311" t="s">
        <v>115</v>
      </c>
      <c r="L86" s="1311">
        <v>0</v>
      </c>
      <c r="M86" s="1315">
        <v>1</v>
      </c>
      <c r="N86" s="1316">
        <v>2.0741629046031922</v>
      </c>
      <c r="O86" s="1317" t="s">
        <v>3196</v>
      </c>
      <c r="P86" s="1311">
        <v>35179.120000000003</v>
      </c>
      <c r="Q86" s="1315">
        <v>1</v>
      </c>
      <c r="R86" s="1316">
        <v>2.0646254680556719</v>
      </c>
      <c r="S86" s="1317" t="s">
        <v>3193</v>
      </c>
      <c r="T86" s="968"/>
      <c r="U86" s="452"/>
      <c r="V86" s="452"/>
      <c r="W86" s="615"/>
      <c r="X86" s="686">
        <v>3</v>
      </c>
      <c r="Y86" s="686">
        <v>4</v>
      </c>
      <c r="Z86" s="686">
        <v>1</v>
      </c>
      <c r="AA86" s="686">
        <v>3</v>
      </c>
      <c r="AB86" s="686">
        <v>1</v>
      </c>
      <c r="AC86" s="686">
        <v>5</v>
      </c>
      <c r="AD86" s="297">
        <v>5</v>
      </c>
      <c r="AE86" s="6">
        <v>2</v>
      </c>
      <c r="AF86" s="245">
        <f t="shared" si="12"/>
        <v>1.2555818742947564</v>
      </c>
      <c r="AG86" s="245">
        <f t="shared" si="13"/>
        <v>2.0741629046031922</v>
      </c>
      <c r="AH86" s="246" t="str">
        <f t="shared" si="14"/>
        <v>(3,4,1,3,1,5)</v>
      </c>
      <c r="AI86" s="30">
        <v>1.1000000000000001</v>
      </c>
      <c r="AJ86" s="30">
        <v>1.1000000000000001</v>
      </c>
      <c r="AK86" s="30">
        <v>1</v>
      </c>
      <c r="AL86" s="30">
        <v>1.02</v>
      </c>
      <c r="AM86" s="30">
        <v>1</v>
      </c>
      <c r="AN86" s="30">
        <v>1.2</v>
      </c>
      <c r="AP86" s="615" t="s">
        <v>673</v>
      </c>
      <c r="AQ86" s="686">
        <v>2</v>
      </c>
      <c r="AR86" s="686">
        <v>4</v>
      </c>
      <c r="AS86" s="686">
        <v>1</v>
      </c>
      <c r="AT86" s="686">
        <v>3</v>
      </c>
      <c r="AU86" s="686">
        <v>1</v>
      </c>
      <c r="AV86" s="686">
        <v>5</v>
      </c>
      <c r="AW86" s="297">
        <v>5</v>
      </c>
      <c r="AX86" s="6">
        <v>2</v>
      </c>
      <c r="AY86" s="245">
        <f t="shared" si="15"/>
        <v>1.2365959919080913</v>
      </c>
      <c r="AZ86" s="245">
        <f t="shared" si="16"/>
        <v>2.0646254680556719</v>
      </c>
      <c r="BA86" s="246" t="str">
        <f t="shared" si="17"/>
        <v>(2,4,1,3,1,5)</v>
      </c>
      <c r="BB86" s="30">
        <v>1.05</v>
      </c>
      <c r="BC86" s="30">
        <v>1.1000000000000001</v>
      </c>
      <c r="BD86" s="30">
        <v>1</v>
      </c>
      <c r="BE86" s="30">
        <v>1.02</v>
      </c>
      <c r="BF86" s="30">
        <v>1</v>
      </c>
      <c r="BG86" s="30">
        <v>1.2</v>
      </c>
    </row>
    <row r="87" spans="1:59">
      <c r="A87" s="1305">
        <v>267874</v>
      </c>
      <c r="B87" s="1307" t="s">
        <v>735</v>
      </c>
      <c r="C87" s="1306"/>
      <c r="D87" s="1362">
        <v>5</v>
      </c>
      <c r="E87" s="1363" t="s">
        <v>98</v>
      </c>
      <c r="F87" s="1355" t="s">
        <v>736</v>
      </c>
      <c r="G87" s="1356" t="s">
        <v>93</v>
      </c>
      <c r="H87" s="1364" t="s">
        <v>98</v>
      </c>
      <c r="I87" s="1357" t="s">
        <v>98</v>
      </c>
      <c r="J87" s="1358">
        <v>0</v>
      </c>
      <c r="K87" s="1356" t="s">
        <v>96</v>
      </c>
      <c r="L87" s="1356">
        <v>0</v>
      </c>
      <c r="M87" s="1359">
        <v>1</v>
      </c>
      <c r="N87" s="1360">
        <v>1.2620910621938648</v>
      </c>
      <c r="O87" s="1361" t="s">
        <v>3196</v>
      </c>
      <c r="P87" s="1356">
        <v>1149876</v>
      </c>
      <c r="Q87" s="1359">
        <v>1</v>
      </c>
      <c r="R87" s="1360">
        <v>1.2434566510799234</v>
      </c>
      <c r="S87" s="1361" t="s">
        <v>3193</v>
      </c>
      <c r="T87" s="968"/>
      <c r="U87" s="452"/>
      <c r="V87" s="452"/>
      <c r="W87" s="615"/>
      <c r="X87" s="686">
        <v>3</v>
      </c>
      <c r="Y87" s="686">
        <v>4</v>
      </c>
      <c r="Z87" s="686">
        <v>1</v>
      </c>
      <c r="AA87" s="686">
        <v>3</v>
      </c>
      <c r="AB87" s="686">
        <v>1</v>
      </c>
      <c r="AC87" s="686">
        <v>5</v>
      </c>
      <c r="AD87" s="297">
        <v>3</v>
      </c>
      <c r="AE87" s="6">
        <v>1.05</v>
      </c>
      <c r="AF87" s="245">
        <f t="shared" si="12"/>
        <v>1.2555818742947564</v>
      </c>
      <c r="AG87" s="245">
        <f t="shared" si="13"/>
        <v>1.2620910621938648</v>
      </c>
      <c r="AH87" s="246" t="str">
        <f t="shared" si="14"/>
        <v>(3,4,1,3,1,5)</v>
      </c>
      <c r="AI87" s="30">
        <v>1.1000000000000001</v>
      </c>
      <c r="AJ87" s="30">
        <v>1.1000000000000001</v>
      </c>
      <c r="AK87" s="30">
        <v>1</v>
      </c>
      <c r="AL87" s="30">
        <v>1.02</v>
      </c>
      <c r="AM87" s="30">
        <v>1</v>
      </c>
      <c r="AN87" s="30">
        <v>1.2</v>
      </c>
      <c r="AP87" s="615" t="s">
        <v>673</v>
      </c>
      <c r="AQ87" s="686">
        <v>2</v>
      </c>
      <c r="AR87" s="686">
        <v>4</v>
      </c>
      <c r="AS87" s="686">
        <v>1</v>
      </c>
      <c r="AT87" s="686">
        <v>3</v>
      </c>
      <c r="AU87" s="686">
        <v>1</v>
      </c>
      <c r="AV87" s="686">
        <v>5</v>
      </c>
      <c r="AW87" s="297">
        <v>3</v>
      </c>
      <c r="AX87" s="6">
        <v>1.05</v>
      </c>
      <c r="AY87" s="245">
        <f t="shared" si="15"/>
        <v>1.2365959919080913</v>
      </c>
      <c r="AZ87" s="245">
        <f t="shared" si="16"/>
        <v>1.2434566510799234</v>
      </c>
      <c r="BA87" s="246" t="str">
        <f t="shared" si="17"/>
        <v>(2,4,1,3,1,5)</v>
      </c>
      <c r="BB87" s="30">
        <v>1.05</v>
      </c>
      <c r="BC87" s="30">
        <v>1.1000000000000001</v>
      </c>
      <c r="BD87" s="30">
        <v>1</v>
      </c>
      <c r="BE87" s="30">
        <v>1.02</v>
      </c>
      <c r="BF87" s="30">
        <v>1</v>
      </c>
      <c r="BG87" s="30">
        <v>1.2</v>
      </c>
    </row>
    <row r="88" spans="1:59">
      <c r="A88" s="1305">
        <v>268459</v>
      </c>
      <c r="B88" s="1340"/>
      <c r="C88" s="1306"/>
      <c r="D88" s="1308">
        <v>5</v>
      </c>
      <c r="E88" s="1309" t="s">
        <v>98</v>
      </c>
      <c r="F88" s="1310" t="s">
        <v>678</v>
      </c>
      <c r="G88" s="1311" t="s">
        <v>93</v>
      </c>
      <c r="H88" s="1312" t="s">
        <v>98</v>
      </c>
      <c r="I88" s="1313" t="s">
        <v>98</v>
      </c>
      <c r="J88" s="1314">
        <v>0</v>
      </c>
      <c r="K88" s="1311" t="s">
        <v>679</v>
      </c>
      <c r="L88" s="1311">
        <v>0</v>
      </c>
      <c r="M88" s="1315">
        <v>1</v>
      </c>
      <c r="N88" s="1316">
        <v>1.2620910621938648</v>
      </c>
      <c r="O88" s="1317" t="s">
        <v>3196</v>
      </c>
      <c r="P88" s="1311">
        <v>98560.8</v>
      </c>
      <c r="Q88" s="1315">
        <v>1</v>
      </c>
      <c r="R88" s="1316">
        <v>1.2434566510799234</v>
      </c>
      <c r="S88" s="1317" t="s">
        <v>3193</v>
      </c>
      <c r="T88" s="968"/>
      <c r="U88" s="452"/>
      <c r="V88" s="452"/>
      <c r="W88" s="615"/>
      <c r="X88" s="686">
        <v>3</v>
      </c>
      <c r="Y88" s="686">
        <v>4</v>
      </c>
      <c r="Z88" s="686">
        <v>1</v>
      </c>
      <c r="AA88" s="686">
        <v>3</v>
      </c>
      <c r="AB88" s="686">
        <v>1</v>
      </c>
      <c r="AC88" s="686">
        <v>5</v>
      </c>
      <c r="AD88" s="297">
        <v>3</v>
      </c>
      <c r="AE88" s="6">
        <v>1.05</v>
      </c>
      <c r="AF88" s="245">
        <f t="shared" si="12"/>
        <v>1.2555818742947564</v>
      </c>
      <c r="AG88" s="245">
        <f t="shared" si="13"/>
        <v>1.2620910621938648</v>
      </c>
      <c r="AH88" s="246" t="str">
        <f t="shared" si="14"/>
        <v>(3,4,1,3,1,5)</v>
      </c>
      <c r="AI88" s="30">
        <v>1.1000000000000001</v>
      </c>
      <c r="AJ88" s="30">
        <v>1.1000000000000001</v>
      </c>
      <c r="AK88" s="30">
        <v>1</v>
      </c>
      <c r="AL88" s="30">
        <v>1.02</v>
      </c>
      <c r="AM88" s="30">
        <v>1</v>
      </c>
      <c r="AN88" s="30">
        <v>1.2</v>
      </c>
      <c r="AP88" s="615" t="s">
        <v>673</v>
      </c>
      <c r="AQ88" s="686">
        <v>2</v>
      </c>
      <c r="AR88" s="686">
        <v>4</v>
      </c>
      <c r="AS88" s="686">
        <v>1</v>
      </c>
      <c r="AT88" s="686">
        <v>3</v>
      </c>
      <c r="AU88" s="686">
        <v>1</v>
      </c>
      <c r="AV88" s="686">
        <v>5</v>
      </c>
      <c r="AW88" s="297">
        <v>3</v>
      </c>
      <c r="AX88" s="6">
        <v>1.05</v>
      </c>
      <c r="AY88" s="245">
        <f t="shared" si="15"/>
        <v>1.2365959919080913</v>
      </c>
      <c r="AZ88" s="245">
        <f t="shared" si="16"/>
        <v>1.2434566510799234</v>
      </c>
      <c r="BA88" s="246" t="str">
        <f t="shared" si="17"/>
        <v>(2,4,1,3,1,5)</v>
      </c>
      <c r="BB88" s="30">
        <v>1.05</v>
      </c>
      <c r="BC88" s="30">
        <v>1.1000000000000001</v>
      </c>
      <c r="BD88" s="30">
        <v>1</v>
      </c>
      <c r="BE88" s="30">
        <v>1.02</v>
      </c>
      <c r="BF88" s="30">
        <v>1</v>
      </c>
      <c r="BG88" s="30">
        <v>1.2</v>
      </c>
    </row>
    <row r="89" spans="1:59">
      <c r="A89" s="1305">
        <v>261394</v>
      </c>
      <c r="B89" s="1340"/>
      <c r="C89" s="1306"/>
      <c r="D89" s="1362">
        <v>5</v>
      </c>
      <c r="E89" s="1363" t="s">
        <v>98</v>
      </c>
      <c r="F89" s="1355" t="s">
        <v>737</v>
      </c>
      <c r="G89" s="1356" t="s">
        <v>103</v>
      </c>
      <c r="H89" s="1364" t="s">
        <v>98</v>
      </c>
      <c r="I89" s="1357" t="s">
        <v>98</v>
      </c>
      <c r="J89" s="1358">
        <v>0</v>
      </c>
      <c r="K89" s="1356" t="s">
        <v>96</v>
      </c>
      <c r="L89" s="1356">
        <v>0</v>
      </c>
      <c r="M89" s="1359">
        <v>1</v>
      </c>
      <c r="N89" s="1360">
        <v>1.2620910621938648</v>
      </c>
      <c r="O89" s="1361" t="s">
        <v>3196</v>
      </c>
      <c r="P89" s="1356">
        <v>114987.6</v>
      </c>
      <c r="Q89" s="1359">
        <v>1</v>
      </c>
      <c r="R89" s="1360">
        <v>1.2434566510799234</v>
      </c>
      <c r="S89" s="1361" t="s">
        <v>3193</v>
      </c>
      <c r="T89" s="968"/>
      <c r="U89" s="452"/>
      <c r="V89" s="452"/>
      <c r="W89" s="615"/>
      <c r="X89" s="686">
        <v>3</v>
      </c>
      <c r="Y89" s="686">
        <v>4</v>
      </c>
      <c r="Z89" s="686">
        <v>1</v>
      </c>
      <c r="AA89" s="686">
        <v>3</v>
      </c>
      <c r="AB89" s="686">
        <v>1</v>
      </c>
      <c r="AC89" s="686">
        <v>5</v>
      </c>
      <c r="AD89" s="297">
        <v>3</v>
      </c>
      <c r="AE89" s="6">
        <v>1.05</v>
      </c>
      <c r="AF89" s="245">
        <f t="shared" si="12"/>
        <v>1.2555818742947564</v>
      </c>
      <c r="AG89" s="245">
        <f t="shared" si="13"/>
        <v>1.2620910621938648</v>
      </c>
      <c r="AH89" s="246" t="str">
        <f t="shared" si="14"/>
        <v>(3,4,1,3,1,5)</v>
      </c>
      <c r="AI89" s="30">
        <v>1.1000000000000001</v>
      </c>
      <c r="AJ89" s="30">
        <v>1.1000000000000001</v>
      </c>
      <c r="AK89" s="30">
        <v>1</v>
      </c>
      <c r="AL89" s="30">
        <v>1.02</v>
      </c>
      <c r="AM89" s="30">
        <v>1</v>
      </c>
      <c r="AN89" s="30">
        <v>1.2</v>
      </c>
      <c r="AP89" s="615" t="s">
        <v>673</v>
      </c>
      <c r="AQ89" s="686">
        <v>2</v>
      </c>
      <c r="AR89" s="686">
        <v>4</v>
      </c>
      <c r="AS89" s="686">
        <v>1</v>
      </c>
      <c r="AT89" s="686">
        <v>3</v>
      </c>
      <c r="AU89" s="686">
        <v>1</v>
      </c>
      <c r="AV89" s="686">
        <v>5</v>
      </c>
      <c r="AW89" s="297">
        <v>3</v>
      </c>
      <c r="AX89" s="6">
        <v>1.05</v>
      </c>
      <c r="AY89" s="245">
        <f t="shared" si="15"/>
        <v>1.2365959919080913</v>
      </c>
      <c r="AZ89" s="245">
        <f t="shared" si="16"/>
        <v>1.2434566510799234</v>
      </c>
      <c r="BA89" s="246" t="str">
        <f t="shared" si="17"/>
        <v>(2,4,1,3,1,5)</v>
      </c>
      <c r="BB89" s="30">
        <v>1.05</v>
      </c>
      <c r="BC89" s="30">
        <v>1.1000000000000001</v>
      </c>
      <c r="BD89" s="30">
        <v>1</v>
      </c>
      <c r="BE89" s="30">
        <v>1.02</v>
      </c>
      <c r="BF89" s="30">
        <v>1</v>
      </c>
      <c r="BG89" s="30">
        <v>1.2</v>
      </c>
    </row>
    <row r="90" spans="1:59">
      <c r="A90" s="1305">
        <v>266627</v>
      </c>
      <c r="B90" s="1340"/>
      <c r="C90" s="1306"/>
      <c r="D90" s="1308">
        <v>5</v>
      </c>
      <c r="E90" s="1309" t="s">
        <v>98</v>
      </c>
      <c r="F90" s="1310" t="s">
        <v>634</v>
      </c>
      <c r="G90" s="1311" t="s">
        <v>93</v>
      </c>
      <c r="H90" s="1312" t="s">
        <v>98</v>
      </c>
      <c r="I90" s="1313" t="s">
        <v>98</v>
      </c>
      <c r="J90" s="1314">
        <v>0</v>
      </c>
      <c r="K90" s="1311" t="s">
        <v>96</v>
      </c>
      <c r="L90" s="1311">
        <v>0</v>
      </c>
      <c r="M90" s="1315">
        <v>1</v>
      </c>
      <c r="N90" s="1316">
        <v>1.2620910621938648</v>
      </c>
      <c r="O90" s="1317" t="s">
        <v>3196</v>
      </c>
      <c r="P90" s="1311">
        <v>1034888.4</v>
      </c>
      <c r="Q90" s="1315">
        <v>1</v>
      </c>
      <c r="R90" s="1316">
        <v>1.2434566510799234</v>
      </c>
      <c r="S90" s="1317" t="s">
        <v>3193</v>
      </c>
      <c r="T90" s="968"/>
      <c r="U90" s="452"/>
      <c r="V90" s="452"/>
      <c r="W90" s="615"/>
      <c r="X90" s="686">
        <v>3</v>
      </c>
      <c r="Y90" s="686">
        <v>4</v>
      </c>
      <c r="Z90" s="686">
        <v>1</v>
      </c>
      <c r="AA90" s="686">
        <v>3</v>
      </c>
      <c r="AB90" s="686">
        <v>1</v>
      </c>
      <c r="AC90" s="686">
        <v>5</v>
      </c>
      <c r="AD90" s="297">
        <v>3</v>
      </c>
      <c r="AE90" s="6">
        <v>1.05</v>
      </c>
      <c r="AF90" s="245">
        <f t="shared" si="12"/>
        <v>1.2555818742947564</v>
      </c>
      <c r="AG90" s="245">
        <f t="shared" si="13"/>
        <v>1.2620910621938648</v>
      </c>
      <c r="AH90" s="246" t="str">
        <f t="shared" si="14"/>
        <v>(3,4,1,3,1,5)</v>
      </c>
      <c r="AI90" s="30">
        <v>1.1000000000000001</v>
      </c>
      <c r="AJ90" s="30">
        <v>1.1000000000000001</v>
      </c>
      <c r="AK90" s="30">
        <v>1</v>
      </c>
      <c r="AL90" s="30">
        <v>1.02</v>
      </c>
      <c r="AM90" s="30">
        <v>1</v>
      </c>
      <c r="AN90" s="30">
        <v>1.2</v>
      </c>
      <c r="AP90" s="615" t="s">
        <v>673</v>
      </c>
      <c r="AQ90" s="686">
        <v>2</v>
      </c>
      <c r="AR90" s="686">
        <v>4</v>
      </c>
      <c r="AS90" s="686">
        <v>1</v>
      </c>
      <c r="AT90" s="686">
        <v>3</v>
      </c>
      <c r="AU90" s="686">
        <v>1</v>
      </c>
      <c r="AV90" s="686">
        <v>5</v>
      </c>
      <c r="AW90" s="297">
        <v>3</v>
      </c>
      <c r="AX90" s="6">
        <v>1.05</v>
      </c>
      <c r="AY90" s="245">
        <f t="shared" si="15"/>
        <v>1.2365959919080913</v>
      </c>
      <c r="AZ90" s="245">
        <f t="shared" si="16"/>
        <v>1.2434566510799234</v>
      </c>
      <c r="BA90" s="246" t="str">
        <f t="shared" si="17"/>
        <v>(2,4,1,3,1,5)</v>
      </c>
      <c r="BB90" s="30">
        <v>1.05</v>
      </c>
      <c r="BC90" s="30">
        <v>1.1000000000000001</v>
      </c>
      <c r="BD90" s="30">
        <v>1</v>
      </c>
      <c r="BE90" s="30">
        <v>1.02</v>
      </c>
      <c r="BF90" s="30">
        <v>1</v>
      </c>
      <c r="BG90" s="30">
        <v>1.2</v>
      </c>
    </row>
    <row r="91" spans="1:59">
      <c r="A91" s="1305">
        <v>160371</v>
      </c>
      <c r="B91" s="1340"/>
      <c r="C91" s="1306"/>
      <c r="D91" s="1362">
        <v>5</v>
      </c>
      <c r="E91" s="1363" t="s">
        <v>98</v>
      </c>
      <c r="F91" s="1355" t="s">
        <v>242</v>
      </c>
      <c r="G91" s="1356" t="s">
        <v>93</v>
      </c>
      <c r="H91" s="1364" t="s">
        <v>98</v>
      </c>
      <c r="I91" s="1357" t="s">
        <v>98</v>
      </c>
      <c r="J91" s="1358">
        <v>0</v>
      </c>
      <c r="K91" s="1356" t="s">
        <v>115</v>
      </c>
      <c r="L91" s="1356">
        <v>0</v>
      </c>
      <c r="M91" s="1359">
        <v>1</v>
      </c>
      <c r="N91" s="1360">
        <v>2.0741629046031922</v>
      </c>
      <c r="O91" s="1361" t="s">
        <v>3196</v>
      </c>
      <c r="P91" s="1356">
        <v>218476.44</v>
      </c>
      <c r="Q91" s="1359">
        <v>1</v>
      </c>
      <c r="R91" s="1360">
        <v>2.0646254680556719</v>
      </c>
      <c r="S91" s="1361" t="s">
        <v>3193</v>
      </c>
      <c r="T91" s="968"/>
      <c r="U91" s="452"/>
      <c r="V91" s="452"/>
      <c r="W91" s="615"/>
      <c r="X91" s="686">
        <v>3</v>
      </c>
      <c r="Y91" s="686">
        <v>4</v>
      </c>
      <c r="Z91" s="686">
        <v>1</v>
      </c>
      <c r="AA91" s="686">
        <v>3</v>
      </c>
      <c r="AB91" s="686">
        <v>1</v>
      </c>
      <c r="AC91" s="686">
        <v>5</v>
      </c>
      <c r="AD91" s="297">
        <v>5</v>
      </c>
      <c r="AE91" s="6">
        <v>2</v>
      </c>
      <c r="AF91" s="245">
        <f t="shared" si="12"/>
        <v>1.2555818742947564</v>
      </c>
      <c r="AG91" s="245">
        <f t="shared" si="13"/>
        <v>2.0741629046031922</v>
      </c>
      <c r="AH91" s="246" t="str">
        <f t="shared" si="14"/>
        <v>(3,4,1,3,1,5)</v>
      </c>
      <c r="AI91" s="30">
        <v>1.1000000000000001</v>
      </c>
      <c r="AJ91" s="30">
        <v>1.1000000000000001</v>
      </c>
      <c r="AK91" s="30">
        <v>1</v>
      </c>
      <c r="AL91" s="30">
        <v>1.02</v>
      </c>
      <c r="AM91" s="30">
        <v>1</v>
      </c>
      <c r="AN91" s="30">
        <v>1.2</v>
      </c>
      <c r="AP91" s="615" t="s">
        <v>673</v>
      </c>
      <c r="AQ91" s="686">
        <v>2</v>
      </c>
      <c r="AR91" s="686">
        <v>4</v>
      </c>
      <c r="AS91" s="686">
        <v>1</v>
      </c>
      <c r="AT91" s="686">
        <v>3</v>
      </c>
      <c r="AU91" s="686">
        <v>1</v>
      </c>
      <c r="AV91" s="686">
        <v>5</v>
      </c>
      <c r="AW91" s="297">
        <v>5</v>
      </c>
      <c r="AX91" s="6">
        <v>2</v>
      </c>
      <c r="AY91" s="245">
        <f t="shared" si="15"/>
        <v>1.2365959919080913</v>
      </c>
      <c r="AZ91" s="245">
        <f t="shared" si="16"/>
        <v>2.0646254680556719</v>
      </c>
      <c r="BA91" s="246" t="str">
        <f t="shared" si="17"/>
        <v>(2,4,1,3,1,5)</v>
      </c>
      <c r="BB91" s="30">
        <v>1.05</v>
      </c>
      <c r="BC91" s="30">
        <v>1.1000000000000001</v>
      </c>
      <c r="BD91" s="30">
        <v>1</v>
      </c>
      <c r="BE91" s="30">
        <v>1.02</v>
      </c>
      <c r="BF91" s="30">
        <v>1</v>
      </c>
      <c r="BG91" s="30">
        <v>1.2</v>
      </c>
    </row>
    <row r="92" spans="1:59">
      <c r="A92" s="1305">
        <v>269641</v>
      </c>
      <c r="B92" s="1340"/>
      <c r="C92" s="1306"/>
      <c r="D92" s="1308">
        <v>5</v>
      </c>
      <c r="E92" s="1309" t="s">
        <v>98</v>
      </c>
      <c r="F92" s="1310" t="s">
        <v>240</v>
      </c>
      <c r="G92" s="1311" t="s">
        <v>93</v>
      </c>
      <c r="H92" s="1312" t="s">
        <v>98</v>
      </c>
      <c r="I92" s="1313" t="s">
        <v>98</v>
      </c>
      <c r="J92" s="1314">
        <v>0</v>
      </c>
      <c r="K92" s="1311" t="s">
        <v>115</v>
      </c>
      <c r="L92" s="1311">
        <v>0</v>
      </c>
      <c r="M92" s="1315">
        <v>1</v>
      </c>
      <c r="N92" s="1316">
        <v>2.0741629046031922</v>
      </c>
      <c r="O92" s="1317" t="s">
        <v>3196</v>
      </c>
      <c r="P92" s="1311">
        <v>446726.83</v>
      </c>
      <c r="Q92" s="1315">
        <v>1</v>
      </c>
      <c r="R92" s="1316">
        <v>2.0646254680556719</v>
      </c>
      <c r="S92" s="1317" t="s">
        <v>3193</v>
      </c>
      <c r="T92" s="968"/>
      <c r="U92" s="452"/>
      <c r="V92" s="452"/>
      <c r="W92" s="615"/>
      <c r="X92" s="686">
        <v>3</v>
      </c>
      <c r="Y92" s="686">
        <v>4</v>
      </c>
      <c r="Z92" s="686">
        <v>1</v>
      </c>
      <c r="AA92" s="686">
        <v>3</v>
      </c>
      <c r="AB92" s="686">
        <v>1</v>
      </c>
      <c r="AC92" s="686">
        <v>5</v>
      </c>
      <c r="AD92" s="297">
        <v>5</v>
      </c>
      <c r="AE92" s="6">
        <v>2</v>
      </c>
      <c r="AF92" s="245">
        <f t="shared" si="12"/>
        <v>1.2555818742947564</v>
      </c>
      <c r="AG92" s="245">
        <f t="shared" si="13"/>
        <v>2.0741629046031922</v>
      </c>
      <c r="AH92" s="246" t="str">
        <f t="shared" si="14"/>
        <v>(3,4,1,3,1,5)</v>
      </c>
      <c r="AI92" s="30">
        <v>1.1000000000000001</v>
      </c>
      <c r="AJ92" s="30">
        <v>1.1000000000000001</v>
      </c>
      <c r="AK92" s="30">
        <v>1</v>
      </c>
      <c r="AL92" s="30">
        <v>1.02</v>
      </c>
      <c r="AM92" s="30">
        <v>1</v>
      </c>
      <c r="AN92" s="30">
        <v>1.2</v>
      </c>
      <c r="AP92" s="615" t="s">
        <v>673</v>
      </c>
      <c r="AQ92" s="686">
        <v>2</v>
      </c>
      <c r="AR92" s="686">
        <v>4</v>
      </c>
      <c r="AS92" s="686">
        <v>1</v>
      </c>
      <c r="AT92" s="686">
        <v>3</v>
      </c>
      <c r="AU92" s="686">
        <v>1</v>
      </c>
      <c r="AV92" s="686">
        <v>5</v>
      </c>
      <c r="AW92" s="297">
        <v>5</v>
      </c>
      <c r="AX92" s="6">
        <v>2</v>
      </c>
      <c r="AY92" s="245">
        <f t="shared" si="15"/>
        <v>1.2365959919080913</v>
      </c>
      <c r="AZ92" s="245">
        <f t="shared" si="16"/>
        <v>2.0646254680556719</v>
      </c>
      <c r="BA92" s="246" t="str">
        <f t="shared" si="17"/>
        <v>(2,4,1,3,1,5)</v>
      </c>
      <c r="BB92" s="30">
        <v>1.05</v>
      </c>
      <c r="BC92" s="30">
        <v>1.1000000000000001</v>
      </c>
      <c r="BD92" s="30">
        <v>1</v>
      </c>
      <c r="BE92" s="30">
        <v>1.02</v>
      </c>
      <c r="BF92" s="30">
        <v>1</v>
      </c>
      <c r="BG92" s="30">
        <v>1.2</v>
      </c>
    </row>
    <row r="93" spans="1:59">
      <c r="A93" s="1305">
        <v>266163</v>
      </c>
      <c r="B93" s="1340"/>
      <c r="C93" s="1306"/>
      <c r="D93" s="1362">
        <v>5</v>
      </c>
      <c r="E93" s="1363" t="s">
        <v>98</v>
      </c>
      <c r="F93" s="1355" t="s">
        <v>738</v>
      </c>
      <c r="G93" s="1356" t="s">
        <v>93</v>
      </c>
      <c r="H93" s="1364" t="s">
        <v>98</v>
      </c>
      <c r="I93" s="1357" t="s">
        <v>98</v>
      </c>
      <c r="J93" s="1358">
        <v>0</v>
      </c>
      <c r="K93" s="1356" t="s">
        <v>739</v>
      </c>
      <c r="L93" s="1356">
        <v>0</v>
      </c>
      <c r="M93" s="1359">
        <v>1</v>
      </c>
      <c r="N93" s="1360">
        <v>1.2620910621938648</v>
      </c>
      <c r="O93" s="1361" t="s">
        <v>3196</v>
      </c>
      <c r="P93" s="1356">
        <v>91990.080000000002</v>
      </c>
      <c r="Q93" s="1359">
        <v>1</v>
      </c>
      <c r="R93" s="1360">
        <v>1.2434566510799234</v>
      </c>
      <c r="S93" s="1361" t="s">
        <v>3193</v>
      </c>
      <c r="T93" s="968"/>
      <c r="U93" s="452"/>
      <c r="V93" s="452"/>
      <c r="W93" s="615"/>
      <c r="X93" s="686">
        <v>3</v>
      </c>
      <c r="Y93" s="686">
        <v>4</v>
      </c>
      <c r="Z93" s="686">
        <v>1</v>
      </c>
      <c r="AA93" s="686">
        <v>3</v>
      </c>
      <c r="AB93" s="686">
        <v>1</v>
      </c>
      <c r="AC93" s="686">
        <v>5</v>
      </c>
      <c r="AD93" s="297">
        <v>3</v>
      </c>
      <c r="AE93" s="6">
        <v>1.05</v>
      </c>
      <c r="AF93" s="245">
        <f t="shared" si="12"/>
        <v>1.2555818742947564</v>
      </c>
      <c r="AG93" s="245">
        <f t="shared" si="13"/>
        <v>1.2620910621938648</v>
      </c>
      <c r="AH93" s="246" t="str">
        <f t="shared" si="14"/>
        <v>(3,4,1,3,1,5)</v>
      </c>
      <c r="AI93" s="30">
        <v>1.1000000000000001</v>
      </c>
      <c r="AJ93" s="30">
        <v>1.1000000000000001</v>
      </c>
      <c r="AK93" s="30">
        <v>1</v>
      </c>
      <c r="AL93" s="30">
        <v>1.02</v>
      </c>
      <c r="AM93" s="30">
        <v>1</v>
      </c>
      <c r="AN93" s="30">
        <v>1.2</v>
      </c>
      <c r="AP93" s="615" t="s">
        <v>673</v>
      </c>
      <c r="AQ93" s="686">
        <v>2</v>
      </c>
      <c r="AR93" s="686">
        <v>4</v>
      </c>
      <c r="AS93" s="686">
        <v>1</v>
      </c>
      <c r="AT93" s="686">
        <v>3</v>
      </c>
      <c r="AU93" s="686">
        <v>1</v>
      </c>
      <c r="AV93" s="686">
        <v>5</v>
      </c>
      <c r="AW93" s="297">
        <v>3</v>
      </c>
      <c r="AX93" s="6">
        <v>1.05</v>
      </c>
      <c r="AY93" s="245">
        <f t="shared" si="15"/>
        <v>1.2365959919080913</v>
      </c>
      <c r="AZ93" s="245">
        <f t="shared" si="16"/>
        <v>1.2434566510799234</v>
      </c>
      <c r="BA93" s="246" t="str">
        <f t="shared" si="17"/>
        <v>(2,4,1,3,1,5)</v>
      </c>
      <c r="BB93" s="30">
        <v>1.05</v>
      </c>
      <c r="BC93" s="30">
        <v>1.1000000000000001</v>
      </c>
      <c r="BD93" s="30">
        <v>1</v>
      </c>
      <c r="BE93" s="30">
        <v>1.02</v>
      </c>
      <c r="BF93" s="30">
        <v>1</v>
      </c>
      <c r="BG93" s="30">
        <v>1.2</v>
      </c>
    </row>
    <row r="94" spans="1:59">
      <c r="A94" s="1305">
        <v>79235</v>
      </c>
      <c r="B94" s="1307" t="s">
        <v>740</v>
      </c>
      <c r="C94" s="1306"/>
      <c r="D94" s="1308">
        <v>5</v>
      </c>
      <c r="E94" s="1309" t="s">
        <v>98</v>
      </c>
      <c r="F94" s="1310" t="s">
        <v>688</v>
      </c>
      <c r="G94" s="1311" t="s">
        <v>340</v>
      </c>
      <c r="H94" s="1312" t="s">
        <v>98</v>
      </c>
      <c r="I94" s="1313" t="s">
        <v>98</v>
      </c>
      <c r="J94" s="1314">
        <v>0</v>
      </c>
      <c r="K94" s="1311" t="s">
        <v>109</v>
      </c>
      <c r="L94" s="1311">
        <v>0</v>
      </c>
      <c r="M94" s="1315">
        <v>1</v>
      </c>
      <c r="N94" s="1316">
        <v>1.2620910621938648</v>
      </c>
      <c r="O94" s="1317" t="s">
        <v>3196</v>
      </c>
      <c r="P94" s="1311">
        <v>104687.5</v>
      </c>
      <c r="Q94" s="1315">
        <v>1</v>
      </c>
      <c r="R94" s="1316">
        <v>1.2434566510799234</v>
      </c>
      <c r="S94" s="1317" t="s">
        <v>3193</v>
      </c>
      <c r="T94" s="968"/>
      <c r="U94" s="452"/>
      <c r="V94" s="452"/>
      <c r="W94" s="615"/>
      <c r="X94" s="686">
        <v>3</v>
      </c>
      <c r="Y94" s="686">
        <v>4</v>
      </c>
      <c r="Z94" s="686">
        <v>1</v>
      </c>
      <c r="AA94" s="686">
        <v>3</v>
      </c>
      <c r="AB94" s="686">
        <v>1</v>
      </c>
      <c r="AC94" s="686">
        <v>5</v>
      </c>
      <c r="AD94" s="297">
        <v>3</v>
      </c>
      <c r="AE94" s="6">
        <v>1.05</v>
      </c>
      <c r="AF94" s="245">
        <f t="shared" si="12"/>
        <v>1.2555818742947564</v>
      </c>
      <c r="AG94" s="245">
        <f t="shared" si="13"/>
        <v>1.2620910621938648</v>
      </c>
      <c r="AH94" s="246" t="str">
        <f t="shared" si="14"/>
        <v>(3,4,1,3,1,5)</v>
      </c>
      <c r="AI94" s="30">
        <v>1.1000000000000001</v>
      </c>
      <c r="AJ94" s="30">
        <v>1.1000000000000001</v>
      </c>
      <c r="AK94" s="30">
        <v>1</v>
      </c>
      <c r="AL94" s="30">
        <v>1.02</v>
      </c>
      <c r="AM94" s="30">
        <v>1</v>
      </c>
      <c r="AN94" s="30">
        <v>1.2</v>
      </c>
      <c r="AP94" s="615" t="s">
        <v>673</v>
      </c>
      <c r="AQ94" s="686">
        <v>2</v>
      </c>
      <c r="AR94" s="686">
        <v>4</v>
      </c>
      <c r="AS94" s="686">
        <v>1</v>
      </c>
      <c r="AT94" s="686">
        <v>3</v>
      </c>
      <c r="AU94" s="686">
        <v>1</v>
      </c>
      <c r="AV94" s="686">
        <v>5</v>
      </c>
      <c r="AW94" s="297">
        <v>3</v>
      </c>
      <c r="AX94" s="6">
        <v>1.05</v>
      </c>
      <c r="AY94" s="245">
        <f t="shared" si="15"/>
        <v>1.2365959919080913</v>
      </c>
      <c r="AZ94" s="245">
        <f t="shared" si="16"/>
        <v>1.2434566510799234</v>
      </c>
      <c r="BA94" s="246" t="str">
        <f t="shared" si="17"/>
        <v>(2,4,1,3,1,5)</v>
      </c>
      <c r="BB94" s="30">
        <v>1.05</v>
      </c>
      <c r="BC94" s="30">
        <v>1.1000000000000001</v>
      </c>
      <c r="BD94" s="30">
        <v>1</v>
      </c>
      <c r="BE94" s="30">
        <v>1.02</v>
      </c>
      <c r="BF94" s="30">
        <v>1</v>
      </c>
      <c r="BG94" s="30">
        <v>1.2</v>
      </c>
    </row>
    <row r="95" spans="1:59" ht="23.25" customHeight="1">
      <c r="A95" s="1305">
        <v>267287</v>
      </c>
      <c r="B95" s="1340"/>
      <c r="C95" s="1306"/>
      <c r="D95" s="1362">
        <v>5</v>
      </c>
      <c r="E95" s="1363" t="s">
        <v>98</v>
      </c>
      <c r="F95" s="1355" t="s">
        <v>690</v>
      </c>
      <c r="G95" s="1356" t="s">
        <v>154</v>
      </c>
      <c r="H95" s="1364" t="s">
        <v>98</v>
      </c>
      <c r="I95" s="1357" t="s">
        <v>98</v>
      </c>
      <c r="J95" s="1358">
        <v>0</v>
      </c>
      <c r="K95" s="1356" t="s">
        <v>104</v>
      </c>
      <c r="L95" s="1356">
        <v>0</v>
      </c>
      <c r="M95" s="1359">
        <v>1</v>
      </c>
      <c r="N95" s="1360">
        <v>1.2620910621938648</v>
      </c>
      <c r="O95" s="1361" t="s">
        <v>3196</v>
      </c>
      <c r="P95" s="1356">
        <v>59365.860346800138</v>
      </c>
      <c r="Q95" s="1359">
        <v>1</v>
      </c>
      <c r="R95" s="1360">
        <v>1.2434566510799234</v>
      </c>
      <c r="S95" s="1361" t="s">
        <v>3200</v>
      </c>
      <c r="T95" s="968"/>
      <c r="U95" s="452"/>
      <c r="V95" s="452"/>
      <c r="W95" s="615"/>
      <c r="X95" s="686">
        <v>3</v>
      </c>
      <c r="Y95" s="686">
        <v>4</v>
      </c>
      <c r="Z95" s="686">
        <v>1</v>
      </c>
      <c r="AA95" s="686">
        <v>3</v>
      </c>
      <c r="AB95" s="686">
        <v>1</v>
      </c>
      <c r="AC95" s="686">
        <v>5</v>
      </c>
      <c r="AD95" s="297">
        <v>1</v>
      </c>
      <c r="AE95" s="6">
        <v>1.05</v>
      </c>
      <c r="AF95" s="245">
        <f t="shared" si="12"/>
        <v>1.2555818742947564</v>
      </c>
      <c r="AG95" s="245">
        <f t="shared" si="13"/>
        <v>1.2620910621938648</v>
      </c>
      <c r="AH95" s="246" t="str">
        <f t="shared" si="14"/>
        <v>(3,4,1,3,1,5)</v>
      </c>
      <c r="AI95" s="30">
        <v>1.1000000000000001</v>
      </c>
      <c r="AJ95" s="30">
        <v>1.1000000000000001</v>
      </c>
      <c r="AK95" s="30">
        <v>1</v>
      </c>
      <c r="AL95" s="30">
        <v>1.02</v>
      </c>
      <c r="AM95" s="30">
        <v>1</v>
      </c>
      <c r="AN95" s="30">
        <v>1.2</v>
      </c>
      <c r="AP95" s="615" t="s">
        <v>691</v>
      </c>
      <c r="AQ95" s="686">
        <v>2</v>
      </c>
      <c r="AR95" s="686">
        <v>4</v>
      </c>
      <c r="AS95" s="686">
        <v>1</v>
      </c>
      <c r="AT95" s="686">
        <v>3</v>
      </c>
      <c r="AU95" s="686">
        <v>1</v>
      </c>
      <c r="AV95" s="686">
        <v>5</v>
      </c>
      <c r="AW95" s="297">
        <v>1</v>
      </c>
      <c r="AX95" s="6">
        <v>1.05</v>
      </c>
      <c r="AY95" s="245">
        <f t="shared" si="15"/>
        <v>1.2365959919080913</v>
      </c>
      <c r="AZ95" s="245">
        <f t="shared" si="16"/>
        <v>1.2434566510799234</v>
      </c>
      <c r="BA95" s="246" t="str">
        <f t="shared" si="17"/>
        <v>(2,4,1,3,1,5)</v>
      </c>
      <c r="BB95" s="30">
        <v>1.05</v>
      </c>
      <c r="BC95" s="30">
        <v>1.1000000000000001</v>
      </c>
      <c r="BD95" s="30">
        <v>1</v>
      </c>
      <c r="BE95" s="30">
        <v>1.02</v>
      </c>
      <c r="BF95" s="30">
        <v>1</v>
      </c>
      <c r="BG95" s="30">
        <v>1.2</v>
      </c>
    </row>
    <row r="96" spans="1:59" ht="23.25" customHeight="1">
      <c r="A96" s="1305">
        <v>267287</v>
      </c>
      <c r="B96" s="1340"/>
      <c r="C96" s="1306"/>
      <c r="D96" s="1308">
        <v>5</v>
      </c>
      <c r="E96" s="1309" t="s">
        <v>98</v>
      </c>
      <c r="F96" s="1310" t="s">
        <v>690</v>
      </c>
      <c r="G96" s="1311" t="s">
        <v>154</v>
      </c>
      <c r="H96" s="1312" t="s">
        <v>98</v>
      </c>
      <c r="I96" s="1313" t="s">
        <v>98</v>
      </c>
      <c r="J96" s="1314">
        <v>0</v>
      </c>
      <c r="K96" s="1311" t="s">
        <v>104</v>
      </c>
      <c r="L96" s="1311">
        <v>0</v>
      </c>
      <c r="M96" s="1315">
        <v>1</v>
      </c>
      <c r="N96" s="1316">
        <v>1.2620910621938648</v>
      </c>
      <c r="O96" s="1317" t="s">
        <v>3196</v>
      </c>
      <c r="P96" s="1311">
        <v>5367573.453306023</v>
      </c>
      <c r="Q96" s="1315">
        <v>1</v>
      </c>
      <c r="R96" s="1316">
        <v>1.2434566510799234</v>
      </c>
      <c r="S96" s="1317" t="s">
        <v>3202</v>
      </c>
      <c r="T96" s="968"/>
      <c r="U96" s="452"/>
      <c r="V96" s="452"/>
      <c r="W96" s="615"/>
      <c r="X96" s="686">
        <v>3</v>
      </c>
      <c r="Y96" s="686">
        <v>4</v>
      </c>
      <c r="Z96" s="686">
        <v>1</v>
      </c>
      <c r="AA96" s="686">
        <v>3</v>
      </c>
      <c r="AB96" s="686">
        <v>1</v>
      </c>
      <c r="AC96" s="686">
        <v>5</v>
      </c>
      <c r="AD96" s="297">
        <v>1</v>
      </c>
      <c r="AE96" s="6">
        <v>1.05</v>
      </c>
      <c r="AF96" s="245">
        <f t="shared" si="12"/>
        <v>1.2555818742947564</v>
      </c>
      <c r="AG96" s="245">
        <f t="shared" si="13"/>
        <v>1.2620910621938648</v>
      </c>
      <c r="AH96" s="246" t="str">
        <f t="shared" si="14"/>
        <v>(3,4,1,3,1,5)</v>
      </c>
      <c r="AI96" s="30">
        <v>1.1000000000000001</v>
      </c>
      <c r="AJ96" s="30">
        <v>1.1000000000000001</v>
      </c>
      <c r="AK96" s="30">
        <v>1</v>
      </c>
      <c r="AL96" s="30">
        <v>1.02</v>
      </c>
      <c r="AM96" s="30">
        <v>1</v>
      </c>
      <c r="AN96" s="30">
        <v>1.2</v>
      </c>
      <c r="AP96" s="615" t="s">
        <v>693</v>
      </c>
      <c r="AQ96" s="686">
        <v>2</v>
      </c>
      <c r="AR96" s="686">
        <v>4</v>
      </c>
      <c r="AS96" s="686">
        <v>1</v>
      </c>
      <c r="AT96" s="686">
        <v>3</v>
      </c>
      <c r="AU96" s="686">
        <v>1</v>
      </c>
      <c r="AV96" s="686">
        <v>5</v>
      </c>
      <c r="AW96" s="297">
        <v>1</v>
      </c>
      <c r="AX96" s="6">
        <v>1.05</v>
      </c>
      <c r="AY96" s="245">
        <f t="shared" si="15"/>
        <v>1.2365959919080913</v>
      </c>
      <c r="AZ96" s="245">
        <f t="shared" si="16"/>
        <v>1.2434566510799234</v>
      </c>
      <c r="BA96" s="246" t="str">
        <f t="shared" si="17"/>
        <v>(2,4,1,3,1,5)</v>
      </c>
      <c r="BB96" s="30">
        <v>1.05</v>
      </c>
      <c r="BC96" s="30">
        <v>1.1000000000000001</v>
      </c>
      <c r="BD96" s="30">
        <v>1</v>
      </c>
      <c r="BE96" s="30">
        <v>1.02</v>
      </c>
      <c r="BF96" s="30">
        <v>1</v>
      </c>
      <c r="BG96" s="30">
        <v>1.2</v>
      </c>
    </row>
    <row r="97" spans="1:59">
      <c r="A97" s="1305">
        <v>160371</v>
      </c>
      <c r="B97" s="1340"/>
      <c r="C97" s="1306"/>
      <c r="D97" s="1362">
        <v>5</v>
      </c>
      <c r="E97" s="1363" t="s">
        <v>98</v>
      </c>
      <c r="F97" s="1355" t="s">
        <v>242</v>
      </c>
      <c r="G97" s="1356" t="s">
        <v>93</v>
      </c>
      <c r="H97" s="1364" t="s">
        <v>98</v>
      </c>
      <c r="I97" s="1357" t="s">
        <v>98</v>
      </c>
      <c r="J97" s="1358">
        <v>0</v>
      </c>
      <c r="K97" s="1356" t="s">
        <v>115</v>
      </c>
      <c r="L97" s="1356">
        <v>0</v>
      </c>
      <c r="M97" s="1359">
        <v>1</v>
      </c>
      <c r="N97" s="1360">
        <v>2.0741629046031922</v>
      </c>
      <c r="O97" s="1361" t="s">
        <v>3196</v>
      </c>
      <c r="P97" s="1356">
        <v>632431.80000000005</v>
      </c>
      <c r="Q97" s="1359">
        <v>1</v>
      </c>
      <c r="R97" s="1360">
        <v>2.0646254680556719</v>
      </c>
      <c r="S97" s="1361" t="s">
        <v>3193</v>
      </c>
      <c r="T97" s="968"/>
      <c r="U97" s="452"/>
      <c r="V97" s="452"/>
      <c r="W97" s="615"/>
      <c r="X97" s="686">
        <v>3</v>
      </c>
      <c r="Y97" s="686">
        <v>4</v>
      </c>
      <c r="Z97" s="686">
        <v>1</v>
      </c>
      <c r="AA97" s="686">
        <v>3</v>
      </c>
      <c r="AB97" s="686">
        <v>1</v>
      </c>
      <c r="AC97" s="686">
        <v>5</v>
      </c>
      <c r="AD97" s="297">
        <v>5</v>
      </c>
      <c r="AE97" s="6">
        <v>2</v>
      </c>
      <c r="AF97" s="245">
        <f t="shared" si="12"/>
        <v>1.2555818742947564</v>
      </c>
      <c r="AG97" s="245">
        <f t="shared" si="13"/>
        <v>2.0741629046031922</v>
      </c>
      <c r="AH97" s="246" t="str">
        <f t="shared" si="14"/>
        <v>(3,4,1,3,1,5)</v>
      </c>
      <c r="AI97" s="30">
        <v>1.1000000000000001</v>
      </c>
      <c r="AJ97" s="30">
        <v>1.1000000000000001</v>
      </c>
      <c r="AK97" s="30">
        <v>1</v>
      </c>
      <c r="AL97" s="30">
        <v>1.02</v>
      </c>
      <c r="AM97" s="30">
        <v>1</v>
      </c>
      <c r="AN97" s="30">
        <v>1.2</v>
      </c>
      <c r="AP97" s="615" t="s">
        <v>673</v>
      </c>
      <c r="AQ97" s="686">
        <v>2</v>
      </c>
      <c r="AR97" s="686">
        <v>4</v>
      </c>
      <c r="AS97" s="686">
        <v>1</v>
      </c>
      <c r="AT97" s="686">
        <v>3</v>
      </c>
      <c r="AU97" s="686">
        <v>1</v>
      </c>
      <c r="AV97" s="686">
        <v>5</v>
      </c>
      <c r="AW97" s="297">
        <v>5</v>
      </c>
      <c r="AX97" s="6">
        <v>2</v>
      </c>
      <c r="AY97" s="245">
        <f t="shared" si="15"/>
        <v>1.2365959919080913</v>
      </c>
      <c r="AZ97" s="245">
        <f t="shared" si="16"/>
        <v>2.0646254680556719</v>
      </c>
      <c r="BA97" s="246" t="str">
        <f t="shared" si="17"/>
        <v>(2,4,1,3,1,5)</v>
      </c>
      <c r="BB97" s="30">
        <v>1.05</v>
      </c>
      <c r="BC97" s="30">
        <v>1.1000000000000001</v>
      </c>
      <c r="BD97" s="30">
        <v>1</v>
      </c>
      <c r="BE97" s="30">
        <v>1.02</v>
      </c>
      <c r="BF97" s="30">
        <v>1</v>
      </c>
      <c r="BG97" s="30">
        <v>1.2</v>
      </c>
    </row>
    <row r="98" spans="1:59">
      <c r="A98" s="1305">
        <v>269641</v>
      </c>
      <c r="B98" s="1340"/>
      <c r="C98" s="1306"/>
      <c r="D98" s="1308">
        <v>5</v>
      </c>
      <c r="E98" s="1309" t="s">
        <v>98</v>
      </c>
      <c r="F98" s="1310" t="s">
        <v>240</v>
      </c>
      <c r="G98" s="1311" t="s">
        <v>93</v>
      </c>
      <c r="H98" s="1312" t="s">
        <v>98</v>
      </c>
      <c r="I98" s="1313" t="s">
        <v>98</v>
      </c>
      <c r="J98" s="1314">
        <v>0</v>
      </c>
      <c r="K98" s="1311" t="s">
        <v>115</v>
      </c>
      <c r="L98" s="1311">
        <v>0</v>
      </c>
      <c r="M98" s="1315">
        <v>1</v>
      </c>
      <c r="N98" s="1316">
        <v>2.0741629046031922</v>
      </c>
      <c r="O98" s="1317" t="s">
        <v>3196</v>
      </c>
      <c r="P98" s="1311">
        <v>1169998.83</v>
      </c>
      <c r="Q98" s="1315">
        <v>1</v>
      </c>
      <c r="R98" s="1316">
        <v>2.0646254680556719</v>
      </c>
      <c r="S98" s="1317" t="s">
        <v>3193</v>
      </c>
      <c r="T98" s="968"/>
      <c r="U98" s="452"/>
      <c r="V98" s="452"/>
      <c r="W98" s="615"/>
      <c r="X98" s="686">
        <v>3</v>
      </c>
      <c r="Y98" s="686">
        <v>4</v>
      </c>
      <c r="Z98" s="686">
        <v>1</v>
      </c>
      <c r="AA98" s="686">
        <v>3</v>
      </c>
      <c r="AB98" s="686">
        <v>1</v>
      </c>
      <c r="AC98" s="686">
        <v>5</v>
      </c>
      <c r="AD98" s="297">
        <v>5</v>
      </c>
      <c r="AE98" s="6">
        <v>2</v>
      </c>
      <c r="AF98" s="245">
        <f t="shared" si="12"/>
        <v>1.2555818742947564</v>
      </c>
      <c r="AG98" s="245">
        <f t="shared" si="13"/>
        <v>2.0741629046031922</v>
      </c>
      <c r="AH98" s="246" t="str">
        <f t="shared" si="14"/>
        <v>(3,4,1,3,1,5)</v>
      </c>
      <c r="AI98" s="30">
        <v>1.1000000000000001</v>
      </c>
      <c r="AJ98" s="30">
        <v>1.1000000000000001</v>
      </c>
      <c r="AK98" s="30">
        <v>1</v>
      </c>
      <c r="AL98" s="30">
        <v>1.02</v>
      </c>
      <c r="AM98" s="30">
        <v>1</v>
      </c>
      <c r="AN98" s="30">
        <v>1.2</v>
      </c>
      <c r="AP98" s="615" t="s">
        <v>673</v>
      </c>
      <c r="AQ98" s="686">
        <v>2</v>
      </c>
      <c r="AR98" s="686">
        <v>4</v>
      </c>
      <c r="AS98" s="686">
        <v>1</v>
      </c>
      <c r="AT98" s="686">
        <v>3</v>
      </c>
      <c r="AU98" s="686">
        <v>1</v>
      </c>
      <c r="AV98" s="686">
        <v>5</v>
      </c>
      <c r="AW98" s="297">
        <v>5</v>
      </c>
      <c r="AX98" s="6">
        <v>2</v>
      </c>
      <c r="AY98" s="245">
        <f t="shared" si="15"/>
        <v>1.2365959919080913</v>
      </c>
      <c r="AZ98" s="245">
        <f t="shared" si="16"/>
        <v>2.0646254680556719</v>
      </c>
      <c r="BA98" s="246" t="str">
        <f t="shared" si="17"/>
        <v>(2,4,1,3,1,5)</v>
      </c>
      <c r="BB98" s="30">
        <v>1.05</v>
      </c>
      <c r="BC98" s="30">
        <v>1.1000000000000001</v>
      </c>
      <c r="BD98" s="30">
        <v>1</v>
      </c>
      <c r="BE98" s="30">
        <v>1.02</v>
      </c>
      <c r="BF98" s="30">
        <v>1</v>
      </c>
      <c r="BG98" s="30">
        <v>1.2</v>
      </c>
    </row>
    <row r="99" spans="1:59" ht="24" customHeight="1">
      <c r="A99" s="1305">
        <v>269641</v>
      </c>
      <c r="B99" s="1307" t="s">
        <v>741</v>
      </c>
      <c r="C99" s="1306"/>
      <c r="D99" s="1362">
        <v>5</v>
      </c>
      <c r="E99" s="1363" t="s">
        <v>98</v>
      </c>
      <c r="F99" s="1355" t="s">
        <v>240</v>
      </c>
      <c r="G99" s="1356" t="s">
        <v>93</v>
      </c>
      <c r="H99" s="1364" t="s">
        <v>98</v>
      </c>
      <c r="I99" s="1357" t="s">
        <v>98</v>
      </c>
      <c r="J99" s="1358">
        <v>0</v>
      </c>
      <c r="K99" s="1356" t="s">
        <v>115</v>
      </c>
      <c r="L99" s="1356">
        <v>0</v>
      </c>
      <c r="M99" s="1359">
        <v>1</v>
      </c>
      <c r="N99" s="1360">
        <v>2.0741629046031922</v>
      </c>
      <c r="O99" s="1361" t="s">
        <v>3196</v>
      </c>
      <c r="P99" s="1356">
        <v>20570625.93</v>
      </c>
      <c r="Q99" s="1359">
        <v>1</v>
      </c>
      <c r="R99" s="1360">
        <v>2.0646254680556719</v>
      </c>
      <c r="S99" s="1361" t="s">
        <v>3193</v>
      </c>
      <c r="T99" s="968"/>
      <c r="U99" s="452"/>
      <c r="V99" s="452"/>
      <c r="W99" s="615"/>
      <c r="X99" s="686">
        <v>3</v>
      </c>
      <c r="Y99" s="686">
        <v>4</v>
      </c>
      <c r="Z99" s="686">
        <v>1</v>
      </c>
      <c r="AA99" s="686">
        <v>3</v>
      </c>
      <c r="AB99" s="686">
        <v>1</v>
      </c>
      <c r="AC99" s="686">
        <v>5</v>
      </c>
      <c r="AD99" s="297">
        <v>5</v>
      </c>
      <c r="AE99" s="6">
        <v>2</v>
      </c>
      <c r="AF99" s="245">
        <f t="shared" si="12"/>
        <v>1.2555818742947564</v>
      </c>
      <c r="AG99" s="245">
        <f t="shared" si="13"/>
        <v>2.0741629046031922</v>
      </c>
      <c r="AH99" s="246" t="str">
        <f t="shared" si="14"/>
        <v>(3,4,1,3,1,5)</v>
      </c>
      <c r="AI99" s="30">
        <v>1.1000000000000001</v>
      </c>
      <c r="AJ99" s="30">
        <v>1.1000000000000001</v>
      </c>
      <c r="AK99" s="30">
        <v>1</v>
      </c>
      <c r="AL99" s="30">
        <v>1.02</v>
      </c>
      <c r="AM99" s="30">
        <v>1</v>
      </c>
      <c r="AN99" s="30">
        <v>1.2</v>
      </c>
      <c r="AP99" s="615" t="s">
        <v>673</v>
      </c>
      <c r="AQ99" s="686">
        <v>2</v>
      </c>
      <c r="AR99" s="686">
        <v>4</v>
      </c>
      <c r="AS99" s="686">
        <v>1</v>
      </c>
      <c r="AT99" s="686">
        <v>3</v>
      </c>
      <c r="AU99" s="686">
        <v>1</v>
      </c>
      <c r="AV99" s="686">
        <v>5</v>
      </c>
      <c r="AW99" s="297">
        <v>5</v>
      </c>
      <c r="AX99" s="6">
        <v>2</v>
      </c>
      <c r="AY99" s="245">
        <f t="shared" si="15"/>
        <v>1.2365959919080913</v>
      </c>
      <c r="AZ99" s="245">
        <f t="shared" si="16"/>
        <v>2.0646254680556719</v>
      </c>
      <c r="BA99" s="246" t="str">
        <f t="shared" si="17"/>
        <v>(2,4,1,3,1,5)</v>
      </c>
      <c r="BB99" s="30">
        <v>1.05</v>
      </c>
      <c r="BC99" s="30">
        <v>1.1000000000000001</v>
      </c>
      <c r="BD99" s="30">
        <v>1</v>
      </c>
      <c r="BE99" s="30">
        <v>1.02</v>
      </c>
      <c r="BF99" s="30">
        <v>1</v>
      </c>
      <c r="BG99" s="30">
        <v>1.2</v>
      </c>
    </row>
    <row r="100" spans="1:59">
      <c r="A100" s="1305">
        <v>79235</v>
      </c>
      <c r="B100" s="1307" t="s">
        <v>742</v>
      </c>
      <c r="C100" s="1306"/>
      <c r="D100" s="1308">
        <v>5</v>
      </c>
      <c r="E100" s="1309" t="s">
        <v>98</v>
      </c>
      <c r="F100" s="1310" t="s">
        <v>688</v>
      </c>
      <c r="G100" s="1311" t="s">
        <v>340</v>
      </c>
      <c r="H100" s="1312" t="s">
        <v>98</v>
      </c>
      <c r="I100" s="1313" t="s">
        <v>98</v>
      </c>
      <c r="J100" s="1314">
        <v>0</v>
      </c>
      <c r="K100" s="1311" t="s">
        <v>109</v>
      </c>
      <c r="L100" s="1311">
        <v>0</v>
      </c>
      <c r="M100" s="1315">
        <v>1</v>
      </c>
      <c r="N100" s="1316">
        <v>1.2620910621938648</v>
      </c>
      <c r="O100" s="1317" t="s">
        <v>3196</v>
      </c>
      <c r="P100" s="1311">
        <v>77.25</v>
      </c>
      <c r="Q100" s="1315">
        <v>1</v>
      </c>
      <c r="R100" s="1316">
        <v>1.2434566510799234</v>
      </c>
      <c r="S100" s="1317" t="s">
        <v>3193</v>
      </c>
      <c r="T100" s="968"/>
      <c r="U100" s="452"/>
      <c r="V100" s="452"/>
      <c r="W100" s="615"/>
      <c r="X100" s="686">
        <v>3</v>
      </c>
      <c r="Y100" s="686">
        <v>4</v>
      </c>
      <c r="Z100" s="686">
        <v>1</v>
      </c>
      <c r="AA100" s="686">
        <v>3</v>
      </c>
      <c r="AB100" s="686">
        <v>1</v>
      </c>
      <c r="AC100" s="686">
        <v>5</v>
      </c>
      <c r="AD100" s="297">
        <v>3</v>
      </c>
      <c r="AE100" s="6">
        <v>1.05</v>
      </c>
      <c r="AF100" s="245">
        <f t="shared" si="12"/>
        <v>1.2555818742947564</v>
      </c>
      <c r="AG100" s="245">
        <f t="shared" si="13"/>
        <v>1.2620910621938648</v>
      </c>
      <c r="AH100" s="246" t="str">
        <f t="shared" si="14"/>
        <v>(3,4,1,3,1,5)</v>
      </c>
      <c r="AI100" s="30">
        <v>1.1000000000000001</v>
      </c>
      <c r="AJ100" s="30">
        <v>1.1000000000000001</v>
      </c>
      <c r="AK100" s="30">
        <v>1</v>
      </c>
      <c r="AL100" s="30">
        <v>1.02</v>
      </c>
      <c r="AM100" s="30">
        <v>1</v>
      </c>
      <c r="AN100" s="30">
        <v>1.2</v>
      </c>
      <c r="AP100" s="615" t="s">
        <v>673</v>
      </c>
      <c r="AQ100" s="686">
        <v>2</v>
      </c>
      <c r="AR100" s="686">
        <v>4</v>
      </c>
      <c r="AS100" s="686">
        <v>1</v>
      </c>
      <c r="AT100" s="686">
        <v>3</v>
      </c>
      <c r="AU100" s="686">
        <v>1</v>
      </c>
      <c r="AV100" s="686">
        <v>5</v>
      </c>
      <c r="AW100" s="297">
        <v>3</v>
      </c>
      <c r="AX100" s="6">
        <v>1.05</v>
      </c>
      <c r="AY100" s="245">
        <f t="shared" si="15"/>
        <v>1.2365959919080913</v>
      </c>
      <c r="AZ100" s="245">
        <f t="shared" si="16"/>
        <v>1.2434566510799234</v>
      </c>
      <c r="BA100" s="246" t="str">
        <f t="shared" si="17"/>
        <v>(2,4,1,3,1,5)</v>
      </c>
      <c r="BB100" s="30">
        <v>1.05</v>
      </c>
      <c r="BC100" s="30">
        <v>1.1000000000000001</v>
      </c>
      <c r="BD100" s="30">
        <v>1</v>
      </c>
      <c r="BE100" s="30">
        <v>1.02</v>
      </c>
      <c r="BF100" s="30">
        <v>1</v>
      </c>
      <c r="BG100" s="30">
        <v>1.2</v>
      </c>
    </row>
    <row r="101" spans="1:59">
      <c r="A101" s="1305">
        <v>256348</v>
      </c>
      <c r="B101" s="1340"/>
      <c r="C101" s="1306"/>
      <c r="D101" s="1362">
        <v>5</v>
      </c>
      <c r="E101" s="1363" t="s">
        <v>98</v>
      </c>
      <c r="F101" s="1355" t="s">
        <v>743</v>
      </c>
      <c r="G101" s="1356" t="s">
        <v>103</v>
      </c>
      <c r="H101" s="1364" t="s">
        <v>98</v>
      </c>
      <c r="I101" s="1357" t="s">
        <v>98</v>
      </c>
      <c r="J101" s="1358">
        <v>0</v>
      </c>
      <c r="K101" s="1356" t="s">
        <v>96</v>
      </c>
      <c r="L101" s="1356">
        <v>0</v>
      </c>
      <c r="M101" s="1359">
        <v>1</v>
      </c>
      <c r="N101" s="1360">
        <v>1.2620910621938648</v>
      </c>
      <c r="O101" s="1361" t="s">
        <v>3196</v>
      </c>
      <c r="P101" s="1356">
        <v>5562</v>
      </c>
      <c r="Q101" s="1359">
        <v>1</v>
      </c>
      <c r="R101" s="1360">
        <v>1.2434566510799234</v>
      </c>
      <c r="S101" s="1361" t="s">
        <v>3208</v>
      </c>
      <c r="T101" s="968"/>
      <c r="U101" s="452"/>
      <c r="V101" s="452"/>
      <c r="W101" s="615"/>
      <c r="X101" s="686">
        <v>3</v>
      </c>
      <c r="Y101" s="686">
        <v>4</v>
      </c>
      <c r="Z101" s="686">
        <v>1</v>
      </c>
      <c r="AA101" s="686">
        <v>3</v>
      </c>
      <c r="AB101" s="686">
        <v>1</v>
      </c>
      <c r="AC101" s="686">
        <v>5</v>
      </c>
      <c r="AD101" s="297">
        <v>3</v>
      </c>
      <c r="AE101" s="6">
        <v>1.05</v>
      </c>
      <c r="AF101" s="245">
        <f t="shared" si="12"/>
        <v>1.2555818742947564</v>
      </c>
      <c r="AG101" s="245">
        <f t="shared" si="13"/>
        <v>1.2620910621938648</v>
      </c>
      <c r="AH101" s="246" t="str">
        <f t="shared" si="14"/>
        <v>(3,4,1,3,1,5)</v>
      </c>
      <c r="AI101" s="30">
        <v>1.1000000000000001</v>
      </c>
      <c r="AJ101" s="30">
        <v>1.1000000000000001</v>
      </c>
      <c r="AK101" s="30">
        <v>1</v>
      </c>
      <c r="AL101" s="30">
        <v>1.02</v>
      </c>
      <c r="AM101" s="30">
        <v>1</v>
      </c>
      <c r="AN101" s="30">
        <v>1.2</v>
      </c>
      <c r="AP101" s="615" t="s">
        <v>744</v>
      </c>
      <c r="AQ101" s="686">
        <v>2</v>
      </c>
      <c r="AR101" s="686">
        <v>4</v>
      </c>
      <c r="AS101" s="686">
        <v>1</v>
      </c>
      <c r="AT101" s="686">
        <v>3</v>
      </c>
      <c r="AU101" s="686">
        <v>1</v>
      </c>
      <c r="AV101" s="686">
        <v>5</v>
      </c>
      <c r="AW101" s="297">
        <v>3</v>
      </c>
      <c r="AX101" s="6">
        <v>1.05</v>
      </c>
      <c r="AY101" s="245">
        <f t="shared" si="15"/>
        <v>1.2365959919080913</v>
      </c>
      <c r="AZ101" s="245">
        <f t="shared" si="16"/>
        <v>1.2434566510799234</v>
      </c>
      <c r="BA101" s="246" t="str">
        <f t="shared" si="17"/>
        <v>(2,4,1,3,1,5)</v>
      </c>
      <c r="BB101" s="30">
        <v>1.05</v>
      </c>
      <c r="BC101" s="30">
        <v>1.1000000000000001</v>
      </c>
      <c r="BD101" s="30">
        <v>1</v>
      </c>
      <c r="BE101" s="30">
        <v>1.02</v>
      </c>
      <c r="BF101" s="30">
        <v>1</v>
      </c>
      <c r="BG101" s="30">
        <v>1.2</v>
      </c>
    </row>
    <row r="102" spans="1:59" ht="24" customHeight="1">
      <c r="A102" s="1305">
        <v>254233</v>
      </c>
      <c r="B102" s="1340"/>
      <c r="C102" s="1306"/>
      <c r="D102" s="1308">
        <v>5</v>
      </c>
      <c r="E102" s="1309" t="s">
        <v>98</v>
      </c>
      <c r="F102" s="1310" t="s">
        <v>710</v>
      </c>
      <c r="G102" s="1311" t="s">
        <v>103</v>
      </c>
      <c r="H102" s="1312" t="s">
        <v>98</v>
      </c>
      <c r="I102" s="1313" t="s">
        <v>98</v>
      </c>
      <c r="J102" s="1314">
        <v>0</v>
      </c>
      <c r="K102" s="1311" t="s">
        <v>104</v>
      </c>
      <c r="L102" s="1311">
        <v>0</v>
      </c>
      <c r="M102" s="1315">
        <v>1</v>
      </c>
      <c r="N102" s="1316">
        <v>1.2620910621938648</v>
      </c>
      <c r="O102" s="1317" t="s">
        <v>3196</v>
      </c>
      <c r="P102" s="1311">
        <v>69.53</v>
      </c>
      <c r="Q102" s="1315">
        <v>1</v>
      </c>
      <c r="R102" s="1316">
        <v>1.2434566510799234</v>
      </c>
      <c r="S102" s="1317" t="s">
        <v>3193</v>
      </c>
      <c r="T102" s="968"/>
      <c r="U102" s="452"/>
      <c r="V102" s="452"/>
      <c r="W102" s="615"/>
      <c r="X102" s="686">
        <v>3</v>
      </c>
      <c r="Y102" s="686">
        <v>4</v>
      </c>
      <c r="Z102" s="686">
        <v>1</v>
      </c>
      <c r="AA102" s="686">
        <v>3</v>
      </c>
      <c r="AB102" s="686">
        <v>1</v>
      </c>
      <c r="AC102" s="686">
        <v>5</v>
      </c>
      <c r="AD102" s="297">
        <v>1</v>
      </c>
      <c r="AE102" s="6">
        <v>1.05</v>
      </c>
      <c r="AF102" s="245">
        <f t="shared" si="12"/>
        <v>1.2555818742947564</v>
      </c>
      <c r="AG102" s="245">
        <f t="shared" si="13"/>
        <v>1.2620910621938648</v>
      </c>
      <c r="AH102" s="246" t="str">
        <f t="shared" si="14"/>
        <v>(3,4,1,3,1,5)</v>
      </c>
      <c r="AI102" s="30">
        <v>1.1000000000000001</v>
      </c>
      <c r="AJ102" s="30">
        <v>1.1000000000000001</v>
      </c>
      <c r="AK102" s="30">
        <v>1</v>
      </c>
      <c r="AL102" s="30">
        <v>1.02</v>
      </c>
      <c r="AM102" s="30">
        <v>1</v>
      </c>
      <c r="AN102" s="30">
        <v>1.2</v>
      </c>
      <c r="AP102" s="615" t="s">
        <v>673</v>
      </c>
      <c r="AQ102" s="686">
        <v>2</v>
      </c>
      <c r="AR102" s="686">
        <v>4</v>
      </c>
      <c r="AS102" s="686">
        <v>1</v>
      </c>
      <c r="AT102" s="686">
        <v>3</v>
      </c>
      <c r="AU102" s="686">
        <v>1</v>
      </c>
      <c r="AV102" s="686">
        <v>5</v>
      </c>
      <c r="AW102" s="297">
        <v>1</v>
      </c>
      <c r="AX102" s="6">
        <v>1.05</v>
      </c>
      <c r="AY102" s="245">
        <f t="shared" si="15"/>
        <v>1.2365959919080913</v>
      </c>
      <c r="AZ102" s="245">
        <f t="shared" si="16"/>
        <v>1.2434566510799234</v>
      </c>
      <c r="BA102" s="246" t="str">
        <f t="shared" si="17"/>
        <v>(2,4,1,3,1,5)</v>
      </c>
      <c r="BB102" s="30">
        <v>1.05</v>
      </c>
      <c r="BC102" s="30">
        <v>1.1000000000000001</v>
      </c>
      <c r="BD102" s="30">
        <v>1</v>
      </c>
      <c r="BE102" s="30">
        <v>1.02</v>
      </c>
      <c r="BF102" s="30">
        <v>1</v>
      </c>
      <c r="BG102" s="30">
        <v>1.2</v>
      </c>
    </row>
    <row r="103" spans="1:59" ht="24" customHeight="1">
      <c r="A103" s="1305">
        <v>266105</v>
      </c>
      <c r="B103" s="1340"/>
      <c r="C103" s="1306"/>
      <c r="D103" s="1362">
        <v>5</v>
      </c>
      <c r="E103" s="1363" t="s">
        <v>98</v>
      </c>
      <c r="F103" s="1355" t="s">
        <v>745</v>
      </c>
      <c r="G103" s="1356" t="s">
        <v>93</v>
      </c>
      <c r="H103" s="1364" t="s">
        <v>98</v>
      </c>
      <c r="I103" s="1357" t="s">
        <v>98</v>
      </c>
      <c r="J103" s="1358">
        <v>0</v>
      </c>
      <c r="K103" s="1356" t="s">
        <v>96</v>
      </c>
      <c r="L103" s="1356">
        <v>0</v>
      </c>
      <c r="M103" s="1359">
        <v>1</v>
      </c>
      <c r="N103" s="1360">
        <v>1.2620910621938648</v>
      </c>
      <c r="O103" s="1361" t="s">
        <v>3196</v>
      </c>
      <c r="P103" s="1356">
        <v>231.75</v>
      </c>
      <c r="Q103" s="1359">
        <v>1</v>
      </c>
      <c r="R103" s="1360">
        <v>1.2434566510799234</v>
      </c>
      <c r="S103" s="1361" t="s">
        <v>3193</v>
      </c>
      <c r="T103" s="968"/>
      <c r="U103" s="452"/>
      <c r="V103" s="452"/>
      <c r="W103" s="615"/>
      <c r="X103" s="686">
        <v>3</v>
      </c>
      <c r="Y103" s="686">
        <v>4</v>
      </c>
      <c r="Z103" s="686">
        <v>1</v>
      </c>
      <c r="AA103" s="686">
        <v>3</v>
      </c>
      <c r="AB103" s="686">
        <v>1</v>
      </c>
      <c r="AC103" s="686">
        <v>5</v>
      </c>
      <c r="AD103" s="297">
        <v>3</v>
      </c>
      <c r="AE103" s="6">
        <v>1.05</v>
      </c>
      <c r="AF103" s="245">
        <f t="shared" ref="AF103:AF122" si="18">EXP(SQRT((LN(AI103)^2)+(LN(AJ103)^2)+(LN(AK103)^2)+(LN(AL103)^2)+(LN(AM103)^2)+(LN(AN103)^2)))</f>
        <v>1.2555818742947564</v>
      </c>
      <c r="AG103" s="245">
        <f t="shared" ref="AG103:AG122" si="19">EXP(SQRT((LN(AI103)^2)+(LN(AJ103)^2)+(LN(AK103)^2)+(LN(AL103)^2)+(LN(AM103)^2)+(LN(AN103)^2)+LN(AE103)^2))</f>
        <v>1.2620910621938648</v>
      </c>
      <c r="AH103" s="246" t="str">
        <f t="shared" ref="AH103:AH122" si="20">CONCATENATE("(",X103,",",Y103,",",Z103,",",AA103,",",AB103,",",AC103,")")</f>
        <v>(3,4,1,3,1,5)</v>
      </c>
      <c r="AI103" s="30">
        <v>1.1000000000000001</v>
      </c>
      <c r="AJ103" s="30">
        <v>1.1000000000000001</v>
      </c>
      <c r="AK103" s="30">
        <v>1</v>
      </c>
      <c r="AL103" s="30">
        <v>1.02</v>
      </c>
      <c r="AM103" s="30">
        <v>1</v>
      </c>
      <c r="AN103" s="30">
        <v>1.2</v>
      </c>
      <c r="AP103" s="615" t="s">
        <v>673</v>
      </c>
      <c r="AQ103" s="686">
        <v>2</v>
      </c>
      <c r="AR103" s="686">
        <v>4</v>
      </c>
      <c r="AS103" s="686">
        <v>1</v>
      </c>
      <c r="AT103" s="686">
        <v>3</v>
      </c>
      <c r="AU103" s="686">
        <v>1</v>
      </c>
      <c r="AV103" s="686">
        <v>5</v>
      </c>
      <c r="AW103" s="297">
        <v>3</v>
      </c>
      <c r="AX103" s="6">
        <v>1.05</v>
      </c>
      <c r="AY103" s="245">
        <f t="shared" ref="AY103:AY122" si="21">EXP(SQRT((LN(BB103)^2)+(LN(BC103)^2)+(LN(BD103)^2)+(LN(BE103)^2)+(LN(BF103)^2)+(LN(BG103)^2)))</f>
        <v>1.2365959919080913</v>
      </c>
      <c r="AZ103" s="245">
        <f t="shared" ref="AZ103:AZ122" si="22">EXP(SQRT((LN(BB103)^2)+(LN(BC103)^2)+(LN(BD103)^2)+(LN(BE103)^2)+(LN(BF103)^2)+(LN(BG103)^2)+LN(AX103)^2))</f>
        <v>1.2434566510799234</v>
      </c>
      <c r="BA103" s="246" t="str">
        <f t="shared" si="17"/>
        <v>(2,4,1,3,1,5)</v>
      </c>
      <c r="BB103" s="30">
        <v>1.05</v>
      </c>
      <c r="BC103" s="30">
        <v>1.1000000000000001</v>
      </c>
      <c r="BD103" s="30">
        <v>1</v>
      </c>
      <c r="BE103" s="30">
        <v>1.02</v>
      </c>
      <c r="BF103" s="30">
        <v>1</v>
      </c>
      <c r="BG103" s="30">
        <v>1.2</v>
      </c>
    </row>
    <row r="104" spans="1:59" ht="24" customHeight="1">
      <c r="A104" s="1305">
        <v>259385</v>
      </c>
      <c r="B104" s="1307" t="s">
        <v>746</v>
      </c>
      <c r="C104" s="1306"/>
      <c r="D104" s="1308">
        <v>5</v>
      </c>
      <c r="E104" s="1309" t="s">
        <v>98</v>
      </c>
      <c r="F104" s="1310" t="s">
        <v>747</v>
      </c>
      <c r="G104" s="1311" t="s">
        <v>103</v>
      </c>
      <c r="H104" s="1312" t="s">
        <v>98</v>
      </c>
      <c r="I104" s="1313" t="s">
        <v>98</v>
      </c>
      <c r="J104" s="1314">
        <v>0</v>
      </c>
      <c r="K104" s="1311" t="s">
        <v>96</v>
      </c>
      <c r="L104" s="1311">
        <v>0</v>
      </c>
      <c r="M104" s="1315">
        <v>1</v>
      </c>
      <c r="N104" s="1316">
        <v>1.2620910621938648</v>
      </c>
      <c r="O104" s="1317" t="s">
        <v>3196</v>
      </c>
      <c r="P104" s="1311">
        <v>19089.18</v>
      </c>
      <c r="Q104" s="1315">
        <v>1</v>
      </c>
      <c r="R104" s="1316">
        <v>1.2434566510799234</v>
      </c>
      <c r="S104" s="1317" t="s">
        <v>3209</v>
      </c>
      <c r="T104" s="968"/>
      <c r="U104" s="452"/>
      <c r="V104" s="452"/>
      <c r="W104" s="615"/>
      <c r="X104" s="686">
        <v>3</v>
      </c>
      <c r="Y104" s="686">
        <v>4</v>
      </c>
      <c r="Z104" s="686">
        <v>1</v>
      </c>
      <c r="AA104" s="686">
        <v>3</v>
      </c>
      <c r="AB104" s="686">
        <v>1</v>
      </c>
      <c r="AC104" s="686">
        <v>5</v>
      </c>
      <c r="AD104" s="297">
        <v>6</v>
      </c>
      <c r="AE104" s="6">
        <v>1.05</v>
      </c>
      <c r="AF104" s="245">
        <f t="shared" si="18"/>
        <v>1.2555818742947564</v>
      </c>
      <c r="AG104" s="245">
        <f t="shared" si="19"/>
        <v>1.2620910621938648</v>
      </c>
      <c r="AH104" s="246" t="str">
        <f t="shared" si="20"/>
        <v>(3,4,1,3,1,5)</v>
      </c>
      <c r="AI104" s="30">
        <v>1.1000000000000001</v>
      </c>
      <c r="AJ104" s="30">
        <v>1.1000000000000001</v>
      </c>
      <c r="AK104" s="30">
        <v>1</v>
      </c>
      <c r="AL104" s="30">
        <v>1.02</v>
      </c>
      <c r="AM104" s="30">
        <v>1</v>
      </c>
      <c r="AN104" s="30">
        <v>1.2</v>
      </c>
      <c r="AP104" s="615" t="s">
        <v>748</v>
      </c>
      <c r="AQ104" s="686">
        <v>2</v>
      </c>
      <c r="AR104" s="686">
        <v>4</v>
      </c>
      <c r="AS104" s="686">
        <v>1</v>
      </c>
      <c r="AT104" s="686">
        <v>3</v>
      </c>
      <c r="AU104" s="686">
        <v>1</v>
      </c>
      <c r="AV104" s="686">
        <v>5</v>
      </c>
      <c r="AW104" s="297">
        <v>6</v>
      </c>
      <c r="AX104" s="6">
        <v>1.05</v>
      </c>
      <c r="AY104" s="245">
        <f t="shared" si="21"/>
        <v>1.2365959919080913</v>
      </c>
      <c r="AZ104" s="245">
        <f t="shared" si="22"/>
        <v>1.2434566510799234</v>
      </c>
      <c r="BA104" s="246" t="str">
        <f t="shared" si="17"/>
        <v>(2,4,1,3,1,5)</v>
      </c>
      <c r="BB104" s="30">
        <v>1.05</v>
      </c>
      <c r="BC104" s="30">
        <v>1.1000000000000001</v>
      </c>
      <c r="BD104" s="30">
        <v>1</v>
      </c>
      <c r="BE104" s="30">
        <v>1.02</v>
      </c>
      <c r="BF104" s="30">
        <v>1</v>
      </c>
      <c r="BG104" s="30">
        <v>1.2</v>
      </c>
    </row>
    <row r="105" spans="1:59" ht="24" customHeight="1">
      <c r="A105" s="1305">
        <v>259385</v>
      </c>
      <c r="B105" s="1340"/>
      <c r="C105" s="1306"/>
      <c r="D105" s="1362">
        <v>5</v>
      </c>
      <c r="E105" s="1363" t="s">
        <v>98</v>
      </c>
      <c r="F105" s="1355" t="s">
        <v>747</v>
      </c>
      <c r="G105" s="1356" t="s">
        <v>103</v>
      </c>
      <c r="H105" s="1364" t="s">
        <v>98</v>
      </c>
      <c r="I105" s="1357" t="s">
        <v>98</v>
      </c>
      <c r="J105" s="1358">
        <v>0</v>
      </c>
      <c r="K105" s="1356" t="s">
        <v>96</v>
      </c>
      <c r="L105" s="1356">
        <v>0</v>
      </c>
      <c r="M105" s="1359">
        <v>1</v>
      </c>
      <c r="N105" s="1360">
        <v>1.2620910621938648</v>
      </c>
      <c r="O105" s="1361" t="s">
        <v>3196</v>
      </c>
      <c r="P105" s="1356">
        <v>66084.799999999988</v>
      </c>
      <c r="Q105" s="1359">
        <v>1</v>
      </c>
      <c r="R105" s="1360">
        <v>1.2434566510799234</v>
      </c>
      <c r="S105" s="1361" t="s">
        <v>3210</v>
      </c>
      <c r="T105" s="968"/>
      <c r="U105" s="452"/>
      <c r="V105" s="452"/>
      <c r="W105" s="615"/>
      <c r="X105" s="686">
        <v>3</v>
      </c>
      <c r="Y105" s="686">
        <v>4</v>
      </c>
      <c r="Z105" s="686">
        <v>1</v>
      </c>
      <c r="AA105" s="686">
        <v>3</v>
      </c>
      <c r="AB105" s="686">
        <v>1</v>
      </c>
      <c r="AC105" s="686">
        <v>5</v>
      </c>
      <c r="AD105" s="297">
        <v>6</v>
      </c>
      <c r="AE105" s="6">
        <v>1.05</v>
      </c>
      <c r="AF105" s="245">
        <f t="shared" si="18"/>
        <v>1.2555818742947564</v>
      </c>
      <c r="AG105" s="245">
        <f t="shared" si="19"/>
        <v>1.2620910621938648</v>
      </c>
      <c r="AH105" s="246" t="str">
        <f t="shared" si="20"/>
        <v>(3,4,1,3,1,5)</v>
      </c>
      <c r="AI105" s="30">
        <v>1.1000000000000001</v>
      </c>
      <c r="AJ105" s="30">
        <v>1.1000000000000001</v>
      </c>
      <c r="AK105" s="30">
        <v>1</v>
      </c>
      <c r="AL105" s="30">
        <v>1.02</v>
      </c>
      <c r="AM105" s="30">
        <v>1</v>
      </c>
      <c r="AN105" s="30">
        <v>1.2</v>
      </c>
      <c r="AP105" s="615" t="s">
        <v>749</v>
      </c>
      <c r="AQ105" s="686">
        <v>2</v>
      </c>
      <c r="AR105" s="686">
        <v>4</v>
      </c>
      <c r="AS105" s="686">
        <v>1</v>
      </c>
      <c r="AT105" s="686">
        <v>3</v>
      </c>
      <c r="AU105" s="686">
        <v>1</v>
      </c>
      <c r="AV105" s="686">
        <v>5</v>
      </c>
      <c r="AW105" s="297">
        <v>6</v>
      </c>
      <c r="AX105" s="6">
        <v>1.05</v>
      </c>
      <c r="AY105" s="245">
        <f t="shared" si="21"/>
        <v>1.2365959919080913</v>
      </c>
      <c r="AZ105" s="245">
        <f t="shared" si="22"/>
        <v>1.2434566510799234</v>
      </c>
      <c r="BA105" s="246" t="str">
        <f t="shared" ref="BA105:BA122" si="23">CONCATENATE("(",AQ105,",",AR105,",",AS105,",",AT105,",",AU105,",",AV105,")")</f>
        <v>(2,4,1,3,1,5)</v>
      </c>
      <c r="BB105" s="30">
        <v>1.05</v>
      </c>
      <c r="BC105" s="30">
        <v>1.1000000000000001</v>
      </c>
      <c r="BD105" s="30">
        <v>1</v>
      </c>
      <c r="BE105" s="30">
        <v>1.02</v>
      </c>
      <c r="BF105" s="30">
        <v>1</v>
      </c>
      <c r="BG105" s="30">
        <v>1.2</v>
      </c>
    </row>
    <row r="106" spans="1:59" ht="24" customHeight="1">
      <c r="A106" s="1305">
        <v>259385</v>
      </c>
      <c r="B106" s="1340"/>
      <c r="C106" s="1306"/>
      <c r="D106" s="1308">
        <v>5</v>
      </c>
      <c r="E106" s="1309" t="s">
        <v>98</v>
      </c>
      <c r="F106" s="1310" t="s">
        <v>747</v>
      </c>
      <c r="G106" s="1311" t="s">
        <v>103</v>
      </c>
      <c r="H106" s="1312" t="s">
        <v>98</v>
      </c>
      <c r="I106" s="1313" t="s">
        <v>98</v>
      </c>
      <c r="J106" s="1314">
        <v>0</v>
      </c>
      <c r="K106" s="1311" t="s">
        <v>96</v>
      </c>
      <c r="L106" s="1311">
        <v>0</v>
      </c>
      <c r="M106" s="1315">
        <v>1</v>
      </c>
      <c r="N106" s="1316">
        <v>1.2620910621938648</v>
      </c>
      <c r="O106" s="1317" t="s">
        <v>3196</v>
      </c>
      <c r="P106" s="1311">
        <v>25100.78</v>
      </c>
      <c r="Q106" s="1315">
        <v>1</v>
      </c>
      <c r="R106" s="1316">
        <v>1.2434566510799234</v>
      </c>
      <c r="S106" s="1317" t="s">
        <v>3211</v>
      </c>
      <c r="T106" s="968"/>
      <c r="U106" s="452"/>
      <c r="V106" s="452"/>
      <c r="W106" s="615"/>
      <c r="X106" s="686">
        <v>3</v>
      </c>
      <c r="Y106" s="686">
        <v>4</v>
      </c>
      <c r="Z106" s="686">
        <v>1</v>
      </c>
      <c r="AA106" s="686">
        <v>3</v>
      </c>
      <c r="AB106" s="686">
        <v>1</v>
      </c>
      <c r="AC106" s="686">
        <v>5</v>
      </c>
      <c r="AD106" s="297">
        <v>6</v>
      </c>
      <c r="AE106" s="6">
        <v>1.05</v>
      </c>
      <c r="AF106" s="245">
        <f t="shared" si="18"/>
        <v>1.2555818742947564</v>
      </c>
      <c r="AG106" s="245">
        <f t="shared" si="19"/>
        <v>1.2620910621938648</v>
      </c>
      <c r="AH106" s="246" t="str">
        <f t="shared" si="20"/>
        <v>(3,4,1,3,1,5)</v>
      </c>
      <c r="AI106" s="30">
        <v>1.1000000000000001</v>
      </c>
      <c r="AJ106" s="30">
        <v>1.1000000000000001</v>
      </c>
      <c r="AK106" s="30">
        <v>1</v>
      </c>
      <c r="AL106" s="30">
        <v>1.02</v>
      </c>
      <c r="AM106" s="30">
        <v>1</v>
      </c>
      <c r="AN106" s="30">
        <v>1.2</v>
      </c>
      <c r="AP106" s="615" t="s">
        <v>750</v>
      </c>
      <c r="AQ106" s="686">
        <v>2</v>
      </c>
      <c r="AR106" s="686">
        <v>4</v>
      </c>
      <c r="AS106" s="686">
        <v>1</v>
      </c>
      <c r="AT106" s="686">
        <v>3</v>
      </c>
      <c r="AU106" s="686">
        <v>1</v>
      </c>
      <c r="AV106" s="686">
        <v>5</v>
      </c>
      <c r="AW106" s="297">
        <v>6</v>
      </c>
      <c r="AX106" s="6">
        <v>1.05</v>
      </c>
      <c r="AY106" s="245">
        <f t="shared" si="21"/>
        <v>1.2365959919080913</v>
      </c>
      <c r="AZ106" s="245">
        <f t="shared" si="22"/>
        <v>1.2434566510799234</v>
      </c>
      <c r="BA106" s="246" t="str">
        <f t="shared" si="23"/>
        <v>(2,4,1,3,1,5)</v>
      </c>
      <c r="BB106" s="30">
        <v>1.05</v>
      </c>
      <c r="BC106" s="30">
        <v>1.1000000000000001</v>
      </c>
      <c r="BD106" s="30">
        <v>1</v>
      </c>
      <c r="BE106" s="30">
        <v>1.02</v>
      </c>
      <c r="BF106" s="30">
        <v>1</v>
      </c>
      <c r="BG106" s="30">
        <v>1.2</v>
      </c>
    </row>
    <row r="107" spans="1:59" ht="24" customHeight="1">
      <c r="A107" s="1305">
        <v>268269</v>
      </c>
      <c r="B107" s="1340"/>
      <c r="C107" s="1306"/>
      <c r="D107" s="1362">
        <v>5</v>
      </c>
      <c r="E107" s="1363" t="s">
        <v>98</v>
      </c>
      <c r="F107" s="1355" t="s">
        <v>751</v>
      </c>
      <c r="G107" s="1356" t="s">
        <v>103</v>
      </c>
      <c r="H107" s="1364" t="s">
        <v>98</v>
      </c>
      <c r="I107" s="1357" t="s">
        <v>98</v>
      </c>
      <c r="J107" s="1358">
        <v>0</v>
      </c>
      <c r="K107" s="1356" t="s">
        <v>96</v>
      </c>
      <c r="L107" s="1356">
        <v>0</v>
      </c>
      <c r="M107" s="1359">
        <v>1</v>
      </c>
      <c r="N107" s="1360">
        <v>1.2620910621938648</v>
      </c>
      <c r="O107" s="1361" t="s">
        <v>3196</v>
      </c>
      <c r="P107" s="1356">
        <v>107294.38</v>
      </c>
      <c r="Q107" s="1359">
        <v>1</v>
      </c>
      <c r="R107" s="1360">
        <v>1.2434566510799234</v>
      </c>
      <c r="S107" s="1361" t="s">
        <v>3209</v>
      </c>
      <c r="T107" s="968"/>
      <c r="U107" s="452"/>
      <c r="V107" s="452"/>
      <c r="W107" s="615"/>
      <c r="X107" s="686">
        <v>3</v>
      </c>
      <c r="Y107" s="686">
        <v>4</v>
      </c>
      <c r="Z107" s="686">
        <v>1</v>
      </c>
      <c r="AA107" s="686">
        <v>3</v>
      </c>
      <c r="AB107" s="686">
        <v>1</v>
      </c>
      <c r="AC107" s="686">
        <v>5</v>
      </c>
      <c r="AD107" s="297">
        <v>6</v>
      </c>
      <c r="AE107" s="6">
        <v>1.05</v>
      </c>
      <c r="AF107" s="245">
        <f t="shared" si="18"/>
        <v>1.2555818742947564</v>
      </c>
      <c r="AG107" s="245">
        <f t="shared" si="19"/>
        <v>1.2620910621938648</v>
      </c>
      <c r="AH107" s="246" t="str">
        <f t="shared" si="20"/>
        <v>(3,4,1,3,1,5)</v>
      </c>
      <c r="AI107" s="30">
        <v>1.1000000000000001</v>
      </c>
      <c r="AJ107" s="30">
        <v>1.1000000000000001</v>
      </c>
      <c r="AK107" s="30">
        <v>1</v>
      </c>
      <c r="AL107" s="30">
        <v>1.02</v>
      </c>
      <c r="AM107" s="30">
        <v>1</v>
      </c>
      <c r="AN107" s="30">
        <v>1.2</v>
      </c>
      <c r="AP107" s="615" t="s">
        <v>748</v>
      </c>
      <c r="AQ107" s="686">
        <v>2</v>
      </c>
      <c r="AR107" s="686">
        <v>4</v>
      </c>
      <c r="AS107" s="686">
        <v>1</v>
      </c>
      <c r="AT107" s="686">
        <v>3</v>
      </c>
      <c r="AU107" s="686">
        <v>1</v>
      </c>
      <c r="AV107" s="686">
        <v>5</v>
      </c>
      <c r="AW107" s="297">
        <v>6</v>
      </c>
      <c r="AX107" s="6">
        <v>1.05</v>
      </c>
      <c r="AY107" s="245">
        <f t="shared" si="21"/>
        <v>1.2365959919080913</v>
      </c>
      <c r="AZ107" s="245">
        <f t="shared" si="22"/>
        <v>1.2434566510799234</v>
      </c>
      <c r="BA107" s="246" t="str">
        <f t="shared" si="23"/>
        <v>(2,4,1,3,1,5)</v>
      </c>
      <c r="BB107" s="30">
        <v>1.05</v>
      </c>
      <c r="BC107" s="30">
        <v>1.1000000000000001</v>
      </c>
      <c r="BD107" s="30">
        <v>1</v>
      </c>
      <c r="BE107" s="30">
        <v>1.02</v>
      </c>
      <c r="BF107" s="30">
        <v>1</v>
      </c>
      <c r="BG107" s="30">
        <v>1.2</v>
      </c>
    </row>
    <row r="108" spans="1:59" ht="24" customHeight="1">
      <c r="A108" s="1305">
        <v>268269</v>
      </c>
      <c r="B108" s="1340"/>
      <c r="C108" s="1306"/>
      <c r="D108" s="1308">
        <v>5</v>
      </c>
      <c r="E108" s="1309" t="s">
        <v>98</v>
      </c>
      <c r="F108" s="1310" t="s">
        <v>751</v>
      </c>
      <c r="G108" s="1311" t="s">
        <v>103</v>
      </c>
      <c r="H108" s="1312" t="s">
        <v>98</v>
      </c>
      <c r="I108" s="1313" t="s">
        <v>98</v>
      </c>
      <c r="J108" s="1314">
        <v>0</v>
      </c>
      <c r="K108" s="1311" t="s">
        <v>96</v>
      </c>
      <c r="L108" s="1311">
        <v>0</v>
      </c>
      <c r="M108" s="1315">
        <v>1</v>
      </c>
      <c r="N108" s="1316">
        <v>1.2620910621938648</v>
      </c>
      <c r="O108" s="1317" t="s">
        <v>3196</v>
      </c>
      <c r="P108" s="1311">
        <v>134172.17000000001</v>
      </c>
      <c r="Q108" s="1315">
        <v>1</v>
      </c>
      <c r="R108" s="1316">
        <v>1.2434566510799234</v>
      </c>
      <c r="S108" s="1317" t="s">
        <v>3210</v>
      </c>
      <c r="T108" s="968"/>
      <c r="U108" s="452"/>
      <c r="V108" s="452"/>
      <c r="W108" s="615"/>
      <c r="X108" s="686">
        <v>3</v>
      </c>
      <c r="Y108" s="686">
        <v>4</v>
      </c>
      <c r="Z108" s="686">
        <v>1</v>
      </c>
      <c r="AA108" s="686">
        <v>3</v>
      </c>
      <c r="AB108" s="686">
        <v>1</v>
      </c>
      <c r="AC108" s="686">
        <v>5</v>
      </c>
      <c r="AD108" s="297">
        <v>6</v>
      </c>
      <c r="AE108" s="6">
        <v>1.05</v>
      </c>
      <c r="AF108" s="245">
        <f t="shared" si="18"/>
        <v>1.2555818742947564</v>
      </c>
      <c r="AG108" s="245">
        <f t="shared" si="19"/>
        <v>1.2620910621938648</v>
      </c>
      <c r="AH108" s="246" t="str">
        <f t="shared" si="20"/>
        <v>(3,4,1,3,1,5)</v>
      </c>
      <c r="AI108" s="30">
        <v>1.1000000000000001</v>
      </c>
      <c r="AJ108" s="30">
        <v>1.1000000000000001</v>
      </c>
      <c r="AK108" s="30">
        <v>1</v>
      </c>
      <c r="AL108" s="30">
        <v>1.02</v>
      </c>
      <c r="AM108" s="30">
        <v>1</v>
      </c>
      <c r="AN108" s="30">
        <v>1.2</v>
      </c>
      <c r="AP108" s="615" t="s">
        <v>749</v>
      </c>
      <c r="AQ108" s="686">
        <v>2</v>
      </c>
      <c r="AR108" s="686">
        <v>4</v>
      </c>
      <c r="AS108" s="686">
        <v>1</v>
      </c>
      <c r="AT108" s="686">
        <v>3</v>
      </c>
      <c r="AU108" s="686">
        <v>1</v>
      </c>
      <c r="AV108" s="686">
        <v>5</v>
      </c>
      <c r="AW108" s="297">
        <v>6</v>
      </c>
      <c r="AX108" s="6">
        <v>1.05</v>
      </c>
      <c r="AY108" s="245">
        <f t="shared" si="21"/>
        <v>1.2365959919080913</v>
      </c>
      <c r="AZ108" s="245">
        <f t="shared" si="22"/>
        <v>1.2434566510799234</v>
      </c>
      <c r="BA108" s="246" t="str">
        <f t="shared" si="23"/>
        <v>(2,4,1,3,1,5)</v>
      </c>
      <c r="BB108" s="30">
        <v>1.05</v>
      </c>
      <c r="BC108" s="30">
        <v>1.1000000000000001</v>
      </c>
      <c r="BD108" s="30">
        <v>1</v>
      </c>
      <c r="BE108" s="30">
        <v>1.02</v>
      </c>
      <c r="BF108" s="30">
        <v>1</v>
      </c>
      <c r="BG108" s="30">
        <v>1.2</v>
      </c>
    </row>
    <row r="109" spans="1:59" ht="24" customHeight="1">
      <c r="A109" s="1305">
        <v>268269</v>
      </c>
      <c r="B109" s="1340"/>
      <c r="C109" s="1306"/>
      <c r="D109" s="1362">
        <v>5</v>
      </c>
      <c r="E109" s="1363" t="s">
        <v>98</v>
      </c>
      <c r="F109" s="1355" t="s">
        <v>751</v>
      </c>
      <c r="G109" s="1356" t="s">
        <v>103</v>
      </c>
      <c r="H109" s="1364" t="s">
        <v>98</v>
      </c>
      <c r="I109" s="1357" t="s">
        <v>98</v>
      </c>
      <c r="J109" s="1358">
        <v>0</v>
      </c>
      <c r="K109" s="1356" t="s">
        <v>96</v>
      </c>
      <c r="L109" s="1356">
        <v>0</v>
      </c>
      <c r="M109" s="1359">
        <v>1</v>
      </c>
      <c r="N109" s="1360">
        <v>1.2620910621938648</v>
      </c>
      <c r="O109" s="1361" t="s">
        <v>3196</v>
      </c>
      <c r="P109" s="1356">
        <v>50962.19000000001</v>
      </c>
      <c r="Q109" s="1359">
        <v>1</v>
      </c>
      <c r="R109" s="1360">
        <v>1.2434566510799234</v>
      </c>
      <c r="S109" s="1361" t="s">
        <v>3211</v>
      </c>
      <c r="T109" s="968"/>
      <c r="U109" s="452"/>
      <c r="V109" s="452"/>
      <c r="W109" s="615"/>
      <c r="X109" s="686">
        <v>3</v>
      </c>
      <c r="Y109" s="686">
        <v>4</v>
      </c>
      <c r="Z109" s="686">
        <v>1</v>
      </c>
      <c r="AA109" s="686">
        <v>3</v>
      </c>
      <c r="AB109" s="686">
        <v>1</v>
      </c>
      <c r="AC109" s="686">
        <v>5</v>
      </c>
      <c r="AD109" s="297">
        <v>6</v>
      </c>
      <c r="AE109" s="6">
        <v>1.05</v>
      </c>
      <c r="AF109" s="245">
        <f t="shared" si="18"/>
        <v>1.2555818742947564</v>
      </c>
      <c r="AG109" s="245">
        <f t="shared" si="19"/>
        <v>1.2620910621938648</v>
      </c>
      <c r="AH109" s="246" t="str">
        <f t="shared" si="20"/>
        <v>(3,4,1,3,1,5)</v>
      </c>
      <c r="AI109" s="30">
        <v>1.1000000000000001</v>
      </c>
      <c r="AJ109" s="30">
        <v>1.1000000000000001</v>
      </c>
      <c r="AK109" s="30">
        <v>1</v>
      </c>
      <c r="AL109" s="30">
        <v>1.02</v>
      </c>
      <c r="AM109" s="30">
        <v>1</v>
      </c>
      <c r="AN109" s="30">
        <v>1.2</v>
      </c>
      <c r="AP109" s="615" t="s">
        <v>750</v>
      </c>
      <c r="AQ109" s="686">
        <v>2</v>
      </c>
      <c r="AR109" s="686">
        <v>4</v>
      </c>
      <c r="AS109" s="686">
        <v>1</v>
      </c>
      <c r="AT109" s="686">
        <v>3</v>
      </c>
      <c r="AU109" s="686">
        <v>1</v>
      </c>
      <c r="AV109" s="686">
        <v>5</v>
      </c>
      <c r="AW109" s="297">
        <v>6</v>
      </c>
      <c r="AX109" s="6">
        <v>1.05</v>
      </c>
      <c r="AY109" s="245">
        <f t="shared" si="21"/>
        <v>1.2365959919080913</v>
      </c>
      <c r="AZ109" s="245">
        <f t="shared" si="22"/>
        <v>1.2434566510799234</v>
      </c>
      <c r="BA109" s="246" t="str">
        <f t="shared" si="23"/>
        <v>(2,4,1,3,1,5)</v>
      </c>
      <c r="BB109" s="30">
        <v>1.05</v>
      </c>
      <c r="BC109" s="30">
        <v>1.1000000000000001</v>
      </c>
      <c r="BD109" s="30">
        <v>1</v>
      </c>
      <c r="BE109" s="30">
        <v>1.02</v>
      </c>
      <c r="BF109" s="30">
        <v>1</v>
      </c>
      <c r="BG109" s="30">
        <v>1.2</v>
      </c>
    </row>
    <row r="110" spans="1:59" ht="24" customHeight="1">
      <c r="A110" s="1305">
        <v>268269</v>
      </c>
      <c r="B110" s="1340"/>
      <c r="C110" s="1306"/>
      <c r="D110" s="1308">
        <v>5</v>
      </c>
      <c r="E110" s="1309" t="s">
        <v>98</v>
      </c>
      <c r="F110" s="1310" t="s">
        <v>751</v>
      </c>
      <c r="G110" s="1311" t="s">
        <v>103</v>
      </c>
      <c r="H110" s="1312" t="s">
        <v>98</v>
      </c>
      <c r="I110" s="1313" t="s">
        <v>98</v>
      </c>
      <c r="J110" s="1314">
        <v>0</v>
      </c>
      <c r="K110" s="1311" t="s">
        <v>96</v>
      </c>
      <c r="L110" s="1311">
        <v>0</v>
      </c>
      <c r="M110" s="1315">
        <v>1</v>
      </c>
      <c r="N110" s="1316">
        <v>1.2620910621938648</v>
      </c>
      <c r="O110" s="1317" t="s">
        <v>3196</v>
      </c>
      <c r="P110" s="1311">
        <v>1478407.0719600001</v>
      </c>
      <c r="Q110" s="1315">
        <v>1</v>
      </c>
      <c r="R110" s="1316">
        <v>1.2434566510799234</v>
      </c>
      <c r="S110" s="1317" t="s">
        <v>3212</v>
      </c>
      <c r="T110" s="968"/>
      <c r="U110" s="452"/>
      <c r="V110" s="452"/>
      <c r="W110" s="615"/>
      <c r="X110" s="686">
        <v>3</v>
      </c>
      <c r="Y110" s="686">
        <v>4</v>
      </c>
      <c r="Z110" s="686">
        <v>1</v>
      </c>
      <c r="AA110" s="686">
        <v>3</v>
      </c>
      <c r="AB110" s="686">
        <v>1</v>
      </c>
      <c r="AC110" s="686">
        <v>5</v>
      </c>
      <c r="AD110" s="297">
        <v>6</v>
      </c>
      <c r="AE110" s="6">
        <v>1.05</v>
      </c>
      <c r="AF110" s="245">
        <f t="shared" si="18"/>
        <v>1.2555818742947564</v>
      </c>
      <c r="AG110" s="245">
        <f t="shared" si="19"/>
        <v>1.2620910621938648</v>
      </c>
      <c r="AH110" s="246" t="str">
        <f t="shared" si="20"/>
        <v>(3,4,1,3,1,5)</v>
      </c>
      <c r="AI110" s="30">
        <v>1.1000000000000001</v>
      </c>
      <c r="AJ110" s="30">
        <v>1.1000000000000001</v>
      </c>
      <c r="AK110" s="30">
        <v>1</v>
      </c>
      <c r="AL110" s="30">
        <v>1.02</v>
      </c>
      <c r="AM110" s="30">
        <v>1</v>
      </c>
      <c r="AN110" s="30">
        <v>1.2</v>
      </c>
      <c r="AP110" s="615" t="s">
        <v>752</v>
      </c>
      <c r="AQ110" s="686">
        <v>2</v>
      </c>
      <c r="AR110" s="686">
        <v>4</v>
      </c>
      <c r="AS110" s="686">
        <v>1</v>
      </c>
      <c r="AT110" s="686">
        <v>3</v>
      </c>
      <c r="AU110" s="686">
        <v>1</v>
      </c>
      <c r="AV110" s="686">
        <v>5</v>
      </c>
      <c r="AW110" s="297">
        <v>6</v>
      </c>
      <c r="AX110" s="6">
        <v>1.05</v>
      </c>
      <c r="AY110" s="245">
        <f t="shared" si="21"/>
        <v>1.2365959919080913</v>
      </c>
      <c r="AZ110" s="245">
        <f t="shared" si="22"/>
        <v>1.2434566510799234</v>
      </c>
      <c r="BA110" s="246" t="str">
        <f t="shared" si="23"/>
        <v>(2,4,1,3,1,5)</v>
      </c>
      <c r="BB110" s="30">
        <v>1.05</v>
      </c>
      <c r="BC110" s="30">
        <v>1.1000000000000001</v>
      </c>
      <c r="BD110" s="30">
        <v>1</v>
      </c>
      <c r="BE110" s="30">
        <v>1.02</v>
      </c>
      <c r="BF110" s="30">
        <v>1</v>
      </c>
      <c r="BG110" s="30">
        <v>1.2</v>
      </c>
    </row>
    <row r="111" spans="1:59">
      <c r="A111" s="1305">
        <v>267245</v>
      </c>
      <c r="B111" s="1340"/>
      <c r="C111" s="1306"/>
      <c r="D111" s="1362">
        <v>5</v>
      </c>
      <c r="E111" s="1363" t="s">
        <v>98</v>
      </c>
      <c r="F111" s="1355" t="s">
        <v>753</v>
      </c>
      <c r="G111" s="1356" t="s">
        <v>103</v>
      </c>
      <c r="H111" s="1364" t="s">
        <v>98</v>
      </c>
      <c r="I111" s="1357" t="s">
        <v>98</v>
      </c>
      <c r="J111" s="1358">
        <v>0</v>
      </c>
      <c r="K111" s="1356" t="s">
        <v>96</v>
      </c>
      <c r="L111" s="1356">
        <v>0</v>
      </c>
      <c r="M111" s="1359">
        <v>1</v>
      </c>
      <c r="N111" s="1360">
        <v>1.2620910621938648</v>
      </c>
      <c r="O111" s="1361" t="s">
        <v>3196</v>
      </c>
      <c r="P111" s="1356">
        <v>1511813.16</v>
      </c>
      <c r="Q111" s="1359">
        <v>1</v>
      </c>
      <c r="R111" s="1360">
        <v>1.2434566510799234</v>
      </c>
      <c r="S111" s="1361" t="s">
        <v>3213</v>
      </c>
      <c r="T111" s="968"/>
      <c r="U111" s="452"/>
      <c r="V111" s="452"/>
      <c r="W111" s="615"/>
      <c r="X111" s="686">
        <v>3</v>
      </c>
      <c r="Y111" s="686">
        <v>4</v>
      </c>
      <c r="Z111" s="686">
        <v>1</v>
      </c>
      <c r="AA111" s="686">
        <v>3</v>
      </c>
      <c r="AB111" s="686">
        <v>1</v>
      </c>
      <c r="AC111" s="686">
        <v>5</v>
      </c>
      <c r="AD111" s="297">
        <v>6</v>
      </c>
      <c r="AE111" s="6">
        <v>1.05</v>
      </c>
      <c r="AF111" s="245">
        <f t="shared" si="18"/>
        <v>1.2555818742947564</v>
      </c>
      <c r="AG111" s="245">
        <f t="shared" si="19"/>
        <v>1.2620910621938648</v>
      </c>
      <c r="AH111" s="246" t="str">
        <f t="shared" si="20"/>
        <v>(3,4,1,3,1,5)</v>
      </c>
      <c r="AI111" s="30">
        <v>1.1000000000000001</v>
      </c>
      <c r="AJ111" s="30">
        <v>1.1000000000000001</v>
      </c>
      <c r="AK111" s="30">
        <v>1</v>
      </c>
      <c r="AL111" s="30">
        <v>1.02</v>
      </c>
      <c r="AM111" s="30">
        <v>1</v>
      </c>
      <c r="AN111" s="30">
        <v>1.2</v>
      </c>
      <c r="AP111" s="615" t="s">
        <v>754</v>
      </c>
      <c r="AQ111" s="686">
        <v>2</v>
      </c>
      <c r="AR111" s="686">
        <v>4</v>
      </c>
      <c r="AS111" s="686">
        <v>1</v>
      </c>
      <c r="AT111" s="686">
        <v>3</v>
      </c>
      <c r="AU111" s="686">
        <v>1</v>
      </c>
      <c r="AV111" s="686">
        <v>5</v>
      </c>
      <c r="AW111" s="297">
        <v>6</v>
      </c>
      <c r="AX111" s="6">
        <v>1.05</v>
      </c>
      <c r="AY111" s="245">
        <f t="shared" si="21"/>
        <v>1.2365959919080913</v>
      </c>
      <c r="AZ111" s="245">
        <f t="shared" si="22"/>
        <v>1.2434566510799234</v>
      </c>
      <c r="BA111" s="246" t="str">
        <f t="shared" si="23"/>
        <v>(2,4,1,3,1,5)</v>
      </c>
      <c r="BB111" s="30">
        <v>1.05</v>
      </c>
      <c r="BC111" s="30">
        <v>1.1000000000000001</v>
      </c>
      <c r="BD111" s="30">
        <v>1</v>
      </c>
      <c r="BE111" s="30">
        <v>1.02</v>
      </c>
      <c r="BF111" s="30">
        <v>1</v>
      </c>
      <c r="BG111" s="30">
        <v>1.2</v>
      </c>
    </row>
    <row r="112" spans="1:59" ht="24" customHeight="1">
      <c r="A112" s="1305">
        <v>255195</v>
      </c>
      <c r="B112" s="1340"/>
      <c r="C112" s="1306"/>
      <c r="D112" s="1308">
        <v>5</v>
      </c>
      <c r="E112" s="1309" t="s">
        <v>98</v>
      </c>
      <c r="F112" s="1310" t="s">
        <v>755</v>
      </c>
      <c r="G112" s="1311" t="s">
        <v>103</v>
      </c>
      <c r="H112" s="1312" t="s">
        <v>98</v>
      </c>
      <c r="I112" s="1313" t="s">
        <v>98</v>
      </c>
      <c r="J112" s="1314">
        <v>0</v>
      </c>
      <c r="K112" s="1311" t="s">
        <v>96</v>
      </c>
      <c r="L112" s="1311">
        <v>0</v>
      </c>
      <c r="M112" s="1315">
        <v>1</v>
      </c>
      <c r="N112" s="1316">
        <v>1.2620910621938648</v>
      </c>
      <c r="O112" s="1317" t="s">
        <v>3196</v>
      </c>
      <c r="P112" s="1311">
        <v>555962.9</v>
      </c>
      <c r="Q112" s="1315">
        <v>1</v>
      </c>
      <c r="R112" s="1316">
        <v>1.2434566510799234</v>
      </c>
      <c r="S112" s="1317" t="s">
        <v>3214</v>
      </c>
      <c r="T112" s="968"/>
      <c r="U112" s="452"/>
      <c r="V112" s="452"/>
      <c r="W112" s="615"/>
      <c r="X112" s="686">
        <v>3</v>
      </c>
      <c r="Y112" s="686">
        <v>4</v>
      </c>
      <c r="Z112" s="686">
        <v>1</v>
      </c>
      <c r="AA112" s="686">
        <v>3</v>
      </c>
      <c r="AB112" s="686">
        <v>1</v>
      </c>
      <c r="AC112" s="686">
        <v>5</v>
      </c>
      <c r="AD112" s="297">
        <v>6</v>
      </c>
      <c r="AE112" s="6">
        <v>1.05</v>
      </c>
      <c r="AF112" s="245">
        <f t="shared" si="18"/>
        <v>1.2555818742947564</v>
      </c>
      <c r="AG112" s="245">
        <f t="shared" si="19"/>
        <v>1.2620910621938648</v>
      </c>
      <c r="AH112" s="246" t="str">
        <f t="shared" si="20"/>
        <v>(3,4,1,3,1,5)</v>
      </c>
      <c r="AI112" s="30">
        <v>1.1000000000000001</v>
      </c>
      <c r="AJ112" s="30">
        <v>1.1000000000000001</v>
      </c>
      <c r="AK112" s="30">
        <v>1</v>
      </c>
      <c r="AL112" s="30">
        <v>1.02</v>
      </c>
      <c r="AM112" s="30">
        <v>1</v>
      </c>
      <c r="AN112" s="30">
        <v>1.2</v>
      </c>
      <c r="AP112" s="615" t="s">
        <v>756</v>
      </c>
      <c r="AQ112" s="686">
        <v>2</v>
      </c>
      <c r="AR112" s="686">
        <v>4</v>
      </c>
      <c r="AS112" s="686">
        <v>1</v>
      </c>
      <c r="AT112" s="686">
        <v>3</v>
      </c>
      <c r="AU112" s="686">
        <v>1</v>
      </c>
      <c r="AV112" s="686">
        <v>5</v>
      </c>
      <c r="AW112" s="297">
        <v>6</v>
      </c>
      <c r="AX112" s="6">
        <v>1.05</v>
      </c>
      <c r="AY112" s="245">
        <f t="shared" si="21"/>
        <v>1.2365959919080913</v>
      </c>
      <c r="AZ112" s="245">
        <f t="shared" si="22"/>
        <v>1.2434566510799234</v>
      </c>
      <c r="BA112" s="246" t="str">
        <f t="shared" si="23"/>
        <v>(2,4,1,3,1,5)</v>
      </c>
      <c r="BB112" s="30">
        <v>1.05</v>
      </c>
      <c r="BC112" s="30">
        <v>1.1000000000000001</v>
      </c>
      <c r="BD112" s="30">
        <v>1</v>
      </c>
      <c r="BE112" s="30">
        <v>1.02</v>
      </c>
      <c r="BF112" s="30">
        <v>1</v>
      </c>
      <c r="BG112" s="30">
        <v>1.2</v>
      </c>
    </row>
    <row r="113" spans="1:59" ht="24" customHeight="1">
      <c r="A113" s="1305">
        <v>268265</v>
      </c>
      <c r="B113" s="1340"/>
      <c r="C113" s="1306"/>
      <c r="D113" s="1362">
        <v>5</v>
      </c>
      <c r="E113" s="1363" t="s">
        <v>98</v>
      </c>
      <c r="F113" s="1355" t="s">
        <v>757</v>
      </c>
      <c r="G113" s="1356" t="s">
        <v>103</v>
      </c>
      <c r="H113" s="1364" t="s">
        <v>98</v>
      </c>
      <c r="I113" s="1357" t="s">
        <v>98</v>
      </c>
      <c r="J113" s="1358">
        <v>0</v>
      </c>
      <c r="K113" s="1356" t="s">
        <v>96</v>
      </c>
      <c r="L113" s="1356">
        <v>0</v>
      </c>
      <c r="M113" s="1359">
        <v>1</v>
      </c>
      <c r="N113" s="1360">
        <v>1.2620910621938648</v>
      </c>
      <c r="O113" s="1361" t="s">
        <v>3196</v>
      </c>
      <c r="P113" s="1356">
        <v>632436.00000000023</v>
      </c>
      <c r="Q113" s="1359">
        <v>1</v>
      </c>
      <c r="R113" s="1360">
        <v>1.2434566510799234</v>
      </c>
      <c r="S113" s="1361" t="s">
        <v>3215</v>
      </c>
      <c r="T113" s="968"/>
      <c r="U113" s="452"/>
      <c r="V113" s="452"/>
      <c r="W113" s="615"/>
      <c r="X113" s="686">
        <v>3</v>
      </c>
      <c r="Y113" s="686">
        <v>4</v>
      </c>
      <c r="Z113" s="686">
        <v>1</v>
      </c>
      <c r="AA113" s="686">
        <v>3</v>
      </c>
      <c r="AB113" s="686">
        <v>1</v>
      </c>
      <c r="AC113" s="686">
        <v>5</v>
      </c>
      <c r="AD113" s="297">
        <v>6</v>
      </c>
      <c r="AE113" s="6">
        <v>1.05</v>
      </c>
      <c r="AF113" s="245">
        <f t="shared" si="18"/>
        <v>1.2555818742947564</v>
      </c>
      <c r="AG113" s="245">
        <f t="shared" si="19"/>
        <v>1.2620910621938648</v>
      </c>
      <c r="AH113" s="246" t="str">
        <f t="shared" si="20"/>
        <v>(3,4,1,3,1,5)</v>
      </c>
      <c r="AI113" s="30">
        <v>1.1000000000000001</v>
      </c>
      <c r="AJ113" s="30">
        <v>1.1000000000000001</v>
      </c>
      <c r="AK113" s="30">
        <v>1</v>
      </c>
      <c r="AL113" s="30">
        <v>1.02</v>
      </c>
      <c r="AM113" s="30">
        <v>1</v>
      </c>
      <c r="AN113" s="30">
        <v>1.2</v>
      </c>
      <c r="AP113" s="615" t="s">
        <v>758</v>
      </c>
      <c r="AQ113" s="686">
        <v>2</v>
      </c>
      <c r="AR113" s="686">
        <v>4</v>
      </c>
      <c r="AS113" s="686">
        <v>1</v>
      </c>
      <c r="AT113" s="686">
        <v>3</v>
      </c>
      <c r="AU113" s="686">
        <v>1</v>
      </c>
      <c r="AV113" s="686">
        <v>5</v>
      </c>
      <c r="AW113" s="297">
        <v>6</v>
      </c>
      <c r="AX113" s="6">
        <v>1.05</v>
      </c>
      <c r="AY113" s="245">
        <f t="shared" si="21"/>
        <v>1.2365959919080913</v>
      </c>
      <c r="AZ113" s="245">
        <f t="shared" si="22"/>
        <v>1.2434566510799234</v>
      </c>
      <c r="BA113" s="246" t="str">
        <f t="shared" si="23"/>
        <v>(2,4,1,3,1,5)</v>
      </c>
      <c r="BB113" s="30">
        <v>1.05</v>
      </c>
      <c r="BC113" s="30">
        <v>1.1000000000000001</v>
      </c>
      <c r="BD113" s="30">
        <v>1</v>
      </c>
      <c r="BE113" s="30">
        <v>1.02</v>
      </c>
      <c r="BF113" s="30">
        <v>1</v>
      </c>
      <c r="BG113" s="30">
        <v>1.2</v>
      </c>
    </row>
    <row r="114" spans="1:59" ht="24" customHeight="1">
      <c r="A114" s="1305">
        <v>264229</v>
      </c>
      <c r="B114" s="1340"/>
      <c r="C114" s="1306"/>
      <c r="D114" s="1308">
        <v>5</v>
      </c>
      <c r="E114" s="1309" t="s">
        <v>98</v>
      </c>
      <c r="F114" s="1310" t="s">
        <v>759</v>
      </c>
      <c r="G114" s="1311" t="s">
        <v>103</v>
      </c>
      <c r="H114" s="1312" t="s">
        <v>98</v>
      </c>
      <c r="I114" s="1313" t="s">
        <v>98</v>
      </c>
      <c r="J114" s="1314">
        <v>0</v>
      </c>
      <c r="K114" s="1311" t="s">
        <v>96</v>
      </c>
      <c r="L114" s="1311">
        <v>0</v>
      </c>
      <c r="M114" s="1315">
        <v>1</v>
      </c>
      <c r="N114" s="1316">
        <v>1.2620910621938648</v>
      </c>
      <c r="O114" s="1317" t="s">
        <v>3196</v>
      </c>
      <c r="P114" s="1311">
        <v>6023.1700000000028</v>
      </c>
      <c r="Q114" s="1315">
        <v>1</v>
      </c>
      <c r="R114" s="1316">
        <v>1.2434566510799234</v>
      </c>
      <c r="S114" s="1317" t="s">
        <v>3215</v>
      </c>
      <c r="T114" s="968"/>
      <c r="U114" s="452"/>
      <c r="V114" s="452"/>
      <c r="W114" s="615"/>
      <c r="X114" s="686">
        <v>3</v>
      </c>
      <c r="Y114" s="686">
        <v>4</v>
      </c>
      <c r="Z114" s="686">
        <v>1</v>
      </c>
      <c r="AA114" s="686">
        <v>3</v>
      </c>
      <c r="AB114" s="686">
        <v>1</v>
      </c>
      <c r="AC114" s="686">
        <v>5</v>
      </c>
      <c r="AD114" s="297">
        <v>6</v>
      </c>
      <c r="AE114" s="6">
        <v>1.05</v>
      </c>
      <c r="AF114" s="245">
        <f t="shared" si="18"/>
        <v>1.2555818742947564</v>
      </c>
      <c r="AG114" s="245">
        <f t="shared" si="19"/>
        <v>1.2620910621938648</v>
      </c>
      <c r="AH114" s="246" t="str">
        <f t="shared" si="20"/>
        <v>(3,4,1,3,1,5)</v>
      </c>
      <c r="AI114" s="30">
        <v>1.1000000000000001</v>
      </c>
      <c r="AJ114" s="30">
        <v>1.1000000000000001</v>
      </c>
      <c r="AK114" s="30">
        <v>1</v>
      </c>
      <c r="AL114" s="30">
        <v>1.02</v>
      </c>
      <c r="AM114" s="30">
        <v>1</v>
      </c>
      <c r="AN114" s="30">
        <v>1.2</v>
      </c>
      <c r="AP114" s="615" t="s">
        <v>758</v>
      </c>
      <c r="AQ114" s="686">
        <v>2</v>
      </c>
      <c r="AR114" s="686">
        <v>4</v>
      </c>
      <c r="AS114" s="686">
        <v>1</v>
      </c>
      <c r="AT114" s="686">
        <v>3</v>
      </c>
      <c r="AU114" s="686">
        <v>1</v>
      </c>
      <c r="AV114" s="686">
        <v>5</v>
      </c>
      <c r="AW114" s="297">
        <v>6</v>
      </c>
      <c r="AX114" s="6">
        <v>1.05</v>
      </c>
      <c r="AY114" s="245">
        <f t="shared" si="21"/>
        <v>1.2365959919080913</v>
      </c>
      <c r="AZ114" s="245">
        <f t="shared" si="22"/>
        <v>1.2434566510799234</v>
      </c>
      <c r="BA114" s="246" t="str">
        <f t="shared" si="23"/>
        <v>(2,4,1,3,1,5)</v>
      </c>
      <c r="BB114" s="30">
        <v>1.05</v>
      </c>
      <c r="BC114" s="30">
        <v>1.1000000000000001</v>
      </c>
      <c r="BD114" s="30">
        <v>1</v>
      </c>
      <c r="BE114" s="30">
        <v>1.02</v>
      </c>
      <c r="BF114" s="30">
        <v>1</v>
      </c>
      <c r="BG114" s="30">
        <v>1.2</v>
      </c>
    </row>
    <row r="115" spans="1:59">
      <c r="A115" s="1305">
        <v>113599</v>
      </c>
      <c r="B115" s="1339" t="s">
        <v>762</v>
      </c>
      <c r="C115" s="1306"/>
      <c r="D115" s="1362">
        <v>4</v>
      </c>
      <c r="E115" s="1363" t="s">
        <v>98</v>
      </c>
      <c r="F115" s="1355" t="s">
        <v>763</v>
      </c>
      <c r="G115" s="1356" t="s">
        <v>98</v>
      </c>
      <c r="H115" s="1364" t="s">
        <v>218</v>
      </c>
      <c r="I115" s="1357" t="s">
        <v>764</v>
      </c>
      <c r="J115" s="1358" t="s">
        <v>98</v>
      </c>
      <c r="K115" s="1356" t="s">
        <v>725</v>
      </c>
      <c r="L115" s="1356">
        <v>2743.4842249657058</v>
      </c>
      <c r="M115" s="1359">
        <v>1</v>
      </c>
      <c r="N115" s="1360">
        <v>1.5919770563893134</v>
      </c>
      <c r="O115" s="1361" t="s">
        <v>3216</v>
      </c>
      <c r="P115" s="1356">
        <v>410670.00000000012</v>
      </c>
      <c r="Q115" s="1359">
        <v>1</v>
      </c>
      <c r="R115" s="1360">
        <v>1.5804528752110836</v>
      </c>
      <c r="S115" s="1361" t="s">
        <v>3193</v>
      </c>
      <c r="T115" s="968"/>
      <c r="U115" s="452"/>
      <c r="V115" s="452"/>
      <c r="W115" s="614" t="s">
        <v>789</v>
      </c>
      <c r="X115" s="686">
        <v>3</v>
      </c>
      <c r="Y115" s="686">
        <v>4</v>
      </c>
      <c r="Z115" s="686">
        <v>1</v>
      </c>
      <c r="AA115" s="686">
        <v>3</v>
      </c>
      <c r="AB115" s="686">
        <v>1</v>
      </c>
      <c r="AC115" s="686">
        <v>5</v>
      </c>
      <c r="AD115" s="297">
        <v>7</v>
      </c>
      <c r="AE115" s="6">
        <v>1.5</v>
      </c>
      <c r="AF115" s="245">
        <f t="shared" si="18"/>
        <v>1.2555818742947564</v>
      </c>
      <c r="AG115" s="245">
        <f t="shared" si="19"/>
        <v>1.5919770563893134</v>
      </c>
      <c r="AH115" s="246" t="str">
        <f t="shared" si="20"/>
        <v>(3,4,1,3,1,5)</v>
      </c>
      <c r="AI115" s="30">
        <v>1.1000000000000001</v>
      </c>
      <c r="AJ115" s="30">
        <v>1.1000000000000001</v>
      </c>
      <c r="AK115" s="30">
        <v>1</v>
      </c>
      <c r="AL115" s="30">
        <v>1.02</v>
      </c>
      <c r="AM115" s="30">
        <v>1</v>
      </c>
      <c r="AN115" s="30">
        <v>1.2</v>
      </c>
      <c r="AP115" s="614" t="s">
        <v>673</v>
      </c>
      <c r="AQ115" s="686">
        <v>2</v>
      </c>
      <c r="AR115" s="686">
        <v>4</v>
      </c>
      <c r="AS115" s="686">
        <v>1</v>
      </c>
      <c r="AT115" s="686">
        <v>3</v>
      </c>
      <c r="AU115" s="686">
        <v>1</v>
      </c>
      <c r="AV115" s="686">
        <v>5</v>
      </c>
      <c r="AW115" s="297">
        <v>7</v>
      </c>
      <c r="AX115" s="6">
        <v>1.5</v>
      </c>
      <c r="AY115" s="245">
        <f t="shared" si="21"/>
        <v>1.2365959919080913</v>
      </c>
      <c r="AZ115" s="245">
        <f t="shared" si="22"/>
        <v>1.5804528752110836</v>
      </c>
      <c r="BA115" s="246" t="str">
        <f t="shared" si="23"/>
        <v>(2,4,1,3,1,5)</v>
      </c>
      <c r="BB115" s="30">
        <v>1.05</v>
      </c>
      <c r="BC115" s="30">
        <v>1.1000000000000001</v>
      </c>
      <c r="BD115" s="30">
        <v>1</v>
      </c>
      <c r="BE115" s="30">
        <v>1.02</v>
      </c>
      <c r="BF115" s="30">
        <v>1</v>
      </c>
      <c r="BG115" s="30">
        <v>1.2</v>
      </c>
    </row>
    <row r="116" spans="1:59">
      <c r="A116" s="1336">
        <v>131267</v>
      </c>
      <c r="B116" s="1339"/>
      <c r="C116" s="1338"/>
      <c r="D116" s="1368">
        <v>4</v>
      </c>
      <c r="E116" s="1369" t="s">
        <v>98</v>
      </c>
      <c r="F116" s="1310" t="s">
        <v>765</v>
      </c>
      <c r="G116" s="1311" t="s">
        <v>98</v>
      </c>
      <c r="H116" s="1312" t="s">
        <v>218</v>
      </c>
      <c r="I116" s="1313" t="s">
        <v>764</v>
      </c>
      <c r="J116" s="1314" t="s">
        <v>98</v>
      </c>
      <c r="K116" s="1311" t="s">
        <v>725</v>
      </c>
      <c r="L116" s="1311">
        <v>0</v>
      </c>
      <c r="M116" s="1315">
        <v>1</v>
      </c>
      <c r="N116" s="1316">
        <v>1.5919770563893134</v>
      </c>
      <c r="O116" s="1317" t="s">
        <v>3196</v>
      </c>
      <c r="P116" s="1311">
        <v>1463813.63</v>
      </c>
      <c r="Q116" s="1315">
        <v>1</v>
      </c>
      <c r="R116" s="1316">
        <v>1.5804528752110836</v>
      </c>
      <c r="S116" s="1317" t="s">
        <v>3193</v>
      </c>
      <c r="T116" s="968"/>
      <c r="U116" s="452"/>
      <c r="V116" s="452"/>
      <c r="W116" s="687"/>
      <c r="X116" s="686">
        <v>3</v>
      </c>
      <c r="Y116" s="686">
        <v>4</v>
      </c>
      <c r="Z116" s="686">
        <v>1</v>
      </c>
      <c r="AA116" s="686">
        <v>3</v>
      </c>
      <c r="AB116" s="686">
        <v>1</v>
      </c>
      <c r="AC116" s="686">
        <v>5</v>
      </c>
      <c r="AD116" s="297">
        <v>7</v>
      </c>
      <c r="AE116" s="6">
        <v>1.5</v>
      </c>
      <c r="AF116" s="245">
        <f t="shared" si="18"/>
        <v>1.2555818742947564</v>
      </c>
      <c r="AG116" s="245">
        <f t="shared" si="19"/>
        <v>1.5919770563893134</v>
      </c>
      <c r="AH116" s="246" t="str">
        <f t="shared" si="20"/>
        <v>(3,4,1,3,1,5)</v>
      </c>
      <c r="AI116" s="30">
        <v>1.1000000000000001</v>
      </c>
      <c r="AJ116" s="30">
        <v>1.1000000000000001</v>
      </c>
      <c r="AK116" s="30">
        <v>1</v>
      </c>
      <c r="AL116" s="30">
        <v>1.02</v>
      </c>
      <c r="AM116" s="30">
        <v>1</v>
      </c>
      <c r="AN116" s="30">
        <v>1.2</v>
      </c>
      <c r="AP116" s="687" t="s">
        <v>673</v>
      </c>
      <c r="AQ116" s="686">
        <v>2</v>
      </c>
      <c r="AR116" s="686">
        <v>4</v>
      </c>
      <c r="AS116" s="686">
        <v>1</v>
      </c>
      <c r="AT116" s="686">
        <v>3</v>
      </c>
      <c r="AU116" s="686">
        <v>1</v>
      </c>
      <c r="AV116" s="686">
        <v>5</v>
      </c>
      <c r="AW116" s="297">
        <v>7</v>
      </c>
      <c r="AX116" s="6">
        <v>1.5</v>
      </c>
      <c r="AY116" s="245">
        <f t="shared" si="21"/>
        <v>1.2365959919080913</v>
      </c>
      <c r="AZ116" s="245">
        <f t="shared" si="22"/>
        <v>1.5804528752110836</v>
      </c>
      <c r="BA116" s="246" t="str">
        <f t="shared" si="23"/>
        <v>(2,4,1,3,1,5)</v>
      </c>
      <c r="BB116" s="30">
        <v>1.05</v>
      </c>
      <c r="BC116" s="30">
        <v>1.1000000000000001</v>
      </c>
      <c r="BD116" s="30">
        <v>1</v>
      </c>
      <c r="BE116" s="30">
        <v>1.02</v>
      </c>
      <c r="BF116" s="30">
        <v>1</v>
      </c>
      <c r="BG116" s="30">
        <v>1.2</v>
      </c>
    </row>
    <row r="117" spans="1:59">
      <c r="A117" s="1370">
        <v>113531</v>
      </c>
      <c r="B117" s="1339"/>
      <c r="C117" s="1338"/>
      <c r="D117" s="1366">
        <v>4</v>
      </c>
      <c r="E117" s="1367" t="s">
        <v>98</v>
      </c>
      <c r="F117" s="1355" t="s">
        <v>766</v>
      </c>
      <c r="G117" s="1356" t="s">
        <v>98</v>
      </c>
      <c r="H117" s="1364" t="s">
        <v>218</v>
      </c>
      <c r="I117" s="1357" t="s">
        <v>764</v>
      </c>
      <c r="J117" s="1358" t="s">
        <v>98</v>
      </c>
      <c r="K117" s="1356" t="s">
        <v>725</v>
      </c>
      <c r="L117" s="1356">
        <v>0</v>
      </c>
      <c r="M117" s="1359">
        <v>1</v>
      </c>
      <c r="N117" s="1360">
        <v>1.5919770563893134</v>
      </c>
      <c r="O117" s="1361" t="s">
        <v>3196</v>
      </c>
      <c r="P117" s="1356">
        <v>630052.5</v>
      </c>
      <c r="Q117" s="1359">
        <v>1</v>
      </c>
      <c r="R117" s="1360">
        <v>1.5804528752110836</v>
      </c>
      <c r="S117" s="1361" t="s">
        <v>3193</v>
      </c>
      <c r="T117" s="968"/>
      <c r="U117" s="452"/>
      <c r="V117" s="452"/>
      <c r="W117" s="614"/>
      <c r="X117" s="686">
        <v>3</v>
      </c>
      <c r="Y117" s="686">
        <v>4</v>
      </c>
      <c r="Z117" s="686">
        <v>1</v>
      </c>
      <c r="AA117" s="686">
        <v>3</v>
      </c>
      <c r="AB117" s="686">
        <v>1</v>
      </c>
      <c r="AC117" s="686">
        <v>5</v>
      </c>
      <c r="AD117" s="297">
        <v>7</v>
      </c>
      <c r="AE117" s="6">
        <v>1.5</v>
      </c>
      <c r="AF117" s="245">
        <f t="shared" si="18"/>
        <v>1.2555818742947564</v>
      </c>
      <c r="AG117" s="245">
        <f t="shared" si="19"/>
        <v>1.5919770563893134</v>
      </c>
      <c r="AH117" s="246" t="str">
        <f t="shared" si="20"/>
        <v>(3,4,1,3,1,5)</v>
      </c>
      <c r="AI117" s="30">
        <v>1.1000000000000001</v>
      </c>
      <c r="AJ117" s="30">
        <v>1.1000000000000001</v>
      </c>
      <c r="AK117" s="30">
        <v>1</v>
      </c>
      <c r="AL117" s="30">
        <v>1.02</v>
      </c>
      <c r="AM117" s="30">
        <v>1</v>
      </c>
      <c r="AN117" s="30">
        <v>1.2</v>
      </c>
      <c r="AP117" s="614" t="s">
        <v>673</v>
      </c>
      <c r="AQ117" s="686">
        <v>2</v>
      </c>
      <c r="AR117" s="686">
        <v>4</v>
      </c>
      <c r="AS117" s="686">
        <v>1</v>
      </c>
      <c r="AT117" s="686">
        <v>3</v>
      </c>
      <c r="AU117" s="686">
        <v>1</v>
      </c>
      <c r="AV117" s="686">
        <v>5</v>
      </c>
      <c r="AW117" s="297">
        <v>7</v>
      </c>
      <c r="AX117" s="6">
        <v>1.5</v>
      </c>
      <c r="AY117" s="245">
        <f t="shared" si="21"/>
        <v>1.2365959919080913</v>
      </c>
      <c r="AZ117" s="245">
        <f t="shared" si="22"/>
        <v>1.5804528752110836</v>
      </c>
      <c r="BA117" s="246" t="str">
        <f t="shared" si="23"/>
        <v>(2,4,1,3,1,5)</v>
      </c>
      <c r="BB117" s="30">
        <v>1.05</v>
      </c>
      <c r="BC117" s="30">
        <v>1.1000000000000001</v>
      </c>
      <c r="BD117" s="30">
        <v>1</v>
      </c>
      <c r="BE117" s="30">
        <v>1.02</v>
      </c>
      <c r="BF117" s="30">
        <v>1</v>
      </c>
      <c r="BG117" s="30">
        <v>1.2</v>
      </c>
    </row>
    <row r="118" spans="1:59">
      <c r="A118" s="1365">
        <v>54270</v>
      </c>
      <c r="B118" s="1339"/>
      <c r="C118" s="1338"/>
      <c r="D118" s="1368">
        <v>4</v>
      </c>
      <c r="E118" s="1369" t="s">
        <v>98</v>
      </c>
      <c r="F118" s="1310" t="s">
        <v>790</v>
      </c>
      <c r="G118" s="1311" t="s">
        <v>98</v>
      </c>
      <c r="H118" s="1312" t="s">
        <v>218</v>
      </c>
      <c r="I118" s="1313" t="s">
        <v>764</v>
      </c>
      <c r="J118" s="1314" t="s">
        <v>98</v>
      </c>
      <c r="K118" s="1311" t="s">
        <v>679</v>
      </c>
      <c r="L118" s="1311">
        <v>768.17558299039774</v>
      </c>
      <c r="M118" s="1315">
        <v>1</v>
      </c>
      <c r="N118" s="1316">
        <v>2.0741629046031922</v>
      </c>
      <c r="O118" s="1317" t="s">
        <v>3190</v>
      </c>
      <c r="P118" s="1311">
        <v>0</v>
      </c>
      <c r="Q118" s="1315">
        <v>1</v>
      </c>
      <c r="R118" s="1316">
        <v>2.0477151450930107</v>
      </c>
      <c r="S118" s="1317" t="s">
        <v>3217</v>
      </c>
      <c r="T118" s="968"/>
      <c r="U118" s="452">
        <f>SUM(U120:U122)</f>
        <v>70000</v>
      </c>
      <c r="V118" s="452">
        <f>SUM(V120:V122)</f>
        <v>2400</v>
      </c>
      <c r="W118" s="614" t="s">
        <v>785</v>
      </c>
      <c r="X118" s="686">
        <v>3</v>
      </c>
      <c r="Y118" s="686">
        <v>4</v>
      </c>
      <c r="Z118" s="686">
        <v>1</v>
      </c>
      <c r="AA118" s="686">
        <v>3</v>
      </c>
      <c r="AB118" s="686">
        <v>1</v>
      </c>
      <c r="AC118" s="686">
        <v>5</v>
      </c>
      <c r="AD118" s="297">
        <v>8</v>
      </c>
      <c r="AE118" s="6">
        <v>2</v>
      </c>
      <c r="AF118" s="245">
        <f t="shared" si="18"/>
        <v>1.2555818742947564</v>
      </c>
      <c r="AG118" s="245">
        <f t="shared" si="19"/>
        <v>2.0741629046031922</v>
      </c>
      <c r="AH118" s="246" t="str">
        <f t="shared" si="20"/>
        <v>(3,4,1,3,1,5)</v>
      </c>
      <c r="AI118" s="30">
        <v>1.1000000000000001</v>
      </c>
      <c r="AJ118" s="30">
        <v>1.1000000000000001</v>
      </c>
      <c r="AK118" s="30">
        <v>1</v>
      </c>
      <c r="AL118" s="30">
        <v>1.02</v>
      </c>
      <c r="AM118" s="30">
        <v>1</v>
      </c>
      <c r="AN118" s="30">
        <v>1.2</v>
      </c>
      <c r="AP118" s="614" t="s">
        <v>673</v>
      </c>
      <c r="AQ118" s="686">
        <v>1</v>
      </c>
      <c r="AR118" s="686">
        <v>1</v>
      </c>
      <c r="AS118" s="686">
        <v>1</v>
      </c>
      <c r="AT118" s="686">
        <v>1</v>
      </c>
      <c r="AU118" s="686">
        <v>1</v>
      </c>
      <c r="AV118" s="686">
        <v>5</v>
      </c>
      <c r="AW118" s="297">
        <v>8</v>
      </c>
      <c r="AX118" s="6">
        <v>2</v>
      </c>
      <c r="AY118" s="245">
        <f t="shared" si="21"/>
        <v>1.2</v>
      </c>
      <c r="AZ118" s="245">
        <f t="shared" si="22"/>
        <v>2.0477151450930107</v>
      </c>
      <c r="BA118" s="246" t="str">
        <f t="shared" si="23"/>
        <v>(1,1,1,1,1,5)</v>
      </c>
      <c r="BB118" s="30">
        <v>1</v>
      </c>
      <c r="BC118" s="30">
        <v>1</v>
      </c>
      <c r="BD118" s="30">
        <v>1</v>
      </c>
      <c r="BE118" s="30">
        <v>1</v>
      </c>
      <c r="BF118" s="30">
        <v>1</v>
      </c>
      <c r="BG118" s="30">
        <v>1.2</v>
      </c>
    </row>
    <row r="119" spans="1:59" ht="24" customHeight="1">
      <c r="A119" s="1365">
        <v>1381</v>
      </c>
      <c r="B119" s="1337"/>
      <c r="C119" s="1306"/>
      <c r="D119" s="1362">
        <v>4</v>
      </c>
      <c r="E119" s="1363" t="s">
        <v>98</v>
      </c>
      <c r="F119" s="1355" t="s">
        <v>768</v>
      </c>
      <c r="G119" s="1356" t="s">
        <v>98</v>
      </c>
      <c r="H119" s="1364" t="s">
        <v>218</v>
      </c>
      <c r="I119" s="1357" t="s">
        <v>764</v>
      </c>
      <c r="J119" s="1358" t="s">
        <v>98</v>
      </c>
      <c r="K119" s="1356" t="s">
        <v>679</v>
      </c>
      <c r="L119" s="1356">
        <v>0</v>
      </c>
      <c r="M119" s="1359">
        <v>1</v>
      </c>
      <c r="N119" s="1360">
        <v>1.3385948990307144</v>
      </c>
      <c r="O119" s="1361" t="s">
        <v>3196</v>
      </c>
      <c r="P119" s="1356">
        <v>83484.540000000008</v>
      </c>
      <c r="Q119" s="1359">
        <v>1</v>
      </c>
      <c r="R119" s="1360">
        <v>1.3229855584076429</v>
      </c>
      <c r="S119" s="1361" t="s">
        <v>3218</v>
      </c>
      <c r="T119" s="968"/>
      <c r="U119" s="452"/>
      <c r="V119" s="452"/>
      <c r="W119" s="688"/>
      <c r="X119" s="686">
        <v>3</v>
      </c>
      <c r="Y119" s="686">
        <v>4</v>
      </c>
      <c r="Z119" s="686">
        <v>1</v>
      </c>
      <c r="AA119" s="686">
        <v>3</v>
      </c>
      <c r="AB119" s="686">
        <v>1</v>
      </c>
      <c r="AC119" s="686">
        <v>5</v>
      </c>
      <c r="AD119" s="297">
        <v>47</v>
      </c>
      <c r="AE119" s="6">
        <v>1.2</v>
      </c>
      <c r="AF119" s="245">
        <f t="shared" si="18"/>
        <v>1.2555818742947564</v>
      </c>
      <c r="AG119" s="245">
        <f t="shared" si="19"/>
        <v>1.3385948990307144</v>
      </c>
      <c r="AH119" s="246" t="str">
        <f t="shared" si="20"/>
        <v>(3,4,1,3,1,5)</v>
      </c>
      <c r="AI119" s="30">
        <v>1.1000000000000001</v>
      </c>
      <c r="AJ119" s="30">
        <v>1.1000000000000001</v>
      </c>
      <c r="AK119" s="30">
        <v>1</v>
      </c>
      <c r="AL119" s="30">
        <v>1.02</v>
      </c>
      <c r="AM119" s="30">
        <v>1</v>
      </c>
      <c r="AN119" s="30">
        <v>1.2</v>
      </c>
      <c r="AP119" s="615" t="s">
        <v>769</v>
      </c>
      <c r="AQ119" s="686">
        <v>2</v>
      </c>
      <c r="AR119" s="686">
        <v>4</v>
      </c>
      <c r="AS119" s="686">
        <v>1</v>
      </c>
      <c r="AT119" s="686">
        <v>3</v>
      </c>
      <c r="AU119" s="686">
        <v>1</v>
      </c>
      <c r="AV119" s="686">
        <v>5</v>
      </c>
      <c r="AW119" s="297">
        <v>47</v>
      </c>
      <c r="AX119" s="6">
        <v>1.2</v>
      </c>
      <c r="AY119" s="245">
        <f t="shared" si="21"/>
        <v>1.2365959919080913</v>
      </c>
      <c r="AZ119" s="245">
        <f t="shared" si="22"/>
        <v>1.3229855584076429</v>
      </c>
      <c r="BA119" s="246" t="str">
        <f t="shared" si="23"/>
        <v>(2,4,1,3,1,5)</v>
      </c>
      <c r="BB119" s="30">
        <v>1.05</v>
      </c>
      <c r="BC119" s="30">
        <v>1.1000000000000001</v>
      </c>
      <c r="BD119" s="30">
        <v>1</v>
      </c>
      <c r="BE119" s="30">
        <v>1.02</v>
      </c>
      <c r="BF119" s="30">
        <v>1</v>
      </c>
      <c r="BG119" s="30">
        <v>1.2</v>
      </c>
    </row>
    <row r="120" spans="1:59">
      <c r="A120" s="1365">
        <v>20910</v>
      </c>
      <c r="B120" s="1337"/>
      <c r="C120" s="1306"/>
      <c r="D120" s="1308">
        <v>4</v>
      </c>
      <c r="E120" s="1309" t="s">
        <v>98</v>
      </c>
      <c r="F120" s="1310" t="s">
        <v>770</v>
      </c>
      <c r="G120" s="1311" t="s">
        <v>98</v>
      </c>
      <c r="H120" s="1312" t="s">
        <v>218</v>
      </c>
      <c r="I120" s="1313" t="s">
        <v>764</v>
      </c>
      <c r="J120" s="1314" t="s">
        <v>98</v>
      </c>
      <c r="K120" s="1311" t="s">
        <v>679</v>
      </c>
      <c r="L120" s="1311">
        <v>109.73936899862825</v>
      </c>
      <c r="M120" s="1315">
        <v>1</v>
      </c>
      <c r="N120" s="1316">
        <v>2.0741629046031922</v>
      </c>
      <c r="O120" s="1317" t="s">
        <v>3190</v>
      </c>
      <c r="P120" s="1311">
        <v>13689</v>
      </c>
      <c r="Q120" s="1315">
        <v>1</v>
      </c>
      <c r="R120" s="1316">
        <v>2.0646254680556719</v>
      </c>
      <c r="S120" s="1317" t="s">
        <v>3193</v>
      </c>
      <c r="T120" s="968"/>
      <c r="U120" s="452">
        <v>10000</v>
      </c>
      <c r="V120" s="452">
        <v>2400</v>
      </c>
      <c r="W120" s="615" t="s">
        <v>785</v>
      </c>
      <c r="X120" s="686">
        <v>3</v>
      </c>
      <c r="Y120" s="686">
        <v>4</v>
      </c>
      <c r="Z120" s="686">
        <v>1</v>
      </c>
      <c r="AA120" s="686">
        <v>3</v>
      </c>
      <c r="AB120" s="686">
        <v>1</v>
      </c>
      <c r="AC120" s="686">
        <v>5</v>
      </c>
      <c r="AD120" s="297">
        <v>8</v>
      </c>
      <c r="AE120" s="6">
        <v>2</v>
      </c>
      <c r="AF120" s="245">
        <f t="shared" si="18"/>
        <v>1.2555818742947564</v>
      </c>
      <c r="AG120" s="245">
        <f t="shared" si="19"/>
        <v>2.0741629046031922</v>
      </c>
      <c r="AH120" s="246" t="str">
        <f t="shared" si="20"/>
        <v>(3,4,1,3,1,5)</v>
      </c>
      <c r="AI120" s="30">
        <v>1.1000000000000001</v>
      </c>
      <c r="AJ120" s="30">
        <v>1.1000000000000001</v>
      </c>
      <c r="AK120" s="30">
        <v>1</v>
      </c>
      <c r="AL120" s="30">
        <v>1.02</v>
      </c>
      <c r="AM120" s="30">
        <v>1</v>
      </c>
      <c r="AN120" s="30">
        <v>1.2</v>
      </c>
      <c r="AP120" s="615" t="s">
        <v>673</v>
      </c>
      <c r="AQ120" s="686">
        <v>2</v>
      </c>
      <c r="AR120" s="686">
        <v>4</v>
      </c>
      <c r="AS120" s="686">
        <v>1</v>
      </c>
      <c r="AT120" s="686">
        <v>3</v>
      </c>
      <c r="AU120" s="686">
        <v>1</v>
      </c>
      <c r="AV120" s="686">
        <v>5</v>
      </c>
      <c r="AW120" s="297">
        <v>8</v>
      </c>
      <c r="AX120" s="6">
        <v>2</v>
      </c>
      <c r="AY120" s="245">
        <f t="shared" si="21"/>
        <v>1.2365959919080913</v>
      </c>
      <c r="AZ120" s="245">
        <f t="shared" si="22"/>
        <v>2.0646254680556719</v>
      </c>
      <c r="BA120" s="246" t="str">
        <f t="shared" si="23"/>
        <v>(2,4,1,3,1,5)</v>
      </c>
      <c r="BB120" s="30">
        <v>1.05</v>
      </c>
      <c r="BC120" s="30">
        <v>1.1000000000000001</v>
      </c>
      <c r="BD120" s="30">
        <v>1</v>
      </c>
      <c r="BE120" s="30">
        <v>1.02</v>
      </c>
      <c r="BF120" s="30">
        <v>1</v>
      </c>
      <c r="BG120" s="30">
        <v>1.2</v>
      </c>
    </row>
    <row r="121" spans="1:59">
      <c r="A121" s="1365">
        <v>21292</v>
      </c>
      <c r="B121" s="1337"/>
      <c r="C121" s="1306"/>
      <c r="D121" s="1362">
        <v>4</v>
      </c>
      <c r="E121" s="1363" t="s">
        <v>98</v>
      </c>
      <c r="F121" s="1355" t="s">
        <v>771</v>
      </c>
      <c r="G121" s="1356" t="s">
        <v>98</v>
      </c>
      <c r="H121" s="1364" t="s">
        <v>218</v>
      </c>
      <c r="I121" s="1357" t="s">
        <v>764</v>
      </c>
      <c r="J121" s="1358" t="s">
        <v>98</v>
      </c>
      <c r="K121" s="1356" t="s">
        <v>679</v>
      </c>
      <c r="L121" s="1356">
        <v>329.21810699588474</v>
      </c>
      <c r="M121" s="1359">
        <v>1</v>
      </c>
      <c r="N121" s="1360">
        <v>2.0741629046031922</v>
      </c>
      <c r="O121" s="1361" t="s">
        <v>3219</v>
      </c>
      <c r="P121" s="1356">
        <v>21001.75</v>
      </c>
      <c r="Q121" s="1359">
        <v>1</v>
      </c>
      <c r="R121" s="1360">
        <v>2.0646254680556719</v>
      </c>
      <c r="S121" s="1361" t="s">
        <v>3220</v>
      </c>
      <c r="T121" s="968"/>
      <c r="U121" s="452">
        <v>30000</v>
      </c>
      <c r="V121" s="452"/>
      <c r="W121" s="614" t="s">
        <v>791</v>
      </c>
      <c r="X121" s="686">
        <v>3</v>
      </c>
      <c r="Y121" s="686">
        <v>4</v>
      </c>
      <c r="Z121" s="686">
        <v>1</v>
      </c>
      <c r="AA121" s="686">
        <v>3</v>
      </c>
      <c r="AB121" s="686">
        <v>1</v>
      </c>
      <c r="AC121" s="686">
        <v>5</v>
      </c>
      <c r="AD121" s="297">
        <v>8</v>
      </c>
      <c r="AE121" s="6">
        <v>2</v>
      </c>
      <c r="AF121" s="245">
        <f t="shared" si="18"/>
        <v>1.2555818742947564</v>
      </c>
      <c r="AG121" s="245">
        <f t="shared" si="19"/>
        <v>2.0741629046031922</v>
      </c>
      <c r="AH121" s="246" t="str">
        <f t="shared" si="20"/>
        <v>(3,4,1,3,1,5)</v>
      </c>
      <c r="AI121" s="30">
        <v>1.1000000000000001</v>
      </c>
      <c r="AJ121" s="30">
        <v>1.1000000000000001</v>
      </c>
      <c r="AK121" s="30">
        <v>1</v>
      </c>
      <c r="AL121" s="30">
        <v>1.02</v>
      </c>
      <c r="AM121" s="30">
        <v>1</v>
      </c>
      <c r="AN121" s="30">
        <v>1.2</v>
      </c>
      <c r="AP121" s="614" t="s">
        <v>772</v>
      </c>
      <c r="AQ121" s="686">
        <v>2</v>
      </c>
      <c r="AR121" s="686">
        <v>4</v>
      </c>
      <c r="AS121" s="686">
        <v>1</v>
      </c>
      <c r="AT121" s="686">
        <v>3</v>
      </c>
      <c r="AU121" s="686">
        <v>1</v>
      </c>
      <c r="AV121" s="686">
        <v>5</v>
      </c>
      <c r="AW121" s="297">
        <v>8</v>
      </c>
      <c r="AX121" s="6">
        <v>2</v>
      </c>
      <c r="AY121" s="245">
        <f t="shared" si="21"/>
        <v>1.2365959919080913</v>
      </c>
      <c r="AZ121" s="245">
        <f t="shared" si="22"/>
        <v>2.0646254680556719</v>
      </c>
      <c r="BA121" s="246" t="str">
        <f t="shared" si="23"/>
        <v>(2,4,1,3,1,5)</v>
      </c>
      <c r="BB121" s="30">
        <v>1.05</v>
      </c>
      <c r="BC121" s="30">
        <v>1.1000000000000001</v>
      </c>
      <c r="BD121" s="30">
        <v>1</v>
      </c>
      <c r="BE121" s="30">
        <v>1.02</v>
      </c>
      <c r="BF121" s="30">
        <v>1</v>
      </c>
      <c r="BG121" s="30">
        <v>1.2</v>
      </c>
    </row>
    <row r="122" spans="1:59">
      <c r="A122" s="1365">
        <v>22234</v>
      </c>
      <c r="B122" s="1337"/>
      <c r="C122" s="1306"/>
      <c r="D122" s="1308">
        <v>4</v>
      </c>
      <c r="E122" s="1309" t="s">
        <v>98</v>
      </c>
      <c r="F122" s="1310" t="s">
        <v>773</v>
      </c>
      <c r="G122" s="1311" t="s">
        <v>98</v>
      </c>
      <c r="H122" s="1312" t="s">
        <v>218</v>
      </c>
      <c r="I122" s="1313" t="s">
        <v>764</v>
      </c>
      <c r="J122" s="1314" t="s">
        <v>98</v>
      </c>
      <c r="K122" s="1311" t="s">
        <v>679</v>
      </c>
      <c r="L122" s="1311">
        <v>329.21810699588474</v>
      </c>
      <c r="M122" s="1315">
        <v>1</v>
      </c>
      <c r="N122" s="1316">
        <v>2.0741629046031922</v>
      </c>
      <c r="O122" s="1317" t="s">
        <v>3219</v>
      </c>
      <c r="P122" s="1311">
        <v>48793.790000000008</v>
      </c>
      <c r="Q122" s="1315">
        <v>1</v>
      </c>
      <c r="R122" s="1316">
        <v>2.0646254680556719</v>
      </c>
      <c r="S122" s="1317" t="s">
        <v>3193</v>
      </c>
      <c r="T122" s="968"/>
      <c r="U122" s="452">
        <v>30000</v>
      </c>
      <c r="V122" s="452"/>
      <c r="W122" s="614" t="str">
        <f>W121</f>
        <v>share of area according to environmental report</v>
      </c>
      <c r="X122" s="686">
        <v>3</v>
      </c>
      <c r="Y122" s="686">
        <v>4</v>
      </c>
      <c r="Z122" s="686">
        <v>1</v>
      </c>
      <c r="AA122" s="686">
        <v>3</v>
      </c>
      <c r="AB122" s="686">
        <v>1</v>
      </c>
      <c r="AC122" s="686">
        <v>5</v>
      </c>
      <c r="AD122" s="297">
        <v>8</v>
      </c>
      <c r="AE122" s="6">
        <v>2</v>
      </c>
      <c r="AF122" s="245">
        <f t="shared" si="18"/>
        <v>1.2555818742947564</v>
      </c>
      <c r="AG122" s="245">
        <f t="shared" si="19"/>
        <v>2.0741629046031922</v>
      </c>
      <c r="AH122" s="246" t="str">
        <f t="shared" si="20"/>
        <v>(3,4,1,3,1,5)</v>
      </c>
      <c r="AI122" s="30">
        <v>1.1000000000000001</v>
      </c>
      <c r="AJ122" s="30">
        <v>1.1000000000000001</v>
      </c>
      <c r="AK122" s="30">
        <v>1</v>
      </c>
      <c r="AL122" s="30">
        <v>1.02</v>
      </c>
      <c r="AM122" s="30">
        <v>1</v>
      </c>
      <c r="AN122" s="30">
        <v>1.2</v>
      </c>
      <c r="AP122" s="614" t="s">
        <v>673</v>
      </c>
      <c r="AQ122" s="686">
        <v>2</v>
      </c>
      <c r="AR122" s="686">
        <v>4</v>
      </c>
      <c r="AS122" s="686">
        <v>1</v>
      </c>
      <c r="AT122" s="686">
        <v>3</v>
      </c>
      <c r="AU122" s="686">
        <v>1</v>
      </c>
      <c r="AV122" s="686">
        <v>5</v>
      </c>
      <c r="AW122" s="297">
        <v>8</v>
      </c>
      <c r="AX122" s="6">
        <v>2</v>
      </c>
      <c r="AY122" s="245">
        <f t="shared" si="21"/>
        <v>1.2365959919080913</v>
      </c>
      <c r="AZ122" s="245">
        <f t="shared" si="22"/>
        <v>2.0646254680556719</v>
      </c>
      <c r="BA122" s="246" t="str">
        <f t="shared" si="23"/>
        <v>(2,4,1,3,1,5)</v>
      </c>
      <c r="BB122" s="30">
        <v>1.05</v>
      </c>
      <c r="BC122" s="30">
        <v>1.1000000000000001</v>
      </c>
      <c r="BD122" s="30">
        <v>1</v>
      </c>
      <c r="BE122" s="30">
        <v>1.02</v>
      </c>
      <c r="BF122" s="30">
        <v>1</v>
      </c>
      <c r="BG122" s="30">
        <v>1.2</v>
      </c>
    </row>
    <row r="123" spans="1:59">
      <c r="D123" s="308"/>
      <c r="E123" s="308"/>
      <c r="F123" s="308"/>
      <c r="G123" s="308"/>
      <c r="H123" s="308"/>
      <c r="I123" s="308"/>
      <c r="J123" s="308"/>
      <c r="K123" s="308"/>
      <c r="L123" s="308"/>
      <c r="M123" s="307"/>
      <c r="N123" s="307"/>
      <c r="O123" s="307"/>
      <c r="P123" s="308"/>
      <c r="Q123" s="307"/>
      <c r="R123" s="307"/>
      <c r="S123" s="307"/>
      <c r="U123" s="452"/>
      <c r="V123" s="452"/>
    </row>
  </sheetData>
  <conditionalFormatting sqref="A10">
    <cfRule type="cellIs" dxfId="336" priority="1908" stopIfTrue="1" operator="equal">
      <formula>#REF!</formula>
    </cfRule>
  </conditionalFormatting>
  <conditionalFormatting sqref="B7:B9 B115:B118">
    <cfRule type="cellIs" dxfId="335" priority="7" stopIfTrue="1" operator="notEqual">
      <formula>""</formula>
    </cfRule>
  </conditionalFormatting>
  <conditionalFormatting sqref="W7:AC122">
    <cfRule type="expression" dxfId="334" priority="3">
      <formula>MOD(ROW(),2)=0</formula>
    </cfRule>
  </conditionalFormatting>
  <conditionalFormatting sqref="X7:AC122">
    <cfRule type="cellIs" dxfId="333" priority="4" stopIfTrue="1" operator="notBetween">
      <formula>1</formula>
      <formula>5</formula>
    </cfRule>
  </conditionalFormatting>
  <conditionalFormatting sqref="AI7:AN122 BB7:BG122">
    <cfRule type="cellIs" dxfId="332" priority="6" stopIfTrue="1" operator="equal">
      <formula>0</formula>
    </cfRule>
  </conditionalFormatting>
  <conditionalFormatting sqref="AP7:AV122">
    <cfRule type="expression" dxfId="331" priority="1">
      <formula>MOD(ROW(),2)=0</formula>
    </cfRule>
  </conditionalFormatting>
  <conditionalFormatting sqref="AQ7:AV122">
    <cfRule type="cellIs" dxfId="330" priority="2" stopIfTrue="1" operator="notBetween">
      <formula>1</formula>
      <formula>5</formula>
    </cfRule>
  </conditionalFormatting>
  <dataValidations xWindow="855" yWindow="560" count="1">
    <dataValidation allowBlank="1" showInputMessage="1" showErrorMessage="1" promptTitle="Do not change" prompt="This field is automatically updated from the names-list" sqref="AD9:AD122 AW9:AW122" xr:uid="{00000000-0002-0000-1600-000000000000}"/>
  </dataValidations>
  <pageMargins left="0.78740157499999996" right="0.78740157499999996" top="0.984251969" bottom="0.984251969" header="0.4921259845" footer="0.4921259845"/>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tabColor rgb="FF9CD9F0"/>
    <pageSetUpPr fitToPage="1"/>
  </sheetPr>
  <dimension ref="A1:DZ107"/>
  <sheetViews>
    <sheetView topLeftCell="A74" workbookViewId="0">
      <selection activeCell="A109" sqref="A109:XFD129"/>
    </sheetView>
  </sheetViews>
  <sheetFormatPr baseColWidth="10" defaultColWidth="11.42578125" defaultRowHeight="12" outlineLevelCol="1"/>
  <cols>
    <col min="1" max="1" width="12.7109375" style="277" customWidth="1"/>
    <col min="2" max="2" width="11" style="140" customWidth="1"/>
    <col min="3" max="3" width="4.7109375" style="125" hidden="1" customWidth="1" outlineLevel="1"/>
    <col min="4" max="5" width="4.7109375" style="277" hidden="1" customWidth="1" outlineLevel="1"/>
    <col min="6" max="6" width="39.42578125" style="126" customWidth="1" collapsed="1"/>
    <col min="7" max="7" width="11" style="277" customWidth="1"/>
    <col min="8" max="8" width="8.7109375" style="277" hidden="1" customWidth="1" outlineLevel="1"/>
    <col min="9" max="9" width="20.7109375" style="277" hidden="1" customWidth="1" outlineLevel="1"/>
    <col min="10" max="10" width="13.5703125" style="277" customWidth="1" collapsed="1"/>
    <col min="11" max="11" width="4.7109375" style="277" customWidth="1"/>
    <col min="12" max="12" width="11.85546875" style="277" customWidth="1"/>
    <col min="13" max="13" width="5.28515625" style="109" hidden="1" customWidth="1" outlineLevel="1"/>
    <col min="14" max="14" width="8.7109375" style="109" hidden="1" customWidth="1" outlineLevel="1"/>
    <col min="15" max="15" width="40.7109375" style="109" hidden="1" customWidth="1" outlineLevel="1"/>
    <col min="16" max="16" width="11.42578125" style="277" customWidth="1" collapsed="1"/>
    <col min="17" max="18" width="5.7109375" style="109" hidden="1" customWidth="1" outlineLevel="1"/>
    <col min="19" max="19" width="40.7109375" style="109" hidden="1" customWidth="1" outlineLevel="1"/>
    <col min="20" max="20" width="12.140625" style="277" customWidth="1" collapsed="1"/>
    <col min="21" max="22" width="5.7109375" style="109" hidden="1" customWidth="1" outlineLevel="1"/>
    <col min="23" max="23" width="40.7109375" style="109" hidden="1" customWidth="1" outlineLevel="1"/>
    <col min="24" max="24" width="11.42578125" style="277" customWidth="1" collapsed="1"/>
    <col min="25" max="25" width="5" style="109" hidden="1" customWidth="1" outlineLevel="1"/>
    <col min="26" max="26" width="5.7109375" style="109" hidden="1" customWidth="1" outlineLevel="1"/>
    <col min="27" max="27" width="45.5703125" style="120" hidden="1" customWidth="1" outlineLevel="1"/>
    <col min="28" max="28" width="15.7109375" style="277" customWidth="1" collapsed="1"/>
    <col min="29" max="30" width="5.7109375" style="109" hidden="1" customWidth="1" outlineLevel="1"/>
    <col min="31" max="31" width="40.7109375" style="109" hidden="1" customWidth="1" outlineLevel="1"/>
    <col min="32" max="32" width="15.7109375" style="277" customWidth="1" collapsed="1"/>
    <col min="33" max="34" width="5.7109375" style="109" hidden="1" customWidth="1" outlineLevel="1"/>
    <col min="35" max="35" width="40.7109375" style="109" hidden="1" customWidth="1" outlineLevel="1"/>
    <col min="36" max="36" width="15.7109375" style="277" customWidth="1" collapsed="1"/>
    <col min="37" max="37" width="5" style="109" hidden="1" customWidth="1" outlineLevel="1"/>
    <col min="38" max="38" width="5.42578125" style="109" hidden="1" customWidth="1" outlineLevel="1"/>
    <col min="39" max="39" width="69.42578125" style="109" hidden="1" customWidth="1" outlineLevel="1"/>
    <col min="40" max="40" width="14.42578125" style="277" customWidth="1" collapsed="1"/>
    <col min="41" max="41" width="5" style="109" hidden="1" customWidth="1" outlineLevel="1"/>
    <col min="42" max="42" width="5.7109375" style="109" hidden="1" customWidth="1" outlineLevel="1"/>
    <col min="43" max="43" width="49.7109375" style="120" hidden="1" customWidth="1" outlineLevel="1"/>
    <col min="44" max="44" width="15.7109375" style="277" customWidth="1" collapsed="1"/>
    <col min="45" max="45" width="5" style="109" hidden="1" customWidth="1" outlineLevel="1"/>
    <col min="46" max="46" width="5.7109375" style="109" hidden="1" customWidth="1" outlineLevel="1"/>
    <col min="47" max="47" width="63.42578125" style="120" hidden="1" customWidth="1" outlineLevel="1"/>
    <col min="48" max="48" width="15.7109375" style="277" customWidth="1" collapsed="1"/>
    <col min="49" max="50" width="5.7109375" style="109" hidden="1" customWidth="1" outlineLevel="1"/>
    <col min="51" max="51" width="40.5703125" style="120" hidden="1" customWidth="1" outlineLevel="1"/>
    <col min="52" max="52" width="4.140625" style="109" customWidth="1" collapsed="1"/>
    <col min="53" max="55" width="15.7109375" style="277" hidden="1" customWidth="1" outlineLevel="1"/>
    <col min="56" max="56" width="55.28515625" style="128" customWidth="1" collapsed="1"/>
    <col min="57" max="57" width="4.7109375" style="402" hidden="1" customWidth="1" outlineLevel="1"/>
    <col min="58" max="66" width="4.7109375" style="395" hidden="1" customWidth="1" outlineLevel="1"/>
    <col min="67" max="67" width="12.7109375" style="395" hidden="1" customWidth="1" outlineLevel="1"/>
    <col min="68" max="72" width="4.7109375" style="277" hidden="1" customWidth="1" outlineLevel="1"/>
    <col min="73" max="73" width="5.28515625" style="277" hidden="1" customWidth="1" outlineLevel="1"/>
    <col min="74" max="74" width="11.42578125" style="399" customWidth="1" collapsed="1"/>
    <col min="75" max="75" width="57" style="399" customWidth="1"/>
    <col min="76" max="76" width="4.42578125" style="399" hidden="1" customWidth="1" outlineLevel="1"/>
    <col min="77" max="82" width="3.140625" style="399" hidden="1" customWidth="1" outlineLevel="1"/>
    <col min="83" max="83" width="5" style="399" hidden="1" customWidth="1" outlineLevel="1"/>
    <col min="84" max="84" width="6.42578125" style="399" hidden="1" customWidth="1" outlineLevel="1"/>
    <col min="85" max="85" width="6.7109375" style="399" hidden="1" customWidth="1" outlineLevel="1"/>
    <col min="86" max="86" width="16.42578125" style="399" hidden="1" customWidth="1" outlineLevel="1"/>
    <col min="87" max="92" width="4.42578125" style="399" hidden="1" customWidth="1" outlineLevel="1"/>
    <col min="93" max="93" width="11.42578125" style="399" customWidth="1" collapsed="1"/>
    <col min="94" max="94" width="11.42578125" style="399" customWidth="1"/>
    <col min="95" max="96" width="11.42578125" style="399" hidden="1" customWidth="1"/>
    <col min="97" max="97" width="102.140625" style="399" hidden="1" customWidth="1"/>
    <col min="98" max="98" width="11.42578125" style="399" customWidth="1" collapsed="1"/>
    <col min="99" max="100" width="11.42578125" style="399" hidden="1" customWidth="1"/>
    <col min="101" max="101" width="102.140625" style="399" hidden="1" customWidth="1"/>
    <col min="102" max="102" width="11.42578125" style="399" customWidth="1" collapsed="1"/>
    <col min="103" max="103" width="3.140625" style="399" hidden="1" customWidth="1"/>
    <col min="104" max="104" width="4.42578125" style="399" hidden="1" customWidth="1"/>
    <col min="105" max="105" width="102.140625" style="399" hidden="1" customWidth="1"/>
    <col min="106" max="106" width="11.42578125" style="399" customWidth="1" collapsed="1"/>
    <col min="107" max="108" width="11.42578125" style="399" hidden="1" customWidth="1"/>
    <col min="109" max="109" width="88.5703125" style="399" hidden="1" customWidth="1"/>
    <col min="110" max="110" width="11.42578125" style="399" customWidth="1" collapsed="1"/>
    <col min="111" max="112" width="11.42578125" style="399" hidden="1" customWidth="1"/>
    <col min="113" max="113" width="102.140625" style="399" hidden="1" customWidth="1"/>
    <col min="114" max="114" width="11.42578125" style="399" customWidth="1" collapsed="1"/>
    <col min="115" max="115" width="3.140625" style="399" hidden="1" customWidth="1"/>
    <col min="116" max="116" width="4.42578125" style="399" hidden="1" customWidth="1"/>
    <col min="117" max="117" width="102.140625" style="399" hidden="1" customWidth="1"/>
    <col min="118" max="118" width="11.42578125" style="399" customWidth="1" collapsed="1"/>
    <col min="119" max="120" width="11.42578125" style="399" hidden="1" customWidth="1"/>
    <col min="121" max="121" width="102.140625" style="399" hidden="1" customWidth="1"/>
    <col min="122" max="122" width="11.42578125" style="399" customWidth="1" collapsed="1"/>
    <col min="123" max="123" width="3.140625" style="399" hidden="1" customWidth="1"/>
    <col min="124" max="124" width="4.42578125" style="399" hidden="1" customWidth="1"/>
    <col min="125" max="125" width="88.5703125" style="399" hidden="1" customWidth="1"/>
    <col min="126" max="126" width="11.42578125" style="399" customWidth="1" collapsed="1"/>
    <col min="127" max="128" width="11.42578125" style="399" hidden="1" customWidth="1"/>
    <col min="129" max="129" width="202.42578125" style="399" hidden="1" customWidth="1"/>
    <col min="130" max="130" width="11.42578125" style="399" customWidth="1" collapsed="1"/>
    <col min="131" max="132" width="11.42578125" style="399" customWidth="1"/>
    <col min="133" max="16384" width="11.42578125" style="399"/>
  </cols>
  <sheetData>
    <row r="1" spans="1:92">
      <c r="A1" s="77"/>
      <c r="B1" s="78"/>
      <c r="C1" s="79"/>
      <c r="D1" s="77"/>
      <c r="E1" s="77"/>
      <c r="F1" s="80" t="s">
        <v>65</v>
      </c>
      <c r="G1" s="77"/>
      <c r="H1" s="77"/>
      <c r="I1" s="77"/>
      <c r="J1" s="77"/>
      <c r="K1" s="77"/>
      <c r="L1" s="330" t="str">
        <f>A7</f>
        <v>Z-PV-049</v>
      </c>
      <c r="M1" s="81"/>
      <c r="N1" s="81"/>
      <c r="O1" s="81"/>
      <c r="P1" s="330" t="str">
        <f>A8</f>
        <v>Z-PV-048</v>
      </c>
      <c r="Q1" s="81"/>
      <c r="R1" s="81"/>
      <c r="S1" s="81"/>
      <c r="T1" s="330" t="str">
        <f>A9</f>
        <v>Z-PV-058</v>
      </c>
      <c r="U1" s="81"/>
      <c r="V1" s="81"/>
      <c r="W1" s="81"/>
      <c r="X1" s="330" t="str">
        <f>A10</f>
        <v>Z-PV-057</v>
      </c>
      <c r="Y1" s="81"/>
      <c r="Z1" s="81"/>
      <c r="AA1" s="227"/>
      <c r="AB1" s="330" t="str">
        <f>A11</f>
        <v>Z-PV-060</v>
      </c>
      <c r="AC1" s="81"/>
      <c r="AD1" s="81"/>
      <c r="AE1" s="81"/>
      <c r="AF1" s="330" t="str">
        <f>A12</f>
        <v>Z-PV-059</v>
      </c>
      <c r="AG1" s="81"/>
      <c r="AH1" s="81"/>
      <c r="AI1" s="81"/>
      <c r="AJ1" s="330" t="str">
        <f>A13</f>
        <v>Z-PV-047</v>
      </c>
      <c r="AK1" s="81"/>
      <c r="AL1" s="81"/>
      <c r="AM1" s="81"/>
      <c r="AN1" s="330" t="str">
        <f>A14</f>
        <v>Z-PV-046</v>
      </c>
      <c r="AO1" s="81"/>
      <c r="AP1" s="81"/>
      <c r="AQ1" s="227"/>
      <c r="AR1" s="330" t="str">
        <f>A15</f>
        <v>Z-PV-076</v>
      </c>
      <c r="AS1" s="81"/>
      <c r="AT1" s="81"/>
      <c r="AU1" s="227"/>
      <c r="AV1" s="330" t="s">
        <v>792</v>
      </c>
      <c r="AW1" s="81"/>
      <c r="AX1" s="81"/>
      <c r="AY1" s="227"/>
      <c r="BA1" s="330"/>
      <c r="BB1" s="330"/>
      <c r="BC1" s="330"/>
      <c r="BD1" s="378"/>
      <c r="BE1" s="1586"/>
      <c r="BF1" s="1586"/>
      <c r="BG1" s="1586"/>
      <c r="BH1" s="1586"/>
      <c r="BI1" s="1586"/>
      <c r="BJ1" s="1586"/>
      <c r="BK1" s="406"/>
      <c r="BL1" s="406"/>
      <c r="BM1" s="406"/>
      <c r="BN1" s="406"/>
      <c r="BO1" s="406"/>
      <c r="BP1" s="378"/>
      <c r="BQ1" s="378"/>
      <c r="BR1" s="378"/>
      <c r="BS1" s="378"/>
      <c r="BT1" s="378"/>
      <c r="BU1" s="378"/>
    </row>
    <row r="2" spans="1:92">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421"/>
      <c r="BA2" s="79"/>
      <c r="BB2" s="79" t="s">
        <v>462</v>
      </c>
      <c r="BC2" s="79"/>
      <c r="BD2" s="393" t="s">
        <v>462</v>
      </c>
      <c r="BE2" s="406"/>
      <c r="BF2" s="406"/>
      <c r="BG2" s="406"/>
      <c r="BH2" s="406"/>
      <c r="BI2" s="406"/>
      <c r="BJ2" s="406"/>
      <c r="BK2" s="406"/>
      <c r="BL2" s="378"/>
      <c r="BM2" s="378"/>
      <c r="BN2" s="378"/>
      <c r="BO2" s="378"/>
      <c r="BP2" s="378"/>
      <c r="BQ2" s="378"/>
      <c r="BR2" s="378"/>
      <c r="BS2" s="378"/>
      <c r="BT2" s="378"/>
      <c r="BU2" s="378"/>
      <c r="BW2" s="399" t="s">
        <v>793</v>
      </c>
    </row>
    <row r="3" spans="1:92" ht="86.25" customHeight="1">
      <c r="A3" s="83" t="s">
        <v>68</v>
      </c>
      <c r="B3" s="84"/>
      <c r="C3" s="79">
        <v>401</v>
      </c>
      <c r="D3" s="85" t="s">
        <v>69</v>
      </c>
      <c r="E3" s="85" t="s">
        <v>70</v>
      </c>
      <c r="F3" s="86" t="s">
        <v>71</v>
      </c>
      <c r="G3" s="85" t="s">
        <v>72</v>
      </c>
      <c r="H3" s="85" t="s">
        <v>73</v>
      </c>
      <c r="I3" s="85" t="s">
        <v>74</v>
      </c>
      <c r="J3" s="85" t="s">
        <v>75</v>
      </c>
      <c r="K3" s="85" t="s">
        <v>76</v>
      </c>
      <c r="L3" s="87" t="s">
        <v>794</v>
      </c>
      <c r="M3" s="422" t="s">
        <v>78</v>
      </c>
      <c r="N3" s="422" t="s">
        <v>79</v>
      </c>
      <c r="O3" s="423" t="s">
        <v>80</v>
      </c>
      <c r="P3" s="87" t="s">
        <v>795</v>
      </c>
      <c r="Q3" s="422" t="s">
        <v>78</v>
      </c>
      <c r="R3" s="422" t="s">
        <v>79</v>
      </c>
      <c r="S3" s="423" t="s">
        <v>80</v>
      </c>
      <c r="T3" s="87" t="s">
        <v>796</v>
      </c>
      <c r="U3" s="422" t="s">
        <v>78</v>
      </c>
      <c r="V3" s="422" t="s">
        <v>79</v>
      </c>
      <c r="W3" s="423" t="s">
        <v>80</v>
      </c>
      <c r="X3" s="87" t="s">
        <v>797</v>
      </c>
      <c r="Y3" s="422" t="s">
        <v>78</v>
      </c>
      <c r="Z3" s="422" t="s">
        <v>79</v>
      </c>
      <c r="AA3" s="423" t="s">
        <v>80</v>
      </c>
      <c r="AB3" s="87" t="s">
        <v>798</v>
      </c>
      <c r="AC3" s="422" t="s">
        <v>78</v>
      </c>
      <c r="AD3" s="422" t="s">
        <v>79</v>
      </c>
      <c r="AE3" s="423" t="s">
        <v>80</v>
      </c>
      <c r="AF3" s="87" t="s">
        <v>799</v>
      </c>
      <c r="AG3" s="422" t="s">
        <v>78</v>
      </c>
      <c r="AH3" s="422" t="s">
        <v>79</v>
      </c>
      <c r="AI3" s="423" t="s">
        <v>80</v>
      </c>
      <c r="AJ3" s="87" t="s">
        <v>800</v>
      </c>
      <c r="AK3" s="422" t="s">
        <v>78</v>
      </c>
      <c r="AL3" s="422" t="s">
        <v>79</v>
      </c>
      <c r="AM3" s="423" t="s">
        <v>80</v>
      </c>
      <c r="AN3" s="87" t="s">
        <v>801</v>
      </c>
      <c r="AO3" s="422" t="s">
        <v>78</v>
      </c>
      <c r="AP3" s="422" t="s">
        <v>79</v>
      </c>
      <c r="AQ3" s="423" t="s">
        <v>80</v>
      </c>
      <c r="AR3" s="87" t="s">
        <v>802</v>
      </c>
      <c r="AS3" s="422" t="s">
        <v>78</v>
      </c>
      <c r="AT3" s="422" t="s">
        <v>79</v>
      </c>
      <c r="AU3" s="423" t="s">
        <v>80</v>
      </c>
      <c r="AV3" s="87" t="s">
        <v>803</v>
      </c>
      <c r="AW3" s="422" t="s">
        <v>78</v>
      </c>
      <c r="AX3" s="422" t="s">
        <v>79</v>
      </c>
      <c r="AY3" s="423" t="s">
        <v>80</v>
      </c>
      <c r="AZ3" s="424"/>
      <c r="BA3" s="87" t="s">
        <v>804</v>
      </c>
      <c r="BB3" s="87" t="s">
        <v>805</v>
      </c>
      <c r="BC3" s="87"/>
      <c r="BD3" s="97" t="s">
        <v>363</v>
      </c>
      <c r="BE3" s="98" t="s">
        <v>364</v>
      </c>
      <c r="BF3" s="98" t="s">
        <v>365</v>
      </c>
      <c r="BG3" s="98" t="s">
        <v>366</v>
      </c>
      <c r="BH3" s="98" t="s">
        <v>367</v>
      </c>
      <c r="BI3" s="98" t="s">
        <v>368</v>
      </c>
      <c r="BJ3" s="98" t="s">
        <v>369</v>
      </c>
      <c r="BK3" s="99" t="s">
        <v>88</v>
      </c>
      <c r="BL3" s="99" t="s">
        <v>370</v>
      </c>
      <c r="BM3" s="99" t="s">
        <v>90</v>
      </c>
      <c r="BN3" s="99" t="s">
        <v>91</v>
      </c>
      <c r="BO3" s="99" t="s">
        <v>371</v>
      </c>
      <c r="BP3" s="100" t="s">
        <v>364</v>
      </c>
      <c r="BQ3" s="100" t="s">
        <v>365</v>
      </c>
      <c r="BR3" s="100" t="s">
        <v>366</v>
      </c>
      <c r="BS3" s="100" t="s">
        <v>367</v>
      </c>
      <c r="BT3" s="100" t="s">
        <v>368</v>
      </c>
      <c r="BU3" s="100" t="s">
        <v>369</v>
      </c>
      <c r="BW3" s="97" t="s">
        <v>363</v>
      </c>
      <c r="BX3" s="98" t="s">
        <v>364</v>
      </c>
      <c r="BY3" s="98" t="s">
        <v>365</v>
      </c>
      <c r="BZ3" s="98" t="s">
        <v>366</v>
      </c>
      <c r="CA3" s="98" t="s">
        <v>367</v>
      </c>
      <c r="CB3" s="98" t="s">
        <v>368</v>
      </c>
      <c r="CC3" s="98" t="s">
        <v>369</v>
      </c>
      <c r="CD3" s="99" t="s">
        <v>88</v>
      </c>
      <c r="CE3" s="99" t="s">
        <v>370</v>
      </c>
      <c r="CF3" s="99" t="s">
        <v>90</v>
      </c>
      <c r="CG3" s="99" t="s">
        <v>91</v>
      </c>
      <c r="CH3" s="99" t="s">
        <v>371</v>
      </c>
      <c r="CI3" s="100" t="s">
        <v>364</v>
      </c>
      <c r="CJ3" s="100" t="s">
        <v>365</v>
      </c>
      <c r="CK3" s="100" t="s">
        <v>366</v>
      </c>
      <c r="CL3" s="100" t="s">
        <v>367</v>
      </c>
      <c r="CM3" s="100" t="s">
        <v>368</v>
      </c>
      <c r="CN3" s="100" t="s">
        <v>369</v>
      </c>
    </row>
    <row r="4" spans="1:92" ht="24" customHeight="1">
      <c r="A4" s="77"/>
      <c r="B4" s="84"/>
      <c r="C4" s="79">
        <v>662</v>
      </c>
      <c r="D4" s="86"/>
      <c r="E4" s="86"/>
      <c r="F4" s="86" t="s">
        <v>72</v>
      </c>
      <c r="G4" s="86"/>
      <c r="H4" s="86"/>
      <c r="I4" s="86"/>
      <c r="J4" s="86"/>
      <c r="K4" s="86"/>
      <c r="L4" s="87" t="s">
        <v>372</v>
      </c>
      <c r="M4" s="425"/>
      <c r="N4" s="425"/>
      <c r="O4" s="426"/>
      <c r="P4" s="87" t="s">
        <v>372</v>
      </c>
      <c r="Q4" s="425"/>
      <c r="R4" s="425"/>
      <c r="S4" s="426"/>
      <c r="T4" s="87" t="s">
        <v>215</v>
      </c>
      <c r="U4" s="425"/>
      <c r="V4" s="425"/>
      <c r="W4" s="426"/>
      <c r="X4" s="87" t="s">
        <v>215</v>
      </c>
      <c r="Y4" s="425"/>
      <c r="Z4" s="425"/>
      <c r="AA4" s="454"/>
      <c r="AB4" s="87" t="s">
        <v>373</v>
      </c>
      <c r="AC4" s="425"/>
      <c r="AD4" s="425"/>
      <c r="AE4" s="426"/>
      <c r="AF4" s="87" t="s">
        <v>373</v>
      </c>
      <c r="AG4" s="425"/>
      <c r="AH4" s="425"/>
      <c r="AI4" s="426"/>
      <c r="AJ4" s="87" t="s">
        <v>93</v>
      </c>
      <c r="AK4" s="425">
        <v>0</v>
      </c>
      <c r="AL4" s="425">
        <v>0</v>
      </c>
      <c r="AM4" s="426">
        <v>0</v>
      </c>
      <c r="AN4" s="87" t="s">
        <v>93</v>
      </c>
      <c r="AO4" s="425"/>
      <c r="AP4" s="425"/>
      <c r="AQ4" s="454"/>
      <c r="AR4" s="87" t="s">
        <v>340</v>
      </c>
      <c r="AS4" s="425"/>
      <c r="AT4" s="425"/>
      <c r="AU4" s="454"/>
      <c r="AV4" s="87" t="s">
        <v>372</v>
      </c>
      <c r="AW4" s="425"/>
      <c r="AX4" s="425"/>
      <c r="AY4" s="454"/>
      <c r="AZ4" s="427"/>
      <c r="BA4" s="87" t="s">
        <v>93</v>
      </c>
      <c r="BB4" s="87" t="s">
        <v>93</v>
      </c>
      <c r="BC4" s="87"/>
      <c r="BD4" s="101"/>
      <c r="BE4" s="102" t="s">
        <v>94</v>
      </c>
      <c r="BF4" s="97"/>
      <c r="BG4" s="97"/>
      <c r="BH4" s="97"/>
      <c r="BI4" s="97"/>
      <c r="BJ4" s="97"/>
      <c r="BK4" s="103"/>
      <c r="BL4" s="103"/>
      <c r="BM4" s="103" t="s">
        <v>95</v>
      </c>
      <c r="BN4" s="103" t="s">
        <v>95</v>
      </c>
      <c r="BO4" s="104"/>
      <c r="BP4" s="105"/>
      <c r="BQ4" s="105"/>
      <c r="BR4" s="105"/>
      <c r="BS4" s="105"/>
      <c r="BT4" s="105"/>
      <c r="BU4" s="105"/>
      <c r="BW4" s="101"/>
      <c r="BX4" s="102" t="s">
        <v>94</v>
      </c>
      <c r="BY4" s="97"/>
      <c r="BZ4" s="97"/>
      <c r="CA4" s="97"/>
      <c r="CB4" s="97"/>
      <c r="CC4" s="97"/>
      <c r="CD4" s="103"/>
      <c r="CE4" s="103"/>
      <c r="CF4" s="103" t="s">
        <v>95</v>
      </c>
      <c r="CG4" s="103" t="s">
        <v>95</v>
      </c>
      <c r="CH4" s="104"/>
      <c r="CI4" s="105"/>
      <c r="CJ4" s="105"/>
      <c r="CK4" s="105"/>
      <c r="CL4" s="105"/>
      <c r="CM4" s="105"/>
      <c r="CN4" s="105"/>
    </row>
    <row r="5" spans="1:92">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54"/>
      <c r="AB5" s="87">
        <v>0</v>
      </c>
      <c r="AC5" s="425"/>
      <c r="AD5" s="425"/>
      <c r="AE5" s="426"/>
      <c r="AF5" s="87">
        <v>0</v>
      </c>
      <c r="AG5" s="425"/>
      <c r="AH5" s="425"/>
      <c r="AI5" s="426"/>
      <c r="AJ5" s="87">
        <v>0</v>
      </c>
      <c r="AK5" s="425">
        <v>0</v>
      </c>
      <c r="AL5" s="425">
        <v>0</v>
      </c>
      <c r="AM5" s="426">
        <v>0</v>
      </c>
      <c r="AN5" s="87">
        <v>0</v>
      </c>
      <c r="AO5" s="425"/>
      <c r="AP5" s="425"/>
      <c r="AQ5" s="454"/>
      <c r="AR5" s="87">
        <v>0</v>
      </c>
      <c r="AS5" s="425"/>
      <c r="AT5" s="425"/>
      <c r="AU5" s="454"/>
      <c r="AV5" s="87">
        <v>0</v>
      </c>
      <c r="AW5" s="425"/>
      <c r="AX5" s="425"/>
      <c r="AY5" s="454"/>
      <c r="AZ5" s="427"/>
      <c r="BA5" s="87">
        <v>0</v>
      </c>
      <c r="BB5" s="87">
        <v>0</v>
      </c>
      <c r="BC5" s="87"/>
      <c r="BD5" s="101"/>
      <c r="BE5" s="97"/>
      <c r="BF5" s="97"/>
      <c r="BG5" s="97"/>
      <c r="BH5" s="97"/>
      <c r="BI5" s="97"/>
      <c r="BJ5" s="97"/>
      <c r="BK5" s="104"/>
      <c r="BL5" s="104"/>
      <c r="BM5" s="104"/>
      <c r="BN5" s="104"/>
      <c r="BO5" s="104"/>
      <c r="BP5" s="105"/>
      <c r="BQ5" s="105"/>
      <c r="BR5" s="105"/>
      <c r="BS5" s="105"/>
      <c r="BT5" s="105"/>
      <c r="BU5" s="105"/>
      <c r="BW5" s="101"/>
      <c r="BX5" s="97"/>
      <c r="BY5" s="97"/>
      <c r="BZ5" s="97"/>
      <c r="CA5" s="97"/>
      <c r="CB5" s="97"/>
      <c r="CC5" s="97"/>
      <c r="CD5" s="104"/>
      <c r="CE5" s="104"/>
      <c r="CF5" s="104"/>
      <c r="CG5" s="104"/>
      <c r="CH5" s="104"/>
      <c r="CI5" s="105"/>
      <c r="CJ5" s="105"/>
      <c r="CK5" s="105"/>
      <c r="CL5" s="105"/>
      <c r="CM5" s="105"/>
      <c r="CN5" s="105"/>
    </row>
    <row r="6" spans="1:92">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54"/>
      <c r="AB6" s="87" t="s">
        <v>679</v>
      </c>
      <c r="AC6" s="425"/>
      <c r="AD6" s="425"/>
      <c r="AE6" s="426"/>
      <c r="AF6" s="87" t="s">
        <v>679</v>
      </c>
      <c r="AG6" s="425"/>
      <c r="AH6" s="425"/>
      <c r="AI6" s="426"/>
      <c r="AJ6" s="87" t="s">
        <v>679</v>
      </c>
      <c r="AK6" s="425">
        <v>0</v>
      </c>
      <c r="AL6" s="425">
        <v>0</v>
      </c>
      <c r="AM6" s="426">
        <v>0</v>
      </c>
      <c r="AN6" s="87" t="s">
        <v>679</v>
      </c>
      <c r="AO6" s="425"/>
      <c r="AP6" s="425"/>
      <c r="AQ6" s="454"/>
      <c r="AR6" s="87" t="s">
        <v>679</v>
      </c>
      <c r="AS6" s="425"/>
      <c r="AT6" s="425"/>
      <c r="AU6" s="454"/>
      <c r="AV6" s="87" t="s">
        <v>679</v>
      </c>
      <c r="AW6" s="425"/>
      <c r="AX6" s="425"/>
      <c r="AY6" s="454"/>
      <c r="AZ6" s="427"/>
      <c r="BA6" s="87" t="s">
        <v>679</v>
      </c>
      <c r="BB6" s="87" t="s">
        <v>679</v>
      </c>
      <c r="BC6" s="87"/>
      <c r="BD6" s="101"/>
      <c r="BE6" s="106"/>
      <c r="BF6" s="106"/>
      <c r="BG6" s="106"/>
      <c r="BH6" s="106"/>
      <c r="BI6" s="106"/>
      <c r="BJ6" s="106"/>
      <c r="BK6" s="104"/>
      <c r="BL6" s="104"/>
      <c r="BM6" s="428"/>
      <c r="BN6" s="428"/>
      <c r="BO6" s="107"/>
      <c r="BP6" s="105"/>
      <c r="BQ6" s="105"/>
      <c r="BR6" s="105"/>
      <c r="BS6" s="105"/>
      <c r="BT6" s="105"/>
      <c r="BU6" s="105"/>
      <c r="BW6" s="101"/>
      <c r="BX6" s="106"/>
      <c r="BY6" s="106"/>
      <c r="BZ6" s="106"/>
      <c r="CA6" s="106"/>
      <c r="CB6" s="106"/>
      <c r="CC6" s="106"/>
      <c r="CD6" s="104"/>
      <c r="CE6" s="104"/>
      <c r="CF6" s="428"/>
      <c r="CG6" s="428"/>
      <c r="CH6" s="107"/>
      <c r="CI6" s="105"/>
      <c r="CJ6" s="105"/>
      <c r="CK6" s="105"/>
      <c r="CL6" s="105"/>
      <c r="CM6" s="105"/>
      <c r="CN6" s="105"/>
    </row>
    <row r="7" spans="1:92" ht="24">
      <c r="A7" s="330" t="s">
        <v>806</v>
      </c>
      <c r="B7" s="331" t="s">
        <v>97</v>
      </c>
      <c r="C7" s="88"/>
      <c r="D7" s="294" t="s">
        <v>98</v>
      </c>
      <c r="E7" s="295">
        <v>0</v>
      </c>
      <c r="F7" s="429" t="s">
        <v>794</v>
      </c>
      <c r="G7" s="430" t="s">
        <v>372</v>
      </c>
      <c r="H7" s="431" t="s">
        <v>98</v>
      </c>
      <c r="I7" s="431" t="s">
        <v>98</v>
      </c>
      <c r="J7" s="89">
        <v>0</v>
      </c>
      <c r="K7" s="430" t="s">
        <v>679</v>
      </c>
      <c r="L7" s="90">
        <f t="shared" ref="L7:L16" si="0">IF($A7=L$1,1,0)</f>
        <v>1</v>
      </c>
      <c r="M7" s="91"/>
      <c r="N7" s="92"/>
      <c r="O7" s="93"/>
      <c r="P7" s="90">
        <f t="shared" ref="P7:P16" si="1">IF($A7=P$1,1,0)</f>
        <v>0</v>
      </c>
      <c r="Q7" s="91"/>
      <c r="R7" s="92"/>
      <c r="S7" s="93"/>
      <c r="T7" s="90">
        <f t="shared" ref="T7:T16" si="2">IF($A7=T$1,1,0)</f>
        <v>0</v>
      </c>
      <c r="U7" s="91"/>
      <c r="V7" s="92"/>
      <c r="W7" s="93"/>
      <c r="X7" s="90">
        <f t="shared" ref="X7:X16" si="3">IF($A7=X$1,1,0)</f>
        <v>0</v>
      </c>
      <c r="Y7" s="91"/>
      <c r="Z7" s="92"/>
      <c r="AA7" s="206"/>
      <c r="AB7" s="90">
        <f t="shared" ref="AB7:AB16" si="4">IF($A7=AB$1,1,0)</f>
        <v>0</v>
      </c>
      <c r="AC7" s="91"/>
      <c r="AD7" s="92"/>
      <c r="AE7" s="93"/>
      <c r="AF7" s="90">
        <f t="shared" ref="AF7:AF16" si="5">IF($A7=AF$1,1,0)</f>
        <v>0</v>
      </c>
      <c r="AG7" s="91"/>
      <c r="AH7" s="92"/>
      <c r="AI7" s="93"/>
      <c r="AJ7" s="90">
        <f t="shared" ref="AJ7:AJ16" si="6">IF($A7=AJ$1,1,0)</f>
        <v>0</v>
      </c>
      <c r="AK7" s="91"/>
      <c r="AL7" s="92"/>
      <c r="AM7" s="93"/>
      <c r="AN7" s="90">
        <f t="shared" ref="AN7:AN16" si="7">IF($A7=AN$1,1,0)</f>
        <v>0</v>
      </c>
      <c r="AO7" s="91"/>
      <c r="AP7" s="92"/>
      <c r="AQ7" s="206"/>
      <c r="AR7" s="90">
        <f t="shared" ref="AR7:AR16" si="8">IF($A7=AR$1,1,0)</f>
        <v>0</v>
      </c>
      <c r="AS7" s="91"/>
      <c r="AT7" s="92"/>
      <c r="AU7" s="206"/>
      <c r="AV7" s="90">
        <f t="shared" ref="AV7:AV16" si="9">IF($A7=AV$1,1,0)</f>
        <v>0</v>
      </c>
      <c r="AW7" s="91"/>
      <c r="AX7" s="92"/>
      <c r="AY7" s="206"/>
      <c r="AZ7" s="427"/>
      <c r="BA7" s="90"/>
      <c r="BB7" s="90"/>
      <c r="BC7" s="90"/>
      <c r="BD7" s="101"/>
      <c r="BE7" s="97"/>
      <c r="BF7" s="97"/>
      <c r="BG7" s="97"/>
      <c r="BH7" s="97"/>
      <c r="BI7" s="97"/>
      <c r="BJ7" s="97"/>
      <c r="BK7" s="104"/>
      <c r="BL7" s="104"/>
      <c r="BM7" s="104"/>
      <c r="BN7" s="104"/>
      <c r="BO7" s="104"/>
      <c r="BP7" s="104"/>
      <c r="BQ7" s="104"/>
      <c r="BR7" s="104"/>
      <c r="BS7" s="104"/>
      <c r="BT7" s="104"/>
      <c r="BU7" s="104"/>
      <c r="BW7" s="101"/>
      <c r="BX7" s="97"/>
      <c r="BY7" s="97"/>
      <c r="BZ7" s="97"/>
      <c r="CA7" s="97"/>
      <c r="CB7" s="97"/>
      <c r="CC7" s="97"/>
      <c r="CD7" s="104"/>
      <c r="CE7" s="104"/>
      <c r="CF7" s="104"/>
      <c r="CG7" s="104"/>
      <c r="CH7" s="104"/>
      <c r="CI7" s="104"/>
      <c r="CJ7" s="104"/>
      <c r="CK7" s="104"/>
      <c r="CL7" s="104"/>
      <c r="CM7" s="104"/>
      <c r="CN7" s="104"/>
    </row>
    <row r="8" spans="1:92" ht="24">
      <c r="A8" s="330" t="s">
        <v>807</v>
      </c>
      <c r="B8" s="331"/>
      <c r="C8" s="88"/>
      <c r="D8" s="294" t="s">
        <v>98</v>
      </c>
      <c r="E8" s="295">
        <v>0</v>
      </c>
      <c r="F8" s="429" t="s">
        <v>795</v>
      </c>
      <c r="G8" s="430" t="s">
        <v>372</v>
      </c>
      <c r="H8" s="431" t="s">
        <v>98</v>
      </c>
      <c r="I8" s="431" t="s">
        <v>98</v>
      </c>
      <c r="J8" s="89">
        <v>0</v>
      </c>
      <c r="K8" s="430" t="s">
        <v>679</v>
      </c>
      <c r="L8" s="90">
        <f t="shared" si="0"/>
        <v>0</v>
      </c>
      <c r="M8" s="91"/>
      <c r="N8" s="92"/>
      <c r="O8" s="93"/>
      <c r="P8" s="90">
        <f t="shared" si="1"/>
        <v>1</v>
      </c>
      <c r="Q8" s="91"/>
      <c r="R8" s="92"/>
      <c r="S8" s="93"/>
      <c r="T8" s="90">
        <f t="shared" si="2"/>
        <v>0</v>
      </c>
      <c r="U8" s="91"/>
      <c r="V8" s="92"/>
      <c r="W8" s="93"/>
      <c r="X8" s="90">
        <f t="shared" si="3"/>
        <v>0</v>
      </c>
      <c r="Y8" s="91"/>
      <c r="Z8" s="92"/>
      <c r="AA8" s="206"/>
      <c r="AB8" s="90">
        <f t="shared" si="4"/>
        <v>0</v>
      </c>
      <c r="AC8" s="91"/>
      <c r="AD8" s="92"/>
      <c r="AE8" s="93"/>
      <c r="AF8" s="90">
        <f t="shared" si="5"/>
        <v>0</v>
      </c>
      <c r="AG8" s="91"/>
      <c r="AH8" s="92"/>
      <c r="AI8" s="93"/>
      <c r="AJ8" s="90">
        <f t="shared" si="6"/>
        <v>0</v>
      </c>
      <c r="AK8" s="91"/>
      <c r="AL8" s="92"/>
      <c r="AM8" s="93"/>
      <c r="AN8" s="90">
        <f t="shared" si="7"/>
        <v>0</v>
      </c>
      <c r="AO8" s="91"/>
      <c r="AP8" s="92"/>
      <c r="AQ8" s="206"/>
      <c r="AR8" s="90">
        <f t="shared" si="8"/>
        <v>0</v>
      </c>
      <c r="AS8" s="91"/>
      <c r="AT8" s="92"/>
      <c r="AU8" s="206"/>
      <c r="AV8" s="90">
        <f t="shared" si="9"/>
        <v>0</v>
      </c>
      <c r="AW8" s="91"/>
      <c r="AX8" s="92"/>
      <c r="AY8" s="206"/>
      <c r="AZ8" s="427"/>
      <c r="BA8" s="90"/>
      <c r="BB8" s="90"/>
      <c r="BC8" s="90"/>
      <c r="BD8" s="101"/>
      <c r="BE8" s="97"/>
      <c r="BF8" s="97"/>
      <c r="BG8" s="97"/>
      <c r="BH8" s="97"/>
      <c r="BI8" s="97"/>
      <c r="BJ8" s="97"/>
      <c r="BK8" s="104"/>
      <c r="BL8" s="104"/>
      <c r="BM8" s="104"/>
      <c r="BN8" s="104"/>
      <c r="BO8" s="104"/>
      <c r="BP8" s="104"/>
      <c r="BQ8" s="104"/>
      <c r="BR8" s="104"/>
      <c r="BS8" s="104"/>
      <c r="BT8" s="104"/>
      <c r="BU8" s="104"/>
      <c r="BW8" s="101"/>
      <c r="BX8" s="97"/>
      <c r="BY8" s="97"/>
      <c r="BZ8" s="97"/>
      <c r="CA8" s="97"/>
      <c r="CB8" s="97"/>
      <c r="CC8" s="97"/>
      <c r="CD8" s="104"/>
      <c r="CE8" s="104"/>
      <c r="CF8" s="104"/>
      <c r="CG8" s="104"/>
      <c r="CH8" s="104"/>
      <c r="CI8" s="104"/>
      <c r="CJ8" s="104"/>
      <c r="CK8" s="104"/>
      <c r="CL8" s="104"/>
      <c r="CM8" s="104"/>
      <c r="CN8" s="104"/>
    </row>
    <row r="9" spans="1:92" ht="24">
      <c r="A9" s="330" t="s">
        <v>808</v>
      </c>
      <c r="B9" s="331"/>
      <c r="C9" s="88"/>
      <c r="D9" s="294" t="s">
        <v>98</v>
      </c>
      <c r="E9" s="295">
        <v>0</v>
      </c>
      <c r="F9" s="429" t="s">
        <v>796</v>
      </c>
      <c r="G9" s="430" t="s">
        <v>215</v>
      </c>
      <c r="H9" s="431" t="s">
        <v>98</v>
      </c>
      <c r="I9" s="431" t="s">
        <v>98</v>
      </c>
      <c r="J9" s="89">
        <v>0</v>
      </c>
      <c r="K9" s="430" t="s">
        <v>679</v>
      </c>
      <c r="L9" s="90">
        <f t="shared" si="0"/>
        <v>0</v>
      </c>
      <c r="M9" s="91"/>
      <c r="N9" s="92"/>
      <c r="O9" s="93"/>
      <c r="P9" s="90">
        <f t="shared" si="1"/>
        <v>0</v>
      </c>
      <c r="Q9" s="91"/>
      <c r="R9" s="92"/>
      <c r="S9" s="93"/>
      <c r="T9" s="90">
        <f t="shared" si="2"/>
        <v>1</v>
      </c>
      <c r="U9" s="91"/>
      <c r="V9" s="92"/>
      <c r="W9" s="93"/>
      <c r="X9" s="90">
        <f t="shared" si="3"/>
        <v>0</v>
      </c>
      <c r="Y9" s="91"/>
      <c r="Z9" s="92"/>
      <c r="AA9" s="206"/>
      <c r="AB9" s="90">
        <f t="shared" si="4"/>
        <v>0</v>
      </c>
      <c r="AC9" s="91"/>
      <c r="AD9" s="92"/>
      <c r="AE9" s="93"/>
      <c r="AF9" s="90">
        <f t="shared" si="5"/>
        <v>0</v>
      </c>
      <c r="AG9" s="91"/>
      <c r="AH9" s="92"/>
      <c r="AI9" s="93"/>
      <c r="AJ9" s="90">
        <f t="shared" si="6"/>
        <v>0</v>
      </c>
      <c r="AK9" s="91"/>
      <c r="AL9" s="92"/>
      <c r="AM9" s="93"/>
      <c r="AN9" s="90">
        <f t="shared" si="7"/>
        <v>0</v>
      </c>
      <c r="AO9" s="91"/>
      <c r="AP9" s="92"/>
      <c r="AQ9" s="206"/>
      <c r="AR9" s="90">
        <f t="shared" si="8"/>
        <v>0</v>
      </c>
      <c r="AS9" s="91"/>
      <c r="AT9" s="92"/>
      <c r="AU9" s="206"/>
      <c r="AV9" s="90">
        <f t="shared" si="9"/>
        <v>0</v>
      </c>
      <c r="AW9" s="91"/>
      <c r="AX9" s="92"/>
      <c r="AY9" s="206"/>
      <c r="AZ9" s="427"/>
      <c r="BA9" s="90"/>
      <c r="BB9" s="90"/>
      <c r="BC9" s="90"/>
      <c r="BD9" s="101"/>
      <c r="BE9" s="97"/>
      <c r="BF9" s="97"/>
      <c r="BG9" s="97"/>
      <c r="BH9" s="97"/>
      <c r="BI9" s="97"/>
      <c r="BJ9" s="97"/>
      <c r="BK9" s="104"/>
      <c r="BL9" s="104"/>
      <c r="BM9" s="104"/>
      <c r="BN9" s="104"/>
      <c r="BO9" s="104"/>
      <c r="BP9" s="104"/>
      <c r="BQ9" s="104"/>
      <c r="BR9" s="104"/>
      <c r="BS9" s="104"/>
      <c r="BT9" s="104"/>
      <c r="BU9" s="104"/>
      <c r="BW9" s="101"/>
      <c r="BX9" s="97"/>
      <c r="BY9" s="97"/>
      <c r="BZ9" s="97"/>
      <c r="CA9" s="97"/>
      <c r="CB9" s="97"/>
      <c r="CC9" s="97"/>
      <c r="CD9" s="104"/>
      <c r="CE9" s="104"/>
      <c r="CF9" s="104"/>
      <c r="CG9" s="104"/>
      <c r="CH9" s="104"/>
      <c r="CI9" s="104"/>
      <c r="CJ9" s="104"/>
      <c r="CK9" s="104"/>
      <c r="CL9" s="104"/>
      <c r="CM9" s="104"/>
      <c r="CN9" s="104"/>
    </row>
    <row r="10" spans="1:92" ht="24">
      <c r="A10" s="330" t="s">
        <v>809</v>
      </c>
      <c r="B10" s="331"/>
      <c r="C10" s="88"/>
      <c r="D10" s="294" t="s">
        <v>98</v>
      </c>
      <c r="E10" s="295">
        <v>0</v>
      </c>
      <c r="F10" s="429" t="s">
        <v>797</v>
      </c>
      <c r="G10" s="430" t="s">
        <v>215</v>
      </c>
      <c r="H10" s="431" t="s">
        <v>98</v>
      </c>
      <c r="I10" s="431" t="s">
        <v>98</v>
      </c>
      <c r="J10" s="89">
        <v>0</v>
      </c>
      <c r="K10" s="430" t="s">
        <v>679</v>
      </c>
      <c r="L10" s="90">
        <f t="shared" si="0"/>
        <v>0</v>
      </c>
      <c r="M10" s="91"/>
      <c r="N10" s="92"/>
      <c r="O10" s="93"/>
      <c r="P10" s="90">
        <f t="shared" si="1"/>
        <v>0</v>
      </c>
      <c r="Q10" s="91"/>
      <c r="R10" s="92"/>
      <c r="S10" s="93"/>
      <c r="T10" s="90">
        <f t="shared" si="2"/>
        <v>0</v>
      </c>
      <c r="U10" s="91"/>
      <c r="V10" s="92"/>
      <c r="W10" s="93"/>
      <c r="X10" s="90">
        <f t="shared" si="3"/>
        <v>1</v>
      </c>
      <c r="Y10" s="91"/>
      <c r="Z10" s="92"/>
      <c r="AA10" s="206"/>
      <c r="AB10" s="90">
        <f t="shared" si="4"/>
        <v>0</v>
      </c>
      <c r="AC10" s="91"/>
      <c r="AD10" s="92"/>
      <c r="AE10" s="93"/>
      <c r="AF10" s="90">
        <f t="shared" si="5"/>
        <v>0</v>
      </c>
      <c r="AG10" s="91"/>
      <c r="AH10" s="92"/>
      <c r="AI10" s="93"/>
      <c r="AJ10" s="90">
        <f t="shared" si="6"/>
        <v>0</v>
      </c>
      <c r="AK10" s="91"/>
      <c r="AL10" s="92"/>
      <c r="AM10" s="93"/>
      <c r="AN10" s="90">
        <f t="shared" si="7"/>
        <v>0</v>
      </c>
      <c r="AO10" s="91"/>
      <c r="AP10" s="92"/>
      <c r="AQ10" s="206"/>
      <c r="AR10" s="90">
        <f t="shared" si="8"/>
        <v>0</v>
      </c>
      <c r="AS10" s="91"/>
      <c r="AT10" s="92"/>
      <c r="AU10" s="206"/>
      <c r="AV10" s="90">
        <f t="shared" si="9"/>
        <v>0</v>
      </c>
      <c r="AW10" s="91"/>
      <c r="AX10" s="92"/>
      <c r="AY10" s="206"/>
      <c r="AZ10" s="427"/>
      <c r="BA10" s="90"/>
      <c r="BB10" s="90"/>
      <c r="BC10" s="90"/>
      <c r="BD10" s="101"/>
      <c r="BE10" s="97"/>
      <c r="BF10" s="97"/>
      <c r="BG10" s="97"/>
      <c r="BH10" s="97"/>
      <c r="BI10" s="97"/>
      <c r="BJ10" s="97"/>
      <c r="BK10" s="104"/>
      <c r="BL10" s="104"/>
      <c r="BM10" s="104"/>
      <c r="BN10" s="104"/>
      <c r="BO10" s="104"/>
      <c r="BP10" s="104"/>
      <c r="BQ10" s="104"/>
      <c r="BR10" s="104"/>
      <c r="BS10" s="104"/>
      <c r="BT10" s="104"/>
      <c r="BU10" s="104"/>
      <c r="BW10" s="101"/>
      <c r="BX10" s="97"/>
      <c r="BY10" s="97"/>
      <c r="BZ10" s="97"/>
      <c r="CA10" s="97"/>
      <c r="CB10" s="97"/>
      <c r="CC10" s="97"/>
      <c r="CD10" s="104"/>
      <c r="CE10" s="104"/>
      <c r="CF10" s="104"/>
      <c r="CG10" s="104"/>
      <c r="CH10" s="104"/>
      <c r="CI10" s="104"/>
      <c r="CJ10" s="104"/>
      <c r="CK10" s="104"/>
      <c r="CL10" s="104"/>
      <c r="CM10" s="104"/>
      <c r="CN10" s="104"/>
    </row>
    <row r="11" spans="1:92" ht="24">
      <c r="A11" s="330" t="s">
        <v>810</v>
      </c>
      <c r="B11" s="331"/>
      <c r="C11" s="88"/>
      <c r="D11" s="294" t="s">
        <v>98</v>
      </c>
      <c r="E11" s="295">
        <v>0</v>
      </c>
      <c r="F11" s="429" t="s">
        <v>798</v>
      </c>
      <c r="G11" s="430" t="s">
        <v>373</v>
      </c>
      <c r="H11" s="431" t="s">
        <v>98</v>
      </c>
      <c r="I11" s="431" t="s">
        <v>98</v>
      </c>
      <c r="J11" s="89">
        <v>0</v>
      </c>
      <c r="K11" s="430" t="s">
        <v>679</v>
      </c>
      <c r="L11" s="90">
        <f t="shared" si="0"/>
        <v>0</v>
      </c>
      <c r="M11" s="91"/>
      <c r="N11" s="92"/>
      <c r="O11" s="93"/>
      <c r="P11" s="90">
        <f t="shared" si="1"/>
        <v>0</v>
      </c>
      <c r="Q11" s="91"/>
      <c r="R11" s="92"/>
      <c r="S11" s="93"/>
      <c r="T11" s="90">
        <f t="shared" si="2"/>
        <v>0</v>
      </c>
      <c r="U11" s="91"/>
      <c r="V11" s="92"/>
      <c r="W11" s="93"/>
      <c r="X11" s="90">
        <f t="shared" si="3"/>
        <v>0</v>
      </c>
      <c r="Y11" s="91"/>
      <c r="Z11" s="92"/>
      <c r="AA11" s="206"/>
      <c r="AB11" s="90">
        <f t="shared" si="4"/>
        <v>1</v>
      </c>
      <c r="AC11" s="91"/>
      <c r="AD11" s="92"/>
      <c r="AE11" s="93"/>
      <c r="AF11" s="90">
        <f t="shared" si="5"/>
        <v>0</v>
      </c>
      <c r="AG11" s="91"/>
      <c r="AH11" s="92"/>
      <c r="AI11" s="93"/>
      <c r="AJ11" s="90">
        <f t="shared" si="6"/>
        <v>0</v>
      </c>
      <c r="AK11" s="91"/>
      <c r="AL11" s="92"/>
      <c r="AM11" s="93"/>
      <c r="AN11" s="90">
        <f t="shared" si="7"/>
        <v>0</v>
      </c>
      <c r="AO11" s="91"/>
      <c r="AP11" s="92"/>
      <c r="AQ11" s="206"/>
      <c r="AR11" s="90">
        <f t="shared" si="8"/>
        <v>0</v>
      </c>
      <c r="AS11" s="91"/>
      <c r="AT11" s="92"/>
      <c r="AU11" s="206"/>
      <c r="AV11" s="90">
        <f t="shared" si="9"/>
        <v>0</v>
      </c>
      <c r="AW11" s="91"/>
      <c r="AX11" s="92"/>
      <c r="AY11" s="206"/>
      <c r="AZ11" s="427"/>
      <c r="BA11" s="90"/>
      <c r="BB11" s="90"/>
      <c r="BC11" s="90"/>
      <c r="BD11" s="101"/>
      <c r="BE11" s="97"/>
      <c r="BF11" s="97"/>
      <c r="BG11" s="97"/>
      <c r="BH11" s="97"/>
      <c r="BI11" s="97"/>
      <c r="BJ11" s="97"/>
      <c r="BK11" s="104"/>
      <c r="BL11" s="104"/>
      <c r="BM11" s="104"/>
      <c r="BN11" s="104"/>
      <c r="BO11" s="104"/>
      <c r="BP11" s="104"/>
      <c r="BQ11" s="104"/>
      <c r="BR11" s="104"/>
      <c r="BS11" s="104"/>
      <c r="BT11" s="104"/>
      <c r="BU11" s="104"/>
      <c r="BW11" s="101"/>
      <c r="BX11" s="97"/>
      <c r="BY11" s="97"/>
      <c r="BZ11" s="97"/>
      <c r="CA11" s="97"/>
      <c r="CB11" s="97"/>
      <c r="CC11" s="97"/>
      <c r="CD11" s="104"/>
      <c r="CE11" s="104"/>
      <c r="CF11" s="104"/>
      <c r="CG11" s="104"/>
      <c r="CH11" s="104"/>
      <c r="CI11" s="104"/>
      <c r="CJ11" s="104"/>
      <c r="CK11" s="104"/>
      <c r="CL11" s="104"/>
      <c r="CM11" s="104"/>
      <c r="CN11" s="104"/>
    </row>
    <row r="12" spans="1:92" ht="24">
      <c r="A12" s="330" t="s">
        <v>811</v>
      </c>
      <c r="B12" s="331"/>
      <c r="C12" s="88"/>
      <c r="D12" s="294" t="s">
        <v>98</v>
      </c>
      <c r="E12" s="295">
        <v>0</v>
      </c>
      <c r="F12" s="429" t="s">
        <v>799</v>
      </c>
      <c r="G12" s="430" t="s">
        <v>373</v>
      </c>
      <c r="H12" s="431" t="s">
        <v>98</v>
      </c>
      <c r="I12" s="431" t="s">
        <v>98</v>
      </c>
      <c r="J12" s="89">
        <v>0</v>
      </c>
      <c r="K12" s="430" t="s">
        <v>679</v>
      </c>
      <c r="L12" s="90">
        <f t="shared" si="0"/>
        <v>0</v>
      </c>
      <c r="M12" s="91"/>
      <c r="N12" s="92"/>
      <c r="O12" s="93"/>
      <c r="P12" s="90">
        <f t="shared" si="1"/>
        <v>0</v>
      </c>
      <c r="Q12" s="91"/>
      <c r="R12" s="92"/>
      <c r="S12" s="93"/>
      <c r="T12" s="90">
        <f t="shared" si="2"/>
        <v>0</v>
      </c>
      <c r="U12" s="91"/>
      <c r="V12" s="92"/>
      <c r="W12" s="93"/>
      <c r="X12" s="90">
        <f t="shared" si="3"/>
        <v>0</v>
      </c>
      <c r="Y12" s="91"/>
      <c r="Z12" s="92"/>
      <c r="AA12" s="206"/>
      <c r="AB12" s="90">
        <f t="shared" si="4"/>
        <v>0</v>
      </c>
      <c r="AC12" s="91"/>
      <c r="AD12" s="92"/>
      <c r="AE12" s="93"/>
      <c r="AF12" s="90">
        <f t="shared" si="5"/>
        <v>1</v>
      </c>
      <c r="AG12" s="91"/>
      <c r="AH12" s="92"/>
      <c r="AI12" s="93"/>
      <c r="AJ12" s="90">
        <f t="shared" si="6"/>
        <v>0</v>
      </c>
      <c r="AK12" s="91"/>
      <c r="AL12" s="92"/>
      <c r="AM12" s="93"/>
      <c r="AN12" s="90">
        <f t="shared" si="7"/>
        <v>0</v>
      </c>
      <c r="AO12" s="91"/>
      <c r="AP12" s="92"/>
      <c r="AQ12" s="206"/>
      <c r="AR12" s="90">
        <f t="shared" si="8"/>
        <v>0</v>
      </c>
      <c r="AS12" s="91"/>
      <c r="AT12" s="92"/>
      <c r="AU12" s="206"/>
      <c r="AV12" s="90">
        <f t="shared" si="9"/>
        <v>0</v>
      </c>
      <c r="AW12" s="91"/>
      <c r="AX12" s="92"/>
      <c r="AY12" s="206"/>
      <c r="AZ12" s="427"/>
      <c r="BA12" s="90"/>
      <c r="BB12" s="90"/>
      <c r="BC12" s="90"/>
      <c r="BD12" s="101"/>
      <c r="BE12" s="97"/>
      <c r="BF12" s="97"/>
      <c r="BG12" s="97"/>
      <c r="BH12" s="97"/>
      <c r="BI12" s="97"/>
      <c r="BJ12" s="97"/>
      <c r="BK12" s="104"/>
      <c r="BL12" s="104"/>
      <c r="BM12" s="104"/>
      <c r="BN12" s="104"/>
      <c r="BO12" s="104"/>
      <c r="BP12" s="104"/>
      <c r="BQ12" s="104"/>
      <c r="BR12" s="104"/>
      <c r="BS12" s="104"/>
      <c r="BT12" s="104"/>
      <c r="BU12" s="104"/>
      <c r="BW12" s="101"/>
      <c r="BX12" s="97"/>
      <c r="BY12" s="97"/>
      <c r="BZ12" s="97"/>
      <c r="CA12" s="97"/>
      <c r="CB12" s="97"/>
      <c r="CC12" s="97"/>
      <c r="CD12" s="104"/>
      <c r="CE12" s="104"/>
      <c r="CF12" s="104"/>
      <c r="CG12" s="104"/>
      <c r="CH12" s="104"/>
      <c r="CI12" s="104"/>
      <c r="CJ12" s="104"/>
      <c r="CK12" s="104"/>
      <c r="CL12" s="104"/>
      <c r="CM12" s="104"/>
      <c r="CN12" s="104"/>
    </row>
    <row r="13" spans="1:92" ht="24">
      <c r="A13" s="330" t="s">
        <v>812</v>
      </c>
      <c r="B13" s="331"/>
      <c r="C13" s="88"/>
      <c r="D13" s="294" t="s">
        <v>98</v>
      </c>
      <c r="E13" s="295">
        <v>0</v>
      </c>
      <c r="F13" s="429" t="s">
        <v>800</v>
      </c>
      <c r="G13" s="430" t="s">
        <v>93</v>
      </c>
      <c r="H13" s="431" t="s">
        <v>98</v>
      </c>
      <c r="I13" s="431" t="s">
        <v>98</v>
      </c>
      <c r="J13" s="89">
        <v>0</v>
      </c>
      <c r="K13" s="430" t="s">
        <v>679</v>
      </c>
      <c r="L13" s="90">
        <f t="shared" si="0"/>
        <v>0</v>
      </c>
      <c r="M13" s="91"/>
      <c r="N13" s="92"/>
      <c r="O13" s="93"/>
      <c r="P13" s="90">
        <f t="shared" si="1"/>
        <v>0</v>
      </c>
      <c r="Q13" s="91"/>
      <c r="R13" s="92"/>
      <c r="S13" s="93"/>
      <c r="T13" s="90">
        <f t="shared" si="2"/>
        <v>0</v>
      </c>
      <c r="U13" s="91"/>
      <c r="V13" s="92"/>
      <c r="W13" s="93"/>
      <c r="X13" s="90">
        <f t="shared" si="3"/>
        <v>0</v>
      </c>
      <c r="Y13" s="91"/>
      <c r="Z13" s="92"/>
      <c r="AA13" s="206"/>
      <c r="AB13" s="90">
        <f t="shared" si="4"/>
        <v>0</v>
      </c>
      <c r="AC13" s="91"/>
      <c r="AD13" s="92"/>
      <c r="AE13" s="93"/>
      <c r="AF13" s="90">
        <f t="shared" si="5"/>
        <v>0</v>
      </c>
      <c r="AG13" s="91"/>
      <c r="AH13" s="92"/>
      <c r="AI13" s="93"/>
      <c r="AJ13" s="90">
        <f t="shared" si="6"/>
        <v>1</v>
      </c>
      <c r="AK13" s="91"/>
      <c r="AL13" s="92"/>
      <c r="AM13" s="93"/>
      <c r="AN13" s="90">
        <f t="shared" si="7"/>
        <v>0</v>
      </c>
      <c r="AO13" s="91"/>
      <c r="AP13" s="92"/>
      <c r="AQ13" s="206"/>
      <c r="AR13" s="90">
        <f t="shared" si="8"/>
        <v>0</v>
      </c>
      <c r="AS13" s="91"/>
      <c r="AT13" s="92"/>
      <c r="AU13" s="206"/>
      <c r="AV13" s="90">
        <f t="shared" si="9"/>
        <v>0</v>
      </c>
      <c r="AW13" s="91"/>
      <c r="AX13" s="92"/>
      <c r="AY13" s="206"/>
      <c r="AZ13" s="112"/>
      <c r="BA13" s="90"/>
      <c r="BB13" s="90"/>
      <c r="BC13" s="90"/>
      <c r="BD13" s="101"/>
      <c r="BE13" s="97"/>
      <c r="BF13" s="97"/>
      <c r="BG13" s="97"/>
      <c r="BH13" s="97"/>
      <c r="BI13" s="97"/>
      <c r="BJ13" s="97"/>
      <c r="BK13" s="104"/>
      <c r="BL13" s="104"/>
      <c r="BM13" s="104"/>
      <c r="BN13" s="104"/>
      <c r="BO13" s="104"/>
      <c r="BP13" s="104"/>
      <c r="BQ13" s="104"/>
      <c r="BR13" s="104"/>
      <c r="BS13" s="104"/>
      <c r="BT13" s="104"/>
      <c r="BU13" s="104"/>
      <c r="BW13" s="101"/>
      <c r="BX13" s="97"/>
      <c r="BY13" s="97"/>
      <c r="BZ13" s="97"/>
      <c r="CA13" s="97"/>
      <c r="CB13" s="97"/>
      <c r="CC13" s="97"/>
      <c r="CD13" s="104"/>
      <c r="CE13" s="104"/>
      <c r="CF13" s="104"/>
      <c r="CG13" s="104"/>
      <c r="CH13" s="104"/>
      <c r="CI13" s="104"/>
      <c r="CJ13" s="104"/>
      <c r="CK13" s="104"/>
      <c r="CL13" s="104"/>
      <c r="CM13" s="104"/>
      <c r="CN13" s="104"/>
    </row>
    <row r="14" spans="1:92" ht="24">
      <c r="A14" s="330" t="s">
        <v>813</v>
      </c>
      <c r="B14" s="331"/>
      <c r="C14" s="88"/>
      <c r="D14" s="294" t="s">
        <v>98</v>
      </c>
      <c r="E14" s="295">
        <v>0</v>
      </c>
      <c r="F14" s="429" t="s">
        <v>801</v>
      </c>
      <c r="G14" s="430" t="s">
        <v>93</v>
      </c>
      <c r="H14" s="431" t="s">
        <v>98</v>
      </c>
      <c r="I14" s="431" t="s">
        <v>98</v>
      </c>
      <c r="J14" s="89">
        <v>0</v>
      </c>
      <c r="K14" s="430" t="s">
        <v>679</v>
      </c>
      <c r="L14" s="90">
        <f t="shared" si="0"/>
        <v>0</v>
      </c>
      <c r="M14" s="91"/>
      <c r="N14" s="92"/>
      <c r="O14" s="93"/>
      <c r="P14" s="90">
        <f t="shared" si="1"/>
        <v>0</v>
      </c>
      <c r="Q14" s="91"/>
      <c r="R14" s="92"/>
      <c r="S14" s="93"/>
      <c r="T14" s="90">
        <f t="shared" si="2"/>
        <v>0</v>
      </c>
      <c r="U14" s="91"/>
      <c r="V14" s="92"/>
      <c r="W14" s="93"/>
      <c r="X14" s="90">
        <f t="shared" si="3"/>
        <v>0</v>
      </c>
      <c r="Y14" s="91"/>
      <c r="Z14" s="92"/>
      <c r="AA14" s="206"/>
      <c r="AB14" s="90">
        <f t="shared" si="4"/>
        <v>0</v>
      </c>
      <c r="AC14" s="91"/>
      <c r="AD14" s="92"/>
      <c r="AE14" s="93"/>
      <c r="AF14" s="90">
        <f t="shared" si="5"/>
        <v>0</v>
      </c>
      <c r="AG14" s="91"/>
      <c r="AH14" s="92"/>
      <c r="AI14" s="93"/>
      <c r="AJ14" s="90">
        <f t="shared" si="6"/>
        <v>0</v>
      </c>
      <c r="AK14" s="91"/>
      <c r="AL14" s="92"/>
      <c r="AM14" s="93"/>
      <c r="AN14" s="90">
        <f t="shared" si="7"/>
        <v>1</v>
      </c>
      <c r="AO14" s="91"/>
      <c r="AP14" s="92"/>
      <c r="AQ14" s="206"/>
      <c r="AR14" s="90">
        <f t="shared" si="8"/>
        <v>0</v>
      </c>
      <c r="AS14" s="91"/>
      <c r="AT14" s="92"/>
      <c r="AU14" s="206"/>
      <c r="AV14" s="90">
        <f t="shared" si="9"/>
        <v>0</v>
      </c>
      <c r="AW14" s="91"/>
      <c r="AX14" s="92"/>
      <c r="AY14" s="206"/>
      <c r="AZ14" s="112"/>
      <c r="BA14" s="90"/>
      <c r="BB14" s="90"/>
      <c r="BC14" s="90"/>
      <c r="BD14" s="101"/>
      <c r="BE14" s="97"/>
      <c r="BF14" s="97"/>
      <c r="BG14" s="97"/>
      <c r="BH14" s="97"/>
      <c r="BI14" s="97"/>
      <c r="BJ14" s="97"/>
      <c r="BK14" s="104"/>
      <c r="BL14" s="104"/>
      <c r="BM14" s="104"/>
      <c r="BN14" s="104"/>
      <c r="BO14" s="104"/>
      <c r="BP14" s="104"/>
      <c r="BQ14" s="104"/>
      <c r="BR14" s="104"/>
      <c r="BS14" s="104"/>
      <c r="BT14" s="104"/>
      <c r="BU14" s="104"/>
      <c r="BW14" s="101"/>
      <c r="BX14" s="97"/>
      <c r="BY14" s="97"/>
      <c r="BZ14" s="97"/>
      <c r="CA14" s="97"/>
      <c r="CB14" s="97"/>
      <c r="CC14" s="97"/>
      <c r="CD14" s="104"/>
      <c r="CE14" s="104"/>
      <c r="CF14" s="104"/>
      <c r="CG14" s="104"/>
      <c r="CH14" s="104"/>
      <c r="CI14" s="104"/>
      <c r="CJ14" s="104"/>
      <c r="CK14" s="104"/>
      <c r="CL14" s="104"/>
      <c r="CM14" s="104"/>
      <c r="CN14" s="104"/>
    </row>
    <row r="15" spans="1:92" ht="24" collapsed="1">
      <c r="A15" s="330" t="s">
        <v>814</v>
      </c>
      <c r="B15" s="331"/>
      <c r="C15" s="88"/>
      <c r="D15" s="294" t="s">
        <v>98</v>
      </c>
      <c r="E15" s="295">
        <v>0</v>
      </c>
      <c r="F15" s="429" t="s">
        <v>802</v>
      </c>
      <c r="G15" s="430" t="s">
        <v>340</v>
      </c>
      <c r="H15" s="431" t="s">
        <v>98</v>
      </c>
      <c r="I15" s="431" t="s">
        <v>98</v>
      </c>
      <c r="J15" s="89">
        <v>0</v>
      </c>
      <c r="K15" s="430" t="s">
        <v>679</v>
      </c>
      <c r="L15" s="90">
        <f t="shared" si="0"/>
        <v>0</v>
      </c>
      <c r="M15" s="91"/>
      <c r="N15" s="92"/>
      <c r="O15" s="93"/>
      <c r="P15" s="90">
        <f t="shared" si="1"/>
        <v>0</v>
      </c>
      <c r="Q15" s="91"/>
      <c r="R15" s="92"/>
      <c r="S15" s="93"/>
      <c r="T15" s="90">
        <f t="shared" si="2"/>
        <v>0</v>
      </c>
      <c r="U15" s="91"/>
      <c r="V15" s="92"/>
      <c r="W15" s="93"/>
      <c r="X15" s="90">
        <f t="shared" si="3"/>
        <v>0</v>
      </c>
      <c r="Y15" s="91"/>
      <c r="Z15" s="92"/>
      <c r="AA15" s="206"/>
      <c r="AB15" s="90">
        <f t="shared" si="4"/>
        <v>0</v>
      </c>
      <c r="AC15" s="91"/>
      <c r="AD15" s="92"/>
      <c r="AE15" s="93"/>
      <c r="AF15" s="90">
        <f t="shared" si="5"/>
        <v>0</v>
      </c>
      <c r="AG15" s="91"/>
      <c r="AH15" s="92"/>
      <c r="AI15" s="93"/>
      <c r="AJ15" s="90">
        <f t="shared" si="6"/>
        <v>0</v>
      </c>
      <c r="AK15" s="91"/>
      <c r="AL15" s="92"/>
      <c r="AM15" s="93"/>
      <c r="AN15" s="90">
        <f t="shared" si="7"/>
        <v>0</v>
      </c>
      <c r="AO15" s="91"/>
      <c r="AP15" s="92"/>
      <c r="AQ15" s="206"/>
      <c r="AR15" s="90">
        <f t="shared" si="8"/>
        <v>1</v>
      </c>
      <c r="AS15" s="91"/>
      <c r="AT15" s="92"/>
      <c r="AU15" s="206"/>
      <c r="AV15" s="90">
        <f t="shared" si="9"/>
        <v>0</v>
      </c>
      <c r="AW15" s="91"/>
      <c r="AX15" s="92"/>
      <c r="AY15" s="206"/>
      <c r="AZ15" s="112"/>
      <c r="BA15" s="90"/>
      <c r="BB15" s="90"/>
      <c r="BC15" s="90"/>
      <c r="BD15" s="101"/>
      <c r="BE15" s="97"/>
      <c r="BF15" s="97"/>
      <c r="BG15" s="97"/>
      <c r="BH15" s="97"/>
      <c r="BI15" s="97"/>
      <c r="BJ15" s="97"/>
      <c r="BK15" s="104"/>
      <c r="BL15" s="104"/>
      <c r="BM15" s="104"/>
      <c r="BN15" s="104"/>
      <c r="BO15" s="104"/>
      <c r="BP15" s="104"/>
      <c r="BQ15" s="104"/>
      <c r="BR15" s="104"/>
      <c r="BS15" s="104"/>
      <c r="BT15" s="104"/>
      <c r="BU15" s="104"/>
      <c r="BW15" s="101"/>
      <c r="BX15" s="97"/>
      <c r="BY15" s="97"/>
      <c r="BZ15" s="97"/>
      <c r="CA15" s="97"/>
      <c r="CB15" s="97"/>
      <c r="CC15" s="97"/>
      <c r="CD15" s="104"/>
      <c r="CE15" s="104"/>
      <c r="CF15" s="104"/>
      <c r="CG15" s="104"/>
      <c r="CH15" s="104"/>
      <c r="CI15" s="104"/>
      <c r="CJ15" s="104"/>
      <c r="CK15" s="104"/>
      <c r="CL15" s="104"/>
      <c r="CM15" s="104"/>
      <c r="CN15" s="104"/>
    </row>
    <row r="16" spans="1:92" ht="24">
      <c r="A16" s="330" t="s">
        <v>792</v>
      </c>
      <c r="B16" s="331"/>
      <c r="C16" s="88"/>
      <c r="D16" s="294" t="s">
        <v>98</v>
      </c>
      <c r="E16" s="295">
        <v>0</v>
      </c>
      <c r="F16" s="429" t="s">
        <v>803</v>
      </c>
      <c r="G16" s="430" t="s">
        <v>372</v>
      </c>
      <c r="H16" s="431" t="s">
        <v>98</v>
      </c>
      <c r="I16" s="431" t="s">
        <v>98</v>
      </c>
      <c r="J16" s="89">
        <v>0</v>
      </c>
      <c r="K16" s="430" t="s">
        <v>679</v>
      </c>
      <c r="L16" s="90">
        <f t="shared" si="0"/>
        <v>0</v>
      </c>
      <c r="M16" s="91"/>
      <c r="N16" s="92"/>
      <c r="O16" s="93"/>
      <c r="P16" s="90">
        <f t="shared" si="1"/>
        <v>0</v>
      </c>
      <c r="Q16" s="91"/>
      <c r="R16" s="92"/>
      <c r="S16" s="93"/>
      <c r="T16" s="90">
        <f t="shared" si="2"/>
        <v>0</v>
      </c>
      <c r="U16" s="91"/>
      <c r="V16" s="92"/>
      <c r="W16" s="93"/>
      <c r="X16" s="90">
        <f t="shared" si="3"/>
        <v>0</v>
      </c>
      <c r="Y16" s="91"/>
      <c r="Z16" s="92"/>
      <c r="AA16" s="206"/>
      <c r="AB16" s="90">
        <f t="shared" si="4"/>
        <v>0</v>
      </c>
      <c r="AC16" s="91"/>
      <c r="AD16" s="92"/>
      <c r="AE16" s="93"/>
      <c r="AF16" s="90">
        <f t="shared" si="5"/>
        <v>0</v>
      </c>
      <c r="AG16" s="91"/>
      <c r="AH16" s="92"/>
      <c r="AI16" s="93"/>
      <c r="AJ16" s="90">
        <f t="shared" si="6"/>
        <v>0</v>
      </c>
      <c r="AK16" s="91"/>
      <c r="AL16" s="92"/>
      <c r="AM16" s="93"/>
      <c r="AN16" s="90">
        <f t="shared" si="7"/>
        <v>0</v>
      </c>
      <c r="AO16" s="91"/>
      <c r="AP16" s="92"/>
      <c r="AQ16" s="206"/>
      <c r="AR16" s="90">
        <f t="shared" si="8"/>
        <v>0</v>
      </c>
      <c r="AS16" s="91"/>
      <c r="AT16" s="92"/>
      <c r="AU16" s="206"/>
      <c r="AV16" s="90">
        <f t="shared" si="9"/>
        <v>1</v>
      </c>
      <c r="AW16" s="91"/>
      <c r="AX16" s="92"/>
      <c r="AY16" s="206"/>
      <c r="AZ16" s="112"/>
      <c r="BA16" s="90"/>
      <c r="BB16" s="90"/>
      <c r="BC16" s="90"/>
      <c r="BD16" s="101"/>
      <c r="BE16" s="97"/>
      <c r="BF16" s="97"/>
      <c r="BG16" s="97"/>
      <c r="BH16" s="97"/>
      <c r="BI16" s="97"/>
      <c r="BJ16" s="97"/>
      <c r="BK16" s="104"/>
      <c r="BL16" s="104"/>
      <c r="BM16" s="104"/>
      <c r="BN16" s="104"/>
      <c r="BO16" s="104"/>
      <c r="BP16" s="104"/>
      <c r="BQ16" s="104"/>
      <c r="BR16" s="104"/>
      <c r="BS16" s="104"/>
      <c r="BT16" s="104"/>
      <c r="BU16" s="104"/>
      <c r="BW16" s="101"/>
      <c r="BX16" s="97"/>
      <c r="BY16" s="97"/>
      <c r="BZ16" s="97"/>
      <c r="CA16" s="97"/>
      <c r="CB16" s="97"/>
      <c r="CC16" s="97"/>
      <c r="CD16" s="104"/>
      <c r="CE16" s="104"/>
      <c r="CF16" s="104"/>
      <c r="CG16" s="104"/>
      <c r="CH16" s="104"/>
      <c r="CI16" s="104"/>
      <c r="CJ16" s="104"/>
      <c r="CK16" s="104"/>
      <c r="CL16" s="104"/>
      <c r="CM16" s="104"/>
      <c r="CN16" s="104"/>
    </row>
    <row r="17" spans="1:92" s="171" customFormat="1" ht="24">
      <c r="A17" s="330" t="s">
        <v>629</v>
      </c>
      <c r="B17" s="216"/>
      <c r="C17" s="334"/>
      <c r="D17" s="342">
        <v>5</v>
      </c>
      <c r="E17" s="343" t="s">
        <v>98</v>
      </c>
      <c r="F17" s="437" t="s">
        <v>625</v>
      </c>
      <c r="G17" s="438" t="s">
        <v>372</v>
      </c>
      <c r="H17" s="439" t="s">
        <v>98</v>
      </c>
      <c r="I17" s="439" t="s">
        <v>98</v>
      </c>
      <c r="J17" s="335">
        <v>0</v>
      </c>
      <c r="K17" s="438" t="s">
        <v>96</v>
      </c>
      <c r="L17" s="440">
        <f>BA17</f>
        <v>0.44251000000000001</v>
      </c>
      <c r="M17" s="336">
        <v>1</v>
      </c>
      <c r="N17" s="337">
        <f t="shared" ref="N17:N48" si="10">$BN17</f>
        <v>1.0722009304576894</v>
      </c>
      <c r="O17" s="455" t="str">
        <f t="shared" ref="O17:O48" si="11">$BO17&amp;"; "&amp;$BD17</f>
        <v>(2,1,1,2,1,1); Industry data (French tender)</v>
      </c>
      <c r="P17" s="440">
        <f>BB17</f>
        <v>0.41132432432432398</v>
      </c>
      <c r="Q17" s="336">
        <v>1</v>
      </c>
      <c r="R17" s="337">
        <f t="shared" ref="R17:R48" si="12">$BN17</f>
        <v>1.0722009304576894</v>
      </c>
      <c r="S17" s="455" t="str">
        <f t="shared" ref="S17:S48" si="13">$BO17&amp;"; "&amp;$BD17</f>
        <v>(2,1,1,2,1,1); Industry data (French tender)</v>
      </c>
      <c r="T17" s="440">
        <v>0</v>
      </c>
      <c r="U17" s="336">
        <v>1</v>
      </c>
      <c r="V17" s="337">
        <f t="shared" ref="V17:V48" si="14">$BN17</f>
        <v>1.0722009304576894</v>
      </c>
      <c r="W17" s="455" t="str">
        <f t="shared" ref="W17:W48" si="15">$BO17&amp;"; "&amp;$BD17</f>
        <v>(2,1,1,2,1,1); Industry data (French tender)</v>
      </c>
      <c r="X17" s="440">
        <v>0</v>
      </c>
      <c r="Y17" s="336">
        <v>1</v>
      </c>
      <c r="Z17" s="337">
        <f t="shared" ref="Z17:Z48" si="16">$BN17</f>
        <v>1.0722009304576894</v>
      </c>
      <c r="AA17" s="437" t="str">
        <f t="shared" ref="AA17:AA48" si="17">$BO17&amp;"; "&amp;$BD17</f>
        <v>(2,1,1,2,1,1); Industry data (French tender)</v>
      </c>
      <c r="AB17" s="440">
        <v>0</v>
      </c>
      <c r="AC17" s="336">
        <v>1</v>
      </c>
      <c r="AD17" s="337">
        <f t="shared" ref="AD17:AD48" si="18">$BN17</f>
        <v>1.0722009304576894</v>
      </c>
      <c r="AE17" s="455" t="str">
        <f t="shared" ref="AE17:AE48" si="19">$BO17&amp;"; "&amp;$BD17</f>
        <v>(2,1,1,2,1,1); Industry data (French tender)</v>
      </c>
      <c r="AF17" s="440">
        <v>0</v>
      </c>
      <c r="AG17" s="336">
        <v>1</v>
      </c>
      <c r="AH17" s="337">
        <f t="shared" ref="AH17:AH48" si="20">$BN17</f>
        <v>1.0722009304576894</v>
      </c>
      <c r="AI17" s="455" t="str">
        <f t="shared" ref="AI17:AI48" si="21">$BO17&amp;"; "&amp;$BD17</f>
        <v>(2,1,1,2,1,1); Industry data (French tender)</v>
      </c>
      <c r="AJ17" s="440">
        <v>0</v>
      </c>
      <c r="AK17" s="336">
        <v>1</v>
      </c>
      <c r="AL17" s="337">
        <f t="shared" ref="AL17:AL48" si="22">$BN17</f>
        <v>1.0722009304576894</v>
      </c>
      <c r="AM17" s="455" t="str">
        <f t="shared" ref="AM17:AM48" si="23">$BO17&amp;"; "&amp;$BD17</f>
        <v>(2,1,1,2,1,1); Industry data (French tender)</v>
      </c>
      <c r="AN17" s="440">
        <v>0</v>
      </c>
      <c r="AO17" s="336">
        <v>1</v>
      </c>
      <c r="AP17" s="337">
        <f t="shared" ref="AP17:AP48" si="24">$BN17</f>
        <v>1.0722009304576894</v>
      </c>
      <c r="AQ17" s="437" t="str">
        <f t="shared" ref="AQ17:AQ48" si="25">$BO17&amp;"; "&amp;$BD17</f>
        <v>(2,1,1,2,1,1); Industry data (French tender)</v>
      </c>
      <c r="AR17" s="440">
        <v>0</v>
      </c>
      <c r="AS17" s="336">
        <v>1</v>
      </c>
      <c r="AT17" s="337">
        <f t="shared" ref="AT17:AT48" si="26">$CG17</f>
        <v>1.05</v>
      </c>
      <c r="AU17" s="455" t="str">
        <f t="shared" ref="AU17:AU48" si="27">$CH17&amp;"; "&amp;$BW17</f>
        <v xml:space="preserve">(na,na,na,na,na,na); </v>
      </c>
      <c r="AV17" s="440">
        <v>0</v>
      </c>
      <c r="AW17" s="336">
        <v>1</v>
      </c>
      <c r="AX17" s="337">
        <f t="shared" ref="AX17:AX48" si="28">$CG17</f>
        <v>1.05</v>
      </c>
      <c r="AY17" s="455" t="str">
        <f t="shared" ref="AY17:AY48" si="29">$CH17&amp;"; "&amp;$BW17</f>
        <v xml:space="preserve">(na,na,na,na,na,na); </v>
      </c>
      <c r="AZ17" s="338"/>
      <c r="BA17" s="440">
        <v>0.44251000000000001</v>
      </c>
      <c r="BB17" s="440">
        <v>0.41132432432432398</v>
      </c>
      <c r="BC17" s="440"/>
      <c r="BD17" s="216" t="s">
        <v>462</v>
      </c>
      <c r="BE17" s="83">
        <v>2</v>
      </c>
      <c r="BF17" s="83">
        <v>1</v>
      </c>
      <c r="BG17" s="83">
        <v>1</v>
      </c>
      <c r="BH17" s="83">
        <v>2</v>
      </c>
      <c r="BI17" s="83">
        <v>1</v>
      </c>
      <c r="BJ17" s="83">
        <v>1</v>
      </c>
      <c r="BK17" s="104">
        <v>3</v>
      </c>
      <c r="BL17" s="104">
        <v>1.05</v>
      </c>
      <c r="BM17" s="107">
        <f t="shared" ref="BM17:BM48" si="30">EXP(SQRT((LN(BP17)^2)+(LN(BQ17)^2)+(LN(BR17)^2)+(LN(BS17)^2)+(LN(BT17)^2)+(LN(BU17)^2)))</f>
        <v>1.0510550504206344</v>
      </c>
      <c r="BN17" s="107">
        <f t="shared" ref="BN17:BN48" si="31">EXP(SQRT((LN(BP17)^2)+(LN(BQ17)^2)+(LN(BR17)^2)+(LN(BS17)^2)+(LN(BT17)^2)+(LN(BU17)^2)+LN(BL17)^2))</f>
        <v>1.0722009304576894</v>
      </c>
      <c r="BO17" s="107" t="str">
        <f t="shared" ref="BO17:BO48" si="32">CONCATENATE("(",BE17,",",BF17,",",BG17,",",BH17,",",BI17,",",BJ17,")")</f>
        <v>(2,1,1,2,1,1)</v>
      </c>
      <c r="BP17" s="108">
        <v>1.05</v>
      </c>
      <c r="BQ17" s="108">
        <v>1</v>
      </c>
      <c r="BR17" s="108">
        <v>1</v>
      </c>
      <c r="BS17" s="108">
        <v>1.01</v>
      </c>
      <c r="BT17" s="108">
        <v>1</v>
      </c>
      <c r="BU17" s="108">
        <v>1</v>
      </c>
      <c r="BW17" s="691"/>
      <c r="BX17" s="339" t="s">
        <v>106</v>
      </c>
      <c r="BY17" s="339" t="s">
        <v>106</v>
      </c>
      <c r="BZ17" s="339" t="s">
        <v>106</v>
      </c>
      <c r="CA17" s="339" t="s">
        <v>106</v>
      </c>
      <c r="CB17" s="339" t="s">
        <v>106</v>
      </c>
      <c r="CC17" s="339" t="s">
        <v>106</v>
      </c>
      <c r="CD17" s="104">
        <v>3</v>
      </c>
      <c r="CE17" s="104">
        <v>1.05</v>
      </c>
      <c r="CF17" s="107">
        <f t="shared" ref="CF17:CF48" si="33">EXP(SQRT((LN(CI17)^2)+(LN(CJ17)^2)+(LN(CK17)^2)+(LN(CL17)^2)+(LN(CM17)^2)+(LN(CN17)^2)))</f>
        <v>1</v>
      </c>
      <c r="CG17" s="107">
        <f t="shared" ref="CG17:CG48" si="34">EXP(SQRT((LN(CI17)^2)+(LN(CJ17)^2)+(LN(CK17)^2)+(LN(CL17)^2)+(LN(CM17)^2)+(LN(CN17)^2)+LN(CE17)^2))</f>
        <v>1.05</v>
      </c>
      <c r="CH17" s="107" t="str">
        <f t="shared" ref="CH17:CH48" si="35">CONCATENATE("(",BX17,",",BY17,",",BZ17,",",CA17,",",CB17,",",CC17,")")</f>
        <v>(na,na,na,na,na,na)</v>
      </c>
      <c r="CI17" s="108">
        <v>1</v>
      </c>
      <c r="CJ17" s="108">
        <v>1</v>
      </c>
      <c r="CK17" s="108">
        <v>1</v>
      </c>
      <c r="CL17" s="108">
        <v>1</v>
      </c>
      <c r="CM17" s="108">
        <v>1</v>
      </c>
      <c r="CN17" s="108">
        <v>1</v>
      </c>
    </row>
    <row r="18" spans="1:92" s="171" customFormat="1" ht="24">
      <c r="A18" s="333" t="s">
        <v>630</v>
      </c>
      <c r="B18" s="216"/>
      <c r="C18" s="334"/>
      <c r="D18" s="342">
        <v>5</v>
      </c>
      <c r="E18" s="343" t="s">
        <v>98</v>
      </c>
      <c r="F18" s="437" t="s">
        <v>626</v>
      </c>
      <c r="G18" s="438" t="s">
        <v>215</v>
      </c>
      <c r="H18" s="439" t="s">
        <v>98</v>
      </c>
      <c r="I18" s="439" t="s">
        <v>98</v>
      </c>
      <c r="J18" s="335">
        <v>0</v>
      </c>
      <c r="K18" s="438" t="s">
        <v>96</v>
      </c>
      <c r="L18" s="440">
        <v>0</v>
      </c>
      <c r="M18" s="336">
        <v>1</v>
      </c>
      <c r="N18" s="337">
        <f t="shared" si="10"/>
        <v>1.0722009304576894</v>
      </c>
      <c r="O18" s="455" t="str">
        <f t="shared" si="11"/>
        <v>(2,1,1,2,1,1); Industry data (French tender)</v>
      </c>
      <c r="P18" s="440">
        <v>0</v>
      </c>
      <c r="Q18" s="336">
        <v>1</v>
      </c>
      <c r="R18" s="337">
        <f t="shared" si="12"/>
        <v>1.0722009304576894</v>
      </c>
      <c r="S18" s="455" t="str">
        <f t="shared" si="13"/>
        <v>(2,1,1,2,1,1); Industry data (French tender)</v>
      </c>
      <c r="T18" s="456">
        <f>L17</f>
        <v>0.44251000000000001</v>
      </c>
      <c r="U18" s="336">
        <v>1</v>
      </c>
      <c r="V18" s="337">
        <f t="shared" si="14"/>
        <v>1.0722009304576894</v>
      </c>
      <c r="W18" s="455" t="str">
        <f t="shared" si="15"/>
        <v>(2,1,1,2,1,1); Industry data (French tender)</v>
      </c>
      <c r="X18" s="440">
        <f>BB17</f>
        <v>0.41132432432432398</v>
      </c>
      <c r="Y18" s="336">
        <v>1</v>
      </c>
      <c r="Z18" s="337">
        <f t="shared" si="16"/>
        <v>1.0722009304576894</v>
      </c>
      <c r="AA18" s="437" t="str">
        <f t="shared" si="17"/>
        <v>(2,1,1,2,1,1); Industry data (French tender)</v>
      </c>
      <c r="AB18" s="440">
        <v>0</v>
      </c>
      <c r="AC18" s="336">
        <v>1</v>
      </c>
      <c r="AD18" s="337">
        <f t="shared" si="18"/>
        <v>1.0722009304576894</v>
      </c>
      <c r="AE18" s="455" t="str">
        <f t="shared" si="19"/>
        <v>(2,1,1,2,1,1); Industry data (French tender)</v>
      </c>
      <c r="AF18" s="440">
        <v>0</v>
      </c>
      <c r="AG18" s="336">
        <v>1</v>
      </c>
      <c r="AH18" s="337">
        <f t="shared" si="20"/>
        <v>1.0722009304576894</v>
      </c>
      <c r="AI18" s="455" t="str">
        <f t="shared" si="21"/>
        <v>(2,1,1,2,1,1); Industry data (French tender)</v>
      </c>
      <c r="AJ18" s="440">
        <v>0</v>
      </c>
      <c r="AK18" s="336">
        <v>1</v>
      </c>
      <c r="AL18" s="337">
        <f t="shared" si="22"/>
        <v>1.0722009304576894</v>
      </c>
      <c r="AM18" s="455" t="str">
        <f t="shared" si="23"/>
        <v>(2,1,1,2,1,1); Industry data (French tender)</v>
      </c>
      <c r="AN18" s="440">
        <v>0</v>
      </c>
      <c r="AO18" s="336">
        <v>1</v>
      </c>
      <c r="AP18" s="337">
        <f t="shared" si="24"/>
        <v>1.0722009304576894</v>
      </c>
      <c r="AQ18" s="437" t="str">
        <f t="shared" si="25"/>
        <v>(2,1,1,2,1,1); Industry data (French tender)</v>
      </c>
      <c r="AR18" s="440">
        <v>0</v>
      </c>
      <c r="AS18" s="336">
        <v>1</v>
      </c>
      <c r="AT18" s="337">
        <f t="shared" si="26"/>
        <v>1.05</v>
      </c>
      <c r="AU18" s="455" t="str">
        <f t="shared" si="27"/>
        <v xml:space="preserve">(na,na,na,na,na,na); </v>
      </c>
      <c r="AV18" s="440">
        <v>0</v>
      </c>
      <c r="AW18" s="336">
        <v>1</v>
      </c>
      <c r="AX18" s="337">
        <f t="shared" si="28"/>
        <v>1.05</v>
      </c>
      <c r="AY18" s="455" t="str">
        <f t="shared" si="29"/>
        <v xml:space="preserve">(na,na,na,na,na,na); </v>
      </c>
      <c r="AZ18" s="338"/>
      <c r="BA18" s="440" t="s">
        <v>815</v>
      </c>
      <c r="BB18" s="440" t="s">
        <v>815</v>
      </c>
      <c r="BC18" s="440"/>
      <c r="BD18" s="216" t="s">
        <v>462</v>
      </c>
      <c r="BE18" s="83">
        <v>2</v>
      </c>
      <c r="BF18" s="83">
        <v>1</v>
      </c>
      <c r="BG18" s="83">
        <v>1</v>
      </c>
      <c r="BH18" s="83">
        <v>2</v>
      </c>
      <c r="BI18" s="83">
        <v>1</v>
      </c>
      <c r="BJ18" s="83">
        <v>1</v>
      </c>
      <c r="BK18" s="104">
        <v>3</v>
      </c>
      <c r="BL18" s="104">
        <v>1.05</v>
      </c>
      <c r="BM18" s="107">
        <f t="shared" si="30"/>
        <v>1.0510550504206344</v>
      </c>
      <c r="BN18" s="107">
        <f t="shared" si="31"/>
        <v>1.0722009304576894</v>
      </c>
      <c r="BO18" s="107" t="str">
        <f t="shared" si="32"/>
        <v>(2,1,1,2,1,1)</v>
      </c>
      <c r="BP18" s="108">
        <v>1.05</v>
      </c>
      <c r="BQ18" s="108">
        <v>1</v>
      </c>
      <c r="BR18" s="108">
        <v>1</v>
      </c>
      <c r="BS18" s="108">
        <v>1.01</v>
      </c>
      <c r="BT18" s="108">
        <v>1</v>
      </c>
      <c r="BU18" s="108">
        <v>1</v>
      </c>
      <c r="BW18" s="691"/>
      <c r="BX18" s="339" t="s">
        <v>106</v>
      </c>
      <c r="BY18" s="339" t="s">
        <v>106</v>
      </c>
      <c r="BZ18" s="339" t="s">
        <v>106</v>
      </c>
      <c r="CA18" s="339" t="s">
        <v>106</v>
      </c>
      <c r="CB18" s="339" t="s">
        <v>106</v>
      </c>
      <c r="CC18" s="339" t="s">
        <v>106</v>
      </c>
      <c r="CD18" s="104">
        <v>3</v>
      </c>
      <c r="CE18" s="104">
        <v>1.05</v>
      </c>
      <c r="CF18" s="107">
        <f t="shared" si="33"/>
        <v>1</v>
      </c>
      <c r="CG18" s="107">
        <f t="shared" si="34"/>
        <v>1.05</v>
      </c>
      <c r="CH18" s="107" t="str">
        <f t="shared" si="35"/>
        <v>(na,na,na,na,na,na)</v>
      </c>
      <c r="CI18" s="108">
        <v>1</v>
      </c>
      <c r="CJ18" s="108">
        <v>1</v>
      </c>
      <c r="CK18" s="108">
        <v>1</v>
      </c>
      <c r="CL18" s="108">
        <v>1</v>
      </c>
      <c r="CM18" s="108">
        <v>1</v>
      </c>
      <c r="CN18" s="108">
        <v>1</v>
      </c>
    </row>
    <row r="19" spans="1:92" s="171" customFormat="1" ht="24">
      <c r="A19" s="333" t="s">
        <v>631</v>
      </c>
      <c r="B19" s="216"/>
      <c r="C19" s="334"/>
      <c r="D19" s="342">
        <v>5</v>
      </c>
      <c r="E19" s="343" t="s">
        <v>98</v>
      </c>
      <c r="F19" s="437" t="s">
        <v>627</v>
      </c>
      <c r="G19" s="438" t="s">
        <v>373</v>
      </c>
      <c r="H19" s="439" t="s">
        <v>98</v>
      </c>
      <c r="I19" s="439" t="s">
        <v>98</v>
      </c>
      <c r="J19" s="335">
        <v>0</v>
      </c>
      <c r="K19" s="438" t="s">
        <v>96</v>
      </c>
      <c r="L19" s="440">
        <v>0</v>
      </c>
      <c r="M19" s="336">
        <v>1</v>
      </c>
      <c r="N19" s="337">
        <f t="shared" si="10"/>
        <v>1.0722009304576894</v>
      </c>
      <c r="O19" s="455" t="str">
        <f t="shared" si="11"/>
        <v>(2,1,1,2,1,1); Industry data (French tender)</v>
      </c>
      <c r="P19" s="440">
        <v>0</v>
      </c>
      <c r="Q19" s="336">
        <v>1</v>
      </c>
      <c r="R19" s="337">
        <f t="shared" si="12"/>
        <v>1.0722009304576894</v>
      </c>
      <c r="S19" s="455" t="str">
        <f t="shared" si="13"/>
        <v>(2,1,1,2,1,1); Industry data (French tender)</v>
      </c>
      <c r="T19" s="440">
        <v>0</v>
      </c>
      <c r="U19" s="336">
        <v>1</v>
      </c>
      <c r="V19" s="337">
        <f t="shared" si="14"/>
        <v>1.0722009304576894</v>
      </c>
      <c r="W19" s="455" t="str">
        <f t="shared" si="15"/>
        <v>(2,1,1,2,1,1); Industry data (French tender)</v>
      </c>
      <c r="X19" s="440">
        <v>0</v>
      </c>
      <c r="Y19" s="336">
        <v>1</v>
      </c>
      <c r="Z19" s="337">
        <f t="shared" si="16"/>
        <v>1.0722009304576894</v>
      </c>
      <c r="AA19" s="437" t="str">
        <f t="shared" si="17"/>
        <v>(2,1,1,2,1,1); Industry data (French tender)</v>
      </c>
      <c r="AB19" s="440">
        <f>T18</f>
        <v>0.44251000000000001</v>
      </c>
      <c r="AC19" s="336">
        <v>1</v>
      </c>
      <c r="AD19" s="337">
        <f t="shared" si="18"/>
        <v>1.0722009304576894</v>
      </c>
      <c r="AE19" s="455" t="str">
        <f t="shared" si="19"/>
        <v>(2,1,1,2,1,1); Industry data (French tender)</v>
      </c>
      <c r="AF19" s="440">
        <f>BB17</f>
        <v>0.41132432432432398</v>
      </c>
      <c r="AG19" s="336">
        <v>1</v>
      </c>
      <c r="AH19" s="337">
        <f t="shared" si="20"/>
        <v>1.0722009304576894</v>
      </c>
      <c r="AI19" s="455" t="str">
        <f t="shared" si="21"/>
        <v>(2,1,1,2,1,1); Industry data (French tender)</v>
      </c>
      <c r="AJ19" s="440">
        <v>0</v>
      </c>
      <c r="AK19" s="336">
        <v>1</v>
      </c>
      <c r="AL19" s="337">
        <f t="shared" si="22"/>
        <v>1.0722009304576894</v>
      </c>
      <c r="AM19" s="455" t="str">
        <f t="shared" si="23"/>
        <v>(2,1,1,2,1,1); Industry data (French tender)</v>
      </c>
      <c r="AN19" s="440">
        <v>0</v>
      </c>
      <c r="AO19" s="336">
        <v>1</v>
      </c>
      <c r="AP19" s="337">
        <f t="shared" si="24"/>
        <v>1.0722009304576894</v>
      </c>
      <c r="AQ19" s="437" t="str">
        <f t="shared" si="25"/>
        <v>(2,1,1,2,1,1); Industry data (French tender)</v>
      </c>
      <c r="AR19" s="440">
        <v>0</v>
      </c>
      <c r="AS19" s="336">
        <v>1</v>
      </c>
      <c r="AT19" s="337">
        <f t="shared" si="26"/>
        <v>1.05</v>
      </c>
      <c r="AU19" s="455" t="str">
        <f t="shared" si="27"/>
        <v xml:space="preserve">(na,na,na,na,na,na); </v>
      </c>
      <c r="AV19" s="440">
        <v>0</v>
      </c>
      <c r="AW19" s="336">
        <v>1</v>
      </c>
      <c r="AX19" s="337">
        <f t="shared" si="28"/>
        <v>1.05</v>
      </c>
      <c r="AY19" s="455" t="str">
        <f t="shared" si="29"/>
        <v xml:space="preserve">(na,na,na,na,na,na); </v>
      </c>
      <c r="AZ19" s="338"/>
      <c r="BA19" s="440" t="s">
        <v>815</v>
      </c>
      <c r="BB19" s="440" t="s">
        <v>815</v>
      </c>
      <c r="BC19" s="440"/>
      <c r="BD19" s="216" t="s">
        <v>462</v>
      </c>
      <c r="BE19" s="83">
        <v>2</v>
      </c>
      <c r="BF19" s="83">
        <v>1</v>
      </c>
      <c r="BG19" s="83">
        <v>1</v>
      </c>
      <c r="BH19" s="83">
        <v>2</v>
      </c>
      <c r="BI19" s="83">
        <v>1</v>
      </c>
      <c r="BJ19" s="83">
        <v>1</v>
      </c>
      <c r="BK19" s="104">
        <v>3</v>
      </c>
      <c r="BL19" s="104">
        <v>1.05</v>
      </c>
      <c r="BM19" s="107">
        <f t="shared" si="30"/>
        <v>1.0510550504206344</v>
      </c>
      <c r="BN19" s="107">
        <f t="shared" si="31"/>
        <v>1.0722009304576894</v>
      </c>
      <c r="BO19" s="107" t="str">
        <f t="shared" si="32"/>
        <v>(2,1,1,2,1,1)</v>
      </c>
      <c r="BP19" s="108">
        <v>1.05</v>
      </c>
      <c r="BQ19" s="108">
        <v>1</v>
      </c>
      <c r="BR19" s="108">
        <v>1</v>
      </c>
      <c r="BS19" s="108">
        <v>1.01</v>
      </c>
      <c r="BT19" s="108">
        <v>1</v>
      </c>
      <c r="BU19" s="108">
        <v>1</v>
      </c>
      <c r="BW19" s="691"/>
      <c r="BX19" s="339" t="s">
        <v>106</v>
      </c>
      <c r="BY19" s="339" t="s">
        <v>106</v>
      </c>
      <c r="BZ19" s="339" t="s">
        <v>106</v>
      </c>
      <c r="CA19" s="339" t="s">
        <v>106</v>
      </c>
      <c r="CB19" s="339" t="s">
        <v>106</v>
      </c>
      <c r="CC19" s="339" t="s">
        <v>106</v>
      </c>
      <c r="CD19" s="104">
        <v>3</v>
      </c>
      <c r="CE19" s="104">
        <v>1.05</v>
      </c>
      <c r="CF19" s="107">
        <f t="shared" si="33"/>
        <v>1</v>
      </c>
      <c r="CG19" s="107">
        <f t="shared" si="34"/>
        <v>1.05</v>
      </c>
      <c r="CH19" s="107" t="str">
        <f t="shared" si="35"/>
        <v>(na,na,na,na,na,na)</v>
      </c>
      <c r="CI19" s="108">
        <v>1</v>
      </c>
      <c r="CJ19" s="108">
        <v>1</v>
      </c>
      <c r="CK19" s="108">
        <v>1</v>
      </c>
      <c r="CL19" s="108">
        <v>1</v>
      </c>
      <c r="CM19" s="108">
        <v>1</v>
      </c>
      <c r="CN19" s="108">
        <v>1</v>
      </c>
    </row>
    <row r="20" spans="1:92" s="171" customFormat="1" ht="24">
      <c r="A20" s="333" t="s">
        <v>628</v>
      </c>
      <c r="B20" s="216"/>
      <c r="C20" s="334"/>
      <c r="D20" s="342">
        <v>5</v>
      </c>
      <c r="E20" s="343" t="s">
        <v>98</v>
      </c>
      <c r="F20" s="437" t="s">
        <v>624</v>
      </c>
      <c r="G20" s="438" t="s">
        <v>93</v>
      </c>
      <c r="H20" s="439" t="s">
        <v>98</v>
      </c>
      <c r="I20" s="439" t="s">
        <v>98</v>
      </c>
      <c r="J20" s="335">
        <v>0</v>
      </c>
      <c r="K20" s="438" t="s">
        <v>96</v>
      </c>
      <c r="L20" s="440">
        <v>0</v>
      </c>
      <c r="M20" s="336">
        <v>1</v>
      </c>
      <c r="N20" s="337">
        <f t="shared" si="10"/>
        <v>1.0722009304576894</v>
      </c>
      <c r="O20" s="455" t="str">
        <f t="shared" si="11"/>
        <v>(2,1,1,2,1,1); Industry data (French tender)</v>
      </c>
      <c r="P20" s="440">
        <v>0</v>
      </c>
      <c r="Q20" s="336">
        <v>1</v>
      </c>
      <c r="R20" s="337">
        <f t="shared" si="12"/>
        <v>1.0722009304576894</v>
      </c>
      <c r="S20" s="455" t="str">
        <f t="shared" si="13"/>
        <v>(2,1,1,2,1,1); Industry data (French tender)</v>
      </c>
      <c r="T20" s="440">
        <v>0</v>
      </c>
      <c r="U20" s="336">
        <v>1</v>
      </c>
      <c r="V20" s="337">
        <f t="shared" si="14"/>
        <v>1.0722009304576894</v>
      </c>
      <c r="W20" s="455" t="str">
        <f t="shared" si="15"/>
        <v>(2,1,1,2,1,1); Industry data (French tender)</v>
      </c>
      <c r="X20" s="440">
        <v>0</v>
      </c>
      <c r="Y20" s="336">
        <v>1</v>
      </c>
      <c r="Z20" s="337">
        <f t="shared" si="16"/>
        <v>1.0722009304576894</v>
      </c>
      <c r="AA20" s="437" t="str">
        <f t="shared" si="17"/>
        <v>(2,1,1,2,1,1); Industry data (French tender)</v>
      </c>
      <c r="AB20" s="440">
        <v>0</v>
      </c>
      <c r="AC20" s="336">
        <v>1</v>
      </c>
      <c r="AD20" s="337">
        <f t="shared" si="18"/>
        <v>1.0722009304576894</v>
      </c>
      <c r="AE20" s="455" t="str">
        <f t="shared" si="19"/>
        <v>(2,1,1,2,1,1); Industry data (French tender)</v>
      </c>
      <c r="AF20" s="440">
        <v>0</v>
      </c>
      <c r="AG20" s="336">
        <v>1</v>
      </c>
      <c r="AH20" s="337">
        <f t="shared" si="20"/>
        <v>1.0722009304576894</v>
      </c>
      <c r="AI20" s="455" t="str">
        <f t="shared" si="21"/>
        <v>(2,1,1,2,1,1); Industry data (French tender)</v>
      </c>
      <c r="AJ20" s="456">
        <f>L17</f>
        <v>0.44251000000000001</v>
      </c>
      <c r="AK20" s="336">
        <v>1</v>
      </c>
      <c r="AL20" s="337">
        <f t="shared" si="22"/>
        <v>1.0722009304576894</v>
      </c>
      <c r="AM20" s="455" t="str">
        <f t="shared" si="23"/>
        <v>(2,1,1,2,1,1); Industry data (French tender)</v>
      </c>
      <c r="AN20" s="440">
        <f>BB17</f>
        <v>0.41132432432432398</v>
      </c>
      <c r="AO20" s="336">
        <v>1</v>
      </c>
      <c r="AP20" s="337">
        <f t="shared" si="24"/>
        <v>1.0722009304576894</v>
      </c>
      <c r="AQ20" s="437" t="str">
        <f t="shared" si="25"/>
        <v>(2,1,1,2,1,1); Industry data (French tender)</v>
      </c>
      <c r="AR20" s="440">
        <v>0</v>
      </c>
      <c r="AS20" s="336">
        <v>1</v>
      </c>
      <c r="AT20" s="337">
        <f t="shared" si="26"/>
        <v>1.05</v>
      </c>
      <c r="AU20" s="455" t="str">
        <f t="shared" si="27"/>
        <v xml:space="preserve">(na,na,na,na,na,na); </v>
      </c>
      <c r="AV20" s="440">
        <v>0</v>
      </c>
      <c r="AW20" s="336">
        <v>1</v>
      </c>
      <c r="AX20" s="337">
        <f t="shared" si="28"/>
        <v>1.05</v>
      </c>
      <c r="AY20" s="455" t="str">
        <f t="shared" si="29"/>
        <v xml:space="preserve">(na,na,na,na,na,na); </v>
      </c>
      <c r="AZ20" s="338"/>
      <c r="BA20" s="440" t="s">
        <v>815</v>
      </c>
      <c r="BB20" s="440" t="s">
        <v>815</v>
      </c>
      <c r="BC20" s="440"/>
      <c r="BD20" s="216" t="s">
        <v>462</v>
      </c>
      <c r="BE20" s="83">
        <v>2</v>
      </c>
      <c r="BF20" s="83">
        <v>1</v>
      </c>
      <c r="BG20" s="83">
        <v>1</v>
      </c>
      <c r="BH20" s="83">
        <v>2</v>
      </c>
      <c r="BI20" s="83">
        <v>1</v>
      </c>
      <c r="BJ20" s="83">
        <v>1</v>
      </c>
      <c r="BK20" s="104">
        <v>3</v>
      </c>
      <c r="BL20" s="104">
        <v>1.05</v>
      </c>
      <c r="BM20" s="107">
        <f t="shared" si="30"/>
        <v>1.0510550504206344</v>
      </c>
      <c r="BN20" s="107">
        <f t="shared" si="31"/>
        <v>1.0722009304576894</v>
      </c>
      <c r="BO20" s="107" t="str">
        <f t="shared" si="32"/>
        <v>(2,1,1,2,1,1)</v>
      </c>
      <c r="BP20" s="108">
        <v>1.05</v>
      </c>
      <c r="BQ20" s="108">
        <v>1</v>
      </c>
      <c r="BR20" s="108">
        <v>1</v>
      </c>
      <c r="BS20" s="108">
        <v>1.01</v>
      </c>
      <c r="BT20" s="108">
        <v>1</v>
      </c>
      <c r="BU20" s="108">
        <v>1</v>
      </c>
      <c r="BW20" s="691"/>
      <c r="BX20" s="339" t="s">
        <v>106</v>
      </c>
      <c r="BY20" s="339" t="s">
        <v>106</v>
      </c>
      <c r="BZ20" s="339" t="s">
        <v>106</v>
      </c>
      <c r="CA20" s="339" t="s">
        <v>106</v>
      </c>
      <c r="CB20" s="339" t="s">
        <v>106</v>
      </c>
      <c r="CC20" s="339" t="s">
        <v>106</v>
      </c>
      <c r="CD20" s="104">
        <v>3</v>
      </c>
      <c r="CE20" s="104">
        <v>1.05</v>
      </c>
      <c r="CF20" s="107">
        <f t="shared" si="33"/>
        <v>1</v>
      </c>
      <c r="CG20" s="107">
        <f t="shared" si="34"/>
        <v>1.05</v>
      </c>
      <c r="CH20" s="107" t="str">
        <f t="shared" si="35"/>
        <v>(na,na,na,na,na,na)</v>
      </c>
      <c r="CI20" s="108">
        <v>1</v>
      </c>
      <c r="CJ20" s="108">
        <v>1</v>
      </c>
      <c r="CK20" s="108">
        <v>1</v>
      </c>
      <c r="CL20" s="108">
        <v>1</v>
      </c>
      <c r="CM20" s="108">
        <v>1</v>
      </c>
      <c r="CN20" s="108">
        <v>1</v>
      </c>
    </row>
    <row r="21" spans="1:92" ht="24" collapsed="1">
      <c r="A21" s="330" t="s">
        <v>453</v>
      </c>
      <c r="B21" s="331"/>
      <c r="C21" s="88"/>
      <c r="D21" s="340">
        <v>5</v>
      </c>
      <c r="E21" s="341" t="s">
        <v>98</v>
      </c>
      <c r="F21" s="432" t="s">
        <v>443</v>
      </c>
      <c r="G21" s="433" t="s">
        <v>340</v>
      </c>
      <c r="H21" s="434" t="s">
        <v>98</v>
      </c>
      <c r="I21" s="434" t="s">
        <v>98</v>
      </c>
      <c r="J21" s="94">
        <v>0</v>
      </c>
      <c r="K21" s="433" t="s">
        <v>96</v>
      </c>
      <c r="L21" s="435">
        <v>0</v>
      </c>
      <c r="M21" s="95">
        <v>1</v>
      </c>
      <c r="N21" s="96">
        <f t="shared" si="10"/>
        <v>1.05</v>
      </c>
      <c r="O21" s="457" t="str">
        <f t="shared" si="11"/>
        <v xml:space="preserve">(na,na,na,na,na,na); </v>
      </c>
      <c r="P21" s="435">
        <v>0</v>
      </c>
      <c r="Q21" s="95">
        <v>1</v>
      </c>
      <c r="R21" s="96">
        <f t="shared" si="12"/>
        <v>1.05</v>
      </c>
      <c r="S21" s="457" t="str">
        <f t="shared" si="13"/>
        <v xml:space="preserve">(na,na,na,na,na,na); </v>
      </c>
      <c r="T21" s="435">
        <v>0</v>
      </c>
      <c r="U21" s="95">
        <v>1</v>
      </c>
      <c r="V21" s="96">
        <f t="shared" si="14"/>
        <v>1.05</v>
      </c>
      <c r="W21" s="457" t="str">
        <f t="shared" si="15"/>
        <v xml:space="preserve">(na,na,na,na,na,na); </v>
      </c>
      <c r="X21" s="435">
        <v>0</v>
      </c>
      <c r="Y21" s="95">
        <v>1</v>
      </c>
      <c r="Z21" s="96">
        <f t="shared" si="16"/>
        <v>1.05</v>
      </c>
      <c r="AA21" s="432" t="str">
        <f t="shared" si="17"/>
        <v xml:space="preserve">(na,na,na,na,na,na); </v>
      </c>
      <c r="AB21" s="435">
        <v>0</v>
      </c>
      <c r="AC21" s="95">
        <v>1</v>
      </c>
      <c r="AD21" s="96">
        <f t="shared" si="18"/>
        <v>1.05</v>
      </c>
      <c r="AE21" s="457" t="str">
        <f t="shared" si="19"/>
        <v xml:space="preserve">(na,na,na,na,na,na); </v>
      </c>
      <c r="AF21" s="435">
        <v>0</v>
      </c>
      <c r="AG21" s="95">
        <v>1</v>
      </c>
      <c r="AH21" s="96">
        <f t="shared" si="20"/>
        <v>1.05</v>
      </c>
      <c r="AI21" s="457" t="str">
        <f t="shared" si="21"/>
        <v xml:space="preserve">(na,na,na,na,na,na); </v>
      </c>
      <c r="AJ21" s="435">
        <v>0</v>
      </c>
      <c r="AK21" s="95">
        <v>1</v>
      </c>
      <c r="AL21" s="96">
        <f t="shared" si="22"/>
        <v>1.05</v>
      </c>
      <c r="AM21" s="457" t="str">
        <f t="shared" si="23"/>
        <v xml:space="preserve">(na,na,na,na,na,na); </v>
      </c>
      <c r="AN21" s="435">
        <v>0</v>
      </c>
      <c r="AO21" s="95">
        <v>1</v>
      </c>
      <c r="AP21" s="96">
        <f t="shared" si="24"/>
        <v>1.05</v>
      </c>
      <c r="AQ21" s="432" t="str">
        <f t="shared" si="25"/>
        <v xml:space="preserve">(na,na,na,na,na,na); </v>
      </c>
      <c r="AR21" s="435">
        <v>0.46132475119935401</v>
      </c>
      <c r="AS21" s="95">
        <v>1</v>
      </c>
      <c r="AT21" s="96">
        <f t="shared" si="26"/>
        <v>1.2434566510799234</v>
      </c>
      <c r="AU21" s="457" t="str">
        <f t="shared" si="27"/>
        <v>(2,4,1,3,1,5); Brailovsky (2026) GM 04</v>
      </c>
      <c r="AV21" s="435">
        <v>0</v>
      </c>
      <c r="AW21" s="95">
        <v>1</v>
      </c>
      <c r="AX21" s="96">
        <f t="shared" si="28"/>
        <v>1.2434566510799234</v>
      </c>
      <c r="AY21" s="432" t="str">
        <f t="shared" si="29"/>
        <v>(2,4,1,3,1,5); Brailovsky (2026) GM 04</v>
      </c>
      <c r="AZ21" s="112"/>
      <c r="BA21" s="435"/>
      <c r="BB21" s="435"/>
      <c r="BC21" s="435"/>
      <c r="BD21" s="493"/>
      <c r="BE21" s="339" t="s">
        <v>106</v>
      </c>
      <c r="BF21" s="339" t="s">
        <v>106</v>
      </c>
      <c r="BG21" s="339" t="s">
        <v>106</v>
      </c>
      <c r="BH21" s="339" t="s">
        <v>106</v>
      </c>
      <c r="BI21" s="339" t="s">
        <v>106</v>
      </c>
      <c r="BJ21" s="339" t="s">
        <v>106</v>
      </c>
      <c r="BK21" s="104">
        <v>3</v>
      </c>
      <c r="BL21" s="104">
        <v>1.05</v>
      </c>
      <c r="BM21" s="107">
        <f t="shared" si="30"/>
        <v>1</v>
      </c>
      <c r="BN21" s="107">
        <f t="shared" si="31"/>
        <v>1.05</v>
      </c>
      <c r="BO21" s="107" t="str">
        <f t="shared" si="32"/>
        <v>(na,na,na,na,na,na)</v>
      </c>
      <c r="BP21" s="108">
        <v>1</v>
      </c>
      <c r="BQ21" s="108">
        <v>1</v>
      </c>
      <c r="BR21" s="108">
        <v>1</v>
      </c>
      <c r="BS21" s="108">
        <v>1</v>
      </c>
      <c r="BT21" s="108">
        <v>1</v>
      </c>
      <c r="BU21" s="108">
        <v>1</v>
      </c>
      <c r="BW21" s="692" t="s">
        <v>816</v>
      </c>
      <c r="BX21" s="339">
        <v>2</v>
      </c>
      <c r="BY21" s="339">
        <v>4</v>
      </c>
      <c r="BZ21" s="339">
        <v>1</v>
      </c>
      <c r="CA21" s="339">
        <v>3</v>
      </c>
      <c r="CB21" s="339">
        <v>1</v>
      </c>
      <c r="CC21" s="339">
        <v>5</v>
      </c>
      <c r="CD21" s="104">
        <v>3</v>
      </c>
      <c r="CE21" s="104">
        <v>1.05</v>
      </c>
      <c r="CF21" s="107">
        <f t="shared" si="33"/>
        <v>1.2365959919080913</v>
      </c>
      <c r="CG21" s="107">
        <f t="shared" si="34"/>
        <v>1.2434566510799234</v>
      </c>
      <c r="CH21" s="107" t="str">
        <f t="shared" si="35"/>
        <v>(2,4,1,3,1,5)</v>
      </c>
      <c r="CI21" s="108">
        <v>1.05</v>
      </c>
      <c r="CJ21" s="108">
        <v>1.1000000000000001</v>
      </c>
      <c r="CK21" s="108">
        <v>1</v>
      </c>
      <c r="CL21" s="108">
        <v>1.02</v>
      </c>
      <c r="CM21" s="108">
        <v>1</v>
      </c>
      <c r="CN21" s="108">
        <v>1.2</v>
      </c>
    </row>
    <row r="22" spans="1:92" ht="24">
      <c r="A22" s="330" t="s">
        <v>454</v>
      </c>
      <c r="B22" s="331"/>
      <c r="C22" s="88"/>
      <c r="D22" s="340">
        <v>5</v>
      </c>
      <c r="E22" s="341" t="s">
        <v>98</v>
      </c>
      <c r="F22" s="432" t="s">
        <v>444</v>
      </c>
      <c r="G22" s="433" t="s">
        <v>372</v>
      </c>
      <c r="H22" s="434" t="s">
        <v>98</v>
      </c>
      <c r="I22" s="434" t="s">
        <v>98</v>
      </c>
      <c r="J22" s="94">
        <v>0</v>
      </c>
      <c r="K22" s="433" t="s">
        <v>96</v>
      </c>
      <c r="L22" s="435">
        <v>0</v>
      </c>
      <c r="M22" s="95">
        <v>1</v>
      </c>
      <c r="N22" s="96">
        <f t="shared" si="10"/>
        <v>1.05</v>
      </c>
      <c r="O22" s="457" t="str">
        <f t="shared" si="11"/>
        <v xml:space="preserve">(na,na,na,na,na,na); </v>
      </c>
      <c r="P22" s="435">
        <v>0</v>
      </c>
      <c r="Q22" s="95">
        <v>1</v>
      </c>
      <c r="R22" s="96">
        <f t="shared" si="12"/>
        <v>1.05</v>
      </c>
      <c r="S22" s="457" t="str">
        <f t="shared" si="13"/>
        <v xml:space="preserve">(na,na,na,na,na,na); </v>
      </c>
      <c r="T22" s="435">
        <v>0</v>
      </c>
      <c r="U22" s="95">
        <v>1</v>
      </c>
      <c r="V22" s="96">
        <f t="shared" si="14"/>
        <v>1.05</v>
      </c>
      <c r="W22" s="457" t="str">
        <f t="shared" si="15"/>
        <v xml:space="preserve">(na,na,na,na,na,na); </v>
      </c>
      <c r="X22" s="435">
        <v>0</v>
      </c>
      <c r="Y22" s="95">
        <v>1</v>
      </c>
      <c r="Z22" s="96">
        <f t="shared" si="16"/>
        <v>1.05</v>
      </c>
      <c r="AA22" s="432" t="str">
        <f t="shared" si="17"/>
        <v xml:space="preserve">(na,na,na,na,na,na); </v>
      </c>
      <c r="AB22" s="435">
        <v>0</v>
      </c>
      <c r="AC22" s="95">
        <v>1</v>
      </c>
      <c r="AD22" s="96">
        <f t="shared" si="18"/>
        <v>1.05</v>
      </c>
      <c r="AE22" s="457" t="str">
        <f t="shared" si="19"/>
        <v xml:space="preserve">(na,na,na,na,na,na); </v>
      </c>
      <c r="AF22" s="435">
        <v>0</v>
      </c>
      <c r="AG22" s="95">
        <v>1</v>
      </c>
      <c r="AH22" s="96">
        <f t="shared" si="20"/>
        <v>1.05</v>
      </c>
      <c r="AI22" s="457" t="str">
        <f t="shared" si="21"/>
        <v xml:space="preserve">(na,na,na,na,na,na); </v>
      </c>
      <c r="AJ22" s="435">
        <v>0</v>
      </c>
      <c r="AK22" s="95">
        <v>1</v>
      </c>
      <c r="AL22" s="96">
        <f t="shared" si="22"/>
        <v>1.05</v>
      </c>
      <c r="AM22" s="457" t="str">
        <f t="shared" si="23"/>
        <v xml:space="preserve">(na,na,na,na,na,na); </v>
      </c>
      <c r="AN22" s="435">
        <v>0</v>
      </c>
      <c r="AO22" s="95">
        <v>1</v>
      </c>
      <c r="AP22" s="96">
        <f t="shared" si="24"/>
        <v>1.05</v>
      </c>
      <c r="AQ22" s="432" t="str">
        <f t="shared" si="25"/>
        <v xml:space="preserve">(na,na,na,na,na,na); </v>
      </c>
      <c r="AR22" s="435">
        <v>0</v>
      </c>
      <c r="AS22" s="95">
        <v>1</v>
      </c>
      <c r="AT22" s="96">
        <f t="shared" si="26"/>
        <v>1.2434566510799234</v>
      </c>
      <c r="AU22" s="457" t="str">
        <f t="shared" si="27"/>
        <v>(2,4,1,3,1,5); Brailovsky (2026) GM 04</v>
      </c>
      <c r="AV22" s="435">
        <v>0.46132475119935401</v>
      </c>
      <c r="AW22" s="95">
        <v>1</v>
      </c>
      <c r="AX22" s="96">
        <f t="shared" si="28"/>
        <v>1.2434566510799234</v>
      </c>
      <c r="AY22" s="432" t="str">
        <f t="shared" si="29"/>
        <v>(2,4,1,3,1,5); Brailovsky (2026) GM 04</v>
      </c>
      <c r="AZ22" s="112"/>
      <c r="BA22" s="435"/>
      <c r="BB22" s="435"/>
      <c r="BC22" s="435"/>
      <c r="BD22" s="689"/>
      <c r="BE22" s="339" t="s">
        <v>106</v>
      </c>
      <c r="BF22" s="339" t="s">
        <v>106</v>
      </c>
      <c r="BG22" s="339" t="s">
        <v>106</v>
      </c>
      <c r="BH22" s="339" t="s">
        <v>106</v>
      </c>
      <c r="BI22" s="339" t="s">
        <v>106</v>
      </c>
      <c r="BJ22" s="339" t="s">
        <v>106</v>
      </c>
      <c r="BK22" s="316">
        <v>3</v>
      </c>
      <c r="BL22" s="316">
        <v>1.05</v>
      </c>
      <c r="BM22" s="317">
        <f t="shared" si="30"/>
        <v>1</v>
      </c>
      <c r="BN22" s="317">
        <f t="shared" si="31"/>
        <v>1.05</v>
      </c>
      <c r="BO22" s="317" t="str">
        <f t="shared" si="32"/>
        <v>(na,na,na,na,na,na)</v>
      </c>
      <c r="BP22" s="318">
        <v>1</v>
      </c>
      <c r="BQ22" s="318">
        <v>1</v>
      </c>
      <c r="BR22" s="318">
        <v>1</v>
      </c>
      <c r="BS22" s="318">
        <v>1</v>
      </c>
      <c r="BT22" s="318">
        <v>1</v>
      </c>
      <c r="BU22" s="318">
        <v>1</v>
      </c>
      <c r="BW22" s="693" t="s">
        <v>816</v>
      </c>
      <c r="BX22" s="316">
        <v>2</v>
      </c>
      <c r="BY22" s="316">
        <v>4</v>
      </c>
      <c r="BZ22" s="316">
        <v>1</v>
      </c>
      <c r="CA22" s="316">
        <v>3</v>
      </c>
      <c r="CB22" s="316">
        <v>1</v>
      </c>
      <c r="CC22" s="316">
        <v>5</v>
      </c>
      <c r="CD22" s="316">
        <v>3</v>
      </c>
      <c r="CE22" s="316">
        <v>1.05</v>
      </c>
      <c r="CF22" s="317">
        <f t="shared" si="33"/>
        <v>1.2365959919080913</v>
      </c>
      <c r="CG22" s="317">
        <f t="shared" si="34"/>
        <v>1.2434566510799234</v>
      </c>
      <c r="CH22" s="317" t="str">
        <f t="shared" si="35"/>
        <v>(2,4,1,3,1,5)</v>
      </c>
      <c r="CI22" s="318">
        <v>1.05</v>
      </c>
      <c r="CJ22" s="318">
        <v>1.1000000000000001</v>
      </c>
      <c r="CK22" s="318">
        <v>1</v>
      </c>
      <c r="CL22" s="318">
        <v>1.02</v>
      </c>
      <c r="CM22" s="318">
        <v>1</v>
      </c>
      <c r="CN22" s="318">
        <v>1.2</v>
      </c>
    </row>
    <row r="23" spans="1:92" s="171" customFormat="1" ht="24">
      <c r="A23" s="333">
        <v>264183</v>
      </c>
      <c r="B23" s="216" t="s">
        <v>817</v>
      </c>
      <c r="C23" s="334"/>
      <c r="D23" s="515">
        <v>5</v>
      </c>
      <c r="E23" s="343" t="s">
        <v>98</v>
      </c>
      <c r="F23" s="437" t="s">
        <v>387</v>
      </c>
      <c r="G23" s="438" t="s">
        <v>93</v>
      </c>
      <c r="H23" s="455" t="s">
        <v>98</v>
      </c>
      <c r="I23" s="455" t="s">
        <v>98</v>
      </c>
      <c r="J23" s="336">
        <v>0</v>
      </c>
      <c r="K23" s="438" t="s">
        <v>96</v>
      </c>
      <c r="L23" s="440">
        <f>AJ23</f>
        <v>4.3630820448259401E-5</v>
      </c>
      <c r="M23" s="336">
        <v>1</v>
      </c>
      <c r="N23" s="337">
        <f t="shared" si="10"/>
        <v>1.0722009304576894</v>
      </c>
      <c r="O23" s="455" t="str">
        <f t="shared" si="11"/>
        <v>(2,1,1,2,1,1); Industry data (French tender): Diamond Wire</v>
      </c>
      <c r="P23" s="440">
        <f>AN23</f>
        <v>4.3630820448259401E-5</v>
      </c>
      <c r="Q23" s="336">
        <v>1</v>
      </c>
      <c r="R23" s="337">
        <f t="shared" si="12"/>
        <v>1.0722009304576894</v>
      </c>
      <c r="S23" s="455" t="str">
        <f t="shared" si="13"/>
        <v>(2,1,1,2,1,1); Industry data (French tender): Diamond Wire</v>
      </c>
      <c r="T23" s="440">
        <f>L23</f>
        <v>4.3630820448259401E-5</v>
      </c>
      <c r="U23" s="336">
        <v>1</v>
      </c>
      <c r="V23" s="337">
        <f t="shared" si="14"/>
        <v>1.0722009304576894</v>
      </c>
      <c r="W23" s="455" t="str">
        <f t="shared" si="15"/>
        <v>(2,1,1,2,1,1); Industry data (French tender): Diamond Wire</v>
      </c>
      <c r="X23" s="440">
        <f>P23</f>
        <v>4.3630820448259401E-5</v>
      </c>
      <c r="Y23" s="336">
        <v>1</v>
      </c>
      <c r="Z23" s="337">
        <f t="shared" si="16"/>
        <v>1.0722009304576894</v>
      </c>
      <c r="AA23" s="437" t="str">
        <f t="shared" si="17"/>
        <v>(2,1,1,2,1,1); Industry data (French tender): Diamond Wire</v>
      </c>
      <c r="AB23" s="440">
        <f>P23</f>
        <v>4.3630820448259401E-5</v>
      </c>
      <c r="AC23" s="336">
        <v>1</v>
      </c>
      <c r="AD23" s="337">
        <f t="shared" si="18"/>
        <v>1.0722009304576894</v>
      </c>
      <c r="AE23" s="455" t="str">
        <f t="shared" si="19"/>
        <v>(2,1,1,2,1,1); Industry data (French tender): Diamond Wire</v>
      </c>
      <c r="AF23" s="440">
        <f>P23</f>
        <v>4.3630820448259401E-5</v>
      </c>
      <c r="AG23" s="336">
        <v>1</v>
      </c>
      <c r="AH23" s="337">
        <f t="shared" si="20"/>
        <v>1.0722009304576894</v>
      </c>
      <c r="AI23" s="455" t="str">
        <f t="shared" si="21"/>
        <v>(2,1,1,2,1,1); Industry data (French tender): Diamond Wire</v>
      </c>
      <c r="AJ23" s="440">
        <f>BA23</f>
        <v>4.3630820448259401E-5</v>
      </c>
      <c r="AK23" s="336">
        <v>1</v>
      </c>
      <c r="AL23" s="337">
        <f t="shared" si="22"/>
        <v>1.0722009304576894</v>
      </c>
      <c r="AM23" s="455" t="str">
        <f t="shared" si="23"/>
        <v>(2,1,1,2,1,1); Industry data (French tender): Diamond Wire</v>
      </c>
      <c r="AN23" s="440">
        <f>BB23</f>
        <v>4.3630820448259401E-5</v>
      </c>
      <c r="AO23" s="336">
        <v>1</v>
      </c>
      <c r="AP23" s="337">
        <f t="shared" si="24"/>
        <v>1.0722009304576894</v>
      </c>
      <c r="AQ23" s="437" t="str">
        <f t="shared" si="25"/>
        <v>(2,1,1,2,1,1); Industry data (French tender): Diamond Wire</v>
      </c>
      <c r="AR23" s="440">
        <v>0</v>
      </c>
      <c r="AS23" s="336">
        <v>1</v>
      </c>
      <c r="AT23" s="337">
        <f t="shared" si="26"/>
        <v>1.05</v>
      </c>
      <c r="AU23" s="455" t="str">
        <f t="shared" si="27"/>
        <v xml:space="preserve">(na,na,na,na,na,na); </v>
      </c>
      <c r="AV23" s="440">
        <v>0</v>
      </c>
      <c r="AW23" s="336">
        <v>1</v>
      </c>
      <c r="AX23" s="337">
        <f t="shared" si="28"/>
        <v>1.05</v>
      </c>
      <c r="AY23" s="437" t="str">
        <f t="shared" si="29"/>
        <v xml:space="preserve">(na,na,na,na,na,na); </v>
      </c>
      <c r="AZ23" s="338"/>
      <c r="BA23" s="440">
        <v>4.3630820448259401E-5</v>
      </c>
      <c r="BB23" s="440">
        <v>4.3630820448259401E-5</v>
      </c>
      <c r="BC23" s="440"/>
      <c r="BD23" s="216" t="s">
        <v>818</v>
      </c>
      <c r="BE23" s="83">
        <v>2</v>
      </c>
      <c r="BF23" s="83">
        <v>1</v>
      </c>
      <c r="BG23" s="83">
        <v>1</v>
      </c>
      <c r="BH23" s="83">
        <v>2</v>
      </c>
      <c r="BI23" s="83">
        <v>1</v>
      </c>
      <c r="BJ23" s="83">
        <v>1</v>
      </c>
      <c r="BK23" s="104">
        <v>3</v>
      </c>
      <c r="BL23" s="104">
        <v>1.05</v>
      </c>
      <c r="BM23" s="107">
        <f t="shared" si="30"/>
        <v>1.0510550504206344</v>
      </c>
      <c r="BN23" s="107">
        <f t="shared" si="31"/>
        <v>1.0722009304576894</v>
      </c>
      <c r="BO23" s="107" t="str">
        <f t="shared" si="32"/>
        <v>(2,1,1,2,1,1)</v>
      </c>
      <c r="BP23" s="108">
        <v>1.05</v>
      </c>
      <c r="BQ23" s="108">
        <v>1</v>
      </c>
      <c r="BR23" s="108">
        <v>1</v>
      </c>
      <c r="BS23" s="108">
        <v>1.01</v>
      </c>
      <c r="BT23" s="108">
        <v>1</v>
      </c>
      <c r="BU23" s="108">
        <v>1</v>
      </c>
      <c r="BW23" s="691"/>
      <c r="BX23" s="339" t="s">
        <v>106</v>
      </c>
      <c r="BY23" s="339" t="s">
        <v>106</v>
      </c>
      <c r="BZ23" s="339" t="s">
        <v>106</v>
      </c>
      <c r="CA23" s="339" t="s">
        <v>106</v>
      </c>
      <c r="CB23" s="339" t="s">
        <v>106</v>
      </c>
      <c r="CC23" s="339" t="s">
        <v>106</v>
      </c>
      <c r="CD23" s="104">
        <v>3</v>
      </c>
      <c r="CE23" s="104">
        <v>1.05</v>
      </c>
      <c r="CF23" s="107">
        <f t="shared" si="33"/>
        <v>1</v>
      </c>
      <c r="CG23" s="107">
        <f t="shared" si="34"/>
        <v>1.05</v>
      </c>
      <c r="CH23" s="107" t="str">
        <f t="shared" si="35"/>
        <v>(na,na,na,na,na,na)</v>
      </c>
      <c r="CI23" s="108">
        <v>1</v>
      </c>
      <c r="CJ23" s="108">
        <v>1</v>
      </c>
      <c r="CK23" s="108">
        <v>1</v>
      </c>
      <c r="CL23" s="108">
        <v>1</v>
      </c>
      <c r="CM23" s="108">
        <v>1</v>
      </c>
      <c r="CN23" s="108">
        <v>1</v>
      </c>
    </row>
    <row r="24" spans="1:92" s="171" customFormat="1">
      <c r="A24" s="333">
        <v>269001</v>
      </c>
      <c r="B24" s="216"/>
      <c r="C24" s="334"/>
      <c r="D24" s="515">
        <v>5</v>
      </c>
      <c r="E24" s="343" t="s">
        <v>98</v>
      </c>
      <c r="F24" s="437" t="s">
        <v>633</v>
      </c>
      <c r="G24" s="438" t="s">
        <v>154</v>
      </c>
      <c r="H24" s="455" t="s">
        <v>98</v>
      </c>
      <c r="I24" s="455" t="s">
        <v>98</v>
      </c>
      <c r="J24" s="336">
        <v>0</v>
      </c>
      <c r="K24" s="438" t="s">
        <v>96</v>
      </c>
      <c r="L24" s="440">
        <f>BA24</f>
        <v>3.8227720553171203E-2</v>
      </c>
      <c r="M24" s="336">
        <v>1</v>
      </c>
      <c r="N24" s="337">
        <f t="shared" si="10"/>
        <v>1.0722009304576894</v>
      </c>
      <c r="O24" s="455" t="str">
        <f t="shared" si="11"/>
        <v>(2,1,1,2,1,1); Industry data (French tender): Diamond Wire</v>
      </c>
      <c r="P24" s="440">
        <f>BB24</f>
        <v>3.8227720553171203E-2</v>
      </c>
      <c r="Q24" s="336">
        <v>1</v>
      </c>
      <c r="R24" s="337">
        <f t="shared" si="12"/>
        <v>1.0722009304576894</v>
      </c>
      <c r="S24" s="455" t="str">
        <f t="shared" si="13"/>
        <v>(2,1,1,2,1,1); Industry data (French tender): Diamond Wire</v>
      </c>
      <c r="T24" s="440">
        <f>BA24</f>
        <v>3.8227720553171203E-2</v>
      </c>
      <c r="U24" s="336">
        <v>1</v>
      </c>
      <c r="V24" s="337">
        <f t="shared" si="14"/>
        <v>1.0722009304576894</v>
      </c>
      <c r="W24" s="455" t="str">
        <f t="shared" si="15"/>
        <v>(2,1,1,2,1,1); Industry data (French tender): Diamond Wire</v>
      </c>
      <c r="X24" s="440">
        <f>BB24</f>
        <v>3.8227720553171203E-2</v>
      </c>
      <c r="Y24" s="336">
        <v>1</v>
      </c>
      <c r="Z24" s="337">
        <f t="shared" si="16"/>
        <v>1.0722009304576894</v>
      </c>
      <c r="AA24" s="455" t="str">
        <f t="shared" si="17"/>
        <v>(2,1,1,2,1,1); Industry data (French tender): Diamond Wire</v>
      </c>
      <c r="AB24" s="440">
        <f>BA24</f>
        <v>3.8227720553171203E-2</v>
      </c>
      <c r="AC24" s="336">
        <v>1</v>
      </c>
      <c r="AD24" s="337">
        <f t="shared" si="18"/>
        <v>1.0722009304576894</v>
      </c>
      <c r="AE24" s="455" t="str">
        <f t="shared" si="19"/>
        <v>(2,1,1,2,1,1); Industry data (French tender): Diamond Wire</v>
      </c>
      <c r="AF24" s="440">
        <f>BB24</f>
        <v>3.8227720553171203E-2</v>
      </c>
      <c r="AG24" s="336">
        <v>1</v>
      </c>
      <c r="AH24" s="337">
        <f t="shared" si="20"/>
        <v>1.0722009304576894</v>
      </c>
      <c r="AI24" s="455" t="str">
        <f t="shared" si="21"/>
        <v>(2,1,1,2,1,1); Industry data (French tender): Diamond Wire</v>
      </c>
      <c r="AJ24" s="440">
        <f>BA24</f>
        <v>3.8227720553171203E-2</v>
      </c>
      <c r="AK24" s="336">
        <v>1</v>
      </c>
      <c r="AL24" s="337">
        <f t="shared" si="22"/>
        <v>1.0722009304576894</v>
      </c>
      <c r="AM24" s="455" t="str">
        <f t="shared" si="23"/>
        <v>(2,1,1,2,1,1); Industry data (French tender): Diamond Wire</v>
      </c>
      <c r="AN24" s="440">
        <f>BB24</f>
        <v>3.8227720553171203E-2</v>
      </c>
      <c r="AO24" s="336">
        <v>1</v>
      </c>
      <c r="AP24" s="337">
        <f t="shared" si="24"/>
        <v>1.0722009304576894</v>
      </c>
      <c r="AQ24" s="437" t="str">
        <f t="shared" si="25"/>
        <v>(2,1,1,2,1,1); Industry data (French tender): Diamond Wire</v>
      </c>
      <c r="AR24" s="440">
        <v>0</v>
      </c>
      <c r="AS24" s="336">
        <v>1</v>
      </c>
      <c r="AT24" s="337">
        <f t="shared" si="26"/>
        <v>1.05</v>
      </c>
      <c r="AU24" s="455" t="str">
        <f t="shared" si="27"/>
        <v xml:space="preserve">(na,na,na,na,na,na); </v>
      </c>
      <c r="AV24" s="440">
        <v>0</v>
      </c>
      <c r="AW24" s="336">
        <v>1</v>
      </c>
      <c r="AX24" s="337">
        <f t="shared" si="28"/>
        <v>1.05</v>
      </c>
      <c r="AY24" s="437" t="str">
        <f t="shared" si="29"/>
        <v xml:space="preserve">(na,na,na,na,na,na); </v>
      </c>
      <c r="AZ24" s="338"/>
      <c r="BA24" s="440">
        <v>3.8227720553171203E-2</v>
      </c>
      <c r="BB24" s="440">
        <v>3.8227720553171203E-2</v>
      </c>
      <c r="BC24" s="440"/>
      <c r="BD24" s="216" t="s">
        <v>818</v>
      </c>
      <c r="BE24" s="83">
        <v>2</v>
      </c>
      <c r="BF24" s="83">
        <v>1</v>
      </c>
      <c r="BG24" s="83">
        <v>1</v>
      </c>
      <c r="BH24" s="83">
        <v>2</v>
      </c>
      <c r="BI24" s="83">
        <v>1</v>
      </c>
      <c r="BJ24" s="83">
        <v>1</v>
      </c>
      <c r="BK24" s="104">
        <v>3</v>
      </c>
      <c r="BL24" s="104">
        <v>1.05</v>
      </c>
      <c r="BM24" s="107">
        <f t="shared" si="30"/>
        <v>1.0510550504206344</v>
      </c>
      <c r="BN24" s="107">
        <f t="shared" si="31"/>
        <v>1.0722009304576894</v>
      </c>
      <c r="BO24" s="107" t="str">
        <f t="shared" si="32"/>
        <v>(2,1,1,2,1,1)</v>
      </c>
      <c r="BP24" s="108">
        <v>1.05</v>
      </c>
      <c r="BQ24" s="108">
        <v>1</v>
      </c>
      <c r="BR24" s="108">
        <v>1</v>
      </c>
      <c r="BS24" s="108">
        <v>1.01</v>
      </c>
      <c r="BT24" s="108">
        <v>1</v>
      </c>
      <c r="BU24" s="108">
        <v>1</v>
      </c>
      <c r="BW24" s="691"/>
      <c r="BX24" s="339" t="s">
        <v>106</v>
      </c>
      <c r="BY24" s="339" t="s">
        <v>106</v>
      </c>
      <c r="BZ24" s="339" t="s">
        <v>106</v>
      </c>
      <c r="CA24" s="339" t="s">
        <v>106</v>
      </c>
      <c r="CB24" s="339" t="s">
        <v>106</v>
      </c>
      <c r="CC24" s="339" t="s">
        <v>106</v>
      </c>
      <c r="CD24" s="104">
        <v>3</v>
      </c>
      <c r="CE24" s="104">
        <v>1.05</v>
      </c>
      <c r="CF24" s="107">
        <f t="shared" si="33"/>
        <v>1</v>
      </c>
      <c r="CG24" s="107">
        <f t="shared" si="34"/>
        <v>1.05</v>
      </c>
      <c r="CH24" s="107" t="str">
        <f t="shared" si="35"/>
        <v>(na,na,na,na,na,na)</v>
      </c>
      <c r="CI24" s="108">
        <v>1</v>
      </c>
      <c r="CJ24" s="108">
        <v>1</v>
      </c>
      <c r="CK24" s="108">
        <v>1</v>
      </c>
      <c r="CL24" s="108">
        <v>1</v>
      </c>
      <c r="CM24" s="108">
        <v>1</v>
      </c>
      <c r="CN24" s="108">
        <v>1</v>
      </c>
    </row>
    <row r="25" spans="1:92" s="171" customFormat="1" ht="24" collapsed="1">
      <c r="A25" s="333">
        <v>160377</v>
      </c>
      <c r="B25" s="216"/>
      <c r="C25" s="334"/>
      <c r="D25" s="515">
        <v>5</v>
      </c>
      <c r="E25" s="343" t="s">
        <v>98</v>
      </c>
      <c r="F25" s="437" t="s">
        <v>819</v>
      </c>
      <c r="G25" s="438" t="s">
        <v>93</v>
      </c>
      <c r="H25" s="455" t="s">
        <v>98</v>
      </c>
      <c r="I25" s="455" t="s">
        <v>98</v>
      </c>
      <c r="J25" s="336">
        <v>0</v>
      </c>
      <c r="K25" s="438" t="s">
        <v>96</v>
      </c>
      <c r="L25" s="440">
        <f t="shared" ref="L25:L30" si="36">AJ25</f>
        <v>1.5195733450453E-3</v>
      </c>
      <c r="M25" s="336">
        <v>1</v>
      </c>
      <c r="N25" s="337">
        <f t="shared" si="10"/>
        <v>1.0722009304576894</v>
      </c>
      <c r="O25" s="455" t="str">
        <f t="shared" si="11"/>
        <v>(2,1,1,2,1,1); Industry data (French tender): Diamond Wire</v>
      </c>
      <c r="P25" s="440">
        <f t="shared" ref="P25:P30" si="37">AN25</f>
        <v>1.5195733450453E-3</v>
      </c>
      <c r="Q25" s="336">
        <v>1</v>
      </c>
      <c r="R25" s="337">
        <f t="shared" si="12"/>
        <v>1.0722009304576894</v>
      </c>
      <c r="S25" s="455" t="str">
        <f t="shared" si="13"/>
        <v>(2,1,1,2,1,1); Industry data (French tender): Diamond Wire</v>
      </c>
      <c r="T25" s="440">
        <f t="shared" ref="T25:T30" si="38">L25</f>
        <v>1.5195733450453E-3</v>
      </c>
      <c r="U25" s="336">
        <v>1</v>
      </c>
      <c r="V25" s="337">
        <f t="shared" si="14"/>
        <v>1.0722009304576894</v>
      </c>
      <c r="W25" s="455" t="str">
        <f t="shared" si="15"/>
        <v>(2,1,1,2,1,1); Industry data (French tender): Diamond Wire</v>
      </c>
      <c r="X25" s="440">
        <f t="shared" ref="X25:X30" si="39">P25</f>
        <v>1.5195733450453E-3</v>
      </c>
      <c r="Y25" s="336">
        <v>1</v>
      </c>
      <c r="Z25" s="337">
        <f t="shared" si="16"/>
        <v>1.0722009304576894</v>
      </c>
      <c r="AA25" s="437" t="str">
        <f t="shared" si="17"/>
        <v>(2,1,1,2,1,1); Industry data (French tender): Diamond Wire</v>
      </c>
      <c r="AB25" s="440">
        <f t="shared" ref="AB25:AB30" si="40">P25</f>
        <v>1.5195733450453E-3</v>
      </c>
      <c r="AC25" s="336">
        <v>1</v>
      </c>
      <c r="AD25" s="337">
        <f t="shared" si="18"/>
        <v>1.0722009304576894</v>
      </c>
      <c r="AE25" s="455" t="str">
        <f t="shared" si="19"/>
        <v>(2,1,1,2,1,1); Industry data (French tender): Diamond Wire</v>
      </c>
      <c r="AF25" s="440">
        <f t="shared" ref="AF25:AF30" si="41">P25</f>
        <v>1.5195733450453E-3</v>
      </c>
      <c r="AG25" s="336">
        <v>1</v>
      </c>
      <c r="AH25" s="337">
        <f t="shared" si="20"/>
        <v>1.0722009304576894</v>
      </c>
      <c r="AI25" s="455" t="str">
        <f t="shared" si="21"/>
        <v>(2,1,1,2,1,1); Industry data (French tender): Diamond Wire</v>
      </c>
      <c r="AJ25" s="440">
        <f>BA25</f>
        <v>1.5195733450453E-3</v>
      </c>
      <c r="AK25" s="336">
        <v>1</v>
      </c>
      <c r="AL25" s="337">
        <f t="shared" si="22"/>
        <v>1.0722009304576894</v>
      </c>
      <c r="AM25" s="455" t="str">
        <f t="shared" si="23"/>
        <v>(2,1,1,2,1,1); Industry data (French tender): Diamond Wire</v>
      </c>
      <c r="AN25" s="440">
        <f>BB25</f>
        <v>1.5195733450453E-3</v>
      </c>
      <c r="AO25" s="336">
        <v>1</v>
      </c>
      <c r="AP25" s="337">
        <f t="shared" si="24"/>
        <v>1.0722009304576894</v>
      </c>
      <c r="AQ25" s="437" t="str">
        <f t="shared" si="25"/>
        <v>(2,1,1,2,1,1); Industry data (French tender): Diamond Wire</v>
      </c>
      <c r="AR25" s="440">
        <f>0.000275833333333333+0.000630833333333333</f>
        <v>9.0666666666666597E-4</v>
      </c>
      <c r="AS25" s="336">
        <v>1</v>
      </c>
      <c r="AT25" s="337">
        <f t="shared" si="26"/>
        <v>1.2434566510799234</v>
      </c>
      <c r="AU25" s="455" t="str">
        <f t="shared" si="27"/>
        <v>(2,4,1,3,1,5); Brailovsky (2026)  GM 04; Diamond wire for bricking &amp; slicing added up</v>
      </c>
      <c r="AV25" s="440">
        <f>0.000275833333333333+0.000630833333333333</f>
        <v>9.0666666666666597E-4</v>
      </c>
      <c r="AW25" s="336">
        <v>1</v>
      </c>
      <c r="AX25" s="337">
        <f t="shared" si="28"/>
        <v>1.2434566510799234</v>
      </c>
      <c r="AY25" s="437" t="str">
        <f t="shared" si="29"/>
        <v>(2,4,1,3,1,5); Brailovsky (2026)  GM 04; Diamond wire for bricking &amp; slicing added up</v>
      </c>
      <c r="AZ25" s="338"/>
      <c r="BA25" s="440">
        <v>1.5195733450453E-3</v>
      </c>
      <c r="BB25" s="440">
        <v>1.5195733450453E-3</v>
      </c>
      <c r="BC25" s="440"/>
      <c r="BD25" s="216" t="s">
        <v>818</v>
      </c>
      <c r="BE25" s="83">
        <v>2</v>
      </c>
      <c r="BF25" s="83">
        <v>1</v>
      </c>
      <c r="BG25" s="83">
        <v>1</v>
      </c>
      <c r="BH25" s="83">
        <v>2</v>
      </c>
      <c r="BI25" s="83">
        <v>1</v>
      </c>
      <c r="BJ25" s="83">
        <v>1</v>
      </c>
      <c r="BK25" s="104">
        <v>3</v>
      </c>
      <c r="BL25" s="104">
        <v>1.05</v>
      </c>
      <c r="BM25" s="107">
        <f t="shared" si="30"/>
        <v>1.0510550504206344</v>
      </c>
      <c r="BN25" s="107">
        <f t="shared" si="31"/>
        <v>1.0722009304576894</v>
      </c>
      <c r="BO25" s="107" t="str">
        <f t="shared" si="32"/>
        <v>(2,1,1,2,1,1)</v>
      </c>
      <c r="BP25" s="108">
        <v>1.05</v>
      </c>
      <c r="BQ25" s="108">
        <v>1</v>
      </c>
      <c r="BR25" s="108">
        <v>1</v>
      </c>
      <c r="BS25" s="108">
        <v>1.01</v>
      </c>
      <c r="BT25" s="108">
        <v>1</v>
      </c>
      <c r="BU25" s="108">
        <v>1</v>
      </c>
      <c r="BW25" s="691" t="s">
        <v>820</v>
      </c>
      <c r="BX25" s="83">
        <v>2</v>
      </c>
      <c r="BY25" s="83">
        <v>4</v>
      </c>
      <c r="BZ25" s="83">
        <v>1</v>
      </c>
      <c r="CA25" s="83">
        <v>3</v>
      </c>
      <c r="CB25" s="83">
        <v>1</v>
      </c>
      <c r="CC25" s="83">
        <v>5</v>
      </c>
      <c r="CD25" s="104">
        <v>3</v>
      </c>
      <c r="CE25" s="104">
        <v>1.05</v>
      </c>
      <c r="CF25" s="107">
        <f t="shared" si="33"/>
        <v>1.2365959919080913</v>
      </c>
      <c r="CG25" s="107">
        <f t="shared" si="34"/>
        <v>1.2434566510799234</v>
      </c>
      <c r="CH25" s="107" t="str">
        <f t="shared" si="35"/>
        <v>(2,4,1,3,1,5)</v>
      </c>
      <c r="CI25" s="108">
        <v>1.05</v>
      </c>
      <c r="CJ25" s="108">
        <v>1.1000000000000001</v>
      </c>
      <c r="CK25" s="108">
        <v>1</v>
      </c>
      <c r="CL25" s="108">
        <v>1.02</v>
      </c>
      <c r="CM25" s="108">
        <v>1</v>
      </c>
      <c r="CN25" s="108">
        <v>1.2</v>
      </c>
    </row>
    <row r="26" spans="1:92" s="171" customFormat="1" ht="24">
      <c r="A26" s="333">
        <v>267073</v>
      </c>
      <c r="B26" s="216"/>
      <c r="C26" s="334"/>
      <c r="D26" s="515">
        <v>5</v>
      </c>
      <c r="E26" s="343" t="s">
        <v>98</v>
      </c>
      <c r="F26" s="437" t="s">
        <v>635</v>
      </c>
      <c r="G26" s="438" t="s">
        <v>93</v>
      </c>
      <c r="H26" s="455" t="s">
        <v>98</v>
      </c>
      <c r="I26" s="455" t="s">
        <v>98</v>
      </c>
      <c r="J26" s="336">
        <v>0</v>
      </c>
      <c r="K26" s="438" t="s">
        <v>96</v>
      </c>
      <c r="L26" s="440">
        <f t="shared" si="36"/>
        <v>1.5195733450453E-3</v>
      </c>
      <c r="M26" s="336">
        <v>1</v>
      </c>
      <c r="N26" s="337">
        <f t="shared" si="10"/>
        <v>1.0722009304576894</v>
      </c>
      <c r="O26" s="455" t="str">
        <f t="shared" si="11"/>
        <v>(2,1,1,2,1,1); Industry data (French tender): Diamond Wire</v>
      </c>
      <c r="P26" s="440">
        <f t="shared" si="37"/>
        <v>1.5195733450453E-3</v>
      </c>
      <c r="Q26" s="336">
        <v>1</v>
      </c>
      <c r="R26" s="337">
        <f t="shared" si="12"/>
        <v>1.0722009304576894</v>
      </c>
      <c r="S26" s="455" t="str">
        <f t="shared" si="13"/>
        <v>(2,1,1,2,1,1); Industry data (French tender): Diamond Wire</v>
      </c>
      <c r="T26" s="440">
        <f t="shared" si="38"/>
        <v>1.5195733450453E-3</v>
      </c>
      <c r="U26" s="336">
        <v>1</v>
      </c>
      <c r="V26" s="337">
        <f t="shared" si="14"/>
        <v>1.0722009304576894</v>
      </c>
      <c r="W26" s="455" t="str">
        <f t="shared" si="15"/>
        <v>(2,1,1,2,1,1); Industry data (French tender): Diamond Wire</v>
      </c>
      <c r="X26" s="440">
        <f t="shared" si="39"/>
        <v>1.5195733450453E-3</v>
      </c>
      <c r="Y26" s="336">
        <v>1</v>
      </c>
      <c r="Z26" s="337">
        <f t="shared" si="16"/>
        <v>1.0722009304576894</v>
      </c>
      <c r="AA26" s="437" t="str">
        <f t="shared" si="17"/>
        <v>(2,1,1,2,1,1); Industry data (French tender): Diamond Wire</v>
      </c>
      <c r="AB26" s="440">
        <f t="shared" si="40"/>
        <v>1.5195733450453E-3</v>
      </c>
      <c r="AC26" s="336">
        <v>1</v>
      </c>
      <c r="AD26" s="337">
        <f t="shared" si="18"/>
        <v>1.0722009304576894</v>
      </c>
      <c r="AE26" s="455" t="str">
        <f t="shared" si="19"/>
        <v>(2,1,1,2,1,1); Industry data (French tender): Diamond Wire</v>
      </c>
      <c r="AF26" s="440">
        <f t="shared" si="41"/>
        <v>1.5195733450453E-3</v>
      </c>
      <c r="AG26" s="336">
        <v>1</v>
      </c>
      <c r="AH26" s="337">
        <f t="shared" si="20"/>
        <v>1.0722009304576894</v>
      </c>
      <c r="AI26" s="455" t="str">
        <f t="shared" si="21"/>
        <v>(2,1,1,2,1,1); Industry data (French tender): Diamond Wire</v>
      </c>
      <c r="AJ26" s="440">
        <f>AJ25</f>
        <v>1.5195733450453E-3</v>
      </c>
      <c r="AK26" s="336">
        <v>1</v>
      </c>
      <c r="AL26" s="337">
        <f t="shared" si="22"/>
        <v>1.0722009304576894</v>
      </c>
      <c r="AM26" s="455" t="str">
        <f t="shared" si="23"/>
        <v>(2,1,1,2,1,1); Industry data (French tender): Diamond Wire</v>
      </c>
      <c r="AN26" s="440">
        <f>AN25</f>
        <v>1.5195733450453E-3</v>
      </c>
      <c r="AO26" s="336">
        <v>1</v>
      </c>
      <c r="AP26" s="337">
        <f t="shared" si="24"/>
        <v>1.0722009304576894</v>
      </c>
      <c r="AQ26" s="437" t="str">
        <f t="shared" si="25"/>
        <v>(2,1,1,2,1,1); Industry data (French tender): Diamond Wire</v>
      </c>
      <c r="AR26" s="440">
        <f>AR25</f>
        <v>9.0666666666666597E-4</v>
      </c>
      <c r="AS26" s="336">
        <v>1</v>
      </c>
      <c r="AT26" s="337">
        <f t="shared" si="26"/>
        <v>1.2434566510799234</v>
      </c>
      <c r="AU26" s="455" t="str">
        <f t="shared" si="27"/>
        <v>(2,4,1,3,1,5); Brailovsky (2026)  GM 04; iso steel, low-alloyed</v>
      </c>
      <c r="AV26" s="440">
        <f>SUM(AV25:AV25)</f>
        <v>9.0666666666666597E-4</v>
      </c>
      <c r="AW26" s="336">
        <v>1</v>
      </c>
      <c r="AX26" s="337">
        <f t="shared" si="28"/>
        <v>1.2434566510799234</v>
      </c>
      <c r="AY26" s="437" t="str">
        <f t="shared" si="29"/>
        <v>(2,4,1,3,1,5); Brailovsky (2026)  GM 04; iso steel, low-alloyed</v>
      </c>
      <c r="AZ26" s="338"/>
      <c r="BA26" s="440">
        <v>1.5195733450453E-3</v>
      </c>
      <c r="BB26" s="440">
        <v>1.5195733450453E-3</v>
      </c>
      <c r="BC26" s="440"/>
      <c r="BD26" s="216" t="s">
        <v>818</v>
      </c>
      <c r="BE26" s="83">
        <v>2</v>
      </c>
      <c r="BF26" s="83">
        <v>1</v>
      </c>
      <c r="BG26" s="83">
        <v>1</v>
      </c>
      <c r="BH26" s="83">
        <v>2</v>
      </c>
      <c r="BI26" s="83">
        <v>1</v>
      </c>
      <c r="BJ26" s="83">
        <v>1</v>
      </c>
      <c r="BK26" s="104">
        <v>3</v>
      </c>
      <c r="BL26" s="104">
        <v>1.05</v>
      </c>
      <c r="BM26" s="107">
        <f t="shared" si="30"/>
        <v>1.0510550504206344</v>
      </c>
      <c r="BN26" s="107">
        <f t="shared" si="31"/>
        <v>1.0722009304576894</v>
      </c>
      <c r="BO26" s="107" t="str">
        <f t="shared" si="32"/>
        <v>(2,1,1,2,1,1)</v>
      </c>
      <c r="BP26" s="108">
        <v>1.05</v>
      </c>
      <c r="BQ26" s="108">
        <v>1</v>
      </c>
      <c r="BR26" s="108">
        <v>1</v>
      </c>
      <c r="BS26" s="108">
        <v>1.01</v>
      </c>
      <c r="BT26" s="108">
        <v>1</v>
      </c>
      <c r="BU26" s="108">
        <v>1</v>
      </c>
      <c r="BW26" s="691" t="s">
        <v>821</v>
      </c>
      <c r="BX26" s="83">
        <v>2</v>
      </c>
      <c r="BY26" s="83">
        <v>4</v>
      </c>
      <c r="BZ26" s="83">
        <v>1</v>
      </c>
      <c r="CA26" s="83">
        <v>3</v>
      </c>
      <c r="CB26" s="83">
        <v>1</v>
      </c>
      <c r="CC26" s="83">
        <v>5</v>
      </c>
      <c r="CD26" s="104">
        <v>3</v>
      </c>
      <c r="CE26" s="104">
        <v>1.05</v>
      </c>
      <c r="CF26" s="107">
        <f t="shared" si="33"/>
        <v>1.2365959919080913</v>
      </c>
      <c r="CG26" s="107">
        <f t="shared" si="34"/>
        <v>1.2434566510799234</v>
      </c>
      <c r="CH26" s="107" t="str">
        <f t="shared" si="35"/>
        <v>(2,4,1,3,1,5)</v>
      </c>
      <c r="CI26" s="108">
        <v>1.05</v>
      </c>
      <c r="CJ26" s="108">
        <v>1.1000000000000001</v>
      </c>
      <c r="CK26" s="108">
        <v>1</v>
      </c>
      <c r="CL26" s="108">
        <v>1.02</v>
      </c>
      <c r="CM26" s="108">
        <v>1</v>
      </c>
      <c r="CN26" s="108">
        <v>1.2</v>
      </c>
    </row>
    <row r="27" spans="1:92" s="171" customFormat="1" ht="24">
      <c r="A27" s="333">
        <v>268959</v>
      </c>
      <c r="B27" s="216" t="s">
        <v>582</v>
      </c>
      <c r="C27" s="334"/>
      <c r="D27" s="515">
        <v>5</v>
      </c>
      <c r="E27" s="343" t="s">
        <v>98</v>
      </c>
      <c r="F27" s="437" t="s">
        <v>636</v>
      </c>
      <c r="G27" s="438" t="s">
        <v>93</v>
      </c>
      <c r="H27" s="455" t="s">
        <v>98</v>
      </c>
      <c r="I27" s="455" t="s">
        <v>98</v>
      </c>
      <c r="J27" s="336">
        <v>0</v>
      </c>
      <c r="K27" s="438" t="s">
        <v>96</v>
      </c>
      <c r="L27" s="440">
        <f t="shared" si="36"/>
        <v>1.5323370688284801E-4</v>
      </c>
      <c r="M27" s="336">
        <v>1</v>
      </c>
      <c r="N27" s="337">
        <f t="shared" si="10"/>
        <v>1.0722009304576894</v>
      </c>
      <c r="O27" s="455" t="str">
        <f t="shared" si="11"/>
        <v>(2,1,1,2,1,1); Industry data (French tender): Pulley/wheel for diamond wiring</v>
      </c>
      <c r="P27" s="440">
        <f t="shared" si="37"/>
        <v>1.5323370688284801E-4</v>
      </c>
      <c r="Q27" s="336">
        <v>1</v>
      </c>
      <c r="R27" s="337">
        <f t="shared" si="12"/>
        <v>1.0722009304576894</v>
      </c>
      <c r="S27" s="455" t="str">
        <f t="shared" si="13"/>
        <v>(2,1,1,2,1,1); Industry data (French tender): Pulley/wheel for diamond wiring</v>
      </c>
      <c r="T27" s="440">
        <f t="shared" si="38"/>
        <v>1.5323370688284801E-4</v>
      </c>
      <c r="U27" s="336">
        <v>1</v>
      </c>
      <c r="V27" s="337">
        <f t="shared" si="14"/>
        <v>1.0722009304576894</v>
      </c>
      <c r="W27" s="455" t="str">
        <f t="shared" si="15"/>
        <v>(2,1,1,2,1,1); Industry data (French tender): Pulley/wheel for diamond wiring</v>
      </c>
      <c r="X27" s="440">
        <f t="shared" si="39"/>
        <v>1.5323370688284801E-4</v>
      </c>
      <c r="Y27" s="336">
        <v>1</v>
      </c>
      <c r="Z27" s="337">
        <f t="shared" si="16"/>
        <v>1.0722009304576894</v>
      </c>
      <c r="AA27" s="437" t="str">
        <f t="shared" si="17"/>
        <v>(2,1,1,2,1,1); Industry data (French tender): Pulley/wheel for diamond wiring</v>
      </c>
      <c r="AB27" s="440">
        <f t="shared" si="40"/>
        <v>1.5323370688284801E-4</v>
      </c>
      <c r="AC27" s="336">
        <v>1</v>
      </c>
      <c r="AD27" s="337">
        <f t="shared" si="18"/>
        <v>1.0722009304576894</v>
      </c>
      <c r="AE27" s="455" t="str">
        <f t="shared" si="19"/>
        <v>(2,1,1,2,1,1); Industry data (French tender): Pulley/wheel for diamond wiring</v>
      </c>
      <c r="AF27" s="440">
        <f t="shared" si="41"/>
        <v>1.5323370688284801E-4</v>
      </c>
      <c r="AG27" s="336">
        <v>1</v>
      </c>
      <c r="AH27" s="337">
        <f t="shared" si="20"/>
        <v>1.0722009304576894</v>
      </c>
      <c r="AI27" s="455" t="str">
        <f t="shared" si="21"/>
        <v>(2,1,1,2,1,1); Industry data (French tender): Pulley/wheel for diamond wiring</v>
      </c>
      <c r="AJ27" s="440">
        <f>BA27</f>
        <v>1.5323370688284801E-4</v>
      </c>
      <c r="AK27" s="336">
        <v>1</v>
      </c>
      <c r="AL27" s="337">
        <f t="shared" si="22"/>
        <v>1.0722009304576894</v>
      </c>
      <c r="AM27" s="455" t="str">
        <f t="shared" si="23"/>
        <v>(2,1,1,2,1,1); Industry data (French tender): Pulley/wheel for diamond wiring</v>
      </c>
      <c r="AN27" s="440">
        <f>BB27</f>
        <v>1.5323370688284801E-4</v>
      </c>
      <c r="AO27" s="336">
        <v>1</v>
      </c>
      <c r="AP27" s="337">
        <f t="shared" si="24"/>
        <v>1.0722009304576894</v>
      </c>
      <c r="AQ27" s="437" t="str">
        <f t="shared" si="25"/>
        <v>(2,1,1,2,1,1); Industry data (French tender): Pulley/wheel for diamond wiring</v>
      </c>
      <c r="AR27" s="440">
        <v>1.39304347826087E-2</v>
      </c>
      <c r="AS27" s="336">
        <v>1</v>
      </c>
      <c r="AT27" s="337">
        <f t="shared" si="26"/>
        <v>1.2434566510799234</v>
      </c>
      <c r="AU27" s="455" t="str">
        <f t="shared" si="27"/>
        <v>(2,4,1,3,1,5); Brailovsky (2026)  GM 04; RER iso RoW, at plant iso market</v>
      </c>
      <c r="AV27" s="440">
        <v>1.39304347826087E-2</v>
      </c>
      <c r="AW27" s="336">
        <v>1</v>
      </c>
      <c r="AX27" s="337">
        <f t="shared" si="28"/>
        <v>1.2434566510799234</v>
      </c>
      <c r="AY27" s="437" t="str">
        <f t="shared" si="29"/>
        <v>(2,4,1,3,1,5); Brailovsky (2026)  GM 04; RER iso RoW, at plant iso market</v>
      </c>
      <c r="AZ27" s="338"/>
      <c r="BA27" s="440">
        <v>1.5323370688284801E-4</v>
      </c>
      <c r="BB27" s="440">
        <v>1.5323370688284801E-4</v>
      </c>
      <c r="BC27" s="440"/>
      <c r="BD27" s="216" t="s">
        <v>822</v>
      </c>
      <c r="BE27" s="83">
        <v>2</v>
      </c>
      <c r="BF27" s="83">
        <v>1</v>
      </c>
      <c r="BG27" s="83">
        <v>1</v>
      </c>
      <c r="BH27" s="83">
        <v>2</v>
      </c>
      <c r="BI27" s="83">
        <v>1</v>
      </c>
      <c r="BJ27" s="83">
        <v>1</v>
      </c>
      <c r="BK27" s="104">
        <v>3</v>
      </c>
      <c r="BL27" s="104">
        <v>1.05</v>
      </c>
      <c r="BM27" s="107">
        <f t="shared" si="30"/>
        <v>1.0510550504206344</v>
      </c>
      <c r="BN27" s="107">
        <f t="shared" si="31"/>
        <v>1.0722009304576894</v>
      </c>
      <c r="BO27" s="107" t="str">
        <f t="shared" si="32"/>
        <v>(2,1,1,2,1,1)</v>
      </c>
      <c r="BP27" s="108">
        <v>1.05</v>
      </c>
      <c r="BQ27" s="108">
        <v>1</v>
      </c>
      <c r="BR27" s="108">
        <v>1</v>
      </c>
      <c r="BS27" s="108">
        <v>1.01</v>
      </c>
      <c r="BT27" s="108">
        <v>1</v>
      </c>
      <c r="BU27" s="108">
        <v>1</v>
      </c>
      <c r="BW27" s="691" t="s">
        <v>823</v>
      </c>
      <c r="BX27" s="83">
        <v>2</v>
      </c>
      <c r="BY27" s="83">
        <v>4</v>
      </c>
      <c r="BZ27" s="83">
        <v>1</v>
      </c>
      <c r="CA27" s="83">
        <v>3</v>
      </c>
      <c r="CB27" s="83">
        <v>1</v>
      </c>
      <c r="CC27" s="83">
        <v>5</v>
      </c>
      <c r="CD27" s="104">
        <v>3</v>
      </c>
      <c r="CE27" s="104">
        <v>1.05</v>
      </c>
      <c r="CF27" s="107">
        <f t="shared" si="33"/>
        <v>1.2365959919080913</v>
      </c>
      <c r="CG27" s="107">
        <f t="shared" si="34"/>
        <v>1.2434566510799234</v>
      </c>
      <c r="CH27" s="107" t="str">
        <f t="shared" si="35"/>
        <v>(2,4,1,3,1,5)</v>
      </c>
      <c r="CI27" s="108">
        <v>1.05</v>
      </c>
      <c r="CJ27" s="108">
        <v>1.1000000000000001</v>
      </c>
      <c r="CK27" s="108">
        <v>1</v>
      </c>
      <c r="CL27" s="108">
        <v>1.02</v>
      </c>
      <c r="CM27" s="108">
        <v>1</v>
      </c>
      <c r="CN27" s="108">
        <v>1.2</v>
      </c>
    </row>
    <row r="28" spans="1:92" s="171" customFormat="1">
      <c r="A28" s="333">
        <v>268383</v>
      </c>
      <c r="B28" s="216"/>
      <c r="C28" s="334"/>
      <c r="D28" s="515">
        <v>5</v>
      </c>
      <c r="E28" s="343" t="s">
        <v>98</v>
      </c>
      <c r="F28" s="437" t="s">
        <v>824</v>
      </c>
      <c r="G28" s="438" t="s">
        <v>93</v>
      </c>
      <c r="H28" s="455" t="s">
        <v>98</v>
      </c>
      <c r="I28" s="455" t="s">
        <v>98</v>
      </c>
      <c r="J28" s="336">
        <v>0</v>
      </c>
      <c r="K28" s="438" t="s">
        <v>96</v>
      </c>
      <c r="L28" s="440">
        <f t="shared" si="36"/>
        <v>1.74324942775393E-3</v>
      </c>
      <c r="M28" s="336">
        <v>1</v>
      </c>
      <c r="N28" s="337">
        <f t="shared" si="10"/>
        <v>1.0722009304576894</v>
      </c>
      <c r="O28" s="455" t="str">
        <f t="shared" si="11"/>
        <v>(2,1,1,2,1,1); Industry data (French tender): Glue</v>
      </c>
      <c r="P28" s="440">
        <f t="shared" si="37"/>
        <v>1.74324942775393E-3</v>
      </c>
      <c r="Q28" s="336">
        <v>1</v>
      </c>
      <c r="R28" s="337">
        <f t="shared" si="12"/>
        <v>1.0722009304576894</v>
      </c>
      <c r="S28" s="455" t="str">
        <f t="shared" si="13"/>
        <v>(2,1,1,2,1,1); Industry data (French tender): Glue</v>
      </c>
      <c r="T28" s="440">
        <f t="shared" si="38"/>
        <v>1.74324942775393E-3</v>
      </c>
      <c r="U28" s="336">
        <v>1</v>
      </c>
      <c r="V28" s="337">
        <f t="shared" si="14"/>
        <v>1.0722009304576894</v>
      </c>
      <c r="W28" s="455" t="str">
        <f t="shared" si="15"/>
        <v>(2,1,1,2,1,1); Industry data (French tender): Glue</v>
      </c>
      <c r="X28" s="440">
        <f t="shared" si="39"/>
        <v>1.74324942775393E-3</v>
      </c>
      <c r="Y28" s="336">
        <v>1</v>
      </c>
      <c r="Z28" s="337">
        <f t="shared" si="16"/>
        <v>1.0722009304576894</v>
      </c>
      <c r="AA28" s="437" t="str">
        <f t="shared" si="17"/>
        <v>(2,1,1,2,1,1); Industry data (French tender): Glue</v>
      </c>
      <c r="AB28" s="440">
        <f t="shared" si="40"/>
        <v>1.74324942775393E-3</v>
      </c>
      <c r="AC28" s="336">
        <v>1</v>
      </c>
      <c r="AD28" s="337">
        <f t="shared" si="18"/>
        <v>1.0722009304576894</v>
      </c>
      <c r="AE28" s="455" t="str">
        <f t="shared" si="19"/>
        <v>(2,1,1,2,1,1); Industry data (French tender): Glue</v>
      </c>
      <c r="AF28" s="440">
        <f t="shared" si="41"/>
        <v>1.74324942775393E-3</v>
      </c>
      <c r="AG28" s="336">
        <v>1</v>
      </c>
      <c r="AH28" s="337">
        <f t="shared" si="20"/>
        <v>1.0722009304576894</v>
      </c>
      <c r="AI28" s="455" t="str">
        <f t="shared" si="21"/>
        <v>(2,1,1,2,1,1); Industry data (French tender): Glue</v>
      </c>
      <c r="AJ28" s="440">
        <f>BA28</f>
        <v>1.74324942775393E-3</v>
      </c>
      <c r="AK28" s="336">
        <v>1</v>
      </c>
      <c r="AL28" s="337">
        <f t="shared" si="22"/>
        <v>1.0722009304576894</v>
      </c>
      <c r="AM28" s="455" t="str">
        <f t="shared" si="23"/>
        <v>(2,1,1,2,1,1); Industry data (French tender): Glue</v>
      </c>
      <c r="AN28" s="440">
        <f>BB28</f>
        <v>1.74324942775393E-3</v>
      </c>
      <c r="AO28" s="336">
        <v>1</v>
      </c>
      <c r="AP28" s="337">
        <f t="shared" si="24"/>
        <v>1.0722009304576894</v>
      </c>
      <c r="AQ28" s="437" t="str">
        <f t="shared" si="25"/>
        <v>(2,1,1,2,1,1); Industry data (French tender): Glue</v>
      </c>
      <c r="AR28" s="440">
        <v>0</v>
      </c>
      <c r="AS28" s="336">
        <v>1</v>
      </c>
      <c r="AT28" s="337">
        <f t="shared" si="26"/>
        <v>1.05</v>
      </c>
      <c r="AU28" s="455" t="str">
        <f t="shared" si="27"/>
        <v xml:space="preserve">(na,na,na,na,na,na); </v>
      </c>
      <c r="AV28" s="440">
        <v>0</v>
      </c>
      <c r="AW28" s="336">
        <v>1</v>
      </c>
      <c r="AX28" s="337">
        <f t="shared" si="28"/>
        <v>1.05</v>
      </c>
      <c r="AY28" s="437" t="str">
        <f t="shared" si="29"/>
        <v xml:space="preserve">(na,na,na,na,na,na); </v>
      </c>
      <c r="AZ28" s="338"/>
      <c r="BA28" s="440">
        <v>1.74324942775393E-3</v>
      </c>
      <c r="BB28" s="440">
        <v>1.74324942775393E-3</v>
      </c>
      <c r="BC28" s="440"/>
      <c r="BD28" s="216" t="s">
        <v>825</v>
      </c>
      <c r="BE28" s="83">
        <v>2</v>
      </c>
      <c r="BF28" s="83">
        <v>1</v>
      </c>
      <c r="BG28" s="83">
        <v>1</v>
      </c>
      <c r="BH28" s="83">
        <v>2</v>
      </c>
      <c r="BI28" s="83">
        <v>1</v>
      </c>
      <c r="BJ28" s="83">
        <v>1</v>
      </c>
      <c r="BK28" s="104">
        <v>3</v>
      </c>
      <c r="BL28" s="104">
        <v>1.05</v>
      </c>
      <c r="BM28" s="107">
        <f t="shared" si="30"/>
        <v>1.0510550504206344</v>
      </c>
      <c r="BN28" s="107">
        <f t="shared" si="31"/>
        <v>1.0722009304576894</v>
      </c>
      <c r="BO28" s="107" t="str">
        <f t="shared" si="32"/>
        <v>(2,1,1,2,1,1)</v>
      </c>
      <c r="BP28" s="108">
        <v>1.05</v>
      </c>
      <c r="BQ28" s="108">
        <v>1</v>
      </c>
      <c r="BR28" s="108">
        <v>1</v>
      </c>
      <c r="BS28" s="108">
        <v>1.01</v>
      </c>
      <c r="BT28" s="108">
        <v>1</v>
      </c>
      <c r="BU28" s="108">
        <v>1</v>
      </c>
      <c r="BW28" s="691"/>
      <c r="BX28" s="339" t="s">
        <v>106</v>
      </c>
      <c r="BY28" s="339" t="s">
        <v>106</v>
      </c>
      <c r="BZ28" s="339" t="s">
        <v>106</v>
      </c>
      <c r="CA28" s="339" t="s">
        <v>106</v>
      </c>
      <c r="CB28" s="339" t="s">
        <v>106</v>
      </c>
      <c r="CC28" s="339" t="s">
        <v>106</v>
      </c>
      <c r="CD28" s="104">
        <v>3</v>
      </c>
      <c r="CE28" s="104">
        <v>1.05</v>
      </c>
      <c r="CF28" s="107">
        <f t="shared" si="33"/>
        <v>1</v>
      </c>
      <c r="CG28" s="107">
        <f t="shared" si="34"/>
        <v>1.05</v>
      </c>
      <c r="CH28" s="107" t="str">
        <f t="shared" si="35"/>
        <v>(na,na,na,na,na,na)</v>
      </c>
      <c r="CI28" s="108">
        <v>1</v>
      </c>
      <c r="CJ28" s="108">
        <v>1</v>
      </c>
      <c r="CK28" s="108">
        <v>1</v>
      </c>
      <c r="CL28" s="108">
        <v>1</v>
      </c>
      <c r="CM28" s="108">
        <v>1</v>
      </c>
      <c r="CN28" s="108">
        <v>1</v>
      </c>
    </row>
    <row r="29" spans="1:92" s="171" customFormat="1" ht="24" collapsed="1">
      <c r="A29" s="333">
        <v>268016</v>
      </c>
      <c r="B29" s="216"/>
      <c r="C29" s="334"/>
      <c r="D29" s="515">
        <v>5</v>
      </c>
      <c r="E29" s="343" t="s">
        <v>98</v>
      </c>
      <c r="F29" s="437" t="s">
        <v>826</v>
      </c>
      <c r="G29" s="438" t="s">
        <v>93</v>
      </c>
      <c r="H29" s="455" t="s">
        <v>98</v>
      </c>
      <c r="I29" s="455" t="s">
        <v>98</v>
      </c>
      <c r="J29" s="336">
        <v>0</v>
      </c>
      <c r="K29" s="438" t="s">
        <v>96</v>
      </c>
      <c r="L29" s="440">
        <f t="shared" si="36"/>
        <v>0</v>
      </c>
      <c r="M29" s="336">
        <v>1</v>
      </c>
      <c r="N29" s="337">
        <f t="shared" si="10"/>
        <v>1.05</v>
      </c>
      <c r="O29" s="455" t="str">
        <f t="shared" si="11"/>
        <v xml:space="preserve">(na,na,na,na,na,na); </v>
      </c>
      <c r="P29" s="440">
        <f t="shared" si="37"/>
        <v>0</v>
      </c>
      <c r="Q29" s="336">
        <v>1</v>
      </c>
      <c r="R29" s="337">
        <f t="shared" si="12"/>
        <v>1.05</v>
      </c>
      <c r="S29" s="455" t="str">
        <f t="shared" si="13"/>
        <v xml:space="preserve">(na,na,na,na,na,na); </v>
      </c>
      <c r="T29" s="440">
        <f t="shared" si="38"/>
        <v>0</v>
      </c>
      <c r="U29" s="336">
        <v>1</v>
      </c>
      <c r="V29" s="337">
        <f t="shared" si="14"/>
        <v>1.05</v>
      </c>
      <c r="W29" s="455" t="str">
        <f t="shared" si="15"/>
        <v xml:space="preserve">(na,na,na,na,na,na); </v>
      </c>
      <c r="X29" s="440">
        <f t="shared" si="39"/>
        <v>0</v>
      </c>
      <c r="Y29" s="336">
        <v>1</v>
      </c>
      <c r="Z29" s="337">
        <f t="shared" si="16"/>
        <v>1.05</v>
      </c>
      <c r="AA29" s="437" t="str">
        <f t="shared" si="17"/>
        <v xml:space="preserve">(na,na,na,na,na,na); </v>
      </c>
      <c r="AB29" s="440">
        <f t="shared" si="40"/>
        <v>0</v>
      </c>
      <c r="AC29" s="336">
        <v>1</v>
      </c>
      <c r="AD29" s="337">
        <f t="shared" si="18"/>
        <v>1.05</v>
      </c>
      <c r="AE29" s="455" t="str">
        <f t="shared" si="19"/>
        <v xml:space="preserve">(na,na,na,na,na,na); </v>
      </c>
      <c r="AF29" s="440">
        <f t="shared" si="41"/>
        <v>0</v>
      </c>
      <c r="AG29" s="336">
        <v>1</v>
      </c>
      <c r="AH29" s="337">
        <f t="shared" si="20"/>
        <v>1.05</v>
      </c>
      <c r="AI29" s="455" t="str">
        <f t="shared" si="21"/>
        <v xml:space="preserve">(na,na,na,na,na,na); </v>
      </c>
      <c r="AJ29" s="440">
        <f>$BA29</f>
        <v>0</v>
      </c>
      <c r="AK29" s="336">
        <v>1</v>
      </c>
      <c r="AL29" s="337">
        <f t="shared" si="22"/>
        <v>1.05</v>
      </c>
      <c r="AM29" s="455" t="str">
        <f t="shared" si="23"/>
        <v xml:space="preserve">(na,na,na,na,na,na); </v>
      </c>
      <c r="AN29" s="440">
        <f>$BB29</f>
        <v>0</v>
      </c>
      <c r="AO29" s="336">
        <v>1</v>
      </c>
      <c r="AP29" s="337">
        <f t="shared" si="24"/>
        <v>1.05</v>
      </c>
      <c r="AQ29" s="437" t="str">
        <f t="shared" si="25"/>
        <v xml:space="preserve">(na,na,na,na,na,na); </v>
      </c>
      <c r="AR29" s="440">
        <v>4.0695652173913001E-3</v>
      </c>
      <c r="AS29" s="336">
        <v>1</v>
      </c>
      <c r="AT29" s="337">
        <f t="shared" si="26"/>
        <v>1.2434566510799234</v>
      </c>
      <c r="AU29" s="455" t="str">
        <f t="shared" si="27"/>
        <v>(2,4,1,3,1,5); Brailovsky (2026)  GM 04; 34% iso 54%, RER iso RoW</v>
      </c>
      <c r="AV29" s="440">
        <v>4.0695652173913001E-3</v>
      </c>
      <c r="AW29" s="336">
        <v>1</v>
      </c>
      <c r="AX29" s="337">
        <f t="shared" si="28"/>
        <v>1.2434566510799234</v>
      </c>
      <c r="AY29" s="437" t="str">
        <f t="shared" si="29"/>
        <v>(2,4,1,3,1,5); Brailovsky (2026)  GM 04; 34% iso 54%, RER iso RoW</v>
      </c>
      <c r="AZ29" s="338"/>
      <c r="BA29" s="440">
        <v>0</v>
      </c>
      <c r="BB29" s="440">
        <v>0</v>
      </c>
      <c r="BC29" s="440"/>
      <c r="BD29" s="216"/>
      <c r="BE29" s="339" t="s">
        <v>106</v>
      </c>
      <c r="BF29" s="339" t="s">
        <v>106</v>
      </c>
      <c r="BG29" s="339" t="s">
        <v>106</v>
      </c>
      <c r="BH29" s="339" t="s">
        <v>106</v>
      </c>
      <c r="BI29" s="339" t="s">
        <v>106</v>
      </c>
      <c r="BJ29" s="339" t="s">
        <v>106</v>
      </c>
      <c r="BK29" s="104">
        <v>3</v>
      </c>
      <c r="BL29" s="104">
        <v>1.05</v>
      </c>
      <c r="BM29" s="107">
        <f t="shared" si="30"/>
        <v>1</v>
      </c>
      <c r="BN29" s="107">
        <f t="shared" si="31"/>
        <v>1.05</v>
      </c>
      <c r="BO29" s="107" t="str">
        <f t="shared" si="32"/>
        <v>(na,na,na,na,na,na)</v>
      </c>
      <c r="BP29" s="108">
        <v>1</v>
      </c>
      <c r="BQ29" s="108">
        <v>1</v>
      </c>
      <c r="BR29" s="108">
        <v>1</v>
      </c>
      <c r="BS29" s="108">
        <v>1</v>
      </c>
      <c r="BT29" s="108">
        <v>1</v>
      </c>
      <c r="BU29" s="108">
        <v>1</v>
      </c>
      <c r="BW29" s="691" t="s">
        <v>827</v>
      </c>
      <c r="BX29" s="83">
        <v>2</v>
      </c>
      <c r="BY29" s="83">
        <v>4</v>
      </c>
      <c r="BZ29" s="83">
        <v>1</v>
      </c>
      <c r="CA29" s="83">
        <v>3</v>
      </c>
      <c r="CB29" s="83">
        <v>1</v>
      </c>
      <c r="CC29" s="83">
        <v>5</v>
      </c>
      <c r="CD29" s="104">
        <v>3</v>
      </c>
      <c r="CE29" s="104">
        <v>1.05</v>
      </c>
      <c r="CF29" s="107">
        <f t="shared" si="33"/>
        <v>1.2365959919080913</v>
      </c>
      <c r="CG29" s="107">
        <f t="shared" si="34"/>
        <v>1.2434566510799234</v>
      </c>
      <c r="CH29" s="107" t="str">
        <f t="shared" si="35"/>
        <v>(2,4,1,3,1,5)</v>
      </c>
      <c r="CI29" s="108">
        <v>1.05</v>
      </c>
      <c r="CJ29" s="108">
        <v>1.1000000000000001</v>
      </c>
      <c r="CK29" s="108">
        <v>1</v>
      </c>
      <c r="CL29" s="108">
        <v>1.02</v>
      </c>
      <c r="CM29" s="108">
        <v>1</v>
      </c>
      <c r="CN29" s="108">
        <v>1.2</v>
      </c>
    </row>
    <row r="30" spans="1:92" s="171" customFormat="1" ht="24">
      <c r="A30" s="333">
        <v>265187</v>
      </c>
      <c r="B30" s="216"/>
      <c r="C30" s="334"/>
      <c r="D30" s="515">
        <v>5</v>
      </c>
      <c r="E30" s="343" t="s">
        <v>98</v>
      </c>
      <c r="F30" s="437" t="s">
        <v>828</v>
      </c>
      <c r="G30" s="438" t="s">
        <v>93</v>
      </c>
      <c r="H30" s="455" t="s">
        <v>98</v>
      </c>
      <c r="I30" s="455" t="s">
        <v>98</v>
      </c>
      <c r="J30" s="336">
        <v>0</v>
      </c>
      <c r="K30" s="438" t="s">
        <v>96</v>
      </c>
      <c r="L30" s="440">
        <f t="shared" si="36"/>
        <v>3.7130662446351902E-2</v>
      </c>
      <c r="M30" s="336">
        <v>1</v>
      </c>
      <c r="N30" s="337">
        <f t="shared" si="10"/>
        <v>1.0722009304576894</v>
      </c>
      <c r="O30" s="455" t="str">
        <f t="shared" si="11"/>
        <v>(2,1,1,2,1,1); Industry data (French tender): Beam Plate for diamond wiring</v>
      </c>
      <c r="P30" s="440">
        <f t="shared" si="37"/>
        <v>3.7130662446351902E-2</v>
      </c>
      <c r="Q30" s="336">
        <v>1</v>
      </c>
      <c r="R30" s="337">
        <f t="shared" si="12"/>
        <v>1.0722009304576894</v>
      </c>
      <c r="S30" s="455" t="str">
        <f t="shared" si="13"/>
        <v>(2,1,1,2,1,1); Industry data (French tender): Beam Plate for diamond wiring</v>
      </c>
      <c r="T30" s="440">
        <f t="shared" si="38"/>
        <v>3.7130662446351902E-2</v>
      </c>
      <c r="U30" s="336">
        <v>1</v>
      </c>
      <c r="V30" s="337">
        <f t="shared" si="14"/>
        <v>1.0722009304576894</v>
      </c>
      <c r="W30" s="455" t="str">
        <f t="shared" si="15"/>
        <v>(2,1,1,2,1,1); Industry data (French tender): Beam Plate for diamond wiring</v>
      </c>
      <c r="X30" s="440">
        <f t="shared" si="39"/>
        <v>3.7130662446351902E-2</v>
      </c>
      <c r="Y30" s="336">
        <v>1</v>
      </c>
      <c r="Z30" s="337">
        <f t="shared" si="16"/>
        <v>1.0722009304576894</v>
      </c>
      <c r="AA30" s="437" t="str">
        <f t="shared" si="17"/>
        <v>(2,1,1,2,1,1); Industry data (French tender): Beam Plate for diamond wiring</v>
      </c>
      <c r="AB30" s="440">
        <f t="shared" si="40"/>
        <v>3.7130662446351902E-2</v>
      </c>
      <c r="AC30" s="336">
        <v>1</v>
      </c>
      <c r="AD30" s="337">
        <f t="shared" si="18"/>
        <v>1.0722009304576894</v>
      </c>
      <c r="AE30" s="455" t="str">
        <f t="shared" si="19"/>
        <v>(2,1,1,2,1,1); Industry data (French tender): Beam Plate for diamond wiring</v>
      </c>
      <c r="AF30" s="440">
        <f t="shared" si="41"/>
        <v>3.7130662446351902E-2</v>
      </c>
      <c r="AG30" s="336">
        <v>1</v>
      </c>
      <c r="AH30" s="337">
        <f t="shared" si="20"/>
        <v>1.0722009304576894</v>
      </c>
      <c r="AI30" s="455" t="str">
        <f t="shared" si="21"/>
        <v>(2,1,1,2,1,1); Industry data (French tender): Beam Plate for diamond wiring</v>
      </c>
      <c r="AJ30" s="440">
        <f>BA30</f>
        <v>3.7130662446351902E-2</v>
      </c>
      <c r="AK30" s="336">
        <v>1</v>
      </c>
      <c r="AL30" s="337">
        <f t="shared" si="22"/>
        <v>1.0722009304576894</v>
      </c>
      <c r="AM30" s="455" t="str">
        <f t="shared" si="23"/>
        <v>(2,1,1,2,1,1); Industry data (French tender): Beam Plate for diamond wiring</v>
      </c>
      <c r="AN30" s="440">
        <f>BB30</f>
        <v>3.7130662446351902E-2</v>
      </c>
      <c r="AO30" s="336">
        <v>1</v>
      </c>
      <c r="AP30" s="337">
        <f t="shared" si="24"/>
        <v>1.0722009304576894</v>
      </c>
      <c r="AQ30" s="437" t="str">
        <f t="shared" si="25"/>
        <v>(2,1,1,2,1,1); Industry data (French tender): Beam Plate for diamond wiring</v>
      </c>
      <c r="AR30" s="440">
        <v>0</v>
      </c>
      <c r="AS30" s="336">
        <v>1</v>
      </c>
      <c r="AT30" s="337">
        <f t="shared" si="26"/>
        <v>1.05</v>
      </c>
      <c r="AU30" s="455" t="str">
        <f t="shared" si="27"/>
        <v xml:space="preserve">(na,na,na,na,na,na); </v>
      </c>
      <c r="AV30" s="440">
        <v>0</v>
      </c>
      <c r="AW30" s="336">
        <v>1</v>
      </c>
      <c r="AX30" s="337">
        <f t="shared" si="28"/>
        <v>1.05</v>
      </c>
      <c r="AY30" s="437" t="str">
        <f t="shared" si="29"/>
        <v xml:space="preserve">(na,na,na,na,na,na); </v>
      </c>
      <c r="AZ30" s="338"/>
      <c r="BA30" s="440">
        <v>3.7130662446351902E-2</v>
      </c>
      <c r="BB30" s="440">
        <v>3.7130662446351902E-2</v>
      </c>
      <c r="BC30" s="440"/>
      <c r="BD30" s="216" t="s">
        <v>829</v>
      </c>
      <c r="BE30" s="83">
        <v>2</v>
      </c>
      <c r="BF30" s="83">
        <v>1</v>
      </c>
      <c r="BG30" s="83">
        <v>1</v>
      </c>
      <c r="BH30" s="83">
        <v>2</v>
      </c>
      <c r="BI30" s="83">
        <v>1</v>
      </c>
      <c r="BJ30" s="83">
        <v>1</v>
      </c>
      <c r="BK30" s="104">
        <v>3</v>
      </c>
      <c r="BL30" s="104">
        <v>1.05</v>
      </c>
      <c r="BM30" s="107">
        <f t="shared" si="30"/>
        <v>1.0510550504206344</v>
      </c>
      <c r="BN30" s="107">
        <f t="shared" si="31"/>
        <v>1.0722009304576894</v>
      </c>
      <c r="BO30" s="107" t="str">
        <f t="shared" si="32"/>
        <v>(2,1,1,2,1,1)</v>
      </c>
      <c r="BP30" s="108">
        <v>1.05</v>
      </c>
      <c r="BQ30" s="108">
        <v>1</v>
      </c>
      <c r="BR30" s="108">
        <v>1</v>
      </c>
      <c r="BS30" s="108">
        <v>1.01</v>
      </c>
      <c r="BT30" s="108">
        <v>1</v>
      </c>
      <c r="BU30" s="108">
        <v>1</v>
      </c>
      <c r="BW30" s="691"/>
      <c r="BX30" s="339" t="s">
        <v>106</v>
      </c>
      <c r="BY30" s="339" t="s">
        <v>106</v>
      </c>
      <c r="BZ30" s="339" t="s">
        <v>106</v>
      </c>
      <c r="CA30" s="339" t="s">
        <v>106</v>
      </c>
      <c r="CB30" s="339" t="s">
        <v>106</v>
      </c>
      <c r="CC30" s="339" t="s">
        <v>106</v>
      </c>
      <c r="CD30" s="104">
        <v>3</v>
      </c>
      <c r="CE30" s="104">
        <v>1.05</v>
      </c>
      <c r="CF30" s="107">
        <f t="shared" si="33"/>
        <v>1</v>
      </c>
      <c r="CG30" s="107">
        <f t="shared" si="34"/>
        <v>1.05</v>
      </c>
      <c r="CH30" s="107" t="str">
        <f t="shared" si="35"/>
        <v>(na,na,na,na,na,na)</v>
      </c>
      <c r="CI30" s="108">
        <v>1</v>
      </c>
      <c r="CJ30" s="108">
        <v>1</v>
      </c>
      <c r="CK30" s="108">
        <v>1</v>
      </c>
      <c r="CL30" s="108">
        <v>1</v>
      </c>
      <c r="CM30" s="108">
        <v>1</v>
      </c>
      <c r="CN30" s="108">
        <v>1</v>
      </c>
    </row>
    <row r="31" spans="1:92" s="171" customFormat="1" ht="24" collapsed="1">
      <c r="A31" s="333">
        <v>268995</v>
      </c>
      <c r="B31" s="216"/>
      <c r="C31" s="165"/>
      <c r="D31" s="515">
        <v>5</v>
      </c>
      <c r="E31" s="343" t="s">
        <v>98</v>
      </c>
      <c r="F31" s="437" t="s">
        <v>585</v>
      </c>
      <c r="G31" s="438" t="s">
        <v>103</v>
      </c>
      <c r="H31" s="455" t="s">
        <v>98</v>
      </c>
      <c r="I31" s="455" t="s">
        <v>98</v>
      </c>
      <c r="J31" s="336">
        <v>0</v>
      </c>
      <c r="K31" s="438" t="s">
        <v>96</v>
      </c>
      <c r="L31" s="440">
        <v>0</v>
      </c>
      <c r="M31" s="336">
        <v>1</v>
      </c>
      <c r="N31" s="337">
        <f t="shared" si="10"/>
        <v>1.05</v>
      </c>
      <c r="O31" s="455" t="str">
        <f t="shared" si="11"/>
        <v xml:space="preserve">(na,na,na,na,na,na); </v>
      </c>
      <c r="P31" s="440">
        <v>0</v>
      </c>
      <c r="Q31" s="336">
        <v>1</v>
      </c>
      <c r="R31" s="337">
        <f t="shared" si="12"/>
        <v>1.05</v>
      </c>
      <c r="S31" s="455" t="str">
        <f t="shared" si="13"/>
        <v xml:space="preserve">(na,na,na,na,na,na); </v>
      </c>
      <c r="T31" s="440">
        <v>0</v>
      </c>
      <c r="U31" s="336">
        <v>1</v>
      </c>
      <c r="V31" s="337">
        <f t="shared" si="14"/>
        <v>1.05</v>
      </c>
      <c r="W31" s="455" t="str">
        <f t="shared" si="15"/>
        <v xml:space="preserve">(na,na,na,na,na,na); </v>
      </c>
      <c r="X31" s="440">
        <v>0</v>
      </c>
      <c r="Y31" s="336">
        <v>1</v>
      </c>
      <c r="Z31" s="337">
        <f t="shared" si="16"/>
        <v>1.05</v>
      </c>
      <c r="AA31" s="437" t="str">
        <f t="shared" si="17"/>
        <v xml:space="preserve">(na,na,na,na,na,na); </v>
      </c>
      <c r="AB31" s="440">
        <v>0</v>
      </c>
      <c r="AC31" s="336">
        <v>1</v>
      </c>
      <c r="AD31" s="337">
        <f t="shared" si="18"/>
        <v>1.05</v>
      </c>
      <c r="AE31" s="455" t="str">
        <f t="shared" si="19"/>
        <v xml:space="preserve">(na,na,na,na,na,na); </v>
      </c>
      <c r="AF31" s="440">
        <v>0</v>
      </c>
      <c r="AG31" s="336">
        <v>1</v>
      </c>
      <c r="AH31" s="337">
        <f t="shared" si="20"/>
        <v>1.05</v>
      </c>
      <c r="AI31" s="455" t="str">
        <f t="shared" si="21"/>
        <v xml:space="preserve">(na,na,na,na,na,na); </v>
      </c>
      <c r="AJ31" s="440">
        <v>0</v>
      </c>
      <c r="AK31" s="336">
        <v>1</v>
      </c>
      <c r="AL31" s="337">
        <f t="shared" si="22"/>
        <v>1.05</v>
      </c>
      <c r="AM31" s="455" t="str">
        <f t="shared" si="23"/>
        <v xml:space="preserve">(na,na,na,na,na,na); </v>
      </c>
      <c r="AN31" s="440">
        <v>0</v>
      </c>
      <c r="AO31" s="336">
        <v>1</v>
      </c>
      <c r="AP31" s="337">
        <f t="shared" si="24"/>
        <v>1.05</v>
      </c>
      <c r="AQ31" s="437" t="str">
        <f t="shared" si="25"/>
        <v xml:space="preserve">(na,na,na,na,na,na); </v>
      </c>
      <c r="AR31" s="440">
        <v>6.2452173913043502E-2</v>
      </c>
      <c r="AS31" s="336">
        <v>1</v>
      </c>
      <c r="AT31" s="337">
        <f t="shared" si="26"/>
        <v>1.2434566510799234</v>
      </c>
      <c r="AU31" s="455" t="str">
        <f t="shared" si="27"/>
        <v>(2,4,1,3,1,5); Brailovsky (2026)  GM 04; CH iso GLO</v>
      </c>
      <c r="AV31" s="440">
        <v>6.2452173913043502E-2</v>
      </c>
      <c r="AW31" s="336">
        <v>1</v>
      </c>
      <c r="AX31" s="337">
        <f t="shared" si="28"/>
        <v>1.2434566510799234</v>
      </c>
      <c r="AY31" s="437" t="str">
        <f t="shared" si="29"/>
        <v>(2,4,1,3,1,5); Brailovsky (2026)  GM 04; CH iso GLO</v>
      </c>
      <c r="AZ31" s="338"/>
      <c r="BA31" s="440"/>
      <c r="BB31" s="440"/>
      <c r="BC31" s="440"/>
      <c r="BD31" s="690"/>
      <c r="BE31" s="339" t="s">
        <v>106</v>
      </c>
      <c r="BF31" s="339" t="s">
        <v>106</v>
      </c>
      <c r="BG31" s="339" t="s">
        <v>106</v>
      </c>
      <c r="BH31" s="339" t="s">
        <v>106</v>
      </c>
      <c r="BI31" s="339" t="s">
        <v>106</v>
      </c>
      <c r="BJ31" s="339" t="s">
        <v>106</v>
      </c>
      <c r="BK31" s="104">
        <v>3</v>
      </c>
      <c r="BL31" s="104">
        <v>1.05</v>
      </c>
      <c r="BM31" s="107">
        <f t="shared" si="30"/>
        <v>1</v>
      </c>
      <c r="BN31" s="107">
        <f t="shared" si="31"/>
        <v>1.05</v>
      </c>
      <c r="BO31" s="107" t="str">
        <f t="shared" si="32"/>
        <v>(na,na,na,na,na,na)</v>
      </c>
      <c r="BP31" s="108">
        <v>1</v>
      </c>
      <c r="BQ31" s="108">
        <v>1</v>
      </c>
      <c r="BR31" s="108">
        <v>1</v>
      </c>
      <c r="BS31" s="108">
        <v>1</v>
      </c>
      <c r="BT31" s="108">
        <v>1</v>
      </c>
      <c r="BU31" s="108">
        <v>1</v>
      </c>
      <c r="BW31" s="691" t="s">
        <v>830</v>
      </c>
      <c r="BX31" s="83">
        <v>2</v>
      </c>
      <c r="BY31" s="83">
        <v>4</v>
      </c>
      <c r="BZ31" s="83">
        <v>1</v>
      </c>
      <c r="CA31" s="83">
        <v>3</v>
      </c>
      <c r="CB31" s="83">
        <v>1</v>
      </c>
      <c r="CC31" s="83">
        <v>5</v>
      </c>
      <c r="CD31" s="104">
        <v>3</v>
      </c>
      <c r="CE31" s="104">
        <v>1.05</v>
      </c>
      <c r="CF31" s="107">
        <f t="shared" si="33"/>
        <v>1.2365959919080913</v>
      </c>
      <c r="CG31" s="107">
        <f t="shared" si="34"/>
        <v>1.2434566510799234</v>
      </c>
      <c r="CH31" s="107" t="str">
        <f t="shared" si="35"/>
        <v>(2,4,1,3,1,5)</v>
      </c>
      <c r="CI31" s="108">
        <v>1.05</v>
      </c>
      <c r="CJ31" s="108">
        <v>1.1000000000000001</v>
      </c>
      <c r="CK31" s="108">
        <v>1</v>
      </c>
      <c r="CL31" s="108">
        <v>1.02</v>
      </c>
      <c r="CM31" s="108">
        <v>1</v>
      </c>
      <c r="CN31" s="108">
        <v>1.2</v>
      </c>
    </row>
    <row r="32" spans="1:92" s="171" customFormat="1">
      <c r="A32" s="333">
        <v>157715</v>
      </c>
      <c r="B32" s="216"/>
      <c r="C32" s="334"/>
      <c r="D32" s="515">
        <v>5</v>
      </c>
      <c r="E32" s="343" t="s">
        <v>98</v>
      </c>
      <c r="F32" s="437" t="s">
        <v>473</v>
      </c>
      <c r="G32" s="438" t="s">
        <v>154</v>
      </c>
      <c r="H32" s="455" t="s">
        <v>98</v>
      </c>
      <c r="I32" s="455" t="s">
        <v>98</v>
      </c>
      <c r="J32" s="336">
        <v>0</v>
      </c>
      <c r="K32" s="438" t="s">
        <v>96</v>
      </c>
      <c r="L32" s="440">
        <f>AJ32</f>
        <v>1.7950788711943898E-2</v>
      </c>
      <c r="M32" s="336">
        <v>1</v>
      </c>
      <c r="N32" s="337">
        <f t="shared" si="10"/>
        <v>1.0722009304576894</v>
      </c>
      <c r="O32" s="455" t="str">
        <f t="shared" si="11"/>
        <v>(2,1,1,2,1,1); Industry data (French tender)</v>
      </c>
      <c r="P32" s="440">
        <f>AN32</f>
        <v>1.7950788711943898E-2</v>
      </c>
      <c r="Q32" s="336">
        <v>1</v>
      </c>
      <c r="R32" s="337">
        <f t="shared" si="12"/>
        <v>1.0722009304576894</v>
      </c>
      <c r="S32" s="455" t="str">
        <f t="shared" si="13"/>
        <v>(2,1,1,2,1,1); Industry data (French tender)</v>
      </c>
      <c r="T32" s="440">
        <f>L32</f>
        <v>1.7950788711943898E-2</v>
      </c>
      <c r="U32" s="336">
        <v>1</v>
      </c>
      <c r="V32" s="337">
        <f t="shared" si="14"/>
        <v>1.0722009304576894</v>
      </c>
      <c r="W32" s="455" t="str">
        <f t="shared" si="15"/>
        <v>(2,1,1,2,1,1); Industry data (French tender)</v>
      </c>
      <c r="X32" s="440">
        <f>P32</f>
        <v>1.7950788711943898E-2</v>
      </c>
      <c r="Y32" s="336">
        <v>1</v>
      </c>
      <c r="Z32" s="337">
        <f t="shared" si="16"/>
        <v>1.0722009304576894</v>
      </c>
      <c r="AA32" s="437" t="str">
        <f t="shared" si="17"/>
        <v>(2,1,1,2,1,1); Industry data (French tender)</v>
      </c>
      <c r="AB32" s="440">
        <f>T32</f>
        <v>1.7950788711943898E-2</v>
      </c>
      <c r="AC32" s="336">
        <v>1</v>
      </c>
      <c r="AD32" s="337">
        <f t="shared" si="18"/>
        <v>1.0722009304576894</v>
      </c>
      <c r="AE32" s="455" t="str">
        <f t="shared" si="19"/>
        <v>(2,1,1,2,1,1); Industry data (French tender)</v>
      </c>
      <c r="AF32" s="440">
        <f>P32</f>
        <v>1.7950788711943898E-2</v>
      </c>
      <c r="AG32" s="336">
        <v>1</v>
      </c>
      <c r="AH32" s="337">
        <f t="shared" si="20"/>
        <v>1.0722009304576894</v>
      </c>
      <c r="AI32" s="455" t="str">
        <f t="shared" si="21"/>
        <v>(2,1,1,2,1,1); Industry data (French tender)</v>
      </c>
      <c r="AJ32" s="440">
        <f>$BA32</f>
        <v>1.7950788711943898E-2</v>
      </c>
      <c r="AK32" s="336">
        <v>1</v>
      </c>
      <c r="AL32" s="337">
        <f t="shared" si="22"/>
        <v>1.0722009304576894</v>
      </c>
      <c r="AM32" s="455" t="str">
        <f t="shared" si="23"/>
        <v>(2,1,1,2,1,1); Industry data (French tender)</v>
      </c>
      <c r="AN32" s="440">
        <f>$BB32</f>
        <v>1.7950788711943898E-2</v>
      </c>
      <c r="AO32" s="336">
        <v>1</v>
      </c>
      <c r="AP32" s="337">
        <f t="shared" si="24"/>
        <v>1.0722009304576894</v>
      </c>
      <c r="AQ32" s="437" t="str">
        <f t="shared" si="25"/>
        <v>(2,1,1,2,1,1); Industry data (French tender)</v>
      </c>
      <c r="AR32" s="440">
        <v>0</v>
      </c>
      <c r="AS32" s="336">
        <v>1</v>
      </c>
      <c r="AT32" s="337">
        <f t="shared" si="26"/>
        <v>1.05</v>
      </c>
      <c r="AU32" s="455" t="str">
        <f t="shared" si="27"/>
        <v xml:space="preserve">(na,na,na,na,na,na); </v>
      </c>
      <c r="AV32" s="440">
        <v>0</v>
      </c>
      <c r="AW32" s="336">
        <v>1</v>
      </c>
      <c r="AX32" s="337">
        <f t="shared" si="28"/>
        <v>1.05</v>
      </c>
      <c r="AY32" s="437" t="str">
        <f t="shared" si="29"/>
        <v xml:space="preserve">(na,na,na,na,na,na); </v>
      </c>
      <c r="AZ32" s="338"/>
      <c r="BA32" s="440">
        <v>1.7950788711943898E-2</v>
      </c>
      <c r="BB32" s="440">
        <v>1.7950788711943898E-2</v>
      </c>
      <c r="BC32" s="440"/>
      <c r="BD32" s="216" t="s">
        <v>462</v>
      </c>
      <c r="BE32" s="83">
        <v>2</v>
      </c>
      <c r="BF32" s="83">
        <v>1</v>
      </c>
      <c r="BG32" s="83">
        <v>1</v>
      </c>
      <c r="BH32" s="83">
        <v>2</v>
      </c>
      <c r="BI32" s="83">
        <v>1</v>
      </c>
      <c r="BJ32" s="83">
        <v>1</v>
      </c>
      <c r="BK32" s="104">
        <v>3</v>
      </c>
      <c r="BL32" s="104">
        <v>1.05</v>
      </c>
      <c r="BM32" s="107">
        <f t="shared" si="30"/>
        <v>1.0510550504206344</v>
      </c>
      <c r="BN32" s="107">
        <f t="shared" si="31"/>
        <v>1.0722009304576894</v>
      </c>
      <c r="BO32" s="107" t="str">
        <f t="shared" si="32"/>
        <v>(2,1,1,2,1,1)</v>
      </c>
      <c r="BP32" s="108">
        <v>1.05</v>
      </c>
      <c r="BQ32" s="108">
        <v>1</v>
      </c>
      <c r="BR32" s="108">
        <v>1</v>
      </c>
      <c r="BS32" s="108">
        <v>1.01</v>
      </c>
      <c r="BT32" s="108">
        <v>1</v>
      </c>
      <c r="BU32" s="108">
        <v>1</v>
      </c>
      <c r="BW32" s="691"/>
      <c r="BX32" s="339" t="s">
        <v>106</v>
      </c>
      <c r="BY32" s="339" t="s">
        <v>106</v>
      </c>
      <c r="BZ32" s="339" t="s">
        <v>106</v>
      </c>
      <c r="CA32" s="339" t="s">
        <v>106</v>
      </c>
      <c r="CB32" s="339" t="s">
        <v>106</v>
      </c>
      <c r="CC32" s="339" t="s">
        <v>106</v>
      </c>
      <c r="CD32" s="104">
        <v>3</v>
      </c>
      <c r="CE32" s="104">
        <v>1.05</v>
      </c>
      <c r="CF32" s="107">
        <f t="shared" si="33"/>
        <v>1</v>
      </c>
      <c r="CG32" s="107">
        <f t="shared" si="34"/>
        <v>1.05</v>
      </c>
      <c r="CH32" s="107" t="str">
        <f t="shared" si="35"/>
        <v>(na,na,na,na,na,na)</v>
      </c>
      <c r="CI32" s="108">
        <v>1</v>
      </c>
      <c r="CJ32" s="108">
        <v>1</v>
      </c>
      <c r="CK32" s="108">
        <v>1</v>
      </c>
      <c r="CL32" s="108">
        <v>1</v>
      </c>
      <c r="CM32" s="108">
        <v>1</v>
      </c>
      <c r="CN32" s="108">
        <v>1</v>
      </c>
    </row>
    <row r="33" spans="1:92" s="171" customFormat="1" ht="24" collapsed="1">
      <c r="A33" s="333">
        <v>269129</v>
      </c>
      <c r="B33" s="216"/>
      <c r="C33" s="165"/>
      <c r="D33" s="515">
        <v>5</v>
      </c>
      <c r="E33" s="343" t="s">
        <v>98</v>
      </c>
      <c r="F33" s="437" t="s">
        <v>831</v>
      </c>
      <c r="G33" s="438" t="s">
        <v>93</v>
      </c>
      <c r="H33" s="455" t="s">
        <v>98</v>
      </c>
      <c r="I33" s="455" t="s">
        <v>98</v>
      </c>
      <c r="J33" s="336">
        <v>0</v>
      </c>
      <c r="K33" s="438" t="s">
        <v>96</v>
      </c>
      <c r="L33" s="440">
        <v>0</v>
      </c>
      <c r="M33" s="336">
        <v>1</v>
      </c>
      <c r="N33" s="337">
        <f t="shared" si="10"/>
        <v>1.05</v>
      </c>
      <c r="O33" s="455" t="str">
        <f t="shared" si="11"/>
        <v xml:space="preserve">(na,na,na,na,na,na); </v>
      </c>
      <c r="P33" s="440">
        <v>0</v>
      </c>
      <c r="Q33" s="336">
        <v>1</v>
      </c>
      <c r="R33" s="337">
        <f t="shared" si="12"/>
        <v>1.05</v>
      </c>
      <c r="S33" s="455" t="str">
        <f t="shared" si="13"/>
        <v xml:space="preserve">(na,na,na,na,na,na); </v>
      </c>
      <c r="T33" s="440">
        <v>0</v>
      </c>
      <c r="U33" s="336">
        <v>1</v>
      </c>
      <c r="V33" s="337">
        <f t="shared" si="14"/>
        <v>1.05</v>
      </c>
      <c r="W33" s="455" t="str">
        <f t="shared" si="15"/>
        <v xml:space="preserve">(na,na,na,na,na,na); </v>
      </c>
      <c r="X33" s="440">
        <v>0</v>
      </c>
      <c r="Y33" s="336">
        <v>1</v>
      </c>
      <c r="Z33" s="337">
        <f t="shared" si="16"/>
        <v>1.05</v>
      </c>
      <c r="AA33" s="437" t="str">
        <f t="shared" si="17"/>
        <v xml:space="preserve">(na,na,na,na,na,na); </v>
      </c>
      <c r="AB33" s="440">
        <v>0</v>
      </c>
      <c r="AC33" s="336">
        <v>1</v>
      </c>
      <c r="AD33" s="337">
        <f t="shared" si="18"/>
        <v>1.05</v>
      </c>
      <c r="AE33" s="455" t="str">
        <f t="shared" si="19"/>
        <v xml:space="preserve">(na,na,na,na,na,na); </v>
      </c>
      <c r="AF33" s="440">
        <v>0</v>
      </c>
      <c r="AG33" s="336">
        <v>1</v>
      </c>
      <c r="AH33" s="337">
        <f t="shared" si="20"/>
        <v>1.05</v>
      </c>
      <c r="AI33" s="455" t="str">
        <f t="shared" si="21"/>
        <v xml:space="preserve">(na,na,na,na,na,na); </v>
      </c>
      <c r="AJ33" s="440">
        <v>0</v>
      </c>
      <c r="AK33" s="336">
        <v>1</v>
      </c>
      <c r="AL33" s="337">
        <f t="shared" si="22"/>
        <v>1.05</v>
      </c>
      <c r="AM33" s="455" t="str">
        <f t="shared" si="23"/>
        <v xml:space="preserve">(na,na,na,na,na,na); </v>
      </c>
      <c r="AN33" s="440">
        <v>0</v>
      </c>
      <c r="AO33" s="336">
        <v>1</v>
      </c>
      <c r="AP33" s="337">
        <f t="shared" si="24"/>
        <v>1.05</v>
      </c>
      <c r="AQ33" s="437" t="str">
        <f t="shared" si="25"/>
        <v xml:space="preserve">(na,na,na,na,na,na); </v>
      </c>
      <c r="AR33" s="440">
        <v>3.1099999999999999E-2</v>
      </c>
      <c r="AS33" s="336">
        <v>1</v>
      </c>
      <c r="AT33" s="337">
        <f t="shared" si="26"/>
        <v>1.2434566510799234</v>
      </c>
      <c r="AU33" s="455" t="str">
        <f t="shared" si="27"/>
        <v>(2,4,1,3,1,5); Brailovsky (2026) GM 04; RER iso GLO</v>
      </c>
      <c r="AV33" s="440">
        <f>AR33</f>
        <v>3.1099999999999999E-2</v>
      </c>
      <c r="AW33" s="336">
        <v>1</v>
      </c>
      <c r="AX33" s="337">
        <f t="shared" si="28"/>
        <v>1.2434566510799234</v>
      </c>
      <c r="AY33" s="437" t="str">
        <f t="shared" si="29"/>
        <v>(2,4,1,3,1,5); Brailovsky (2026) GM 04; RER iso GLO</v>
      </c>
      <c r="AZ33" s="338"/>
      <c r="BA33" s="440"/>
      <c r="BB33" s="440"/>
      <c r="BC33" s="440"/>
      <c r="BD33" s="690"/>
      <c r="BE33" s="339" t="s">
        <v>106</v>
      </c>
      <c r="BF33" s="339" t="s">
        <v>106</v>
      </c>
      <c r="BG33" s="339" t="s">
        <v>106</v>
      </c>
      <c r="BH33" s="339" t="s">
        <v>106</v>
      </c>
      <c r="BI33" s="339" t="s">
        <v>106</v>
      </c>
      <c r="BJ33" s="339" t="s">
        <v>106</v>
      </c>
      <c r="BK33" s="104">
        <v>3</v>
      </c>
      <c r="BL33" s="104">
        <v>1.05</v>
      </c>
      <c r="BM33" s="107">
        <f t="shared" si="30"/>
        <v>1</v>
      </c>
      <c r="BN33" s="107">
        <f t="shared" si="31"/>
        <v>1.05</v>
      </c>
      <c r="BO33" s="107" t="str">
        <f t="shared" si="32"/>
        <v>(na,na,na,na,na,na)</v>
      </c>
      <c r="BP33" s="108">
        <v>1</v>
      </c>
      <c r="BQ33" s="108">
        <v>1</v>
      </c>
      <c r="BR33" s="108">
        <v>1</v>
      </c>
      <c r="BS33" s="108">
        <v>1</v>
      </c>
      <c r="BT33" s="108">
        <v>1</v>
      </c>
      <c r="BU33" s="108">
        <v>1</v>
      </c>
      <c r="BW33" s="691" t="s">
        <v>832</v>
      </c>
      <c r="BX33" s="83">
        <v>2</v>
      </c>
      <c r="BY33" s="83">
        <v>4</v>
      </c>
      <c r="BZ33" s="83">
        <v>1</v>
      </c>
      <c r="CA33" s="83">
        <v>3</v>
      </c>
      <c r="CB33" s="83">
        <v>1</v>
      </c>
      <c r="CC33" s="83">
        <v>5</v>
      </c>
      <c r="CD33" s="104">
        <v>3</v>
      </c>
      <c r="CE33" s="104">
        <v>1.05</v>
      </c>
      <c r="CF33" s="107">
        <f t="shared" si="33"/>
        <v>1.2365959919080913</v>
      </c>
      <c r="CG33" s="107">
        <f t="shared" si="34"/>
        <v>1.2434566510799234</v>
      </c>
      <c r="CH33" s="107" t="str">
        <f t="shared" si="35"/>
        <v>(2,4,1,3,1,5)</v>
      </c>
      <c r="CI33" s="108">
        <v>1.05</v>
      </c>
      <c r="CJ33" s="108">
        <v>1.1000000000000001</v>
      </c>
      <c r="CK33" s="108">
        <v>1</v>
      </c>
      <c r="CL33" s="108">
        <v>1.02</v>
      </c>
      <c r="CM33" s="108">
        <v>1</v>
      </c>
      <c r="CN33" s="108">
        <v>1.2</v>
      </c>
    </row>
    <row r="34" spans="1:92" s="171" customFormat="1" ht="24">
      <c r="A34" s="333">
        <v>269497</v>
      </c>
      <c r="B34" s="216"/>
      <c r="C34" s="334"/>
      <c r="D34" s="515">
        <v>5</v>
      </c>
      <c r="E34" s="343" t="s">
        <v>98</v>
      </c>
      <c r="F34" s="437" t="s">
        <v>468</v>
      </c>
      <c r="G34" s="438" t="s">
        <v>93</v>
      </c>
      <c r="H34" s="455" t="s">
        <v>98</v>
      </c>
      <c r="I34" s="455" t="s">
        <v>98</v>
      </c>
      <c r="J34" s="336">
        <v>0</v>
      </c>
      <c r="K34" s="438" t="s">
        <v>96</v>
      </c>
      <c r="L34" s="440">
        <f>AJ34</f>
        <v>3.4507779351454402E-3</v>
      </c>
      <c r="M34" s="336">
        <v>1</v>
      </c>
      <c r="N34" s="337">
        <f t="shared" si="10"/>
        <v>1.0722009304576894</v>
      </c>
      <c r="O34" s="455" t="str">
        <f t="shared" si="11"/>
        <v>(2,1,1,2,1,1); Industry data (French tender)</v>
      </c>
      <c r="P34" s="440">
        <f>AN34</f>
        <v>3.4507779351454402E-3</v>
      </c>
      <c r="Q34" s="336">
        <v>1</v>
      </c>
      <c r="R34" s="337">
        <f t="shared" si="12"/>
        <v>1.0722009304576894</v>
      </c>
      <c r="S34" s="455" t="str">
        <f t="shared" si="13"/>
        <v>(2,1,1,2,1,1); Industry data (French tender)</v>
      </c>
      <c r="T34" s="440">
        <f>L34</f>
        <v>3.4507779351454402E-3</v>
      </c>
      <c r="U34" s="336">
        <v>1</v>
      </c>
      <c r="V34" s="337">
        <f t="shared" si="14"/>
        <v>1.0722009304576894</v>
      </c>
      <c r="W34" s="455" t="str">
        <f t="shared" si="15"/>
        <v>(2,1,1,2,1,1); Industry data (French tender)</v>
      </c>
      <c r="X34" s="440">
        <f>P34</f>
        <v>3.4507779351454402E-3</v>
      </c>
      <c r="Y34" s="336">
        <v>1</v>
      </c>
      <c r="Z34" s="337">
        <f t="shared" si="16"/>
        <v>1.0722009304576894</v>
      </c>
      <c r="AA34" s="437" t="str">
        <f t="shared" si="17"/>
        <v>(2,1,1,2,1,1); Industry data (French tender)</v>
      </c>
      <c r="AB34" s="440">
        <f>P34</f>
        <v>3.4507779351454402E-3</v>
      </c>
      <c r="AC34" s="336">
        <v>1</v>
      </c>
      <c r="AD34" s="337">
        <f t="shared" si="18"/>
        <v>1.0722009304576894</v>
      </c>
      <c r="AE34" s="455" t="str">
        <f t="shared" si="19"/>
        <v>(2,1,1,2,1,1); Industry data (French tender)</v>
      </c>
      <c r="AF34" s="440">
        <f>P34</f>
        <v>3.4507779351454402E-3</v>
      </c>
      <c r="AG34" s="336">
        <v>1</v>
      </c>
      <c r="AH34" s="337">
        <f t="shared" si="20"/>
        <v>1.0722009304576894</v>
      </c>
      <c r="AI34" s="455" t="str">
        <f t="shared" si="21"/>
        <v>(2,1,1,2,1,1); Industry data (French tender)</v>
      </c>
      <c r="AJ34" s="440">
        <f>$BA34</f>
        <v>3.4507779351454402E-3</v>
      </c>
      <c r="AK34" s="336">
        <v>1</v>
      </c>
      <c r="AL34" s="337">
        <f t="shared" si="22"/>
        <v>1.0722009304576894</v>
      </c>
      <c r="AM34" s="455" t="str">
        <f t="shared" si="23"/>
        <v>(2,1,1,2,1,1); Industry data (French tender)</v>
      </c>
      <c r="AN34" s="440">
        <f>$BB34</f>
        <v>3.4507779351454402E-3</v>
      </c>
      <c r="AO34" s="336">
        <v>1</v>
      </c>
      <c r="AP34" s="337">
        <f t="shared" si="24"/>
        <v>1.0722009304576894</v>
      </c>
      <c r="AQ34" s="437" t="str">
        <f t="shared" si="25"/>
        <v>(2,1,1,2,1,1); Industry data (French tender)</v>
      </c>
      <c r="AR34" s="440">
        <v>0</v>
      </c>
      <c r="AS34" s="336">
        <v>1</v>
      </c>
      <c r="AT34" s="337">
        <f t="shared" si="26"/>
        <v>1.05</v>
      </c>
      <c r="AU34" s="455" t="str">
        <f t="shared" si="27"/>
        <v xml:space="preserve">(na,na,na,na,na,na); </v>
      </c>
      <c r="AV34" s="440">
        <v>0</v>
      </c>
      <c r="AW34" s="336">
        <v>1</v>
      </c>
      <c r="AX34" s="337">
        <f t="shared" si="28"/>
        <v>1.05</v>
      </c>
      <c r="AY34" s="437" t="str">
        <f t="shared" si="29"/>
        <v xml:space="preserve">(na,na,na,na,na,na); </v>
      </c>
      <c r="AZ34" s="338"/>
      <c r="BA34" s="440">
        <v>3.4507779351454402E-3</v>
      </c>
      <c r="BB34" s="440">
        <v>3.4507779351454402E-3</v>
      </c>
      <c r="BC34" s="440"/>
      <c r="BD34" s="216" t="s">
        <v>462</v>
      </c>
      <c r="BE34" s="83">
        <v>2</v>
      </c>
      <c r="BF34" s="83">
        <v>1</v>
      </c>
      <c r="BG34" s="83">
        <v>1</v>
      </c>
      <c r="BH34" s="83">
        <v>2</v>
      </c>
      <c r="BI34" s="83">
        <v>1</v>
      </c>
      <c r="BJ34" s="83">
        <v>1</v>
      </c>
      <c r="BK34" s="104">
        <v>3</v>
      </c>
      <c r="BL34" s="104">
        <v>1.05</v>
      </c>
      <c r="BM34" s="107">
        <f t="shared" si="30"/>
        <v>1.0510550504206344</v>
      </c>
      <c r="BN34" s="107">
        <f t="shared" si="31"/>
        <v>1.0722009304576894</v>
      </c>
      <c r="BO34" s="107" t="str">
        <f t="shared" si="32"/>
        <v>(2,1,1,2,1,1)</v>
      </c>
      <c r="BP34" s="108">
        <v>1.05</v>
      </c>
      <c r="BQ34" s="108">
        <v>1</v>
      </c>
      <c r="BR34" s="108">
        <v>1</v>
      </c>
      <c r="BS34" s="108">
        <v>1.01</v>
      </c>
      <c r="BT34" s="108">
        <v>1</v>
      </c>
      <c r="BU34" s="108">
        <v>1</v>
      </c>
      <c r="BW34" s="691"/>
      <c r="BX34" s="339" t="s">
        <v>106</v>
      </c>
      <c r="BY34" s="339" t="s">
        <v>106</v>
      </c>
      <c r="BZ34" s="339" t="s">
        <v>106</v>
      </c>
      <c r="CA34" s="339" t="s">
        <v>106</v>
      </c>
      <c r="CB34" s="339" t="s">
        <v>106</v>
      </c>
      <c r="CC34" s="339" t="s">
        <v>106</v>
      </c>
      <c r="CD34" s="104">
        <v>3</v>
      </c>
      <c r="CE34" s="104">
        <v>1.05</v>
      </c>
      <c r="CF34" s="107">
        <f t="shared" si="33"/>
        <v>1</v>
      </c>
      <c r="CG34" s="107">
        <f t="shared" si="34"/>
        <v>1.05</v>
      </c>
      <c r="CH34" s="107" t="str">
        <f t="shared" si="35"/>
        <v>(na,na,na,na,na,na)</v>
      </c>
      <c r="CI34" s="108">
        <v>1</v>
      </c>
      <c r="CJ34" s="108">
        <v>1</v>
      </c>
      <c r="CK34" s="108">
        <v>1</v>
      </c>
      <c r="CL34" s="108">
        <v>1</v>
      </c>
      <c r="CM34" s="108">
        <v>1</v>
      </c>
      <c r="CN34" s="108">
        <v>1</v>
      </c>
    </row>
    <row r="35" spans="1:92" s="171" customFormat="1" ht="24" collapsed="1">
      <c r="A35" s="333">
        <v>269509</v>
      </c>
      <c r="B35" s="216"/>
      <c r="C35" s="334"/>
      <c r="D35" s="515">
        <v>5</v>
      </c>
      <c r="E35" s="343" t="s">
        <v>98</v>
      </c>
      <c r="F35" s="437" t="s">
        <v>461</v>
      </c>
      <c r="G35" s="438" t="s">
        <v>93</v>
      </c>
      <c r="H35" s="455" t="s">
        <v>98</v>
      </c>
      <c r="I35" s="455" t="s">
        <v>98</v>
      </c>
      <c r="J35" s="336">
        <v>0</v>
      </c>
      <c r="K35" s="438" t="s">
        <v>96</v>
      </c>
      <c r="L35" s="440">
        <f>AJ35</f>
        <v>1.27817835002384E-3</v>
      </c>
      <c r="M35" s="336">
        <v>1</v>
      </c>
      <c r="N35" s="337">
        <f t="shared" si="10"/>
        <v>1.0722009304576894</v>
      </c>
      <c r="O35" s="455" t="str">
        <f t="shared" si="11"/>
        <v>(2,1,1,2,1,1); Industry data (French tender)</v>
      </c>
      <c r="P35" s="440">
        <f>AN35</f>
        <v>1.27817835002384E-3</v>
      </c>
      <c r="Q35" s="336">
        <v>1</v>
      </c>
      <c r="R35" s="337">
        <f t="shared" si="12"/>
        <v>1.0722009304576894</v>
      </c>
      <c r="S35" s="455" t="str">
        <f t="shared" si="13"/>
        <v>(2,1,1,2,1,1); Industry data (French tender)</v>
      </c>
      <c r="T35" s="440">
        <f>L35</f>
        <v>1.27817835002384E-3</v>
      </c>
      <c r="U35" s="336">
        <v>1</v>
      </c>
      <c r="V35" s="337">
        <f t="shared" si="14"/>
        <v>1.0722009304576894</v>
      </c>
      <c r="W35" s="455" t="str">
        <f t="shared" si="15"/>
        <v>(2,1,1,2,1,1); Industry data (French tender)</v>
      </c>
      <c r="X35" s="440">
        <f>P35</f>
        <v>1.27817835002384E-3</v>
      </c>
      <c r="Y35" s="336">
        <v>1</v>
      </c>
      <c r="Z35" s="337">
        <f t="shared" si="16"/>
        <v>1.0722009304576894</v>
      </c>
      <c r="AA35" s="437" t="str">
        <f t="shared" si="17"/>
        <v>(2,1,1,2,1,1); Industry data (French tender)</v>
      </c>
      <c r="AB35" s="440">
        <f>P35</f>
        <v>1.27817835002384E-3</v>
      </c>
      <c r="AC35" s="336">
        <v>1</v>
      </c>
      <c r="AD35" s="337">
        <f t="shared" si="18"/>
        <v>1.0722009304576894</v>
      </c>
      <c r="AE35" s="455" t="str">
        <f t="shared" si="19"/>
        <v>(2,1,1,2,1,1); Industry data (French tender)</v>
      </c>
      <c r="AF35" s="440">
        <f>P35</f>
        <v>1.27817835002384E-3</v>
      </c>
      <c r="AG35" s="336">
        <v>1</v>
      </c>
      <c r="AH35" s="337">
        <f t="shared" si="20"/>
        <v>1.0722009304576894</v>
      </c>
      <c r="AI35" s="455" t="str">
        <f t="shared" si="21"/>
        <v>(2,1,1,2,1,1); Industry data (French tender)</v>
      </c>
      <c r="AJ35" s="440">
        <f>$BA35</f>
        <v>1.27817835002384E-3</v>
      </c>
      <c r="AK35" s="336">
        <v>1</v>
      </c>
      <c r="AL35" s="337">
        <f t="shared" si="22"/>
        <v>1.0722009304576894</v>
      </c>
      <c r="AM35" s="455" t="str">
        <f t="shared" si="23"/>
        <v>(2,1,1,2,1,1); Industry data (French tender)</v>
      </c>
      <c r="AN35" s="440">
        <f>$BB35</f>
        <v>1.27817835002384E-3</v>
      </c>
      <c r="AO35" s="336">
        <v>1</v>
      </c>
      <c r="AP35" s="337">
        <f t="shared" si="24"/>
        <v>1.0722009304576894</v>
      </c>
      <c r="AQ35" s="437" t="str">
        <f t="shared" si="25"/>
        <v>(2,1,1,2,1,1); Industry data (French tender)</v>
      </c>
      <c r="AR35" s="440">
        <v>2.6899999999999998E-4</v>
      </c>
      <c r="AS35" s="336">
        <v>1</v>
      </c>
      <c r="AT35" s="337">
        <f t="shared" si="26"/>
        <v>1.2434566510799234</v>
      </c>
      <c r="AU35" s="455" t="str">
        <f t="shared" si="27"/>
        <v xml:space="preserve">(2,4,1,3,1,5); Brailovsky (2026)  GM 04; in H2O iso without water, RER iso RoW, </v>
      </c>
      <c r="AV35" s="440">
        <v>2.6899999999999998E-4</v>
      </c>
      <c r="AW35" s="336">
        <v>1</v>
      </c>
      <c r="AX35" s="337">
        <f t="shared" si="28"/>
        <v>1.2434566510799234</v>
      </c>
      <c r="AY35" s="437" t="str">
        <f t="shared" si="29"/>
        <v xml:space="preserve">(2,4,1,3,1,5); Brailovsky (2026)  GM 04; in H2O iso without water, RER iso RoW, </v>
      </c>
      <c r="AZ35" s="338"/>
      <c r="BA35" s="440">
        <v>1.27817835002384E-3</v>
      </c>
      <c r="BB35" s="440">
        <v>1.27817835002384E-3</v>
      </c>
      <c r="BC35" s="440"/>
      <c r="BD35" s="216" t="s">
        <v>462</v>
      </c>
      <c r="BE35" s="83">
        <v>2</v>
      </c>
      <c r="BF35" s="83">
        <v>1</v>
      </c>
      <c r="BG35" s="83">
        <v>1</v>
      </c>
      <c r="BH35" s="83">
        <v>2</v>
      </c>
      <c r="BI35" s="83">
        <v>1</v>
      </c>
      <c r="BJ35" s="83">
        <v>1</v>
      </c>
      <c r="BK35" s="104">
        <v>3</v>
      </c>
      <c r="BL35" s="104">
        <v>1.05</v>
      </c>
      <c r="BM35" s="107">
        <f t="shared" si="30"/>
        <v>1.0510550504206344</v>
      </c>
      <c r="BN35" s="107">
        <f t="shared" si="31"/>
        <v>1.0722009304576894</v>
      </c>
      <c r="BO35" s="107" t="str">
        <f t="shared" si="32"/>
        <v>(2,1,1,2,1,1)</v>
      </c>
      <c r="BP35" s="108">
        <v>1.05</v>
      </c>
      <c r="BQ35" s="108">
        <v>1</v>
      </c>
      <c r="BR35" s="108">
        <v>1</v>
      </c>
      <c r="BS35" s="108">
        <v>1.01</v>
      </c>
      <c r="BT35" s="108">
        <v>1</v>
      </c>
      <c r="BU35" s="108">
        <v>1</v>
      </c>
      <c r="BW35" s="691" t="s">
        <v>833</v>
      </c>
      <c r="BX35" s="83">
        <v>2</v>
      </c>
      <c r="BY35" s="83">
        <v>4</v>
      </c>
      <c r="BZ35" s="83">
        <v>1</v>
      </c>
      <c r="CA35" s="83">
        <v>3</v>
      </c>
      <c r="CB35" s="83">
        <v>1</v>
      </c>
      <c r="CC35" s="83">
        <v>5</v>
      </c>
      <c r="CD35" s="104">
        <v>3</v>
      </c>
      <c r="CE35" s="104">
        <v>1.05</v>
      </c>
      <c r="CF35" s="107">
        <f t="shared" si="33"/>
        <v>1.2365959919080913</v>
      </c>
      <c r="CG35" s="107">
        <f t="shared" si="34"/>
        <v>1.2434566510799234</v>
      </c>
      <c r="CH35" s="107" t="str">
        <f t="shared" si="35"/>
        <v>(2,4,1,3,1,5)</v>
      </c>
      <c r="CI35" s="108">
        <v>1.05</v>
      </c>
      <c r="CJ35" s="108">
        <v>1.1000000000000001</v>
      </c>
      <c r="CK35" s="108">
        <v>1</v>
      </c>
      <c r="CL35" s="108">
        <v>1.02</v>
      </c>
      <c r="CM35" s="108">
        <v>1</v>
      </c>
      <c r="CN35" s="108">
        <v>1.2</v>
      </c>
    </row>
    <row r="36" spans="1:92" s="171" customFormat="1" ht="24">
      <c r="A36" s="333">
        <v>266187</v>
      </c>
      <c r="B36" s="216"/>
      <c r="C36" s="334"/>
      <c r="D36" s="515">
        <v>5</v>
      </c>
      <c r="E36" s="343" t="s">
        <v>98</v>
      </c>
      <c r="F36" s="437" t="s">
        <v>233</v>
      </c>
      <c r="G36" s="438" t="s">
        <v>93</v>
      </c>
      <c r="H36" s="455" t="s">
        <v>98</v>
      </c>
      <c r="I36" s="455" t="s">
        <v>98</v>
      </c>
      <c r="J36" s="336">
        <v>0</v>
      </c>
      <c r="K36" s="438" t="s">
        <v>96</v>
      </c>
      <c r="L36" s="440">
        <f>AJ36</f>
        <v>6.3216261325703396E-3</v>
      </c>
      <c r="M36" s="336">
        <v>1</v>
      </c>
      <c r="N36" s="337">
        <f t="shared" si="10"/>
        <v>1.0722009304576894</v>
      </c>
      <c r="O36" s="455" t="str">
        <f t="shared" si="11"/>
        <v>(2,1,1,2,1,1); Industry data (French tender): Proxy for lactic acid</v>
      </c>
      <c r="P36" s="440">
        <f>AN36</f>
        <v>6.3216261325703396E-3</v>
      </c>
      <c r="Q36" s="336">
        <v>1</v>
      </c>
      <c r="R36" s="337">
        <f t="shared" si="12"/>
        <v>1.0722009304576894</v>
      </c>
      <c r="S36" s="455" t="str">
        <f t="shared" si="13"/>
        <v>(2,1,1,2,1,1); Industry data (French tender): Proxy for lactic acid</v>
      </c>
      <c r="T36" s="440">
        <f>L36</f>
        <v>6.3216261325703396E-3</v>
      </c>
      <c r="U36" s="336">
        <v>1</v>
      </c>
      <c r="V36" s="337">
        <f t="shared" si="14"/>
        <v>1.0722009304576894</v>
      </c>
      <c r="W36" s="455" t="str">
        <f t="shared" si="15"/>
        <v>(2,1,1,2,1,1); Industry data (French tender): Proxy for lactic acid</v>
      </c>
      <c r="X36" s="440">
        <f>P36</f>
        <v>6.3216261325703396E-3</v>
      </c>
      <c r="Y36" s="336">
        <v>1</v>
      </c>
      <c r="Z36" s="337">
        <f t="shared" si="16"/>
        <v>1.0722009304576894</v>
      </c>
      <c r="AA36" s="437" t="str">
        <f t="shared" si="17"/>
        <v>(2,1,1,2,1,1); Industry data (French tender): Proxy for lactic acid</v>
      </c>
      <c r="AB36" s="440">
        <f>P36</f>
        <v>6.3216261325703396E-3</v>
      </c>
      <c r="AC36" s="336">
        <v>1</v>
      </c>
      <c r="AD36" s="337">
        <f t="shared" si="18"/>
        <v>1.0722009304576894</v>
      </c>
      <c r="AE36" s="455" t="str">
        <f t="shared" si="19"/>
        <v>(2,1,1,2,1,1); Industry data (French tender): Proxy for lactic acid</v>
      </c>
      <c r="AF36" s="440">
        <f>P36</f>
        <v>6.3216261325703396E-3</v>
      </c>
      <c r="AG36" s="336">
        <v>1</v>
      </c>
      <c r="AH36" s="337">
        <f t="shared" si="20"/>
        <v>1.0722009304576894</v>
      </c>
      <c r="AI36" s="455" t="str">
        <f t="shared" si="21"/>
        <v>(2,1,1,2,1,1); Industry data (French tender): Proxy for lactic acid</v>
      </c>
      <c r="AJ36" s="440">
        <f>BA36</f>
        <v>6.3216261325703396E-3</v>
      </c>
      <c r="AK36" s="336">
        <v>1</v>
      </c>
      <c r="AL36" s="337">
        <f t="shared" si="22"/>
        <v>1.0722009304576894</v>
      </c>
      <c r="AM36" s="455" t="str">
        <f t="shared" si="23"/>
        <v>(2,1,1,2,1,1); Industry data (French tender): Proxy for lactic acid</v>
      </c>
      <c r="AN36" s="440">
        <f>BB36</f>
        <v>6.3216261325703396E-3</v>
      </c>
      <c r="AO36" s="336">
        <v>1</v>
      </c>
      <c r="AP36" s="337">
        <f t="shared" si="24"/>
        <v>1.0722009304576894</v>
      </c>
      <c r="AQ36" s="437" t="str">
        <f t="shared" si="25"/>
        <v>(2,1,1,2,1,1); Industry data (French tender): Proxy for lactic acid</v>
      </c>
      <c r="AR36" s="440">
        <v>2.0034782608695699E-2</v>
      </c>
      <c r="AS36" s="336">
        <v>1</v>
      </c>
      <c r="AT36" s="337">
        <f t="shared" si="26"/>
        <v>1.2434566510799234</v>
      </c>
      <c r="AU36" s="455" t="str">
        <f t="shared" si="27"/>
        <v>(2,4,1,3,1,5); Brailovsky (2026)  GM 04; RER iso GLO, at plant iso market; Proxy for lactic acid.</v>
      </c>
      <c r="AV36" s="440">
        <v>2.0034782608695699E-2</v>
      </c>
      <c r="AW36" s="336">
        <v>1</v>
      </c>
      <c r="AX36" s="337">
        <f t="shared" si="28"/>
        <v>1.2434566510799234</v>
      </c>
      <c r="AY36" s="437" t="str">
        <f t="shared" si="29"/>
        <v>(2,4,1,3,1,5); Brailovsky (2026)  GM 04; RER iso GLO, at plant iso market; Proxy for lactic acid.</v>
      </c>
      <c r="AZ36" s="338"/>
      <c r="BA36" s="440">
        <v>6.3216261325703396E-3</v>
      </c>
      <c r="BB36" s="440">
        <v>6.3216261325703396E-3</v>
      </c>
      <c r="BC36" s="440"/>
      <c r="BD36" s="216" t="s">
        <v>834</v>
      </c>
      <c r="BE36" s="83">
        <v>2</v>
      </c>
      <c r="BF36" s="83">
        <v>1</v>
      </c>
      <c r="BG36" s="83">
        <v>1</v>
      </c>
      <c r="BH36" s="83">
        <v>2</v>
      </c>
      <c r="BI36" s="83">
        <v>1</v>
      </c>
      <c r="BJ36" s="83">
        <v>1</v>
      </c>
      <c r="BK36" s="104">
        <v>3</v>
      </c>
      <c r="BL36" s="104">
        <v>1.05</v>
      </c>
      <c r="BM36" s="107">
        <f t="shared" si="30"/>
        <v>1.0510550504206344</v>
      </c>
      <c r="BN36" s="107">
        <f t="shared" si="31"/>
        <v>1.0722009304576894</v>
      </c>
      <c r="BO36" s="107" t="str">
        <f t="shared" si="32"/>
        <v>(2,1,1,2,1,1)</v>
      </c>
      <c r="BP36" s="108">
        <v>1.05</v>
      </c>
      <c r="BQ36" s="108">
        <v>1</v>
      </c>
      <c r="BR36" s="108">
        <v>1</v>
      </c>
      <c r="BS36" s="108">
        <v>1.01</v>
      </c>
      <c r="BT36" s="108">
        <v>1</v>
      </c>
      <c r="BU36" s="108">
        <v>1</v>
      </c>
      <c r="BW36" s="691" t="s">
        <v>835</v>
      </c>
      <c r="BX36" s="83">
        <v>2</v>
      </c>
      <c r="BY36" s="83">
        <v>4</v>
      </c>
      <c r="BZ36" s="83">
        <v>1</v>
      </c>
      <c r="CA36" s="83">
        <v>3</v>
      </c>
      <c r="CB36" s="83">
        <v>1</v>
      </c>
      <c r="CC36" s="83">
        <v>5</v>
      </c>
      <c r="CD36" s="104">
        <v>3</v>
      </c>
      <c r="CE36" s="104">
        <v>1.05</v>
      </c>
      <c r="CF36" s="107">
        <f t="shared" si="33"/>
        <v>1.2365959919080913</v>
      </c>
      <c r="CG36" s="107">
        <f t="shared" si="34"/>
        <v>1.2434566510799234</v>
      </c>
      <c r="CH36" s="107" t="str">
        <f t="shared" si="35"/>
        <v>(2,4,1,3,1,5)</v>
      </c>
      <c r="CI36" s="108">
        <v>1.05</v>
      </c>
      <c r="CJ36" s="108">
        <v>1.1000000000000001</v>
      </c>
      <c r="CK36" s="108">
        <v>1</v>
      </c>
      <c r="CL36" s="108">
        <v>1.02</v>
      </c>
      <c r="CM36" s="108">
        <v>1</v>
      </c>
      <c r="CN36" s="108">
        <v>1.2</v>
      </c>
    </row>
    <row r="37" spans="1:92" s="171" customFormat="1" ht="36">
      <c r="A37" s="333">
        <v>269249</v>
      </c>
      <c r="B37" s="216"/>
      <c r="C37" s="165"/>
      <c r="D37" s="515">
        <v>5</v>
      </c>
      <c r="E37" s="343" t="s">
        <v>98</v>
      </c>
      <c r="F37" s="437" t="s">
        <v>584</v>
      </c>
      <c r="G37" s="438" t="s">
        <v>93</v>
      </c>
      <c r="H37" s="455" t="s">
        <v>98</v>
      </c>
      <c r="I37" s="455" t="s">
        <v>98</v>
      </c>
      <c r="J37" s="336">
        <v>0</v>
      </c>
      <c r="K37" s="438" t="s">
        <v>96</v>
      </c>
      <c r="L37" s="440">
        <v>0</v>
      </c>
      <c r="M37" s="336">
        <v>1</v>
      </c>
      <c r="N37" s="337">
        <f t="shared" si="10"/>
        <v>1.05</v>
      </c>
      <c r="O37" s="455" t="str">
        <f t="shared" si="11"/>
        <v xml:space="preserve">(na,na,na,na,na,na); </v>
      </c>
      <c r="P37" s="440">
        <v>0</v>
      </c>
      <c r="Q37" s="336">
        <v>1</v>
      </c>
      <c r="R37" s="337">
        <f t="shared" si="12"/>
        <v>1.05</v>
      </c>
      <c r="S37" s="455" t="str">
        <f t="shared" si="13"/>
        <v xml:space="preserve">(na,na,na,na,na,na); </v>
      </c>
      <c r="T37" s="440">
        <v>0</v>
      </c>
      <c r="U37" s="336">
        <v>1</v>
      </c>
      <c r="V37" s="337">
        <f t="shared" si="14"/>
        <v>1.05</v>
      </c>
      <c r="W37" s="455" t="str">
        <f t="shared" si="15"/>
        <v xml:space="preserve">(na,na,na,na,na,na); </v>
      </c>
      <c r="X37" s="440">
        <v>0</v>
      </c>
      <c r="Y37" s="336">
        <v>1</v>
      </c>
      <c r="Z37" s="337">
        <f t="shared" si="16"/>
        <v>1.05</v>
      </c>
      <c r="AA37" s="437" t="str">
        <f t="shared" si="17"/>
        <v xml:space="preserve">(na,na,na,na,na,na); </v>
      </c>
      <c r="AB37" s="440">
        <v>0</v>
      </c>
      <c r="AC37" s="336">
        <v>1</v>
      </c>
      <c r="AD37" s="337">
        <f t="shared" si="18"/>
        <v>1.05</v>
      </c>
      <c r="AE37" s="455" t="str">
        <f t="shared" si="19"/>
        <v xml:space="preserve">(na,na,na,na,na,na); </v>
      </c>
      <c r="AF37" s="440">
        <v>0</v>
      </c>
      <c r="AG37" s="336">
        <v>1</v>
      </c>
      <c r="AH37" s="337">
        <f t="shared" si="20"/>
        <v>1.05</v>
      </c>
      <c r="AI37" s="455" t="str">
        <f t="shared" si="21"/>
        <v xml:space="preserve">(na,na,na,na,na,na); </v>
      </c>
      <c r="AJ37" s="440">
        <v>0</v>
      </c>
      <c r="AK37" s="336">
        <v>1</v>
      </c>
      <c r="AL37" s="337">
        <f t="shared" si="22"/>
        <v>1.05</v>
      </c>
      <c r="AM37" s="455" t="str">
        <f t="shared" si="23"/>
        <v xml:space="preserve">(na,na,na,na,na,na); </v>
      </c>
      <c r="AN37" s="440">
        <v>0</v>
      </c>
      <c r="AO37" s="336">
        <v>1</v>
      </c>
      <c r="AP37" s="337">
        <f t="shared" si="24"/>
        <v>1.05</v>
      </c>
      <c r="AQ37" s="437" t="str">
        <f t="shared" si="25"/>
        <v xml:space="preserve">(na,na,na,na,na,na); </v>
      </c>
      <c r="AR37" s="440">
        <v>7.9600000000000001E-3</v>
      </c>
      <c r="AS37" s="336">
        <v>1</v>
      </c>
      <c r="AT37" s="337">
        <f t="shared" si="26"/>
        <v>1.2434566510799234</v>
      </c>
      <c r="AU37" s="455" t="str">
        <f t="shared" si="27"/>
        <v>(2,4,1,3,1,5); Brailovsky (2026)  GM 04; RER iso GLO, "in H2O" iso "without water", at plant iso market</v>
      </c>
      <c r="AV37" s="440">
        <v>7.9600000000000001E-3</v>
      </c>
      <c r="AW37" s="336">
        <v>1</v>
      </c>
      <c r="AX37" s="337">
        <f t="shared" si="28"/>
        <v>1.2434566510799234</v>
      </c>
      <c r="AY37" s="437" t="str">
        <f t="shared" si="29"/>
        <v>(2,4,1,3,1,5); Brailovsky (2026)  GM 04; RER iso GLO, "in H2O" iso "without water", at plant iso market</v>
      </c>
      <c r="AZ37" s="338"/>
      <c r="BA37" s="440"/>
      <c r="BB37" s="440"/>
      <c r="BC37" s="440"/>
      <c r="BD37" s="690"/>
      <c r="BE37" s="339" t="s">
        <v>106</v>
      </c>
      <c r="BF37" s="339" t="s">
        <v>106</v>
      </c>
      <c r="BG37" s="339" t="s">
        <v>106</v>
      </c>
      <c r="BH37" s="339" t="s">
        <v>106</v>
      </c>
      <c r="BI37" s="339" t="s">
        <v>106</v>
      </c>
      <c r="BJ37" s="339" t="s">
        <v>106</v>
      </c>
      <c r="BK37" s="104">
        <v>3</v>
      </c>
      <c r="BL37" s="104">
        <v>1.05</v>
      </c>
      <c r="BM37" s="107">
        <f t="shared" si="30"/>
        <v>1</v>
      </c>
      <c r="BN37" s="107">
        <f t="shared" si="31"/>
        <v>1.05</v>
      </c>
      <c r="BO37" s="107" t="str">
        <f t="shared" si="32"/>
        <v>(na,na,na,na,na,na)</v>
      </c>
      <c r="BP37" s="108">
        <v>1</v>
      </c>
      <c r="BQ37" s="108">
        <v>1</v>
      </c>
      <c r="BR37" s="108">
        <v>1</v>
      </c>
      <c r="BS37" s="108">
        <v>1</v>
      </c>
      <c r="BT37" s="108">
        <v>1</v>
      </c>
      <c r="BU37" s="108">
        <v>1</v>
      </c>
      <c r="BW37" s="691" t="s">
        <v>836</v>
      </c>
      <c r="BX37" s="83">
        <v>2</v>
      </c>
      <c r="BY37" s="83">
        <v>4</v>
      </c>
      <c r="BZ37" s="83">
        <v>1</v>
      </c>
      <c r="CA37" s="83">
        <v>3</v>
      </c>
      <c r="CB37" s="83">
        <v>1</v>
      </c>
      <c r="CC37" s="83">
        <v>5</v>
      </c>
      <c r="CD37" s="104">
        <v>3</v>
      </c>
      <c r="CE37" s="104">
        <v>1.05</v>
      </c>
      <c r="CF37" s="107">
        <f t="shared" si="33"/>
        <v>1.2365959919080913</v>
      </c>
      <c r="CG37" s="107">
        <f t="shared" si="34"/>
        <v>1.2434566510799234</v>
      </c>
      <c r="CH37" s="107" t="str">
        <f t="shared" si="35"/>
        <v>(2,4,1,3,1,5)</v>
      </c>
      <c r="CI37" s="108">
        <v>1.05</v>
      </c>
      <c r="CJ37" s="108">
        <v>1.1000000000000001</v>
      </c>
      <c r="CK37" s="108">
        <v>1</v>
      </c>
      <c r="CL37" s="108">
        <v>1.02</v>
      </c>
      <c r="CM37" s="108">
        <v>1</v>
      </c>
      <c r="CN37" s="108">
        <v>1.2</v>
      </c>
    </row>
    <row r="38" spans="1:92" s="171" customFormat="1" ht="24">
      <c r="A38" s="333">
        <v>269261</v>
      </c>
      <c r="B38" s="216"/>
      <c r="C38" s="165"/>
      <c r="D38" s="515">
        <v>5</v>
      </c>
      <c r="E38" s="343" t="s">
        <v>98</v>
      </c>
      <c r="F38" s="437" t="s">
        <v>207</v>
      </c>
      <c r="G38" s="438" t="s">
        <v>154</v>
      </c>
      <c r="H38" s="455" t="s">
        <v>98</v>
      </c>
      <c r="I38" s="455" t="s">
        <v>98</v>
      </c>
      <c r="J38" s="336">
        <v>0</v>
      </c>
      <c r="K38" s="438" t="s">
        <v>96</v>
      </c>
      <c r="L38" s="440">
        <v>0</v>
      </c>
      <c r="M38" s="336">
        <v>1</v>
      </c>
      <c r="N38" s="337">
        <f t="shared" si="10"/>
        <v>1.05</v>
      </c>
      <c r="O38" s="455" t="str">
        <f t="shared" si="11"/>
        <v xml:space="preserve">(na,na,na,na,na,na); </v>
      </c>
      <c r="P38" s="440">
        <v>0</v>
      </c>
      <c r="Q38" s="336">
        <v>1</v>
      </c>
      <c r="R38" s="337">
        <f t="shared" si="12"/>
        <v>1.05</v>
      </c>
      <c r="S38" s="455" t="str">
        <f t="shared" si="13"/>
        <v xml:space="preserve">(na,na,na,na,na,na); </v>
      </c>
      <c r="T38" s="440">
        <v>0</v>
      </c>
      <c r="U38" s="336">
        <v>1</v>
      </c>
      <c r="V38" s="337">
        <f t="shared" si="14"/>
        <v>1.05</v>
      </c>
      <c r="W38" s="455" t="str">
        <f t="shared" si="15"/>
        <v xml:space="preserve">(na,na,na,na,na,na); </v>
      </c>
      <c r="X38" s="440">
        <v>0</v>
      </c>
      <c r="Y38" s="336">
        <v>1</v>
      </c>
      <c r="Z38" s="337">
        <f t="shared" si="16"/>
        <v>1.05</v>
      </c>
      <c r="AA38" s="437" t="str">
        <f t="shared" si="17"/>
        <v xml:space="preserve">(na,na,na,na,na,na); </v>
      </c>
      <c r="AB38" s="440">
        <v>0</v>
      </c>
      <c r="AC38" s="336">
        <v>1</v>
      </c>
      <c r="AD38" s="337">
        <f t="shared" si="18"/>
        <v>1.05</v>
      </c>
      <c r="AE38" s="455" t="str">
        <f t="shared" si="19"/>
        <v xml:space="preserve">(na,na,na,na,na,na); </v>
      </c>
      <c r="AF38" s="440">
        <v>0</v>
      </c>
      <c r="AG38" s="336">
        <v>1</v>
      </c>
      <c r="AH38" s="337">
        <f t="shared" si="20"/>
        <v>1.05</v>
      </c>
      <c r="AI38" s="455" t="str">
        <f t="shared" si="21"/>
        <v xml:space="preserve">(na,na,na,na,na,na); </v>
      </c>
      <c r="AJ38" s="440">
        <v>0</v>
      </c>
      <c r="AK38" s="336">
        <v>1</v>
      </c>
      <c r="AL38" s="337">
        <f t="shared" si="22"/>
        <v>1.05</v>
      </c>
      <c r="AM38" s="455" t="str">
        <f t="shared" si="23"/>
        <v xml:space="preserve">(na,na,na,na,na,na); </v>
      </c>
      <c r="AN38" s="440">
        <v>0</v>
      </c>
      <c r="AO38" s="336">
        <v>1</v>
      </c>
      <c r="AP38" s="337">
        <f t="shared" si="24"/>
        <v>1.05</v>
      </c>
      <c r="AQ38" s="437" t="str">
        <f t="shared" si="25"/>
        <v xml:space="preserve">(na,na,na,na,na,na); </v>
      </c>
      <c r="AR38" s="440">
        <v>3.5899999999999999E-3</v>
      </c>
      <c r="AS38" s="336">
        <v>1</v>
      </c>
      <c r="AT38" s="337">
        <f t="shared" si="26"/>
        <v>1.2434566510799234</v>
      </c>
      <c r="AU38" s="455" t="str">
        <f t="shared" si="27"/>
        <v>(2,4,1,3,1,5); Brailovsky (2026)  GM 04; GLO iso RoW, at plant iso market</v>
      </c>
      <c r="AV38" s="440">
        <v>3.5899999999999999E-3</v>
      </c>
      <c r="AW38" s="336">
        <v>1</v>
      </c>
      <c r="AX38" s="337">
        <f t="shared" si="28"/>
        <v>1.2434566510799234</v>
      </c>
      <c r="AY38" s="437" t="str">
        <f t="shared" si="29"/>
        <v>(2,4,1,3,1,5); Brailovsky (2026)  GM 04; GLO iso RoW, at plant iso market</v>
      </c>
      <c r="AZ38" s="338"/>
      <c r="BA38" s="440"/>
      <c r="BB38" s="440"/>
      <c r="BC38" s="440"/>
      <c r="BD38" s="690"/>
      <c r="BE38" s="339" t="s">
        <v>106</v>
      </c>
      <c r="BF38" s="339" t="s">
        <v>106</v>
      </c>
      <c r="BG38" s="339" t="s">
        <v>106</v>
      </c>
      <c r="BH38" s="339" t="s">
        <v>106</v>
      </c>
      <c r="BI38" s="339" t="s">
        <v>106</v>
      </c>
      <c r="BJ38" s="339" t="s">
        <v>106</v>
      </c>
      <c r="BK38" s="104">
        <v>3</v>
      </c>
      <c r="BL38" s="104">
        <v>1.05</v>
      </c>
      <c r="BM38" s="107">
        <f t="shared" si="30"/>
        <v>1</v>
      </c>
      <c r="BN38" s="107">
        <f t="shared" si="31"/>
        <v>1.05</v>
      </c>
      <c r="BO38" s="107" t="str">
        <f t="shared" si="32"/>
        <v>(na,na,na,na,na,na)</v>
      </c>
      <c r="BP38" s="108">
        <v>1</v>
      </c>
      <c r="BQ38" s="108">
        <v>1</v>
      </c>
      <c r="BR38" s="108">
        <v>1</v>
      </c>
      <c r="BS38" s="108">
        <v>1</v>
      </c>
      <c r="BT38" s="108">
        <v>1</v>
      </c>
      <c r="BU38" s="108">
        <v>1</v>
      </c>
      <c r="BW38" s="691" t="s">
        <v>837</v>
      </c>
      <c r="BX38" s="83">
        <v>2</v>
      </c>
      <c r="BY38" s="83">
        <v>4</v>
      </c>
      <c r="BZ38" s="83">
        <v>1</v>
      </c>
      <c r="CA38" s="83">
        <v>3</v>
      </c>
      <c r="CB38" s="83">
        <v>1</v>
      </c>
      <c r="CC38" s="83">
        <v>5</v>
      </c>
      <c r="CD38" s="104">
        <v>3</v>
      </c>
      <c r="CE38" s="104">
        <v>1.05</v>
      </c>
      <c r="CF38" s="107">
        <f t="shared" si="33"/>
        <v>1.2365959919080913</v>
      </c>
      <c r="CG38" s="107">
        <f t="shared" si="34"/>
        <v>1.2434566510799234</v>
      </c>
      <c r="CH38" s="107" t="str">
        <f t="shared" si="35"/>
        <v>(2,4,1,3,1,5)</v>
      </c>
      <c r="CI38" s="108">
        <v>1.05</v>
      </c>
      <c r="CJ38" s="108">
        <v>1.1000000000000001</v>
      </c>
      <c r="CK38" s="108">
        <v>1</v>
      </c>
      <c r="CL38" s="108">
        <v>1.02</v>
      </c>
      <c r="CM38" s="108">
        <v>1</v>
      </c>
      <c r="CN38" s="108">
        <v>1.2</v>
      </c>
    </row>
    <row r="39" spans="1:92" s="171" customFormat="1" ht="24">
      <c r="A39" s="333">
        <v>269211</v>
      </c>
      <c r="B39" s="216"/>
      <c r="C39" s="334"/>
      <c r="D39" s="515">
        <v>5</v>
      </c>
      <c r="E39" s="343" t="s">
        <v>98</v>
      </c>
      <c r="F39" s="437" t="s">
        <v>838</v>
      </c>
      <c r="G39" s="438" t="s">
        <v>93</v>
      </c>
      <c r="H39" s="455" t="s">
        <v>98</v>
      </c>
      <c r="I39" s="455" t="s">
        <v>98</v>
      </c>
      <c r="J39" s="336">
        <v>0</v>
      </c>
      <c r="K39" s="438" t="s">
        <v>96</v>
      </c>
      <c r="L39" s="440">
        <f>AJ39</f>
        <v>8.7748211731044305E-3</v>
      </c>
      <c r="M39" s="336">
        <v>1</v>
      </c>
      <c r="N39" s="337">
        <f t="shared" si="10"/>
        <v>1.0722009304576894</v>
      </c>
      <c r="O39" s="455" t="str">
        <f t="shared" si="11"/>
        <v>(2,1,1,2,1,1); Industry data (French tender): "in H2O" iso "without water"</v>
      </c>
      <c r="P39" s="440">
        <f>AN39</f>
        <v>8.7748211731044305E-3</v>
      </c>
      <c r="Q39" s="336">
        <v>1</v>
      </c>
      <c r="R39" s="337">
        <f t="shared" si="12"/>
        <v>1.0722009304576894</v>
      </c>
      <c r="S39" s="455" t="str">
        <f t="shared" si="13"/>
        <v>(2,1,1,2,1,1); Industry data (French tender): "in H2O" iso "without water"</v>
      </c>
      <c r="T39" s="440">
        <f>L39</f>
        <v>8.7748211731044305E-3</v>
      </c>
      <c r="U39" s="336">
        <v>1</v>
      </c>
      <c r="V39" s="337">
        <f t="shared" si="14"/>
        <v>1.0722009304576894</v>
      </c>
      <c r="W39" s="455" t="str">
        <f t="shared" si="15"/>
        <v>(2,1,1,2,1,1); Industry data (French tender): "in H2O" iso "without water"</v>
      </c>
      <c r="X39" s="440">
        <f>P39</f>
        <v>8.7748211731044305E-3</v>
      </c>
      <c r="Y39" s="336">
        <v>1</v>
      </c>
      <c r="Z39" s="337">
        <f t="shared" si="16"/>
        <v>1.0722009304576894</v>
      </c>
      <c r="AA39" s="437" t="str">
        <f t="shared" si="17"/>
        <v>(2,1,1,2,1,1); Industry data (French tender): "in H2O" iso "without water"</v>
      </c>
      <c r="AB39" s="440">
        <f>P39</f>
        <v>8.7748211731044305E-3</v>
      </c>
      <c r="AC39" s="336">
        <v>1</v>
      </c>
      <c r="AD39" s="337">
        <f t="shared" si="18"/>
        <v>1.0722009304576894</v>
      </c>
      <c r="AE39" s="455" t="str">
        <f t="shared" si="19"/>
        <v>(2,1,1,2,1,1); Industry data (French tender): "in H2O" iso "without water"</v>
      </c>
      <c r="AF39" s="440">
        <f>P39</f>
        <v>8.7748211731044305E-3</v>
      </c>
      <c r="AG39" s="336">
        <v>1</v>
      </c>
      <c r="AH39" s="337">
        <f t="shared" si="20"/>
        <v>1.0722009304576894</v>
      </c>
      <c r="AI39" s="455" t="str">
        <f t="shared" si="21"/>
        <v>(2,1,1,2,1,1); Industry data (French tender): "in H2O" iso "without water"</v>
      </c>
      <c r="AJ39" s="440">
        <f>BA39</f>
        <v>8.7748211731044305E-3</v>
      </c>
      <c r="AK39" s="336">
        <v>1</v>
      </c>
      <c r="AL39" s="337">
        <f t="shared" si="22"/>
        <v>1.0722009304576894</v>
      </c>
      <c r="AM39" s="455" t="str">
        <f t="shared" si="23"/>
        <v>(2,1,1,2,1,1); Industry data (French tender): "in H2O" iso "without water"</v>
      </c>
      <c r="AN39" s="440">
        <f>BB39</f>
        <v>8.7748211731044305E-3</v>
      </c>
      <c r="AO39" s="336">
        <v>1</v>
      </c>
      <c r="AP39" s="337">
        <f t="shared" si="24"/>
        <v>1.0722009304576894</v>
      </c>
      <c r="AQ39" s="437" t="str">
        <f t="shared" si="25"/>
        <v>(2,1,1,2,1,1); Industry data (French tender): "in H2O" iso "without water"</v>
      </c>
      <c r="AR39" s="440">
        <v>0.104</v>
      </c>
      <c r="AS39" s="336">
        <v>1</v>
      </c>
      <c r="AT39" s="337">
        <f t="shared" si="26"/>
        <v>1.2434566510799234</v>
      </c>
      <c r="AU39" s="455" t="str">
        <f t="shared" si="27"/>
        <v>(2,4,1,3,1,5); Brailovsky (2026) GM 04; RER iso RoW, "in H2O" iso "without water"</v>
      </c>
      <c r="AV39" s="440">
        <v>0.104</v>
      </c>
      <c r="AW39" s="336">
        <v>1</v>
      </c>
      <c r="AX39" s="337">
        <f t="shared" si="28"/>
        <v>1.2434566510799234</v>
      </c>
      <c r="AY39" s="437" t="str">
        <f t="shared" si="29"/>
        <v>(2,4,1,3,1,5); Brailovsky (2026) GM 04; RER iso RoW, "in H2O" iso "without water"</v>
      </c>
      <c r="AZ39" s="338"/>
      <c r="BA39" s="440">
        <v>8.7748211731044305E-3</v>
      </c>
      <c r="BB39" s="440">
        <v>8.7748211731044305E-3</v>
      </c>
      <c r="BC39" s="440"/>
      <c r="BD39" s="216" t="s">
        <v>839</v>
      </c>
      <c r="BE39" s="83">
        <v>2</v>
      </c>
      <c r="BF39" s="83">
        <v>1</v>
      </c>
      <c r="BG39" s="83">
        <v>1</v>
      </c>
      <c r="BH39" s="83">
        <v>2</v>
      </c>
      <c r="BI39" s="83">
        <v>1</v>
      </c>
      <c r="BJ39" s="83">
        <v>1</v>
      </c>
      <c r="BK39" s="104">
        <v>3</v>
      </c>
      <c r="BL39" s="104">
        <v>1.05</v>
      </c>
      <c r="BM39" s="107">
        <f t="shared" si="30"/>
        <v>1.0510550504206344</v>
      </c>
      <c r="BN39" s="107">
        <f t="shared" si="31"/>
        <v>1.0722009304576894</v>
      </c>
      <c r="BO39" s="107" t="str">
        <f t="shared" si="32"/>
        <v>(2,1,1,2,1,1)</v>
      </c>
      <c r="BP39" s="108">
        <v>1.05</v>
      </c>
      <c r="BQ39" s="108">
        <v>1</v>
      </c>
      <c r="BR39" s="108">
        <v>1</v>
      </c>
      <c r="BS39" s="108">
        <v>1.01</v>
      </c>
      <c r="BT39" s="108">
        <v>1</v>
      </c>
      <c r="BU39" s="108">
        <v>1</v>
      </c>
      <c r="BW39" s="691" t="s">
        <v>840</v>
      </c>
      <c r="BX39" s="83">
        <v>2</v>
      </c>
      <c r="BY39" s="83">
        <v>4</v>
      </c>
      <c r="BZ39" s="83">
        <v>1</v>
      </c>
      <c r="CA39" s="83">
        <v>3</v>
      </c>
      <c r="CB39" s="83">
        <v>1</v>
      </c>
      <c r="CC39" s="83">
        <v>5</v>
      </c>
      <c r="CD39" s="104">
        <v>3</v>
      </c>
      <c r="CE39" s="104">
        <v>1.05</v>
      </c>
      <c r="CF39" s="107">
        <f t="shared" si="33"/>
        <v>1.2365959919080913</v>
      </c>
      <c r="CG39" s="107">
        <f t="shared" si="34"/>
        <v>1.2434566510799234</v>
      </c>
      <c r="CH39" s="107" t="str">
        <f t="shared" si="35"/>
        <v>(2,4,1,3,1,5)</v>
      </c>
      <c r="CI39" s="108">
        <v>1.05</v>
      </c>
      <c r="CJ39" s="108">
        <v>1.1000000000000001</v>
      </c>
      <c r="CK39" s="108">
        <v>1</v>
      </c>
      <c r="CL39" s="108">
        <v>1.02</v>
      </c>
      <c r="CM39" s="108">
        <v>1</v>
      </c>
      <c r="CN39" s="108">
        <v>1.2</v>
      </c>
    </row>
    <row r="40" spans="1:92" s="171" customFormat="1" ht="24">
      <c r="A40" s="333">
        <v>269337</v>
      </c>
      <c r="B40" s="216"/>
      <c r="C40" s="334"/>
      <c r="D40" s="515">
        <v>5</v>
      </c>
      <c r="E40" s="343" t="s">
        <v>98</v>
      </c>
      <c r="F40" s="437" t="s">
        <v>841</v>
      </c>
      <c r="G40" s="438" t="s">
        <v>93</v>
      </c>
      <c r="H40" s="455" t="s">
        <v>98</v>
      </c>
      <c r="I40" s="455" t="s">
        <v>98</v>
      </c>
      <c r="J40" s="336">
        <v>0</v>
      </c>
      <c r="K40" s="438" t="s">
        <v>96</v>
      </c>
      <c r="L40" s="440">
        <f>AJ40</f>
        <v>1.20885550786838E-2</v>
      </c>
      <c r="M40" s="336">
        <v>1</v>
      </c>
      <c r="N40" s="337">
        <f t="shared" si="10"/>
        <v>1.0722009304576894</v>
      </c>
      <c r="O40" s="455" t="str">
        <f t="shared" si="11"/>
        <v>(2,1,1,2,1,1); Industry data (French tender): Cooling liquid for diamond wiring</v>
      </c>
      <c r="P40" s="440">
        <f>AN40</f>
        <v>1.20885550786838E-2</v>
      </c>
      <c r="Q40" s="336">
        <v>1</v>
      </c>
      <c r="R40" s="337">
        <f t="shared" si="12"/>
        <v>1.0722009304576894</v>
      </c>
      <c r="S40" s="455" t="str">
        <f t="shared" si="13"/>
        <v>(2,1,1,2,1,1); Industry data (French tender): Cooling liquid for diamond wiring</v>
      </c>
      <c r="T40" s="440">
        <f>L40</f>
        <v>1.20885550786838E-2</v>
      </c>
      <c r="U40" s="336">
        <v>1</v>
      </c>
      <c r="V40" s="337">
        <f t="shared" si="14"/>
        <v>1.0722009304576894</v>
      </c>
      <c r="W40" s="455" t="str">
        <f t="shared" si="15"/>
        <v>(2,1,1,2,1,1); Industry data (French tender): Cooling liquid for diamond wiring</v>
      </c>
      <c r="X40" s="440">
        <f>P40</f>
        <v>1.20885550786838E-2</v>
      </c>
      <c r="Y40" s="336">
        <v>1</v>
      </c>
      <c r="Z40" s="337">
        <f t="shared" si="16"/>
        <v>1.0722009304576894</v>
      </c>
      <c r="AA40" s="437" t="str">
        <f t="shared" si="17"/>
        <v>(2,1,1,2,1,1); Industry data (French tender): Cooling liquid for diamond wiring</v>
      </c>
      <c r="AB40" s="440">
        <f>P40</f>
        <v>1.20885550786838E-2</v>
      </c>
      <c r="AC40" s="336">
        <v>1</v>
      </c>
      <c r="AD40" s="337">
        <f t="shared" si="18"/>
        <v>1.0722009304576894</v>
      </c>
      <c r="AE40" s="455" t="str">
        <f t="shared" si="19"/>
        <v>(2,1,1,2,1,1); Industry data (French tender): Cooling liquid for diamond wiring</v>
      </c>
      <c r="AF40" s="440">
        <f>P40</f>
        <v>1.20885550786838E-2</v>
      </c>
      <c r="AG40" s="336">
        <v>1</v>
      </c>
      <c r="AH40" s="337">
        <f t="shared" si="20"/>
        <v>1.0722009304576894</v>
      </c>
      <c r="AI40" s="455" t="str">
        <f t="shared" si="21"/>
        <v>(2,1,1,2,1,1); Industry data (French tender): Cooling liquid for diamond wiring</v>
      </c>
      <c r="AJ40" s="440">
        <f>BA40</f>
        <v>1.20885550786838E-2</v>
      </c>
      <c r="AK40" s="336">
        <v>1</v>
      </c>
      <c r="AL40" s="337">
        <f t="shared" si="22"/>
        <v>1.0722009304576894</v>
      </c>
      <c r="AM40" s="455" t="str">
        <f t="shared" si="23"/>
        <v>(2,1,1,2,1,1); Industry data (French tender): Cooling liquid for diamond wiring</v>
      </c>
      <c r="AN40" s="440">
        <f>BB40</f>
        <v>1.20885550786838E-2</v>
      </c>
      <c r="AO40" s="336">
        <v>1</v>
      </c>
      <c r="AP40" s="337">
        <f t="shared" si="24"/>
        <v>1.0722009304576894</v>
      </c>
      <c r="AQ40" s="437" t="str">
        <f t="shared" si="25"/>
        <v>(2,1,1,2,1,1); Industry data (French tender): Cooling liquid for diamond wiring</v>
      </c>
      <c r="AR40" s="440">
        <v>0</v>
      </c>
      <c r="AS40" s="336">
        <v>1</v>
      </c>
      <c r="AT40" s="337">
        <f t="shared" si="26"/>
        <v>1.05</v>
      </c>
      <c r="AU40" s="455" t="str">
        <f t="shared" si="27"/>
        <v xml:space="preserve">(na,na,na,na,na,na); </v>
      </c>
      <c r="AV40" s="440">
        <v>0</v>
      </c>
      <c r="AW40" s="336">
        <v>1</v>
      </c>
      <c r="AX40" s="337">
        <f t="shared" si="28"/>
        <v>1.05</v>
      </c>
      <c r="AY40" s="437" t="str">
        <f t="shared" si="29"/>
        <v xml:space="preserve">(na,na,na,na,na,na); </v>
      </c>
      <c r="AZ40" s="338"/>
      <c r="BA40" s="440">
        <v>1.20885550786838E-2</v>
      </c>
      <c r="BB40" s="440">
        <v>1.20885550786838E-2</v>
      </c>
      <c r="BC40" s="440"/>
      <c r="BD40" s="216" t="s">
        <v>842</v>
      </c>
      <c r="BE40" s="83">
        <v>2</v>
      </c>
      <c r="BF40" s="83">
        <v>1</v>
      </c>
      <c r="BG40" s="83">
        <v>1</v>
      </c>
      <c r="BH40" s="83">
        <v>2</v>
      </c>
      <c r="BI40" s="83">
        <v>1</v>
      </c>
      <c r="BJ40" s="83">
        <v>1</v>
      </c>
      <c r="BK40" s="104">
        <v>3</v>
      </c>
      <c r="BL40" s="104">
        <v>1.05</v>
      </c>
      <c r="BM40" s="107">
        <f t="shared" si="30"/>
        <v>1.0510550504206344</v>
      </c>
      <c r="BN40" s="107">
        <f t="shared" si="31"/>
        <v>1.0722009304576894</v>
      </c>
      <c r="BO40" s="107" t="str">
        <f t="shared" si="32"/>
        <v>(2,1,1,2,1,1)</v>
      </c>
      <c r="BP40" s="108">
        <v>1.05</v>
      </c>
      <c r="BQ40" s="108">
        <v>1</v>
      </c>
      <c r="BR40" s="108">
        <v>1</v>
      </c>
      <c r="BS40" s="108">
        <v>1.01</v>
      </c>
      <c r="BT40" s="108">
        <v>1</v>
      </c>
      <c r="BU40" s="108">
        <v>1</v>
      </c>
      <c r="BW40" s="691"/>
      <c r="BX40" s="339" t="s">
        <v>106</v>
      </c>
      <c r="BY40" s="339" t="s">
        <v>106</v>
      </c>
      <c r="BZ40" s="339" t="s">
        <v>106</v>
      </c>
      <c r="CA40" s="339" t="s">
        <v>106</v>
      </c>
      <c r="CB40" s="339" t="s">
        <v>106</v>
      </c>
      <c r="CC40" s="339" t="s">
        <v>106</v>
      </c>
      <c r="CD40" s="104">
        <v>3</v>
      </c>
      <c r="CE40" s="104">
        <v>1.05</v>
      </c>
      <c r="CF40" s="107">
        <f t="shared" si="33"/>
        <v>1</v>
      </c>
      <c r="CG40" s="107">
        <f t="shared" si="34"/>
        <v>1.05</v>
      </c>
      <c r="CH40" s="107" t="str">
        <f t="shared" si="35"/>
        <v>(na,na,na,na,na,na)</v>
      </c>
      <c r="CI40" s="108">
        <v>1</v>
      </c>
      <c r="CJ40" s="108">
        <v>1</v>
      </c>
      <c r="CK40" s="108">
        <v>1</v>
      </c>
      <c r="CL40" s="108">
        <v>1</v>
      </c>
      <c r="CM40" s="108">
        <v>1</v>
      </c>
      <c r="CN40" s="108">
        <v>1</v>
      </c>
    </row>
    <row r="41" spans="1:92" s="171" customFormat="1" ht="24" collapsed="1">
      <c r="A41" s="333">
        <v>265425</v>
      </c>
      <c r="B41" s="216"/>
      <c r="C41" s="334"/>
      <c r="D41" s="342">
        <v>5</v>
      </c>
      <c r="E41" s="343" t="s">
        <v>98</v>
      </c>
      <c r="F41" s="437" t="s">
        <v>843</v>
      </c>
      <c r="G41" s="438" t="s">
        <v>93</v>
      </c>
      <c r="H41" s="439" t="s">
        <v>98</v>
      </c>
      <c r="I41" s="439" t="s">
        <v>98</v>
      </c>
      <c r="J41" s="335">
        <v>0</v>
      </c>
      <c r="K41" s="438" t="s">
        <v>96</v>
      </c>
      <c r="L41" s="440">
        <f>AJ41</f>
        <v>0</v>
      </c>
      <c r="M41" s="336">
        <v>1</v>
      </c>
      <c r="N41" s="337">
        <f t="shared" si="10"/>
        <v>1.05</v>
      </c>
      <c r="O41" s="455" t="str">
        <f t="shared" si="11"/>
        <v xml:space="preserve">(na,na,na,na,na,na); </v>
      </c>
      <c r="P41" s="440">
        <f>AN41</f>
        <v>0</v>
      </c>
      <c r="Q41" s="336">
        <v>1</v>
      </c>
      <c r="R41" s="337">
        <f t="shared" si="12"/>
        <v>1.05</v>
      </c>
      <c r="S41" s="455" t="str">
        <f t="shared" si="13"/>
        <v xml:space="preserve">(na,na,na,na,na,na); </v>
      </c>
      <c r="T41" s="440">
        <f>L41</f>
        <v>0</v>
      </c>
      <c r="U41" s="336">
        <v>1</v>
      </c>
      <c r="V41" s="337">
        <f t="shared" si="14"/>
        <v>1.05</v>
      </c>
      <c r="W41" s="455" t="str">
        <f t="shared" si="15"/>
        <v xml:space="preserve">(na,na,na,na,na,na); </v>
      </c>
      <c r="X41" s="440">
        <f>P41</f>
        <v>0</v>
      </c>
      <c r="Y41" s="336">
        <v>1</v>
      </c>
      <c r="Z41" s="337">
        <f t="shared" si="16"/>
        <v>1.05</v>
      </c>
      <c r="AA41" s="437" t="str">
        <f t="shared" si="17"/>
        <v xml:space="preserve">(na,na,na,na,na,na); </v>
      </c>
      <c r="AB41" s="440">
        <f>P41</f>
        <v>0</v>
      </c>
      <c r="AC41" s="336">
        <v>1</v>
      </c>
      <c r="AD41" s="337">
        <f t="shared" si="18"/>
        <v>1.05</v>
      </c>
      <c r="AE41" s="455" t="str">
        <f t="shared" si="19"/>
        <v xml:space="preserve">(na,na,na,na,na,na); </v>
      </c>
      <c r="AF41" s="440">
        <f>P41</f>
        <v>0</v>
      </c>
      <c r="AG41" s="336">
        <v>1</v>
      </c>
      <c r="AH41" s="337">
        <f t="shared" si="20"/>
        <v>1.05</v>
      </c>
      <c r="AI41" s="455" t="str">
        <f t="shared" si="21"/>
        <v xml:space="preserve">(na,na,na,na,na,na); </v>
      </c>
      <c r="AJ41" s="440">
        <f>$BA41</f>
        <v>0</v>
      </c>
      <c r="AK41" s="336">
        <v>1</v>
      </c>
      <c r="AL41" s="337">
        <f t="shared" si="22"/>
        <v>1.05</v>
      </c>
      <c r="AM41" s="455" t="str">
        <f t="shared" si="23"/>
        <v xml:space="preserve">(na,na,na,na,na,na); </v>
      </c>
      <c r="AN41" s="440">
        <f>$BB41</f>
        <v>0</v>
      </c>
      <c r="AO41" s="336">
        <v>1</v>
      </c>
      <c r="AP41" s="337">
        <f t="shared" si="24"/>
        <v>1.05</v>
      </c>
      <c r="AQ41" s="437" t="str">
        <f t="shared" si="25"/>
        <v xml:space="preserve">(na,na,na,na,na,na); </v>
      </c>
      <c r="AR41" s="440">
        <v>6.3E-2</v>
      </c>
      <c r="AS41" s="336">
        <v>1</v>
      </c>
      <c r="AT41" s="337">
        <f t="shared" si="26"/>
        <v>1.2434566510799234</v>
      </c>
      <c r="AU41" s="455" t="str">
        <f t="shared" si="27"/>
        <v>(2,4,1,3,1,5); Brailovsky (2026)  GM 04; RER iso GLO, at plant iso market</v>
      </c>
      <c r="AV41" s="440">
        <v>6.3E-2</v>
      </c>
      <c r="AW41" s="336">
        <v>1</v>
      </c>
      <c r="AX41" s="337">
        <f t="shared" si="28"/>
        <v>1.2434566510799234</v>
      </c>
      <c r="AY41" s="437" t="str">
        <f t="shared" si="29"/>
        <v>(2,4,1,3,1,5); Brailovsky (2026)  GM 04; RER iso GLO, at plant iso market</v>
      </c>
      <c r="AZ41" s="338"/>
      <c r="BA41" s="440">
        <v>0</v>
      </c>
      <c r="BB41" s="440">
        <v>0</v>
      </c>
      <c r="BC41" s="440"/>
      <c r="BD41" s="216"/>
      <c r="BE41" s="339" t="s">
        <v>106</v>
      </c>
      <c r="BF41" s="339" t="s">
        <v>106</v>
      </c>
      <c r="BG41" s="339" t="s">
        <v>106</v>
      </c>
      <c r="BH41" s="339" t="s">
        <v>106</v>
      </c>
      <c r="BI41" s="339" t="s">
        <v>106</v>
      </c>
      <c r="BJ41" s="339" t="s">
        <v>106</v>
      </c>
      <c r="BK41" s="104">
        <v>3</v>
      </c>
      <c r="BL41" s="104">
        <v>1.05</v>
      </c>
      <c r="BM41" s="107">
        <f t="shared" si="30"/>
        <v>1</v>
      </c>
      <c r="BN41" s="107">
        <f t="shared" si="31"/>
        <v>1.05</v>
      </c>
      <c r="BO41" s="107" t="str">
        <f t="shared" si="32"/>
        <v>(na,na,na,na,na,na)</v>
      </c>
      <c r="BP41" s="108">
        <v>1</v>
      </c>
      <c r="BQ41" s="108">
        <v>1</v>
      </c>
      <c r="BR41" s="108">
        <v>1</v>
      </c>
      <c r="BS41" s="108">
        <v>1</v>
      </c>
      <c r="BT41" s="108">
        <v>1</v>
      </c>
      <c r="BU41" s="108">
        <v>1</v>
      </c>
      <c r="BW41" s="691" t="s">
        <v>844</v>
      </c>
      <c r="BX41" s="83">
        <v>2</v>
      </c>
      <c r="BY41" s="83">
        <v>4</v>
      </c>
      <c r="BZ41" s="83">
        <v>1</v>
      </c>
      <c r="CA41" s="83">
        <v>3</v>
      </c>
      <c r="CB41" s="83">
        <v>1</v>
      </c>
      <c r="CC41" s="83">
        <v>5</v>
      </c>
      <c r="CD41" s="104">
        <v>3</v>
      </c>
      <c r="CE41" s="104">
        <v>1.05</v>
      </c>
      <c r="CF41" s="107">
        <f t="shared" si="33"/>
        <v>1.2365959919080913</v>
      </c>
      <c r="CG41" s="107">
        <f t="shared" si="34"/>
        <v>1.2434566510799234</v>
      </c>
      <c r="CH41" s="107" t="str">
        <f t="shared" si="35"/>
        <v>(2,4,1,3,1,5)</v>
      </c>
      <c r="CI41" s="108">
        <v>1.05</v>
      </c>
      <c r="CJ41" s="108">
        <v>1.1000000000000001</v>
      </c>
      <c r="CK41" s="108">
        <v>1</v>
      </c>
      <c r="CL41" s="108">
        <v>1.02</v>
      </c>
      <c r="CM41" s="108">
        <v>1</v>
      </c>
      <c r="CN41" s="108">
        <v>1.2</v>
      </c>
    </row>
    <row r="42" spans="1:92" s="171" customFormat="1" ht="24">
      <c r="A42" s="333">
        <v>269253</v>
      </c>
      <c r="B42" s="216"/>
      <c r="C42" s="334"/>
      <c r="D42" s="342">
        <v>5</v>
      </c>
      <c r="E42" s="343" t="s">
        <v>98</v>
      </c>
      <c r="F42" s="437" t="s">
        <v>583</v>
      </c>
      <c r="G42" s="438" t="s">
        <v>93</v>
      </c>
      <c r="H42" s="439" t="s">
        <v>98</v>
      </c>
      <c r="I42" s="439" t="s">
        <v>98</v>
      </c>
      <c r="J42" s="335">
        <v>0</v>
      </c>
      <c r="K42" s="438" t="s">
        <v>96</v>
      </c>
      <c r="L42" s="440">
        <v>0</v>
      </c>
      <c r="M42" s="336">
        <v>1</v>
      </c>
      <c r="N42" s="337">
        <f t="shared" si="10"/>
        <v>1.05</v>
      </c>
      <c r="O42" s="455" t="str">
        <f t="shared" si="11"/>
        <v xml:space="preserve">(na,na,na,na,na,na); </v>
      </c>
      <c r="P42" s="440">
        <v>0</v>
      </c>
      <c r="Q42" s="336">
        <v>1</v>
      </c>
      <c r="R42" s="337">
        <f t="shared" si="12"/>
        <v>1.05</v>
      </c>
      <c r="S42" s="455" t="str">
        <f t="shared" si="13"/>
        <v xml:space="preserve">(na,na,na,na,na,na); </v>
      </c>
      <c r="T42" s="440">
        <v>0</v>
      </c>
      <c r="U42" s="336">
        <v>1</v>
      </c>
      <c r="V42" s="337">
        <f t="shared" si="14"/>
        <v>1.05</v>
      </c>
      <c r="W42" s="455" t="str">
        <f t="shared" si="15"/>
        <v xml:space="preserve">(na,na,na,na,na,na); </v>
      </c>
      <c r="X42" s="440">
        <v>0</v>
      </c>
      <c r="Y42" s="336">
        <v>1</v>
      </c>
      <c r="Z42" s="337">
        <f t="shared" si="16"/>
        <v>1.05</v>
      </c>
      <c r="AA42" s="437" t="str">
        <f t="shared" si="17"/>
        <v xml:space="preserve">(na,na,na,na,na,na); </v>
      </c>
      <c r="AB42" s="440">
        <v>0</v>
      </c>
      <c r="AC42" s="336">
        <v>1</v>
      </c>
      <c r="AD42" s="337">
        <f t="shared" si="18"/>
        <v>1.05</v>
      </c>
      <c r="AE42" s="455" t="str">
        <f t="shared" si="19"/>
        <v xml:space="preserve">(na,na,na,na,na,na); </v>
      </c>
      <c r="AF42" s="440">
        <v>0</v>
      </c>
      <c r="AG42" s="336">
        <v>1</v>
      </c>
      <c r="AH42" s="337">
        <f t="shared" si="20"/>
        <v>1.05</v>
      </c>
      <c r="AI42" s="455" t="str">
        <f t="shared" si="21"/>
        <v xml:space="preserve">(na,na,na,na,na,na); </v>
      </c>
      <c r="AJ42" s="440">
        <v>0</v>
      </c>
      <c r="AK42" s="336">
        <v>1</v>
      </c>
      <c r="AL42" s="337">
        <f t="shared" si="22"/>
        <v>1.05</v>
      </c>
      <c r="AM42" s="455" t="str">
        <f t="shared" si="23"/>
        <v xml:space="preserve">(na,na,na,na,na,na); </v>
      </c>
      <c r="AN42" s="440">
        <v>0</v>
      </c>
      <c r="AO42" s="336">
        <v>1</v>
      </c>
      <c r="AP42" s="337">
        <f t="shared" si="24"/>
        <v>1.05</v>
      </c>
      <c r="AQ42" s="437" t="str">
        <f t="shared" si="25"/>
        <v xml:space="preserve">(na,na,na,na,na,na); </v>
      </c>
      <c r="AR42" s="440">
        <v>9.5478260869565207E-2</v>
      </c>
      <c r="AS42" s="336">
        <v>1</v>
      </c>
      <c r="AT42" s="337">
        <f t="shared" si="26"/>
        <v>1.2434566510799234</v>
      </c>
      <c r="AU42" s="455" t="str">
        <f t="shared" si="27"/>
        <v>(2,4,1,3,1,5); Brailovsky (2026)  GM 04; RER iso GLO; at plant iso market</v>
      </c>
      <c r="AV42" s="440">
        <v>9.5478260869565207E-2</v>
      </c>
      <c r="AW42" s="336">
        <v>1</v>
      </c>
      <c r="AX42" s="337">
        <f t="shared" si="28"/>
        <v>1.2434566510799234</v>
      </c>
      <c r="AY42" s="437" t="str">
        <f t="shared" si="29"/>
        <v>(2,4,1,3,1,5); Brailovsky (2026)  GM 04; RER iso GLO; at plant iso market</v>
      </c>
      <c r="AZ42" s="338"/>
      <c r="BA42" s="440"/>
      <c r="BB42" s="440"/>
      <c r="BC42" s="440"/>
      <c r="BD42" s="216"/>
      <c r="BE42" s="339" t="s">
        <v>106</v>
      </c>
      <c r="BF42" s="339" t="s">
        <v>106</v>
      </c>
      <c r="BG42" s="339" t="s">
        <v>106</v>
      </c>
      <c r="BH42" s="339" t="s">
        <v>106</v>
      </c>
      <c r="BI42" s="339" t="s">
        <v>106</v>
      </c>
      <c r="BJ42" s="339" t="s">
        <v>106</v>
      </c>
      <c r="BK42" s="104">
        <v>3</v>
      </c>
      <c r="BL42" s="104">
        <v>1.05</v>
      </c>
      <c r="BM42" s="107">
        <f t="shared" si="30"/>
        <v>1</v>
      </c>
      <c r="BN42" s="107">
        <f t="shared" si="31"/>
        <v>1.05</v>
      </c>
      <c r="BO42" s="107" t="str">
        <f t="shared" si="32"/>
        <v>(na,na,na,na,na,na)</v>
      </c>
      <c r="BP42" s="108">
        <v>1</v>
      </c>
      <c r="BQ42" s="108">
        <v>1</v>
      </c>
      <c r="BR42" s="108">
        <v>1</v>
      </c>
      <c r="BS42" s="108">
        <v>1</v>
      </c>
      <c r="BT42" s="108">
        <v>1</v>
      </c>
      <c r="BU42" s="108">
        <v>1</v>
      </c>
      <c r="BW42" s="691" t="s">
        <v>845</v>
      </c>
      <c r="BX42" s="83">
        <v>2</v>
      </c>
      <c r="BY42" s="83">
        <v>4</v>
      </c>
      <c r="BZ42" s="83">
        <v>1</v>
      </c>
      <c r="CA42" s="83">
        <v>3</v>
      </c>
      <c r="CB42" s="83">
        <v>1</v>
      </c>
      <c r="CC42" s="83">
        <v>5</v>
      </c>
      <c r="CD42" s="104">
        <v>3</v>
      </c>
      <c r="CE42" s="104">
        <v>1.05</v>
      </c>
      <c r="CF42" s="107">
        <f t="shared" si="33"/>
        <v>1.2365959919080913</v>
      </c>
      <c r="CG42" s="107">
        <f t="shared" si="34"/>
        <v>1.2434566510799234</v>
      </c>
      <c r="CH42" s="107" t="str">
        <f t="shared" si="35"/>
        <v>(2,4,1,3,1,5)</v>
      </c>
      <c r="CI42" s="108">
        <v>1.05</v>
      </c>
      <c r="CJ42" s="108">
        <v>1.1000000000000001</v>
      </c>
      <c r="CK42" s="108">
        <v>1</v>
      </c>
      <c r="CL42" s="108">
        <v>1.02</v>
      </c>
      <c r="CM42" s="108">
        <v>1</v>
      </c>
      <c r="CN42" s="108">
        <v>1.2</v>
      </c>
    </row>
    <row r="43" spans="1:92" s="171" customFormat="1" ht="24">
      <c r="A43" s="333">
        <v>269327</v>
      </c>
      <c r="B43" s="216" t="s">
        <v>491</v>
      </c>
      <c r="C43" s="334"/>
      <c r="D43" s="342">
        <v>5</v>
      </c>
      <c r="E43" s="343" t="s">
        <v>98</v>
      </c>
      <c r="F43" s="437" t="s">
        <v>492</v>
      </c>
      <c r="G43" s="438" t="s">
        <v>93</v>
      </c>
      <c r="H43" s="439" t="s">
        <v>98</v>
      </c>
      <c r="I43" s="439" t="s">
        <v>98</v>
      </c>
      <c r="J43" s="335">
        <v>0</v>
      </c>
      <c r="K43" s="438" t="s">
        <v>96</v>
      </c>
      <c r="L43" s="440">
        <f>AJ43</f>
        <v>1.040770100143062E-2</v>
      </c>
      <c r="M43" s="336">
        <v>1</v>
      </c>
      <c r="N43" s="337">
        <f t="shared" si="10"/>
        <v>1.0722009304576894</v>
      </c>
      <c r="O43" s="455" t="str">
        <f t="shared" si="11"/>
        <v>(2,1,1,2,1,1); Industry data (French tender): Pallet - plastic + Other plastic</v>
      </c>
      <c r="P43" s="440">
        <f>AN43</f>
        <v>1.040770100143062E-2</v>
      </c>
      <c r="Q43" s="336">
        <v>1</v>
      </c>
      <c r="R43" s="337">
        <f t="shared" si="12"/>
        <v>1.0722009304576894</v>
      </c>
      <c r="S43" s="455" t="str">
        <f t="shared" si="13"/>
        <v>(2,1,1,2,1,1); Industry data (French tender): Pallet - plastic + Other plastic</v>
      </c>
      <c r="T43" s="440">
        <f>L43</f>
        <v>1.040770100143062E-2</v>
      </c>
      <c r="U43" s="336">
        <v>1</v>
      </c>
      <c r="V43" s="337">
        <f t="shared" si="14"/>
        <v>1.0722009304576894</v>
      </c>
      <c r="W43" s="455" t="str">
        <f t="shared" si="15"/>
        <v>(2,1,1,2,1,1); Industry data (French tender): Pallet - plastic + Other plastic</v>
      </c>
      <c r="X43" s="440">
        <f>P43</f>
        <v>1.040770100143062E-2</v>
      </c>
      <c r="Y43" s="336">
        <v>1</v>
      </c>
      <c r="Z43" s="337">
        <f t="shared" si="16"/>
        <v>1.0722009304576894</v>
      </c>
      <c r="AA43" s="437" t="str">
        <f t="shared" si="17"/>
        <v>(2,1,1,2,1,1); Industry data (French tender): Pallet - plastic + Other plastic</v>
      </c>
      <c r="AB43" s="440">
        <f>P43</f>
        <v>1.040770100143062E-2</v>
      </c>
      <c r="AC43" s="336">
        <v>1</v>
      </c>
      <c r="AD43" s="337">
        <f t="shared" si="18"/>
        <v>1.0722009304576894</v>
      </c>
      <c r="AE43" s="455" t="str">
        <f t="shared" si="19"/>
        <v>(2,1,1,2,1,1); Industry data (French tender): Pallet - plastic + Other plastic</v>
      </c>
      <c r="AF43" s="440">
        <f>P43</f>
        <v>1.040770100143062E-2</v>
      </c>
      <c r="AG43" s="336">
        <v>1</v>
      </c>
      <c r="AH43" s="337">
        <f t="shared" si="20"/>
        <v>1.0722009304576894</v>
      </c>
      <c r="AI43" s="455" t="str">
        <f t="shared" si="21"/>
        <v>(2,1,1,2,1,1); Industry data (French tender): Pallet - plastic + Other plastic</v>
      </c>
      <c r="AJ43" s="440">
        <f>BA43</f>
        <v>1.040770100143062E-2</v>
      </c>
      <c r="AK43" s="336">
        <v>1</v>
      </c>
      <c r="AL43" s="337">
        <f t="shared" si="22"/>
        <v>1.0722009304576894</v>
      </c>
      <c r="AM43" s="455" t="str">
        <f t="shared" si="23"/>
        <v>(2,1,1,2,1,1); Industry data (French tender): Pallet - plastic + Other plastic</v>
      </c>
      <c r="AN43" s="440">
        <f>BB43</f>
        <v>1.040770100143062E-2</v>
      </c>
      <c r="AO43" s="336">
        <v>1</v>
      </c>
      <c r="AP43" s="337">
        <f t="shared" si="24"/>
        <v>1.0722009304576894</v>
      </c>
      <c r="AQ43" s="437" t="str">
        <f t="shared" si="25"/>
        <v>(2,1,1,2,1,1); Industry data (French tender): Pallet - plastic + Other plastic</v>
      </c>
      <c r="AR43" s="440">
        <v>3.0130434782608701E-3</v>
      </c>
      <c r="AS43" s="336">
        <v>1</v>
      </c>
      <c r="AT43" s="337">
        <f t="shared" si="26"/>
        <v>1.2434566510799234</v>
      </c>
      <c r="AU43" s="455" t="str">
        <f t="shared" si="27"/>
        <v>(2,4,1,3,1,5); Brailovsky (2026)  GM 04; RER iso GLO, at plant iso market</v>
      </c>
      <c r="AV43" s="440">
        <v>3.0130434782608701E-3</v>
      </c>
      <c r="AW43" s="336">
        <v>1</v>
      </c>
      <c r="AX43" s="337">
        <f t="shared" si="28"/>
        <v>1.2434566510799234</v>
      </c>
      <c r="AY43" s="437" t="str">
        <f t="shared" si="29"/>
        <v>(2,4,1,3,1,5); Brailovsky (2026)  GM 04; RER iso GLO, at plant iso market</v>
      </c>
      <c r="AZ43" s="338"/>
      <c r="BA43" s="440">
        <f>0.00193888841201717+0.00846881258941345</f>
        <v>1.040770100143062E-2</v>
      </c>
      <c r="BB43" s="440">
        <f>0.00193888841201717+0.00846881258941345</f>
        <v>1.040770100143062E-2</v>
      </c>
      <c r="BC43" s="440"/>
      <c r="BD43" s="216" t="s">
        <v>846</v>
      </c>
      <c r="BE43" s="83">
        <v>2</v>
      </c>
      <c r="BF43" s="83">
        <v>1</v>
      </c>
      <c r="BG43" s="83">
        <v>1</v>
      </c>
      <c r="BH43" s="83">
        <v>2</v>
      </c>
      <c r="BI43" s="83">
        <v>1</v>
      </c>
      <c r="BJ43" s="83">
        <v>1</v>
      </c>
      <c r="BK43" s="104">
        <v>3</v>
      </c>
      <c r="BL43" s="104">
        <v>1.05</v>
      </c>
      <c r="BM43" s="107">
        <f t="shared" si="30"/>
        <v>1.0510550504206344</v>
      </c>
      <c r="BN43" s="107">
        <f t="shared" si="31"/>
        <v>1.0722009304576894</v>
      </c>
      <c r="BO43" s="107" t="str">
        <f t="shared" si="32"/>
        <v>(2,1,1,2,1,1)</v>
      </c>
      <c r="BP43" s="108">
        <v>1.05</v>
      </c>
      <c r="BQ43" s="108">
        <v>1</v>
      </c>
      <c r="BR43" s="108">
        <v>1</v>
      </c>
      <c r="BS43" s="108">
        <v>1.01</v>
      </c>
      <c r="BT43" s="108">
        <v>1</v>
      </c>
      <c r="BU43" s="108">
        <v>1</v>
      </c>
      <c r="BW43" s="691" t="s">
        <v>844</v>
      </c>
      <c r="BX43" s="83">
        <v>2</v>
      </c>
      <c r="BY43" s="83">
        <v>4</v>
      </c>
      <c r="BZ43" s="83">
        <v>1</v>
      </c>
      <c r="CA43" s="83">
        <v>3</v>
      </c>
      <c r="CB43" s="83">
        <v>1</v>
      </c>
      <c r="CC43" s="83">
        <v>5</v>
      </c>
      <c r="CD43" s="104">
        <v>3</v>
      </c>
      <c r="CE43" s="104">
        <v>1.05</v>
      </c>
      <c r="CF43" s="107">
        <f t="shared" si="33"/>
        <v>1.2365959919080913</v>
      </c>
      <c r="CG43" s="107">
        <f t="shared" si="34"/>
        <v>1.2434566510799234</v>
      </c>
      <c r="CH43" s="107" t="str">
        <f t="shared" si="35"/>
        <v>(2,4,1,3,1,5)</v>
      </c>
      <c r="CI43" s="108">
        <v>1.05</v>
      </c>
      <c r="CJ43" s="108">
        <v>1.1000000000000001</v>
      </c>
      <c r="CK43" s="108">
        <v>1</v>
      </c>
      <c r="CL43" s="108">
        <v>1.02</v>
      </c>
      <c r="CM43" s="108">
        <v>1</v>
      </c>
      <c r="CN43" s="108">
        <v>1.2</v>
      </c>
    </row>
    <row r="44" spans="1:92" s="171" customFormat="1" ht="24">
      <c r="A44" s="333">
        <v>269335</v>
      </c>
      <c r="B44" s="216"/>
      <c r="C44" s="334"/>
      <c r="D44" s="342">
        <v>5</v>
      </c>
      <c r="E44" s="343" t="s">
        <v>98</v>
      </c>
      <c r="F44" s="437" t="s">
        <v>493</v>
      </c>
      <c r="G44" s="438" t="s">
        <v>93</v>
      </c>
      <c r="H44" s="439" t="s">
        <v>98</v>
      </c>
      <c r="I44" s="439" t="s">
        <v>98</v>
      </c>
      <c r="J44" s="335">
        <v>0</v>
      </c>
      <c r="K44" s="438" t="s">
        <v>144</v>
      </c>
      <c r="L44" s="440">
        <f>AJ44</f>
        <v>2.3435547925608E-4</v>
      </c>
      <c r="M44" s="336">
        <v>1</v>
      </c>
      <c r="N44" s="337">
        <f t="shared" si="10"/>
        <v>1.0722009304576894</v>
      </c>
      <c r="O44" s="455" t="str">
        <f t="shared" si="11"/>
        <v>(2,1,1,2,1,1); Industry data (French tender): Pallet - wood (25kg / unit)</v>
      </c>
      <c r="P44" s="440">
        <f>AN44</f>
        <v>2.3435547925608E-4</v>
      </c>
      <c r="Q44" s="336">
        <v>1</v>
      </c>
      <c r="R44" s="337">
        <f t="shared" si="12"/>
        <v>1.0722009304576894</v>
      </c>
      <c r="S44" s="455" t="str">
        <f t="shared" si="13"/>
        <v>(2,1,1,2,1,1); Industry data (French tender): Pallet - wood (25kg / unit)</v>
      </c>
      <c r="T44" s="440">
        <f>L44</f>
        <v>2.3435547925608E-4</v>
      </c>
      <c r="U44" s="336">
        <v>1</v>
      </c>
      <c r="V44" s="337">
        <f t="shared" si="14"/>
        <v>1.0722009304576894</v>
      </c>
      <c r="W44" s="455" t="str">
        <f t="shared" si="15"/>
        <v>(2,1,1,2,1,1); Industry data (French tender): Pallet - wood (25kg / unit)</v>
      </c>
      <c r="X44" s="440">
        <f>P44</f>
        <v>2.3435547925608E-4</v>
      </c>
      <c r="Y44" s="336">
        <v>1</v>
      </c>
      <c r="Z44" s="337">
        <f t="shared" si="16"/>
        <v>1.0722009304576894</v>
      </c>
      <c r="AA44" s="437" t="str">
        <f t="shared" si="17"/>
        <v>(2,1,1,2,1,1); Industry data (French tender): Pallet - wood (25kg / unit)</v>
      </c>
      <c r="AB44" s="440">
        <f>P44</f>
        <v>2.3435547925608E-4</v>
      </c>
      <c r="AC44" s="336">
        <v>1</v>
      </c>
      <c r="AD44" s="337">
        <f t="shared" si="18"/>
        <v>1.0722009304576894</v>
      </c>
      <c r="AE44" s="455" t="str">
        <f t="shared" si="19"/>
        <v>(2,1,1,2,1,1); Industry data (French tender): Pallet - wood (25kg / unit)</v>
      </c>
      <c r="AF44" s="440">
        <f>P44</f>
        <v>2.3435547925608E-4</v>
      </c>
      <c r="AG44" s="336">
        <v>1</v>
      </c>
      <c r="AH44" s="337">
        <f t="shared" si="20"/>
        <v>1.0722009304576894</v>
      </c>
      <c r="AI44" s="455" t="str">
        <f t="shared" si="21"/>
        <v>(2,1,1,2,1,1); Industry data (French tender): Pallet - wood (25kg / unit)</v>
      </c>
      <c r="AJ44" s="440">
        <f>BA44</f>
        <v>2.3435547925608E-4</v>
      </c>
      <c r="AK44" s="336">
        <v>1</v>
      </c>
      <c r="AL44" s="337">
        <f t="shared" si="22"/>
        <v>1.0722009304576894</v>
      </c>
      <c r="AM44" s="455" t="str">
        <f t="shared" si="23"/>
        <v>(2,1,1,2,1,1); Industry data (French tender): Pallet - wood (25kg / unit)</v>
      </c>
      <c r="AN44" s="440">
        <f>BB44</f>
        <v>2.3435547925608E-4</v>
      </c>
      <c r="AO44" s="336">
        <v>1</v>
      </c>
      <c r="AP44" s="337">
        <f t="shared" si="24"/>
        <v>1.0722009304576894</v>
      </c>
      <c r="AQ44" s="437" t="str">
        <f t="shared" si="25"/>
        <v>(2,1,1,2,1,1); Industry data (French tender): Pallet - wood (25kg / unit)</v>
      </c>
      <c r="AR44" s="440">
        <v>0</v>
      </c>
      <c r="AS44" s="336">
        <v>1</v>
      </c>
      <c r="AT44" s="337">
        <f t="shared" si="26"/>
        <v>1.05</v>
      </c>
      <c r="AU44" s="455" t="str">
        <f t="shared" si="27"/>
        <v xml:space="preserve">(na,na,na,na,na,na); </v>
      </c>
      <c r="AV44" s="440">
        <v>0</v>
      </c>
      <c r="AW44" s="336">
        <v>1</v>
      </c>
      <c r="AX44" s="337">
        <f t="shared" si="28"/>
        <v>1.05</v>
      </c>
      <c r="AY44" s="437" t="str">
        <f t="shared" si="29"/>
        <v xml:space="preserve">(na,na,na,na,na,na); </v>
      </c>
      <c r="AZ44" s="338"/>
      <c r="BA44" s="440">
        <f>0.005858886981402/25</f>
        <v>2.3435547925608E-4</v>
      </c>
      <c r="BB44" s="440">
        <f>0.005858886981402/25</f>
        <v>2.3435547925608E-4</v>
      </c>
      <c r="BC44" s="440"/>
      <c r="BD44" s="216" t="s">
        <v>847</v>
      </c>
      <c r="BE44" s="83">
        <v>2</v>
      </c>
      <c r="BF44" s="83">
        <v>1</v>
      </c>
      <c r="BG44" s="83">
        <v>1</v>
      </c>
      <c r="BH44" s="83">
        <v>2</v>
      </c>
      <c r="BI44" s="83">
        <v>1</v>
      </c>
      <c r="BJ44" s="83">
        <v>1</v>
      </c>
      <c r="BK44" s="104">
        <v>3</v>
      </c>
      <c r="BL44" s="104">
        <v>1.05</v>
      </c>
      <c r="BM44" s="107">
        <f t="shared" si="30"/>
        <v>1.0510550504206344</v>
      </c>
      <c r="BN44" s="107">
        <f t="shared" si="31"/>
        <v>1.0722009304576894</v>
      </c>
      <c r="BO44" s="107" t="str">
        <f t="shared" si="32"/>
        <v>(2,1,1,2,1,1)</v>
      </c>
      <c r="BP44" s="108">
        <v>1.05</v>
      </c>
      <c r="BQ44" s="108">
        <v>1</v>
      </c>
      <c r="BR44" s="108">
        <v>1</v>
      </c>
      <c r="BS44" s="108">
        <v>1.01</v>
      </c>
      <c r="BT44" s="108">
        <v>1</v>
      </c>
      <c r="BU44" s="108">
        <v>1</v>
      </c>
      <c r="BW44" s="691"/>
      <c r="BX44" s="339" t="s">
        <v>106</v>
      </c>
      <c r="BY44" s="339" t="s">
        <v>106</v>
      </c>
      <c r="BZ44" s="339" t="s">
        <v>106</v>
      </c>
      <c r="CA44" s="339" t="s">
        <v>106</v>
      </c>
      <c r="CB44" s="339" t="s">
        <v>106</v>
      </c>
      <c r="CC44" s="339" t="s">
        <v>106</v>
      </c>
      <c r="CD44" s="104">
        <v>3</v>
      </c>
      <c r="CE44" s="104">
        <v>1.05</v>
      </c>
      <c r="CF44" s="107">
        <f t="shared" si="33"/>
        <v>1</v>
      </c>
      <c r="CG44" s="107">
        <f t="shared" si="34"/>
        <v>1.05</v>
      </c>
      <c r="CH44" s="107" t="str">
        <f t="shared" si="35"/>
        <v>(na,na,na,na,na,na)</v>
      </c>
      <c r="CI44" s="108">
        <v>1</v>
      </c>
      <c r="CJ44" s="108">
        <v>1</v>
      </c>
      <c r="CK44" s="108">
        <v>1</v>
      </c>
      <c r="CL44" s="108">
        <v>1</v>
      </c>
      <c r="CM44" s="108">
        <v>1</v>
      </c>
      <c r="CN44" s="108">
        <v>1</v>
      </c>
    </row>
    <row r="45" spans="1:92" s="171" customFormat="1" ht="24">
      <c r="A45" s="333">
        <v>260534</v>
      </c>
      <c r="B45" s="216"/>
      <c r="C45" s="334"/>
      <c r="D45" s="342">
        <v>5</v>
      </c>
      <c r="E45" s="343" t="s">
        <v>98</v>
      </c>
      <c r="F45" s="437" t="s">
        <v>495</v>
      </c>
      <c r="G45" s="438" t="s">
        <v>93</v>
      </c>
      <c r="H45" s="439" t="s">
        <v>98</v>
      </c>
      <c r="I45" s="439" t="s">
        <v>98</v>
      </c>
      <c r="J45" s="335">
        <v>0</v>
      </c>
      <c r="K45" s="438" t="s">
        <v>96</v>
      </c>
      <c r="L45" s="440">
        <f>AJ45</f>
        <v>1.2335788541453801E-2</v>
      </c>
      <c r="M45" s="336">
        <v>1</v>
      </c>
      <c r="N45" s="337">
        <f t="shared" si="10"/>
        <v>1.0722009304576894</v>
      </c>
      <c r="O45" s="455" t="str">
        <f t="shared" si="11"/>
        <v>(2,1,1,2,1,1); Industry data (French tender): Cardboard box</v>
      </c>
      <c r="P45" s="440">
        <f>AN45</f>
        <v>1.2335788541453801E-2</v>
      </c>
      <c r="Q45" s="336">
        <v>1</v>
      </c>
      <c r="R45" s="337">
        <f t="shared" si="12"/>
        <v>1.0722009304576894</v>
      </c>
      <c r="S45" s="455" t="str">
        <f t="shared" si="13"/>
        <v>(2,1,1,2,1,1); Industry data (French tender): Cardboard box</v>
      </c>
      <c r="T45" s="440">
        <f>L45</f>
        <v>1.2335788541453801E-2</v>
      </c>
      <c r="U45" s="336">
        <v>1</v>
      </c>
      <c r="V45" s="337">
        <f t="shared" si="14"/>
        <v>1.0722009304576894</v>
      </c>
      <c r="W45" s="455" t="str">
        <f t="shared" si="15"/>
        <v>(2,1,1,2,1,1); Industry data (French tender): Cardboard box</v>
      </c>
      <c r="X45" s="440">
        <f>P45</f>
        <v>1.2335788541453801E-2</v>
      </c>
      <c r="Y45" s="336">
        <v>1</v>
      </c>
      <c r="Z45" s="337">
        <f t="shared" si="16"/>
        <v>1.0722009304576894</v>
      </c>
      <c r="AA45" s="437" t="str">
        <f t="shared" si="17"/>
        <v>(2,1,1,2,1,1); Industry data (French tender): Cardboard box</v>
      </c>
      <c r="AB45" s="440">
        <f>P45</f>
        <v>1.2335788541453801E-2</v>
      </c>
      <c r="AC45" s="336">
        <v>1</v>
      </c>
      <c r="AD45" s="337">
        <f t="shared" si="18"/>
        <v>1.0722009304576894</v>
      </c>
      <c r="AE45" s="455" t="str">
        <f t="shared" si="19"/>
        <v>(2,1,1,2,1,1); Industry data (French tender): Cardboard box</v>
      </c>
      <c r="AF45" s="440">
        <f>P45</f>
        <v>1.2335788541453801E-2</v>
      </c>
      <c r="AG45" s="336">
        <v>1</v>
      </c>
      <c r="AH45" s="337">
        <f t="shared" si="20"/>
        <v>1.0722009304576894</v>
      </c>
      <c r="AI45" s="455" t="str">
        <f t="shared" si="21"/>
        <v>(2,1,1,2,1,1); Industry data (French tender): Cardboard box</v>
      </c>
      <c r="AJ45" s="440">
        <f>BA45</f>
        <v>1.2335788541453801E-2</v>
      </c>
      <c r="AK45" s="336">
        <v>1</v>
      </c>
      <c r="AL45" s="337">
        <f t="shared" si="22"/>
        <v>1.0722009304576894</v>
      </c>
      <c r="AM45" s="455" t="str">
        <f t="shared" si="23"/>
        <v>(2,1,1,2,1,1); Industry data (French tender): Cardboard box</v>
      </c>
      <c r="AN45" s="440">
        <f>BB45</f>
        <v>1.2335788541453801E-2</v>
      </c>
      <c r="AO45" s="336">
        <v>1</v>
      </c>
      <c r="AP45" s="337">
        <f t="shared" si="24"/>
        <v>1.0722009304576894</v>
      </c>
      <c r="AQ45" s="437" t="str">
        <f t="shared" si="25"/>
        <v>(2,1,1,2,1,1); Industry data (French tender): Cardboard box</v>
      </c>
      <c r="AR45" s="440">
        <v>0</v>
      </c>
      <c r="AS45" s="336">
        <v>1</v>
      </c>
      <c r="AT45" s="337">
        <f t="shared" si="26"/>
        <v>1.05</v>
      </c>
      <c r="AU45" s="455" t="str">
        <f t="shared" si="27"/>
        <v xml:space="preserve">(na,na,na,na,na,na); </v>
      </c>
      <c r="AV45" s="440">
        <v>0</v>
      </c>
      <c r="AW45" s="336">
        <v>1</v>
      </c>
      <c r="AX45" s="337">
        <f t="shared" si="28"/>
        <v>1.05</v>
      </c>
      <c r="AY45" s="437" t="str">
        <f t="shared" si="29"/>
        <v xml:space="preserve">(na,na,na,na,na,na); </v>
      </c>
      <c r="AZ45" s="338"/>
      <c r="BA45" s="440">
        <v>1.2335788541453801E-2</v>
      </c>
      <c r="BB45" s="440">
        <v>1.2335788541453801E-2</v>
      </c>
      <c r="BC45" s="440"/>
      <c r="BD45" s="216" t="s">
        <v>848</v>
      </c>
      <c r="BE45" s="83">
        <v>2</v>
      </c>
      <c r="BF45" s="83">
        <v>1</v>
      </c>
      <c r="BG45" s="83">
        <v>1</v>
      </c>
      <c r="BH45" s="83">
        <v>2</v>
      </c>
      <c r="BI45" s="83">
        <v>1</v>
      </c>
      <c r="BJ45" s="83">
        <v>1</v>
      </c>
      <c r="BK45" s="104">
        <v>3</v>
      </c>
      <c r="BL45" s="104">
        <v>1.05</v>
      </c>
      <c r="BM45" s="107">
        <f t="shared" si="30"/>
        <v>1.0510550504206344</v>
      </c>
      <c r="BN45" s="107">
        <f t="shared" si="31"/>
        <v>1.0722009304576894</v>
      </c>
      <c r="BO45" s="107" t="str">
        <f t="shared" si="32"/>
        <v>(2,1,1,2,1,1)</v>
      </c>
      <c r="BP45" s="108">
        <v>1.05</v>
      </c>
      <c r="BQ45" s="108">
        <v>1</v>
      </c>
      <c r="BR45" s="108">
        <v>1</v>
      </c>
      <c r="BS45" s="108">
        <v>1.01</v>
      </c>
      <c r="BT45" s="108">
        <v>1</v>
      </c>
      <c r="BU45" s="108">
        <v>1</v>
      </c>
      <c r="BW45" s="691"/>
      <c r="BX45" s="339" t="s">
        <v>106</v>
      </c>
      <c r="BY45" s="339" t="s">
        <v>106</v>
      </c>
      <c r="BZ45" s="339" t="s">
        <v>106</v>
      </c>
      <c r="CA45" s="339" t="s">
        <v>106</v>
      </c>
      <c r="CB45" s="339" t="s">
        <v>106</v>
      </c>
      <c r="CC45" s="339" t="s">
        <v>106</v>
      </c>
      <c r="CD45" s="104">
        <v>3</v>
      </c>
      <c r="CE45" s="104">
        <v>1.05</v>
      </c>
      <c r="CF45" s="107">
        <f t="shared" si="33"/>
        <v>1</v>
      </c>
      <c r="CG45" s="107">
        <f t="shared" si="34"/>
        <v>1.05</v>
      </c>
      <c r="CH45" s="107" t="str">
        <f t="shared" si="35"/>
        <v>(na,na,na,na,na,na)</v>
      </c>
      <c r="CI45" s="108">
        <v>1</v>
      </c>
      <c r="CJ45" s="108">
        <v>1</v>
      </c>
      <c r="CK45" s="108">
        <v>1</v>
      </c>
      <c r="CL45" s="108">
        <v>1</v>
      </c>
      <c r="CM45" s="108">
        <v>1</v>
      </c>
      <c r="CN45" s="108">
        <v>1</v>
      </c>
    </row>
    <row r="46" spans="1:92" s="171" customFormat="1">
      <c r="A46" s="333">
        <v>267914</v>
      </c>
      <c r="B46" s="216" t="s">
        <v>500</v>
      </c>
      <c r="C46" s="334"/>
      <c r="D46" s="515">
        <v>5</v>
      </c>
      <c r="E46" s="343" t="s">
        <v>98</v>
      </c>
      <c r="F46" s="437" t="s">
        <v>380</v>
      </c>
      <c r="G46" s="438" t="s">
        <v>372</v>
      </c>
      <c r="H46" s="455" t="s">
        <v>98</v>
      </c>
      <c r="I46" s="455" t="s">
        <v>98</v>
      </c>
      <c r="J46" s="336">
        <v>0</v>
      </c>
      <c r="K46" s="438" t="s">
        <v>109</v>
      </c>
      <c r="L46" s="458">
        <f>BA46</f>
        <v>3.66498891765379E-2</v>
      </c>
      <c r="M46" s="336">
        <v>1</v>
      </c>
      <c r="N46" s="337">
        <f t="shared" si="10"/>
        <v>2.003575736142317</v>
      </c>
      <c r="O46" s="455" t="str">
        <f t="shared" si="11"/>
        <v>(2,1,1,2,1,1); Industry data (French tender): Diamond Wiring electricity</v>
      </c>
      <c r="P46" s="440">
        <f>BB46</f>
        <v>3.66498891765379E-2</v>
      </c>
      <c r="Q46" s="336">
        <v>1</v>
      </c>
      <c r="R46" s="337">
        <f t="shared" si="12"/>
        <v>2.003575736142317</v>
      </c>
      <c r="S46" s="455" t="str">
        <f t="shared" si="13"/>
        <v>(2,1,1,2,1,1); Industry data (French tender): Diamond Wiring electricity</v>
      </c>
      <c r="T46" s="458">
        <v>0</v>
      </c>
      <c r="U46" s="336">
        <v>1</v>
      </c>
      <c r="V46" s="337">
        <f t="shared" si="14"/>
        <v>2.003575736142317</v>
      </c>
      <c r="W46" s="455" t="str">
        <f t="shared" si="15"/>
        <v>(2,1,1,2,1,1); Industry data (French tender): Diamond Wiring electricity</v>
      </c>
      <c r="X46" s="440">
        <v>0</v>
      </c>
      <c r="Y46" s="336">
        <v>1</v>
      </c>
      <c r="Z46" s="337">
        <f t="shared" si="16"/>
        <v>2.003575736142317</v>
      </c>
      <c r="AA46" s="455" t="str">
        <f t="shared" si="17"/>
        <v>(2,1,1,2,1,1); Industry data (French tender): Diamond Wiring electricity</v>
      </c>
      <c r="AB46" s="440">
        <v>0</v>
      </c>
      <c r="AC46" s="336">
        <v>1</v>
      </c>
      <c r="AD46" s="337">
        <f t="shared" si="18"/>
        <v>2.003575736142317</v>
      </c>
      <c r="AE46" s="455" t="str">
        <f t="shared" si="19"/>
        <v>(2,1,1,2,1,1); Industry data (French tender): Diamond Wiring electricity</v>
      </c>
      <c r="AF46" s="440">
        <v>0</v>
      </c>
      <c r="AG46" s="336">
        <v>1</v>
      </c>
      <c r="AH46" s="337">
        <f t="shared" si="20"/>
        <v>2.003575736142317</v>
      </c>
      <c r="AI46" s="455" t="str">
        <f t="shared" si="21"/>
        <v>(2,1,1,2,1,1); Industry data (French tender): Diamond Wiring electricity</v>
      </c>
      <c r="AJ46" s="440">
        <v>0</v>
      </c>
      <c r="AK46" s="336">
        <v>1</v>
      </c>
      <c r="AL46" s="337">
        <f t="shared" si="22"/>
        <v>2.003575736142317</v>
      </c>
      <c r="AM46" s="455" t="str">
        <f t="shared" si="23"/>
        <v>(2,1,1,2,1,1); Industry data (French tender): Diamond Wiring electricity</v>
      </c>
      <c r="AN46" s="440">
        <v>0</v>
      </c>
      <c r="AO46" s="336">
        <v>1</v>
      </c>
      <c r="AP46" s="337">
        <f t="shared" si="24"/>
        <v>2.003575736142317</v>
      </c>
      <c r="AQ46" s="455" t="str">
        <f t="shared" si="25"/>
        <v>(2,1,1,2,1,1); Industry data (French tender): Diamond Wiring electricity</v>
      </c>
      <c r="AR46" s="440">
        <v>0</v>
      </c>
      <c r="AS46" s="336">
        <v>1</v>
      </c>
      <c r="AT46" s="337">
        <f t="shared" si="26"/>
        <v>2</v>
      </c>
      <c r="AU46" s="455" t="str">
        <f t="shared" si="27"/>
        <v xml:space="preserve">(na,na,na,na,na,na); </v>
      </c>
      <c r="AV46" s="440">
        <v>0</v>
      </c>
      <c r="AW46" s="336">
        <v>1</v>
      </c>
      <c r="AX46" s="337">
        <f t="shared" si="28"/>
        <v>2</v>
      </c>
      <c r="AY46" s="437" t="str">
        <f t="shared" si="29"/>
        <v xml:space="preserve">(na,na,na,na,na,na); </v>
      </c>
      <c r="AZ46" s="338"/>
      <c r="BA46" s="440">
        <v>3.66498891765379E-2</v>
      </c>
      <c r="BB46" s="440">
        <v>3.66498891765379E-2</v>
      </c>
      <c r="BC46" s="440"/>
      <c r="BD46" s="691" t="s">
        <v>849</v>
      </c>
      <c r="BE46" s="83">
        <v>2</v>
      </c>
      <c r="BF46" s="83">
        <v>1</v>
      </c>
      <c r="BG46" s="83">
        <v>1</v>
      </c>
      <c r="BH46" s="83">
        <v>2</v>
      </c>
      <c r="BI46" s="83">
        <v>1</v>
      </c>
      <c r="BJ46" s="83">
        <v>1</v>
      </c>
      <c r="BK46" s="104">
        <v>3</v>
      </c>
      <c r="BL46" s="104">
        <v>2</v>
      </c>
      <c r="BM46" s="107">
        <f t="shared" si="30"/>
        <v>1.0510550504206344</v>
      </c>
      <c r="BN46" s="107">
        <f t="shared" si="31"/>
        <v>2.003575736142317</v>
      </c>
      <c r="BO46" s="107" t="str">
        <f t="shared" si="32"/>
        <v>(2,1,1,2,1,1)</v>
      </c>
      <c r="BP46" s="108">
        <v>1.05</v>
      </c>
      <c r="BQ46" s="108">
        <v>1</v>
      </c>
      <c r="BR46" s="108">
        <v>1</v>
      </c>
      <c r="BS46" s="108">
        <v>1.01</v>
      </c>
      <c r="BT46" s="108">
        <v>1</v>
      </c>
      <c r="BU46" s="108">
        <v>1</v>
      </c>
      <c r="BW46" s="691"/>
      <c r="BX46" s="339" t="s">
        <v>106</v>
      </c>
      <c r="BY46" s="339" t="s">
        <v>106</v>
      </c>
      <c r="BZ46" s="339" t="s">
        <v>106</v>
      </c>
      <c r="CA46" s="339" t="s">
        <v>106</v>
      </c>
      <c r="CB46" s="339" t="s">
        <v>106</v>
      </c>
      <c r="CC46" s="339" t="s">
        <v>106</v>
      </c>
      <c r="CD46" s="104">
        <v>3</v>
      </c>
      <c r="CE46" s="104">
        <v>2</v>
      </c>
      <c r="CF46" s="107">
        <f t="shared" si="33"/>
        <v>1</v>
      </c>
      <c r="CG46" s="107">
        <f t="shared" si="34"/>
        <v>2</v>
      </c>
      <c r="CH46" s="107" t="str">
        <f t="shared" si="35"/>
        <v>(na,na,na,na,na,na)</v>
      </c>
      <c r="CI46" s="108">
        <v>1</v>
      </c>
      <c r="CJ46" s="108">
        <v>1</v>
      </c>
      <c r="CK46" s="108">
        <v>1</v>
      </c>
      <c r="CL46" s="108">
        <v>1</v>
      </c>
      <c r="CM46" s="108">
        <v>1</v>
      </c>
      <c r="CN46" s="108">
        <v>1</v>
      </c>
    </row>
    <row r="47" spans="1:92" s="171" customFormat="1" collapsed="1">
      <c r="A47" s="333">
        <v>267914</v>
      </c>
      <c r="B47" s="216"/>
      <c r="C47" s="334"/>
      <c r="D47" s="515">
        <v>5</v>
      </c>
      <c r="E47" s="343" t="s">
        <v>98</v>
      </c>
      <c r="F47" s="437" t="s">
        <v>380</v>
      </c>
      <c r="G47" s="438" t="s">
        <v>372</v>
      </c>
      <c r="H47" s="455" t="s">
        <v>98</v>
      </c>
      <c r="I47" s="455" t="s">
        <v>98</v>
      </c>
      <c r="J47" s="336">
        <v>0</v>
      </c>
      <c r="K47" s="438" t="s">
        <v>109</v>
      </c>
      <c r="L47" s="440">
        <f>BA47</f>
        <v>2.2150786838340499</v>
      </c>
      <c r="M47" s="336">
        <v>1</v>
      </c>
      <c r="N47" s="337">
        <f t="shared" si="10"/>
        <v>2.003575736142317</v>
      </c>
      <c r="O47" s="455" t="str">
        <f t="shared" si="11"/>
        <v>(2,1,1,2,1,1); Industry data (French tender): Other Electricity</v>
      </c>
      <c r="P47" s="440">
        <f>BB47</f>
        <v>2.2150786838340499</v>
      </c>
      <c r="Q47" s="336">
        <v>1</v>
      </c>
      <c r="R47" s="337">
        <f t="shared" si="12"/>
        <v>2.003575736142317</v>
      </c>
      <c r="S47" s="455" t="str">
        <f t="shared" si="13"/>
        <v>(2,1,1,2,1,1); Industry data (French tender): Other Electricity</v>
      </c>
      <c r="T47" s="440">
        <v>0</v>
      </c>
      <c r="U47" s="336">
        <v>1</v>
      </c>
      <c r="V47" s="337">
        <f t="shared" si="14"/>
        <v>2.003575736142317</v>
      </c>
      <c r="W47" s="455" t="str">
        <f t="shared" si="15"/>
        <v>(2,1,1,2,1,1); Industry data (French tender): Other Electricity</v>
      </c>
      <c r="X47" s="440">
        <v>0</v>
      </c>
      <c r="Y47" s="336">
        <v>1</v>
      </c>
      <c r="Z47" s="337">
        <f t="shared" si="16"/>
        <v>2.003575736142317</v>
      </c>
      <c r="AA47" s="455" t="str">
        <f t="shared" si="17"/>
        <v>(2,1,1,2,1,1); Industry data (French tender): Other Electricity</v>
      </c>
      <c r="AB47" s="440">
        <v>0</v>
      </c>
      <c r="AC47" s="336">
        <v>1</v>
      </c>
      <c r="AD47" s="337">
        <f t="shared" si="18"/>
        <v>2.003575736142317</v>
      </c>
      <c r="AE47" s="455" t="str">
        <f t="shared" si="19"/>
        <v>(2,1,1,2,1,1); Industry data (French tender): Other Electricity</v>
      </c>
      <c r="AF47" s="440">
        <v>0</v>
      </c>
      <c r="AG47" s="336">
        <v>1</v>
      </c>
      <c r="AH47" s="337">
        <f t="shared" si="20"/>
        <v>2.003575736142317</v>
      </c>
      <c r="AI47" s="455" t="str">
        <f t="shared" si="21"/>
        <v>(2,1,1,2,1,1); Industry data (French tender): Other Electricity</v>
      </c>
      <c r="AJ47" s="440">
        <v>0</v>
      </c>
      <c r="AK47" s="336">
        <v>1</v>
      </c>
      <c r="AL47" s="337">
        <f t="shared" si="22"/>
        <v>2.003575736142317</v>
      </c>
      <c r="AM47" s="455" t="str">
        <f t="shared" si="23"/>
        <v>(2,1,1,2,1,1); Industry data (French tender): Other Electricity</v>
      </c>
      <c r="AN47" s="440">
        <v>0</v>
      </c>
      <c r="AO47" s="336">
        <v>1</v>
      </c>
      <c r="AP47" s="337">
        <f t="shared" si="24"/>
        <v>2.003575736142317</v>
      </c>
      <c r="AQ47" s="455" t="str">
        <f t="shared" si="25"/>
        <v>(2,1,1,2,1,1); Industry data (French tender): Other Electricity</v>
      </c>
      <c r="AR47" s="440">
        <v>0</v>
      </c>
      <c r="AS47" s="336">
        <v>1</v>
      </c>
      <c r="AT47" s="337">
        <f t="shared" si="26"/>
        <v>2.0646254680556719</v>
      </c>
      <c r="AU47" s="455" t="str">
        <f t="shared" si="27"/>
        <v>(2,4,1,3,1,5); Brailovsky (2026)  GM 04</v>
      </c>
      <c r="AV47" s="440">
        <f>AR58</f>
        <v>16.206018260869602</v>
      </c>
      <c r="AW47" s="336">
        <v>1</v>
      </c>
      <c r="AX47" s="337">
        <f t="shared" si="28"/>
        <v>2.0646254680556719</v>
      </c>
      <c r="AY47" s="437" t="str">
        <f t="shared" si="29"/>
        <v>(2,4,1,3,1,5); Brailovsky (2026)  GM 04</v>
      </c>
      <c r="AZ47" s="338"/>
      <c r="BA47" s="440">
        <v>2.2150786838340499</v>
      </c>
      <c r="BB47" s="440">
        <v>2.2150786838340499</v>
      </c>
      <c r="BC47" s="440"/>
      <c r="BD47" s="691" t="s">
        <v>850</v>
      </c>
      <c r="BE47" s="83">
        <v>2</v>
      </c>
      <c r="BF47" s="83">
        <v>1</v>
      </c>
      <c r="BG47" s="83">
        <v>1</v>
      </c>
      <c r="BH47" s="83">
        <v>2</v>
      </c>
      <c r="BI47" s="83">
        <v>1</v>
      </c>
      <c r="BJ47" s="83">
        <v>1</v>
      </c>
      <c r="BK47" s="104">
        <v>3</v>
      </c>
      <c r="BL47" s="104">
        <v>2</v>
      </c>
      <c r="BM47" s="107">
        <f t="shared" si="30"/>
        <v>1.0510550504206344</v>
      </c>
      <c r="BN47" s="107">
        <f t="shared" si="31"/>
        <v>2.003575736142317</v>
      </c>
      <c r="BO47" s="107" t="str">
        <f t="shared" si="32"/>
        <v>(2,1,1,2,1,1)</v>
      </c>
      <c r="BP47" s="108">
        <v>1.05</v>
      </c>
      <c r="BQ47" s="108">
        <v>1</v>
      </c>
      <c r="BR47" s="108">
        <v>1</v>
      </c>
      <c r="BS47" s="108">
        <v>1.01</v>
      </c>
      <c r="BT47" s="108">
        <v>1</v>
      </c>
      <c r="BU47" s="108">
        <v>1</v>
      </c>
      <c r="BW47" s="691" t="s">
        <v>851</v>
      </c>
      <c r="BX47" s="83">
        <v>2</v>
      </c>
      <c r="BY47" s="83">
        <v>4</v>
      </c>
      <c r="BZ47" s="83">
        <v>1</v>
      </c>
      <c r="CA47" s="83">
        <v>3</v>
      </c>
      <c r="CB47" s="83">
        <v>1</v>
      </c>
      <c r="CC47" s="83">
        <v>5</v>
      </c>
      <c r="CD47" s="104">
        <v>3</v>
      </c>
      <c r="CE47" s="104">
        <v>2</v>
      </c>
      <c r="CF47" s="107">
        <f t="shared" si="33"/>
        <v>1.2365959919080913</v>
      </c>
      <c r="CG47" s="107">
        <f t="shared" si="34"/>
        <v>2.0646254680556719</v>
      </c>
      <c r="CH47" s="107" t="str">
        <f t="shared" si="35"/>
        <v>(2,4,1,3,1,5)</v>
      </c>
      <c r="CI47" s="108">
        <v>1.05</v>
      </c>
      <c r="CJ47" s="108">
        <v>1.1000000000000001</v>
      </c>
      <c r="CK47" s="108">
        <v>1</v>
      </c>
      <c r="CL47" s="108">
        <v>1.02</v>
      </c>
      <c r="CM47" s="108">
        <v>1</v>
      </c>
      <c r="CN47" s="108">
        <v>1.2</v>
      </c>
    </row>
    <row r="48" spans="1:92" s="171" customFormat="1">
      <c r="A48" s="333">
        <v>19772</v>
      </c>
      <c r="B48" s="216"/>
      <c r="C48" s="334"/>
      <c r="D48" s="515">
        <v>5</v>
      </c>
      <c r="E48" s="343" t="s">
        <v>98</v>
      </c>
      <c r="F48" s="437" t="s">
        <v>225</v>
      </c>
      <c r="G48" s="438" t="s">
        <v>215</v>
      </c>
      <c r="H48" s="455" t="s">
        <v>98</v>
      </c>
      <c r="I48" s="455" t="s">
        <v>98</v>
      </c>
      <c r="J48" s="336">
        <v>0</v>
      </c>
      <c r="K48" s="438" t="s">
        <v>109</v>
      </c>
      <c r="L48" s="440">
        <v>0</v>
      </c>
      <c r="M48" s="336">
        <v>1</v>
      </c>
      <c r="N48" s="337">
        <f t="shared" si="10"/>
        <v>2.003575736142317</v>
      </c>
      <c r="O48" s="455" t="str">
        <f t="shared" si="11"/>
        <v>(2,1,1,2,1,1); Industry data (French tender): Diamond Wiring electricity</v>
      </c>
      <c r="P48" s="440">
        <v>0</v>
      </c>
      <c r="Q48" s="336">
        <v>1</v>
      </c>
      <c r="R48" s="337">
        <f t="shared" si="12"/>
        <v>2.003575736142317</v>
      </c>
      <c r="S48" s="455" t="str">
        <f t="shared" si="13"/>
        <v>(2,1,1,2,1,1); Industry data (French tender): Diamond Wiring electricity</v>
      </c>
      <c r="T48" s="440">
        <f>BA48</f>
        <v>3.66498891765379E-2</v>
      </c>
      <c r="U48" s="336">
        <v>1</v>
      </c>
      <c r="V48" s="337">
        <f t="shared" si="14"/>
        <v>2.003575736142317</v>
      </c>
      <c r="W48" s="455" t="str">
        <f t="shared" si="15"/>
        <v>(2,1,1,2,1,1); Industry data (French tender): Diamond Wiring electricity</v>
      </c>
      <c r="X48" s="440">
        <f>BB48</f>
        <v>3.66498891765379E-2</v>
      </c>
      <c r="Y48" s="336">
        <v>1</v>
      </c>
      <c r="Z48" s="337">
        <f t="shared" si="16"/>
        <v>2.003575736142317</v>
      </c>
      <c r="AA48" s="455" t="str">
        <f t="shared" si="17"/>
        <v>(2,1,1,2,1,1); Industry data (French tender): Diamond Wiring electricity</v>
      </c>
      <c r="AB48" s="440">
        <v>0</v>
      </c>
      <c r="AC48" s="336">
        <v>1</v>
      </c>
      <c r="AD48" s="337">
        <f t="shared" si="18"/>
        <v>2.003575736142317</v>
      </c>
      <c r="AE48" s="455" t="str">
        <f t="shared" si="19"/>
        <v>(2,1,1,2,1,1); Industry data (French tender): Diamond Wiring electricity</v>
      </c>
      <c r="AF48" s="440">
        <v>0</v>
      </c>
      <c r="AG48" s="336">
        <v>1</v>
      </c>
      <c r="AH48" s="337">
        <f t="shared" si="20"/>
        <v>2.003575736142317</v>
      </c>
      <c r="AI48" s="455" t="str">
        <f t="shared" si="21"/>
        <v>(2,1,1,2,1,1); Industry data (French tender): Diamond Wiring electricity</v>
      </c>
      <c r="AJ48" s="440">
        <v>0</v>
      </c>
      <c r="AK48" s="336">
        <v>1</v>
      </c>
      <c r="AL48" s="337">
        <f t="shared" si="22"/>
        <v>2.003575736142317</v>
      </c>
      <c r="AM48" s="455" t="str">
        <f t="shared" si="23"/>
        <v>(2,1,1,2,1,1); Industry data (French tender): Diamond Wiring electricity</v>
      </c>
      <c r="AN48" s="440">
        <v>0</v>
      </c>
      <c r="AO48" s="336">
        <v>1</v>
      </c>
      <c r="AP48" s="337">
        <f t="shared" si="24"/>
        <v>2.003575736142317</v>
      </c>
      <c r="AQ48" s="455" t="str">
        <f t="shared" si="25"/>
        <v>(2,1,1,2,1,1); Industry data (French tender): Diamond Wiring electricity</v>
      </c>
      <c r="AR48" s="440">
        <v>0</v>
      </c>
      <c r="AS48" s="336">
        <v>1</v>
      </c>
      <c r="AT48" s="337">
        <f t="shared" si="26"/>
        <v>2</v>
      </c>
      <c r="AU48" s="455" t="str">
        <f t="shared" si="27"/>
        <v xml:space="preserve">(na,na,na,na,na,na); </v>
      </c>
      <c r="AV48" s="440">
        <v>0</v>
      </c>
      <c r="AW48" s="336">
        <v>1</v>
      </c>
      <c r="AX48" s="337">
        <f t="shared" si="28"/>
        <v>2</v>
      </c>
      <c r="AY48" s="437" t="str">
        <f t="shared" si="29"/>
        <v xml:space="preserve">(na,na,na,na,na,na); </v>
      </c>
      <c r="AZ48" s="338"/>
      <c r="BA48" s="440">
        <v>3.66498891765379E-2</v>
      </c>
      <c r="BB48" s="440">
        <v>3.66498891765379E-2</v>
      </c>
      <c r="BC48" s="440"/>
      <c r="BD48" s="691" t="s">
        <v>849</v>
      </c>
      <c r="BE48" s="83">
        <v>2</v>
      </c>
      <c r="BF48" s="83">
        <v>1</v>
      </c>
      <c r="BG48" s="83">
        <v>1</v>
      </c>
      <c r="BH48" s="83">
        <v>2</v>
      </c>
      <c r="BI48" s="83">
        <v>1</v>
      </c>
      <c r="BJ48" s="83">
        <v>1</v>
      </c>
      <c r="BK48" s="104">
        <v>3</v>
      </c>
      <c r="BL48" s="104">
        <v>2</v>
      </c>
      <c r="BM48" s="107">
        <f t="shared" si="30"/>
        <v>1.0510550504206344</v>
      </c>
      <c r="BN48" s="107">
        <f t="shared" si="31"/>
        <v>2.003575736142317</v>
      </c>
      <c r="BO48" s="107" t="str">
        <f t="shared" si="32"/>
        <v>(2,1,1,2,1,1)</v>
      </c>
      <c r="BP48" s="108">
        <v>1.05</v>
      </c>
      <c r="BQ48" s="108">
        <v>1</v>
      </c>
      <c r="BR48" s="108">
        <v>1</v>
      </c>
      <c r="BS48" s="108">
        <v>1.01</v>
      </c>
      <c r="BT48" s="108">
        <v>1</v>
      </c>
      <c r="BU48" s="108">
        <v>1</v>
      </c>
      <c r="BW48" s="691"/>
      <c r="BX48" s="339" t="s">
        <v>106</v>
      </c>
      <c r="BY48" s="339" t="s">
        <v>106</v>
      </c>
      <c r="BZ48" s="339" t="s">
        <v>106</v>
      </c>
      <c r="CA48" s="339" t="s">
        <v>106</v>
      </c>
      <c r="CB48" s="339" t="s">
        <v>106</v>
      </c>
      <c r="CC48" s="339" t="s">
        <v>106</v>
      </c>
      <c r="CD48" s="104">
        <v>3</v>
      </c>
      <c r="CE48" s="104">
        <v>2</v>
      </c>
      <c r="CF48" s="107">
        <f t="shared" si="33"/>
        <v>1</v>
      </c>
      <c r="CG48" s="107">
        <f t="shared" si="34"/>
        <v>2</v>
      </c>
      <c r="CH48" s="107" t="str">
        <f t="shared" si="35"/>
        <v>(na,na,na,na,na,na)</v>
      </c>
      <c r="CI48" s="108">
        <v>1</v>
      </c>
      <c r="CJ48" s="108">
        <v>1</v>
      </c>
      <c r="CK48" s="108">
        <v>1</v>
      </c>
      <c r="CL48" s="108">
        <v>1</v>
      </c>
      <c r="CM48" s="108">
        <v>1</v>
      </c>
      <c r="CN48" s="108">
        <v>1</v>
      </c>
    </row>
    <row r="49" spans="1:92" s="171" customFormat="1">
      <c r="A49" s="333">
        <v>19772</v>
      </c>
      <c r="B49" s="216"/>
      <c r="C49" s="334"/>
      <c r="D49" s="515">
        <v>5</v>
      </c>
      <c r="E49" s="343" t="s">
        <v>98</v>
      </c>
      <c r="F49" s="437" t="s">
        <v>225</v>
      </c>
      <c r="G49" s="438" t="s">
        <v>215</v>
      </c>
      <c r="H49" s="455" t="s">
        <v>98</v>
      </c>
      <c r="I49" s="455" t="s">
        <v>98</v>
      </c>
      <c r="J49" s="336">
        <v>0</v>
      </c>
      <c r="K49" s="438" t="s">
        <v>109</v>
      </c>
      <c r="L49" s="440">
        <v>0</v>
      </c>
      <c r="M49" s="336">
        <v>1</v>
      </c>
      <c r="N49" s="337">
        <f t="shared" ref="N49:N85" si="42">$BN49</f>
        <v>2.003575736142317</v>
      </c>
      <c r="O49" s="455" t="str">
        <f t="shared" ref="O49:O85" si="43">$BO49&amp;"; "&amp;$BD49</f>
        <v>(2,1,1,2,1,1); Industry data (French tender): Other Electricity</v>
      </c>
      <c r="P49" s="440">
        <v>0</v>
      </c>
      <c r="Q49" s="336">
        <v>1</v>
      </c>
      <c r="R49" s="337">
        <f t="shared" ref="R49:R85" si="44">$BN49</f>
        <v>2.003575736142317</v>
      </c>
      <c r="S49" s="455" t="str">
        <f t="shared" ref="S49:S85" si="45">$BO49&amp;"; "&amp;$BD49</f>
        <v>(2,1,1,2,1,1); Industry data (French tender): Other Electricity</v>
      </c>
      <c r="T49" s="440">
        <f>L47</f>
        <v>2.2150786838340499</v>
      </c>
      <c r="U49" s="336">
        <v>1</v>
      </c>
      <c r="V49" s="337">
        <f t="shared" ref="V49:V85" si="46">$BN49</f>
        <v>2.003575736142317</v>
      </c>
      <c r="W49" s="455" t="str">
        <f t="shared" ref="W49:W85" si="47">$BO49&amp;"; "&amp;$BD49</f>
        <v>(2,1,1,2,1,1); Industry data (French tender): Other Electricity</v>
      </c>
      <c r="X49" s="440">
        <f>P47</f>
        <v>2.2150786838340499</v>
      </c>
      <c r="Y49" s="336">
        <v>1</v>
      </c>
      <c r="Z49" s="337">
        <f t="shared" ref="Z49:Z85" si="48">$BN49</f>
        <v>2.003575736142317</v>
      </c>
      <c r="AA49" s="455" t="str">
        <f t="shared" ref="AA49:AA85" si="49">$BO49&amp;"; "&amp;$BD49</f>
        <v>(2,1,1,2,1,1); Industry data (French tender): Other Electricity</v>
      </c>
      <c r="AB49" s="440">
        <v>0</v>
      </c>
      <c r="AC49" s="336">
        <v>1</v>
      </c>
      <c r="AD49" s="337">
        <f t="shared" ref="AD49:AD85" si="50">$BN49</f>
        <v>2.003575736142317</v>
      </c>
      <c r="AE49" s="455" t="str">
        <f t="shared" ref="AE49:AE85" si="51">$BO49&amp;"; "&amp;$BD49</f>
        <v>(2,1,1,2,1,1); Industry data (French tender): Other Electricity</v>
      </c>
      <c r="AF49" s="440">
        <v>0</v>
      </c>
      <c r="AG49" s="336">
        <v>1</v>
      </c>
      <c r="AH49" s="337">
        <f t="shared" ref="AH49:AH85" si="52">$BN49</f>
        <v>2.003575736142317</v>
      </c>
      <c r="AI49" s="455" t="str">
        <f t="shared" ref="AI49:AI85" si="53">$BO49&amp;"; "&amp;$BD49</f>
        <v>(2,1,1,2,1,1); Industry data (French tender): Other Electricity</v>
      </c>
      <c r="AJ49" s="440">
        <v>0</v>
      </c>
      <c r="AK49" s="336">
        <v>1</v>
      </c>
      <c r="AL49" s="337">
        <f t="shared" ref="AL49:AL85" si="54">$BN49</f>
        <v>2.003575736142317</v>
      </c>
      <c r="AM49" s="455" t="str">
        <f t="shared" ref="AM49:AM85" si="55">$BO49&amp;"; "&amp;$BD49</f>
        <v>(2,1,1,2,1,1); Industry data (French tender): Other Electricity</v>
      </c>
      <c r="AN49" s="440">
        <v>0</v>
      </c>
      <c r="AO49" s="336">
        <v>1</v>
      </c>
      <c r="AP49" s="337">
        <f t="shared" ref="AP49:AP85" si="56">$BN49</f>
        <v>2.003575736142317</v>
      </c>
      <c r="AQ49" s="455" t="str">
        <f t="shared" ref="AQ49:AQ85" si="57">$BO49&amp;"; "&amp;$BD49</f>
        <v>(2,1,1,2,1,1); Industry data (French tender): Other Electricity</v>
      </c>
      <c r="AR49" s="440">
        <v>0</v>
      </c>
      <c r="AS49" s="336">
        <v>1</v>
      </c>
      <c r="AT49" s="337">
        <f t="shared" ref="AT49:AT85" si="58">$CG49</f>
        <v>2</v>
      </c>
      <c r="AU49" s="455" t="str">
        <f t="shared" ref="AU49:AU85" si="59">$CH49&amp;"; "&amp;$BW49</f>
        <v xml:space="preserve">(na,na,na,na,na,na); </v>
      </c>
      <c r="AV49" s="440">
        <v>0</v>
      </c>
      <c r="AW49" s="336">
        <v>1</v>
      </c>
      <c r="AX49" s="337">
        <f t="shared" ref="AX49:AX85" si="60">$CG49</f>
        <v>2</v>
      </c>
      <c r="AY49" s="437" t="str">
        <f t="shared" ref="AY49:AY85" si="61">$CH49&amp;"; "&amp;$BW49</f>
        <v xml:space="preserve">(na,na,na,na,na,na); </v>
      </c>
      <c r="AZ49" s="338"/>
      <c r="BA49" s="440">
        <v>2.2150786838340499</v>
      </c>
      <c r="BB49" s="440">
        <v>2.2150786838340499</v>
      </c>
      <c r="BC49" s="440"/>
      <c r="BD49" s="691" t="s">
        <v>850</v>
      </c>
      <c r="BE49" s="83">
        <v>2</v>
      </c>
      <c r="BF49" s="83">
        <v>1</v>
      </c>
      <c r="BG49" s="83">
        <v>1</v>
      </c>
      <c r="BH49" s="83">
        <v>2</v>
      </c>
      <c r="BI49" s="83">
        <v>1</v>
      </c>
      <c r="BJ49" s="83">
        <v>1</v>
      </c>
      <c r="BK49" s="104">
        <v>3</v>
      </c>
      <c r="BL49" s="104">
        <v>2</v>
      </c>
      <c r="BM49" s="107">
        <f t="shared" ref="BM49:BM85" si="62">EXP(SQRT((LN(BP49)^2)+(LN(BQ49)^2)+(LN(BR49)^2)+(LN(BS49)^2)+(LN(BT49)^2)+(LN(BU49)^2)))</f>
        <v>1.0510550504206344</v>
      </c>
      <c r="BN49" s="107">
        <f t="shared" ref="BN49:BN85" si="63">EXP(SQRT((LN(BP49)^2)+(LN(BQ49)^2)+(LN(BR49)^2)+(LN(BS49)^2)+(LN(BT49)^2)+(LN(BU49)^2)+LN(BL49)^2))</f>
        <v>2.003575736142317</v>
      </c>
      <c r="BO49" s="107" t="str">
        <f t="shared" ref="BO49:BO85" si="64">CONCATENATE("(",BE49,",",BF49,",",BG49,",",BH49,",",BI49,",",BJ49,")")</f>
        <v>(2,1,1,2,1,1)</v>
      </c>
      <c r="BP49" s="108">
        <v>1.05</v>
      </c>
      <c r="BQ49" s="108">
        <v>1</v>
      </c>
      <c r="BR49" s="108">
        <v>1</v>
      </c>
      <c r="BS49" s="108">
        <v>1.01</v>
      </c>
      <c r="BT49" s="108">
        <v>1</v>
      </c>
      <c r="BU49" s="108">
        <v>1</v>
      </c>
      <c r="BW49" s="691"/>
      <c r="BX49" s="339" t="s">
        <v>106</v>
      </c>
      <c r="BY49" s="339" t="s">
        <v>106</v>
      </c>
      <c r="BZ49" s="339" t="s">
        <v>106</v>
      </c>
      <c r="CA49" s="339" t="s">
        <v>106</v>
      </c>
      <c r="CB49" s="339" t="s">
        <v>106</v>
      </c>
      <c r="CC49" s="339" t="s">
        <v>106</v>
      </c>
      <c r="CD49" s="104">
        <v>3</v>
      </c>
      <c r="CE49" s="104">
        <v>2</v>
      </c>
      <c r="CF49" s="107">
        <f t="shared" ref="CF49:CF85" si="65">EXP(SQRT((LN(CI49)^2)+(LN(CJ49)^2)+(LN(CK49)^2)+(LN(CL49)^2)+(LN(CM49)^2)+(LN(CN49)^2)))</f>
        <v>1</v>
      </c>
      <c r="CG49" s="107">
        <f t="shared" ref="CG49:CG85" si="66">EXP(SQRT((LN(CI49)^2)+(LN(CJ49)^2)+(LN(CK49)^2)+(LN(CL49)^2)+(LN(CM49)^2)+(LN(CN49)^2)+LN(CE49)^2))</f>
        <v>2</v>
      </c>
      <c r="CH49" s="107" t="str">
        <f t="shared" ref="CH49:CH85" si="67">CONCATENATE("(",BX49,",",BY49,",",BZ49,",",CA49,",",CB49,",",CC49,")")</f>
        <v>(na,na,na,na,na,na)</v>
      </c>
      <c r="CI49" s="108">
        <v>1</v>
      </c>
      <c r="CJ49" s="108">
        <v>1</v>
      </c>
      <c r="CK49" s="108">
        <v>1</v>
      </c>
      <c r="CL49" s="108">
        <v>1</v>
      </c>
      <c r="CM49" s="108">
        <v>1</v>
      </c>
      <c r="CN49" s="108">
        <v>1</v>
      </c>
    </row>
    <row r="50" spans="1:92" s="171" customFormat="1">
      <c r="A50" s="333">
        <v>259809</v>
      </c>
      <c r="B50" s="216"/>
      <c r="C50" s="334"/>
      <c r="D50" s="515">
        <v>5</v>
      </c>
      <c r="E50" s="343" t="s">
        <v>98</v>
      </c>
      <c r="F50" s="437" t="s">
        <v>381</v>
      </c>
      <c r="G50" s="438" t="s">
        <v>382</v>
      </c>
      <c r="H50" s="455" t="s">
        <v>98</v>
      </c>
      <c r="I50" s="455" t="s">
        <v>98</v>
      </c>
      <c r="J50" s="336">
        <v>0</v>
      </c>
      <c r="K50" s="438" t="s">
        <v>109</v>
      </c>
      <c r="L50" s="440">
        <v>0</v>
      </c>
      <c r="M50" s="336">
        <v>1</v>
      </c>
      <c r="N50" s="337">
        <f t="shared" si="42"/>
        <v>2.003575736142317</v>
      </c>
      <c r="O50" s="455" t="str">
        <f t="shared" si="43"/>
        <v>(2,1,1,2,1,1); Industry data (French tender): Diamond Wiring electricity</v>
      </c>
      <c r="P50" s="440">
        <v>0</v>
      </c>
      <c r="Q50" s="336">
        <v>1</v>
      </c>
      <c r="R50" s="337">
        <f t="shared" si="44"/>
        <v>2.003575736142317</v>
      </c>
      <c r="S50" s="455" t="str">
        <f t="shared" si="45"/>
        <v>(2,1,1,2,1,1); Industry data (French tender): Diamond Wiring electricity</v>
      </c>
      <c r="T50" s="440">
        <v>0</v>
      </c>
      <c r="U50" s="336">
        <v>1</v>
      </c>
      <c r="V50" s="337">
        <f t="shared" si="46"/>
        <v>2.003575736142317</v>
      </c>
      <c r="W50" s="455" t="str">
        <f t="shared" si="47"/>
        <v>(2,1,1,2,1,1); Industry data (French tender): Diamond Wiring electricity</v>
      </c>
      <c r="X50" s="440">
        <v>0</v>
      </c>
      <c r="Y50" s="336">
        <v>1</v>
      </c>
      <c r="Z50" s="337">
        <f t="shared" si="48"/>
        <v>2.003575736142317</v>
      </c>
      <c r="AA50" s="455" t="str">
        <f t="shared" si="49"/>
        <v>(2,1,1,2,1,1); Industry data (French tender): Diamond Wiring electricity</v>
      </c>
      <c r="AB50" s="440">
        <f>BA50*$J$105</f>
        <v>5.7265451838340465E-3</v>
      </c>
      <c r="AC50" s="336">
        <v>1</v>
      </c>
      <c r="AD50" s="337">
        <f t="shared" si="50"/>
        <v>2.003575736142317</v>
      </c>
      <c r="AE50" s="455" t="str">
        <f t="shared" si="51"/>
        <v>(2,1,1,2,1,1); Industry data (French tender): Diamond Wiring electricity</v>
      </c>
      <c r="AF50" s="440">
        <f>BB50*$J$105</f>
        <v>5.7265451838340465E-3</v>
      </c>
      <c r="AG50" s="336">
        <v>1</v>
      </c>
      <c r="AH50" s="337">
        <f t="shared" si="52"/>
        <v>2.003575736142317</v>
      </c>
      <c r="AI50" s="455" t="str">
        <f t="shared" si="53"/>
        <v>(2,1,1,2,1,1); Industry data (French tender): Diamond Wiring electricity</v>
      </c>
      <c r="AJ50" s="440">
        <v>0</v>
      </c>
      <c r="AK50" s="336">
        <v>1</v>
      </c>
      <c r="AL50" s="337">
        <f t="shared" si="54"/>
        <v>2.003575736142317</v>
      </c>
      <c r="AM50" s="455" t="str">
        <f t="shared" si="55"/>
        <v>(2,1,1,2,1,1); Industry data (French tender): Diamond Wiring electricity</v>
      </c>
      <c r="AN50" s="440">
        <v>0</v>
      </c>
      <c r="AO50" s="336">
        <v>1</v>
      </c>
      <c r="AP50" s="337">
        <f t="shared" si="56"/>
        <v>2.003575736142317</v>
      </c>
      <c r="AQ50" s="455" t="str">
        <f t="shared" si="57"/>
        <v>(2,1,1,2,1,1); Industry data (French tender): Diamond Wiring electricity</v>
      </c>
      <c r="AR50" s="440">
        <v>0</v>
      </c>
      <c r="AS50" s="336">
        <v>1</v>
      </c>
      <c r="AT50" s="337">
        <f t="shared" si="58"/>
        <v>2</v>
      </c>
      <c r="AU50" s="455" t="str">
        <f t="shared" si="59"/>
        <v xml:space="preserve">(na,na,na,na,na,na); </v>
      </c>
      <c r="AV50" s="440">
        <v>0</v>
      </c>
      <c r="AW50" s="336">
        <v>1</v>
      </c>
      <c r="AX50" s="337">
        <f t="shared" si="60"/>
        <v>2</v>
      </c>
      <c r="AY50" s="437" t="str">
        <f t="shared" si="61"/>
        <v xml:space="preserve">(na,na,na,na,na,na); </v>
      </c>
      <c r="AZ50" s="338"/>
      <c r="BA50" s="440">
        <v>3.66498891765379E-2</v>
      </c>
      <c r="BB50" s="440">
        <v>3.66498891765379E-2</v>
      </c>
      <c r="BC50" s="440"/>
      <c r="BD50" s="691" t="s">
        <v>849</v>
      </c>
      <c r="BE50" s="83">
        <v>2</v>
      </c>
      <c r="BF50" s="83">
        <v>1</v>
      </c>
      <c r="BG50" s="83">
        <v>1</v>
      </c>
      <c r="BH50" s="83">
        <v>2</v>
      </c>
      <c r="BI50" s="83">
        <v>1</v>
      </c>
      <c r="BJ50" s="83">
        <v>1</v>
      </c>
      <c r="BK50" s="104">
        <v>3</v>
      </c>
      <c r="BL50" s="104">
        <v>2</v>
      </c>
      <c r="BM50" s="107">
        <f t="shared" si="62"/>
        <v>1.0510550504206344</v>
      </c>
      <c r="BN50" s="107">
        <f t="shared" si="63"/>
        <v>2.003575736142317</v>
      </c>
      <c r="BO50" s="107" t="str">
        <f t="shared" si="64"/>
        <v>(2,1,1,2,1,1)</v>
      </c>
      <c r="BP50" s="108">
        <v>1.05</v>
      </c>
      <c r="BQ50" s="108">
        <v>1</v>
      </c>
      <c r="BR50" s="108">
        <v>1</v>
      </c>
      <c r="BS50" s="108">
        <v>1.01</v>
      </c>
      <c r="BT50" s="108">
        <v>1</v>
      </c>
      <c r="BU50" s="108">
        <v>1</v>
      </c>
      <c r="BW50" s="691"/>
      <c r="BX50" s="339" t="s">
        <v>106</v>
      </c>
      <c r="BY50" s="339" t="s">
        <v>106</v>
      </c>
      <c r="BZ50" s="339" t="s">
        <v>106</v>
      </c>
      <c r="CA50" s="339" t="s">
        <v>106</v>
      </c>
      <c r="CB50" s="339" t="s">
        <v>106</v>
      </c>
      <c r="CC50" s="339" t="s">
        <v>106</v>
      </c>
      <c r="CD50" s="104">
        <v>3</v>
      </c>
      <c r="CE50" s="104">
        <v>2</v>
      </c>
      <c r="CF50" s="107">
        <f t="shared" si="65"/>
        <v>1</v>
      </c>
      <c r="CG50" s="107">
        <f t="shared" si="66"/>
        <v>2</v>
      </c>
      <c r="CH50" s="107" t="str">
        <f t="shared" si="67"/>
        <v>(na,na,na,na,na,na)</v>
      </c>
      <c r="CI50" s="108">
        <v>1</v>
      </c>
      <c r="CJ50" s="108">
        <v>1</v>
      </c>
      <c r="CK50" s="108">
        <v>1</v>
      </c>
      <c r="CL50" s="108">
        <v>1</v>
      </c>
      <c r="CM50" s="108">
        <v>1</v>
      </c>
      <c r="CN50" s="108">
        <v>1</v>
      </c>
    </row>
    <row r="51" spans="1:92" s="171" customFormat="1">
      <c r="A51" s="333">
        <v>259809</v>
      </c>
      <c r="B51" s="216"/>
      <c r="C51" s="334"/>
      <c r="D51" s="515">
        <v>5</v>
      </c>
      <c r="E51" s="343" t="s">
        <v>98</v>
      </c>
      <c r="F51" s="437" t="s">
        <v>381</v>
      </c>
      <c r="G51" s="438" t="s">
        <v>382</v>
      </c>
      <c r="H51" s="455" t="s">
        <v>98</v>
      </c>
      <c r="I51" s="455" t="s">
        <v>98</v>
      </c>
      <c r="J51" s="336">
        <v>0</v>
      </c>
      <c r="K51" s="438" t="s">
        <v>109</v>
      </c>
      <c r="L51" s="440">
        <v>0</v>
      </c>
      <c r="M51" s="336">
        <v>1</v>
      </c>
      <c r="N51" s="337">
        <f t="shared" si="42"/>
        <v>2.003575736142317</v>
      </c>
      <c r="O51" s="455" t="str">
        <f t="shared" si="43"/>
        <v>(2,1,1,2,1,1); Industry data (French tender): Other Electricity</v>
      </c>
      <c r="P51" s="440">
        <v>0</v>
      </c>
      <c r="Q51" s="336">
        <v>1</v>
      </c>
      <c r="R51" s="337">
        <f t="shared" si="44"/>
        <v>2.003575736142317</v>
      </c>
      <c r="S51" s="455" t="str">
        <f t="shared" si="45"/>
        <v>(2,1,1,2,1,1); Industry data (French tender): Other Electricity</v>
      </c>
      <c r="T51" s="440">
        <v>0</v>
      </c>
      <c r="U51" s="336">
        <v>1</v>
      </c>
      <c r="V51" s="337">
        <f t="shared" si="46"/>
        <v>2.003575736142317</v>
      </c>
      <c r="W51" s="455" t="str">
        <f t="shared" si="47"/>
        <v>(2,1,1,2,1,1); Industry data (French tender): Other Electricity</v>
      </c>
      <c r="X51" s="440">
        <v>0</v>
      </c>
      <c r="Y51" s="336">
        <v>1</v>
      </c>
      <c r="Z51" s="337">
        <f t="shared" si="48"/>
        <v>2.003575736142317</v>
      </c>
      <c r="AA51" s="455" t="str">
        <f t="shared" si="49"/>
        <v>(2,1,1,2,1,1); Industry data (French tender): Other Electricity</v>
      </c>
      <c r="AB51" s="440">
        <f>BA51*$J$105</f>
        <v>0.34610604434907033</v>
      </c>
      <c r="AC51" s="336">
        <v>1</v>
      </c>
      <c r="AD51" s="337">
        <f t="shared" si="50"/>
        <v>2.003575736142317</v>
      </c>
      <c r="AE51" s="455" t="str">
        <f t="shared" si="51"/>
        <v>(2,1,1,2,1,1); Industry data (French tender): Other Electricity</v>
      </c>
      <c r="AF51" s="440">
        <f>BB51*$J$105</f>
        <v>0.34610604434907033</v>
      </c>
      <c r="AG51" s="336">
        <v>1</v>
      </c>
      <c r="AH51" s="337">
        <f t="shared" si="52"/>
        <v>2.003575736142317</v>
      </c>
      <c r="AI51" s="455" t="str">
        <f t="shared" si="53"/>
        <v>(2,1,1,2,1,1); Industry data (French tender): Other Electricity</v>
      </c>
      <c r="AJ51" s="440">
        <v>0</v>
      </c>
      <c r="AK51" s="336">
        <v>1</v>
      </c>
      <c r="AL51" s="337">
        <f t="shared" si="54"/>
        <v>2.003575736142317</v>
      </c>
      <c r="AM51" s="455" t="str">
        <f t="shared" si="55"/>
        <v>(2,1,1,2,1,1); Industry data (French tender): Other Electricity</v>
      </c>
      <c r="AN51" s="440">
        <v>0</v>
      </c>
      <c r="AO51" s="336">
        <v>1</v>
      </c>
      <c r="AP51" s="337">
        <f t="shared" si="56"/>
        <v>2.003575736142317</v>
      </c>
      <c r="AQ51" s="455" t="str">
        <f t="shared" si="57"/>
        <v>(2,1,1,2,1,1); Industry data (French tender): Other Electricity</v>
      </c>
      <c r="AR51" s="440">
        <v>0</v>
      </c>
      <c r="AS51" s="336">
        <v>1</v>
      </c>
      <c r="AT51" s="337">
        <f t="shared" si="58"/>
        <v>2</v>
      </c>
      <c r="AU51" s="455" t="str">
        <f t="shared" si="59"/>
        <v xml:space="preserve">(na,na,na,na,na,na); </v>
      </c>
      <c r="AV51" s="440">
        <v>0</v>
      </c>
      <c r="AW51" s="336">
        <v>1</v>
      </c>
      <c r="AX51" s="337">
        <f t="shared" si="60"/>
        <v>2</v>
      </c>
      <c r="AY51" s="437" t="str">
        <f t="shared" si="61"/>
        <v xml:space="preserve">(na,na,na,na,na,na); </v>
      </c>
      <c r="AZ51" s="338"/>
      <c r="BA51" s="440">
        <v>2.2150786838340499</v>
      </c>
      <c r="BB51" s="440">
        <v>2.2150786838340499</v>
      </c>
      <c r="BC51" s="440"/>
      <c r="BD51" s="691" t="s">
        <v>850</v>
      </c>
      <c r="BE51" s="83">
        <v>2</v>
      </c>
      <c r="BF51" s="83">
        <v>1</v>
      </c>
      <c r="BG51" s="83">
        <v>1</v>
      </c>
      <c r="BH51" s="83">
        <v>2</v>
      </c>
      <c r="BI51" s="83">
        <v>1</v>
      </c>
      <c r="BJ51" s="83">
        <v>1</v>
      </c>
      <c r="BK51" s="104">
        <v>3</v>
      </c>
      <c r="BL51" s="104">
        <v>2</v>
      </c>
      <c r="BM51" s="107">
        <f t="shared" si="62"/>
        <v>1.0510550504206344</v>
      </c>
      <c r="BN51" s="107">
        <f t="shared" si="63"/>
        <v>2.003575736142317</v>
      </c>
      <c r="BO51" s="107" t="str">
        <f t="shared" si="64"/>
        <v>(2,1,1,2,1,1)</v>
      </c>
      <c r="BP51" s="108">
        <v>1.05</v>
      </c>
      <c r="BQ51" s="108">
        <v>1</v>
      </c>
      <c r="BR51" s="108">
        <v>1</v>
      </c>
      <c r="BS51" s="108">
        <v>1.01</v>
      </c>
      <c r="BT51" s="108">
        <v>1</v>
      </c>
      <c r="BU51" s="108">
        <v>1</v>
      </c>
      <c r="BW51" s="691"/>
      <c r="BX51" s="339" t="s">
        <v>106</v>
      </c>
      <c r="BY51" s="339" t="s">
        <v>106</v>
      </c>
      <c r="BZ51" s="339" t="s">
        <v>106</v>
      </c>
      <c r="CA51" s="339" t="s">
        <v>106</v>
      </c>
      <c r="CB51" s="339" t="s">
        <v>106</v>
      </c>
      <c r="CC51" s="339" t="s">
        <v>106</v>
      </c>
      <c r="CD51" s="104">
        <v>3</v>
      </c>
      <c r="CE51" s="104">
        <v>2</v>
      </c>
      <c r="CF51" s="107">
        <f t="shared" si="65"/>
        <v>1</v>
      </c>
      <c r="CG51" s="107">
        <f t="shared" si="66"/>
        <v>2</v>
      </c>
      <c r="CH51" s="107" t="str">
        <f t="shared" si="67"/>
        <v>(na,na,na,na,na,na)</v>
      </c>
      <c r="CI51" s="108">
        <v>1</v>
      </c>
      <c r="CJ51" s="108">
        <v>1</v>
      </c>
      <c r="CK51" s="108">
        <v>1</v>
      </c>
      <c r="CL51" s="108">
        <v>1</v>
      </c>
      <c r="CM51" s="108">
        <v>1</v>
      </c>
      <c r="CN51" s="108">
        <v>1</v>
      </c>
    </row>
    <row r="52" spans="1:92" s="171" customFormat="1">
      <c r="A52" s="333">
        <v>266385</v>
      </c>
      <c r="B52" s="216"/>
      <c r="C52" s="334"/>
      <c r="D52" s="515">
        <v>5</v>
      </c>
      <c r="E52" s="343" t="s">
        <v>98</v>
      </c>
      <c r="F52" s="437" t="s">
        <v>642</v>
      </c>
      <c r="G52" s="438" t="s">
        <v>643</v>
      </c>
      <c r="H52" s="455" t="s">
        <v>98</v>
      </c>
      <c r="I52" s="455" t="s">
        <v>98</v>
      </c>
      <c r="J52" s="336">
        <v>0</v>
      </c>
      <c r="K52" s="438" t="s">
        <v>109</v>
      </c>
      <c r="L52" s="440">
        <v>0</v>
      </c>
      <c r="M52" s="336">
        <v>1</v>
      </c>
      <c r="N52" s="337">
        <f t="shared" si="42"/>
        <v>2.003575736142317</v>
      </c>
      <c r="O52" s="455" t="str">
        <f t="shared" si="43"/>
        <v>(2,1,1,2,1,1); Industry data (French tender): Diamond Wiring electricity</v>
      </c>
      <c r="P52" s="440">
        <v>0</v>
      </c>
      <c r="Q52" s="336">
        <v>1</v>
      </c>
      <c r="R52" s="337">
        <f t="shared" si="44"/>
        <v>2.003575736142317</v>
      </c>
      <c r="S52" s="455" t="str">
        <f t="shared" si="45"/>
        <v>(2,1,1,2,1,1); Industry data (French tender): Diamond Wiring electricity</v>
      </c>
      <c r="T52" s="440">
        <v>0</v>
      </c>
      <c r="U52" s="336">
        <v>1</v>
      </c>
      <c r="V52" s="337">
        <f t="shared" si="46"/>
        <v>2.003575736142317</v>
      </c>
      <c r="W52" s="455" t="str">
        <f t="shared" si="47"/>
        <v>(2,1,1,2,1,1); Industry data (French tender): Diamond Wiring electricity</v>
      </c>
      <c r="X52" s="440">
        <v>0</v>
      </c>
      <c r="Y52" s="336">
        <v>1</v>
      </c>
      <c r="Z52" s="337">
        <f t="shared" si="48"/>
        <v>2.003575736142317</v>
      </c>
      <c r="AA52" s="455" t="str">
        <f t="shared" si="49"/>
        <v>(2,1,1,2,1,1); Industry data (French tender): Diamond Wiring electricity</v>
      </c>
      <c r="AB52" s="440">
        <f>BA52*$J$106</f>
        <v>4.5812361470672375E-3</v>
      </c>
      <c r="AC52" s="336">
        <v>1</v>
      </c>
      <c r="AD52" s="337">
        <f t="shared" si="50"/>
        <v>2.003575736142317</v>
      </c>
      <c r="AE52" s="455" t="str">
        <f t="shared" si="51"/>
        <v>(2,1,1,2,1,1); Industry data (French tender): Diamond Wiring electricity</v>
      </c>
      <c r="AF52" s="440">
        <f>BB52*$J$106</f>
        <v>4.5812361470672375E-3</v>
      </c>
      <c r="AG52" s="336">
        <v>1</v>
      </c>
      <c r="AH52" s="337">
        <f t="shared" si="52"/>
        <v>2.003575736142317</v>
      </c>
      <c r="AI52" s="455" t="str">
        <f t="shared" si="53"/>
        <v>(2,1,1,2,1,1); Industry data (French tender): Diamond Wiring electricity</v>
      </c>
      <c r="AJ52" s="440">
        <v>0</v>
      </c>
      <c r="AK52" s="336">
        <v>1</v>
      </c>
      <c r="AL52" s="337">
        <f t="shared" si="54"/>
        <v>2.003575736142317</v>
      </c>
      <c r="AM52" s="455" t="str">
        <f t="shared" si="55"/>
        <v>(2,1,1,2,1,1); Industry data (French tender): Diamond Wiring electricity</v>
      </c>
      <c r="AN52" s="440">
        <v>0</v>
      </c>
      <c r="AO52" s="336">
        <v>1</v>
      </c>
      <c r="AP52" s="337">
        <f t="shared" si="56"/>
        <v>2.003575736142317</v>
      </c>
      <c r="AQ52" s="455" t="str">
        <f t="shared" si="57"/>
        <v>(2,1,1,2,1,1); Industry data (French tender): Diamond Wiring electricity</v>
      </c>
      <c r="AR52" s="440">
        <v>0</v>
      </c>
      <c r="AS52" s="336">
        <v>1</v>
      </c>
      <c r="AT52" s="337">
        <f t="shared" si="58"/>
        <v>2</v>
      </c>
      <c r="AU52" s="455" t="str">
        <f t="shared" si="59"/>
        <v xml:space="preserve">(na,na,na,na,na,na); </v>
      </c>
      <c r="AV52" s="440">
        <f>AR59</f>
        <v>0</v>
      </c>
      <c r="AW52" s="336">
        <v>1</v>
      </c>
      <c r="AX52" s="337">
        <f t="shared" si="60"/>
        <v>2</v>
      </c>
      <c r="AY52" s="437" t="str">
        <f t="shared" si="61"/>
        <v xml:space="preserve">(na,na,na,na,na,na); </v>
      </c>
      <c r="AZ52" s="338"/>
      <c r="BA52" s="440">
        <v>3.66498891765379E-2</v>
      </c>
      <c r="BB52" s="440">
        <v>3.66498891765379E-2</v>
      </c>
      <c r="BC52" s="440"/>
      <c r="BD52" s="691" t="s">
        <v>849</v>
      </c>
      <c r="BE52" s="83">
        <v>2</v>
      </c>
      <c r="BF52" s="83">
        <v>1</v>
      </c>
      <c r="BG52" s="83">
        <v>1</v>
      </c>
      <c r="BH52" s="83">
        <v>2</v>
      </c>
      <c r="BI52" s="83">
        <v>1</v>
      </c>
      <c r="BJ52" s="83">
        <v>1</v>
      </c>
      <c r="BK52" s="104">
        <v>3</v>
      </c>
      <c r="BL52" s="104">
        <v>2</v>
      </c>
      <c r="BM52" s="107">
        <f t="shared" si="62"/>
        <v>1.0510550504206344</v>
      </c>
      <c r="BN52" s="107">
        <f t="shared" si="63"/>
        <v>2.003575736142317</v>
      </c>
      <c r="BO52" s="107" t="str">
        <f t="shared" si="64"/>
        <v>(2,1,1,2,1,1)</v>
      </c>
      <c r="BP52" s="108">
        <v>1.05</v>
      </c>
      <c r="BQ52" s="108">
        <v>1</v>
      </c>
      <c r="BR52" s="108">
        <v>1</v>
      </c>
      <c r="BS52" s="108">
        <v>1.01</v>
      </c>
      <c r="BT52" s="108">
        <v>1</v>
      </c>
      <c r="BU52" s="108">
        <v>1</v>
      </c>
      <c r="BW52" s="691"/>
      <c r="BX52" s="339" t="s">
        <v>106</v>
      </c>
      <c r="BY52" s="339" t="s">
        <v>106</v>
      </c>
      <c r="BZ52" s="339" t="s">
        <v>106</v>
      </c>
      <c r="CA52" s="339" t="s">
        <v>106</v>
      </c>
      <c r="CB52" s="339" t="s">
        <v>106</v>
      </c>
      <c r="CC52" s="339" t="s">
        <v>106</v>
      </c>
      <c r="CD52" s="104">
        <v>3</v>
      </c>
      <c r="CE52" s="104">
        <v>2</v>
      </c>
      <c r="CF52" s="107">
        <f t="shared" si="65"/>
        <v>1</v>
      </c>
      <c r="CG52" s="107">
        <f t="shared" si="66"/>
        <v>2</v>
      </c>
      <c r="CH52" s="107" t="str">
        <f t="shared" si="67"/>
        <v>(na,na,na,na,na,na)</v>
      </c>
      <c r="CI52" s="108">
        <v>1</v>
      </c>
      <c r="CJ52" s="108">
        <v>1</v>
      </c>
      <c r="CK52" s="108">
        <v>1</v>
      </c>
      <c r="CL52" s="108">
        <v>1</v>
      </c>
      <c r="CM52" s="108">
        <v>1</v>
      </c>
      <c r="CN52" s="108">
        <v>1</v>
      </c>
    </row>
    <row r="53" spans="1:92" s="171" customFormat="1">
      <c r="A53" s="333">
        <v>266385</v>
      </c>
      <c r="B53" s="216"/>
      <c r="C53" s="334"/>
      <c r="D53" s="515">
        <v>5</v>
      </c>
      <c r="E53" s="343" t="s">
        <v>98</v>
      </c>
      <c r="F53" s="437" t="s">
        <v>642</v>
      </c>
      <c r="G53" s="438" t="s">
        <v>643</v>
      </c>
      <c r="H53" s="455" t="s">
        <v>98</v>
      </c>
      <c r="I53" s="455" t="s">
        <v>98</v>
      </c>
      <c r="J53" s="336">
        <v>0</v>
      </c>
      <c r="K53" s="438" t="s">
        <v>109</v>
      </c>
      <c r="L53" s="440">
        <v>0</v>
      </c>
      <c r="M53" s="336">
        <v>1</v>
      </c>
      <c r="N53" s="337">
        <f t="shared" si="42"/>
        <v>2.003575736142317</v>
      </c>
      <c r="O53" s="455" t="str">
        <f t="shared" si="43"/>
        <v>(2,1,1,2,1,1); Industry data (French tender): Other Electricity</v>
      </c>
      <c r="P53" s="440">
        <v>0</v>
      </c>
      <c r="Q53" s="336">
        <v>1</v>
      </c>
      <c r="R53" s="337">
        <f t="shared" si="44"/>
        <v>2.003575736142317</v>
      </c>
      <c r="S53" s="455" t="str">
        <f t="shared" si="45"/>
        <v>(2,1,1,2,1,1); Industry data (French tender): Other Electricity</v>
      </c>
      <c r="T53" s="440">
        <v>0</v>
      </c>
      <c r="U53" s="336">
        <v>1</v>
      </c>
      <c r="V53" s="337">
        <f t="shared" si="46"/>
        <v>2.003575736142317</v>
      </c>
      <c r="W53" s="455" t="str">
        <f t="shared" si="47"/>
        <v>(2,1,1,2,1,1); Industry data (French tender): Other Electricity</v>
      </c>
      <c r="X53" s="440">
        <v>0</v>
      </c>
      <c r="Y53" s="336">
        <v>1</v>
      </c>
      <c r="Z53" s="337">
        <f t="shared" si="48"/>
        <v>2.003575736142317</v>
      </c>
      <c r="AA53" s="455" t="str">
        <f t="shared" si="49"/>
        <v>(2,1,1,2,1,1); Industry data (French tender): Other Electricity</v>
      </c>
      <c r="AB53" s="440">
        <f>BA53*$J$106</f>
        <v>0.27688483547925624</v>
      </c>
      <c r="AC53" s="336">
        <v>1</v>
      </c>
      <c r="AD53" s="337">
        <f t="shared" si="50"/>
        <v>2.003575736142317</v>
      </c>
      <c r="AE53" s="455" t="str">
        <f t="shared" si="51"/>
        <v>(2,1,1,2,1,1); Industry data (French tender): Other Electricity</v>
      </c>
      <c r="AF53" s="440">
        <f>BB53*$J$106</f>
        <v>0.27688483547925624</v>
      </c>
      <c r="AG53" s="336">
        <v>1</v>
      </c>
      <c r="AH53" s="337">
        <f t="shared" si="52"/>
        <v>2.003575736142317</v>
      </c>
      <c r="AI53" s="455" t="str">
        <f t="shared" si="53"/>
        <v>(2,1,1,2,1,1); Industry data (French tender): Other Electricity</v>
      </c>
      <c r="AJ53" s="440">
        <v>0</v>
      </c>
      <c r="AK53" s="336">
        <v>1</v>
      </c>
      <c r="AL53" s="337">
        <f t="shared" si="54"/>
        <v>2.003575736142317</v>
      </c>
      <c r="AM53" s="455" t="str">
        <f t="shared" si="55"/>
        <v>(2,1,1,2,1,1); Industry data (French tender): Other Electricity</v>
      </c>
      <c r="AN53" s="440">
        <v>0</v>
      </c>
      <c r="AO53" s="336">
        <v>1</v>
      </c>
      <c r="AP53" s="337">
        <f t="shared" si="56"/>
        <v>2.003575736142317</v>
      </c>
      <c r="AQ53" s="455" t="str">
        <f t="shared" si="57"/>
        <v>(2,1,1,2,1,1); Industry data (French tender): Other Electricity</v>
      </c>
      <c r="AR53" s="440">
        <v>0</v>
      </c>
      <c r="AS53" s="336">
        <v>1</v>
      </c>
      <c r="AT53" s="337">
        <f t="shared" si="58"/>
        <v>2</v>
      </c>
      <c r="AU53" s="455" t="str">
        <f t="shared" si="59"/>
        <v xml:space="preserve">(na,na,na,na,na,na); </v>
      </c>
      <c r="AV53" s="440">
        <v>0</v>
      </c>
      <c r="AW53" s="336">
        <v>1</v>
      </c>
      <c r="AX53" s="337">
        <f t="shared" si="60"/>
        <v>2</v>
      </c>
      <c r="AY53" s="437" t="str">
        <f t="shared" si="61"/>
        <v xml:space="preserve">(na,na,na,na,na,na); </v>
      </c>
      <c r="AZ53" s="338"/>
      <c r="BA53" s="440">
        <v>2.2150786838340499</v>
      </c>
      <c r="BB53" s="440">
        <v>2.2150786838340499</v>
      </c>
      <c r="BC53" s="440"/>
      <c r="BD53" s="691" t="s">
        <v>850</v>
      </c>
      <c r="BE53" s="83">
        <v>2</v>
      </c>
      <c r="BF53" s="83">
        <v>1</v>
      </c>
      <c r="BG53" s="83">
        <v>1</v>
      </c>
      <c r="BH53" s="83">
        <v>2</v>
      </c>
      <c r="BI53" s="83">
        <v>1</v>
      </c>
      <c r="BJ53" s="83">
        <v>1</v>
      </c>
      <c r="BK53" s="104">
        <v>3</v>
      </c>
      <c r="BL53" s="104">
        <v>2</v>
      </c>
      <c r="BM53" s="107">
        <f t="shared" si="62"/>
        <v>1.0510550504206344</v>
      </c>
      <c r="BN53" s="107">
        <f t="shared" si="63"/>
        <v>2.003575736142317</v>
      </c>
      <c r="BO53" s="107" t="str">
        <f t="shared" si="64"/>
        <v>(2,1,1,2,1,1)</v>
      </c>
      <c r="BP53" s="108">
        <v>1.05</v>
      </c>
      <c r="BQ53" s="108">
        <v>1</v>
      </c>
      <c r="BR53" s="108">
        <v>1</v>
      </c>
      <c r="BS53" s="108">
        <v>1.01</v>
      </c>
      <c r="BT53" s="108">
        <v>1</v>
      </c>
      <c r="BU53" s="108">
        <v>1</v>
      </c>
      <c r="BW53" s="691"/>
      <c r="BX53" s="339" t="s">
        <v>106</v>
      </c>
      <c r="BY53" s="339" t="s">
        <v>106</v>
      </c>
      <c r="BZ53" s="339" t="s">
        <v>106</v>
      </c>
      <c r="CA53" s="339" t="s">
        <v>106</v>
      </c>
      <c r="CB53" s="339" t="s">
        <v>106</v>
      </c>
      <c r="CC53" s="339" t="s">
        <v>106</v>
      </c>
      <c r="CD53" s="104">
        <v>3</v>
      </c>
      <c r="CE53" s="104">
        <v>2</v>
      </c>
      <c r="CF53" s="107">
        <f t="shared" si="65"/>
        <v>1</v>
      </c>
      <c r="CG53" s="107">
        <f t="shared" si="66"/>
        <v>2</v>
      </c>
      <c r="CH53" s="107" t="str">
        <f t="shared" si="67"/>
        <v>(na,na,na,na,na,na)</v>
      </c>
      <c r="CI53" s="108">
        <v>1</v>
      </c>
      <c r="CJ53" s="108">
        <v>1</v>
      </c>
      <c r="CK53" s="108">
        <v>1</v>
      </c>
      <c r="CL53" s="108">
        <v>1</v>
      </c>
      <c r="CM53" s="108">
        <v>1</v>
      </c>
      <c r="CN53" s="108">
        <v>1</v>
      </c>
    </row>
    <row r="54" spans="1:92" s="171" customFormat="1">
      <c r="A54" s="333" t="s">
        <v>645</v>
      </c>
      <c r="B54" s="216"/>
      <c r="C54" s="334"/>
      <c r="D54" s="515">
        <v>5</v>
      </c>
      <c r="E54" s="343" t="s">
        <v>98</v>
      </c>
      <c r="F54" s="437" t="s">
        <v>646</v>
      </c>
      <c r="G54" s="438" t="s">
        <v>647</v>
      </c>
      <c r="H54" s="455" t="s">
        <v>98</v>
      </c>
      <c r="I54" s="455" t="s">
        <v>98</v>
      </c>
      <c r="J54" s="336">
        <v>0</v>
      </c>
      <c r="K54" s="438" t="s">
        <v>109</v>
      </c>
      <c r="L54" s="440">
        <v>0</v>
      </c>
      <c r="M54" s="336">
        <v>1</v>
      </c>
      <c r="N54" s="337">
        <f t="shared" si="42"/>
        <v>2.003575736142317</v>
      </c>
      <c r="O54" s="455" t="str">
        <f t="shared" si="43"/>
        <v>(2,1,1,2,1,1); Industry data (French tender): Diamond Wiring electricity</v>
      </c>
      <c r="P54" s="440">
        <v>0</v>
      </c>
      <c r="Q54" s="336">
        <v>1</v>
      </c>
      <c r="R54" s="337">
        <f t="shared" si="44"/>
        <v>2.003575736142317</v>
      </c>
      <c r="S54" s="455" t="str">
        <f t="shared" si="45"/>
        <v>(2,1,1,2,1,1); Industry data (French tender): Diamond Wiring electricity</v>
      </c>
      <c r="T54" s="440">
        <v>0</v>
      </c>
      <c r="U54" s="336">
        <v>1</v>
      </c>
      <c r="V54" s="337">
        <f t="shared" si="46"/>
        <v>2.003575736142317</v>
      </c>
      <c r="W54" s="455" t="str">
        <f t="shared" si="47"/>
        <v>(2,1,1,2,1,1); Industry data (French tender): Diamond Wiring electricity</v>
      </c>
      <c r="X54" s="440">
        <v>0</v>
      </c>
      <c r="Y54" s="336">
        <v>1</v>
      </c>
      <c r="Z54" s="337">
        <f t="shared" si="48"/>
        <v>2.003575736142317</v>
      </c>
      <c r="AA54" s="455" t="str">
        <f t="shared" si="49"/>
        <v>(2,1,1,2,1,1); Industry data (French tender): Diamond Wiring electricity</v>
      </c>
      <c r="AB54" s="440">
        <f>BA54*$J$107</f>
        <v>2.6342107845636616E-2</v>
      </c>
      <c r="AC54" s="336">
        <v>1</v>
      </c>
      <c r="AD54" s="337">
        <f t="shared" si="50"/>
        <v>2.003575736142317</v>
      </c>
      <c r="AE54" s="455" t="str">
        <f t="shared" si="51"/>
        <v>(2,1,1,2,1,1); Industry data (French tender): Diamond Wiring electricity</v>
      </c>
      <c r="AF54" s="440">
        <f>BB54*$J$107</f>
        <v>2.6342107845636616E-2</v>
      </c>
      <c r="AG54" s="336">
        <v>1</v>
      </c>
      <c r="AH54" s="337">
        <f t="shared" si="52"/>
        <v>2.003575736142317</v>
      </c>
      <c r="AI54" s="455" t="str">
        <f t="shared" si="53"/>
        <v>(2,1,1,2,1,1); Industry data (French tender): Diamond Wiring electricity</v>
      </c>
      <c r="AJ54" s="440">
        <v>0</v>
      </c>
      <c r="AK54" s="336">
        <v>1</v>
      </c>
      <c r="AL54" s="337">
        <f t="shared" si="54"/>
        <v>2.003575736142317</v>
      </c>
      <c r="AM54" s="455" t="str">
        <f t="shared" si="55"/>
        <v>(2,1,1,2,1,1); Industry data (French tender): Diamond Wiring electricity</v>
      </c>
      <c r="AN54" s="440">
        <v>0</v>
      </c>
      <c r="AO54" s="336">
        <v>1</v>
      </c>
      <c r="AP54" s="337">
        <f t="shared" si="56"/>
        <v>2.003575736142317</v>
      </c>
      <c r="AQ54" s="455" t="str">
        <f t="shared" si="57"/>
        <v>(2,1,1,2,1,1); Industry data (French tender): Diamond Wiring electricity</v>
      </c>
      <c r="AR54" s="440">
        <v>0</v>
      </c>
      <c r="AS54" s="336">
        <v>1</v>
      </c>
      <c r="AT54" s="337">
        <f t="shared" si="58"/>
        <v>2</v>
      </c>
      <c r="AU54" s="455" t="str">
        <f t="shared" si="59"/>
        <v xml:space="preserve">(na,na,na,na,na,na); </v>
      </c>
      <c r="AV54" s="440">
        <f>AR61</f>
        <v>0</v>
      </c>
      <c r="AW54" s="336">
        <v>1</v>
      </c>
      <c r="AX54" s="337">
        <f t="shared" si="60"/>
        <v>2</v>
      </c>
      <c r="AY54" s="437" t="str">
        <f t="shared" si="61"/>
        <v xml:space="preserve">(na,na,na,na,na,na); </v>
      </c>
      <c r="AZ54" s="338"/>
      <c r="BA54" s="440">
        <v>3.66498891765379E-2</v>
      </c>
      <c r="BB54" s="440">
        <v>3.66498891765379E-2</v>
      </c>
      <c r="BC54" s="440"/>
      <c r="BD54" s="691" t="s">
        <v>849</v>
      </c>
      <c r="BE54" s="83">
        <v>2</v>
      </c>
      <c r="BF54" s="83">
        <v>1</v>
      </c>
      <c r="BG54" s="83">
        <v>1</v>
      </c>
      <c r="BH54" s="83">
        <v>2</v>
      </c>
      <c r="BI54" s="83">
        <v>1</v>
      </c>
      <c r="BJ54" s="83">
        <v>1</v>
      </c>
      <c r="BK54" s="104">
        <v>2</v>
      </c>
      <c r="BL54" s="104">
        <v>2</v>
      </c>
      <c r="BM54" s="107">
        <f t="shared" si="62"/>
        <v>1.0510550504206344</v>
      </c>
      <c r="BN54" s="107">
        <f t="shared" si="63"/>
        <v>2.003575736142317</v>
      </c>
      <c r="BO54" s="107" t="str">
        <f t="shared" si="64"/>
        <v>(2,1,1,2,1,1)</v>
      </c>
      <c r="BP54" s="108">
        <v>1.05</v>
      </c>
      <c r="BQ54" s="108">
        <v>1</v>
      </c>
      <c r="BR54" s="108">
        <v>1</v>
      </c>
      <c r="BS54" s="108">
        <v>1.01</v>
      </c>
      <c r="BT54" s="108">
        <v>1</v>
      </c>
      <c r="BU54" s="108">
        <v>1</v>
      </c>
      <c r="BW54" s="691"/>
      <c r="BX54" s="339" t="s">
        <v>106</v>
      </c>
      <c r="BY54" s="339" t="s">
        <v>106</v>
      </c>
      <c r="BZ54" s="339" t="s">
        <v>106</v>
      </c>
      <c r="CA54" s="339" t="s">
        <v>106</v>
      </c>
      <c r="CB54" s="339" t="s">
        <v>106</v>
      </c>
      <c r="CC54" s="339" t="s">
        <v>106</v>
      </c>
      <c r="CD54" s="104">
        <v>2</v>
      </c>
      <c r="CE54" s="104">
        <v>2</v>
      </c>
      <c r="CF54" s="107">
        <f t="shared" si="65"/>
        <v>1</v>
      </c>
      <c r="CG54" s="107">
        <f t="shared" si="66"/>
        <v>2</v>
      </c>
      <c r="CH54" s="107" t="str">
        <f t="shared" si="67"/>
        <v>(na,na,na,na,na,na)</v>
      </c>
      <c r="CI54" s="108">
        <v>1</v>
      </c>
      <c r="CJ54" s="108">
        <v>1</v>
      </c>
      <c r="CK54" s="108">
        <v>1</v>
      </c>
      <c r="CL54" s="108">
        <v>1</v>
      </c>
      <c r="CM54" s="108">
        <v>1</v>
      </c>
      <c r="CN54" s="108">
        <v>1</v>
      </c>
    </row>
    <row r="55" spans="1:92" s="171" customFormat="1">
      <c r="A55" s="333" t="s">
        <v>645</v>
      </c>
      <c r="B55" s="216"/>
      <c r="C55" s="334"/>
      <c r="D55" s="342">
        <v>5</v>
      </c>
      <c r="E55" s="343" t="s">
        <v>98</v>
      </c>
      <c r="F55" s="437" t="s">
        <v>646</v>
      </c>
      <c r="G55" s="438" t="s">
        <v>647</v>
      </c>
      <c r="H55" s="439" t="s">
        <v>98</v>
      </c>
      <c r="I55" s="439" t="s">
        <v>98</v>
      </c>
      <c r="J55" s="335">
        <v>0</v>
      </c>
      <c r="K55" s="438" t="s">
        <v>109</v>
      </c>
      <c r="L55" s="440">
        <v>0</v>
      </c>
      <c r="M55" s="336">
        <v>1</v>
      </c>
      <c r="N55" s="337">
        <f t="shared" si="42"/>
        <v>2.003575736142317</v>
      </c>
      <c r="O55" s="455" t="str">
        <f t="shared" si="43"/>
        <v>(2,1,1,2,1,1); Industry data (French tender): Other Electricity</v>
      </c>
      <c r="P55" s="440">
        <v>0</v>
      </c>
      <c r="Q55" s="336">
        <v>1</v>
      </c>
      <c r="R55" s="337">
        <f t="shared" si="44"/>
        <v>2.003575736142317</v>
      </c>
      <c r="S55" s="455" t="str">
        <f t="shared" si="45"/>
        <v>(2,1,1,2,1,1); Industry data (French tender): Other Electricity</v>
      </c>
      <c r="T55" s="440">
        <v>0</v>
      </c>
      <c r="U55" s="336">
        <v>1</v>
      </c>
      <c r="V55" s="337">
        <f t="shared" si="46"/>
        <v>2.003575736142317</v>
      </c>
      <c r="W55" s="455" t="str">
        <f t="shared" si="47"/>
        <v>(2,1,1,2,1,1); Industry data (French tender): Other Electricity</v>
      </c>
      <c r="X55" s="440">
        <v>0</v>
      </c>
      <c r="Y55" s="336">
        <v>1</v>
      </c>
      <c r="Z55" s="337">
        <f t="shared" si="48"/>
        <v>2.003575736142317</v>
      </c>
      <c r="AA55" s="455" t="str">
        <f t="shared" si="49"/>
        <v>(2,1,1,2,1,1); Industry data (French tender): Other Electricity</v>
      </c>
      <c r="AB55" s="440">
        <f>BA55*$J$107</f>
        <v>1.5920878040057234</v>
      </c>
      <c r="AC55" s="336">
        <v>1</v>
      </c>
      <c r="AD55" s="337">
        <f t="shared" si="50"/>
        <v>2.003575736142317</v>
      </c>
      <c r="AE55" s="455" t="str">
        <f t="shared" si="51"/>
        <v>(2,1,1,2,1,1); Industry data (French tender): Other Electricity</v>
      </c>
      <c r="AF55" s="440">
        <f>BB55*$J$107</f>
        <v>1.5920878040057234</v>
      </c>
      <c r="AG55" s="336">
        <v>1</v>
      </c>
      <c r="AH55" s="337">
        <f t="shared" si="52"/>
        <v>2.003575736142317</v>
      </c>
      <c r="AI55" s="455" t="str">
        <f t="shared" si="53"/>
        <v>(2,1,1,2,1,1); Industry data (French tender): Other Electricity</v>
      </c>
      <c r="AJ55" s="440">
        <v>0</v>
      </c>
      <c r="AK55" s="336">
        <v>1</v>
      </c>
      <c r="AL55" s="337">
        <f t="shared" si="54"/>
        <v>2.003575736142317</v>
      </c>
      <c r="AM55" s="455" t="str">
        <f t="shared" si="55"/>
        <v>(2,1,1,2,1,1); Industry data (French tender): Other Electricity</v>
      </c>
      <c r="AN55" s="440">
        <v>0</v>
      </c>
      <c r="AO55" s="336">
        <v>1</v>
      </c>
      <c r="AP55" s="337">
        <f t="shared" si="56"/>
        <v>2.003575736142317</v>
      </c>
      <c r="AQ55" s="455" t="str">
        <f t="shared" si="57"/>
        <v>(2,1,1,2,1,1); Industry data (French tender): Other Electricity</v>
      </c>
      <c r="AR55" s="440">
        <v>0</v>
      </c>
      <c r="AS55" s="336">
        <v>1</v>
      </c>
      <c r="AT55" s="337">
        <f t="shared" si="58"/>
        <v>2</v>
      </c>
      <c r="AU55" s="455" t="str">
        <f t="shared" si="59"/>
        <v xml:space="preserve">(na,na,na,na,na,na); </v>
      </c>
      <c r="AV55" s="440">
        <v>0</v>
      </c>
      <c r="AW55" s="336">
        <v>1</v>
      </c>
      <c r="AX55" s="337">
        <f t="shared" si="60"/>
        <v>2</v>
      </c>
      <c r="AY55" s="437" t="str">
        <f t="shared" si="61"/>
        <v xml:space="preserve">(na,na,na,na,na,na); </v>
      </c>
      <c r="AZ55" s="338"/>
      <c r="BA55" s="440">
        <v>2.2150786838340499</v>
      </c>
      <c r="BB55" s="440">
        <v>2.2150786838340499</v>
      </c>
      <c r="BC55" s="440"/>
      <c r="BD55" s="691" t="s">
        <v>850</v>
      </c>
      <c r="BE55" s="83">
        <v>2</v>
      </c>
      <c r="BF55" s="83">
        <v>1</v>
      </c>
      <c r="BG55" s="83">
        <v>1</v>
      </c>
      <c r="BH55" s="83">
        <v>2</v>
      </c>
      <c r="BI55" s="83">
        <v>1</v>
      </c>
      <c r="BJ55" s="83">
        <v>1</v>
      </c>
      <c r="BK55" s="104">
        <v>2</v>
      </c>
      <c r="BL55" s="104">
        <v>2</v>
      </c>
      <c r="BM55" s="107">
        <f t="shared" si="62"/>
        <v>1.0510550504206344</v>
      </c>
      <c r="BN55" s="107">
        <f t="shared" si="63"/>
        <v>2.003575736142317</v>
      </c>
      <c r="BO55" s="107" t="str">
        <f t="shared" si="64"/>
        <v>(2,1,1,2,1,1)</v>
      </c>
      <c r="BP55" s="108">
        <v>1.05</v>
      </c>
      <c r="BQ55" s="108">
        <v>1</v>
      </c>
      <c r="BR55" s="108">
        <v>1</v>
      </c>
      <c r="BS55" s="108">
        <v>1.01</v>
      </c>
      <c r="BT55" s="108">
        <v>1</v>
      </c>
      <c r="BU55" s="108">
        <v>1</v>
      </c>
      <c r="BW55" s="691"/>
      <c r="BX55" s="339" t="s">
        <v>106</v>
      </c>
      <c r="BY55" s="339" t="s">
        <v>106</v>
      </c>
      <c r="BZ55" s="339" t="s">
        <v>106</v>
      </c>
      <c r="CA55" s="339" t="s">
        <v>106</v>
      </c>
      <c r="CB55" s="339" t="s">
        <v>106</v>
      </c>
      <c r="CC55" s="339" t="s">
        <v>106</v>
      </c>
      <c r="CD55" s="104">
        <v>2</v>
      </c>
      <c r="CE55" s="104">
        <v>2</v>
      </c>
      <c r="CF55" s="107">
        <f t="shared" si="65"/>
        <v>1</v>
      </c>
      <c r="CG55" s="107">
        <f t="shared" si="66"/>
        <v>2</v>
      </c>
      <c r="CH55" s="107" t="str">
        <f t="shared" si="67"/>
        <v>(na,na,na,na,na,na)</v>
      </c>
      <c r="CI55" s="108">
        <v>1</v>
      </c>
      <c r="CJ55" s="108">
        <v>1</v>
      </c>
      <c r="CK55" s="108">
        <v>1</v>
      </c>
      <c r="CL55" s="108">
        <v>1</v>
      </c>
      <c r="CM55" s="108">
        <v>1</v>
      </c>
      <c r="CN55" s="108">
        <v>1</v>
      </c>
    </row>
    <row r="56" spans="1:92" s="171" customFormat="1" ht="24">
      <c r="A56" s="333">
        <v>269603</v>
      </c>
      <c r="B56" s="216"/>
      <c r="C56" s="334"/>
      <c r="D56" s="342">
        <v>5</v>
      </c>
      <c r="E56" s="343" t="s">
        <v>98</v>
      </c>
      <c r="F56" s="437" t="s">
        <v>222</v>
      </c>
      <c r="G56" s="438" t="s">
        <v>223</v>
      </c>
      <c r="H56" s="439" t="s">
        <v>98</v>
      </c>
      <c r="I56" s="439" t="s">
        <v>98</v>
      </c>
      <c r="J56" s="335">
        <v>0</v>
      </c>
      <c r="K56" s="438" t="s">
        <v>109</v>
      </c>
      <c r="L56" s="440">
        <v>0</v>
      </c>
      <c r="M56" s="336">
        <v>1</v>
      </c>
      <c r="N56" s="337">
        <f t="shared" si="42"/>
        <v>2.003575736142317</v>
      </c>
      <c r="O56" s="455" t="str">
        <f t="shared" si="43"/>
        <v>(2,1,1,2,1,1); Industry data (French tender): Diamond Wiring electricity</v>
      </c>
      <c r="P56" s="440">
        <v>0</v>
      </c>
      <c r="Q56" s="336">
        <v>1</v>
      </c>
      <c r="R56" s="337">
        <f t="shared" si="44"/>
        <v>2.003575736142317</v>
      </c>
      <c r="S56" s="455" t="str">
        <f t="shared" si="45"/>
        <v>(2,1,1,2,1,1); Industry data (French tender): Diamond Wiring electricity</v>
      </c>
      <c r="T56" s="440">
        <v>0</v>
      </c>
      <c r="U56" s="336">
        <v>1</v>
      </c>
      <c r="V56" s="337">
        <f t="shared" si="46"/>
        <v>2.003575736142317</v>
      </c>
      <c r="W56" s="455" t="str">
        <f t="shared" si="47"/>
        <v>(2,1,1,2,1,1); Industry data (French tender): Diamond Wiring electricity</v>
      </c>
      <c r="X56" s="440">
        <v>0</v>
      </c>
      <c r="Y56" s="336">
        <v>1</v>
      </c>
      <c r="Z56" s="337">
        <f t="shared" si="48"/>
        <v>2.003575736142317</v>
      </c>
      <c r="AA56" s="455" t="str">
        <f t="shared" si="49"/>
        <v>(2,1,1,2,1,1); Industry data (French tender): Diamond Wiring electricity</v>
      </c>
      <c r="AB56" s="440">
        <v>0</v>
      </c>
      <c r="AC56" s="336">
        <v>1</v>
      </c>
      <c r="AD56" s="337">
        <f t="shared" si="50"/>
        <v>2.003575736142317</v>
      </c>
      <c r="AE56" s="455" t="str">
        <f t="shared" si="51"/>
        <v>(2,1,1,2,1,1); Industry data (French tender): Diamond Wiring electricity</v>
      </c>
      <c r="AF56" s="440">
        <v>0</v>
      </c>
      <c r="AG56" s="336">
        <v>1</v>
      </c>
      <c r="AH56" s="337">
        <f t="shared" si="52"/>
        <v>2.003575736142317</v>
      </c>
      <c r="AI56" s="455" t="str">
        <f t="shared" si="53"/>
        <v>(2,1,1,2,1,1); Industry data (French tender): Diamond Wiring electricity</v>
      </c>
      <c r="AJ56" s="440">
        <f>BA56</f>
        <v>3.66498891765379E-2</v>
      </c>
      <c r="AK56" s="336">
        <v>1</v>
      </c>
      <c r="AL56" s="337">
        <f t="shared" si="54"/>
        <v>2.003575736142317</v>
      </c>
      <c r="AM56" s="455" t="str">
        <f t="shared" si="55"/>
        <v>(2,1,1,2,1,1); Industry data (French tender): Diamond Wiring electricity</v>
      </c>
      <c r="AN56" s="440">
        <f>BB56</f>
        <v>3.66498891765379E-2</v>
      </c>
      <c r="AO56" s="336">
        <v>1</v>
      </c>
      <c r="AP56" s="337">
        <f t="shared" si="56"/>
        <v>2.003575736142317</v>
      </c>
      <c r="AQ56" s="455" t="str">
        <f t="shared" si="57"/>
        <v>(2,1,1,2,1,1); Industry data (French tender): Diamond Wiring electricity</v>
      </c>
      <c r="AR56" s="440">
        <v>0</v>
      </c>
      <c r="AS56" s="336">
        <v>1</v>
      </c>
      <c r="AT56" s="337">
        <f t="shared" si="58"/>
        <v>2</v>
      </c>
      <c r="AU56" s="455" t="str">
        <f t="shared" si="59"/>
        <v xml:space="preserve">(na,na,na,na,na,na); </v>
      </c>
      <c r="AV56" s="440">
        <v>0</v>
      </c>
      <c r="AW56" s="336">
        <v>1</v>
      </c>
      <c r="AX56" s="337">
        <f t="shared" si="60"/>
        <v>2</v>
      </c>
      <c r="AY56" s="437" t="str">
        <f t="shared" si="61"/>
        <v xml:space="preserve">(na,na,na,na,na,na); </v>
      </c>
      <c r="AZ56" s="338"/>
      <c r="BA56" s="440">
        <v>3.66498891765379E-2</v>
      </c>
      <c r="BB56" s="440">
        <v>3.66498891765379E-2</v>
      </c>
      <c r="BC56" s="440"/>
      <c r="BD56" s="691" t="s">
        <v>849</v>
      </c>
      <c r="BE56" s="83">
        <v>2</v>
      </c>
      <c r="BF56" s="83">
        <v>1</v>
      </c>
      <c r="BG56" s="83">
        <v>1</v>
      </c>
      <c r="BH56" s="83">
        <v>2</v>
      </c>
      <c r="BI56" s="83">
        <v>1</v>
      </c>
      <c r="BJ56" s="83">
        <v>1</v>
      </c>
      <c r="BK56" s="104">
        <v>2</v>
      </c>
      <c r="BL56" s="104">
        <v>2</v>
      </c>
      <c r="BM56" s="107">
        <f t="shared" si="62"/>
        <v>1.0510550504206344</v>
      </c>
      <c r="BN56" s="107">
        <f t="shared" si="63"/>
        <v>2.003575736142317</v>
      </c>
      <c r="BO56" s="107" t="str">
        <f t="shared" si="64"/>
        <v>(2,1,1,2,1,1)</v>
      </c>
      <c r="BP56" s="108">
        <v>1.05</v>
      </c>
      <c r="BQ56" s="108">
        <v>1</v>
      </c>
      <c r="BR56" s="108">
        <v>1</v>
      </c>
      <c r="BS56" s="108">
        <v>1.01</v>
      </c>
      <c r="BT56" s="108">
        <v>1</v>
      </c>
      <c r="BU56" s="108">
        <v>1</v>
      </c>
      <c r="BW56" s="691"/>
      <c r="BX56" s="339" t="s">
        <v>106</v>
      </c>
      <c r="BY56" s="339" t="s">
        <v>106</v>
      </c>
      <c r="BZ56" s="339" t="s">
        <v>106</v>
      </c>
      <c r="CA56" s="339" t="s">
        <v>106</v>
      </c>
      <c r="CB56" s="339" t="s">
        <v>106</v>
      </c>
      <c r="CC56" s="339" t="s">
        <v>106</v>
      </c>
      <c r="CD56" s="104">
        <v>2</v>
      </c>
      <c r="CE56" s="104">
        <v>2</v>
      </c>
      <c r="CF56" s="107">
        <f t="shared" si="65"/>
        <v>1</v>
      </c>
      <c r="CG56" s="107">
        <f t="shared" si="66"/>
        <v>2</v>
      </c>
      <c r="CH56" s="107" t="str">
        <f t="shared" si="67"/>
        <v>(na,na,na,na,na,na)</v>
      </c>
      <c r="CI56" s="108">
        <v>1</v>
      </c>
      <c r="CJ56" s="108">
        <v>1</v>
      </c>
      <c r="CK56" s="108">
        <v>1</v>
      </c>
      <c r="CL56" s="108">
        <v>1</v>
      </c>
      <c r="CM56" s="108">
        <v>1</v>
      </c>
      <c r="CN56" s="108">
        <v>1</v>
      </c>
    </row>
    <row r="57" spans="1:92" s="171" customFormat="1" ht="24">
      <c r="A57" s="333">
        <v>269603</v>
      </c>
      <c r="B57" s="216"/>
      <c r="C57" s="334"/>
      <c r="D57" s="342">
        <v>5</v>
      </c>
      <c r="E57" s="343" t="s">
        <v>98</v>
      </c>
      <c r="F57" s="437" t="s">
        <v>222</v>
      </c>
      <c r="G57" s="438" t="s">
        <v>223</v>
      </c>
      <c r="H57" s="439" t="s">
        <v>98</v>
      </c>
      <c r="I57" s="439" t="s">
        <v>98</v>
      </c>
      <c r="J57" s="335">
        <v>0</v>
      </c>
      <c r="K57" s="438" t="s">
        <v>109</v>
      </c>
      <c r="L57" s="440">
        <v>0</v>
      </c>
      <c r="M57" s="336">
        <v>1</v>
      </c>
      <c r="N57" s="337">
        <f t="shared" si="42"/>
        <v>2.003575736142317</v>
      </c>
      <c r="O57" s="455" t="str">
        <f t="shared" si="43"/>
        <v>(2,1,1,2,1,1); Industry data (French tender): Other Electricity</v>
      </c>
      <c r="P57" s="440">
        <v>0</v>
      </c>
      <c r="Q57" s="336">
        <v>1</v>
      </c>
      <c r="R57" s="337">
        <f t="shared" si="44"/>
        <v>2.003575736142317</v>
      </c>
      <c r="S57" s="455" t="str">
        <f t="shared" si="45"/>
        <v>(2,1,1,2,1,1); Industry data (French tender): Other Electricity</v>
      </c>
      <c r="T57" s="440">
        <v>0</v>
      </c>
      <c r="U57" s="336">
        <v>1</v>
      </c>
      <c r="V57" s="337">
        <f t="shared" si="46"/>
        <v>2.003575736142317</v>
      </c>
      <c r="W57" s="455" t="str">
        <f t="shared" si="47"/>
        <v>(2,1,1,2,1,1); Industry data (French tender): Other Electricity</v>
      </c>
      <c r="X57" s="440">
        <v>0</v>
      </c>
      <c r="Y57" s="336">
        <v>1</v>
      </c>
      <c r="Z57" s="337">
        <f t="shared" si="48"/>
        <v>2.003575736142317</v>
      </c>
      <c r="AA57" s="455" t="str">
        <f t="shared" si="49"/>
        <v>(2,1,1,2,1,1); Industry data (French tender): Other Electricity</v>
      </c>
      <c r="AB57" s="440">
        <v>0</v>
      </c>
      <c r="AC57" s="336">
        <v>1</v>
      </c>
      <c r="AD57" s="337">
        <f t="shared" si="50"/>
        <v>2.003575736142317</v>
      </c>
      <c r="AE57" s="455" t="str">
        <f t="shared" si="51"/>
        <v>(2,1,1,2,1,1); Industry data (French tender): Other Electricity</v>
      </c>
      <c r="AF57" s="440">
        <v>0</v>
      </c>
      <c r="AG57" s="336">
        <v>1</v>
      </c>
      <c r="AH57" s="337">
        <f t="shared" si="52"/>
        <v>2.003575736142317</v>
      </c>
      <c r="AI57" s="455" t="str">
        <f t="shared" si="53"/>
        <v>(2,1,1,2,1,1); Industry data (French tender): Other Electricity</v>
      </c>
      <c r="AJ57" s="440">
        <f>BA57</f>
        <v>2.2150786838340499</v>
      </c>
      <c r="AK57" s="336">
        <v>1</v>
      </c>
      <c r="AL57" s="337">
        <f t="shared" si="54"/>
        <v>2.003575736142317</v>
      </c>
      <c r="AM57" s="455" t="str">
        <f t="shared" si="55"/>
        <v>(2,1,1,2,1,1); Industry data (French tender): Other Electricity</v>
      </c>
      <c r="AN57" s="440">
        <f>BB57</f>
        <v>2.2150786838340499</v>
      </c>
      <c r="AO57" s="336">
        <v>1</v>
      </c>
      <c r="AP57" s="337">
        <f t="shared" si="56"/>
        <v>2.003575736142317</v>
      </c>
      <c r="AQ57" s="455" t="str">
        <f t="shared" si="57"/>
        <v>(2,1,1,2,1,1); Industry data (French tender): Other Electricity</v>
      </c>
      <c r="AR57" s="440">
        <v>0</v>
      </c>
      <c r="AS57" s="336">
        <v>1</v>
      </c>
      <c r="AT57" s="337">
        <f t="shared" si="58"/>
        <v>2</v>
      </c>
      <c r="AU57" s="455" t="str">
        <f t="shared" si="59"/>
        <v xml:space="preserve">(na,na,na,na,na,na); </v>
      </c>
      <c r="AV57" s="440">
        <v>0</v>
      </c>
      <c r="AW57" s="336">
        <v>1</v>
      </c>
      <c r="AX57" s="337">
        <f t="shared" si="60"/>
        <v>2</v>
      </c>
      <c r="AY57" s="437" t="str">
        <f t="shared" si="61"/>
        <v xml:space="preserve">(na,na,na,na,na,na); </v>
      </c>
      <c r="AZ57" s="338"/>
      <c r="BA57" s="440">
        <v>2.2150786838340499</v>
      </c>
      <c r="BB57" s="440">
        <v>2.2150786838340499</v>
      </c>
      <c r="BC57" s="440"/>
      <c r="BD57" s="691" t="s">
        <v>850</v>
      </c>
      <c r="BE57" s="83">
        <v>2</v>
      </c>
      <c r="BF57" s="83">
        <v>1</v>
      </c>
      <c r="BG57" s="83">
        <v>1</v>
      </c>
      <c r="BH57" s="83">
        <v>2</v>
      </c>
      <c r="BI57" s="83">
        <v>1</v>
      </c>
      <c r="BJ57" s="83">
        <v>1</v>
      </c>
      <c r="BK57" s="104">
        <v>2</v>
      </c>
      <c r="BL57" s="104">
        <v>2</v>
      </c>
      <c r="BM57" s="107">
        <f t="shared" si="62"/>
        <v>1.0510550504206344</v>
      </c>
      <c r="BN57" s="107">
        <f t="shared" si="63"/>
        <v>2.003575736142317</v>
      </c>
      <c r="BO57" s="107" t="str">
        <f t="shared" si="64"/>
        <v>(2,1,1,2,1,1)</v>
      </c>
      <c r="BP57" s="108">
        <v>1.05</v>
      </c>
      <c r="BQ57" s="108">
        <v>1</v>
      </c>
      <c r="BR57" s="108">
        <v>1</v>
      </c>
      <c r="BS57" s="108">
        <v>1.01</v>
      </c>
      <c r="BT57" s="108">
        <v>1</v>
      </c>
      <c r="BU57" s="108">
        <v>1</v>
      </c>
      <c r="BW57" s="691"/>
      <c r="BX57" s="339" t="s">
        <v>106</v>
      </c>
      <c r="BY57" s="339" t="s">
        <v>106</v>
      </c>
      <c r="BZ57" s="339" t="s">
        <v>106</v>
      </c>
      <c r="CA57" s="339" t="s">
        <v>106</v>
      </c>
      <c r="CB57" s="339" t="s">
        <v>106</v>
      </c>
      <c r="CC57" s="339" t="s">
        <v>106</v>
      </c>
      <c r="CD57" s="104">
        <v>2</v>
      </c>
      <c r="CE57" s="104">
        <v>2</v>
      </c>
      <c r="CF57" s="107">
        <f t="shared" si="65"/>
        <v>1</v>
      </c>
      <c r="CG57" s="107">
        <f t="shared" si="66"/>
        <v>2</v>
      </c>
      <c r="CH57" s="107" t="str">
        <f t="shared" si="67"/>
        <v>(na,na,na,na,na,na)</v>
      </c>
      <c r="CI57" s="108">
        <v>1</v>
      </c>
      <c r="CJ57" s="108">
        <v>1</v>
      </c>
      <c r="CK57" s="108">
        <v>1</v>
      </c>
      <c r="CL57" s="108">
        <v>1</v>
      </c>
      <c r="CM57" s="108">
        <v>1</v>
      </c>
      <c r="CN57" s="108">
        <v>1</v>
      </c>
    </row>
    <row r="58" spans="1:92" collapsed="1">
      <c r="A58" s="330">
        <v>79235</v>
      </c>
      <c r="B58" s="331"/>
      <c r="C58" s="88"/>
      <c r="D58" s="340">
        <v>5</v>
      </c>
      <c r="E58" s="341" t="s">
        <v>98</v>
      </c>
      <c r="F58" s="432" t="s">
        <v>688</v>
      </c>
      <c r="G58" s="433" t="s">
        <v>340</v>
      </c>
      <c r="H58" s="434" t="s">
        <v>98</v>
      </c>
      <c r="I58" s="434" t="s">
        <v>98</v>
      </c>
      <c r="J58" s="94">
        <v>0</v>
      </c>
      <c r="K58" s="433" t="s">
        <v>109</v>
      </c>
      <c r="L58" s="435">
        <v>0</v>
      </c>
      <c r="M58" s="95">
        <v>1</v>
      </c>
      <c r="N58" s="96">
        <f t="shared" si="42"/>
        <v>2</v>
      </c>
      <c r="O58" s="457" t="str">
        <f t="shared" si="43"/>
        <v xml:space="preserve">(na,na,na,na,na,na); </v>
      </c>
      <c r="P58" s="435">
        <v>0</v>
      </c>
      <c r="Q58" s="95">
        <v>1</v>
      </c>
      <c r="R58" s="96">
        <f t="shared" si="44"/>
        <v>2</v>
      </c>
      <c r="S58" s="457" t="str">
        <f t="shared" si="45"/>
        <v xml:space="preserve">(na,na,na,na,na,na); </v>
      </c>
      <c r="T58" s="435">
        <v>0</v>
      </c>
      <c r="U58" s="95">
        <v>1</v>
      </c>
      <c r="V58" s="96">
        <f t="shared" si="46"/>
        <v>2</v>
      </c>
      <c r="W58" s="457" t="str">
        <f t="shared" si="47"/>
        <v xml:space="preserve">(na,na,na,na,na,na); </v>
      </c>
      <c r="X58" s="435">
        <v>0</v>
      </c>
      <c r="Y58" s="95">
        <v>1</v>
      </c>
      <c r="Z58" s="96">
        <f t="shared" si="48"/>
        <v>2</v>
      </c>
      <c r="AA58" s="457" t="str">
        <f t="shared" si="49"/>
        <v xml:space="preserve">(na,na,na,na,na,na); </v>
      </c>
      <c r="AB58" s="435">
        <v>0</v>
      </c>
      <c r="AC58" s="95">
        <v>1</v>
      </c>
      <c r="AD58" s="96">
        <f t="shared" si="50"/>
        <v>2</v>
      </c>
      <c r="AE58" s="457" t="str">
        <f t="shared" si="51"/>
        <v xml:space="preserve">(na,na,na,na,na,na); </v>
      </c>
      <c r="AF58" s="435">
        <v>0</v>
      </c>
      <c r="AG58" s="95">
        <v>1</v>
      </c>
      <c r="AH58" s="96">
        <f t="shared" si="52"/>
        <v>2</v>
      </c>
      <c r="AI58" s="457" t="str">
        <f t="shared" si="53"/>
        <v xml:space="preserve">(na,na,na,na,na,na); </v>
      </c>
      <c r="AJ58" s="435">
        <v>0</v>
      </c>
      <c r="AK58" s="95">
        <v>1</v>
      </c>
      <c r="AL58" s="96">
        <f t="shared" si="54"/>
        <v>2</v>
      </c>
      <c r="AM58" s="457" t="str">
        <f t="shared" si="55"/>
        <v xml:space="preserve">(na,na,na,na,na,na); </v>
      </c>
      <c r="AN58" s="435">
        <v>0</v>
      </c>
      <c r="AO58" s="95">
        <v>1</v>
      </c>
      <c r="AP58" s="96">
        <f t="shared" si="56"/>
        <v>2</v>
      </c>
      <c r="AQ58" s="457" t="str">
        <f t="shared" si="57"/>
        <v xml:space="preserve">(na,na,na,na,na,na); </v>
      </c>
      <c r="AR58" s="435">
        <v>16.206018260869602</v>
      </c>
      <c r="AS58" s="95">
        <v>1</v>
      </c>
      <c r="AT58" s="96">
        <f t="shared" si="58"/>
        <v>2.0646254680556719</v>
      </c>
      <c r="AU58" s="457" t="str">
        <f t="shared" si="59"/>
        <v>(2,4,1,3,1,5); Brailovsky (2026) GM 04</v>
      </c>
      <c r="AV58" s="435">
        <v>0</v>
      </c>
      <c r="AW58" s="95">
        <v>1</v>
      </c>
      <c r="AX58" s="96">
        <f t="shared" si="60"/>
        <v>2.0646254680556719</v>
      </c>
      <c r="AY58" s="432" t="str">
        <f t="shared" si="61"/>
        <v>(2,4,1,3,1,5); Brailovsky (2026) GM 04</v>
      </c>
      <c r="AZ58" s="112"/>
      <c r="BA58" s="435"/>
      <c r="BB58" s="435"/>
      <c r="BC58" s="435"/>
      <c r="BD58" s="493"/>
      <c r="BE58" s="339" t="s">
        <v>106</v>
      </c>
      <c r="BF58" s="339" t="s">
        <v>106</v>
      </c>
      <c r="BG58" s="339" t="s">
        <v>106</v>
      </c>
      <c r="BH58" s="339" t="s">
        <v>106</v>
      </c>
      <c r="BI58" s="339" t="s">
        <v>106</v>
      </c>
      <c r="BJ58" s="339" t="s">
        <v>106</v>
      </c>
      <c r="BK58" s="104">
        <v>3</v>
      </c>
      <c r="BL58" s="104">
        <v>2</v>
      </c>
      <c r="BM58" s="107">
        <f t="shared" si="62"/>
        <v>1</v>
      </c>
      <c r="BN58" s="107">
        <f t="shared" si="63"/>
        <v>2</v>
      </c>
      <c r="BO58" s="107" t="str">
        <f t="shared" si="64"/>
        <v>(na,na,na,na,na,na)</v>
      </c>
      <c r="BP58" s="108">
        <v>1</v>
      </c>
      <c r="BQ58" s="108">
        <v>1</v>
      </c>
      <c r="BR58" s="108">
        <v>1</v>
      </c>
      <c r="BS58" s="108">
        <v>1</v>
      </c>
      <c r="BT58" s="108">
        <v>1</v>
      </c>
      <c r="BU58" s="108">
        <v>1</v>
      </c>
      <c r="BW58" s="692" t="s">
        <v>816</v>
      </c>
      <c r="BX58" s="83">
        <v>2</v>
      </c>
      <c r="BY58" s="83">
        <v>4</v>
      </c>
      <c r="BZ58" s="83">
        <v>1</v>
      </c>
      <c r="CA58" s="83">
        <v>3</v>
      </c>
      <c r="CB58" s="83">
        <v>1</v>
      </c>
      <c r="CC58" s="83">
        <v>5</v>
      </c>
      <c r="CD58" s="104">
        <v>3</v>
      </c>
      <c r="CE58" s="104">
        <v>2</v>
      </c>
      <c r="CF58" s="107">
        <f t="shared" si="65"/>
        <v>1.2365959919080913</v>
      </c>
      <c r="CG58" s="107">
        <f t="shared" si="66"/>
        <v>2.0646254680556719</v>
      </c>
      <c r="CH58" s="107" t="str">
        <f t="shared" si="67"/>
        <v>(2,4,1,3,1,5)</v>
      </c>
      <c r="CI58" s="108">
        <v>1.05</v>
      </c>
      <c r="CJ58" s="108">
        <v>1.1000000000000001</v>
      </c>
      <c r="CK58" s="108">
        <v>1</v>
      </c>
      <c r="CL58" s="108">
        <v>1.02</v>
      </c>
      <c r="CM58" s="108">
        <v>1</v>
      </c>
      <c r="CN58" s="108">
        <v>1.2</v>
      </c>
    </row>
    <row r="59" spans="1:92" s="171" customFormat="1" ht="24">
      <c r="A59" s="333">
        <v>265763</v>
      </c>
      <c r="B59" s="216" t="s">
        <v>191</v>
      </c>
      <c r="C59" s="334"/>
      <c r="D59" s="342">
        <v>5</v>
      </c>
      <c r="E59" s="343" t="s">
        <v>98</v>
      </c>
      <c r="F59" s="437" t="s">
        <v>488</v>
      </c>
      <c r="G59" s="438" t="s">
        <v>372</v>
      </c>
      <c r="H59" s="439" t="s">
        <v>98</v>
      </c>
      <c r="I59" s="439" t="s">
        <v>98</v>
      </c>
      <c r="J59" s="335">
        <v>0</v>
      </c>
      <c r="K59" s="438" t="s">
        <v>96</v>
      </c>
      <c r="L59" s="440">
        <f>BA59</f>
        <v>19.825274620887001</v>
      </c>
      <c r="M59" s="336">
        <v>1</v>
      </c>
      <c r="N59" s="337">
        <f t="shared" si="42"/>
        <v>1.0550494334557461</v>
      </c>
      <c r="O59" s="455" t="str">
        <f t="shared" si="43"/>
        <v>(1,2,1,2,1,1); Industry data (French tender) CN iso RoW</v>
      </c>
      <c r="P59" s="440">
        <f>BB59</f>
        <v>19.825274620887001</v>
      </c>
      <c r="Q59" s="336">
        <v>1</v>
      </c>
      <c r="R59" s="337">
        <f t="shared" si="44"/>
        <v>1.0550494334557461</v>
      </c>
      <c r="S59" s="455" t="str">
        <f t="shared" si="45"/>
        <v>(1,2,1,2,1,1); Industry data (French tender) CN iso RoW</v>
      </c>
      <c r="T59" s="440">
        <v>0</v>
      </c>
      <c r="U59" s="336">
        <v>1</v>
      </c>
      <c r="V59" s="337">
        <f t="shared" si="46"/>
        <v>1.0550494334557461</v>
      </c>
      <c r="W59" s="455" t="str">
        <f t="shared" si="47"/>
        <v>(1,2,1,2,1,1); Industry data (French tender) CN iso RoW</v>
      </c>
      <c r="X59" s="440">
        <v>0</v>
      </c>
      <c r="Y59" s="336">
        <v>1</v>
      </c>
      <c r="Z59" s="337">
        <f t="shared" si="48"/>
        <v>1.0550494334557461</v>
      </c>
      <c r="AA59" s="437" t="str">
        <f t="shared" si="49"/>
        <v>(1,2,1,2,1,1); Industry data (French tender) CN iso RoW</v>
      </c>
      <c r="AB59" s="440">
        <v>0</v>
      </c>
      <c r="AC59" s="336">
        <v>1</v>
      </c>
      <c r="AD59" s="337">
        <f t="shared" si="50"/>
        <v>1.0550494334557461</v>
      </c>
      <c r="AE59" s="455" t="str">
        <f t="shared" si="51"/>
        <v>(1,2,1,2,1,1); Industry data (French tender) CN iso RoW</v>
      </c>
      <c r="AF59" s="440">
        <v>0</v>
      </c>
      <c r="AG59" s="336">
        <v>1</v>
      </c>
      <c r="AH59" s="337">
        <f t="shared" si="52"/>
        <v>1.0550494334557461</v>
      </c>
      <c r="AI59" s="455" t="str">
        <f t="shared" si="53"/>
        <v>(1,2,1,2,1,1); Industry data (French tender) CN iso RoW</v>
      </c>
      <c r="AJ59" s="440">
        <v>0</v>
      </c>
      <c r="AK59" s="336">
        <v>1</v>
      </c>
      <c r="AL59" s="337">
        <f t="shared" si="54"/>
        <v>1.0550494334557461</v>
      </c>
      <c r="AM59" s="455" t="str">
        <f t="shared" si="55"/>
        <v>(1,2,1,2,1,1); Industry data (French tender) CN iso RoW</v>
      </c>
      <c r="AN59" s="440">
        <v>0</v>
      </c>
      <c r="AO59" s="336">
        <v>1</v>
      </c>
      <c r="AP59" s="337">
        <f t="shared" si="56"/>
        <v>1.0550494334557461</v>
      </c>
      <c r="AQ59" s="437" t="str">
        <f t="shared" si="57"/>
        <v>(1,2,1,2,1,1); Industry data (French tender) CN iso RoW</v>
      </c>
      <c r="AR59" s="440">
        <v>0</v>
      </c>
      <c r="AS59" s="336">
        <v>1</v>
      </c>
      <c r="AT59" s="337">
        <f t="shared" si="58"/>
        <v>1.2434566510799234</v>
      </c>
      <c r="AU59" s="455" t="str">
        <f t="shared" si="59"/>
        <v>(2,4,1,3,1,5); Brailovsky (2026)  GM 04; at plant iso market</v>
      </c>
      <c r="AV59" s="440">
        <f>AR64</f>
        <v>45.341921739130399</v>
      </c>
      <c r="AW59" s="336">
        <v>1</v>
      </c>
      <c r="AX59" s="337">
        <f t="shared" si="60"/>
        <v>1.2434566510799234</v>
      </c>
      <c r="AY59" s="437" t="str">
        <f t="shared" si="61"/>
        <v>(2,4,1,3,1,5); Brailovsky (2026)  GM 04; at plant iso market</v>
      </c>
      <c r="AZ59" s="338"/>
      <c r="BA59" s="440">
        <v>19.825274620887001</v>
      </c>
      <c r="BB59" s="440">
        <v>19.825274620887001</v>
      </c>
      <c r="BC59" s="440"/>
      <c r="BD59" s="216" t="s">
        <v>852</v>
      </c>
      <c r="BE59" s="83">
        <v>1</v>
      </c>
      <c r="BF59" s="83">
        <v>2</v>
      </c>
      <c r="BG59" s="83">
        <v>1</v>
      </c>
      <c r="BH59" s="83">
        <v>2</v>
      </c>
      <c r="BI59" s="83">
        <v>1</v>
      </c>
      <c r="BJ59" s="83">
        <v>1</v>
      </c>
      <c r="BK59" s="104">
        <v>3</v>
      </c>
      <c r="BL59" s="104">
        <v>1.05</v>
      </c>
      <c r="BM59" s="107">
        <f t="shared" si="62"/>
        <v>1.02240937572605</v>
      </c>
      <c r="BN59" s="107">
        <f t="shared" si="63"/>
        <v>1.0550494334557461</v>
      </c>
      <c r="BO59" s="107" t="str">
        <f t="shared" si="64"/>
        <v>(1,2,1,2,1,1)</v>
      </c>
      <c r="BP59" s="108">
        <v>1</v>
      </c>
      <c r="BQ59" s="108">
        <v>1.02</v>
      </c>
      <c r="BR59" s="108">
        <v>1</v>
      </c>
      <c r="BS59" s="108">
        <v>1.01</v>
      </c>
      <c r="BT59" s="108">
        <v>1</v>
      </c>
      <c r="BU59" s="108">
        <v>1</v>
      </c>
      <c r="BW59" s="691" t="s">
        <v>853</v>
      </c>
      <c r="BX59" s="83">
        <v>2</v>
      </c>
      <c r="BY59" s="83">
        <v>4</v>
      </c>
      <c r="BZ59" s="83">
        <v>1</v>
      </c>
      <c r="CA59" s="83">
        <v>3</v>
      </c>
      <c r="CB59" s="83">
        <v>1</v>
      </c>
      <c r="CC59" s="83">
        <v>5</v>
      </c>
      <c r="CD59" s="104">
        <v>3</v>
      </c>
      <c r="CE59" s="104">
        <v>1.05</v>
      </c>
      <c r="CF59" s="107">
        <f t="shared" si="65"/>
        <v>1.2365959919080913</v>
      </c>
      <c r="CG59" s="107">
        <f t="shared" si="66"/>
        <v>1.2434566510799234</v>
      </c>
      <c r="CH59" s="107" t="str">
        <f t="shared" si="67"/>
        <v>(2,4,1,3,1,5)</v>
      </c>
      <c r="CI59" s="108">
        <v>1.05</v>
      </c>
      <c r="CJ59" s="108">
        <v>1.1000000000000001</v>
      </c>
      <c r="CK59" s="108">
        <v>1</v>
      </c>
      <c r="CL59" s="108">
        <v>1.02</v>
      </c>
      <c r="CM59" s="108">
        <v>1</v>
      </c>
      <c r="CN59" s="108">
        <v>1.2</v>
      </c>
    </row>
    <row r="60" spans="1:92" s="171" customFormat="1" ht="24">
      <c r="A60" s="333">
        <v>265931</v>
      </c>
      <c r="B60" s="216"/>
      <c r="C60" s="334"/>
      <c r="D60" s="342">
        <v>5</v>
      </c>
      <c r="E60" s="343" t="s">
        <v>98</v>
      </c>
      <c r="F60" s="437" t="s">
        <v>489</v>
      </c>
      <c r="G60" s="438" t="s">
        <v>215</v>
      </c>
      <c r="H60" s="439" t="s">
        <v>98</v>
      </c>
      <c r="I60" s="439" t="s">
        <v>98</v>
      </c>
      <c r="J60" s="335">
        <v>0</v>
      </c>
      <c r="K60" s="438" t="s">
        <v>96</v>
      </c>
      <c r="L60" s="440">
        <v>0</v>
      </c>
      <c r="M60" s="336">
        <v>1</v>
      </c>
      <c r="N60" s="337">
        <f t="shared" si="42"/>
        <v>2.0007085286625754</v>
      </c>
      <c r="O60" s="455" t="str">
        <f t="shared" si="43"/>
        <v>(1,2,1,2,1,1); Industry data (French tender) US iso RoW</v>
      </c>
      <c r="P60" s="440">
        <v>0</v>
      </c>
      <c r="Q60" s="336">
        <v>1</v>
      </c>
      <c r="R60" s="337">
        <f t="shared" si="44"/>
        <v>2.0007085286625754</v>
      </c>
      <c r="S60" s="455" t="str">
        <f t="shared" si="45"/>
        <v>(1,2,1,2,1,1); Industry data (French tender) US iso RoW</v>
      </c>
      <c r="T60" s="440">
        <f>BA60</f>
        <v>19.825274620887001</v>
      </c>
      <c r="U60" s="336">
        <v>1</v>
      </c>
      <c r="V60" s="337">
        <f t="shared" si="46"/>
        <v>2.0007085286625754</v>
      </c>
      <c r="W60" s="455" t="str">
        <f t="shared" si="47"/>
        <v>(1,2,1,2,1,1); Industry data (French tender) US iso RoW</v>
      </c>
      <c r="X60" s="440">
        <f>BB60</f>
        <v>19.825274620887001</v>
      </c>
      <c r="Y60" s="336">
        <v>1</v>
      </c>
      <c r="Z60" s="337">
        <f t="shared" si="48"/>
        <v>2.0007085286625754</v>
      </c>
      <c r="AA60" s="455" t="str">
        <f t="shared" si="49"/>
        <v>(1,2,1,2,1,1); Industry data (French tender) US iso RoW</v>
      </c>
      <c r="AB60" s="440">
        <v>0</v>
      </c>
      <c r="AC60" s="336">
        <v>1</v>
      </c>
      <c r="AD60" s="337">
        <f t="shared" si="50"/>
        <v>2.0007085286625754</v>
      </c>
      <c r="AE60" s="455" t="str">
        <f t="shared" si="51"/>
        <v>(1,2,1,2,1,1); Industry data (French tender) US iso RoW</v>
      </c>
      <c r="AF60" s="440">
        <v>0</v>
      </c>
      <c r="AG60" s="336">
        <v>1</v>
      </c>
      <c r="AH60" s="337">
        <f t="shared" si="52"/>
        <v>2.0007085286625754</v>
      </c>
      <c r="AI60" s="455" t="str">
        <f t="shared" si="53"/>
        <v>(1,2,1,2,1,1); Industry data (French tender) US iso RoW</v>
      </c>
      <c r="AJ60" s="440">
        <v>0</v>
      </c>
      <c r="AK60" s="336">
        <v>1</v>
      </c>
      <c r="AL60" s="337">
        <f t="shared" si="54"/>
        <v>2.0007085286625754</v>
      </c>
      <c r="AM60" s="455" t="str">
        <f t="shared" si="55"/>
        <v>(1,2,1,2,1,1); Industry data (French tender) US iso RoW</v>
      </c>
      <c r="AN60" s="440">
        <v>0</v>
      </c>
      <c r="AO60" s="336">
        <v>1</v>
      </c>
      <c r="AP60" s="337">
        <f t="shared" si="56"/>
        <v>2.0007085286625754</v>
      </c>
      <c r="AQ60" s="455" t="str">
        <f t="shared" si="57"/>
        <v>(1,2,1,2,1,1); Industry data (French tender) US iso RoW</v>
      </c>
      <c r="AR60" s="440">
        <v>0</v>
      </c>
      <c r="AS60" s="336">
        <v>1</v>
      </c>
      <c r="AT60" s="337">
        <f t="shared" si="58"/>
        <v>2</v>
      </c>
      <c r="AU60" s="455" t="str">
        <f t="shared" si="59"/>
        <v xml:space="preserve">(na,na,na,na,na,na); </v>
      </c>
      <c r="AV60" s="440">
        <v>0</v>
      </c>
      <c r="AW60" s="336">
        <v>1</v>
      </c>
      <c r="AX60" s="337">
        <f t="shared" si="60"/>
        <v>2</v>
      </c>
      <c r="AY60" s="437" t="str">
        <f t="shared" si="61"/>
        <v xml:space="preserve">(na,na,na,na,na,na); </v>
      </c>
      <c r="AZ60" s="338"/>
      <c r="BA60" s="440">
        <v>19.825274620887001</v>
      </c>
      <c r="BB60" s="440">
        <v>19.825274620887001</v>
      </c>
      <c r="BC60" s="440"/>
      <c r="BD60" s="691" t="s">
        <v>854</v>
      </c>
      <c r="BE60" s="83">
        <v>1</v>
      </c>
      <c r="BF60" s="83">
        <v>2</v>
      </c>
      <c r="BG60" s="83">
        <v>1</v>
      </c>
      <c r="BH60" s="83">
        <v>2</v>
      </c>
      <c r="BI60" s="83">
        <v>1</v>
      </c>
      <c r="BJ60" s="83">
        <v>1</v>
      </c>
      <c r="BK60" s="104">
        <v>3</v>
      </c>
      <c r="BL60" s="104">
        <v>2</v>
      </c>
      <c r="BM60" s="107">
        <f t="shared" si="62"/>
        <v>1.02240937572605</v>
      </c>
      <c r="BN60" s="107">
        <f t="shared" si="63"/>
        <v>2.0007085286625754</v>
      </c>
      <c r="BO60" s="107" t="str">
        <f t="shared" si="64"/>
        <v>(1,2,1,2,1,1)</v>
      </c>
      <c r="BP60" s="108">
        <v>1</v>
      </c>
      <c r="BQ60" s="108">
        <v>1.02</v>
      </c>
      <c r="BR60" s="108">
        <v>1</v>
      </c>
      <c r="BS60" s="108">
        <v>1.01</v>
      </c>
      <c r="BT60" s="108">
        <v>1</v>
      </c>
      <c r="BU60" s="108">
        <v>1</v>
      </c>
      <c r="BW60" s="691"/>
      <c r="BX60" s="339" t="s">
        <v>106</v>
      </c>
      <c r="BY60" s="339" t="s">
        <v>106</v>
      </c>
      <c r="BZ60" s="339" t="s">
        <v>106</v>
      </c>
      <c r="CA60" s="339" t="s">
        <v>106</v>
      </c>
      <c r="CB60" s="339" t="s">
        <v>106</v>
      </c>
      <c r="CC60" s="339" t="s">
        <v>106</v>
      </c>
      <c r="CD60" s="104">
        <v>3</v>
      </c>
      <c r="CE60" s="104">
        <v>2</v>
      </c>
      <c r="CF60" s="107">
        <f t="shared" si="65"/>
        <v>1</v>
      </c>
      <c r="CG60" s="107">
        <f t="shared" si="66"/>
        <v>2</v>
      </c>
      <c r="CH60" s="107" t="str">
        <f t="shared" si="67"/>
        <v>(na,na,na,na,na,na)</v>
      </c>
      <c r="CI60" s="108">
        <v>1</v>
      </c>
      <c r="CJ60" s="108">
        <v>1</v>
      </c>
      <c r="CK60" s="108">
        <v>1</v>
      </c>
      <c r="CL60" s="108">
        <v>1</v>
      </c>
      <c r="CM60" s="108">
        <v>1</v>
      </c>
      <c r="CN60" s="108">
        <v>1</v>
      </c>
    </row>
    <row r="61" spans="1:92" s="171" customFormat="1" ht="24">
      <c r="A61" s="333">
        <v>257458</v>
      </c>
      <c r="B61" s="216"/>
      <c r="C61" s="334"/>
      <c r="D61" s="342">
        <v>5</v>
      </c>
      <c r="E61" s="343" t="s">
        <v>98</v>
      </c>
      <c r="F61" s="437" t="s">
        <v>490</v>
      </c>
      <c r="G61" s="438" t="s">
        <v>382</v>
      </c>
      <c r="H61" s="439" t="s">
        <v>98</v>
      </c>
      <c r="I61" s="439" t="s">
        <v>98</v>
      </c>
      <c r="J61" s="335">
        <v>0</v>
      </c>
      <c r="K61" s="438" t="s">
        <v>96</v>
      </c>
      <c r="L61" s="440">
        <v>0</v>
      </c>
      <c r="M61" s="336">
        <v>1</v>
      </c>
      <c r="N61" s="337">
        <f t="shared" si="42"/>
        <v>2.0007085286625754</v>
      </c>
      <c r="O61" s="455" t="str">
        <f t="shared" si="43"/>
        <v>(1,2,1,2,1,1); Industry data (French tender) MY iso RoW</v>
      </c>
      <c r="P61" s="440">
        <v>0</v>
      </c>
      <c r="Q61" s="336">
        <v>1</v>
      </c>
      <c r="R61" s="337">
        <f t="shared" si="44"/>
        <v>2.0007085286625754</v>
      </c>
      <c r="S61" s="455" t="str">
        <f t="shared" si="45"/>
        <v>(1,2,1,2,1,1); Industry data (French tender) MY iso RoW</v>
      </c>
      <c r="T61" s="440">
        <v>0</v>
      </c>
      <c r="U61" s="336">
        <v>1</v>
      </c>
      <c r="V61" s="337">
        <f t="shared" si="46"/>
        <v>2.0007085286625754</v>
      </c>
      <c r="W61" s="455" t="str">
        <f t="shared" si="47"/>
        <v>(1,2,1,2,1,1); Industry data (French tender) MY iso RoW</v>
      </c>
      <c r="X61" s="440">
        <v>0</v>
      </c>
      <c r="Y61" s="336">
        <v>1</v>
      </c>
      <c r="Z61" s="337">
        <f t="shared" si="48"/>
        <v>2.0007085286625754</v>
      </c>
      <c r="AA61" s="455" t="str">
        <f t="shared" si="49"/>
        <v>(1,2,1,2,1,1); Industry data (French tender) MY iso RoW</v>
      </c>
      <c r="AB61" s="440">
        <f>BA61*$J$105</f>
        <v>3.0976991595135939</v>
      </c>
      <c r="AC61" s="336">
        <v>1</v>
      </c>
      <c r="AD61" s="337">
        <f t="shared" si="50"/>
        <v>2.0007085286625754</v>
      </c>
      <c r="AE61" s="455" t="str">
        <f t="shared" si="51"/>
        <v>(1,2,1,2,1,1); Industry data (French tender) MY iso RoW</v>
      </c>
      <c r="AF61" s="440">
        <f>BB61*$J$105</f>
        <v>3.0976991595135939</v>
      </c>
      <c r="AG61" s="336">
        <v>1</v>
      </c>
      <c r="AH61" s="337">
        <f t="shared" si="52"/>
        <v>2.0007085286625754</v>
      </c>
      <c r="AI61" s="455" t="str">
        <f t="shared" si="53"/>
        <v>(1,2,1,2,1,1); Industry data (French tender) MY iso RoW</v>
      </c>
      <c r="AJ61" s="440">
        <v>0</v>
      </c>
      <c r="AK61" s="336">
        <v>1</v>
      </c>
      <c r="AL61" s="337">
        <f t="shared" si="54"/>
        <v>2.0007085286625754</v>
      </c>
      <c r="AM61" s="455" t="str">
        <f t="shared" si="55"/>
        <v>(1,2,1,2,1,1); Industry data (French tender) MY iso RoW</v>
      </c>
      <c r="AN61" s="440">
        <v>0</v>
      </c>
      <c r="AO61" s="336">
        <v>1</v>
      </c>
      <c r="AP61" s="337">
        <f t="shared" si="56"/>
        <v>2.0007085286625754</v>
      </c>
      <c r="AQ61" s="455" t="str">
        <f t="shared" si="57"/>
        <v>(1,2,1,2,1,1); Industry data (French tender) MY iso RoW</v>
      </c>
      <c r="AR61" s="440">
        <v>0</v>
      </c>
      <c r="AS61" s="336">
        <v>1</v>
      </c>
      <c r="AT61" s="337">
        <f t="shared" si="58"/>
        <v>2</v>
      </c>
      <c r="AU61" s="455" t="str">
        <f t="shared" si="59"/>
        <v xml:space="preserve">(na,na,na,na,na,na); </v>
      </c>
      <c r="AV61" s="440">
        <v>0</v>
      </c>
      <c r="AW61" s="336">
        <v>1</v>
      </c>
      <c r="AX61" s="337">
        <f t="shared" si="60"/>
        <v>2</v>
      </c>
      <c r="AY61" s="437" t="str">
        <f t="shared" si="61"/>
        <v xml:space="preserve">(na,na,na,na,na,na); </v>
      </c>
      <c r="AZ61" s="338"/>
      <c r="BA61" s="440">
        <v>19.825274620887001</v>
      </c>
      <c r="BB61" s="440">
        <v>19.825274620887001</v>
      </c>
      <c r="BC61" s="440"/>
      <c r="BD61" s="691" t="s">
        <v>855</v>
      </c>
      <c r="BE61" s="83">
        <v>1</v>
      </c>
      <c r="BF61" s="83">
        <v>2</v>
      </c>
      <c r="BG61" s="83">
        <v>1</v>
      </c>
      <c r="BH61" s="83">
        <v>2</v>
      </c>
      <c r="BI61" s="83">
        <v>1</v>
      </c>
      <c r="BJ61" s="83">
        <v>1</v>
      </c>
      <c r="BK61" s="104">
        <v>3</v>
      </c>
      <c r="BL61" s="104">
        <v>2</v>
      </c>
      <c r="BM61" s="107">
        <f t="shared" si="62"/>
        <v>1.02240937572605</v>
      </c>
      <c r="BN61" s="107">
        <f t="shared" si="63"/>
        <v>2.0007085286625754</v>
      </c>
      <c r="BO61" s="107" t="str">
        <f t="shared" si="64"/>
        <v>(1,2,1,2,1,1)</v>
      </c>
      <c r="BP61" s="108">
        <v>1</v>
      </c>
      <c r="BQ61" s="108">
        <v>1.02</v>
      </c>
      <c r="BR61" s="108">
        <v>1</v>
      </c>
      <c r="BS61" s="108">
        <v>1.01</v>
      </c>
      <c r="BT61" s="108">
        <v>1</v>
      </c>
      <c r="BU61" s="108">
        <v>1</v>
      </c>
      <c r="BW61" s="691"/>
      <c r="BX61" s="339" t="s">
        <v>106</v>
      </c>
      <c r="BY61" s="339" t="s">
        <v>106</v>
      </c>
      <c r="BZ61" s="339" t="s">
        <v>106</v>
      </c>
      <c r="CA61" s="339" t="s">
        <v>106</v>
      </c>
      <c r="CB61" s="339" t="s">
        <v>106</v>
      </c>
      <c r="CC61" s="339" t="s">
        <v>106</v>
      </c>
      <c r="CD61" s="104">
        <v>3</v>
      </c>
      <c r="CE61" s="104">
        <v>2</v>
      </c>
      <c r="CF61" s="107">
        <f t="shared" si="65"/>
        <v>1</v>
      </c>
      <c r="CG61" s="107">
        <f t="shared" si="66"/>
        <v>2</v>
      </c>
      <c r="CH61" s="107" t="str">
        <f t="shared" si="67"/>
        <v>(na,na,na,na,na,na)</v>
      </c>
      <c r="CI61" s="108">
        <v>1</v>
      </c>
      <c r="CJ61" s="108">
        <v>1</v>
      </c>
      <c r="CK61" s="108">
        <v>1</v>
      </c>
      <c r="CL61" s="108">
        <v>1</v>
      </c>
      <c r="CM61" s="108">
        <v>1</v>
      </c>
      <c r="CN61" s="108">
        <v>1</v>
      </c>
    </row>
    <row r="62" spans="1:92" s="171" customFormat="1" ht="24">
      <c r="A62" s="333">
        <v>255813</v>
      </c>
      <c r="B62" s="216"/>
      <c r="C62" s="334"/>
      <c r="D62" s="342">
        <v>5</v>
      </c>
      <c r="E62" s="343" t="s">
        <v>98</v>
      </c>
      <c r="F62" s="437" t="s">
        <v>649</v>
      </c>
      <c r="G62" s="438" t="s">
        <v>643</v>
      </c>
      <c r="H62" s="439" t="s">
        <v>98</v>
      </c>
      <c r="I62" s="439" t="s">
        <v>98</v>
      </c>
      <c r="J62" s="335">
        <v>0</v>
      </c>
      <c r="K62" s="438" t="s">
        <v>96</v>
      </c>
      <c r="L62" s="440">
        <v>0</v>
      </c>
      <c r="M62" s="336">
        <v>1</v>
      </c>
      <c r="N62" s="337">
        <f t="shared" si="42"/>
        <v>2.0007085286625754</v>
      </c>
      <c r="O62" s="455" t="str">
        <f t="shared" si="43"/>
        <v>(1,2,1,2,1,1); Industry data (French tender) TH iso RoW</v>
      </c>
      <c r="P62" s="440">
        <v>0</v>
      </c>
      <c r="Q62" s="336">
        <v>1</v>
      </c>
      <c r="R62" s="337">
        <f t="shared" si="44"/>
        <v>2.0007085286625754</v>
      </c>
      <c r="S62" s="455" t="str">
        <f t="shared" si="45"/>
        <v>(1,2,1,2,1,1); Industry data (French tender) TH iso RoW</v>
      </c>
      <c r="T62" s="440">
        <v>0</v>
      </c>
      <c r="U62" s="336">
        <v>1</v>
      </c>
      <c r="V62" s="337">
        <f t="shared" si="46"/>
        <v>2.0007085286625754</v>
      </c>
      <c r="W62" s="455" t="str">
        <f t="shared" si="47"/>
        <v>(1,2,1,2,1,1); Industry data (French tender) TH iso RoW</v>
      </c>
      <c r="X62" s="440">
        <v>0</v>
      </c>
      <c r="Y62" s="336">
        <v>1</v>
      </c>
      <c r="Z62" s="337">
        <f t="shared" si="48"/>
        <v>2.0007085286625754</v>
      </c>
      <c r="AA62" s="455" t="str">
        <f t="shared" si="49"/>
        <v>(1,2,1,2,1,1); Industry data (French tender) TH iso RoW</v>
      </c>
      <c r="AB62" s="440">
        <f>BA62*$J$106</f>
        <v>2.4781593276108751</v>
      </c>
      <c r="AC62" s="336">
        <v>1</v>
      </c>
      <c r="AD62" s="337">
        <f t="shared" si="50"/>
        <v>2.0007085286625754</v>
      </c>
      <c r="AE62" s="455" t="str">
        <f t="shared" si="51"/>
        <v>(1,2,1,2,1,1); Industry data (French tender) TH iso RoW</v>
      </c>
      <c r="AF62" s="440">
        <f>BB62*$J$106</f>
        <v>2.4781593276108751</v>
      </c>
      <c r="AG62" s="336">
        <v>1</v>
      </c>
      <c r="AH62" s="337">
        <f t="shared" si="52"/>
        <v>2.0007085286625754</v>
      </c>
      <c r="AI62" s="455" t="str">
        <f t="shared" si="53"/>
        <v>(1,2,1,2,1,1); Industry data (French tender) TH iso RoW</v>
      </c>
      <c r="AJ62" s="440">
        <v>0</v>
      </c>
      <c r="AK62" s="336">
        <v>1</v>
      </c>
      <c r="AL62" s="337">
        <f t="shared" si="54"/>
        <v>2.0007085286625754</v>
      </c>
      <c r="AM62" s="455" t="str">
        <f t="shared" si="55"/>
        <v>(1,2,1,2,1,1); Industry data (French tender) TH iso RoW</v>
      </c>
      <c r="AN62" s="440">
        <v>0</v>
      </c>
      <c r="AO62" s="336">
        <v>1</v>
      </c>
      <c r="AP62" s="337">
        <f t="shared" si="56"/>
        <v>2.0007085286625754</v>
      </c>
      <c r="AQ62" s="455" t="str">
        <f t="shared" si="57"/>
        <v>(1,2,1,2,1,1); Industry data (French tender) TH iso RoW</v>
      </c>
      <c r="AR62" s="440">
        <v>0</v>
      </c>
      <c r="AS62" s="336">
        <v>1</v>
      </c>
      <c r="AT62" s="337">
        <f t="shared" si="58"/>
        <v>2</v>
      </c>
      <c r="AU62" s="455" t="str">
        <f t="shared" si="59"/>
        <v xml:space="preserve">(na,na,na,na,na,na); </v>
      </c>
      <c r="AV62" s="440">
        <v>0</v>
      </c>
      <c r="AW62" s="336">
        <v>1</v>
      </c>
      <c r="AX62" s="337">
        <f t="shared" si="60"/>
        <v>2</v>
      </c>
      <c r="AY62" s="437" t="str">
        <f t="shared" si="61"/>
        <v xml:space="preserve">(na,na,na,na,na,na); </v>
      </c>
      <c r="AZ62" s="338"/>
      <c r="BA62" s="440">
        <v>19.825274620887001</v>
      </c>
      <c r="BB62" s="440">
        <v>19.825274620887001</v>
      </c>
      <c r="BC62" s="440"/>
      <c r="BD62" s="691" t="s">
        <v>856</v>
      </c>
      <c r="BE62" s="83">
        <v>1</v>
      </c>
      <c r="BF62" s="83">
        <v>2</v>
      </c>
      <c r="BG62" s="83">
        <v>1</v>
      </c>
      <c r="BH62" s="83">
        <v>2</v>
      </c>
      <c r="BI62" s="83">
        <v>1</v>
      </c>
      <c r="BJ62" s="83">
        <v>1</v>
      </c>
      <c r="BK62" s="104">
        <v>3</v>
      </c>
      <c r="BL62" s="104">
        <v>2</v>
      </c>
      <c r="BM62" s="107">
        <f t="shared" si="62"/>
        <v>1.02240937572605</v>
      </c>
      <c r="BN62" s="107">
        <f t="shared" si="63"/>
        <v>2.0007085286625754</v>
      </c>
      <c r="BO62" s="107" t="str">
        <f t="shared" si="64"/>
        <v>(1,2,1,2,1,1)</v>
      </c>
      <c r="BP62" s="108">
        <v>1</v>
      </c>
      <c r="BQ62" s="108">
        <v>1.02</v>
      </c>
      <c r="BR62" s="108">
        <v>1</v>
      </c>
      <c r="BS62" s="108">
        <v>1.01</v>
      </c>
      <c r="BT62" s="108">
        <v>1</v>
      </c>
      <c r="BU62" s="108">
        <v>1</v>
      </c>
      <c r="BW62" s="691"/>
      <c r="BX62" s="339" t="s">
        <v>106</v>
      </c>
      <c r="BY62" s="339" t="s">
        <v>106</v>
      </c>
      <c r="BZ62" s="339" t="s">
        <v>106</v>
      </c>
      <c r="CA62" s="339" t="s">
        <v>106</v>
      </c>
      <c r="CB62" s="339" t="s">
        <v>106</v>
      </c>
      <c r="CC62" s="339" t="s">
        <v>106</v>
      </c>
      <c r="CD62" s="104">
        <v>3</v>
      </c>
      <c r="CE62" s="104">
        <v>2</v>
      </c>
      <c r="CF62" s="107">
        <f t="shared" si="65"/>
        <v>1</v>
      </c>
      <c r="CG62" s="107">
        <f t="shared" si="66"/>
        <v>2</v>
      </c>
      <c r="CH62" s="107" t="str">
        <f t="shared" si="67"/>
        <v>(na,na,na,na,na,na)</v>
      </c>
      <c r="CI62" s="108">
        <v>1</v>
      </c>
      <c r="CJ62" s="108">
        <v>1</v>
      </c>
      <c r="CK62" s="108">
        <v>1</v>
      </c>
      <c r="CL62" s="108">
        <v>1</v>
      </c>
      <c r="CM62" s="108">
        <v>1</v>
      </c>
      <c r="CN62" s="108">
        <v>1</v>
      </c>
    </row>
    <row r="63" spans="1:92" s="171" customFormat="1" ht="24">
      <c r="A63" s="333" t="s">
        <v>650</v>
      </c>
      <c r="B63" s="216"/>
      <c r="C63" s="334"/>
      <c r="D63" s="342">
        <v>5</v>
      </c>
      <c r="E63" s="343" t="s">
        <v>98</v>
      </c>
      <c r="F63" s="437" t="s">
        <v>651</v>
      </c>
      <c r="G63" s="438" t="s">
        <v>647</v>
      </c>
      <c r="H63" s="439" t="s">
        <v>98</v>
      </c>
      <c r="I63" s="439" t="s">
        <v>98</v>
      </c>
      <c r="J63" s="335">
        <v>0</v>
      </c>
      <c r="K63" s="438" t="s">
        <v>96</v>
      </c>
      <c r="L63" s="440">
        <v>0</v>
      </c>
      <c r="M63" s="336">
        <v>1</v>
      </c>
      <c r="N63" s="337">
        <f t="shared" si="42"/>
        <v>2.0007085286625754</v>
      </c>
      <c r="O63" s="455" t="str">
        <f t="shared" si="43"/>
        <v>(1,2,1,2,1,1); Industry data (French tender) VN iso RoW</v>
      </c>
      <c r="P63" s="440">
        <v>0</v>
      </c>
      <c r="Q63" s="336">
        <v>1</v>
      </c>
      <c r="R63" s="337">
        <f t="shared" si="44"/>
        <v>2.0007085286625754</v>
      </c>
      <c r="S63" s="455" t="str">
        <f t="shared" si="45"/>
        <v>(1,2,1,2,1,1); Industry data (French tender) VN iso RoW</v>
      </c>
      <c r="T63" s="440">
        <v>0</v>
      </c>
      <c r="U63" s="336">
        <v>1</v>
      </c>
      <c r="V63" s="337">
        <f t="shared" si="46"/>
        <v>2.0007085286625754</v>
      </c>
      <c r="W63" s="455" t="str">
        <f t="shared" si="47"/>
        <v>(1,2,1,2,1,1); Industry data (French tender) VN iso RoW</v>
      </c>
      <c r="X63" s="440">
        <v>0</v>
      </c>
      <c r="Y63" s="336">
        <v>1</v>
      </c>
      <c r="Z63" s="337">
        <f t="shared" si="48"/>
        <v>2.0007085286625754</v>
      </c>
      <c r="AA63" s="455" t="str">
        <f t="shared" si="49"/>
        <v>(1,2,1,2,1,1); Industry data (French tender) VN iso RoW</v>
      </c>
      <c r="AB63" s="440">
        <f>BA63*$J$107</f>
        <v>14.249416133762532</v>
      </c>
      <c r="AC63" s="336">
        <v>1</v>
      </c>
      <c r="AD63" s="337">
        <f t="shared" si="50"/>
        <v>2.0007085286625754</v>
      </c>
      <c r="AE63" s="455" t="str">
        <f t="shared" si="51"/>
        <v>(1,2,1,2,1,1); Industry data (French tender) VN iso RoW</v>
      </c>
      <c r="AF63" s="440">
        <f>BB63*$J$107</f>
        <v>14.249416133762532</v>
      </c>
      <c r="AG63" s="336">
        <v>1</v>
      </c>
      <c r="AH63" s="337">
        <f t="shared" si="52"/>
        <v>2.0007085286625754</v>
      </c>
      <c r="AI63" s="455" t="str">
        <f t="shared" si="53"/>
        <v>(1,2,1,2,1,1); Industry data (French tender) VN iso RoW</v>
      </c>
      <c r="AJ63" s="440">
        <v>0</v>
      </c>
      <c r="AK63" s="336">
        <v>1</v>
      </c>
      <c r="AL63" s="337">
        <f t="shared" si="54"/>
        <v>2.0007085286625754</v>
      </c>
      <c r="AM63" s="455" t="str">
        <f t="shared" si="55"/>
        <v>(1,2,1,2,1,1); Industry data (French tender) VN iso RoW</v>
      </c>
      <c r="AN63" s="440">
        <v>0</v>
      </c>
      <c r="AO63" s="336">
        <v>1</v>
      </c>
      <c r="AP63" s="337">
        <f t="shared" si="56"/>
        <v>2.0007085286625754</v>
      </c>
      <c r="AQ63" s="455" t="str">
        <f t="shared" si="57"/>
        <v>(1,2,1,2,1,1); Industry data (French tender) VN iso RoW</v>
      </c>
      <c r="AR63" s="440">
        <v>0</v>
      </c>
      <c r="AS63" s="336">
        <v>1</v>
      </c>
      <c r="AT63" s="337">
        <f t="shared" si="58"/>
        <v>2</v>
      </c>
      <c r="AU63" s="455" t="str">
        <f t="shared" si="59"/>
        <v xml:space="preserve">(na,na,na,na,na,na); </v>
      </c>
      <c r="AV63" s="440">
        <v>0</v>
      </c>
      <c r="AW63" s="336">
        <v>1</v>
      </c>
      <c r="AX63" s="337">
        <f t="shared" si="60"/>
        <v>2</v>
      </c>
      <c r="AY63" s="437" t="str">
        <f t="shared" si="61"/>
        <v xml:space="preserve">(na,na,na,na,na,na); </v>
      </c>
      <c r="AZ63" s="338"/>
      <c r="BA63" s="440">
        <v>19.825274620887001</v>
      </c>
      <c r="BB63" s="440">
        <v>19.825274620887001</v>
      </c>
      <c r="BC63" s="440"/>
      <c r="BD63" s="691" t="s">
        <v>857</v>
      </c>
      <c r="BE63" s="83">
        <v>1</v>
      </c>
      <c r="BF63" s="83">
        <v>2</v>
      </c>
      <c r="BG63" s="83">
        <v>1</v>
      </c>
      <c r="BH63" s="83">
        <v>2</v>
      </c>
      <c r="BI63" s="83">
        <v>1</v>
      </c>
      <c r="BJ63" s="83">
        <v>1</v>
      </c>
      <c r="BK63" s="104">
        <v>9</v>
      </c>
      <c r="BL63" s="104">
        <v>2</v>
      </c>
      <c r="BM63" s="107">
        <f t="shared" si="62"/>
        <v>1.02240937572605</v>
      </c>
      <c r="BN63" s="107">
        <f t="shared" si="63"/>
        <v>2.0007085286625754</v>
      </c>
      <c r="BO63" s="107" t="str">
        <f t="shared" si="64"/>
        <v>(1,2,1,2,1,1)</v>
      </c>
      <c r="BP63" s="108">
        <v>1</v>
      </c>
      <c r="BQ63" s="108">
        <v>1.02</v>
      </c>
      <c r="BR63" s="108">
        <v>1</v>
      </c>
      <c r="BS63" s="108">
        <v>1.01</v>
      </c>
      <c r="BT63" s="108">
        <v>1</v>
      </c>
      <c r="BU63" s="108">
        <v>1</v>
      </c>
      <c r="BW63" s="691"/>
      <c r="BX63" s="339" t="s">
        <v>106</v>
      </c>
      <c r="BY63" s="339" t="s">
        <v>106</v>
      </c>
      <c r="BZ63" s="339" t="s">
        <v>106</v>
      </c>
      <c r="CA63" s="339" t="s">
        <v>106</v>
      </c>
      <c r="CB63" s="339" t="s">
        <v>106</v>
      </c>
      <c r="CC63" s="339" t="s">
        <v>106</v>
      </c>
      <c r="CD63" s="104">
        <v>9</v>
      </c>
      <c r="CE63" s="104">
        <v>2</v>
      </c>
      <c r="CF63" s="107">
        <f t="shared" si="65"/>
        <v>1</v>
      </c>
      <c r="CG63" s="107">
        <f t="shared" si="66"/>
        <v>2</v>
      </c>
      <c r="CH63" s="107" t="str">
        <f t="shared" si="67"/>
        <v>(na,na,na,na,na,na)</v>
      </c>
      <c r="CI63" s="108">
        <v>1</v>
      </c>
      <c r="CJ63" s="108">
        <v>1</v>
      </c>
      <c r="CK63" s="108">
        <v>1</v>
      </c>
      <c r="CL63" s="108">
        <v>1</v>
      </c>
      <c r="CM63" s="108">
        <v>1</v>
      </c>
      <c r="CN63" s="108">
        <v>1</v>
      </c>
    </row>
    <row r="64" spans="1:92" s="171" customFormat="1" ht="24" collapsed="1">
      <c r="A64" s="333">
        <v>265573</v>
      </c>
      <c r="B64" s="216"/>
      <c r="C64" s="334"/>
      <c r="D64" s="342">
        <v>5</v>
      </c>
      <c r="E64" s="343" t="s">
        <v>98</v>
      </c>
      <c r="F64" s="437" t="s">
        <v>487</v>
      </c>
      <c r="G64" s="438" t="s">
        <v>93</v>
      </c>
      <c r="H64" s="439" t="s">
        <v>98</v>
      </c>
      <c r="I64" s="439" t="s">
        <v>98</v>
      </c>
      <c r="J64" s="335">
        <v>0</v>
      </c>
      <c r="K64" s="438" t="s">
        <v>96</v>
      </c>
      <c r="L64" s="440">
        <v>0</v>
      </c>
      <c r="M64" s="336">
        <v>1</v>
      </c>
      <c r="N64" s="337">
        <f t="shared" si="42"/>
        <v>1.0550494334557461</v>
      </c>
      <c r="O64" s="455" t="str">
        <f t="shared" si="43"/>
        <v>(1,2,1,2,1,1); Industry data (French tender) RER iso RoW</v>
      </c>
      <c r="P64" s="440">
        <v>0</v>
      </c>
      <c r="Q64" s="336">
        <v>1</v>
      </c>
      <c r="R64" s="337">
        <f t="shared" si="44"/>
        <v>1.0550494334557461</v>
      </c>
      <c r="S64" s="455" t="str">
        <f t="shared" si="45"/>
        <v>(1,2,1,2,1,1); Industry data (French tender) RER iso RoW</v>
      </c>
      <c r="T64" s="440">
        <f>L64</f>
        <v>0</v>
      </c>
      <c r="U64" s="336">
        <v>1</v>
      </c>
      <c r="V64" s="337">
        <f t="shared" si="46"/>
        <v>1.0550494334557461</v>
      </c>
      <c r="W64" s="455" t="str">
        <f t="shared" si="47"/>
        <v>(1,2,1,2,1,1); Industry data (French tender) RER iso RoW</v>
      </c>
      <c r="X64" s="440">
        <f>P64</f>
        <v>0</v>
      </c>
      <c r="Y64" s="336">
        <v>1</v>
      </c>
      <c r="Z64" s="337">
        <f t="shared" si="48"/>
        <v>1.0550494334557461</v>
      </c>
      <c r="AA64" s="437" t="str">
        <f t="shared" si="49"/>
        <v>(1,2,1,2,1,1); Industry data (French tender) RER iso RoW</v>
      </c>
      <c r="AB64" s="440">
        <f>P64</f>
        <v>0</v>
      </c>
      <c r="AC64" s="336">
        <v>1</v>
      </c>
      <c r="AD64" s="337">
        <f t="shared" si="50"/>
        <v>1.0550494334557461</v>
      </c>
      <c r="AE64" s="455" t="str">
        <f t="shared" si="51"/>
        <v>(1,2,1,2,1,1); Industry data (French tender) RER iso RoW</v>
      </c>
      <c r="AF64" s="440">
        <f>P64</f>
        <v>0</v>
      </c>
      <c r="AG64" s="336">
        <v>1</v>
      </c>
      <c r="AH64" s="337">
        <f t="shared" si="52"/>
        <v>1.0550494334557461</v>
      </c>
      <c r="AI64" s="455" t="str">
        <f t="shared" si="53"/>
        <v>(1,2,1,2,1,1); Industry data (French tender) RER iso RoW</v>
      </c>
      <c r="AJ64" s="440">
        <f>BA64</f>
        <v>19.825274620887001</v>
      </c>
      <c r="AK64" s="336">
        <v>1</v>
      </c>
      <c r="AL64" s="337">
        <f t="shared" si="54"/>
        <v>1.0550494334557461</v>
      </c>
      <c r="AM64" s="455" t="str">
        <f t="shared" si="55"/>
        <v>(1,2,1,2,1,1); Industry data (French tender) RER iso RoW</v>
      </c>
      <c r="AN64" s="440">
        <f>BB64</f>
        <v>19.825274620887001</v>
      </c>
      <c r="AO64" s="336">
        <v>1</v>
      </c>
      <c r="AP64" s="337">
        <f t="shared" si="56"/>
        <v>1.0550494334557461</v>
      </c>
      <c r="AQ64" s="437" t="str">
        <f t="shared" si="57"/>
        <v>(1,2,1,2,1,1); Industry data (French tender) RER iso RoW</v>
      </c>
      <c r="AR64" s="440">
        <v>45.341921739130399</v>
      </c>
      <c r="AS64" s="336">
        <v>1</v>
      </c>
      <c r="AT64" s="337">
        <f t="shared" si="58"/>
        <v>1.2434566510799234</v>
      </c>
      <c r="AU64" s="455" t="str">
        <f t="shared" si="59"/>
        <v>(2,4,1,3,1,5); Brailovsky (2026)  GM 04; at plant iso market</v>
      </c>
      <c r="AV64" s="440">
        <v>0</v>
      </c>
      <c r="AW64" s="336">
        <v>1</v>
      </c>
      <c r="AX64" s="337">
        <f t="shared" si="60"/>
        <v>1.2434566510799234</v>
      </c>
      <c r="AY64" s="437" t="str">
        <f t="shared" si="61"/>
        <v>(2,4,1,3,1,5); Brailovsky (2026)  GM 04; at plant iso market</v>
      </c>
      <c r="AZ64" s="338"/>
      <c r="BA64" s="440">
        <v>19.825274620887001</v>
      </c>
      <c r="BB64" s="440">
        <v>19.825274620887001</v>
      </c>
      <c r="BC64" s="440"/>
      <c r="BD64" s="216" t="s">
        <v>858</v>
      </c>
      <c r="BE64" s="83">
        <v>1</v>
      </c>
      <c r="BF64" s="83">
        <v>2</v>
      </c>
      <c r="BG64" s="83">
        <v>1</v>
      </c>
      <c r="BH64" s="83">
        <v>2</v>
      </c>
      <c r="BI64" s="83">
        <v>1</v>
      </c>
      <c r="BJ64" s="83">
        <v>1</v>
      </c>
      <c r="BK64" s="104">
        <v>3</v>
      </c>
      <c r="BL64" s="104">
        <v>1.05</v>
      </c>
      <c r="BM64" s="107">
        <f t="shared" si="62"/>
        <v>1.02240937572605</v>
      </c>
      <c r="BN64" s="107">
        <f t="shared" si="63"/>
        <v>1.0550494334557461</v>
      </c>
      <c r="BO64" s="107" t="str">
        <f t="shared" si="64"/>
        <v>(1,2,1,2,1,1)</v>
      </c>
      <c r="BP64" s="108">
        <v>1</v>
      </c>
      <c r="BQ64" s="108">
        <v>1.02</v>
      </c>
      <c r="BR64" s="108">
        <v>1</v>
      </c>
      <c r="BS64" s="108">
        <v>1.01</v>
      </c>
      <c r="BT64" s="108">
        <v>1</v>
      </c>
      <c r="BU64" s="108">
        <v>1</v>
      </c>
      <c r="BW64" s="691" t="s">
        <v>853</v>
      </c>
      <c r="BX64" s="83">
        <v>2</v>
      </c>
      <c r="BY64" s="83">
        <v>4</v>
      </c>
      <c r="BZ64" s="83">
        <v>1</v>
      </c>
      <c r="CA64" s="83">
        <v>3</v>
      </c>
      <c r="CB64" s="83">
        <v>1</v>
      </c>
      <c r="CC64" s="83">
        <v>5</v>
      </c>
      <c r="CD64" s="104">
        <v>3</v>
      </c>
      <c r="CE64" s="104">
        <v>1.05</v>
      </c>
      <c r="CF64" s="107">
        <f t="shared" si="65"/>
        <v>1.2365959919080913</v>
      </c>
      <c r="CG64" s="107">
        <f t="shared" si="66"/>
        <v>1.2434566510799234</v>
      </c>
      <c r="CH64" s="107" t="str">
        <f t="shared" si="67"/>
        <v>(2,4,1,3,1,5)</v>
      </c>
      <c r="CI64" s="108">
        <v>1.05</v>
      </c>
      <c r="CJ64" s="108">
        <v>1.1000000000000001</v>
      </c>
      <c r="CK64" s="108">
        <v>1</v>
      </c>
      <c r="CL64" s="108">
        <v>1.02</v>
      </c>
      <c r="CM64" s="108">
        <v>1</v>
      </c>
      <c r="CN64" s="108">
        <v>1.2</v>
      </c>
    </row>
    <row r="65" spans="1:92" s="171" customFormat="1" ht="36">
      <c r="A65" s="333">
        <v>79239</v>
      </c>
      <c r="B65" s="216" t="s">
        <v>511</v>
      </c>
      <c r="C65" s="334"/>
      <c r="D65" s="342">
        <v>5</v>
      </c>
      <c r="E65" s="343" t="s">
        <v>98</v>
      </c>
      <c r="F65" s="437" t="s">
        <v>512</v>
      </c>
      <c r="G65" s="438" t="s">
        <v>103</v>
      </c>
      <c r="H65" s="439" t="s">
        <v>98</v>
      </c>
      <c r="I65" s="439" t="s">
        <v>98</v>
      </c>
      <c r="J65" s="335">
        <v>0</v>
      </c>
      <c r="K65" s="438" t="s">
        <v>96</v>
      </c>
      <c r="L65" s="440">
        <f>AJ65</f>
        <v>3.1343824511206502E-3</v>
      </c>
      <c r="M65" s="336">
        <v>1</v>
      </c>
      <c r="N65" s="337">
        <f t="shared" si="42"/>
        <v>1.0722009304576894</v>
      </c>
      <c r="O65" s="455" t="str">
        <f t="shared" si="43"/>
        <v>(2,1,1,2,1,1); Industry data (French tender)</v>
      </c>
      <c r="P65" s="440">
        <f>AN65</f>
        <v>3.1343824511206502E-3</v>
      </c>
      <c r="Q65" s="336">
        <v>1</v>
      </c>
      <c r="R65" s="337">
        <f t="shared" si="44"/>
        <v>1.0722009304576894</v>
      </c>
      <c r="S65" s="455" t="str">
        <f t="shared" si="45"/>
        <v>(2,1,1,2,1,1); Industry data (French tender)</v>
      </c>
      <c r="T65" s="440">
        <f>L65</f>
        <v>3.1343824511206502E-3</v>
      </c>
      <c r="U65" s="336">
        <v>1</v>
      </c>
      <c r="V65" s="337">
        <f t="shared" si="46"/>
        <v>1.0722009304576894</v>
      </c>
      <c r="W65" s="455" t="str">
        <f t="shared" si="47"/>
        <v>(2,1,1,2,1,1); Industry data (French tender)</v>
      </c>
      <c r="X65" s="440">
        <f>P65</f>
        <v>3.1343824511206502E-3</v>
      </c>
      <c r="Y65" s="336">
        <v>1</v>
      </c>
      <c r="Z65" s="337">
        <f t="shared" si="48"/>
        <v>1.0722009304576894</v>
      </c>
      <c r="AA65" s="437" t="str">
        <f t="shared" si="49"/>
        <v>(2,1,1,2,1,1); Industry data (French tender)</v>
      </c>
      <c r="AB65" s="440">
        <f>P65</f>
        <v>3.1343824511206502E-3</v>
      </c>
      <c r="AC65" s="336">
        <v>1</v>
      </c>
      <c r="AD65" s="337">
        <f t="shared" si="50"/>
        <v>1.0722009304576894</v>
      </c>
      <c r="AE65" s="455" t="str">
        <f t="shared" si="51"/>
        <v>(2,1,1,2,1,1); Industry data (French tender)</v>
      </c>
      <c r="AF65" s="440">
        <f>P65</f>
        <v>3.1343824511206502E-3</v>
      </c>
      <c r="AG65" s="336">
        <v>1</v>
      </c>
      <c r="AH65" s="337">
        <f t="shared" si="52"/>
        <v>1.0722009304576894</v>
      </c>
      <c r="AI65" s="455" t="str">
        <f t="shared" si="53"/>
        <v>(2,1,1,2,1,1); Industry data (French tender)</v>
      </c>
      <c r="AJ65" s="440">
        <f>BA65</f>
        <v>3.1343824511206502E-3</v>
      </c>
      <c r="AK65" s="336">
        <v>1</v>
      </c>
      <c r="AL65" s="337">
        <f t="shared" si="54"/>
        <v>1.0722009304576894</v>
      </c>
      <c r="AM65" s="455" t="str">
        <f t="shared" si="55"/>
        <v>(2,1,1,2,1,1); Industry data (French tender)</v>
      </c>
      <c r="AN65" s="440">
        <f>BB65</f>
        <v>3.1343824511206502E-3</v>
      </c>
      <c r="AO65" s="336">
        <v>1</v>
      </c>
      <c r="AP65" s="337">
        <f t="shared" si="56"/>
        <v>1.0722009304576894</v>
      </c>
      <c r="AQ65" s="437" t="str">
        <f t="shared" si="57"/>
        <v>(2,1,1,2,1,1); Industry data (French tender)</v>
      </c>
      <c r="AR65" s="440">
        <v>0</v>
      </c>
      <c r="AS65" s="336">
        <v>1</v>
      </c>
      <c r="AT65" s="337">
        <f t="shared" si="58"/>
        <v>1.05</v>
      </c>
      <c r="AU65" s="455" t="str">
        <f t="shared" si="59"/>
        <v>(na,na,na,na,na,na); Modeled seperately in GM 08-RW PERC of Brailovsky (2026) --&gt; input to 174-623/4</v>
      </c>
      <c r="AV65" s="440">
        <v>0</v>
      </c>
      <c r="AW65" s="336">
        <v>1</v>
      </c>
      <c r="AX65" s="337">
        <f t="shared" si="60"/>
        <v>1.05</v>
      </c>
      <c r="AY65" s="437" t="str">
        <f t="shared" si="61"/>
        <v>(na,na,na,na,na,na); Modeled seperately in GM 08-RW PERC of Brailovsky (2026) --&gt; input to 174-623/4</v>
      </c>
      <c r="AZ65" s="338"/>
      <c r="BA65" s="440">
        <v>3.1343824511206502E-3</v>
      </c>
      <c r="BB65" s="440">
        <v>3.1343824511206502E-3</v>
      </c>
      <c r="BC65" s="440"/>
      <c r="BD65" s="216" t="s">
        <v>462</v>
      </c>
      <c r="BE65" s="83">
        <v>2</v>
      </c>
      <c r="BF65" s="83">
        <v>1</v>
      </c>
      <c r="BG65" s="83">
        <v>1</v>
      </c>
      <c r="BH65" s="83">
        <v>2</v>
      </c>
      <c r="BI65" s="83">
        <v>1</v>
      </c>
      <c r="BJ65" s="83">
        <v>1</v>
      </c>
      <c r="BK65" s="104">
        <v>6</v>
      </c>
      <c r="BL65" s="104">
        <v>1.05</v>
      </c>
      <c r="BM65" s="107">
        <f t="shared" si="62"/>
        <v>1.0510550504206344</v>
      </c>
      <c r="BN65" s="107">
        <f t="shared" si="63"/>
        <v>1.0722009304576894</v>
      </c>
      <c r="BO65" s="107" t="str">
        <f t="shared" si="64"/>
        <v>(2,1,1,2,1,1)</v>
      </c>
      <c r="BP65" s="108">
        <v>1.05</v>
      </c>
      <c r="BQ65" s="108">
        <v>1</v>
      </c>
      <c r="BR65" s="108">
        <v>1</v>
      </c>
      <c r="BS65" s="108">
        <v>1.01</v>
      </c>
      <c r="BT65" s="108">
        <v>1</v>
      </c>
      <c r="BU65" s="108">
        <v>1</v>
      </c>
      <c r="BW65" s="691" t="s">
        <v>859</v>
      </c>
      <c r="BX65" s="339" t="s">
        <v>106</v>
      </c>
      <c r="BY65" s="339" t="s">
        <v>106</v>
      </c>
      <c r="BZ65" s="339" t="s">
        <v>106</v>
      </c>
      <c r="CA65" s="339" t="s">
        <v>106</v>
      </c>
      <c r="CB65" s="339" t="s">
        <v>106</v>
      </c>
      <c r="CC65" s="339" t="s">
        <v>106</v>
      </c>
      <c r="CD65" s="104">
        <v>6</v>
      </c>
      <c r="CE65" s="104">
        <v>1.05</v>
      </c>
      <c r="CF65" s="107">
        <f t="shared" si="65"/>
        <v>1</v>
      </c>
      <c r="CG65" s="107">
        <f t="shared" si="66"/>
        <v>1.05</v>
      </c>
      <c r="CH65" s="107" t="str">
        <f t="shared" si="67"/>
        <v>(na,na,na,na,na,na)</v>
      </c>
      <c r="CI65" s="108">
        <v>1</v>
      </c>
      <c r="CJ65" s="108">
        <v>1</v>
      </c>
      <c r="CK65" s="108">
        <v>1</v>
      </c>
      <c r="CL65" s="108">
        <v>1</v>
      </c>
      <c r="CM65" s="108">
        <v>1</v>
      </c>
      <c r="CN65" s="108">
        <v>1</v>
      </c>
    </row>
    <row r="66" spans="1:92" s="171" customFormat="1" ht="36">
      <c r="A66" s="333">
        <v>268853</v>
      </c>
      <c r="B66" s="216"/>
      <c r="C66" s="334"/>
      <c r="D66" s="342">
        <v>5</v>
      </c>
      <c r="E66" s="343" t="s">
        <v>98</v>
      </c>
      <c r="F66" s="437" t="s">
        <v>514</v>
      </c>
      <c r="G66" s="438" t="s">
        <v>103</v>
      </c>
      <c r="H66" s="439" t="s">
        <v>98</v>
      </c>
      <c r="I66" s="439" t="s">
        <v>98</v>
      </c>
      <c r="J66" s="335">
        <v>0</v>
      </c>
      <c r="K66" s="438" t="s">
        <v>96</v>
      </c>
      <c r="L66" s="440">
        <f>AJ66</f>
        <v>7.5079637577491698E-2</v>
      </c>
      <c r="M66" s="336">
        <v>1</v>
      </c>
      <c r="N66" s="337">
        <f t="shared" si="42"/>
        <v>1.0722009304576894</v>
      </c>
      <c r="O66" s="455" t="str">
        <f t="shared" si="43"/>
        <v>(2,1,1,2,1,1); Industry data (French tender)</v>
      </c>
      <c r="P66" s="440">
        <f>AN66</f>
        <v>7.5079637577491698E-2</v>
      </c>
      <c r="Q66" s="336">
        <v>1</v>
      </c>
      <c r="R66" s="337">
        <f t="shared" si="44"/>
        <v>1.0722009304576894</v>
      </c>
      <c r="S66" s="455" t="str">
        <f t="shared" si="45"/>
        <v>(2,1,1,2,1,1); Industry data (French tender)</v>
      </c>
      <c r="T66" s="440">
        <f>L66</f>
        <v>7.5079637577491698E-2</v>
      </c>
      <c r="U66" s="336">
        <v>1</v>
      </c>
      <c r="V66" s="337">
        <f t="shared" si="46"/>
        <v>1.0722009304576894</v>
      </c>
      <c r="W66" s="455" t="str">
        <f t="shared" si="47"/>
        <v>(2,1,1,2,1,1); Industry data (French tender)</v>
      </c>
      <c r="X66" s="440">
        <f>P66</f>
        <v>7.5079637577491698E-2</v>
      </c>
      <c r="Y66" s="336">
        <v>1</v>
      </c>
      <c r="Z66" s="337">
        <f t="shared" si="48"/>
        <v>1.0722009304576894</v>
      </c>
      <c r="AA66" s="437" t="str">
        <f t="shared" si="49"/>
        <v>(2,1,1,2,1,1); Industry data (French tender)</v>
      </c>
      <c r="AB66" s="440">
        <f>P66</f>
        <v>7.5079637577491698E-2</v>
      </c>
      <c r="AC66" s="336">
        <v>1</v>
      </c>
      <c r="AD66" s="337">
        <f t="shared" si="50"/>
        <v>1.0722009304576894</v>
      </c>
      <c r="AE66" s="455" t="str">
        <f t="shared" si="51"/>
        <v>(2,1,1,2,1,1); Industry data (French tender)</v>
      </c>
      <c r="AF66" s="440">
        <f>P66</f>
        <v>7.5079637577491698E-2</v>
      </c>
      <c r="AG66" s="336">
        <v>1</v>
      </c>
      <c r="AH66" s="337">
        <f t="shared" si="52"/>
        <v>1.0722009304576894</v>
      </c>
      <c r="AI66" s="455" t="str">
        <f t="shared" si="53"/>
        <v>(2,1,1,2,1,1); Industry data (French tender)</v>
      </c>
      <c r="AJ66" s="440">
        <f>BA66</f>
        <v>7.5079637577491698E-2</v>
      </c>
      <c r="AK66" s="336">
        <v>1</v>
      </c>
      <c r="AL66" s="337">
        <f t="shared" si="54"/>
        <v>1.0722009304576894</v>
      </c>
      <c r="AM66" s="455" t="str">
        <f t="shared" si="55"/>
        <v>(2,1,1,2,1,1); Industry data (French tender)</v>
      </c>
      <c r="AN66" s="440">
        <f>BB66</f>
        <v>7.5079637577491698E-2</v>
      </c>
      <c r="AO66" s="336">
        <v>1</v>
      </c>
      <c r="AP66" s="337">
        <f t="shared" si="56"/>
        <v>1.0722009304576894</v>
      </c>
      <c r="AQ66" s="437" t="str">
        <f t="shared" si="57"/>
        <v>(2,1,1,2,1,1); Industry data (French tender)</v>
      </c>
      <c r="AR66" s="440">
        <v>0</v>
      </c>
      <c r="AS66" s="336">
        <v>1</v>
      </c>
      <c r="AT66" s="337">
        <f t="shared" si="58"/>
        <v>1.05</v>
      </c>
      <c r="AU66" s="455" t="str">
        <f t="shared" si="59"/>
        <v>(na,na,na,na,na,na); Modeled seperately in GM 08-RW PERC of Brailovsky (2026) --&gt; input to 174-623/4</v>
      </c>
      <c r="AV66" s="440">
        <v>0</v>
      </c>
      <c r="AW66" s="336">
        <v>1</v>
      </c>
      <c r="AX66" s="337">
        <f t="shared" si="60"/>
        <v>1.05</v>
      </c>
      <c r="AY66" s="437" t="str">
        <f t="shared" si="61"/>
        <v>(na,na,na,na,na,na); Modeled seperately in GM 08-RW PERC of Brailovsky (2026) --&gt; input to 174-623/4</v>
      </c>
      <c r="AZ66" s="338"/>
      <c r="BA66" s="440">
        <v>7.5079637577491698E-2</v>
      </c>
      <c r="BB66" s="440">
        <v>7.5079637577491698E-2</v>
      </c>
      <c r="BC66" s="440"/>
      <c r="BD66" s="216" t="s">
        <v>462</v>
      </c>
      <c r="BE66" s="83">
        <v>2</v>
      </c>
      <c r="BF66" s="83">
        <v>1</v>
      </c>
      <c r="BG66" s="83">
        <v>1</v>
      </c>
      <c r="BH66" s="83">
        <v>2</v>
      </c>
      <c r="BI66" s="83">
        <v>1</v>
      </c>
      <c r="BJ66" s="83">
        <v>1</v>
      </c>
      <c r="BK66" s="104">
        <v>6</v>
      </c>
      <c r="BL66" s="104">
        <v>1.05</v>
      </c>
      <c r="BM66" s="107">
        <f t="shared" si="62"/>
        <v>1.0510550504206344</v>
      </c>
      <c r="BN66" s="107">
        <f t="shared" si="63"/>
        <v>1.0722009304576894</v>
      </c>
      <c r="BO66" s="107" t="str">
        <f t="shared" si="64"/>
        <v>(2,1,1,2,1,1)</v>
      </c>
      <c r="BP66" s="108">
        <v>1.05</v>
      </c>
      <c r="BQ66" s="108">
        <v>1</v>
      </c>
      <c r="BR66" s="108">
        <v>1</v>
      </c>
      <c r="BS66" s="108">
        <v>1.01</v>
      </c>
      <c r="BT66" s="108">
        <v>1</v>
      </c>
      <c r="BU66" s="108">
        <v>1</v>
      </c>
      <c r="BW66" s="691" t="s">
        <v>859</v>
      </c>
      <c r="BX66" s="339" t="s">
        <v>106</v>
      </c>
      <c r="BY66" s="339" t="s">
        <v>106</v>
      </c>
      <c r="BZ66" s="339" t="s">
        <v>106</v>
      </c>
      <c r="CA66" s="339" t="s">
        <v>106</v>
      </c>
      <c r="CB66" s="339" t="s">
        <v>106</v>
      </c>
      <c r="CC66" s="339" t="s">
        <v>106</v>
      </c>
      <c r="CD66" s="104">
        <v>6</v>
      </c>
      <c r="CE66" s="104">
        <v>1.05</v>
      </c>
      <c r="CF66" s="107">
        <f t="shared" si="65"/>
        <v>1</v>
      </c>
      <c r="CG66" s="107">
        <f t="shared" si="66"/>
        <v>1.05</v>
      </c>
      <c r="CH66" s="107" t="str">
        <f t="shared" si="67"/>
        <v>(na,na,na,na,na,na)</v>
      </c>
      <c r="CI66" s="108">
        <v>1</v>
      </c>
      <c r="CJ66" s="108">
        <v>1</v>
      </c>
      <c r="CK66" s="108">
        <v>1</v>
      </c>
      <c r="CL66" s="108">
        <v>1</v>
      </c>
      <c r="CM66" s="108">
        <v>1</v>
      </c>
      <c r="CN66" s="108">
        <v>1</v>
      </c>
    </row>
    <row r="67" spans="1:92" s="171" customFormat="1" ht="36">
      <c r="A67" s="333">
        <v>157753</v>
      </c>
      <c r="B67" s="216"/>
      <c r="C67" s="334"/>
      <c r="D67" s="342">
        <v>5</v>
      </c>
      <c r="E67" s="343" t="s">
        <v>98</v>
      </c>
      <c r="F67" s="437" t="s">
        <v>515</v>
      </c>
      <c r="G67" s="438" t="s">
        <v>103</v>
      </c>
      <c r="H67" s="439" t="s">
        <v>98</v>
      </c>
      <c r="I67" s="439" t="s">
        <v>98</v>
      </c>
      <c r="J67" s="335">
        <v>0</v>
      </c>
      <c r="K67" s="438" t="s">
        <v>96</v>
      </c>
      <c r="L67" s="440">
        <f>AJ67</f>
        <v>7.1172684787792102E-3</v>
      </c>
      <c r="M67" s="336">
        <v>1</v>
      </c>
      <c r="N67" s="337">
        <f t="shared" si="42"/>
        <v>1.0722009304576894</v>
      </c>
      <c r="O67" s="455" t="str">
        <f t="shared" si="43"/>
        <v>(2,1,1,2,1,1); Industry data (French tender)</v>
      </c>
      <c r="P67" s="440">
        <f>AN67</f>
        <v>7.1172684787792102E-3</v>
      </c>
      <c r="Q67" s="336">
        <v>1</v>
      </c>
      <c r="R67" s="337">
        <f t="shared" si="44"/>
        <v>1.0722009304576894</v>
      </c>
      <c r="S67" s="455" t="str">
        <f t="shared" si="45"/>
        <v>(2,1,1,2,1,1); Industry data (French tender)</v>
      </c>
      <c r="T67" s="440">
        <f>L67</f>
        <v>7.1172684787792102E-3</v>
      </c>
      <c r="U67" s="336">
        <v>1</v>
      </c>
      <c r="V67" s="337">
        <f t="shared" si="46"/>
        <v>1.0722009304576894</v>
      </c>
      <c r="W67" s="455" t="str">
        <f t="shared" si="47"/>
        <v>(2,1,1,2,1,1); Industry data (French tender)</v>
      </c>
      <c r="X67" s="440">
        <f>P67</f>
        <v>7.1172684787792102E-3</v>
      </c>
      <c r="Y67" s="336">
        <v>1</v>
      </c>
      <c r="Z67" s="337">
        <f t="shared" si="48"/>
        <v>1.0722009304576894</v>
      </c>
      <c r="AA67" s="437" t="str">
        <f t="shared" si="49"/>
        <v>(2,1,1,2,1,1); Industry data (French tender)</v>
      </c>
      <c r="AB67" s="440">
        <f>P67</f>
        <v>7.1172684787792102E-3</v>
      </c>
      <c r="AC67" s="336">
        <v>1</v>
      </c>
      <c r="AD67" s="337">
        <f t="shared" si="50"/>
        <v>1.0722009304576894</v>
      </c>
      <c r="AE67" s="455" t="str">
        <f t="shared" si="51"/>
        <v>(2,1,1,2,1,1); Industry data (French tender)</v>
      </c>
      <c r="AF67" s="440">
        <f>P67</f>
        <v>7.1172684787792102E-3</v>
      </c>
      <c r="AG67" s="336">
        <v>1</v>
      </c>
      <c r="AH67" s="337">
        <f t="shared" si="52"/>
        <v>1.0722009304576894</v>
      </c>
      <c r="AI67" s="455" t="str">
        <f t="shared" si="53"/>
        <v>(2,1,1,2,1,1); Industry data (French tender)</v>
      </c>
      <c r="AJ67" s="440">
        <f>BA67</f>
        <v>7.1172684787792102E-3</v>
      </c>
      <c r="AK67" s="336">
        <v>1</v>
      </c>
      <c r="AL67" s="337">
        <f t="shared" si="54"/>
        <v>1.0722009304576894</v>
      </c>
      <c r="AM67" s="455" t="str">
        <f t="shared" si="55"/>
        <v>(2,1,1,2,1,1); Industry data (French tender)</v>
      </c>
      <c r="AN67" s="440">
        <f>BB67</f>
        <v>7.1172684787792102E-3</v>
      </c>
      <c r="AO67" s="336">
        <v>1</v>
      </c>
      <c r="AP67" s="337">
        <f t="shared" si="56"/>
        <v>1.0722009304576894</v>
      </c>
      <c r="AQ67" s="437" t="str">
        <f t="shared" si="57"/>
        <v>(2,1,1,2,1,1); Industry data (French tender)</v>
      </c>
      <c r="AR67" s="440">
        <v>0</v>
      </c>
      <c r="AS67" s="336">
        <v>1</v>
      </c>
      <c r="AT67" s="337">
        <f t="shared" si="58"/>
        <v>1.05</v>
      </c>
      <c r="AU67" s="455" t="str">
        <f t="shared" si="59"/>
        <v>(na,na,na,na,na,na); Modeled seperately in GM 08-RW PERC of Brailovsky (2026) --&gt; input to 174-623/4</v>
      </c>
      <c r="AV67" s="440">
        <v>0</v>
      </c>
      <c r="AW67" s="336">
        <v>1</v>
      </c>
      <c r="AX67" s="337">
        <f t="shared" si="60"/>
        <v>1.05</v>
      </c>
      <c r="AY67" s="437" t="str">
        <f t="shared" si="61"/>
        <v>(na,na,na,na,na,na); Modeled seperately in GM 08-RW PERC of Brailovsky (2026) --&gt; input to 174-623/4</v>
      </c>
      <c r="AZ67" s="338"/>
      <c r="BA67" s="440">
        <v>7.1172684787792102E-3</v>
      </c>
      <c r="BB67" s="440">
        <v>7.1172684787792102E-3</v>
      </c>
      <c r="BC67" s="440"/>
      <c r="BD67" s="216" t="s">
        <v>462</v>
      </c>
      <c r="BE67" s="83">
        <v>2</v>
      </c>
      <c r="BF67" s="83">
        <v>1</v>
      </c>
      <c r="BG67" s="83">
        <v>1</v>
      </c>
      <c r="BH67" s="83">
        <v>2</v>
      </c>
      <c r="BI67" s="83">
        <v>1</v>
      </c>
      <c r="BJ67" s="83">
        <v>1</v>
      </c>
      <c r="BK67" s="104">
        <v>6</v>
      </c>
      <c r="BL67" s="104">
        <v>1.05</v>
      </c>
      <c r="BM67" s="107">
        <f t="shared" si="62"/>
        <v>1.0510550504206344</v>
      </c>
      <c r="BN67" s="107">
        <f t="shared" si="63"/>
        <v>1.0722009304576894</v>
      </c>
      <c r="BO67" s="107" t="str">
        <f t="shared" si="64"/>
        <v>(2,1,1,2,1,1)</v>
      </c>
      <c r="BP67" s="108">
        <v>1.05</v>
      </c>
      <c r="BQ67" s="108">
        <v>1</v>
      </c>
      <c r="BR67" s="108">
        <v>1</v>
      </c>
      <c r="BS67" s="108">
        <v>1.01</v>
      </c>
      <c r="BT67" s="108">
        <v>1</v>
      </c>
      <c r="BU67" s="108">
        <v>1</v>
      </c>
      <c r="BW67" s="691" t="s">
        <v>859</v>
      </c>
      <c r="BX67" s="339" t="s">
        <v>106</v>
      </c>
      <c r="BY67" s="339" t="s">
        <v>106</v>
      </c>
      <c r="BZ67" s="339" t="s">
        <v>106</v>
      </c>
      <c r="CA67" s="339" t="s">
        <v>106</v>
      </c>
      <c r="CB67" s="339" t="s">
        <v>106</v>
      </c>
      <c r="CC67" s="339" t="s">
        <v>106</v>
      </c>
      <c r="CD67" s="104">
        <v>6</v>
      </c>
      <c r="CE67" s="104">
        <v>1.05</v>
      </c>
      <c r="CF67" s="107">
        <f t="shared" si="65"/>
        <v>1</v>
      </c>
      <c r="CG67" s="107">
        <f t="shared" si="66"/>
        <v>1.05</v>
      </c>
      <c r="CH67" s="107" t="str">
        <f t="shared" si="67"/>
        <v>(na,na,na,na,na,na)</v>
      </c>
      <c r="CI67" s="108">
        <v>1</v>
      </c>
      <c r="CJ67" s="108">
        <v>1</v>
      </c>
      <c r="CK67" s="108">
        <v>1</v>
      </c>
      <c r="CL67" s="108">
        <v>1</v>
      </c>
      <c r="CM67" s="108">
        <v>1</v>
      </c>
      <c r="CN67" s="108">
        <v>1</v>
      </c>
    </row>
    <row r="68" spans="1:92" s="171" customFormat="1" ht="24" collapsed="1">
      <c r="A68" s="333">
        <v>269247</v>
      </c>
      <c r="B68" s="216"/>
      <c r="C68" s="334"/>
      <c r="D68" s="342">
        <v>5</v>
      </c>
      <c r="E68" s="343" t="s">
        <v>98</v>
      </c>
      <c r="F68" s="437" t="s">
        <v>860</v>
      </c>
      <c r="G68" s="438" t="s">
        <v>103</v>
      </c>
      <c r="H68" s="439" t="s">
        <v>98</v>
      </c>
      <c r="I68" s="439" t="s">
        <v>98</v>
      </c>
      <c r="J68" s="335">
        <v>0</v>
      </c>
      <c r="K68" s="438" t="s">
        <v>119</v>
      </c>
      <c r="L68" s="440">
        <f>$BA$68</f>
        <v>1.5670473490267501E-2</v>
      </c>
      <c r="M68" s="336">
        <v>1</v>
      </c>
      <c r="N68" s="337">
        <f t="shared" si="42"/>
        <v>1.0722009304576894</v>
      </c>
      <c r="O68" s="455" t="str">
        <f t="shared" si="43"/>
        <v>(2,1,1,2,1,1); Industry data (French tender)</v>
      </c>
      <c r="P68" s="440">
        <f>$BB$68</f>
        <v>1.5670473490267501E-2</v>
      </c>
      <c r="Q68" s="336">
        <v>1</v>
      </c>
      <c r="R68" s="337">
        <f t="shared" si="44"/>
        <v>1.0722009304576894</v>
      </c>
      <c r="S68" s="455" t="str">
        <f t="shared" si="45"/>
        <v>(2,1,1,2,1,1); Industry data (French tender)</v>
      </c>
      <c r="T68" s="440">
        <f>$BA$68</f>
        <v>1.5670473490267501E-2</v>
      </c>
      <c r="U68" s="336">
        <v>1</v>
      </c>
      <c r="V68" s="337">
        <f t="shared" si="46"/>
        <v>1.0722009304576894</v>
      </c>
      <c r="W68" s="455" t="str">
        <f t="shared" si="47"/>
        <v>(2,1,1,2,1,1); Industry data (French tender)</v>
      </c>
      <c r="X68" s="440">
        <f>$BB$68</f>
        <v>1.5670473490267501E-2</v>
      </c>
      <c r="Y68" s="336">
        <v>1</v>
      </c>
      <c r="Z68" s="337">
        <f t="shared" si="48"/>
        <v>1.0722009304576894</v>
      </c>
      <c r="AA68" s="437" t="str">
        <f t="shared" si="49"/>
        <v>(2,1,1,2,1,1); Industry data (French tender)</v>
      </c>
      <c r="AB68" s="440">
        <f>$BA$68</f>
        <v>1.5670473490267501E-2</v>
      </c>
      <c r="AC68" s="336">
        <v>1</v>
      </c>
      <c r="AD68" s="337">
        <f t="shared" si="50"/>
        <v>1.0722009304576894</v>
      </c>
      <c r="AE68" s="455" t="str">
        <f t="shared" si="51"/>
        <v>(2,1,1,2,1,1); Industry data (French tender)</v>
      </c>
      <c r="AF68" s="440">
        <f>$BB$68</f>
        <v>1.5670473490267501E-2</v>
      </c>
      <c r="AG68" s="336">
        <v>1</v>
      </c>
      <c r="AH68" s="337">
        <f t="shared" si="52"/>
        <v>1.0722009304576894</v>
      </c>
      <c r="AI68" s="455" t="str">
        <f t="shared" si="53"/>
        <v>(2,1,1,2,1,1); Industry data (French tender)</v>
      </c>
      <c r="AJ68" s="440">
        <f>$BA$68</f>
        <v>1.5670473490267501E-2</v>
      </c>
      <c r="AK68" s="336">
        <v>1</v>
      </c>
      <c r="AL68" s="337">
        <f t="shared" si="54"/>
        <v>1.0722009304576894</v>
      </c>
      <c r="AM68" s="455" t="str">
        <f t="shared" si="55"/>
        <v>(2,1,1,2,1,1); Industry data (French tender)</v>
      </c>
      <c r="AN68" s="440">
        <f>$BB$68</f>
        <v>1.5670473490267501E-2</v>
      </c>
      <c r="AO68" s="336">
        <v>1</v>
      </c>
      <c r="AP68" s="337">
        <f t="shared" si="56"/>
        <v>1.0722009304576894</v>
      </c>
      <c r="AQ68" s="437" t="str">
        <f t="shared" si="57"/>
        <v>(2,1,1,2,1,1); Industry data (French tender)</v>
      </c>
      <c r="AR68" s="440">
        <v>5.2953752363789301E-10</v>
      </c>
      <c r="AS68" s="336">
        <v>1</v>
      </c>
      <c r="AT68" s="337">
        <f t="shared" si="58"/>
        <v>1.2434566510799234</v>
      </c>
      <c r="AU68" s="455" t="str">
        <f t="shared" si="59"/>
        <v>(2,4,1,3,1,5); Brailovsky (2026)  GM 04; Conversion from l to m^3</v>
      </c>
      <c r="AV68" s="440">
        <f>AR68</f>
        <v>5.2953752363789301E-10</v>
      </c>
      <c r="AW68" s="336">
        <v>1</v>
      </c>
      <c r="AX68" s="337">
        <f t="shared" si="60"/>
        <v>1.2434566510799234</v>
      </c>
      <c r="AY68" s="437" t="str">
        <f t="shared" si="61"/>
        <v>(2,4,1,3,1,5); Brailovsky (2026)  GM 04; Conversion from l to m^3</v>
      </c>
      <c r="AZ68" s="338"/>
      <c r="BA68" s="440">
        <f>0.0156704734902675</f>
        <v>1.5670473490267501E-2</v>
      </c>
      <c r="BB68" s="440">
        <f>0.0156704734902675</f>
        <v>1.5670473490267501E-2</v>
      </c>
      <c r="BC68" s="440"/>
      <c r="BD68" s="216" t="s">
        <v>462</v>
      </c>
      <c r="BE68" s="83">
        <v>2</v>
      </c>
      <c r="BF68" s="83">
        <v>1</v>
      </c>
      <c r="BG68" s="83">
        <v>1</v>
      </c>
      <c r="BH68" s="83">
        <v>2</v>
      </c>
      <c r="BI68" s="83">
        <v>1</v>
      </c>
      <c r="BJ68" s="83">
        <v>1</v>
      </c>
      <c r="BK68" s="104">
        <v>6</v>
      </c>
      <c r="BL68" s="104">
        <v>1.05</v>
      </c>
      <c r="BM68" s="107">
        <f t="shared" si="62"/>
        <v>1.0510550504206344</v>
      </c>
      <c r="BN68" s="107">
        <f t="shared" si="63"/>
        <v>1.0722009304576894</v>
      </c>
      <c r="BO68" s="107" t="str">
        <f t="shared" si="64"/>
        <v>(2,1,1,2,1,1)</v>
      </c>
      <c r="BP68" s="108">
        <v>1.05</v>
      </c>
      <c r="BQ68" s="108">
        <v>1</v>
      </c>
      <c r="BR68" s="108">
        <v>1</v>
      </c>
      <c r="BS68" s="108">
        <v>1.01</v>
      </c>
      <c r="BT68" s="108">
        <v>1</v>
      </c>
      <c r="BU68" s="108">
        <v>1</v>
      </c>
      <c r="BW68" s="691" t="s">
        <v>861</v>
      </c>
      <c r="BX68" s="83">
        <v>2</v>
      </c>
      <c r="BY68" s="83">
        <v>4</v>
      </c>
      <c r="BZ68" s="83">
        <v>1</v>
      </c>
      <c r="CA68" s="83">
        <v>3</v>
      </c>
      <c r="CB68" s="83">
        <v>1</v>
      </c>
      <c r="CC68" s="83">
        <v>5</v>
      </c>
      <c r="CD68" s="104">
        <v>6</v>
      </c>
      <c r="CE68" s="104">
        <v>1.05</v>
      </c>
      <c r="CF68" s="107">
        <f t="shared" si="65"/>
        <v>1.2365959919080913</v>
      </c>
      <c r="CG68" s="107">
        <f t="shared" si="66"/>
        <v>1.2434566510799234</v>
      </c>
      <c r="CH68" s="107" t="str">
        <f t="shared" si="67"/>
        <v>(2,4,1,3,1,5)</v>
      </c>
      <c r="CI68" s="108">
        <v>1.05</v>
      </c>
      <c r="CJ68" s="108">
        <v>1.1000000000000001</v>
      </c>
      <c r="CK68" s="108">
        <v>1</v>
      </c>
      <c r="CL68" s="108">
        <v>1.02</v>
      </c>
      <c r="CM68" s="108">
        <v>1</v>
      </c>
      <c r="CN68" s="108">
        <v>1.2</v>
      </c>
    </row>
    <row r="69" spans="1:92" s="171" customFormat="1" ht="48">
      <c r="A69" s="333">
        <v>269641</v>
      </c>
      <c r="B69" s="216" t="s">
        <v>322</v>
      </c>
      <c r="C69" s="334"/>
      <c r="D69" s="342">
        <v>5</v>
      </c>
      <c r="E69" s="343" t="s">
        <v>98</v>
      </c>
      <c r="F69" s="437" t="s">
        <v>240</v>
      </c>
      <c r="G69" s="438" t="s">
        <v>93</v>
      </c>
      <c r="H69" s="439" t="s">
        <v>98</v>
      </c>
      <c r="I69" s="439" t="s">
        <v>98</v>
      </c>
      <c r="J69" s="335">
        <v>0</v>
      </c>
      <c r="K69" s="438" t="s">
        <v>115</v>
      </c>
      <c r="L69" s="440">
        <f>AJ69</f>
        <v>0.14753948308275705</v>
      </c>
      <c r="M69" s="336">
        <v>1</v>
      </c>
      <c r="N69" s="337">
        <f t="shared" si="42"/>
        <v>2.0949941301068096</v>
      </c>
      <c r="O69" s="455" t="str">
        <f t="shared" si="43"/>
        <v>(4,5,na,na,na,na); Transport distance: 100km; silicon: 200km; disposal: 500km, weight EUR-flat pallet 25kg</v>
      </c>
      <c r="P69" s="440">
        <f>AN69</f>
        <v>0.14130234794762184</v>
      </c>
      <c r="Q69" s="336">
        <v>1</v>
      </c>
      <c r="R69" s="337">
        <f t="shared" si="44"/>
        <v>2.0949941301068096</v>
      </c>
      <c r="S69" s="455" t="str">
        <f t="shared" si="45"/>
        <v>(4,5,na,na,na,na); Transport distance: 100km; silicon: 200km; disposal: 500km, weight EUR-flat pallet 25kg</v>
      </c>
      <c r="T69" s="440">
        <f>L69</f>
        <v>0.14753948308275705</v>
      </c>
      <c r="U69" s="336">
        <v>1</v>
      </c>
      <c r="V69" s="337">
        <f t="shared" si="46"/>
        <v>2.0949941301068096</v>
      </c>
      <c r="W69" s="455" t="str">
        <f t="shared" si="47"/>
        <v>(4,5,na,na,na,na); Transport distance: 100km; silicon: 200km; disposal: 500km, weight EUR-flat pallet 25kg</v>
      </c>
      <c r="X69" s="440">
        <f>P69</f>
        <v>0.14130234794762184</v>
      </c>
      <c r="Y69" s="336">
        <v>1</v>
      </c>
      <c r="Z69" s="337">
        <f t="shared" si="48"/>
        <v>2.0949941301068096</v>
      </c>
      <c r="AA69" s="437" t="str">
        <f t="shared" si="49"/>
        <v>(4,5,na,na,na,na); Transport distance: 100km; silicon: 200km; disposal: 500km, weight EUR-flat pallet 25kg</v>
      </c>
      <c r="AB69" s="440">
        <f>T69</f>
        <v>0.14753948308275705</v>
      </c>
      <c r="AC69" s="336">
        <v>1</v>
      </c>
      <c r="AD69" s="337">
        <f t="shared" si="50"/>
        <v>2.0949941301068096</v>
      </c>
      <c r="AE69" s="455" t="str">
        <f t="shared" si="51"/>
        <v>(4,5,na,na,na,na); Transport distance: 100km; silicon: 200km; disposal: 500km, weight EUR-flat pallet 25kg</v>
      </c>
      <c r="AF69" s="440">
        <f>P69</f>
        <v>0.14130234794762184</v>
      </c>
      <c r="AG69" s="336">
        <v>1</v>
      </c>
      <c r="AH69" s="337">
        <f t="shared" si="52"/>
        <v>2.0949941301068096</v>
      </c>
      <c r="AI69" s="455" t="str">
        <f t="shared" si="53"/>
        <v>(4,5,na,na,na,na); Transport distance: 100km; silicon: 200km; disposal: 500km, weight EUR-flat pallet 25kg</v>
      </c>
      <c r="AJ69" s="440">
        <f>0.1*(SUM(AJ23:AJ25)+SUM(AJ27:AJ28)+SUM(AJ30:AJ33)+AJ34/0.5+AJ35/0.3+SUM(AJ36:AJ43)+AJ44*25+SUM(AJ45:AJ45)+AJ29/0.34)+0.5*SUM(AJ65:AJ67)+SUM(AJ17:AJ20)*0.2</f>
        <v>0.14753948308275705</v>
      </c>
      <c r="AK69" s="336">
        <v>1</v>
      </c>
      <c r="AL69" s="337">
        <f t="shared" si="54"/>
        <v>2.0949941301068096</v>
      </c>
      <c r="AM69" s="455" t="str">
        <f t="shared" si="55"/>
        <v>(4,5,na,na,na,na); Transport distance: 100km; silicon: 200km; disposal: 500km, weight EUR-flat pallet 25kg</v>
      </c>
      <c r="AN69" s="440">
        <f>0.1*(SUM(AN23:AN25)+SUM(AN27:AN28)+SUM(AN30:AN33)+AN34/0.5+AN35/0.3+SUM(AN36:AN43)+AN44*25+SUM(AN45:AN45)+AN29/0.34)+0.5*SUM(AN65:AN67)+SUM(AN17:AN20)*0.2</f>
        <v>0.14130234794762184</v>
      </c>
      <c r="AO69" s="336">
        <v>1</v>
      </c>
      <c r="AP69" s="337">
        <f t="shared" si="56"/>
        <v>2.0949941301068096</v>
      </c>
      <c r="AQ69" s="437" t="str">
        <f t="shared" si="57"/>
        <v>(4,5,na,na,na,na); Transport distance: 100km; silicon: 200km; disposal: 500km, weight EUR-flat pallet 25kg</v>
      </c>
      <c r="AR69" s="440">
        <f>0.1*(SUM(AR23:AR25)+SUM(AR27:AR28)+SUM(AR30:AR33)+AR34/0.5+AR35/0.3+SUM(AR36:AR43)+AR44*25+SUM(AR45:AR45)+AR29/0.34)+0.5*SUM(AR65:AR67)</f>
        <v>4.1833133844842295E-2</v>
      </c>
      <c r="AS69" s="336">
        <v>1</v>
      </c>
      <c r="AT69" s="337">
        <f t="shared" si="58"/>
        <v>2.0949941301068096</v>
      </c>
      <c r="AU69" s="455" t="str">
        <f t="shared" si="59"/>
        <v>(4,5,na,na,na,na); Silicon transport excluded due to vertical integration, disposal transport included in x-module-mono_Si, Transport dist. 100km (Inputs), 500km (Waste)</v>
      </c>
      <c r="AV69" s="440">
        <f>0.1*(SUM(AV23:AV25)+SUM(AV27:AV28)+SUM(AV32:AV33)+AV34/0.5+AV35/0.3+SUM(AV36:AV43)+AV44*25+SUM(AV45:AV45)+AV29/0.34+SUM(AV30:AV31))+0.5*SUM(AV65:AV67)</f>
        <v>4.1833133844842288E-2</v>
      </c>
      <c r="AW69" s="336">
        <v>1</v>
      </c>
      <c r="AX69" s="337">
        <f t="shared" si="60"/>
        <v>2.0949941301068096</v>
      </c>
      <c r="AY69" s="437" t="str">
        <f t="shared" si="61"/>
        <v>(4,5,na,na,na,na); Silicon transport excluded due to vertical integration, disposal transport included in x-module-mono_Si, Transport dist. 100km (Inputs), 500km (Waste)</v>
      </c>
      <c r="AZ69" s="338"/>
      <c r="BA69" s="440" t="s">
        <v>815</v>
      </c>
      <c r="BB69" s="440" t="s">
        <v>815</v>
      </c>
      <c r="BC69" s="440"/>
      <c r="BD69" s="216" t="s">
        <v>862</v>
      </c>
      <c r="BE69" s="83">
        <v>4</v>
      </c>
      <c r="BF69" s="83">
        <v>5</v>
      </c>
      <c r="BG69" s="83" t="s">
        <v>106</v>
      </c>
      <c r="BH69" s="83" t="s">
        <v>106</v>
      </c>
      <c r="BI69" s="83" t="s">
        <v>106</v>
      </c>
      <c r="BJ69" s="83" t="s">
        <v>106</v>
      </c>
      <c r="BK69" s="104">
        <v>5</v>
      </c>
      <c r="BL69" s="104">
        <v>2</v>
      </c>
      <c r="BM69" s="107">
        <f t="shared" si="62"/>
        <v>1.2941338353151037</v>
      </c>
      <c r="BN69" s="107">
        <f t="shared" si="63"/>
        <v>2.0949941301068096</v>
      </c>
      <c r="BO69" s="107" t="str">
        <f t="shared" si="64"/>
        <v>(4,5,na,na,na,na)</v>
      </c>
      <c r="BP69" s="108">
        <v>1.2</v>
      </c>
      <c r="BQ69" s="108">
        <v>1.2</v>
      </c>
      <c r="BR69" s="108">
        <v>1</v>
      </c>
      <c r="BS69" s="108">
        <v>1</v>
      </c>
      <c r="BT69" s="108">
        <v>1</v>
      </c>
      <c r="BU69" s="108">
        <v>1</v>
      </c>
      <c r="BW69" s="691" t="s">
        <v>863</v>
      </c>
      <c r="BX69" s="83">
        <v>4</v>
      </c>
      <c r="BY69" s="83">
        <v>5</v>
      </c>
      <c r="BZ69" s="83" t="s">
        <v>106</v>
      </c>
      <c r="CA69" s="83" t="s">
        <v>106</v>
      </c>
      <c r="CB69" s="83" t="s">
        <v>106</v>
      </c>
      <c r="CC69" s="83" t="s">
        <v>106</v>
      </c>
      <c r="CD69" s="104">
        <v>5</v>
      </c>
      <c r="CE69" s="104">
        <v>2</v>
      </c>
      <c r="CF69" s="107">
        <f t="shared" si="65"/>
        <v>1.2941338353151037</v>
      </c>
      <c r="CG69" s="107">
        <f t="shared" si="66"/>
        <v>2.0949941301068096</v>
      </c>
      <c r="CH69" s="107" t="str">
        <f t="shared" si="67"/>
        <v>(4,5,na,na,na,na)</v>
      </c>
      <c r="CI69" s="108">
        <v>1.2</v>
      </c>
      <c r="CJ69" s="108">
        <v>1.2</v>
      </c>
      <c r="CK69" s="108">
        <v>1</v>
      </c>
      <c r="CL69" s="108">
        <v>1</v>
      </c>
      <c r="CM69" s="108">
        <v>1</v>
      </c>
      <c r="CN69" s="108">
        <v>1</v>
      </c>
    </row>
    <row r="70" spans="1:92" s="171" customFormat="1" ht="48">
      <c r="A70" s="333">
        <v>160371</v>
      </c>
      <c r="B70" s="216"/>
      <c r="C70" s="334"/>
      <c r="D70" s="342">
        <v>5</v>
      </c>
      <c r="E70" s="343" t="s">
        <v>98</v>
      </c>
      <c r="F70" s="437" t="s">
        <v>242</v>
      </c>
      <c r="G70" s="438" t="s">
        <v>93</v>
      </c>
      <c r="H70" s="439" t="s">
        <v>98</v>
      </c>
      <c r="I70" s="439" t="s">
        <v>98</v>
      </c>
      <c r="J70" s="335">
        <v>0</v>
      </c>
      <c r="K70" s="438" t="s">
        <v>115</v>
      </c>
      <c r="L70" s="440">
        <f>AJ70</f>
        <v>3.2743677658122541E-2</v>
      </c>
      <c r="M70" s="336">
        <v>1</v>
      </c>
      <c r="N70" s="337">
        <f t="shared" si="42"/>
        <v>2.0949941301068096</v>
      </c>
      <c r="O70" s="455" t="str">
        <f t="shared" si="43"/>
        <v>(4,5,na,na,na,na); Transport distance: 200km</v>
      </c>
      <c r="P70" s="440">
        <f>AN70</f>
        <v>3.2743677658122541E-2</v>
      </c>
      <c r="Q70" s="336">
        <v>1</v>
      </c>
      <c r="R70" s="337">
        <f t="shared" si="44"/>
        <v>2.0949941301068096</v>
      </c>
      <c r="S70" s="455" t="str">
        <f t="shared" si="45"/>
        <v>(4,5,na,na,na,na); Transport distance: 200km</v>
      </c>
      <c r="T70" s="440">
        <f>L70</f>
        <v>3.2743677658122541E-2</v>
      </c>
      <c r="U70" s="336">
        <v>1</v>
      </c>
      <c r="V70" s="337">
        <f t="shared" si="46"/>
        <v>2.0949941301068096</v>
      </c>
      <c r="W70" s="455" t="str">
        <f t="shared" si="47"/>
        <v>(4,5,na,na,na,na); Transport distance: 200km</v>
      </c>
      <c r="X70" s="440">
        <f>P70</f>
        <v>3.2743677658122541E-2</v>
      </c>
      <c r="Y70" s="336">
        <v>1</v>
      </c>
      <c r="Z70" s="337">
        <f t="shared" si="48"/>
        <v>2.0949941301068096</v>
      </c>
      <c r="AA70" s="437" t="str">
        <f t="shared" si="49"/>
        <v>(4,5,na,na,na,na); Transport distance: 200km</v>
      </c>
      <c r="AB70" s="440">
        <f>T70</f>
        <v>3.2743677658122541E-2</v>
      </c>
      <c r="AC70" s="336">
        <v>1</v>
      </c>
      <c r="AD70" s="337">
        <f t="shared" si="50"/>
        <v>2.0949941301068096</v>
      </c>
      <c r="AE70" s="455" t="str">
        <f t="shared" si="51"/>
        <v>(4,5,na,na,na,na); Transport distance: 200km</v>
      </c>
      <c r="AF70" s="440">
        <f>P70</f>
        <v>3.2743677658122541E-2</v>
      </c>
      <c r="AG70" s="336">
        <v>1</v>
      </c>
      <c r="AH70" s="337">
        <f t="shared" si="52"/>
        <v>2.0949941301068096</v>
      </c>
      <c r="AI70" s="455" t="str">
        <f t="shared" si="53"/>
        <v>(4,5,na,na,na,na); Transport distance: 200km</v>
      </c>
      <c r="AJ70" s="440">
        <f>0.2*(SUM(AJ23:AJ25)+SUM(AJ27:AJ28)+SUM(AJ32:AJ33)+AJ34/0.5+AJ35/0.3+SUM(AJ36:AJ43)+AJ44*25+SUM(AJ45:AJ45)+AJ29/0.34+SUM(AJ30:AJ31))</f>
        <v>3.2743677658122541E-2</v>
      </c>
      <c r="AK70" s="336">
        <v>1</v>
      </c>
      <c r="AL70" s="337">
        <f t="shared" si="54"/>
        <v>2.0949941301068096</v>
      </c>
      <c r="AM70" s="455" t="str">
        <f t="shared" si="55"/>
        <v>(4,5,na,na,na,na); Transport distance: 200km</v>
      </c>
      <c r="AN70" s="440">
        <f>0.2*(SUM(AN23:AN25)+SUM(AN27:AN28)+SUM(AN32:AN33)+AN34/0.5+AN35/0.3+SUM(AN36:AN43)+AN44*25+SUM(AN45:AN45)+AN29/0.34+SUM(AN30:AN31))</f>
        <v>3.2743677658122541E-2</v>
      </c>
      <c r="AO70" s="336">
        <v>1</v>
      </c>
      <c r="AP70" s="337">
        <f t="shared" si="56"/>
        <v>2.0949941301068096</v>
      </c>
      <c r="AQ70" s="437" t="str">
        <f t="shared" si="57"/>
        <v>(4,5,na,na,na,na); Transport distance: 200km</v>
      </c>
      <c r="AR70" s="440">
        <f>0.2*(SUM(AR23:AR25)+SUM(AR27:AR28)+SUM(AR32:AR33)+AR34/0.5+AR35/0.3+SUM(AR36:AR43)+AR44*25+SUM(AR45:AR45)+AR29/0.34+SUM(AR30:AR31))</f>
        <v>8.3666267689684576E-2</v>
      </c>
      <c r="AS70" s="336">
        <v>1</v>
      </c>
      <c r="AT70" s="337">
        <f t="shared" si="58"/>
        <v>2.0949941301068096</v>
      </c>
      <c r="AU70" s="455" t="str">
        <f t="shared" si="59"/>
        <v>(4,5,na,na,na,na); Silicon transport excluded due to vertical integration,disposal transport included in x-module-mono_Si, Transport dist. 200km (Inputs)</v>
      </c>
      <c r="AV70" s="440">
        <f>0.2*(SUM(AV23:AV25)+SUM(AV27:AV28)+SUM(AV32:AV33)+AV34/0.5+AV35/0.3+SUM(AV36:AV43)+AV44*25+SUM(AV45:AV45)+AV29/0.34+SUM(AV30:AV31))</f>
        <v>8.3666267689684576E-2</v>
      </c>
      <c r="AW70" s="336">
        <v>1</v>
      </c>
      <c r="AX70" s="337">
        <f t="shared" si="60"/>
        <v>2.0949941301068096</v>
      </c>
      <c r="AY70" s="437" t="str">
        <f t="shared" si="61"/>
        <v>(4,5,na,na,na,na); Silicon transport excluded due to vertical integration,disposal transport included in x-module-mono_Si, Transport dist. 200km (Inputs)</v>
      </c>
      <c r="AZ70" s="338"/>
      <c r="BA70" s="440">
        <f>0.0935/(0.156^2)</f>
        <v>3.8420447074293227</v>
      </c>
      <c r="BB70" s="440">
        <f>0.0935/(0.156^2)</f>
        <v>3.8420447074293227</v>
      </c>
      <c r="BC70" s="440"/>
      <c r="BD70" s="216" t="s">
        <v>864</v>
      </c>
      <c r="BE70" s="83">
        <v>4</v>
      </c>
      <c r="BF70" s="83">
        <v>5</v>
      </c>
      <c r="BG70" s="83" t="s">
        <v>106</v>
      </c>
      <c r="BH70" s="83" t="s">
        <v>106</v>
      </c>
      <c r="BI70" s="83" t="s">
        <v>106</v>
      </c>
      <c r="BJ70" s="83" t="s">
        <v>106</v>
      </c>
      <c r="BK70" s="104">
        <v>5</v>
      </c>
      <c r="BL70" s="104">
        <v>2</v>
      </c>
      <c r="BM70" s="107">
        <f t="shared" si="62"/>
        <v>1.2941338353151037</v>
      </c>
      <c r="BN70" s="107">
        <f t="shared" si="63"/>
        <v>2.0949941301068096</v>
      </c>
      <c r="BO70" s="107" t="str">
        <f t="shared" si="64"/>
        <v>(4,5,na,na,na,na)</v>
      </c>
      <c r="BP70" s="108">
        <v>1.2</v>
      </c>
      <c r="BQ70" s="108">
        <v>1.2</v>
      </c>
      <c r="BR70" s="108">
        <v>1</v>
      </c>
      <c r="BS70" s="108">
        <v>1</v>
      </c>
      <c r="BT70" s="108">
        <v>1</v>
      </c>
      <c r="BU70" s="108">
        <v>1</v>
      </c>
      <c r="BW70" s="691" t="s">
        <v>865</v>
      </c>
      <c r="BX70" s="83">
        <v>4</v>
      </c>
      <c r="BY70" s="83">
        <v>5</v>
      </c>
      <c r="BZ70" s="83" t="s">
        <v>106</v>
      </c>
      <c r="CA70" s="83" t="s">
        <v>106</v>
      </c>
      <c r="CB70" s="83" t="s">
        <v>106</v>
      </c>
      <c r="CC70" s="83" t="s">
        <v>106</v>
      </c>
      <c r="CD70" s="104">
        <v>5</v>
      </c>
      <c r="CE70" s="104">
        <v>2</v>
      </c>
      <c r="CF70" s="107">
        <f t="shared" si="65"/>
        <v>1.2941338353151037</v>
      </c>
      <c r="CG70" s="107">
        <f t="shared" si="66"/>
        <v>2.0949941301068096</v>
      </c>
      <c r="CH70" s="107" t="str">
        <f t="shared" si="67"/>
        <v>(4,5,na,na,na,na)</v>
      </c>
      <c r="CI70" s="108">
        <v>1.2</v>
      </c>
      <c r="CJ70" s="108">
        <v>1.2</v>
      </c>
      <c r="CK70" s="108">
        <v>1</v>
      </c>
      <c r="CL70" s="108">
        <v>1</v>
      </c>
      <c r="CM70" s="108">
        <v>1</v>
      </c>
      <c r="CN70" s="108">
        <v>1</v>
      </c>
    </row>
    <row r="71" spans="1:92" s="171" customFormat="1" ht="36">
      <c r="A71" s="333" t="s">
        <v>774</v>
      </c>
      <c r="B71" s="216" t="s">
        <v>592</v>
      </c>
      <c r="C71" s="334"/>
      <c r="D71" s="342">
        <v>5</v>
      </c>
      <c r="E71" s="343" t="s">
        <v>98</v>
      </c>
      <c r="F71" s="437" t="s">
        <v>775</v>
      </c>
      <c r="G71" s="438" t="s">
        <v>340</v>
      </c>
      <c r="H71" s="439" t="s">
        <v>98</v>
      </c>
      <c r="I71" s="439" t="s">
        <v>98</v>
      </c>
      <c r="J71" s="335">
        <v>1</v>
      </c>
      <c r="K71" s="438" t="s">
        <v>144</v>
      </c>
      <c r="L71" s="440">
        <f>$BA$71</f>
        <v>4.6952501238133566E-10</v>
      </c>
      <c r="M71" s="336">
        <v>1</v>
      </c>
      <c r="N71" s="337">
        <f t="shared" si="42"/>
        <v>3.0033855645008969</v>
      </c>
      <c r="O71" s="455" t="str">
        <f t="shared" si="43"/>
        <v>(2,1,1,2,1,1); Industry data (French tender) converted to ancillary building modelled by Brailovsky (2026); contains metal working machine</v>
      </c>
      <c r="P71" s="440">
        <f>$BB$71</f>
        <v>4.6952501238133566E-10</v>
      </c>
      <c r="Q71" s="336">
        <v>1</v>
      </c>
      <c r="R71" s="337">
        <f t="shared" si="44"/>
        <v>3.0033855645008969</v>
      </c>
      <c r="S71" s="455" t="str">
        <f t="shared" si="45"/>
        <v>(2,1,1,2,1,1); Industry data (French tender) converted to ancillary building modelled by Brailovsky (2026); contains metal working machine</v>
      </c>
      <c r="T71" s="440">
        <f>$BA$71</f>
        <v>4.6952501238133566E-10</v>
      </c>
      <c r="U71" s="336">
        <v>1</v>
      </c>
      <c r="V71" s="337">
        <f t="shared" si="46"/>
        <v>3.0033855645008969</v>
      </c>
      <c r="W71" s="455" t="str">
        <f t="shared" si="47"/>
        <v>(2,1,1,2,1,1); Industry data (French tender) converted to ancillary building modelled by Brailovsky (2026); contains metal working machine</v>
      </c>
      <c r="X71" s="440">
        <f>$BB$71</f>
        <v>4.6952501238133566E-10</v>
      </c>
      <c r="Y71" s="336">
        <v>1</v>
      </c>
      <c r="Z71" s="337">
        <f t="shared" si="48"/>
        <v>3.0033855645008969</v>
      </c>
      <c r="AA71" s="437" t="str">
        <f t="shared" si="49"/>
        <v>(2,1,1,2,1,1); Industry data (French tender) converted to ancillary building modelled by Brailovsky (2026); contains metal working machine</v>
      </c>
      <c r="AB71" s="440">
        <f>$BA$71</f>
        <v>4.6952501238133566E-10</v>
      </c>
      <c r="AC71" s="336">
        <v>1</v>
      </c>
      <c r="AD71" s="337">
        <f t="shared" si="50"/>
        <v>3.0033855645008969</v>
      </c>
      <c r="AE71" s="455" t="str">
        <f t="shared" si="51"/>
        <v>(2,1,1,2,1,1); Industry data (French tender) converted to ancillary building modelled by Brailovsky (2026); contains metal working machine</v>
      </c>
      <c r="AF71" s="440">
        <f>$BB$71</f>
        <v>4.6952501238133566E-10</v>
      </c>
      <c r="AG71" s="336">
        <v>1</v>
      </c>
      <c r="AH71" s="337">
        <f t="shared" si="52"/>
        <v>3.0033855645008969</v>
      </c>
      <c r="AI71" s="455" t="str">
        <f t="shared" si="53"/>
        <v>(2,1,1,2,1,1); Industry data (French tender) converted to ancillary building modelled by Brailovsky (2026); contains metal working machine</v>
      </c>
      <c r="AJ71" s="440">
        <f>$BA$71</f>
        <v>4.6952501238133566E-10</v>
      </c>
      <c r="AK71" s="336">
        <v>1</v>
      </c>
      <c r="AL71" s="337">
        <f t="shared" si="54"/>
        <v>3.0033855645008969</v>
      </c>
      <c r="AM71" s="455" t="str">
        <f t="shared" si="55"/>
        <v>(2,1,1,2,1,1); Industry data (French tender) converted to ancillary building modelled by Brailovsky (2026); contains metal working machine</v>
      </c>
      <c r="AN71" s="440">
        <f>$BB$71</f>
        <v>4.6952501238133566E-10</v>
      </c>
      <c r="AO71" s="336">
        <v>1</v>
      </c>
      <c r="AP71" s="337">
        <f t="shared" si="56"/>
        <v>3.0033855645008969</v>
      </c>
      <c r="AQ71" s="437" t="str">
        <f t="shared" si="57"/>
        <v>(2,1,1,2,1,1); Industry data (French tender) converted to ancillary building modelled by Brailovsky (2026); contains metal working machine</v>
      </c>
      <c r="AR71" s="440">
        <v>5.2953752363789301E-10</v>
      </c>
      <c r="AS71" s="336">
        <v>1</v>
      </c>
      <c r="AT71" s="337">
        <f t="shared" si="58"/>
        <v>3.0616345979734279</v>
      </c>
      <c r="AU71" s="455" t="str">
        <f t="shared" si="59"/>
        <v>(2,4,1,3,1,5); Brailovsky (2026) GM Ancillary Buildings Steel BS</v>
      </c>
      <c r="AV71" s="440">
        <v>5.2953752363789301E-10</v>
      </c>
      <c r="AW71" s="336">
        <v>1</v>
      </c>
      <c r="AX71" s="337">
        <f t="shared" si="60"/>
        <v>3.0616345979734279</v>
      </c>
      <c r="AY71" s="437" t="str">
        <f t="shared" si="61"/>
        <v>(2,4,1,3,1,5); Brailovsky (2026) GM Ancillary Buildings Steel BS</v>
      </c>
      <c r="AZ71" s="338"/>
      <c r="BA71" s="440">
        <f>$G$94</f>
        <v>4.6952501238133566E-10</v>
      </c>
      <c r="BB71" s="440">
        <f>$G$94</f>
        <v>4.6952501238133566E-10</v>
      </c>
      <c r="BC71" s="440"/>
      <c r="BD71" s="216" t="s">
        <v>866</v>
      </c>
      <c r="BE71" s="83">
        <v>2</v>
      </c>
      <c r="BF71" s="83">
        <v>1</v>
      </c>
      <c r="BG71" s="83">
        <v>1</v>
      </c>
      <c r="BH71" s="83">
        <v>2</v>
      </c>
      <c r="BI71" s="83">
        <v>1</v>
      </c>
      <c r="BJ71" s="83">
        <v>1</v>
      </c>
      <c r="BK71" s="104">
        <v>9</v>
      </c>
      <c r="BL71" s="104">
        <v>3</v>
      </c>
      <c r="BM71" s="107">
        <f t="shared" si="62"/>
        <v>1.0510550504206344</v>
      </c>
      <c r="BN71" s="107">
        <f t="shared" si="63"/>
        <v>3.0033855645008969</v>
      </c>
      <c r="BO71" s="107" t="str">
        <f t="shared" si="64"/>
        <v>(2,1,1,2,1,1)</v>
      </c>
      <c r="BP71" s="108">
        <v>1.05</v>
      </c>
      <c r="BQ71" s="108">
        <v>1</v>
      </c>
      <c r="BR71" s="108">
        <v>1</v>
      </c>
      <c r="BS71" s="108">
        <v>1.01</v>
      </c>
      <c r="BT71" s="108">
        <v>1</v>
      </c>
      <c r="BU71" s="108">
        <v>1</v>
      </c>
      <c r="BW71" s="691" t="s">
        <v>867</v>
      </c>
      <c r="BX71" s="83">
        <v>2</v>
      </c>
      <c r="BY71" s="83">
        <v>4</v>
      </c>
      <c r="BZ71" s="83">
        <v>1</v>
      </c>
      <c r="CA71" s="83">
        <v>3</v>
      </c>
      <c r="CB71" s="83">
        <v>1</v>
      </c>
      <c r="CC71" s="83">
        <v>5</v>
      </c>
      <c r="CD71" s="104">
        <v>9</v>
      </c>
      <c r="CE71" s="104">
        <v>3</v>
      </c>
      <c r="CF71" s="107">
        <f t="shared" si="65"/>
        <v>1.2365959919080913</v>
      </c>
      <c r="CG71" s="107">
        <f t="shared" si="66"/>
        <v>3.0616345979734279</v>
      </c>
      <c r="CH71" s="107" t="str">
        <f t="shared" si="67"/>
        <v>(2,4,1,3,1,5)</v>
      </c>
      <c r="CI71" s="108">
        <v>1.05</v>
      </c>
      <c r="CJ71" s="108">
        <v>1.1000000000000001</v>
      </c>
      <c r="CK71" s="108">
        <v>1</v>
      </c>
      <c r="CL71" s="108">
        <v>1.02</v>
      </c>
      <c r="CM71" s="108">
        <v>1</v>
      </c>
      <c r="CN71" s="108">
        <v>1.2</v>
      </c>
    </row>
    <row r="72" spans="1:92" ht="24">
      <c r="A72" s="330" t="s">
        <v>591</v>
      </c>
      <c r="B72" s="331"/>
      <c r="C72" s="88"/>
      <c r="D72" s="340">
        <v>5</v>
      </c>
      <c r="E72" s="341" t="s">
        <v>98</v>
      </c>
      <c r="F72" s="432" t="s">
        <v>593</v>
      </c>
      <c r="G72" s="433" t="s">
        <v>340</v>
      </c>
      <c r="H72" s="434" t="s">
        <v>98</v>
      </c>
      <c r="I72" s="434" t="s">
        <v>98</v>
      </c>
      <c r="J72" s="94">
        <v>1</v>
      </c>
      <c r="K72" s="433" t="s">
        <v>144</v>
      </c>
      <c r="L72" s="435">
        <v>0</v>
      </c>
      <c r="M72" s="95">
        <v>1</v>
      </c>
      <c r="N72" s="96">
        <f t="shared" si="42"/>
        <v>3.0006706070022853</v>
      </c>
      <c r="O72" s="457" t="str">
        <f t="shared" si="43"/>
        <v xml:space="preserve">(1,2,1,2,1,1); </v>
      </c>
      <c r="P72" s="435">
        <v>0</v>
      </c>
      <c r="Q72" s="95">
        <v>1</v>
      </c>
      <c r="R72" s="96">
        <f t="shared" si="44"/>
        <v>3.0006706070022853</v>
      </c>
      <c r="S72" s="457" t="str">
        <f t="shared" si="45"/>
        <v xml:space="preserve">(1,2,1,2,1,1); </v>
      </c>
      <c r="T72" s="435">
        <v>0</v>
      </c>
      <c r="U72" s="95">
        <v>1</v>
      </c>
      <c r="V72" s="96">
        <f t="shared" si="46"/>
        <v>3.0006706070022853</v>
      </c>
      <c r="W72" s="457" t="str">
        <f t="shared" si="47"/>
        <v xml:space="preserve">(1,2,1,2,1,1); </v>
      </c>
      <c r="X72" s="435">
        <v>0</v>
      </c>
      <c r="Y72" s="95">
        <v>1</v>
      </c>
      <c r="Z72" s="96">
        <f t="shared" si="48"/>
        <v>3.0006706070022853</v>
      </c>
      <c r="AA72" s="432" t="str">
        <f t="shared" si="49"/>
        <v xml:space="preserve">(1,2,1,2,1,1); </v>
      </c>
      <c r="AB72" s="435">
        <v>0</v>
      </c>
      <c r="AC72" s="95">
        <v>1</v>
      </c>
      <c r="AD72" s="96">
        <f t="shared" si="50"/>
        <v>3.0006706070022853</v>
      </c>
      <c r="AE72" s="457" t="str">
        <f t="shared" si="51"/>
        <v xml:space="preserve">(1,2,1,2,1,1); </v>
      </c>
      <c r="AF72" s="435">
        <v>0</v>
      </c>
      <c r="AG72" s="95">
        <v>1</v>
      </c>
      <c r="AH72" s="96">
        <f t="shared" si="52"/>
        <v>3.0006706070022853</v>
      </c>
      <c r="AI72" s="457" t="str">
        <f t="shared" si="53"/>
        <v xml:space="preserve">(1,2,1,2,1,1); </v>
      </c>
      <c r="AJ72" s="435">
        <v>0</v>
      </c>
      <c r="AK72" s="95">
        <v>1</v>
      </c>
      <c r="AL72" s="96">
        <f t="shared" si="54"/>
        <v>3.0006706070022853</v>
      </c>
      <c r="AM72" s="457" t="str">
        <f t="shared" si="55"/>
        <v xml:space="preserve">(1,2,1,2,1,1); </v>
      </c>
      <c r="AN72" s="435">
        <v>0</v>
      </c>
      <c r="AO72" s="95">
        <v>1</v>
      </c>
      <c r="AP72" s="96">
        <f t="shared" si="56"/>
        <v>3.0006706070022853</v>
      </c>
      <c r="AQ72" s="432" t="str">
        <f t="shared" si="57"/>
        <v xml:space="preserve">(1,2,1,2,1,1); </v>
      </c>
      <c r="AR72" s="435">
        <v>1.0071175312302402E-9</v>
      </c>
      <c r="AS72" s="95">
        <v>1</v>
      </c>
      <c r="AT72" s="96">
        <f t="shared" si="58"/>
        <v>3.0616345979734279</v>
      </c>
      <c r="AU72" s="457" t="str">
        <f t="shared" si="59"/>
        <v>(2,4,1,3,1,5); Brailovsky (2026) GM Ingot Factory Steel BS iso Timber BS</v>
      </c>
      <c r="AV72" s="435">
        <v>1.0071175312302402E-9</v>
      </c>
      <c r="AW72" s="95">
        <v>1</v>
      </c>
      <c r="AX72" s="96">
        <f t="shared" si="60"/>
        <v>3.0616345979734279</v>
      </c>
      <c r="AY72" s="432" t="str">
        <f t="shared" si="61"/>
        <v>(2,4,1,3,1,5); Brailovsky (2026) GM Ingot Factory Steel BS iso Timber BS</v>
      </c>
      <c r="AZ72" s="112"/>
      <c r="BA72" s="435"/>
      <c r="BB72" s="435"/>
      <c r="BC72" s="435"/>
      <c r="BD72" s="216"/>
      <c r="BE72" s="83">
        <v>1</v>
      </c>
      <c r="BF72" s="83">
        <v>2</v>
      </c>
      <c r="BG72" s="83">
        <v>1</v>
      </c>
      <c r="BH72" s="83">
        <v>2</v>
      </c>
      <c r="BI72" s="83">
        <v>1</v>
      </c>
      <c r="BJ72" s="83">
        <v>1</v>
      </c>
      <c r="BK72" s="104">
        <v>9</v>
      </c>
      <c r="BL72" s="104">
        <v>3</v>
      </c>
      <c r="BM72" s="107">
        <f t="shared" si="62"/>
        <v>1.02240937572605</v>
      </c>
      <c r="BN72" s="107">
        <f t="shared" si="63"/>
        <v>3.0006706070022853</v>
      </c>
      <c r="BO72" s="107" t="str">
        <f t="shared" si="64"/>
        <v>(1,2,1,2,1,1)</v>
      </c>
      <c r="BP72" s="108">
        <v>1</v>
      </c>
      <c r="BQ72" s="108">
        <v>1.02</v>
      </c>
      <c r="BR72" s="108">
        <v>1</v>
      </c>
      <c r="BS72" s="108">
        <v>1.01</v>
      </c>
      <c r="BT72" s="108">
        <v>1</v>
      </c>
      <c r="BU72" s="108">
        <v>1</v>
      </c>
      <c r="BW72" s="692" t="s">
        <v>868</v>
      </c>
      <c r="BX72" s="83">
        <v>2</v>
      </c>
      <c r="BY72" s="83">
        <v>4</v>
      </c>
      <c r="BZ72" s="83">
        <v>1</v>
      </c>
      <c r="CA72" s="83">
        <v>3</v>
      </c>
      <c r="CB72" s="83">
        <v>1</v>
      </c>
      <c r="CC72" s="83">
        <v>5</v>
      </c>
      <c r="CD72" s="104">
        <v>9</v>
      </c>
      <c r="CE72" s="104">
        <v>3</v>
      </c>
      <c r="CF72" s="107">
        <f t="shared" si="65"/>
        <v>1.2365959919080913</v>
      </c>
      <c r="CG72" s="107">
        <f t="shared" si="66"/>
        <v>3.0616345979734279</v>
      </c>
      <c r="CH72" s="107" t="str">
        <f t="shared" si="67"/>
        <v>(2,4,1,3,1,5)</v>
      </c>
      <c r="CI72" s="108">
        <v>1.05</v>
      </c>
      <c r="CJ72" s="108">
        <v>1.1000000000000001</v>
      </c>
      <c r="CK72" s="108">
        <v>1</v>
      </c>
      <c r="CL72" s="108">
        <v>1.02</v>
      </c>
      <c r="CM72" s="108">
        <v>1</v>
      </c>
      <c r="CN72" s="108">
        <v>1.2</v>
      </c>
    </row>
    <row r="73" spans="1:92" s="171" customFormat="1" ht="36">
      <c r="A73" s="333" t="s">
        <v>777</v>
      </c>
      <c r="B73" s="216"/>
      <c r="C73" s="334"/>
      <c r="D73" s="342">
        <v>5</v>
      </c>
      <c r="E73" s="343" t="s">
        <v>98</v>
      </c>
      <c r="F73" s="437" t="s">
        <v>781</v>
      </c>
      <c r="G73" s="438" t="s">
        <v>340</v>
      </c>
      <c r="H73" s="439" t="s">
        <v>98</v>
      </c>
      <c r="I73" s="439" t="s">
        <v>98</v>
      </c>
      <c r="J73" s="335">
        <v>1</v>
      </c>
      <c r="K73" s="438" t="s">
        <v>144</v>
      </c>
      <c r="L73" s="440">
        <f>$BA$73</f>
        <v>9.3905002476267504E-10</v>
      </c>
      <c r="M73" s="336">
        <v>1</v>
      </c>
      <c r="N73" s="337">
        <f t="shared" si="42"/>
        <v>3.0033855645008969</v>
      </c>
      <c r="O73" s="455" t="str">
        <f t="shared" si="43"/>
        <v>(2,1,1,2,1,1); Industry data (French tender) converted to wafer factory modelled by Brailovsky (2026); contains metal working machine</v>
      </c>
      <c r="P73" s="440">
        <f>$BB$73</f>
        <v>9.3905002476267504E-10</v>
      </c>
      <c r="Q73" s="336">
        <v>1</v>
      </c>
      <c r="R73" s="337">
        <f t="shared" si="44"/>
        <v>3.0033855645008969</v>
      </c>
      <c r="S73" s="455" t="str">
        <f t="shared" si="45"/>
        <v>(2,1,1,2,1,1); Industry data (French tender) converted to wafer factory modelled by Brailovsky (2026); contains metal working machine</v>
      </c>
      <c r="T73" s="440">
        <f>$BA$73</f>
        <v>9.3905002476267504E-10</v>
      </c>
      <c r="U73" s="336">
        <v>1</v>
      </c>
      <c r="V73" s="337">
        <f t="shared" si="46"/>
        <v>3.0033855645008969</v>
      </c>
      <c r="W73" s="455" t="str">
        <f t="shared" si="47"/>
        <v>(2,1,1,2,1,1); Industry data (French tender) converted to wafer factory modelled by Brailovsky (2026); contains metal working machine</v>
      </c>
      <c r="X73" s="440">
        <f>$BB$73</f>
        <v>9.3905002476267504E-10</v>
      </c>
      <c r="Y73" s="336">
        <v>1</v>
      </c>
      <c r="Z73" s="337">
        <f t="shared" si="48"/>
        <v>3.0033855645008969</v>
      </c>
      <c r="AA73" s="437" t="str">
        <f t="shared" si="49"/>
        <v>(2,1,1,2,1,1); Industry data (French tender) converted to wafer factory modelled by Brailovsky (2026); contains metal working machine</v>
      </c>
      <c r="AB73" s="440">
        <f>$BA$73</f>
        <v>9.3905002476267504E-10</v>
      </c>
      <c r="AC73" s="336">
        <v>1</v>
      </c>
      <c r="AD73" s="337">
        <f t="shared" si="50"/>
        <v>3.0033855645008969</v>
      </c>
      <c r="AE73" s="455" t="str">
        <f t="shared" si="51"/>
        <v>(2,1,1,2,1,1); Industry data (French tender) converted to wafer factory modelled by Brailovsky (2026); contains metal working machine</v>
      </c>
      <c r="AF73" s="440">
        <f>$BB$73</f>
        <v>9.3905002476267504E-10</v>
      </c>
      <c r="AG73" s="336">
        <v>1</v>
      </c>
      <c r="AH73" s="337">
        <f t="shared" si="52"/>
        <v>3.0033855645008969</v>
      </c>
      <c r="AI73" s="455" t="str">
        <f t="shared" si="53"/>
        <v>(2,1,1,2,1,1); Industry data (French tender) converted to wafer factory modelled by Brailovsky (2026); contains metal working machine</v>
      </c>
      <c r="AJ73" s="440">
        <f>$BA$73</f>
        <v>9.3905002476267504E-10</v>
      </c>
      <c r="AK73" s="336">
        <v>1</v>
      </c>
      <c r="AL73" s="337">
        <f t="shared" si="54"/>
        <v>3.0033855645008969</v>
      </c>
      <c r="AM73" s="455" t="str">
        <f t="shared" si="55"/>
        <v>(2,1,1,2,1,1); Industry data (French tender) converted to wafer factory modelled by Brailovsky (2026); contains metal working machine</v>
      </c>
      <c r="AN73" s="440">
        <f>$BB$73</f>
        <v>9.3905002476267504E-10</v>
      </c>
      <c r="AO73" s="336">
        <v>1</v>
      </c>
      <c r="AP73" s="337">
        <f t="shared" si="56"/>
        <v>3.0033855645008969</v>
      </c>
      <c r="AQ73" s="437" t="str">
        <f t="shared" si="57"/>
        <v>(2,1,1,2,1,1); Industry data (French tender) converted to wafer factory modelled by Brailovsky (2026); contains metal working machine</v>
      </c>
      <c r="AR73" s="440">
        <v>1.0590750472757902E-9</v>
      </c>
      <c r="AS73" s="336">
        <v>1</v>
      </c>
      <c r="AT73" s="337">
        <f t="shared" si="58"/>
        <v>3.0616345979734279</v>
      </c>
      <c r="AU73" s="455" t="str">
        <f t="shared" si="59"/>
        <v>(2,4,1,3,1,5); Brailovsky (2026) GM Wafer Factory Steel BS iso Timber BS</v>
      </c>
      <c r="AV73" s="440">
        <v>1.0590750472757902E-9</v>
      </c>
      <c r="AW73" s="336">
        <v>1</v>
      </c>
      <c r="AX73" s="337">
        <f t="shared" si="60"/>
        <v>3.0616345979734279</v>
      </c>
      <c r="AY73" s="437" t="str">
        <f t="shared" si="61"/>
        <v>(2,4,1,3,1,5); Brailovsky (2026) GM Wafer Factory Steel BS iso Timber BS</v>
      </c>
      <c r="AZ73" s="338"/>
      <c r="BA73" s="440">
        <f>$G$100</f>
        <v>9.3905002476267504E-10</v>
      </c>
      <c r="BB73" s="440">
        <f>$G$100</f>
        <v>9.3905002476267504E-10</v>
      </c>
      <c r="BC73" s="440"/>
      <c r="BD73" s="216" t="s">
        <v>869</v>
      </c>
      <c r="BE73" s="83">
        <v>2</v>
      </c>
      <c r="BF73" s="83">
        <v>1</v>
      </c>
      <c r="BG73" s="83">
        <v>1</v>
      </c>
      <c r="BH73" s="83">
        <v>2</v>
      </c>
      <c r="BI73" s="83">
        <v>1</v>
      </c>
      <c r="BJ73" s="83">
        <v>1</v>
      </c>
      <c r="BK73" s="104">
        <v>9</v>
      </c>
      <c r="BL73" s="104">
        <v>3</v>
      </c>
      <c r="BM73" s="107">
        <f t="shared" si="62"/>
        <v>1.0510550504206344</v>
      </c>
      <c r="BN73" s="107">
        <f t="shared" si="63"/>
        <v>3.0033855645008969</v>
      </c>
      <c r="BO73" s="107" t="str">
        <f t="shared" si="64"/>
        <v>(2,1,1,2,1,1)</v>
      </c>
      <c r="BP73" s="108">
        <v>1.05</v>
      </c>
      <c r="BQ73" s="108">
        <v>1</v>
      </c>
      <c r="BR73" s="108">
        <v>1</v>
      </c>
      <c r="BS73" s="108">
        <v>1.01</v>
      </c>
      <c r="BT73" s="108">
        <v>1</v>
      </c>
      <c r="BU73" s="108">
        <v>1</v>
      </c>
      <c r="BW73" s="691" t="s">
        <v>870</v>
      </c>
      <c r="BX73" s="83">
        <v>2</v>
      </c>
      <c r="BY73" s="83">
        <v>4</v>
      </c>
      <c r="BZ73" s="83">
        <v>1</v>
      </c>
      <c r="CA73" s="83">
        <v>3</v>
      </c>
      <c r="CB73" s="83">
        <v>1</v>
      </c>
      <c r="CC73" s="83">
        <v>5</v>
      </c>
      <c r="CD73" s="104">
        <v>9</v>
      </c>
      <c r="CE73" s="104">
        <v>3</v>
      </c>
      <c r="CF73" s="107">
        <f t="shared" si="65"/>
        <v>1.2365959919080913</v>
      </c>
      <c r="CG73" s="107">
        <f t="shared" si="66"/>
        <v>3.0616345979734279</v>
      </c>
      <c r="CH73" s="107" t="str">
        <f t="shared" si="67"/>
        <v>(2,4,1,3,1,5)</v>
      </c>
      <c r="CI73" s="108">
        <v>1.05</v>
      </c>
      <c r="CJ73" s="108">
        <v>1.1000000000000001</v>
      </c>
      <c r="CK73" s="108">
        <v>1</v>
      </c>
      <c r="CL73" s="108">
        <v>1.02</v>
      </c>
      <c r="CM73" s="108">
        <v>1</v>
      </c>
      <c r="CN73" s="108">
        <v>1.2</v>
      </c>
    </row>
    <row r="74" spans="1:92" s="171" customFormat="1" ht="24">
      <c r="A74" s="333">
        <v>21844</v>
      </c>
      <c r="B74" s="216" t="s">
        <v>594</v>
      </c>
      <c r="C74" s="334"/>
      <c r="D74" s="342" t="s">
        <v>98</v>
      </c>
      <c r="E74" s="343">
        <v>4</v>
      </c>
      <c r="F74" s="437" t="s">
        <v>121</v>
      </c>
      <c r="G74" s="438" t="s">
        <v>98</v>
      </c>
      <c r="H74" s="439" t="s">
        <v>247</v>
      </c>
      <c r="I74" s="439" t="s">
        <v>258</v>
      </c>
      <c r="J74" s="335" t="s">
        <v>98</v>
      </c>
      <c r="K74" s="438" t="s">
        <v>104</v>
      </c>
      <c r="L74" s="440">
        <f>AJ74</f>
        <v>8.1062228628381163</v>
      </c>
      <c r="M74" s="336">
        <v>1</v>
      </c>
      <c r="N74" s="337">
        <f t="shared" si="42"/>
        <v>1.3965935359732646</v>
      </c>
      <c r="O74" s="455" t="str">
        <f t="shared" si="43"/>
        <v>(4,4,4,3,1,5); All electric energy consumed converted to heat</v>
      </c>
      <c r="P74" s="440">
        <f>AN74</f>
        <v>8.1062228628381163</v>
      </c>
      <c r="Q74" s="336">
        <v>1</v>
      </c>
      <c r="R74" s="337">
        <f t="shared" si="44"/>
        <v>1.3965935359732646</v>
      </c>
      <c r="S74" s="455" t="str">
        <f t="shared" si="45"/>
        <v>(4,4,4,3,1,5); All electric energy consumed converted to heat</v>
      </c>
      <c r="T74" s="440">
        <f>L74</f>
        <v>8.1062228628381163</v>
      </c>
      <c r="U74" s="336">
        <v>1</v>
      </c>
      <c r="V74" s="337">
        <f t="shared" si="46"/>
        <v>1.3965935359732646</v>
      </c>
      <c r="W74" s="455" t="str">
        <f t="shared" si="47"/>
        <v>(4,4,4,3,1,5); All electric energy consumed converted to heat</v>
      </c>
      <c r="X74" s="440">
        <f>P74</f>
        <v>8.1062228628381163</v>
      </c>
      <c r="Y74" s="336">
        <v>1</v>
      </c>
      <c r="Z74" s="337">
        <f t="shared" si="48"/>
        <v>1.3965935359732646</v>
      </c>
      <c r="AA74" s="437" t="str">
        <f t="shared" si="49"/>
        <v>(4,4,4,3,1,5); All electric energy consumed converted to heat</v>
      </c>
      <c r="AB74" s="440">
        <f>T74</f>
        <v>8.1062228628381163</v>
      </c>
      <c r="AC74" s="336">
        <v>1</v>
      </c>
      <c r="AD74" s="337">
        <f t="shared" si="50"/>
        <v>1.3965935359732646</v>
      </c>
      <c r="AE74" s="455" t="str">
        <f t="shared" si="51"/>
        <v>(4,4,4,3,1,5); All electric energy consumed converted to heat</v>
      </c>
      <c r="AF74" s="440">
        <f>P74</f>
        <v>8.1062228628381163</v>
      </c>
      <c r="AG74" s="336">
        <v>1</v>
      </c>
      <c r="AH74" s="337">
        <f t="shared" si="52"/>
        <v>1.3965935359732646</v>
      </c>
      <c r="AI74" s="455" t="str">
        <f t="shared" si="53"/>
        <v>(4,4,4,3,1,5); All electric energy consumed converted to heat</v>
      </c>
      <c r="AJ74" s="440">
        <f>3.6*SUM(AJ56:AJ57)</f>
        <v>8.1062228628381163</v>
      </c>
      <c r="AK74" s="336">
        <v>1</v>
      </c>
      <c r="AL74" s="337">
        <f t="shared" si="54"/>
        <v>1.3965935359732646</v>
      </c>
      <c r="AM74" s="455" t="str">
        <f t="shared" si="55"/>
        <v>(4,4,4,3,1,5); All electric energy consumed converted to heat</v>
      </c>
      <c r="AN74" s="440">
        <f>3.6*SUM(AN56:AN57)</f>
        <v>8.1062228628381163</v>
      </c>
      <c r="AO74" s="336">
        <v>1</v>
      </c>
      <c r="AP74" s="337">
        <f t="shared" si="56"/>
        <v>1.3965935359732646</v>
      </c>
      <c r="AQ74" s="437" t="str">
        <f t="shared" si="57"/>
        <v>(4,4,4,3,1,5); All electric energy consumed converted to heat</v>
      </c>
      <c r="AR74" s="440">
        <f>3.6*AR58</f>
        <v>58.341665739130569</v>
      </c>
      <c r="AS74" s="336">
        <v>1</v>
      </c>
      <c r="AT74" s="337">
        <f t="shared" si="58"/>
        <v>1.3285812705862265</v>
      </c>
      <c r="AU74" s="455" t="str">
        <f t="shared" si="59"/>
        <v>(2,4,4,3,1,5); All electric energy consumed converted to heat</v>
      </c>
      <c r="AV74" s="440">
        <f>3.6*AV47</f>
        <v>58.341665739130569</v>
      </c>
      <c r="AW74" s="336">
        <v>1</v>
      </c>
      <c r="AX74" s="337">
        <f t="shared" si="60"/>
        <v>1.3285812705862265</v>
      </c>
      <c r="AY74" s="437" t="str">
        <f t="shared" si="61"/>
        <v>(2,4,4,3,1,5); All electric energy consumed converted to heat</v>
      </c>
      <c r="AZ74" s="338"/>
      <c r="BA74" s="440" t="s">
        <v>815</v>
      </c>
      <c r="BB74" s="440" t="s">
        <v>815</v>
      </c>
      <c r="BC74" s="440"/>
      <c r="BD74" s="691" t="s">
        <v>871</v>
      </c>
      <c r="BE74" s="83">
        <v>4</v>
      </c>
      <c r="BF74" s="83">
        <v>4</v>
      </c>
      <c r="BG74" s="83">
        <v>4</v>
      </c>
      <c r="BH74" s="83">
        <v>3</v>
      </c>
      <c r="BI74" s="83">
        <v>1</v>
      </c>
      <c r="BJ74" s="83">
        <v>5</v>
      </c>
      <c r="BK74" s="104">
        <v>13</v>
      </c>
      <c r="BL74" s="104">
        <v>1.05</v>
      </c>
      <c r="BM74" s="107">
        <f t="shared" si="62"/>
        <v>1.3915993050235766</v>
      </c>
      <c r="BN74" s="107">
        <f t="shared" si="63"/>
        <v>1.3965935359732646</v>
      </c>
      <c r="BO74" s="107" t="str">
        <f t="shared" si="64"/>
        <v>(4,4,4,3,1,5)</v>
      </c>
      <c r="BP74" s="108">
        <v>1.2</v>
      </c>
      <c r="BQ74" s="108">
        <v>1.1000000000000001</v>
      </c>
      <c r="BR74" s="108">
        <v>1.2</v>
      </c>
      <c r="BS74" s="108">
        <v>1.02</v>
      </c>
      <c r="BT74" s="108">
        <v>1</v>
      </c>
      <c r="BU74" s="108">
        <v>1.2</v>
      </c>
      <c r="BW74" s="691" t="s">
        <v>871</v>
      </c>
      <c r="BX74" s="83">
        <v>2</v>
      </c>
      <c r="BY74" s="83">
        <v>4</v>
      </c>
      <c r="BZ74" s="83">
        <v>4</v>
      </c>
      <c r="CA74" s="83">
        <v>3</v>
      </c>
      <c r="CB74" s="83">
        <v>1</v>
      </c>
      <c r="CC74" s="83">
        <v>5</v>
      </c>
      <c r="CD74" s="104">
        <v>13</v>
      </c>
      <c r="CE74" s="104">
        <v>1.05</v>
      </c>
      <c r="CF74" s="107">
        <f t="shared" si="65"/>
        <v>1.3229855584076429</v>
      </c>
      <c r="CG74" s="107">
        <f t="shared" si="66"/>
        <v>1.3285812705862265</v>
      </c>
      <c r="CH74" s="107" t="str">
        <f t="shared" si="67"/>
        <v>(2,4,4,3,1,5)</v>
      </c>
      <c r="CI74" s="108">
        <v>1.05</v>
      </c>
      <c r="CJ74" s="108">
        <v>1.1000000000000001</v>
      </c>
      <c r="CK74" s="108">
        <v>1.2</v>
      </c>
      <c r="CL74" s="108">
        <v>1.02</v>
      </c>
      <c r="CM74" s="108">
        <v>1</v>
      </c>
      <c r="CN74" s="108">
        <v>1.2</v>
      </c>
    </row>
    <row r="75" spans="1:92" s="171" customFormat="1" ht="24">
      <c r="A75" s="333">
        <v>50430</v>
      </c>
      <c r="B75" s="216"/>
      <c r="C75" s="334"/>
      <c r="D75" s="342" t="s">
        <v>98</v>
      </c>
      <c r="E75" s="343">
        <v>4</v>
      </c>
      <c r="F75" s="437" t="s">
        <v>523</v>
      </c>
      <c r="G75" s="438" t="s">
        <v>98</v>
      </c>
      <c r="H75" s="439" t="s">
        <v>247</v>
      </c>
      <c r="I75" s="439" t="s">
        <v>248</v>
      </c>
      <c r="J75" s="335" t="s">
        <v>98</v>
      </c>
      <c r="K75" s="438" t="s">
        <v>96</v>
      </c>
      <c r="L75" s="440">
        <f>L59-L68*1000</f>
        <v>4.1548011306195001</v>
      </c>
      <c r="M75" s="336">
        <v>1</v>
      </c>
      <c r="N75" s="337">
        <f t="shared" si="42"/>
        <v>1.6871983667168997</v>
      </c>
      <c r="O75" s="455" t="str">
        <f t="shared" si="43"/>
        <v>(4,4,4,3,1,5); Calculated: Water consumption - wastewater treated</v>
      </c>
      <c r="P75" s="440">
        <f>P59-P68*1000</f>
        <v>4.1548011306195001</v>
      </c>
      <c r="Q75" s="336">
        <v>1</v>
      </c>
      <c r="R75" s="337">
        <f t="shared" si="44"/>
        <v>1.6871983667168997</v>
      </c>
      <c r="S75" s="455" t="str">
        <f t="shared" si="45"/>
        <v>(4,4,4,3,1,5); Calculated: Water consumption - wastewater treated</v>
      </c>
      <c r="T75" s="440">
        <v>0</v>
      </c>
      <c r="U75" s="336">
        <v>1</v>
      </c>
      <c r="V75" s="337">
        <f t="shared" si="46"/>
        <v>1.6871983667168997</v>
      </c>
      <c r="W75" s="455" t="str">
        <f t="shared" si="47"/>
        <v>(4,4,4,3,1,5); Calculated: Water consumption - wastewater treated</v>
      </c>
      <c r="X75" s="440">
        <v>0</v>
      </c>
      <c r="Y75" s="336">
        <v>1</v>
      </c>
      <c r="Z75" s="337">
        <f t="shared" si="48"/>
        <v>1.6871983667168997</v>
      </c>
      <c r="AA75" s="437" t="str">
        <f t="shared" si="49"/>
        <v>(4,4,4,3,1,5); Calculated: Water consumption - wastewater treated</v>
      </c>
      <c r="AB75" s="440">
        <v>0</v>
      </c>
      <c r="AC75" s="336">
        <v>1</v>
      </c>
      <c r="AD75" s="337">
        <f t="shared" si="50"/>
        <v>1.6871983667168997</v>
      </c>
      <c r="AE75" s="455" t="str">
        <f t="shared" si="51"/>
        <v>(4,4,4,3,1,5); Calculated: Water consumption - wastewater treated</v>
      </c>
      <c r="AF75" s="440">
        <v>0</v>
      </c>
      <c r="AG75" s="336">
        <v>1</v>
      </c>
      <c r="AH75" s="337">
        <f t="shared" si="52"/>
        <v>1.6871983667168997</v>
      </c>
      <c r="AI75" s="455" t="str">
        <f t="shared" si="53"/>
        <v>(4,4,4,3,1,5); Calculated: Water consumption - wastewater treated</v>
      </c>
      <c r="AJ75" s="440">
        <v>0</v>
      </c>
      <c r="AK75" s="336">
        <v>1</v>
      </c>
      <c r="AL75" s="337">
        <f t="shared" si="54"/>
        <v>1.6871983667168997</v>
      </c>
      <c r="AM75" s="455" t="str">
        <f t="shared" si="55"/>
        <v>(4,4,4,3,1,5); Calculated: Water consumption - wastewater treated</v>
      </c>
      <c r="AN75" s="440">
        <v>0</v>
      </c>
      <c r="AO75" s="336">
        <v>1</v>
      </c>
      <c r="AP75" s="337">
        <f t="shared" si="56"/>
        <v>1.6871983667168997</v>
      </c>
      <c r="AQ75" s="437" t="str">
        <f t="shared" si="57"/>
        <v>(4,4,4,3,1,5); Calculated: Water consumption - wastewater treated</v>
      </c>
      <c r="AR75" s="440">
        <v>0</v>
      </c>
      <c r="AS75" s="336">
        <v>1</v>
      </c>
      <c r="AT75" s="337">
        <f t="shared" si="58"/>
        <v>1.5804528752110836</v>
      </c>
      <c r="AU75" s="455" t="str">
        <f t="shared" si="59"/>
        <v>(2,4,1,3,1,5); Brailovsky (2026)  GM 04</v>
      </c>
      <c r="AV75" s="440">
        <f>AR81</f>
        <v>10.6093565217391</v>
      </c>
      <c r="AW75" s="336">
        <v>1</v>
      </c>
      <c r="AX75" s="337">
        <f t="shared" si="60"/>
        <v>1.5804528752110836</v>
      </c>
      <c r="AY75" s="437" t="str">
        <f t="shared" si="61"/>
        <v>(2,4,1,3,1,5); Brailovsky (2026)  GM 04</v>
      </c>
      <c r="AZ75" s="338"/>
      <c r="BA75" s="440" t="s">
        <v>815</v>
      </c>
      <c r="BB75" s="440" t="s">
        <v>815</v>
      </c>
      <c r="BC75" s="440"/>
      <c r="BD75" s="216" t="s">
        <v>872</v>
      </c>
      <c r="BE75" s="83">
        <v>4</v>
      </c>
      <c r="BF75" s="83">
        <v>4</v>
      </c>
      <c r="BG75" s="83">
        <v>4</v>
      </c>
      <c r="BH75" s="83">
        <v>3</v>
      </c>
      <c r="BI75" s="83">
        <v>1</v>
      </c>
      <c r="BJ75" s="83">
        <v>5</v>
      </c>
      <c r="BK75" s="104">
        <v>31</v>
      </c>
      <c r="BL75" s="104">
        <v>1.5</v>
      </c>
      <c r="BM75" s="107">
        <f t="shared" si="62"/>
        <v>1.3915993050235766</v>
      </c>
      <c r="BN75" s="107">
        <f t="shared" si="63"/>
        <v>1.6871983667168997</v>
      </c>
      <c r="BO75" s="107" t="str">
        <f t="shared" si="64"/>
        <v>(4,4,4,3,1,5)</v>
      </c>
      <c r="BP75" s="108">
        <v>1.2</v>
      </c>
      <c r="BQ75" s="108">
        <v>1.1000000000000001</v>
      </c>
      <c r="BR75" s="108">
        <v>1.2</v>
      </c>
      <c r="BS75" s="108">
        <v>1.02</v>
      </c>
      <c r="BT75" s="108">
        <v>1</v>
      </c>
      <c r="BU75" s="108">
        <v>1.2</v>
      </c>
      <c r="BW75" s="691" t="s">
        <v>851</v>
      </c>
      <c r="BX75" s="83">
        <v>2</v>
      </c>
      <c r="BY75" s="83">
        <v>4</v>
      </c>
      <c r="BZ75" s="83">
        <v>1</v>
      </c>
      <c r="CA75" s="83">
        <v>3</v>
      </c>
      <c r="CB75" s="83">
        <v>1</v>
      </c>
      <c r="CC75" s="83">
        <v>5</v>
      </c>
      <c r="CD75" s="104">
        <v>31</v>
      </c>
      <c r="CE75" s="104">
        <v>1.5</v>
      </c>
      <c r="CF75" s="107">
        <f t="shared" si="65"/>
        <v>1.2365959919080913</v>
      </c>
      <c r="CG75" s="107">
        <f t="shared" si="66"/>
        <v>1.5804528752110836</v>
      </c>
      <c r="CH75" s="107" t="str">
        <f t="shared" si="67"/>
        <v>(2,4,1,3,1,5)</v>
      </c>
      <c r="CI75" s="108">
        <v>1.05</v>
      </c>
      <c r="CJ75" s="108">
        <v>1.1000000000000001</v>
      </c>
      <c r="CK75" s="108">
        <v>1</v>
      </c>
      <c r="CL75" s="108">
        <v>1.02</v>
      </c>
      <c r="CM75" s="108">
        <v>1</v>
      </c>
      <c r="CN75" s="108">
        <v>1.2</v>
      </c>
    </row>
    <row r="76" spans="1:92" s="171" customFormat="1" ht="24">
      <c r="A76" s="333">
        <v>156329</v>
      </c>
      <c r="B76" s="216"/>
      <c r="C76" s="334"/>
      <c r="D76" s="342" t="s">
        <v>98</v>
      </c>
      <c r="E76" s="343">
        <v>4</v>
      </c>
      <c r="F76" s="437" t="s">
        <v>524</v>
      </c>
      <c r="G76" s="438" t="s">
        <v>98</v>
      </c>
      <c r="H76" s="439" t="s">
        <v>247</v>
      </c>
      <c r="I76" s="439" t="s">
        <v>248</v>
      </c>
      <c r="J76" s="335" t="s">
        <v>98</v>
      </c>
      <c r="K76" s="438" t="s">
        <v>96</v>
      </c>
      <c r="L76" s="440">
        <v>0</v>
      </c>
      <c r="M76" s="336">
        <v>1</v>
      </c>
      <c r="N76" s="337">
        <f t="shared" si="42"/>
        <v>1.6871983667168997</v>
      </c>
      <c r="O76" s="455" t="str">
        <f t="shared" si="43"/>
        <v>(4,4,4,3,1,5); Calculated: Water consumption - wastewater treated</v>
      </c>
      <c r="P76" s="440">
        <v>0</v>
      </c>
      <c r="Q76" s="336">
        <v>1</v>
      </c>
      <c r="R76" s="337">
        <f t="shared" si="44"/>
        <v>1.6871983667168997</v>
      </c>
      <c r="S76" s="455" t="str">
        <f t="shared" si="45"/>
        <v>(4,4,4,3,1,5); Calculated: Water consumption - wastewater treated</v>
      </c>
      <c r="T76" s="440">
        <f>T60-T68*1000</f>
        <v>4.1548011306195001</v>
      </c>
      <c r="U76" s="336">
        <v>1</v>
      </c>
      <c r="V76" s="337">
        <f t="shared" si="46"/>
        <v>1.6871983667168997</v>
      </c>
      <c r="W76" s="455" t="str">
        <f t="shared" si="47"/>
        <v>(4,4,4,3,1,5); Calculated: Water consumption - wastewater treated</v>
      </c>
      <c r="X76" s="440">
        <f>X60-X68*1000</f>
        <v>4.1548011306195001</v>
      </c>
      <c r="Y76" s="336">
        <v>1</v>
      </c>
      <c r="Z76" s="337">
        <f t="shared" si="48"/>
        <v>1.6871983667168997</v>
      </c>
      <c r="AA76" s="437" t="str">
        <f t="shared" si="49"/>
        <v>(4,4,4,3,1,5); Calculated: Water consumption - wastewater treated</v>
      </c>
      <c r="AB76" s="440">
        <v>0</v>
      </c>
      <c r="AC76" s="336">
        <v>1</v>
      </c>
      <c r="AD76" s="337">
        <f t="shared" si="50"/>
        <v>1.6871983667168997</v>
      </c>
      <c r="AE76" s="455" t="str">
        <f t="shared" si="51"/>
        <v>(4,4,4,3,1,5); Calculated: Water consumption - wastewater treated</v>
      </c>
      <c r="AF76" s="440">
        <v>0</v>
      </c>
      <c r="AG76" s="336">
        <v>1</v>
      </c>
      <c r="AH76" s="337">
        <f t="shared" si="52"/>
        <v>1.6871983667168997</v>
      </c>
      <c r="AI76" s="455" t="str">
        <f t="shared" si="53"/>
        <v>(4,4,4,3,1,5); Calculated: Water consumption - wastewater treated</v>
      </c>
      <c r="AJ76" s="440">
        <v>0</v>
      </c>
      <c r="AK76" s="336">
        <v>1</v>
      </c>
      <c r="AL76" s="337">
        <f t="shared" si="54"/>
        <v>1.6871983667168997</v>
      </c>
      <c r="AM76" s="455" t="str">
        <f t="shared" si="55"/>
        <v>(4,4,4,3,1,5); Calculated: Water consumption - wastewater treated</v>
      </c>
      <c r="AN76" s="440">
        <v>0</v>
      </c>
      <c r="AO76" s="336">
        <v>1</v>
      </c>
      <c r="AP76" s="337">
        <f t="shared" si="56"/>
        <v>1.6871983667168997</v>
      </c>
      <c r="AQ76" s="437" t="str">
        <f t="shared" si="57"/>
        <v>(4,4,4,3,1,5); Calculated: Water consumption - wastewater treated</v>
      </c>
      <c r="AR76" s="440">
        <v>0</v>
      </c>
      <c r="AS76" s="336">
        <v>1</v>
      </c>
      <c r="AT76" s="337">
        <f t="shared" si="58"/>
        <v>1.5</v>
      </c>
      <c r="AU76" s="455" t="str">
        <f t="shared" si="59"/>
        <v xml:space="preserve">(na,na,na,na,na,na); </v>
      </c>
      <c r="AV76" s="440">
        <v>0</v>
      </c>
      <c r="AW76" s="336">
        <v>1</v>
      </c>
      <c r="AX76" s="337">
        <f t="shared" si="60"/>
        <v>1.5</v>
      </c>
      <c r="AY76" s="437" t="str">
        <f t="shared" si="61"/>
        <v xml:space="preserve">(na,na,na,na,na,na); </v>
      </c>
      <c r="AZ76" s="338"/>
      <c r="BA76" s="440" t="s">
        <v>815</v>
      </c>
      <c r="BB76" s="440" t="s">
        <v>815</v>
      </c>
      <c r="BC76" s="440"/>
      <c r="BD76" s="216" t="s">
        <v>872</v>
      </c>
      <c r="BE76" s="83">
        <v>4</v>
      </c>
      <c r="BF76" s="83">
        <v>4</v>
      </c>
      <c r="BG76" s="83">
        <v>4</v>
      </c>
      <c r="BH76" s="83">
        <v>3</v>
      </c>
      <c r="BI76" s="83">
        <v>1</v>
      </c>
      <c r="BJ76" s="83">
        <v>5</v>
      </c>
      <c r="BK76" s="104">
        <v>31</v>
      </c>
      <c r="BL76" s="104">
        <v>1.5</v>
      </c>
      <c r="BM76" s="107">
        <f t="shared" si="62"/>
        <v>1.3915993050235766</v>
      </c>
      <c r="BN76" s="107">
        <f t="shared" si="63"/>
        <v>1.6871983667168997</v>
      </c>
      <c r="BO76" s="107" t="str">
        <f t="shared" si="64"/>
        <v>(4,4,4,3,1,5)</v>
      </c>
      <c r="BP76" s="108">
        <v>1.2</v>
      </c>
      <c r="BQ76" s="108">
        <v>1.1000000000000001</v>
      </c>
      <c r="BR76" s="108">
        <v>1.2</v>
      </c>
      <c r="BS76" s="108">
        <v>1.02</v>
      </c>
      <c r="BT76" s="108">
        <v>1</v>
      </c>
      <c r="BU76" s="108">
        <v>1.2</v>
      </c>
      <c r="BW76" s="691"/>
      <c r="BX76" s="339" t="s">
        <v>106</v>
      </c>
      <c r="BY76" s="339" t="s">
        <v>106</v>
      </c>
      <c r="BZ76" s="339" t="s">
        <v>106</v>
      </c>
      <c r="CA76" s="339" t="s">
        <v>106</v>
      </c>
      <c r="CB76" s="339" t="s">
        <v>106</v>
      </c>
      <c r="CC76" s="339" t="s">
        <v>106</v>
      </c>
      <c r="CD76" s="104">
        <v>31</v>
      </c>
      <c r="CE76" s="104">
        <v>1.5</v>
      </c>
      <c r="CF76" s="107">
        <f t="shared" si="65"/>
        <v>1</v>
      </c>
      <c r="CG76" s="107">
        <f t="shared" si="66"/>
        <v>1.5</v>
      </c>
      <c r="CH76" s="107" t="str">
        <f t="shared" si="67"/>
        <v>(na,na,na,na,na,na)</v>
      </c>
      <c r="CI76" s="108">
        <v>1</v>
      </c>
      <c r="CJ76" s="108">
        <v>1</v>
      </c>
      <c r="CK76" s="108">
        <v>1</v>
      </c>
      <c r="CL76" s="108">
        <v>1</v>
      </c>
      <c r="CM76" s="108">
        <v>1</v>
      </c>
      <c r="CN76" s="108">
        <v>1</v>
      </c>
    </row>
    <row r="77" spans="1:92" s="171" customFormat="1" ht="24">
      <c r="A77" s="333">
        <v>51378</v>
      </c>
      <c r="B77" s="216"/>
      <c r="C77" s="334"/>
      <c r="D77" s="342" t="s">
        <v>98</v>
      </c>
      <c r="E77" s="343">
        <v>4</v>
      </c>
      <c r="F77" s="437" t="s">
        <v>525</v>
      </c>
      <c r="G77" s="438" t="s">
        <v>98</v>
      </c>
      <c r="H77" s="439" t="s">
        <v>247</v>
      </c>
      <c r="I77" s="439" t="s">
        <v>248</v>
      </c>
      <c r="J77" s="335" t="s">
        <v>98</v>
      </c>
      <c r="K77" s="438" t="s">
        <v>96</v>
      </c>
      <c r="L77" s="440">
        <v>0</v>
      </c>
      <c r="M77" s="336">
        <v>1</v>
      </c>
      <c r="N77" s="337">
        <f t="shared" si="42"/>
        <v>1.6871983667168997</v>
      </c>
      <c r="O77" s="455" t="str">
        <f t="shared" si="43"/>
        <v>(4,4,4,3,1,5); Calculated: Water consumption - wastewater treated</v>
      </c>
      <c r="P77" s="440">
        <v>0</v>
      </c>
      <c r="Q77" s="336">
        <v>1</v>
      </c>
      <c r="R77" s="337">
        <f t="shared" si="44"/>
        <v>1.6871983667168997</v>
      </c>
      <c r="S77" s="455" t="str">
        <f t="shared" si="45"/>
        <v>(4,4,4,3,1,5); Calculated: Water consumption - wastewater treated</v>
      </c>
      <c r="T77" s="440">
        <v>0</v>
      </c>
      <c r="U77" s="336">
        <v>1</v>
      </c>
      <c r="V77" s="337">
        <f t="shared" si="46"/>
        <v>1.6871983667168997</v>
      </c>
      <c r="W77" s="455" t="str">
        <f t="shared" si="47"/>
        <v>(4,4,4,3,1,5); Calculated: Water consumption - wastewater treated</v>
      </c>
      <c r="X77" s="440">
        <v>0</v>
      </c>
      <c r="Y77" s="336">
        <v>1</v>
      </c>
      <c r="Z77" s="337">
        <f t="shared" si="48"/>
        <v>1.6871983667168997</v>
      </c>
      <c r="AA77" s="437" t="str">
        <f t="shared" si="49"/>
        <v>(4,4,4,3,1,5); Calculated: Water consumption - wastewater treated</v>
      </c>
      <c r="AB77" s="440">
        <f>AB61-AB68*$J$105*1000</f>
        <v>0.649187676659297</v>
      </c>
      <c r="AC77" s="336">
        <v>1</v>
      </c>
      <c r="AD77" s="337">
        <f t="shared" si="50"/>
        <v>1.6871983667168997</v>
      </c>
      <c r="AE77" s="455" t="str">
        <f t="shared" si="51"/>
        <v>(4,4,4,3,1,5); Calculated: Water consumption - wastewater treated</v>
      </c>
      <c r="AF77" s="440">
        <f>AF61-AF68*$J$105*1000</f>
        <v>0.649187676659297</v>
      </c>
      <c r="AG77" s="336">
        <v>1</v>
      </c>
      <c r="AH77" s="337">
        <f t="shared" si="52"/>
        <v>1.6871983667168997</v>
      </c>
      <c r="AI77" s="455" t="str">
        <f t="shared" si="53"/>
        <v>(4,4,4,3,1,5); Calculated: Water consumption - wastewater treated</v>
      </c>
      <c r="AJ77" s="440">
        <v>0</v>
      </c>
      <c r="AK77" s="336">
        <v>1</v>
      </c>
      <c r="AL77" s="337">
        <f t="shared" si="54"/>
        <v>1.6871983667168997</v>
      </c>
      <c r="AM77" s="455" t="str">
        <f t="shared" si="55"/>
        <v>(4,4,4,3,1,5); Calculated: Water consumption - wastewater treated</v>
      </c>
      <c r="AN77" s="440">
        <v>0</v>
      </c>
      <c r="AO77" s="336">
        <v>1</v>
      </c>
      <c r="AP77" s="337">
        <f t="shared" si="56"/>
        <v>1.6871983667168997</v>
      </c>
      <c r="AQ77" s="437" t="str">
        <f t="shared" si="57"/>
        <v>(4,4,4,3,1,5); Calculated: Water consumption - wastewater treated</v>
      </c>
      <c r="AR77" s="440">
        <v>0</v>
      </c>
      <c r="AS77" s="336">
        <v>1</v>
      </c>
      <c r="AT77" s="337">
        <f t="shared" si="58"/>
        <v>1.5</v>
      </c>
      <c r="AU77" s="455" t="str">
        <f t="shared" si="59"/>
        <v xml:space="preserve">(na,na,na,na,na,na); </v>
      </c>
      <c r="AV77" s="440">
        <v>0</v>
      </c>
      <c r="AW77" s="336">
        <v>1</v>
      </c>
      <c r="AX77" s="337">
        <f t="shared" si="60"/>
        <v>1.5</v>
      </c>
      <c r="AY77" s="437" t="str">
        <f t="shared" si="61"/>
        <v xml:space="preserve">(na,na,na,na,na,na); </v>
      </c>
      <c r="AZ77" s="338"/>
      <c r="BA77" s="440" t="s">
        <v>815</v>
      </c>
      <c r="BB77" s="440" t="s">
        <v>815</v>
      </c>
      <c r="BC77" s="440"/>
      <c r="BD77" s="216" t="s">
        <v>872</v>
      </c>
      <c r="BE77" s="83">
        <v>4</v>
      </c>
      <c r="BF77" s="83">
        <v>4</v>
      </c>
      <c r="BG77" s="83">
        <v>4</v>
      </c>
      <c r="BH77" s="83">
        <v>3</v>
      </c>
      <c r="BI77" s="83">
        <v>1</v>
      </c>
      <c r="BJ77" s="83">
        <v>5</v>
      </c>
      <c r="BK77" s="104">
        <v>31</v>
      </c>
      <c r="BL77" s="104">
        <v>1.5</v>
      </c>
      <c r="BM77" s="107">
        <f t="shared" si="62"/>
        <v>1.3915993050235766</v>
      </c>
      <c r="BN77" s="107">
        <f t="shared" si="63"/>
        <v>1.6871983667168997</v>
      </c>
      <c r="BO77" s="107" t="str">
        <f t="shared" si="64"/>
        <v>(4,4,4,3,1,5)</v>
      </c>
      <c r="BP77" s="108">
        <v>1.2</v>
      </c>
      <c r="BQ77" s="108">
        <v>1.1000000000000001</v>
      </c>
      <c r="BR77" s="108">
        <v>1.2</v>
      </c>
      <c r="BS77" s="108">
        <v>1.02</v>
      </c>
      <c r="BT77" s="108">
        <v>1</v>
      </c>
      <c r="BU77" s="108">
        <v>1.2</v>
      </c>
      <c r="BW77" s="691"/>
      <c r="BX77" s="339" t="s">
        <v>106</v>
      </c>
      <c r="BY77" s="339" t="s">
        <v>106</v>
      </c>
      <c r="BZ77" s="339" t="s">
        <v>106</v>
      </c>
      <c r="CA77" s="339" t="s">
        <v>106</v>
      </c>
      <c r="CB77" s="339" t="s">
        <v>106</v>
      </c>
      <c r="CC77" s="339" t="s">
        <v>106</v>
      </c>
      <c r="CD77" s="104">
        <v>31</v>
      </c>
      <c r="CE77" s="104">
        <v>1.5</v>
      </c>
      <c r="CF77" s="107">
        <f t="shared" si="65"/>
        <v>1</v>
      </c>
      <c r="CG77" s="107">
        <f t="shared" si="66"/>
        <v>1.5</v>
      </c>
      <c r="CH77" s="107" t="str">
        <f t="shared" si="67"/>
        <v>(na,na,na,na,na,na)</v>
      </c>
      <c r="CI77" s="108">
        <v>1</v>
      </c>
      <c r="CJ77" s="108">
        <v>1</v>
      </c>
      <c r="CK77" s="108">
        <v>1</v>
      </c>
      <c r="CL77" s="108">
        <v>1</v>
      </c>
      <c r="CM77" s="108">
        <v>1</v>
      </c>
      <c r="CN77" s="108">
        <v>1</v>
      </c>
    </row>
    <row r="78" spans="1:92" s="171" customFormat="1" ht="24">
      <c r="A78" s="333">
        <v>27191</v>
      </c>
      <c r="B78" s="216"/>
      <c r="C78" s="334"/>
      <c r="D78" s="342" t="s">
        <v>98</v>
      </c>
      <c r="E78" s="343">
        <v>4</v>
      </c>
      <c r="F78" s="437" t="s">
        <v>657</v>
      </c>
      <c r="G78" s="438" t="s">
        <v>98</v>
      </c>
      <c r="H78" s="439" t="s">
        <v>247</v>
      </c>
      <c r="I78" s="439" t="s">
        <v>248</v>
      </c>
      <c r="J78" s="335" t="s">
        <v>98</v>
      </c>
      <c r="K78" s="438" t="s">
        <v>96</v>
      </c>
      <c r="L78" s="440">
        <v>0</v>
      </c>
      <c r="M78" s="336">
        <v>1</v>
      </c>
      <c r="N78" s="337">
        <f t="shared" si="42"/>
        <v>1.6871983667168997</v>
      </c>
      <c r="O78" s="455" t="str">
        <f t="shared" si="43"/>
        <v>(4,4,4,3,1,5); Calculated: Water consumption - wastewater treated</v>
      </c>
      <c r="P78" s="440">
        <v>0</v>
      </c>
      <c r="Q78" s="336">
        <v>1</v>
      </c>
      <c r="R78" s="337">
        <f t="shared" si="44"/>
        <v>1.6871983667168997</v>
      </c>
      <c r="S78" s="455" t="str">
        <f t="shared" si="45"/>
        <v>(4,4,4,3,1,5); Calculated: Water consumption - wastewater treated</v>
      </c>
      <c r="T78" s="440">
        <v>0</v>
      </c>
      <c r="U78" s="336">
        <v>1</v>
      </c>
      <c r="V78" s="337">
        <f t="shared" si="46"/>
        <v>1.6871983667168997</v>
      </c>
      <c r="W78" s="455" t="str">
        <f t="shared" si="47"/>
        <v>(4,4,4,3,1,5); Calculated: Water consumption - wastewater treated</v>
      </c>
      <c r="X78" s="440">
        <v>0</v>
      </c>
      <c r="Y78" s="336">
        <v>1</v>
      </c>
      <c r="Z78" s="337">
        <f t="shared" si="48"/>
        <v>1.6871983667168997</v>
      </c>
      <c r="AA78" s="437" t="str">
        <f t="shared" si="49"/>
        <v>(4,4,4,3,1,5); Calculated: Water consumption - wastewater treated</v>
      </c>
      <c r="AB78" s="440">
        <f>AB62-AB68*$J$106*1000</f>
        <v>0.51935014132743751</v>
      </c>
      <c r="AC78" s="336">
        <v>1</v>
      </c>
      <c r="AD78" s="337">
        <f t="shared" si="50"/>
        <v>1.6871983667168997</v>
      </c>
      <c r="AE78" s="455" t="str">
        <f t="shared" si="51"/>
        <v>(4,4,4,3,1,5); Calculated: Water consumption - wastewater treated</v>
      </c>
      <c r="AF78" s="440">
        <f>AF62-AF68*$J$106*1000</f>
        <v>0.51935014132743751</v>
      </c>
      <c r="AG78" s="336">
        <v>1</v>
      </c>
      <c r="AH78" s="337">
        <f t="shared" si="52"/>
        <v>1.6871983667168997</v>
      </c>
      <c r="AI78" s="455" t="str">
        <f t="shared" si="53"/>
        <v>(4,4,4,3,1,5); Calculated: Water consumption - wastewater treated</v>
      </c>
      <c r="AJ78" s="440">
        <v>0</v>
      </c>
      <c r="AK78" s="336">
        <v>1</v>
      </c>
      <c r="AL78" s="337">
        <f t="shared" si="54"/>
        <v>1.6871983667168997</v>
      </c>
      <c r="AM78" s="455" t="str">
        <f t="shared" si="55"/>
        <v>(4,4,4,3,1,5); Calculated: Water consumption - wastewater treated</v>
      </c>
      <c r="AN78" s="440">
        <v>0</v>
      </c>
      <c r="AO78" s="336">
        <v>1</v>
      </c>
      <c r="AP78" s="337">
        <f t="shared" si="56"/>
        <v>1.6871983667168997</v>
      </c>
      <c r="AQ78" s="437" t="str">
        <f t="shared" si="57"/>
        <v>(4,4,4,3,1,5); Calculated: Water consumption - wastewater treated</v>
      </c>
      <c r="AR78" s="440">
        <v>0</v>
      </c>
      <c r="AS78" s="336">
        <v>1</v>
      </c>
      <c r="AT78" s="337">
        <f t="shared" si="58"/>
        <v>1.5</v>
      </c>
      <c r="AU78" s="455" t="str">
        <f t="shared" si="59"/>
        <v xml:space="preserve">(na,na,na,na,na,na); </v>
      </c>
      <c r="AV78" s="440">
        <v>0</v>
      </c>
      <c r="AW78" s="336">
        <v>1</v>
      </c>
      <c r="AX78" s="337">
        <f t="shared" si="60"/>
        <v>1.5</v>
      </c>
      <c r="AY78" s="437" t="str">
        <f t="shared" si="61"/>
        <v xml:space="preserve">(na,na,na,na,na,na); </v>
      </c>
      <c r="AZ78" s="338"/>
      <c r="BA78" s="440" t="s">
        <v>815</v>
      </c>
      <c r="BB78" s="440" t="s">
        <v>815</v>
      </c>
      <c r="BC78" s="440"/>
      <c r="BD78" s="216" t="s">
        <v>872</v>
      </c>
      <c r="BE78" s="83">
        <v>4</v>
      </c>
      <c r="BF78" s="83">
        <v>4</v>
      </c>
      <c r="BG78" s="83">
        <v>4</v>
      </c>
      <c r="BH78" s="83">
        <v>3</v>
      </c>
      <c r="BI78" s="83">
        <v>1</v>
      </c>
      <c r="BJ78" s="83">
        <v>5</v>
      </c>
      <c r="BK78" s="104">
        <v>31</v>
      </c>
      <c r="BL78" s="104">
        <v>1.5</v>
      </c>
      <c r="BM78" s="107">
        <f t="shared" si="62"/>
        <v>1.3915993050235766</v>
      </c>
      <c r="BN78" s="107">
        <f t="shared" si="63"/>
        <v>1.6871983667168997</v>
      </c>
      <c r="BO78" s="107" t="str">
        <f t="shared" si="64"/>
        <v>(4,4,4,3,1,5)</v>
      </c>
      <c r="BP78" s="108">
        <v>1.2</v>
      </c>
      <c r="BQ78" s="108">
        <v>1.1000000000000001</v>
      </c>
      <c r="BR78" s="108">
        <v>1.2</v>
      </c>
      <c r="BS78" s="108">
        <v>1.02</v>
      </c>
      <c r="BT78" s="108">
        <v>1</v>
      </c>
      <c r="BU78" s="108">
        <v>1.2</v>
      </c>
      <c r="BW78" s="691"/>
      <c r="BX78" s="339" t="s">
        <v>106</v>
      </c>
      <c r="BY78" s="339" t="s">
        <v>106</v>
      </c>
      <c r="BZ78" s="339" t="s">
        <v>106</v>
      </c>
      <c r="CA78" s="339" t="s">
        <v>106</v>
      </c>
      <c r="CB78" s="339" t="s">
        <v>106</v>
      </c>
      <c r="CC78" s="339" t="s">
        <v>106</v>
      </c>
      <c r="CD78" s="104">
        <v>31</v>
      </c>
      <c r="CE78" s="104">
        <v>1.5</v>
      </c>
      <c r="CF78" s="107">
        <f t="shared" si="65"/>
        <v>1</v>
      </c>
      <c r="CG78" s="107">
        <f t="shared" si="66"/>
        <v>1.5</v>
      </c>
      <c r="CH78" s="107" t="str">
        <f t="shared" si="67"/>
        <v>(na,na,na,na,na,na)</v>
      </c>
      <c r="CI78" s="108">
        <v>1</v>
      </c>
      <c r="CJ78" s="108">
        <v>1</v>
      </c>
      <c r="CK78" s="108">
        <v>1</v>
      </c>
      <c r="CL78" s="108">
        <v>1</v>
      </c>
      <c r="CM78" s="108">
        <v>1</v>
      </c>
      <c r="CN78" s="108">
        <v>1</v>
      </c>
    </row>
    <row r="79" spans="1:92" s="171" customFormat="1" ht="24">
      <c r="A79" s="333" t="s">
        <v>658</v>
      </c>
      <c r="B79" s="216"/>
      <c r="C79" s="334"/>
      <c r="D79" s="342" t="s">
        <v>98</v>
      </c>
      <c r="E79" s="343">
        <v>4</v>
      </c>
      <c r="F79" s="437" t="s">
        <v>659</v>
      </c>
      <c r="G79" s="438" t="s">
        <v>98</v>
      </c>
      <c r="H79" s="439" t="s">
        <v>247</v>
      </c>
      <c r="I79" s="439" t="s">
        <v>248</v>
      </c>
      <c r="J79" s="335" t="s">
        <v>98</v>
      </c>
      <c r="K79" s="438" t="s">
        <v>96</v>
      </c>
      <c r="L79" s="440">
        <v>0</v>
      </c>
      <c r="M79" s="336">
        <v>1</v>
      </c>
      <c r="N79" s="337">
        <f t="shared" si="42"/>
        <v>1.6871983667168997</v>
      </c>
      <c r="O79" s="455" t="str">
        <f t="shared" si="43"/>
        <v>(4,4,4,3,1,5); Calculated: Water consumption - wastewater treated</v>
      </c>
      <c r="P79" s="440">
        <v>0</v>
      </c>
      <c r="Q79" s="336">
        <v>1</v>
      </c>
      <c r="R79" s="337">
        <f t="shared" si="44"/>
        <v>1.6871983667168997</v>
      </c>
      <c r="S79" s="455" t="str">
        <f t="shared" si="45"/>
        <v>(4,4,4,3,1,5); Calculated: Water consumption - wastewater treated</v>
      </c>
      <c r="T79" s="440">
        <v>0</v>
      </c>
      <c r="U79" s="336">
        <v>1</v>
      </c>
      <c r="V79" s="337">
        <f t="shared" si="46"/>
        <v>1.6871983667168997</v>
      </c>
      <c r="W79" s="455" t="str">
        <f t="shared" si="47"/>
        <v>(4,4,4,3,1,5); Calculated: Water consumption - wastewater treated</v>
      </c>
      <c r="X79" s="440">
        <v>0</v>
      </c>
      <c r="Y79" s="336">
        <v>1</v>
      </c>
      <c r="Z79" s="337">
        <f t="shared" si="48"/>
        <v>1.6871983667168997</v>
      </c>
      <c r="AA79" s="437" t="str">
        <f t="shared" si="49"/>
        <v>(4,4,4,3,1,5); Calculated: Water consumption - wastewater treated</v>
      </c>
      <c r="AB79" s="440">
        <f>AB63-AB68*$J$107*1000</f>
        <v>2.9862633126327651</v>
      </c>
      <c r="AC79" s="336">
        <v>1</v>
      </c>
      <c r="AD79" s="337">
        <f t="shared" si="50"/>
        <v>1.6871983667168997</v>
      </c>
      <c r="AE79" s="455" t="str">
        <f t="shared" si="51"/>
        <v>(4,4,4,3,1,5); Calculated: Water consumption - wastewater treated</v>
      </c>
      <c r="AF79" s="440">
        <f>AF63-AF68*$J$107*1000</f>
        <v>2.9862633126327651</v>
      </c>
      <c r="AG79" s="336">
        <v>1</v>
      </c>
      <c r="AH79" s="337">
        <f t="shared" si="52"/>
        <v>1.6871983667168997</v>
      </c>
      <c r="AI79" s="455" t="str">
        <f t="shared" si="53"/>
        <v>(4,4,4,3,1,5); Calculated: Water consumption - wastewater treated</v>
      </c>
      <c r="AJ79" s="440">
        <v>0</v>
      </c>
      <c r="AK79" s="336">
        <v>1</v>
      </c>
      <c r="AL79" s="337">
        <f t="shared" si="54"/>
        <v>1.6871983667168997</v>
      </c>
      <c r="AM79" s="455" t="str">
        <f t="shared" si="55"/>
        <v>(4,4,4,3,1,5); Calculated: Water consumption - wastewater treated</v>
      </c>
      <c r="AN79" s="440">
        <v>0</v>
      </c>
      <c r="AO79" s="336">
        <v>1</v>
      </c>
      <c r="AP79" s="337">
        <f t="shared" si="56"/>
        <v>1.6871983667168997</v>
      </c>
      <c r="AQ79" s="437" t="str">
        <f t="shared" si="57"/>
        <v>(4,4,4,3,1,5); Calculated: Water consumption - wastewater treated</v>
      </c>
      <c r="AR79" s="440">
        <v>0</v>
      </c>
      <c r="AS79" s="336">
        <v>1</v>
      </c>
      <c r="AT79" s="337">
        <f t="shared" si="58"/>
        <v>1.5</v>
      </c>
      <c r="AU79" s="455" t="str">
        <f t="shared" si="59"/>
        <v xml:space="preserve">(na,na,na,na,na,na); </v>
      </c>
      <c r="AV79" s="440">
        <v>0</v>
      </c>
      <c r="AW79" s="336">
        <v>1</v>
      </c>
      <c r="AX79" s="337">
        <f t="shared" si="60"/>
        <v>1.5</v>
      </c>
      <c r="AY79" s="437" t="str">
        <f t="shared" si="61"/>
        <v xml:space="preserve">(na,na,na,na,na,na); </v>
      </c>
      <c r="AZ79" s="338"/>
      <c r="BA79" s="440" t="s">
        <v>815</v>
      </c>
      <c r="BB79" s="440" t="s">
        <v>815</v>
      </c>
      <c r="BC79" s="440"/>
      <c r="BD79" s="216" t="s">
        <v>872</v>
      </c>
      <c r="BE79" s="83">
        <v>4</v>
      </c>
      <c r="BF79" s="83">
        <v>4</v>
      </c>
      <c r="BG79" s="83">
        <v>4</v>
      </c>
      <c r="BH79" s="83">
        <v>3</v>
      </c>
      <c r="BI79" s="83">
        <v>1</v>
      </c>
      <c r="BJ79" s="83">
        <v>5</v>
      </c>
      <c r="BK79" s="104">
        <v>31</v>
      </c>
      <c r="BL79" s="104">
        <v>1.5</v>
      </c>
      <c r="BM79" s="107">
        <f t="shared" si="62"/>
        <v>1.3915993050235766</v>
      </c>
      <c r="BN79" s="107">
        <f t="shared" si="63"/>
        <v>1.6871983667168997</v>
      </c>
      <c r="BO79" s="107" t="str">
        <f t="shared" si="64"/>
        <v>(4,4,4,3,1,5)</v>
      </c>
      <c r="BP79" s="108">
        <v>1.2</v>
      </c>
      <c r="BQ79" s="108">
        <v>1.1000000000000001</v>
      </c>
      <c r="BR79" s="108">
        <v>1.2</v>
      </c>
      <c r="BS79" s="108">
        <v>1.02</v>
      </c>
      <c r="BT79" s="108">
        <v>1</v>
      </c>
      <c r="BU79" s="108">
        <v>1.2</v>
      </c>
      <c r="BW79" s="691"/>
      <c r="BX79" s="339" t="s">
        <v>106</v>
      </c>
      <c r="BY79" s="339" t="s">
        <v>106</v>
      </c>
      <c r="BZ79" s="339" t="s">
        <v>106</v>
      </c>
      <c r="CA79" s="339" t="s">
        <v>106</v>
      </c>
      <c r="CB79" s="339" t="s">
        <v>106</v>
      </c>
      <c r="CC79" s="339" t="s">
        <v>106</v>
      </c>
      <c r="CD79" s="104">
        <v>31</v>
      </c>
      <c r="CE79" s="104">
        <v>1.5</v>
      </c>
      <c r="CF79" s="107">
        <f t="shared" si="65"/>
        <v>1</v>
      </c>
      <c r="CG79" s="107">
        <f t="shared" si="66"/>
        <v>1.5</v>
      </c>
      <c r="CH79" s="107" t="str">
        <f t="shared" si="67"/>
        <v>(na,na,na,na,na,na)</v>
      </c>
      <c r="CI79" s="108">
        <v>1</v>
      </c>
      <c r="CJ79" s="108">
        <v>1</v>
      </c>
      <c r="CK79" s="108">
        <v>1</v>
      </c>
      <c r="CL79" s="108">
        <v>1</v>
      </c>
      <c r="CM79" s="108">
        <v>1</v>
      </c>
      <c r="CN79" s="108">
        <v>1</v>
      </c>
    </row>
    <row r="80" spans="1:92" s="171" customFormat="1" ht="24">
      <c r="A80" s="333">
        <v>75740</v>
      </c>
      <c r="B80" s="216"/>
      <c r="C80" s="334"/>
      <c r="D80" s="342" t="s">
        <v>98</v>
      </c>
      <c r="E80" s="343">
        <v>4</v>
      </c>
      <c r="F80" s="437" t="s">
        <v>521</v>
      </c>
      <c r="G80" s="438" t="s">
        <v>98</v>
      </c>
      <c r="H80" s="439" t="s">
        <v>247</v>
      </c>
      <c r="I80" s="439" t="s">
        <v>248</v>
      </c>
      <c r="J80" s="335" t="s">
        <v>98</v>
      </c>
      <c r="K80" s="438" t="s">
        <v>96</v>
      </c>
      <c r="L80" s="440">
        <v>0</v>
      </c>
      <c r="M80" s="336">
        <v>1</v>
      </c>
      <c r="N80" s="337">
        <f t="shared" si="42"/>
        <v>1.6871983667168997</v>
      </c>
      <c r="O80" s="455" t="str">
        <f t="shared" si="43"/>
        <v>(4,4,4,3,1,5); Calculated: Water consumption - wastewater treated</v>
      </c>
      <c r="P80" s="440">
        <v>0</v>
      </c>
      <c r="Q80" s="336">
        <v>1</v>
      </c>
      <c r="R80" s="337">
        <f t="shared" si="44"/>
        <v>1.6871983667168997</v>
      </c>
      <c r="S80" s="455" t="str">
        <f t="shared" si="45"/>
        <v>(4,4,4,3,1,5); Calculated: Water consumption - wastewater treated</v>
      </c>
      <c r="T80" s="440">
        <v>0</v>
      </c>
      <c r="U80" s="336">
        <v>1</v>
      </c>
      <c r="V80" s="337">
        <f t="shared" si="46"/>
        <v>1.6871983667168997</v>
      </c>
      <c r="W80" s="455" t="str">
        <f t="shared" si="47"/>
        <v>(4,4,4,3,1,5); Calculated: Water consumption - wastewater treated</v>
      </c>
      <c r="X80" s="440">
        <v>0</v>
      </c>
      <c r="Y80" s="336">
        <v>1</v>
      </c>
      <c r="Z80" s="337">
        <f t="shared" si="48"/>
        <v>1.6871983667168997</v>
      </c>
      <c r="AA80" s="437" t="str">
        <f t="shared" si="49"/>
        <v>(4,4,4,3,1,5); Calculated: Water consumption - wastewater treated</v>
      </c>
      <c r="AB80" s="440">
        <v>0</v>
      </c>
      <c r="AC80" s="336">
        <v>1</v>
      </c>
      <c r="AD80" s="337">
        <f t="shared" si="50"/>
        <v>1.6871983667168997</v>
      </c>
      <c r="AE80" s="455" t="str">
        <f t="shared" si="51"/>
        <v>(4,4,4,3,1,5); Calculated: Water consumption - wastewater treated</v>
      </c>
      <c r="AF80" s="440">
        <v>0</v>
      </c>
      <c r="AG80" s="336">
        <v>1</v>
      </c>
      <c r="AH80" s="337">
        <f t="shared" si="52"/>
        <v>1.6871983667168997</v>
      </c>
      <c r="AI80" s="455" t="str">
        <f t="shared" si="53"/>
        <v>(4,4,4,3,1,5); Calculated: Water consumption - wastewater treated</v>
      </c>
      <c r="AJ80" s="440">
        <f>AJ64-AJ68*1000</f>
        <v>4.1548011306195001</v>
      </c>
      <c r="AK80" s="336">
        <v>1</v>
      </c>
      <c r="AL80" s="337">
        <f t="shared" si="54"/>
        <v>1.6871983667168997</v>
      </c>
      <c r="AM80" s="455" t="str">
        <f t="shared" si="55"/>
        <v>(4,4,4,3,1,5); Calculated: Water consumption - wastewater treated</v>
      </c>
      <c r="AN80" s="440">
        <f>AN64-AN68*1000</f>
        <v>4.1548011306195001</v>
      </c>
      <c r="AO80" s="336">
        <v>1</v>
      </c>
      <c r="AP80" s="337">
        <f t="shared" si="56"/>
        <v>1.6871983667168997</v>
      </c>
      <c r="AQ80" s="437" t="str">
        <f t="shared" si="57"/>
        <v>(4,4,4,3,1,5); Calculated: Water consumption - wastewater treated</v>
      </c>
      <c r="AR80" s="440">
        <v>0</v>
      </c>
      <c r="AS80" s="336">
        <v>1</v>
      </c>
      <c r="AT80" s="337">
        <f t="shared" si="58"/>
        <v>1.5</v>
      </c>
      <c r="AU80" s="455" t="str">
        <f t="shared" si="59"/>
        <v xml:space="preserve">(na,na,na,na,na,na); </v>
      </c>
      <c r="AV80" s="440">
        <v>0</v>
      </c>
      <c r="AW80" s="336">
        <v>1</v>
      </c>
      <c r="AX80" s="337">
        <f t="shared" si="60"/>
        <v>1.5</v>
      </c>
      <c r="AY80" s="437" t="str">
        <f t="shared" si="61"/>
        <v xml:space="preserve">(na,na,na,na,na,na); </v>
      </c>
      <c r="AZ80" s="338"/>
      <c r="BA80" s="440" t="s">
        <v>815</v>
      </c>
      <c r="BB80" s="440" t="s">
        <v>815</v>
      </c>
      <c r="BC80" s="440"/>
      <c r="BD80" s="216" t="s">
        <v>872</v>
      </c>
      <c r="BE80" s="83">
        <v>4</v>
      </c>
      <c r="BF80" s="83">
        <v>4</v>
      </c>
      <c r="BG80" s="83">
        <v>4</v>
      </c>
      <c r="BH80" s="83">
        <v>3</v>
      </c>
      <c r="BI80" s="83">
        <v>1</v>
      </c>
      <c r="BJ80" s="83">
        <v>5</v>
      </c>
      <c r="BK80" s="104">
        <v>31</v>
      </c>
      <c r="BL80" s="104">
        <v>1.5</v>
      </c>
      <c r="BM80" s="107">
        <f t="shared" si="62"/>
        <v>1.3915993050235766</v>
      </c>
      <c r="BN80" s="107">
        <f t="shared" si="63"/>
        <v>1.6871983667168997</v>
      </c>
      <c r="BO80" s="107" t="str">
        <f t="shared" si="64"/>
        <v>(4,4,4,3,1,5)</v>
      </c>
      <c r="BP80" s="108">
        <v>1.2</v>
      </c>
      <c r="BQ80" s="108">
        <v>1.1000000000000001</v>
      </c>
      <c r="BR80" s="108">
        <v>1.2</v>
      </c>
      <c r="BS80" s="108">
        <v>1.02</v>
      </c>
      <c r="BT80" s="108">
        <v>1</v>
      </c>
      <c r="BU80" s="108">
        <v>1.2</v>
      </c>
      <c r="BW80" s="691"/>
      <c r="BX80" s="339" t="s">
        <v>106</v>
      </c>
      <c r="BY80" s="339" t="s">
        <v>106</v>
      </c>
      <c r="BZ80" s="339" t="s">
        <v>106</v>
      </c>
      <c r="CA80" s="339" t="s">
        <v>106</v>
      </c>
      <c r="CB80" s="339" t="s">
        <v>106</v>
      </c>
      <c r="CC80" s="339" t="s">
        <v>106</v>
      </c>
      <c r="CD80" s="104">
        <v>31</v>
      </c>
      <c r="CE80" s="104">
        <v>1.5</v>
      </c>
      <c r="CF80" s="107">
        <f t="shared" si="65"/>
        <v>1</v>
      </c>
      <c r="CG80" s="107">
        <f t="shared" si="66"/>
        <v>1.5</v>
      </c>
      <c r="CH80" s="107" t="str">
        <f t="shared" si="67"/>
        <v>(na,na,na,na,na,na)</v>
      </c>
      <c r="CI80" s="108">
        <v>1</v>
      </c>
      <c r="CJ80" s="108">
        <v>1</v>
      </c>
      <c r="CK80" s="108">
        <v>1</v>
      </c>
      <c r="CL80" s="108">
        <v>1</v>
      </c>
      <c r="CM80" s="108">
        <v>1</v>
      </c>
      <c r="CN80" s="108">
        <v>1</v>
      </c>
    </row>
    <row r="81" spans="1:92" collapsed="1">
      <c r="A81" s="330">
        <v>50312</v>
      </c>
      <c r="B81" s="331"/>
      <c r="C81" s="88"/>
      <c r="D81" s="340" t="s">
        <v>98</v>
      </c>
      <c r="E81" s="341">
        <v>4</v>
      </c>
      <c r="F81" s="432" t="s">
        <v>520</v>
      </c>
      <c r="G81" s="433" t="s">
        <v>98</v>
      </c>
      <c r="H81" s="434" t="s">
        <v>247</v>
      </c>
      <c r="I81" s="434" t="s">
        <v>248</v>
      </c>
      <c r="J81" s="94" t="s">
        <v>98</v>
      </c>
      <c r="K81" s="433" t="s">
        <v>96</v>
      </c>
      <c r="L81" s="435">
        <v>0</v>
      </c>
      <c r="M81" s="95">
        <v>1</v>
      </c>
      <c r="N81" s="96">
        <f t="shared" si="42"/>
        <v>1.5</v>
      </c>
      <c r="O81" s="457" t="str">
        <f t="shared" si="43"/>
        <v xml:space="preserve">(na,na,na,na,na,na); </v>
      </c>
      <c r="P81" s="435">
        <v>0</v>
      </c>
      <c r="Q81" s="95">
        <v>1</v>
      </c>
      <c r="R81" s="96">
        <f t="shared" si="44"/>
        <v>1.5</v>
      </c>
      <c r="S81" s="457" t="str">
        <f t="shared" si="45"/>
        <v xml:space="preserve">(na,na,na,na,na,na); </v>
      </c>
      <c r="T81" s="435">
        <v>0</v>
      </c>
      <c r="U81" s="95">
        <v>1</v>
      </c>
      <c r="V81" s="96">
        <f t="shared" si="46"/>
        <v>1.5</v>
      </c>
      <c r="W81" s="457" t="str">
        <f t="shared" si="47"/>
        <v xml:space="preserve">(na,na,na,na,na,na); </v>
      </c>
      <c r="X81" s="435">
        <v>0</v>
      </c>
      <c r="Y81" s="95">
        <v>1</v>
      </c>
      <c r="Z81" s="96">
        <f t="shared" si="48"/>
        <v>1.5</v>
      </c>
      <c r="AA81" s="432" t="str">
        <f t="shared" si="49"/>
        <v xml:space="preserve">(na,na,na,na,na,na); </v>
      </c>
      <c r="AB81" s="435">
        <v>0</v>
      </c>
      <c r="AC81" s="95">
        <v>1</v>
      </c>
      <c r="AD81" s="96">
        <f t="shared" si="50"/>
        <v>1.5</v>
      </c>
      <c r="AE81" s="457" t="str">
        <f t="shared" si="51"/>
        <v xml:space="preserve">(na,na,na,na,na,na); </v>
      </c>
      <c r="AF81" s="435">
        <v>0</v>
      </c>
      <c r="AG81" s="95">
        <v>1</v>
      </c>
      <c r="AH81" s="96">
        <f t="shared" si="52"/>
        <v>1.5</v>
      </c>
      <c r="AI81" s="457" t="str">
        <f t="shared" si="53"/>
        <v xml:space="preserve">(na,na,na,na,na,na); </v>
      </c>
      <c r="AJ81" s="435">
        <v>0</v>
      </c>
      <c r="AK81" s="95">
        <v>1</v>
      </c>
      <c r="AL81" s="96">
        <f t="shared" si="54"/>
        <v>1.5</v>
      </c>
      <c r="AM81" s="457" t="str">
        <f t="shared" si="55"/>
        <v xml:space="preserve">(na,na,na,na,na,na); </v>
      </c>
      <c r="AN81" s="435">
        <v>0</v>
      </c>
      <c r="AO81" s="95">
        <v>1</v>
      </c>
      <c r="AP81" s="96">
        <f t="shared" si="56"/>
        <v>1.5</v>
      </c>
      <c r="AQ81" s="432" t="str">
        <f t="shared" si="57"/>
        <v xml:space="preserve">(na,na,na,na,na,na); </v>
      </c>
      <c r="AR81" s="435">
        <v>10.6093565217391</v>
      </c>
      <c r="AS81" s="95">
        <v>1</v>
      </c>
      <c r="AT81" s="96">
        <f t="shared" si="58"/>
        <v>1.5804528752110836</v>
      </c>
      <c r="AU81" s="457" t="str">
        <f t="shared" si="59"/>
        <v>(2,4,1,3,1,5); Brailovsky (2026)  GM 04</v>
      </c>
      <c r="AV81" s="435">
        <v>0</v>
      </c>
      <c r="AW81" s="95">
        <v>1</v>
      </c>
      <c r="AX81" s="96">
        <f t="shared" si="60"/>
        <v>1.5804528752110836</v>
      </c>
      <c r="AY81" s="432" t="str">
        <f t="shared" si="61"/>
        <v>(2,4,1,3,1,5); Brailovsky (2026)  GM 04</v>
      </c>
      <c r="AZ81" s="112"/>
      <c r="BA81" s="435"/>
      <c r="BB81" s="435"/>
      <c r="BC81" s="435"/>
      <c r="BD81" s="690"/>
      <c r="BE81" s="339" t="s">
        <v>106</v>
      </c>
      <c r="BF81" s="339" t="s">
        <v>106</v>
      </c>
      <c r="BG81" s="339" t="s">
        <v>106</v>
      </c>
      <c r="BH81" s="339" t="s">
        <v>106</v>
      </c>
      <c r="BI81" s="339" t="s">
        <v>106</v>
      </c>
      <c r="BJ81" s="339" t="s">
        <v>106</v>
      </c>
      <c r="BK81" s="104">
        <v>31</v>
      </c>
      <c r="BL81" s="104">
        <v>1.5</v>
      </c>
      <c r="BM81" s="107">
        <f t="shared" si="62"/>
        <v>1</v>
      </c>
      <c r="BN81" s="107">
        <f t="shared" si="63"/>
        <v>1.5</v>
      </c>
      <c r="BO81" s="107" t="str">
        <f t="shared" si="64"/>
        <v>(na,na,na,na,na,na)</v>
      </c>
      <c r="BP81" s="108">
        <v>1</v>
      </c>
      <c r="BQ81" s="108">
        <v>1</v>
      </c>
      <c r="BR81" s="108">
        <v>1</v>
      </c>
      <c r="BS81" s="108">
        <v>1</v>
      </c>
      <c r="BT81" s="108">
        <v>1</v>
      </c>
      <c r="BU81" s="108">
        <v>1</v>
      </c>
      <c r="BW81" s="692" t="s">
        <v>851</v>
      </c>
      <c r="BX81" s="83">
        <v>2</v>
      </c>
      <c r="BY81" s="83">
        <v>4</v>
      </c>
      <c r="BZ81" s="83">
        <v>1</v>
      </c>
      <c r="CA81" s="83">
        <v>3</v>
      </c>
      <c r="CB81" s="83">
        <v>1</v>
      </c>
      <c r="CC81" s="83">
        <v>5</v>
      </c>
      <c r="CD81" s="104">
        <v>31</v>
      </c>
      <c r="CE81" s="104">
        <v>1.5</v>
      </c>
      <c r="CF81" s="107">
        <f t="shared" si="65"/>
        <v>1.2365959919080913</v>
      </c>
      <c r="CG81" s="107">
        <f t="shared" si="66"/>
        <v>1.5804528752110836</v>
      </c>
      <c r="CH81" s="107" t="str">
        <f t="shared" si="67"/>
        <v>(2,4,1,3,1,5)</v>
      </c>
      <c r="CI81" s="108">
        <v>1.05</v>
      </c>
      <c r="CJ81" s="108">
        <v>1.1000000000000001</v>
      </c>
      <c r="CK81" s="108">
        <v>1</v>
      </c>
      <c r="CL81" s="108">
        <v>1.02</v>
      </c>
      <c r="CM81" s="108">
        <v>1</v>
      </c>
      <c r="CN81" s="108">
        <v>1.2</v>
      </c>
    </row>
    <row r="82" spans="1:92" s="171" customFormat="1" ht="36">
      <c r="A82" s="333">
        <v>68218</v>
      </c>
      <c r="B82" s="216" t="s">
        <v>526</v>
      </c>
      <c r="C82" s="334"/>
      <c r="D82" s="342" t="s">
        <v>98</v>
      </c>
      <c r="E82" s="343">
        <v>4</v>
      </c>
      <c r="F82" s="437" t="s">
        <v>296</v>
      </c>
      <c r="G82" s="438" t="s">
        <v>98</v>
      </c>
      <c r="H82" s="439" t="s">
        <v>344</v>
      </c>
      <c r="I82" s="439" t="s">
        <v>192</v>
      </c>
      <c r="J82" s="335" t="s">
        <v>98</v>
      </c>
      <c r="K82" s="438" t="s">
        <v>96</v>
      </c>
      <c r="L82" s="440">
        <f>AJ82</f>
        <v>2.9544707429322813E-2</v>
      </c>
      <c r="M82" s="336">
        <v>1</v>
      </c>
      <c r="N82" s="337">
        <f t="shared" si="42"/>
        <v>1.6367088634771867</v>
      </c>
      <c r="O82" s="455" t="str">
        <f t="shared" si="43"/>
        <v>(2,4,4,3,1,5); de Wild-Scholten (2014) Life Cycle Assessment of Photovoltaics Status 2011, Part 1 Data Collection (Table 19,25)</v>
      </c>
      <c r="P82" s="440">
        <f>AN82</f>
        <v>2.9544707429322813E-2</v>
      </c>
      <c r="Q82" s="336">
        <v>1</v>
      </c>
      <c r="R82" s="337">
        <f t="shared" si="44"/>
        <v>1.6367088634771867</v>
      </c>
      <c r="S82" s="455" t="str">
        <f t="shared" si="45"/>
        <v>(2,4,4,3,1,5); de Wild-Scholten (2014) Life Cycle Assessment of Photovoltaics Status 2011, Part 1 Data Collection (Table 19,25)</v>
      </c>
      <c r="T82" s="440">
        <f>L82</f>
        <v>2.9544707429322813E-2</v>
      </c>
      <c r="U82" s="336">
        <v>1</v>
      </c>
      <c r="V82" s="337">
        <f t="shared" si="46"/>
        <v>1.6367088634771867</v>
      </c>
      <c r="W82" s="455" t="str">
        <f t="shared" si="47"/>
        <v>(2,4,4,3,1,5); de Wild-Scholten (2014) Life Cycle Assessment of Photovoltaics Status 2011, Part 1 Data Collection (Table 19,25)</v>
      </c>
      <c r="X82" s="440">
        <f>P82</f>
        <v>2.9544707429322813E-2</v>
      </c>
      <c r="Y82" s="336">
        <v>1</v>
      </c>
      <c r="Z82" s="337">
        <f t="shared" si="48"/>
        <v>1.6367088634771867</v>
      </c>
      <c r="AA82" s="437" t="str">
        <f t="shared" si="49"/>
        <v>(2,4,4,3,1,5); de Wild-Scholten (2014) Life Cycle Assessment of Photovoltaics Status 2011, Part 1 Data Collection (Table 19,25)</v>
      </c>
      <c r="AB82" s="440">
        <f>T82</f>
        <v>2.9544707429322813E-2</v>
      </c>
      <c r="AC82" s="336">
        <v>1</v>
      </c>
      <c r="AD82" s="337">
        <f t="shared" si="50"/>
        <v>1.6367088634771867</v>
      </c>
      <c r="AE82" s="455" t="str">
        <f t="shared" si="51"/>
        <v>(2,4,4,3,1,5); de Wild-Scholten (2014) Life Cycle Assessment of Photovoltaics Status 2011, Part 1 Data Collection (Table 19,25)</v>
      </c>
      <c r="AF82" s="440">
        <f>P82</f>
        <v>2.9544707429322813E-2</v>
      </c>
      <c r="AG82" s="336">
        <v>1</v>
      </c>
      <c r="AH82" s="337">
        <f t="shared" si="52"/>
        <v>1.6367088634771867</v>
      </c>
      <c r="AI82" s="455" t="str">
        <f t="shared" si="53"/>
        <v>(2,4,4,3,1,5); de Wild-Scholten (2014) Life Cycle Assessment of Photovoltaics Status 2011, Part 1 Data Collection (Table 19,25)</v>
      </c>
      <c r="AJ82" s="440">
        <f>$BA82</f>
        <v>2.9544707429322813E-2</v>
      </c>
      <c r="AK82" s="336">
        <v>1</v>
      </c>
      <c r="AL82" s="337">
        <f t="shared" si="54"/>
        <v>1.6367088634771867</v>
      </c>
      <c r="AM82" s="455" t="str">
        <f t="shared" si="55"/>
        <v>(2,4,4,3,1,5); de Wild-Scholten (2014) Life Cycle Assessment of Photovoltaics Status 2011, Part 1 Data Collection (Table 19,25)</v>
      </c>
      <c r="AN82" s="440">
        <f>$BB82</f>
        <v>2.9544707429322813E-2</v>
      </c>
      <c r="AO82" s="336">
        <v>1</v>
      </c>
      <c r="AP82" s="337">
        <f t="shared" si="56"/>
        <v>1.6367088634771867</v>
      </c>
      <c r="AQ82" s="437" t="str">
        <f t="shared" si="57"/>
        <v>(2,4,4,3,1,5); de Wild-Scholten (2014) Life Cycle Assessment of Photovoltaics Status 2011, Part 1 Data Collection (Table 19,25)</v>
      </c>
      <c r="AR82" s="440">
        <v>0</v>
      </c>
      <c r="AS82" s="336">
        <v>1</v>
      </c>
      <c r="AT82" s="337">
        <f t="shared" si="58"/>
        <v>1.5</v>
      </c>
      <c r="AU82" s="455" t="str">
        <f t="shared" si="59"/>
        <v xml:space="preserve">(na,na,na,na,na,na); </v>
      </c>
      <c r="AV82" s="440">
        <v>0</v>
      </c>
      <c r="AW82" s="336">
        <v>1</v>
      </c>
      <c r="AX82" s="337">
        <f t="shared" si="60"/>
        <v>1.5</v>
      </c>
      <c r="AY82" s="455" t="str">
        <f t="shared" si="61"/>
        <v xml:space="preserve">(na,na,na,na,na,na); </v>
      </c>
      <c r="AZ82" s="338"/>
      <c r="BA82" s="440">
        <f>0.000719/(0.156^2)</f>
        <v>2.9544707429322813E-2</v>
      </c>
      <c r="BB82" s="440">
        <f>0.000719/(0.156^2)</f>
        <v>2.9544707429322813E-2</v>
      </c>
      <c r="BC82" s="440"/>
      <c r="BD82" s="216" t="s">
        <v>873</v>
      </c>
      <c r="BE82" s="83">
        <v>2</v>
      </c>
      <c r="BF82" s="83">
        <v>4</v>
      </c>
      <c r="BG82" s="83">
        <v>4</v>
      </c>
      <c r="BH82" s="83">
        <v>3</v>
      </c>
      <c r="BI82" s="83">
        <v>1</v>
      </c>
      <c r="BJ82" s="83">
        <v>5</v>
      </c>
      <c r="BK82" s="104">
        <v>32</v>
      </c>
      <c r="BL82" s="104">
        <v>1.5</v>
      </c>
      <c r="BM82" s="107">
        <f t="shared" si="62"/>
        <v>1.3229855584076429</v>
      </c>
      <c r="BN82" s="107">
        <f t="shared" si="63"/>
        <v>1.6367088634771867</v>
      </c>
      <c r="BO82" s="107" t="str">
        <f t="shared" si="64"/>
        <v>(2,4,4,3,1,5)</v>
      </c>
      <c r="BP82" s="108">
        <v>1.05</v>
      </c>
      <c r="BQ82" s="108">
        <v>1.1000000000000001</v>
      </c>
      <c r="BR82" s="108">
        <v>1.2</v>
      </c>
      <c r="BS82" s="108">
        <v>1.02</v>
      </c>
      <c r="BT82" s="108">
        <v>1</v>
      </c>
      <c r="BU82" s="108">
        <v>1.2</v>
      </c>
      <c r="BW82" s="691"/>
      <c r="BX82" s="339" t="s">
        <v>106</v>
      </c>
      <c r="BY82" s="339" t="s">
        <v>106</v>
      </c>
      <c r="BZ82" s="339" t="s">
        <v>106</v>
      </c>
      <c r="CA82" s="339" t="s">
        <v>106</v>
      </c>
      <c r="CB82" s="339" t="s">
        <v>106</v>
      </c>
      <c r="CC82" s="339" t="s">
        <v>106</v>
      </c>
      <c r="CD82" s="104">
        <v>32</v>
      </c>
      <c r="CE82" s="104">
        <v>1.5</v>
      </c>
      <c r="CF82" s="107">
        <f t="shared" si="65"/>
        <v>1</v>
      </c>
      <c r="CG82" s="107">
        <f t="shared" si="66"/>
        <v>1.5</v>
      </c>
      <c r="CH82" s="107" t="str">
        <f t="shared" si="67"/>
        <v>(na,na,na,na,na,na)</v>
      </c>
      <c r="CI82" s="108">
        <v>1</v>
      </c>
      <c r="CJ82" s="108">
        <v>1</v>
      </c>
      <c r="CK82" s="108">
        <v>1</v>
      </c>
      <c r="CL82" s="108">
        <v>1</v>
      </c>
      <c r="CM82" s="108">
        <v>1</v>
      </c>
      <c r="CN82" s="108">
        <v>1</v>
      </c>
    </row>
    <row r="83" spans="1:92" s="171" customFormat="1" ht="36">
      <c r="A83" s="333">
        <v>13296</v>
      </c>
      <c r="B83" s="216"/>
      <c r="C83" s="334"/>
      <c r="D83" s="342" t="s">
        <v>98</v>
      </c>
      <c r="E83" s="343">
        <v>4</v>
      </c>
      <c r="F83" s="437" t="s">
        <v>297</v>
      </c>
      <c r="G83" s="438" t="s">
        <v>98</v>
      </c>
      <c r="H83" s="439" t="s">
        <v>344</v>
      </c>
      <c r="I83" s="439" t="s">
        <v>192</v>
      </c>
      <c r="J83" s="335" t="s">
        <v>98</v>
      </c>
      <c r="K83" s="438" t="s">
        <v>96</v>
      </c>
      <c r="L83" s="440">
        <f>AJ83</f>
        <v>2.9544707429322813E-2</v>
      </c>
      <c r="M83" s="336">
        <v>1</v>
      </c>
      <c r="N83" s="337">
        <f t="shared" si="42"/>
        <v>1.8532338457509625</v>
      </c>
      <c r="O83" s="455" t="str">
        <f t="shared" si="43"/>
        <v>(3,4,5,3,1,5); de Wild-Scholten (2014) Life Cycle Assessment of Photovoltaics Status 2011, Part 1 Data Collection (Table 19,25)</v>
      </c>
      <c r="P83" s="440">
        <f>AN83</f>
        <v>2.9544707429322813E-2</v>
      </c>
      <c r="Q83" s="336">
        <v>1</v>
      </c>
      <c r="R83" s="337">
        <f t="shared" si="44"/>
        <v>1.8532338457509625</v>
      </c>
      <c r="S83" s="455" t="str">
        <f t="shared" si="45"/>
        <v>(3,4,5,3,1,5); de Wild-Scholten (2014) Life Cycle Assessment of Photovoltaics Status 2011, Part 1 Data Collection (Table 19,25)</v>
      </c>
      <c r="T83" s="440">
        <f>L83</f>
        <v>2.9544707429322813E-2</v>
      </c>
      <c r="U83" s="336">
        <v>1</v>
      </c>
      <c r="V83" s="337">
        <f t="shared" si="46"/>
        <v>1.8532338457509625</v>
      </c>
      <c r="W83" s="455" t="str">
        <f t="shared" si="47"/>
        <v>(3,4,5,3,1,5); de Wild-Scholten (2014) Life Cycle Assessment of Photovoltaics Status 2011, Part 1 Data Collection (Table 19,25)</v>
      </c>
      <c r="X83" s="440">
        <f>P83</f>
        <v>2.9544707429322813E-2</v>
      </c>
      <c r="Y83" s="336">
        <v>1</v>
      </c>
      <c r="Z83" s="337">
        <f t="shared" si="48"/>
        <v>1.8532338457509625</v>
      </c>
      <c r="AA83" s="437" t="str">
        <f t="shared" si="49"/>
        <v>(3,4,5,3,1,5); de Wild-Scholten (2014) Life Cycle Assessment of Photovoltaics Status 2011, Part 1 Data Collection (Table 19,25)</v>
      </c>
      <c r="AB83" s="440">
        <f>T83</f>
        <v>2.9544707429322813E-2</v>
      </c>
      <c r="AC83" s="336">
        <v>1</v>
      </c>
      <c r="AD83" s="337">
        <f t="shared" si="50"/>
        <v>1.8532338457509625</v>
      </c>
      <c r="AE83" s="455" t="str">
        <f t="shared" si="51"/>
        <v>(3,4,5,3,1,5); de Wild-Scholten (2014) Life Cycle Assessment of Photovoltaics Status 2011, Part 1 Data Collection (Table 19,25)</v>
      </c>
      <c r="AF83" s="440">
        <f>P83</f>
        <v>2.9544707429322813E-2</v>
      </c>
      <c r="AG83" s="336">
        <v>1</v>
      </c>
      <c r="AH83" s="337">
        <f t="shared" si="52"/>
        <v>1.8532338457509625</v>
      </c>
      <c r="AI83" s="455" t="str">
        <f t="shared" si="53"/>
        <v>(3,4,5,3,1,5); de Wild-Scholten (2014) Life Cycle Assessment of Photovoltaics Status 2011, Part 1 Data Collection (Table 19,25)</v>
      </c>
      <c r="AJ83" s="440">
        <f>$BA83</f>
        <v>2.9544707429322813E-2</v>
      </c>
      <c r="AK83" s="336">
        <v>1</v>
      </c>
      <c r="AL83" s="337">
        <f t="shared" si="54"/>
        <v>1.8532338457509625</v>
      </c>
      <c r="AM83" s="455" t="str">
        <f t="shared" si="55"/>
        <v>(3,4,5,3,1,5); de Wild-Scholten (2014) Life Cycle Assessment of Photovoltaics Status 2011, Part 1 Data Collection (Table 19,25)</v>
      </c>
      <c r="AN83" s="440">
        <f>$BB83</f>
        <v>2.9544707429322813E-2</v>
      </c>
      <c r="AO83" s="336">
        <v>1</v>
      </c>
      <c r="AP83" s="337">
        <f t="shared" si="56"/>
        <v>1.8532338457509625</v>
      </c>
      <c r="AQ83" s="437" t="str">
        <f t="shared" si="57"/>
        <v>(3,4,5,3,1,5); de Wild-Scholten (2014) Life Cycle Assessment of Photovoltaics Status 2011, Part 1 Data Collection (Table 19,25)</v>
      </c>
      <c r="AR83" s="440">
        <v>0</v>
      </c>
      <c r="AS83" s="336">
        <v>1</v>
      </c>
      <c r="AT83" s="337">
        <f t="shared" si="58"/>
        <v>1.5</v>
      </c>
      <c r="AU83" s="455" t="str">
        <f t="shared" si="59"/>
        <v xml:space="preserve">(na,na,na,na,na,na); </v>
      </c>
      <c r="AV83" s="440">
        <v>0</v>
      </c>
      <c r="AW83" s="336">
        <v>1</v>
      </c>
      <c r="AX83" s="337">
        <f t="shared" si="60"/>
        <v>1.5</v>
      </c>
      <c r="AY83" s="455" t="str">
        <f t="shared" si="61"/>
        <v xml:space="preserve">(na,na,na,na,na,na); </v>
      </c>
      <c r="AZ83" s="338"/>
      <c r="BA83" s="440">
        <f>0.000719/(0.156^2)</f>
        <v>2.9544707429322813E-2</v>
      </c>
      <c r="BB83" s="440">
        <f>0.000719/(0.156^2)</f>
        <v>2.9544707429322813E-2</v>
      </c>
      <c r="BC83" s="440"/>
      <c r="BD83" s="216" t="s">
        <v>873</v>
      </c>
      <c r="BE83" s="83">
        <v>3</v>
      </c>
      <c r="BF83" s="83">
        <v>4</v>
      </c>
      <c r="BG83" s="83">
        <v>5</v>
      </c>
      <c r="BH83" s="83">
        <v>3</v>
      </c>
      <c r="BI83" s="83">
        <v>1</v>
      </c>
      <c r="BJ83" s="83">
        <v>5</v>
      </c>
      <c r="BK83" s="104">
        <v>32</v>
      </c>
      <c r="BL83" s="104">
        <v>1.5</v>
      </c>
      <c r="BM83" s="107">
        <f t="shared" si="62"/>
        <v>1.5919770563893134</v>
      </c>
      <c r="BN83" s="107">
        <f t="shared" si="63"/>
        <v>1.8532338457509625</v>
      </c>
      <c r="BO83" s="107" t="str">
        <f t="shared" si="64"/>
        <v>(3,4,5,3,1,5)</v>
      </c>
      <c r="BP83" s="108">
        <v>1.1000000000000001</v>
      </c>
      <c r="BQ83" s="108">
        <v>1.1000000000000001</v>
      </c>
      <c r="BR83" s="108">
        <v>1.5</v>
      </c>
      <c r="BS83" s="108">
        <v>1.02</v>
      </c>
      <c r="BT83" s="108">
        <v>1</v>
      </c>
      <c r="BU83" s="108">
        <v>1.2</v>
      </c>
      <c r="BW83" s="691"/>
      <c r="BX83" s="339" t="s">
        <v>106</v>
      </c>
      <c r="BY83" s="339" t="s">
        <v>106</v>
      </c>
      <c r="BZ83" s="339" t="s">
        <v>106</v>
      </c>
      <c r="CA83" s="339" t="s">
        <v>106</v>
      </c>
      <c r="CB83" s="339" t="s">
        <v>106</v>
      </c>
      <c r="CC83" s="339" t="s">
        <v>106</v>
      </c>
      <c r="CD83" s="104">
        <v>32</v>
      </c>
      <c r="CE83" s="104">
        <v>1.5</v>
      </c>
      <c r="CF83" s="107">
        <f t="shared" si="65"/>
        <v>1</v>
      </c>
      <c r="CG83" s="107">
        <f t="shared" si="66"/>
        <v>1.5</v>
      </c>
      <c r="CH83" s="107" t="str">
        <f t="shared" si="67"/>
        <v>(na,na,na,na,na,na)</v>
      </c>
      <c r="CI83" s="108">
        <v>1</v>
      </c>
      <c r="CJ83" s="108">
        <v>1</v>
      </c>
      <c r="CK83" s="108">
        <v>1</v>
      </c>
      <c r="CL83" s="108">
        <v>1</v>
      </c>
      <c r="CM83" s="108">
        <v>1</v>
      </c>
      <c r="CN83" s="108">
        <v>1</v>
      </c>
    </row>
    <row r="84" spans="1:92" s="171" customFormat="1" ht="36">
      <c r="A84" s="333">
        <v>68218</v>
      </c>
      <c r="B84" s="216"/>
      <c r="C84" s="334"/>
      <c r="D84" s="342" t="s">
        <v>98</v>
      </c>
      <c r="E84" s="343">
        <v>4</v>
      </c>
      <c r="F84" s="437" t="s">
        <v>296</v>
      </c>
      <c r="G84" s="438" t="s">
        <v>98</v>
      </c>
      <c r="H84" s="439" t="s">
        <v>344</v>
      </c>
      <c r="I84" s="439" t="s">
        <v>192</v>
      </c>
      <c r="J84" s="335" t="s">
        <v>98</v>
      </c>
      <c r="K84" s="438" t="s">
        <v>96</v>
      </c>
      <c r="L84" s="440">
        <f>AJ84</f>
        <v>1.1094674556213017E-2</v>
      </c>
      <c r="M84" s="336">
        <v>1</v>
      </c>
      <c r="N84" s="337">
        <f t="shared" si="42"/>
        <v>1.8532338457509625</v>
      </c>
      <c r="O84" s="455" t="str">
        <f t="shared" si="43"/>
        <v>(3,4,5,3,1,5); de Wild-Scholten (2014) Life Cycle Assessment of Photovoltaics Status 2011, Part 1 Data Collection (Table 19,25)</v>
      </c>
      <c r="P84" s="440">
        <f>AN84</f>
        <v>1.1094674556213017E-2</v>
      </c>
      <c r="Q84" s="336">
        <v>1</v>
      </c>
      <c r="R84" s="337">
        <f t="shared" si="44"/>
        <v>1.8532338457509625</v>
      </c>
      <c r="S84" s="455" t="str">
        <f t="shared" si="45"/>
        <v>(3,4,5,3,1,5); de Wild-Scholten (2014) Life Cycle Assessment of Photovoltaics Status 2011, Part 1 Data Collection (Table 19,25)</v>
      </c>
      <c r="T84" s="440">
        <f>L84</f>
        <v>1.1094674556213017E-2</v>
      </c>
      <c r="U84" s="336">
        <v>1</v>
      </c>
      <c r="V84" s="337">
        <f t="shared" si="46"/>
        <v>1.8532338457509625</v>
      </c>
      <c r="W84" s="455" t="str">
        <f t="shared" si="47"/>
        <v>(3,4,5,3,1,5); de Wild-Scholten (2014) Life Cycle Assessment of Photovoltaics Status 2011, Part 1 Data Collection (Table 19,25)</v>
      </c>
      <c r="X84" s="440">
        <f>P84</f>
        <v>1.1094674556213017E-2</v>
      </c>
      <c r="Y84" s="336">
        <v>1</v>
      </c>
      <c r="Z84" s="337">
        <f t="shared" si="48"/>
        <v>1.8532338457509625</v>
      </c>
      <c r="AA84" s="437" t="str">
        <f t="shared" si="49"/>
        <v>(3,4,5,3,1,5); de Wild-Scholten (2014) Life Cycle Assessment of Photovoltaics Status 2011, Part 1 Data Collection (Table 19,25)</v>
      </c>
      <c r="AB84" s="440">
        <f>T84</f>
        <v>1.1094674556213017E-2</v>
      </c>
      <c r="AC84" s="336">
        <v>1</v>
      </c>
      <c r="AD84" s="337">
        <f t="shared" si="50"/>
        <v>1.8532338457509625</v>
      </c>
      <c r="AE84" s="455" t="str">
        <f t="shared" si="51"/>
        <v>(3,4,5,3,1,5); de Wild-Scholten (2014) Life Cycle Assessment of Photovoltaics Status 2011, Part 1 Data Collection (Table 19,25)</v>
      </c>
      <c r="AF84" s="440">
        <f>P84</f>
        <v>1.1094674556213017E-2</v>
      </c>
      <c r="AG84" s="336">
        <v>1</v>
      </c>
      <c r="AH84" s="337">
        <f t="shared" si="52"/>
        <v>1.8532338457509625</v>
      </c>
      <c r="AI84" s="455" t="str">
        <f t="shared" si="53"/>
        <v>(3,4,5,3,1,5); de Wild-Scholten (2014) Life Cycle Assessment of Photovoltaics Status 2011, Part 1 Data Collection (Table 19,25)</v>
      </c>
      <c r="AJ84" s="440">
        <f>$BA84</f>
        <v>1.1094674556213017E-2</v>
      </c>
      <c r="AK84" s="336">
        <v>1</v>
      </c>
      <c r="AL84" s="337">
        <f t="shared" si="54"/>
        <v>1.8532338457509625</v>
      </c>
      <c r="AM84" s="455" t="str">
        <f t="shared" si="55"/>
        <v>(3,4,5,3,1,5); de Wild-Scholten (2014) Life Cycle Assessment of Photovoltaics Status 2011, Part 1 Data Collection (Table 19,25)</v>
      </c>
      <c r="AN84" s="440">
        <f>$BB84</f>
        <v>1.1094674556213017E-2</v>
      </c>
      <c r="AO84" s="336">
        <v>1</v>
      </c>
      <c r="AP84" s="337">
        <f t="shared" si="56"/>
        <v>1.8532338457509625</v>
      </c>
      <c r="AQ84" s="437" t="str">
        <f t="shared" si="57"/>
        <v>(3,4,5,3,1,5); de Wild-Scholten (2014) Life Cycle Assessment of Photovoltaics Status 2011, Part 1 Data Collection (Table 19,25)</v>
      </c>
      <c r="AR84" s="440">
        <v>0</v>
      </c>
      <c r="AS84" s="336">
        <v>1</v>
      </c>
      <c r="AT84" s="337">
        <f t="shared" si="58"/>
        <v>1.5</v>
      </c>
      <c r="AU84" s="455" t="str">
        <f t="shared" si="59"/>
        <v xml:space="preserve">(na,na,na,na,na,na); </v>
      </c>
      <c r="AV84" s="440">
        <v>0</v>
      </c>
      <c r="AW84" s="336">
        <v>1</v>
      </c>
      <c r="AX84" s="337">
        <f t="shared" si="60"/>
        <v>1.5</v>
      </c>
      <c r="AY84" s="455" t="str">
        <f t="shared" si="61"/>
        <v xml:space="preserve">(na,na,na,na,na,na); </v>
      </c>
      <c r="AZ84" s="338"/>
      <c r="BA84" s="440">
        <f>0.00027/(0.156^2)</f>
        <v>1.1094674556213017E-2</v>
      </c>
      <c r="BB84" s="440">
        <f>0.00027/(0.156^2)</f>
        <v>1.1094674556213017E-2</v>
      </c>
      <c r="BC84" s="440"/>
      <c r="BD84" s="216" t="s">
        <v>873</v>
      </c>
      <c r="BE84" s="83">
        <v>3</v>
      </c>
      <c r="BF84" s="83">
        <v>4</v>
      </c>
      <c r="BG84" s="83">
        <v>5</v>
      </c>
      <c r="BH84" s="83">
        <v>3</v>
      </c>
      <c r="BI84" s="83">
        <v>1</v>
      </c>
      <c r="BJ84" s="83">
        <v>5</v>
      </c>
      <c r="BK84" s="104">
        <v>32</v>
      </c>
      <c r="BL84" s="104">
        <v>1.5</v>
      </c>
      <c r="BM84" s="107">
        <f t="shared" si="62"/>
        <v>1.5919770563893134</v>
      </c>
      <c r="BN84" s="107">
        <f t="shared" si="63"/>
        <v>1.8532338457509625</v>
      </c>
      <c r="BO84" s="107" t="str">
        <f t="shared" si="64"/>
        <v>(3,4,5,3,1,5)</v>
      </c>
      <c r="BP84" s="108">
        <v>1.1000000000000001</v>
      </c>
      <c r="BQ84" s="108">
        <v>1.1000000000000001</v>
      </c>
      <c r="BR84" s="108">
        <v>1.5</v>
      </c>
      <c r="BS84" s="108">
        <v>1.02</v>
      </c>
      <c r="BT84" s="108">
        <v>1</v>
      </c>
      <c r="BU84" s="108">
        <v>1.2</v>
      </c>
      <c r="BW84" s="691"/>
      <c r="BX84" s="339" t="s">
        <v>106</v>
      </c>
      <c r="BY84" s="339" t="s">
        <v>106</v>
      </c>
      <c r="BZ84" s="339" t="s">
        <v>106</v>
      </c>
      <c r="CA84" s="339" t="s">
        <v>106</v>
      </c>
      <c r="CB84" s="339" t="s">
        <v>106</v>
      </c>
      <c r="CC84" s="339" t="s">
        <v>106</v>
      </c>
      <c r="CD84" s="104">
        <v>32</v>
      </c>
      <c r="CE84" s="104">
        <v>1.5</v>
      </c>
      <c r="CF84" s="107">
        <f t="shared" si="65"/>
        <v>1</v>
      </c>
      <c r="CG84" s="107">
        <f t="shared" si="66"/>
        <v>1.5</v>
      </c>
      <c r="CH84" s="107" t="str">
        <f t="shared" si="67"/>
        <v>(na,na,na,na,na,na)</v>
      </c>
      <c r="CI84" s="108">
        <v>1</v>
      </c>
      <c r="CJ84" s="108">
        <v>1</v>
      </c>
      <c r="CK84" s="108">
        <v>1</v>
      </c>
      <c r="CL84" s="108">
        <v>1</v>
      </c>
      <c r="CM84" s="108">
        <v>1</v>
      </c>
      <c r="CN84" s="108">
        <v>1</v>
      </c>
    </row>
    <row r="85" spans="1:92" s="171" customFormat="1" ht="36">
      <c r="A85" s="333">
        <v>2278</v>
      </c>
      <c r="B85" s="216"/>
      <c r="C85" s="334"/>
      <c r="D85" s="342" t="s">
        <v>98</v>
      </c>
      <c r="E85" s="343">
        <v>4</v>
      </c>
      <c r="F85" s="437" t="s">
        <v>298</v>
      </c>
      <c r="G85" s="438" t="s">
        <v>98</v>
      </c>
      <c r="H85" s="439" t="s">
        <v>344</v>
      </c>
      <c r="I85" s="439" t="s">
        <v>192</v>
      </c>
      <c r="J85" s="335" t="s">
        <v>98</v>
      </c>
      <c r="K85" s="438" t="s">
        <v>96</v>
      </c>
      <c r="L85" s="440">
        <f>AJ85</f>
        <v>1.1094674556213017E-2</v>
      </c>
      <c r="M85" s="336">
        <v>1</v>
      </c>
      <c r="N85" s="337">
        <f t="shared" si="42"/>
        <v>1.8532338457509625</v>
      </c>
      <c r="O85" s="455" t="str">
        <f t="shared" si="43"/>
        <v>(3,4,5,3,1,5); de Wild-Scholten (2014) Life Cycle Assessment of Photovoltaics Status 2011, Part 1 Data Collection (Table 19,25)</v>
      </c>
      <c r="P85" s="440">
        <f>AN85</f>
        <v>1.1094674556213017E-2</v>
      </c>
      <c r="Q85" s="336">
        <v>1</v>
      </c>
      <c r="R85" s="337">
        <f t="shared" si="44"/>
        <v>1.8532338457509625</v>
      </c>
      <c r="S85" s="455" t="str">
        <f t="shared" si="45"/>
        <v>(3,4,5,3,1,5); de Wild-Scholten (2014) Life Cycle Assessment of Photovoltaics Status 2011, Part 1 Data Collection (Table 19,25)</v>
      </c>
      <c r="T85" s="440">
        <f>L85</f>
        <v>1.1094674556213017E-2</v>
      </c>
      <c r="U85" s="336">
        <v>1</v>
      </c>
      <c r="V85" s="337">
        <f t="shared" si="46"/>
        <v>1.8532338457509625</v>
      </c>
      <c r="W85" s="455" t="str">
        <f t="shared" si="47"/>
        <v>(3,4,5,3,1,5); de Wild-Scholten (2014) Life Cycle Assessment of Photovoltaics Status 2011, Part 1 Data Collection (Table 19,25)</v>
      </c>
      <c r="X85" s="440">
        <f>P85</f>
        <v>1.1094674556213017E-2</v>
      </c>
      <c r="Y85" s="336">
        <v>1</v>
      </c>
      <c r="Z85" s="337">
        <f t="shared" si="48"/>
        <v>1.8532338457509625</v>
      </c>
      <c r="AA85" s="437" t="str">
        <f t="shared" si="49"/>
        <v>(3,4,5,3,1,5); de Wild-Scholten (2014) Life Cycle Assessment of Photovoltaics Status 2011, Part 1 Data Collection (Table 19,25)</v>
      </c>
      <c r="AB85" s="440">
        <f>T85</f>
        <v>1.1094674556213017E-2</v>
      </c>
      <c r="AC85" s="336">
        <v>1</v>
      </c>
      <c r="AD85" s="337">
        <f t="shared" si="50"/>
        <v>1.8532338457509625</v>
      </c>
      <c r="AE85" s="455" t="str">
        <f t="shared" si="51"/>
        <v>(3,4,5,3,1,5); de Wild-Scholten (2014) Life Cycle Assessment of Photovoltaics Status 2011, Part 1 Data Collection (Table 19,25)</v>
      </c>
      <c r="AF85" s="440">
        <f>P85</f>
        <v>1.1094674556213017E-2</v>
      </c>
      <c r="AG85" s="336">
        <v>1</v>
      </c>
      <c r="AH85" s="337">
        <f t="shared" si="52"/>
        <v>1.8532338457509625</v>
      </c>
      <c r="AI85" s="455" t="str">
        <f t="shared" si="53"/>
        <v>(3,4,5,3,1,5); de Wild-Scholten (2014) Life Cycle Assessment of Photovoltaics Status 2011, Part 1 Data Collection (Table 19,25)</v>
      </c>
      <c r="AJ85" s="440">
        <f>$BA85</f>
        <v>1.1094674556213017E-2</v>
      </c>
      <c r="AK85" s="336">
        <v>1</v>
      </c>
      <c r="AL85" s="337">
        <f t="shared" si="54"/>
        <v>1.8532338457509625</v>
      </c>
      <c r="AM85" s="455" t="str">
        <f t="shared" si="55"/>
        <v>(3,4,5,3,1,5); de Wild-Scholten (2014) Life Cycle Assessment of Photovoltaics Status 2011, Part 1 Data Collection (Table 19,25)</v>
      </c>
      <c r="AN85" s="440">
        <f>$BB85</f>
        <v>1.1094674556213017E-2</v>
      </c>
      <c r="AO85" s="336">
        <v>1</v>
      </c>
      <c r="AP85" s="337">
        <f t="shared" si="56"/>
        <v>1.8532338457509625</v>
      </c>
      <c r="AQ85" s="437" t="str">
        <f t="shared" si="57"/>
        <v>(3,4,5,3,1,5); de Wild-Scholten (2014) Life Cycle Assessment of Photovoltaics Status 2011, Part 1 Data Collection (Table 19,25)</v>
      </c>
      <c r="AR85" s="440">
        <v>0</v>
      </c>
      <c r="AS85" s="336">
        <v>1</v>
      </c>
      <c r="AT85" s="337">
        <f t="shared" si="58"/>
        <v>1.5</v>
      </c>
      <c r="AU85" s="455" t="str">
        <f t="shared" si="59"/>
        <v xml:space="preserve">(na,na,na,na,na,na); </v>
      </c>
      <c r="AV85" s="440">
        <v>0</v>
      </c>
      <c r="AW85" s="336">
        <v>1</v>
      </c>
      <c r="AX85" s="337">
        <f t="shared" si="60"/>
        <v>1.5</v>
      </c>
      <c r="AY85" s="455" t="str">
        <f t="shared" si="61"/>
        <v xml:space="preserve">(na,na,na,na,na,na); </v>
      </c>
      <c r="AZ85" s="338"/>
      <c r="BA85" s="440">
        <f>0.00027/(0.156^2)</f>
        <v>1.1094674556213017E-2</v>
      </c>
      <c r="BB85" s="440">
        <f>0.00027/(0.156^2)</f>
        <v>1.1094674556213017E-2</v>
      </c>
      <c r="BC85" s="440"/>
      <c r="BD85" s="216" t="s">
        <v>873</v>
      </c>
      <c r="BE85" s="83">
        <v>3</v>
      </c>
      <c r="BF85" s="83">
        <v>4</v>
      </c>
      <c r="BG85" s="83">
        <v>5</v>
      </c>
      <c r="BH85" s="83">
        <v>3</v>
      </c>
      <c r="BI85" s="83">
        <v>1</v>
      </c>
      <c r="BJ85" s="83">
        <v>5</v>
      </c>
      <c r="BK85" s="104">
        <v>32</v>
      </c>
      <c r="BL85" s="104">
        <v>1.5</v>
      </c>
      <c r="BM85" s="107">
        <f t="shared" si="62"/>
        <v>1.5919770563893134</v>
      </c>
      <c r="BN85" s="107">
        <f t="shared" si="63"/>
        <v>1.8532338457509625</v>
      </c>
      <c r="BO85" s="107" t="str">
        <f t="shared" si="64"/>
        <v>(3,4,5,3,1,5)</v>
      </c>
      <c r="BP85" s="108">
        <v>1.1000000000000001</v>
      </c>
      <c r="BQ85" s="108">
        <v>1.1000000000000001</v>
      </c>
      <c r="BR85" s="108">
        <v>1.5</v>
      </c>
      <c r="BS85" s="108">
        <v>1.02</v>
      </c>
      <c r="BT85" s="108">
        <v>1</v>
      </c>
      <c r="BU85" s="108">
        <v>1.2</v>
      </c>
      <c r="BW85" s="691"/>
      <c r="BX85" s="339" t="s">
        <v>106</v>
      </c>
      <c r="BY85" s="339" t="s">
        <v>106</v>
      </c>
      <c r="BZ85" s="339" t="s">
        <v>106</v>
      </c>
      <c r="CA85" s="339" t="s">
        <v>106</v>
      </c>
      <c r="CB85" s="339" t="s">
        <v>106</v>
      </c>
      <c r="CC85" s="339" t="s">
        <v>106</v>
      </c>
      <c r="CD85" s="104">
        <v>32</v>
      </c>
      <c r="CE85" s="104">
        <v>1.5</v>
      </c>
      <c r="CF85" s="107">
        <f t="shared" si="65"/>
        <v>1</v>
      </c>
      <c r="CG85" s="107">
        <f t="shared" si="66"/>
        <v>1.5</v>
      </c>
      <c r="CH85" s="107" t="str">
        <f t="shared" si="67"/>
        <v>(na,na,na,na,na,na)</v>
      </c>
      <c r="CI85" s="108">
        <v>1</v>
      </c>
      <c r="CJ85" s="108">
        <v>1</v>
      </c>
      <c r="CK85" s="108">
        <v>1</v>
      </c>
      <c r="CL85" s="108">
        <v>1</v>
      </c>
      <c r="CM85" s="108">
        <v>1</v>
      </c>
      <c r="CN85" s="108">
        <v>1</v>
      </c>
    </row>
    <row r="86" spans="1:92" s="179" customFormat="1"/>
    <row r="87" spans="1:92">
      <c r="A87" s="399"/>
      <c r="B87" s="399"/>
      <c r="C87" s="399"/>
      <c r="D87" s="399"/>
      <c r="E87" s="399"/>
      <c r="F87" s="399"/>
      <c r="G87" s="399"/>
      <c r="H87" s="399"/>
      <c r="I87" s="399"/>
      <c r="J87" s="399"/>
      <c r="K87" s="399"/>
      <c r="L87" s="399"/>
      <c r="M87" s="399"/>
      <c r="N87" s="399"/>
      <c r="O87" s="399"/>
      <c r="P87" s="399"/>
      <c r="Q87" s="399"/>
      <c r="R87" s="399"/>
      <c r="S87" s="399"/>
      <c r="T87" s="399"/>
      <c r="U87" s="399"/>
      <c r="V87" s="399"/>
      <c r="W87" s="399"/>
      <c r="X87" s="399"/>
      <c r="Y87" s="399"/>
      <c r="Z87" s="399"/>
      <c r="AA87" s="399"/>
      <c r="AB87" s="399"/>
      <c r="AC87" s="399"/>
      <c r="AD87" s="399"/>
      <c r="AE87" s="399"/>
      <c r="AF87" s="399"/>
      <c r="AG87" s="399"/>
      <c r="AH87" s="399"/>
      <c r="AI87" s="399"/>
      <c r="AJ87" s="399"/>
      <c r="AK87" s="399"/>
      <c r="AL87" s="399"/>
      <c r="AM87" s="399"/>
      <c r="AN87" s="399"/>
      <c r="AQ87" s="10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row>
    <row r="88" spans="1:92">
      <c r="F88" s="326" t="s">
        <v>564</v>
      </c>
    </row>
    <row r="89" spans="1:92">
      <c r="F89" s="320" t="s">
        <v>874</v>
      </c>
      <c r="G89" s="320">
        <v>4.8698664759179798E-5</v>
      </c>
      <c r="H89" s="321"/>
      <c r="I89" s="321"/>
      <c r="J89" s="321" t="s">
        <v>538</v>
      </c>
      <c r="K89" s="321" t="s">
        <v>462</v>
      </c>
    </row>
    <row r="90" spans="1:92">
      <c r="F90" s="320"/>
      <c r="G90" s="320"/>
      <c r="H90" s="321"/>
      <c r="I90" s="321"/>
      <c r="J90" s="321"/>
      <c r="K90" s="321"/>
    </row>
    <row r="91" spans="1:92">
      <c r="F91" s="322" t="s">
        <v>875</v>
      </c>
      <c r="G91" s="322">
        <v>76341</v>
      </c>
      <c r="H91" s="321"/>
      <c r="I91" s="321"/>
      <c r="J91" s="321" t="s">
        <v>538</v>
      </c>
      <c r="K91" s="321" t="s">
        <v>469</v>
      </c>
    </row>
    <row r="92" spans="1:92">
      <c r="F92" s="322" t="s">
        <v>876</v>
      </c>
      <c r="G92" s="348">
        <f>AR71*G91/(AR71*G91+AR73*G96)</f>
        <v>0.73603679171607828</v>
      </c>
      <c r="H92" s="321"/>
      <c r="I92" s="321"/>
      <c r="J92" s="321"/>
      <c r="K92" s="321" t="s">
        <v>543</v>
      </c>
    </row>
    <row r="93" spans="1:92">
      <c r="F93" s="323" t="s">
        <v>877</v>
      </c>
      <c r="G93" s="459">
        <f>G92*G89</f>
        <v>3.5844008970203545E-5</v>
      </c>
      <c r="H93" s="321"/>
      <c r="I93" s="321"/>
      <c r="J93" s="321" t="s">
        <v>538</v>
      </c>
      <c r="K93" s="321" t="s">
        <v>543</v>
      </c>
    </row>
    <row r="94" spans="1:92">
      <c r="F94" s="324" t="s">
        <v>878</v>
      </c>
      <c r="G94" s="460">
        <f>G93/G91</f>
        <v>4.6952501238133566E-10</v>
      </c>
      <c r="H94" s="321"/>
      <c r="I94" s="321"/>
      <c r="J94" s="321" t="s">
        <v>144</v>
      </c>
      <c r="K94" s="321" t="s">
        <v>543</v>
      </c>
    </row>
    <row r="95" spans="1:92">
      <c r="F95" s="324"/>
      <c r="G95" s="460"/>
      <c r="H95" s="321"/>
      <c r="I95" s="321"/>
      <c r="J95" s="321"/>
      <c r="K95" s="321"/>
    </row>
    <row r="96" spans="1:92">
      <c r="F96" s="320" t="s">
        <v>879</v>
      </c>
      <c r="G96" s="322">
        <f>13689</f>
        <v>13689</v>
      </c>
      <c r="H96" s="321"/>
      <c r="I96" s="321"/>
      <c r="J96" s="321" t="s">
        <v>538</v>
      </c>
      <c r="K96" s="321" t="s">
        <v>541</v>
      </c>
    </row>
    <row r="97" spans="6:11">
      <c r="F97" s="320" t="s">
        <v>880</v>
      </c>
      <c r="G97" s="322">
        <v>25506</v>
      </c>
      <c r="H97" s="321"/>
      <c r="I97" s="321"/>
      <c r="J97" s="321" t="s">
        <v>538</v>
      </c>
      <c r="K97" s="321" t="s">
        <v>541</v>
      </c>
    </row>
    <row r="98" spans="6:11">
      <c r="F98" s="320" t="s">
        <v>881</v>
      </c>
      <c r="G98" s="348">
        <f>AR73*G96/(AR73*G96+AR71*G91)</f>
        <v>0.26396320828392178</v>
      </c>
      <c r="H98" s="321"/>
      <c r="I98" s="321"/>
      <c r="J98" s="321"/>
      <c r="K98" s="321" t="s">
        <v>543</v>
      </c>
    </row>
    <row r="99" spans="6:11">
      <c r="F99" s="325" t="s">
        <v>882</v>
      </c>
      <c r="G99" s="461">
        <f>G98*G89</f>
        <v>1.2854655788976258E-5</v>
      </c>
      <c r="H99" s="321"/>
      <c r="I99" s="321"/>
      <c r="J99" s="321" t="s">
        <v>538</v>
      </c>
      <c r="K99" s="321" t="s">
        <v>543</v>
      </c>
    </row>
    <row r="100" spans="6:11">
      <c r="F100" s="324" t="s">
        <v>883</v>
      </c>
      <c r="G100" s="460">
        <f>G99/G96</f>
        <v>9.3905002476267504E-10</v>
      </c>
      <c r="H100" s="322"/>
      <c r="I100" s="322"/>
      <c r="J100" s="322" t="s">
        <v>144</v>
      </c>
      <c r="K100" s="322" t="s">
        <v>543</v>
      </c>
    </row>
    <row r="102" spans="6:11">
      <c r="F102" s="371" t="s">
        <v>544</v>
      </c>
      <c r="G102" s="353" t="s">
        <v>545</v>
      </c>
      <c r="H102" s="353"/>
      <c r="I102" s="353"/>
      <c r="J102" s="353"/>
    </row>
    <row r="103" spans="6:11">
      <c r="F103" s="355"/>
      <c r="G103" s="353"/>
      <c r="H103" s="353"/>
      <c r="I103" s="353"/>
      <c r="J103" s="353"/>
    </row>
    <row r="104" spans="6:11">
      <c r="F104" s="355"/>
      <c r="G104" s="353" t="s">
        <v>546</v>
      </c>
      <c r="H104" s="353"/>
      <c r="I104" s="353"/>
      <c r="J104" s="353" t="s">
        <v>547</v>
      </c>
    </row>
    <row r="105" spans="6:11">
      <c r="F105" s="355" t="s">
        <v>548</v>
      </c>
      <c r="G105" s="372">
        <v>5.0000000000000001E-3</v>
      </c>
      <c r="H105" s="372"/>
      <c r="I105" s="372"/>
      <c r="J105" s="372">
        <f>G105/SUM($G$105:$G$107)</f>
        <v>0.15625</v>
      </c>
    </row>
    <row r="106" spans="6:11">
      <c r="F106" s="320" t="s">
        <v>665</v>
      </c>
      <c r="G106" s="363">
        <v>4.0000000000000001E-3</v>
      </c>
      <c r="H106" s="129"/>
      <c r="I106" s="129"/>
      <c r="J106" s="372">
        <f>G106/SUM($G$105:$G$107)</f>
        <v>0.125</v>
      </c>
    </row>
    <row r="107" spans="6:11">
      <c r="F107" s="320" t="s">
        <v>666</v>
      </c>
      <c r="G107" s="363">
        <v>2.3E-2</v>
      </c>
      <c r="H107" s="129"/>
      <c r="I107" s="129"/>
      <c r="J107" s="372">
        <f>G107/SUM($G$105:$G$107)</f>
        <v>0.71875</v>
      </c>
    </row>
  </sheetData>
  <mergeCells count="1">
    <mergeCell ref="BE1:BJ1"/>
  </mergeCells>
  <conditionalFormatting sqref="D17:AY85 BA17:BJ85 BW17:CC85">
    <cfRule type="expression" dxfId="329" priority="1">
      <formula>MOD(ROW(),2)=0</formula>
    </cfRule>
  </conditionalFormatting>
  <conditionalFormatting sqref="BK17:BU85 CD17:CN85">
    <cfRule type="expression" dxfId="328" priority="23">
      <formula>MOD(ROW(),2)=0</formula>
    </cfRule>
  </conditionalFormatting>
  <dataValidations xWindow="1079" yWindow="623" count="1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E3 BX3" xr:uid="{00000000-0002-0000-17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J3 CC3" xr:uid="{00000000-0002-0000-17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I3 CB3" xr:uid="{00000000-0002-0000-17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H3 CA3" xr:uid="{00000000-0002-0000-17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G3 BZ3" xr:uid="{00000000-0002-0000-17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F3 BY3" xr:uid="{00000000-0002-0000-1700-000005000000}"/>
    <dataValidation allowBlank="1" showInputMessage="1" showErrorMessage="1" prompt="Do not change." sqref="BK3:BU4 CD3:CN4" xr:uid="{00000000-0002-0000-1700-000006000000}"/>
    <dataValidation allowBlank="1" showInputMessage="1" showErrorMessage="1" promptTitle="Remarks" prompt="A general comment (data source, calculation procedure, ...) can be made about each individual exchange. The remarks are added to the GeneralComment-field." sqref="BD3 BW3" xr:uid="{00000000-0002-0000-1700-000007000000}"/>
    <dataValidation allowBlank="1" showInputMessage="1" showErrorMessage="1" prompt="always 1" sqref="L60:L67 P60:P67 T60:T67 X60:X67 AB60:AB67 AF60:AF67 AJ60:AJ67 AN60:AN67 AR60:AR67 AV60:AV67 CP60:EA67 CQ44:CS46 CQ48:CS48 CQ50:CS50 CQ52:CS52 CQ54:CS54 CQ56:CS56 CU44:CW46 CU48:CW48 CU50:CW50 CU52:CW52 CU54:CW54 CU56:CW56 CY44:DA46 CY48:DA48 CY50:DA50 CY52:DA52 CY54:DA54 CY56:DA56 DC44:DE46 DC48:DE48 DC50:DE50 DC52:DE52 DC54:DE54 DC56:DE56 DG44:DI46 DG48:DI48 DG50:DI50 DG52:DI52 DG54:DI54 DG56:DI56 DK44:DM46 DK48:DM48 DK50:DM50 DK52:DM52 DK54:DM54 DK56:DM56 DO44:DQ46 DO48:DQ48 DO50:DQ50 DO52:DQ52 DO54:DQ54 DO56:DQ56 DS44:DU46 DS48:DU48 DS50:DU50 DS52:DU52 DS54:DU54 DS56:DU56 L7:L56 DW44:DY46 DW48:DY48 DW50:DY50 DW52:DY52 DW54:DY54 DW56:DY56 CP7:CP22 CP27 CT7:CT22 CT27 CX7:CX22 CX27 DB7:DB22 DB27 DF7:DF22 DF27 DJ7:DJ22 DJ27 DN7:DN22 DN27 DR7:DR22 DR27 DV7:DV22 DV27 DZ7:EA22 DZ27:EA27 CP28:EA30 P7:P56 T7:T56 X7:X56 AB7:AB56 AF7:AF56 AJ7:AJ56 AN7:AN56 AR7:AR56 AV7:AV56 DZ31:EA56 DV31:DV56 DR31:DR56 DN31:DN56 DJ31:DJ56 DF31:DF56 DB31:DB56 CP23:EA26 CP31:CP56 CT31:CT56 CX31:CX56 DS40:DU40 DW40:DY40 CQ40:CS40 CU40:CW40 CY40:DA40 DC40:DE40 DG40:DI40 DK40:DM40 DO40:DQ40 DW32:DY32 CQ32:CS32 CU32:CW32 CY32:DA32 DC32:DE32 DG32:DI32 DK32:DM32 DO32:DQ32 DS32:DU32" xr:uid="{00000000-0002-0000-1700-000008000000}"/>
    <dataValidation allowBlank="1" showInputMessage="1" showErrorMessage="1" promptTitle="Do not change" prompt="This field is automatically updated from the names-list" sqref="BK17:BK85 CD17:CD85" xr:uid="{00000000-0002-0000-1700-000009000000}"/>
  </dataValidations>
  <pageMargins left="0.78740157480314965" right="0.78740157480314965" top="0.98425196850393704" bottom="0.98425196850393704" header="0.51181102362204722" footer="0.51181102362204722"/>
  <pageSetup paperSize="9" scale="13" orientation="portrait" r:id="rId1"/>
  <headerFooter alignWithMargins="0">
    <oddHeader>&amp;L&amp;C&amp;R</oddHeader>
    <oddFooter>&amp;L&amp;"Arial,Fett"&amp;F&amp;C&amp;D&amp;RSeite &amp;P</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6">
    <tabColor rgb="FF9CD9F0"/>
    <pageSetUpPr fitToPage="1"/>
  </sheetPr>
  <dimension ref="A1:BF33"/>
  <sheetViews>
    <sheetView topLeftCell="A3" workbookViewId="0"/>
  </sheetViews>
  <sheetFormatPr baseColWidth="10" defaultColWidth="11.42578125" defaultRowHeight="12" outlineLevelCol="1"/>
  <cols>
    <col min="1" max="1" width="12.7109375" style="277" customWidth="1"/>
    <col min="2" max="2" width="8.855468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9.7109375" style="277" customWidth="1"/>
    <col min="13" max="14" width="5.7109375" style="109" hidden="1" customWidth="1" outlineLevel="1"/>
    <col min="15" max="15" width="40.7109375" style="109" hidden="1" customWidth="1" outlineLevel="1"/>
    <col min="16" max="16" width="9.7109375" style="277" customWidth="1" collapsed="1"/>
    <col min="17" max="18" width="5.7109375" style="109" hidden="1" customWidth="1" outlineLevel="1"/>
    <col min="19" max="19" width="40.7109375" style="109" hidden="1" customWidth="1" outlineLevel="1"/>
    <col min="20" max="20" width="9.7109375" style="277" customWidth="1" collapsed="1"/>
    <col min="21" max="22" width="5.7109375" style="109" hidden="1" customWidth="1" outlineLevel="1"/>
    <col min="23" max="23" width="40.7109375" style="109" hidden="1" customWidth="1" outlineLevel="1"/>
    <col min="24" max="24" width="9.7109375" style="277" customWidth="1" collapsed="1"/>
    <col min="25" max="26" width="5.7109375" style="109" hidden="1" customWidth="1" outlineLevel="1"/>
    <col min="27" max="27" width="40.7109375" style="109" hidden="1" customWidth="1" outlineLevel="1"/>
    <col min="28" max="28" width="9.7109375" style="277" customWidth="1" collapsed="1"/>
    <col min="29" max="30" width="5.7109375" style="109" hidden="1" customWidth="1" outlineLevel="1"/>
    <col min="31" max="31" width="40.7109375" style="109" hidden="1" customWidth="1" outlineLevel="1"/>
    <col min="32" max="32" width="9.7109375" style="277" customWidth="1" collapsed="1"/>
    <col min="33" max="34" width="5.7109375" style="109" hidden="1" customWidth="1" outlineLevel="1"/>
    <col min="35" max="35" width="40.7109375" style="109" hidden="1" customWidth="1" outlineLevel="1"/>
    <col min="36" max="36" width="4.140625" style="109" customWidth="1" collapsed="1"/>
    <col min="37" max="37" width="40.7109375" style="128" customWidth="1"/>
    <col min="38" max="38" width="4.7109375" style="402" hidden="1" customWidth="1" outlineLevel="1"/>
    <col min="39" max="47" width="4.7109375" style="395" hidden="1" customWidth="1" outlineLevel="1"/>
    <col min="48" max="48" width="12.7109375" style="395" hidden="1" customWidth="1" outlineLevel="1"/>
    <col min="49" max="54" width="4.7109375" style="277" hidden="1" customWidth="1" outlineLevel="1"/>
    <col min="55" max="55" width="11.42578125" style="277" customWidth="1" collapsed="1"/>
    <col min="56" max="56" width="11.42578125" style="277" customWidth="1"/>
    <col min="57" max="58" width="11.42578125" style="132" customWidth="1"/>
    <col min="59" max="60" width="11.42578125" style="277" customWidth="1"/>
    <col min="61" max="16384" width="11.42578125" style="277"/>
  </cols>
  <sheetData>
    <row r="1" spans="1:54" ht="12.75" customHeight="1">
      <c r="A1" s="77"/>
      <c r="B1" s="78"/>
      <c r="C1" s="79"/>
      <c r="D1" s="77"/>
      <c r="E1" s="77"/>
      <c r="F1" s="80" t="s">
        <v>65</v>
      </c>
      <c r="G1" s="77"/>
      <c r="H1" s="77"/>
      <c r="I1" s="77"/>
      <c r="J1" s="77"/>
      <c r="K1" s="77"/>
      <c r="L1" s="330" t="str">
        <f>A7</f>
        <v>Z-PV-075</v>
      </c>
      <c r="M1" s="81"/>
      <c r="N1" s="81"/>
      <c r="O1" s="81"/>
      <c r="P1" s="330" t="str">
        <f>A8</f>
        <v>Z-PV-003</v>
      </c>
      <c r="Q1" s="81"/>
      <c r="R1" s="81"/>
      <c r="S1" s="81"/>
      <c r="T1" s="330" t="str">
        <f>A9</f>
        <v>Z-PV-073</v>
      </c>
      <c r="U1" s="81"/>
      <c r="V1" s="81"/>
      <c r="W1" s="81"/>
      <c r="X1" s="330" t="str">
        <f>A10</f>
        <v>Z-PV-004</v>
      </c>
      <c r="Y1" s="81"/>
      <c r="Z1" s="81"/>
      <c r="AA1" s="81"/>
      <c r="AB1" s="330" t="str">
        <f>A11</f>
        <v>Z-PV-074</v>
      </c>
      <c r="AC1" s="81"/>
      <c r="AD1" s="81"/>
      <c r="AE1" s="81"/>
      <c r="AF1" s="330" t="str">
        <f>A12</f>
        <v>Z-PV-005</v>
      </c>
      <c r="AG1" s="81"/>
      <c r="AH1" s="81"/>
      <c r="AI1" s="81"/>
      <c r="AK1" s="378"/>
      <c r="AL1" s="1586"/>
      <c r="AM1" s="1588"/>
      <c r="AN1" s="1588"/>
      <c r="AO1" s="1588"/>
      <c r="AP1" s="1588"/>
      <c r="AQ1" s="1588"/>
      <c r="AR1" s="406"/>
      <c r="AS1" s="406"/>
      <c r="AT1" s="406"/>
      <c r="AU1" s="406"/>
      <c r="AV1" s="406"/>
      <c r="AW1" s="378"/>
      <c r="AX1" s="378"/>
      <c r="AY1" s="378"/>
      <c r="AZ1" s="378"/>
      <c r="BA1" s="378"/>
      <c r="BB1" s="378"/>
    </row>
    <row r="2" spans="1:54"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421"/>
      <c r="AK2" s="406"/>
      <c r="AL2" s="406"/>
      <c r="AM2" s="406"/>
      <c r="AN2" s="406"/>
      <c r="AO2" s="406"/>
      <c r="AP2" s="406"/>
      <c r="AQ2" s="406"/>
      <c r="AR2" s="406"/>
      <c r="AS2" s="378"/>
      <c r="AT2" s="378"/>
      <c r="AU2" s="378"/>
      <c r="AV2" s="378"/>
      <c r="AW2" s="378"/>
      <c r="AX2" s="378"/>
      <c r="AY2" s="378"/>
      <c r="AZ2" s="378"/>
      <c r="BA2" s="378"/>
      <c r="BB2" s="378"/>
    </row>
    <row r="3" spans="1:54" ht="105" customHeight="1">
      <c r="A3" s="83" t="s">
        <v>68</v>
      </c>
      <c r="B3" s="84"/>
      <c r="C3" s="79">
        <v>401</v>
      </c>
      <c r="D3" s="85" t="s">
        <v>69</v>
      </c>
      <c r="E3" s="85" t="s">
        <v>70</v>
      </c>
      <c r="F3" s="86" t="s">
        <v>71</v>
      </c>
      <c r="G3" s="85" t="s">
        <v>72</v>
      </c>
      <c r="H3" s="85" t="s">
        <v>73</v>
      </c>
      <c r="I3" s="85" t="s">
        <v>74</v>
      </c>
      <c r="J3" s="85" t="s">
        <v>75</v>
      </c>
      <c r="K3" s="85" t="s">
        <v>76</v>
      </c>
      <c r="L3" s="87" t="s">
        <v>884</v>
      </c>
      <c r="M3" s="422" t="s">
        <v>78</v>
      </c>
      <c r="N3" s="422" t="s">
        <v>79</v>
      </c>
      <c r="O3" s="423" t="s">
        <v>80</v>
      </c>
      <c r="P3" s="87" t="s">
        <v>885</v>
      </c>
      <c r="Q3" s="422" t="s">
        <v>78</v>
      </c>
      <c r="R3" s="422" t="s">
        <v>79</v>
      </c>
      <c r="S3" s="423" t="s">
        <v>80</v>
      </c>
      <c r="T3" s="87" t="s">
        <v>886</v>
      </c>
      <c r="U3" s="422" t="s">
        <v>78</v>
      </c>
      <c r="V3" s="422" t="s">
        <v>79</v>
      </c>
      <c r="W3" s="423" t="s">
        <v>80</v>
      </c>
      <c r="X3" s="87" t="s">
        <v>887</v>
      </c>
      <c r="Y3" s="422" t="s">
        <v>78</v>
      </c>
      <c r="Z3" s="422" t="s">
        <v>79</v>
      </c>
      <c r="AA3" s="423" t="s">
        <v>80</v>
      </c>
      <c r="AB3" s="87" t="s">
        <v>888</v>
      </c>
      <c r="AC3" s="422" t="s">
        <v>78</v>
      </c>
      <c r="AD3" s="422" t="s">
        <v>79</v>
      </c>
      <c r="AE3" s="423" t="s">
        <v>80</v>
      </c>
      <c r="AF3" s="87" t="s">
        <v>889</v>
      </c>
      <c r="AG3" s="422" t="s">
        <v>78</v>
      </c>
      <c r="AH3" s="422" t="s">
        <v>79</v>
      </c>
      <c r="AI3" s="423" t="s">
        <v>80</v>
      </c>
      <c r="AJ3" s="424"/>
      <c r="AK3" s="97" t="s">
        <v>363</v>
      </c>
      <c r="AL3" s="98" t="s">
        <v>364</v>
      </c>
      <c r="AM3" s="98" t="s">
        <v>365</v>
      </c>
      <c r="AN3" s="98" t="s">
        <v>366</v>
      </c>
      <c r="AO3" s="98" t="s">
        <v>367</v>
      </c>
      <c r="AP3" s="98" t="s">
        <v>368</v>
      </c>
      <c r="AQ3" s="98" t="s">
        <v>369</v>
      </c>
      <c r="AR3" s="99" t="s">
        <v>88</v>
      </c>
      <c r="AS3" s="99" t="s">
        <v>370</v>
      </c>
      <c r="AT3" s="99" t="s">
        <v>90</v>
      </c>
      <c r="AU3" s="99" t="s">
        <v>91</v>
      </c>
      <c r="AV3" s="99" t="s">
        <v>371</v>
      </c>
      <c r="AW3" s="100" t="s">
        <v>364</v>
      </c>
      <c r="AX3" s="100" t="s">
        <v>365</v>
      </c>
      <c r="AY3" s="100" t="s">
        <v>366</v>
      </c>
      <c r="AZ3" s="100" t="s">
        <v>367</v>
      </c>
      <c r="BA3" s="100" t="s">
        <v>368</v>
      </c>
      <c r="BB3" s="100" t="s">
        <v>369</v>
      </c>
    </row>
    <row r="4" spans="1:54" ht="12.75" customHeight="1">
      <c r="A4" s="77"/>
      <c r="B4" s="84"/>
      <c r="C4" s="79">
        <v>662</v>
      </c>
      <c r="D4" s="86"/>
      <c r="E4" s="86"/>
      <c r="F4" s="86" t="s">
        <v>72</v>
      </c>
      <c r="G4" s="86"/>
      <c r="H4" s="86"/>
      <c r="I4" s="86"/>
      <c r="J4" s="86"/>
      <c r="K4" s="86"/>
      <c r="L4" s="87" t="s">
        <v>93</v>
      </c>
      <c r="M4" s="425"/>
      <c r="N4" s="425"/>
      <c r="O4" s="426"/>
      <c r="P4" s="87" t="s">
        <v>93</v>
      </c>
      <c r="Q4" s="425"/>
      <c r="R4" s="425"/>
      <c r="S4" s="426"/>
      <c r="T4" s="87" t="s">
        <v>215</v>
      </c>
      <c r="U4" s="425"/>
      <c r="V4" s="425"/>
      <c r="W4" s="426"/>
      <c r="X4" s="87" t="s">
        <v>215</v>
      </c>
      <c r="Y4" s="425"/>
      <c r="Z4" s="425"/>
      <c r="AA4" s="426"/>
      <c r="AB4" s="87" t="s">
        <v>373</v>
      </c>
      <c r="AC4" s="425"/>
      <c r="AD4" s="425"/>
      <c r="AE4" s="426"/>
      <c r="AF4" s="87" t="s">
        <v>373</v>
      </c>
      <c r="AG4" s="425"/>
      <c r="AH4" s="425"/>
      <c r="AI4" s="426"/>
      <c r="AJ4" s="427"/>
      <c r="AK4" s="101"/>
      <c r="AL4" s="102" t="s">
        <v>94</v>
      </c>
      <c r="AM4" s="97"/>
      <c r="AN4" s="97"/>
      <c r="AO4" s="97"/>
      <c r="AP4" s="97"/>
      <c r="AQ4" s="97"/>
      <c r="AR4" s="103"/>
      <c r="AS4" s="103"/>
      <c r="AT4" s="103" t="s">
        <v>95</v>
      </c>
      <c r="AU4" s="103" t="s">
        <v>95</v>
      </c>
      <c r="AV4" s="104"/>
      <c r="AW4" s="105"/>
      <c r="AX4" s="105"/>
      <c r="AY4" s="105"/>
      <c r="AZ4" s="105"/>
      <c r="BA4" s="105"/>
      <c r="BB4" s="105"/>
    </row>
    <row r="5" spans="1:54" ht="12.75"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F5" s="87">
        <v>0</v>
      </c>
      <c r="AG5" s="425"/>
      <c r="AH5" s="425"/>
      <c r="AI5" s="426"/>
      <c r="AJ5" s="427"/>
      <c r="AK5" s="101"/>
      <c r="AL5" s="97"/>
      <c r="AM5" s="97"/>
      <c r="AN5" s="97"/>
      <c r="AO5" s="97"/>
      <c r="AP5" s="97"/>
      <c r="AQ5" s="97"/>
      <c r="AR5" s="104"/>
      <c r="AS5" s="104"/>
      <c r="AT5" s="104"/>
      <c r="AU5" s="104"/>
      <c r="AV5" s="104"/>
      <c r="AW5" s="105"/>
      <c r="AX5" s="105"/>
      <c r="AY5" s="105"/>
      <c r="AZ5" s="105"/>
      <c r="BA5" s="105"/>
      <c r="BB5" s="105"/>
    </row>
    <row r="6" spans="1:54" ht="12.75" customHeigh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26"/>
      <c r="AB6" s="87" t="s">
        <v>679</v>
      </c>
      <c r="AC6" s="425"/>
      <c r="AD6" s="425"/>
      <c r="AE6" s="426"/>
      <c r="AF6" s="87" t="s">
        <v>679</v>
      </c>
      <c r="AG6" s="425"/>
      <c r="AH6" s="425"/>
      <c r="AI6" s="426"/>
      <c r="AJ6" s="427"/>
      <c r="AK6" s="101"/>
      <c r="AL6" s="106"/>
      <c r="AM6" s="106"/>
      <c r="AN6" s="106"/>
      <c r="AO6" s="106"/>
      <c r="AP6" s="106"/>
      <c r="AQ6" s="106"/>
      <c r="AR6" s="104"/>
      <c r="AS6" s="104"/>
      <c r="AT6" s="428"/>
      <c r="AU6" s="428"/>
      <c r="AV6" s="107"/>
      <c r="AW6" s="105"/>
      <c r="AX6" s="105"/>
      <c r="AY6" s="105"/>
      <c r="AZ6" s="105"/>
      <c r="BA6" s="105"/>
      <c r="BB6" s="105"/>
    </row>
    <row r="7" spans="1:54" ht="24" customHeight="1">
      <c r="A7" s="330" t="s">
        <v>890</v>
      </c>
      <c r="B7" s="331" t="s">
        <v>97</v>
      </c>
      <c r="C7" s="88"/>
      <c r="D7" s="294" t="s">
        <v>98</v>
      </c>
      <c r="E7" s="295">
        <v>0</v>
      </c>
      <c r="F7" s="429" t="s">
        <v>884</v>
      </c>
      <c r="G7" s="430" t="s">
        <v>93</v>
      </c>
      <c r="H7" s="431" t="s">
        <v>98</v>
      </c>
      <c r="I7" s="431" t="s">
        <v>98</v>
      </c>
      <c r="J7" s="89">
        <v>0</v>
      </c>
      <c r="K7" s="430" t="s">
        <v>679</v>
      </c>
      <c r="L7" s="90">
        <f t="shared" ref="L7:L12" si="0">IF($A7=L$1,1,0)</f>
        <v>1</v>
      </c>
      <c r="M7" s="91"/>
      <c r="N7" s="92"/>
      <c r="O7" s="93"/>
      <c r="P7" s="90">
        <f t="shared" ref="P7:P12" si="1">IF($A7=P$1,1,0)</f>
        <v>0</v>
      </c>
      <c r="Q7" s="91"/>
      <c r="R7" s="92"/>
      <c r="S7" s="93"/>
      <c r="T7" s="90">
        <f t="shared" ref="T7:T12" si="2">IF($A7=T$1,1,0)</f>
        <v>0</v>
      </c>
      <c r="U7" s="91"/>
      <c r="V7" s="92"/>
      <c r="W7" s="93"/>
      <c r="X7" s="90">
        <f t="shared" ref="X7:X12" si="3">IF($A7=X$1,1,0)</f>
        <v>0</v>
      </c>
      <c r="Y7" s="91"/>
      <c r="Z7" s="92"/>
      <c r="AA7" s="93"/>
      <c r="AB7" s="90">
        <f t="shared" ref="AB7:AB12" si="4">IF($A7=AB$1,1,0)</f>
        <v>0</v>
      </c>
      <c r="AC7" s="91"/>
      <c r="AD7" s="92"/>
      <c r="AE7" s="93"/>
      <c r="AF7" s="90">
        <f t="shared" ref="AF7:AF12" si="5">IF($A7=AF$1,1,0)</f>
        <v>0</v>
      </c>
      <c r="AG7" s="91"/>
      <c r="AH7" s="92"/>
      <c r="AI7" s="93"/>
      <c r="AJ7" s="427"/>
      <c r="AK7" s="101"/>
      <c r="AL7" s="97"/>
      <c r="AM7" s="97"/>
      <c r="AN7" s="97"/>
      <c r="AO7" s="97"/>
      <c r="AP7" s="97"/>
      <c r="AQ7" s="97"/>
      <c r="AR7" s="104"/>
      <c r="AS7" s="104"/>
      <c r="AT7" s="104"/>
      <c r="AU7" s="104"/>
      <c r="AV7" s="104"/>
      <c r="AW7" s="104"/>
      <c r="AX7" s="104"/>
      <c r="AY7" s="104"/>
      <c r="AZ7" s="104"/>
      <c r="BA7" s="104"/>
      <c r="BB7" s="104"/>
    </row>
    <row r="8" spans="1:54" ht="24" customHeight="1">
      <c r="A8" s="330" t="s">
        <v>891</v>
      </c>
      <c r="B8" s="331"/>
      <c r="C8" s="88"/>
      <c r="D8" s="294" t="s">
        <v>98</v>
      </c>
      <c r="E8" s="295">
        <v>0</v>
      </c>
      <c r="F8" s="429" t="s">
        <v>885</v>
      </c>
      <c r="G8" s="430" t="s">
        <v>93</v>
      </c>
      <c r="H8" s="431" t="s">
        <v>98</v>
      </c>
      <c r="I8" s="431" t="s">
        <v>98</v>
      </c>
      <c r="J8" s="89">
        <v>0</v>
      </c>
      <c r="K8" s="430" t="s">
        <v>679</v>
      </c>
      <c r="L8" s="90">
        <f t="shared" si="0"/>
        <v>0</v>
      </c>
      <c r="M8" s="91"/>
      <c r="N8" s="92"/>
      <c r="O8" s="93"/>
      <c r="P8" s="90">
        <f t="shared" si="1"/>
        <v>1</v>
      </c>
      <c r="Q8" s="91"/>
      <c r="R8" s="92"/>
      <c r="S8" s="93"/>
      <c r="T8" s="90">
        <f t="shared" si="2"/>
        <v>0</v>
      </c>
      <c r="U8" s="91"/>
      <c r="V8" s="92"/>
      <c r="W8" s="93"/>
      <c r="X8" s="90">
        <f t="shared" si="3"/>
        <v>0</v>
      </c>
      <c r="Y8" s="91"/>
      <c r="Z8" s="92"/>
      <c r="AA8" s="93"/>
      <c r="AB8" s="90">
        <f t="shared" si="4"/>
        <v>0</v>
      </c>
      <c r="AC8" s="91"/>
      <c r="AD8" s="92"/>
      <c r="AE8" s="93"/>
      <c r="AF8" s="90">
        <f t="shared" si="5"/>
        <v>0</v>
      </c>
      <c r="AG8" s="91"/>
      <c r="AH8" s="92"/>
      <c r="AI8" s="93"/>
      <c r="AJ8" s="427"/>
      <c r="AK8" s="101"/>
      <c r="AL8" s="97"/>
      <c r="AM8" s="97"/>
      <c r="AN8" s="97"/>
      <c r="AO8" s="97"/>
      <c r="AP8" s="97"/>
      <c r="AQ8" s="97"/>
      <c r="AR8" s="104"/>
      <c r="AS8" s="104"/>
      <c r="AT8" s="104"/>
      <c r="AU8" s="104"/>
      <c r="AV8" s="104"/>
      <c r="AW8" s="104"/>
      <c r="AX8" s="104"/>
      <c r="AY8" s="104"/>
      <c r="AZ8" s="104"/>
      <c r="BA8" s="104"/>
      <c r="BB8" s="104"/>
    </row>
    <row r="9" spans="1:54" ht="24" customHeight="1">
      <c r="A9" s="330" t="s">
        <v>892</v>
      </c>
      <c r="B9" s="331"/>
      <c r="C9" s="88"/>
      <c r="D9" s="294" t="s">
        <v>98</v>
      </c>
      <c r="E9" s="295">
        <v>0</v>
      </c>
      <c r="F9" s="429" t="s">
        <v>886</v>
      </c>
      <c r="G9" s="430" t="s">
        <v>215</v>
      </c>
      <c r="H9" s="431" t="s">
        <v>98</v>
      </c>
      <c r="I9" s="431" t="s">
        <v>98</v>
      </c>
      <c r="J9" s="89">
        <v>0</v>
      </c>
      <c r="K9" s="430" t="s">
        <v>679</v>
      </c>
      <c r="L9" s="90">
        <f t="shared" si="0"/>
        <v>0</v>
      </c>
      <c r="M9" s="91"/>
      <c r="N9" s="92"/>
      <c r="O9" s="93"/>
      <c r="P9" s="90">
        <f t="shared" si="1"/>
        <v>0</v>
      </c>
      <c r="Q9" s="91"/>
      <c r="R9" s="92"/>
      <c r="S9" s="93"/>
      <c r="T9" s="90">
        <f t="shared" si="2"/>
        <v>1</v>
      </c>
      <c r="U9" s="91"/>
      <c r="V9" s="92"/>
      <c r="W9" s="93"/>
      <c r="X9" s="90">
        <f t="shared" si="3"/>
        <v>0</v>
      </c>
      <c r="Y9" s="91"/>
      <c r="Z9" s="92"/>
      <c r="AA9" s="93"/>
      <c r="AB9" s="90">
        <f t="shared" si="4"/>
        <v>0</v>
      </c>
      <c r="AC9" s="91"/>
      <c r="AD9" s="92"/>
      <c r="AE9" s="93"/>
      <c r="AF9" s="90">
        <f t="shared" si="5"/>
        <v>0</v>
      </c>
      <c r="AG9" s="91"/>
      <c r="AH9" s="92"/>
      <c r="AI9" s="93"/>
      <c r="AJ9" s="427"/>
      <c r="AK9" s="101"/>
      <c r="AL9" s="97"/>
      <c r="AM9" s="97"/>
      <c r="AN9" s="97"/>
      <c r="AO9" s="97"/>
      <c r="AP9" s="97"/>
      <c r="AQ9" s="97"/>
      <c r="AR9" s="104"/>
      <c r="AS9" s="104"/>
      <c r="AT9" s="104"/>
      <c r="AU9" s="104"/>
      <c r="AV9" s="104"/>
      <c r="AW9" s="104"/>
      <c r="AX9" s="104"/>
      <c r="AY9" s="104"/>
      <c r="AZ9" s="104"/>
      <c r="BA9" s="104"/>
      <c r="BB9" s="104"/>
    </row>
    <row r="10" spans="1:54" ht="24" customHeight="1">
      <c r="A10" s="330" t="s">
        <v>893</v>
      </c>
      <c r="B10" s="331"/>
      <c r="C10" s="88"/>
      <c r="D10" s="294" t="s">
        <v>98</v>
      </c>
      <c r="E10" s="295">
        <v>0</v>
      </c>
      <c r="F10" s="429" t="s">
        <v>887</v>
      </c>
      <c r="G10" s="430" t="s">
        <v>215</v>
      </c>
      <c r="H10" s="431" t="s">
        <v>98</v>
      </c>
      <c r="I10" s="431" t="s">
        <v>98</v>
      </c>
      <c r="J10" s="89">
        <v>0</v>
      </c>
      <c r="K10" s="430" t="s">
        <v>679</v>
      </c>
      <c r="L10" s="90">
        <f t="shared" si="0"/>
        <v>0</v>
      </c>
      <c r="M10" s="91"/>
      <c r="N10" s="92"/>
      <c r="O10" s="93"/>
      <c r="P10" s="90">
        <f t="shared" si="1"/>
        <v>0</v>
      </c>
      <c r="Q10" s="91"/>
      <c r="R10" s="92"/>
      <c r="S10" s="93"/>
      <c r="T10" s="90">
        <f t="shared" si="2"/>
        <v>0</v>
      </c>
      <c r="U10" s="91"/>
      <c r="V10" s="92"/>
      <c r="W10" s="93"/>
      <c r="X10" s="90">
        <f t="shared" si="3"/>
        <v>1</v>
      </c>
      <c r="Y10" s="91"/>
      <c r="Z10" s="92"/>
      <c r="AA10" s="93"/>
      <c r="AB10" s="90">
        <f t="shared" si="4"/>
        <v>0</v>
      </c>
      <c r="AC10" s="91"/>
      <c r="AD10" s="92"/>
      <c r="AE10" s="93"/>
      <c r="AF10" s="90">
        <f t="shared" si="5"/>
        <v>0</v>
      </c>
      <c r="AG10" s="91"/>
      <c r="AH10" s="92"/>
      <c r="AI10" s="93"/>
      <c r="AJ10" s="427"/>
      <c r="AK10" s="101"/>
      <c r="AL10" s="97"/>
      <c r="AM10" s="97"/>
      <c r="AN10" s="97"/>
      <c r="AO10" s="97"/>
      <c r="AP10" s="97"/>
      <c r="AQ10" s="97"/>
      <c r="AR10" s="104"/>
      <c r="AS10" s="104"/>
      <c r="AT10" s="104"/>
      <c r="AU10" s="104"/>
      <c r="AV10" s="104"/>
      <c r="AW10" s="104"/>
      <c r="AX10" s="104"/>
      <c r="AY10" s="104"/>
      <c r="AZ10" s="104"/>
      <c r="BA10" s="104"/>
      <c r="BB10" s="104"/>
    </row>
    <row r="11" spans="1:54" ht="24" customHeight="1">
      <c r="A11" s="330" t="s">
        <v>894</v>
      </c>
      <c r="B11" s="331"/>
      <c r="C11" s="88"/>
      <c r="D11" s="294" t="s">
        <v>98</v>
      </c>
      <c r="E11" s="295">
        <v>0</v>
      </c>
      <c r="F11" s="429" t="s">
        <v>888</v>
      </c>
      <c r="G11" s="430" t="s">
        <v>373</v>
      </c>
      <c r="H11" s="431" t="s">
        <v>98</v>
      </c>
      <c r="I11" s="431" t="s">
        <v>98</v>
      </c>
      <c r="J11" s="89">
        <v>0</v>
      </c>
      <c r="K11" s="430" t="s">
        <v>679</v>
      </c>
      <c r="L11" s="90">
        <f t="shared" si="0"/>
        <v>0</v>
      </c>
      <c r="M11" s="91"/>
      <c r="N11" s="92"/>
      <c r="O11" s="93"/>
      <c r="P11" s="90">
        <f t="shared" si="1"/>
        <v>0</v>
      </c>
      <c r="Q11" s="91"/>
      <c r="R11" s="92"/>
      <c r="S11" s="93"/>
      <c r="T11" s="90">
        <f t="shared" si="2"/>
        <v>0</v>
      </c>
      <c r="U11" s="91"/>
      <c r="V11" s="92"/>
      <c r="W11" s="93"/>
      <c r="X11" s="90">
        <f t="shared" si="3"/>
        <v>0</v>
      </c>
      <c r="Y11" s="91"/>
      <c r="Z11" s="92"/>
      <c r="AA11" s="93"/>
      <c r="AB11" s="90">
        <f t="shared" si="4"/>
        <v>1</v>
      </c>
      <c r="AC11" s="91"/>
      <c r="AD11" s="92"/>
      <c r="AE11" s="93"/>
      <c r="AF11" s="90">
        <f t="shared" si="5"/>
        <v>0</v>
      </c>
      <c r="AG11" s="91"/>
      <c r="AH11" s="92"/>
      <c r="AI11" s="93"/>
      <c r="AJ11" s="427"/>
      <c r="AK11" s="101"/>
      <c r="AL11" s="97"/>
      <c r="AM11" s="97"/>
      <c r="AN11" s="97"/>
      <c r="AO11" s="97"/>
      <c r="AP11" s="97"/>
      <c r="AQ11" s="97"/>
      <c r="AR11" s="104"/>
      <c r="AS11" s="104"/>
      <c r="AT11" s="104"/>
      <c r="AU11" s="104"/>
      <c r="AV11" s="104"/>
      <c r="AW11" s="104"/>
      <c r="AX11" s="104"/>
      <c r="AY11" s="104"/>
      <c r="AZ11" s="104"/>
      <c r="BA11" s="104"/>
      <c r="BB11" s="104"/>
    </row>
    <row r="12" spans="1:54" ht="24" customHeight="1">
      <c r="A12" s="330" t="s">
        <v>895</v>
      </c>
      <c r="B12" s="331"/>
      <c r="C12" s="88"/>
      <c r="D12" s="294" t="s">
        <v>98</v>
      </c>
      <c r="E12" s="295">
        <v>0</v>
      </c>
      <c r="F12" s="429" t="s">
        <v>889</v>
      </c>
      <c r="G12" s="430" t="s">
        <v>373</v>
      </c>
      <c r="H12" s="431" t="s">
        <v>98</v>
      </c>
      <c r="I12" s="431" t="s">
        <v>98</v>
      </c>
      <c r="J12" s="89">
        <v>0</v>
      </c>
      <c r="K12" s="430" t="s">
        <v>679</v>
      </c>
      <c r="L12" s="90">
        <f t="shared" si="0"/>
        <v>0</v>
      </c>
      <c r="M12" s="91"/>
      <c r="N12" s="92"/>
      <c r="O12" s="93"/>
      <c r="P12" s="90">
        <f t="shared" si="1"/>
        <v>0</v>
      </c>
      <c r="Q12" s="91"/>
      <c r="R12" s="92"/>
      <c r="S12" s="93"/>
      <c r="T12" s="90">
        <f t="shared" si="2"/>
        <v>0</v>
      </c>
      <c r="U12" s="91"/>
      <c r="V12" s="92"/>
      <c r="W12" s="93"/>
      <c r="X12" s="90">
        <f t="shared" si="3"/>
        <v>0</v>
      </c>
      <c r="Y12" s="91"/>
      <c r="Z12" s="92"/>
      <c r="AA12" s="93"/>
      <c r="AB12" s="90">
        <f t="shared" si="4"/>
        <v>0</v>
      </c>
      <c r="AC12" s="91"/>
      <c r="AD12" s="92"/>
      <c r="AE12" s="93"/>
      <c r="AF12" s="90">
        <f t="shared" si="5"/>
        <v>1</v>
      </c>
      <c r="AG12" s="91"/>
      <c r="AH12" s="92"/>
      <c r="AI12" s="93"/>
      <c r="AJ12" s="427"/>
      <c r="AK12" s="101"/>
      <c r="AL12" s="97"/>
      <c r="AM12" s="97"/>
      <c r="AN12" s="97"/>
      <c r="AO12" s="97"/>
      <c r="AP12" s="97"/>
      <c r="AQ12" s="97"/>
      <c r="AR12" s="104"/>
      <c r="AS12" s="104"/>
      <c r="AT12" s="104"/>
      <c r="AU12" s="104"/>
      <c r="AV12" s="104"/>
      <c r="AW12" s="104"/>
      <c r="AX12" s="104"/>
      <c r="AY12" s="104"/>
      <c r="AZ12" s="104"/>
      <c r="BA12" s="104"/>
      <c r="BB12" s="104"/>
    </row>
    <row r="13" spans="1:54" ht="24" customHeight="1">
      <c r="A13" s="330" t="s">
        <v>812</v>
      </c>
      <c r="B13" s="331" t="s">
        <v>896</v>
      </c>
      <c r="C13" s="88"/>
      <c r="D13" s="340">
        <v>5</v>
      </c>
      <c r="E13" s="341" t="s">
        <v>98</v>
      </c>
      <c r="F13" s="432" t="s">
        <v>800</v>
      </c>
      <c r="G13" s="433" t="s">
        <v>93</v>
      </c>
      <c r="H13" s="434" t="s">
        <v>98</v>
      </c>
      <c r="I13" s="434" t="s">
        <v>98</v>
      </c>
      <c r="J13" s="94">
        <v>0</v>
      </c>
      <c r="K13" s="433" t="s">
        <v>679</v>
      </c>
      <c r="L13" s="350">
        <v>0</v>
      </c>
      <c r="M13" s="276">
        <v>1</v>
      </c>
      <c r="N13" s="1162">
        <f t="shared" ref="N13:N23" si="6">$AU13</f>
        <v>1.3000688016831126</v>
      </c>
      <c r="O13" s="274" t="str">
        <f t="shared" ref="O13:O23" si="7">$AV13&amp;"; "&amp;$AK13</f>
        <v>(4,1,1,1,1,5); Market share European wafers</v>
      </c>
      <c r="P13" s="350">
        <v>0</v>
      </c>
      <c r="Q13" s="276">
        <v>1</v>
      </c>
      <c r="R13" s="1162">
        <f t="shared" ref="R13:R23" si="8">$AU13</f>
        <v>1.3000688016831126</v>
      </c>
      <c r="S13" s="274" t="str">
        <f t="shared" ref="S13:S23" si="9">$AV13&amp;"; "&amp;$AK13</f>
        <v>(4,1,1,1,1,5); Market share European wafers</v>
      </c>
      <c r="T13" s="350">
        <v>0</v>
      </c>
      <c r="U13" s="276">
        <v>1</v>
      </c>
      <c r="V13" s="1162">
        <f t="shared" ref="V13:V23" si="10">$AU13</f>
        <v>1.3000688016831126</v>
      </c>
      <c r="W13" s="275" t="str">
        <f t="shared" ref="W13:W23" si="11">$AV13&amp;"; "&amp;$AK13</f>
        <v>(4,1,1,1,1,5); Market share European wafers</v>
      </c>
      <c r="X13" s="350">
        <v>0</v>
      </c>
      <c r="Y13" s="276">
        <v>1</v>
      </c>
      <c r="Z13" s="1162">
        <f t="shared" ref="Z13:Z23" si="12">$AU13</f>
        <v>1.3000688016831126</v>
      </c>
      <c r="AA13" s="275" t="str">
        <f t="shared" ref="AA13:AA23" si="13">$AV13&amp;"; "&amp;$AK13</f>
        <v>(4,1,1,1,1,5); Market share European wafers</v>
      </c>
      <c r="AB13" s="350">
        <v>0</v>
      </c>
      <c r="AC13" s="276">
        <v>1</v>
      </c>
      <c r="AD13" s="1162">
        <f t="shared" ref="AD13:AD23" si="14">$AU13</f>
        <v>1.3000688016831126</v>
      </c>
      <c r="AE13" s="275" t="str">
        <f t="shared" ref="AE13:AE23" si="15">$AV13&amp;"; "&amp;$AK13</f>
        <v>(4,1,1,1,1,5); Market share European wafers</v>
      </c>
      <c r="AF13" s="350">
        <v>0</v>
      </c>
      <c r="AG13" s="95">
        <v>1</v>
      </c>
      <c r="AH13" s="96">
        <f t="shared" ref="AH13:AH23" si="16">$AU13</f>
        <v>1.3000688016831126</v>
      </c>
      <c r="AI13" s="432" t="str">
        <f t="shared" ref="AI13:AI23" si="17">$AV13&amp;"; "&amp;$AK13</f>
        <v>(4,1,1,1,1,5); Market share European wafers</v>
      </c>
      <c r="AJ13" s="112"/>
      <c r="AK13" s="216" t="s">
        <v>897</v>
      </c>
      <c r="AL13" s="339">
        <v>4</v>
      </c>
      <c r="AM13" s="339">
        <v>1</v>
      </c>
      <c r="AN13" s="339">
        <v>1</v>
      </c>
      <c r="AO13" s="339">
        <v>1</v>
      </c>
      <c r="AP13" s="339">
        <v>1</v>
      </c>
      <c r="AQ13" s="339">
        <v>5</v>
      </c>
      <c r="AR13" s="104">
        <v>3</v>
      </c>
      <c r="AS13" s="104">
        <v>1.05</v>
      </c>
      <c r="AT13" s="107">
        <f t="shared" ref="AT13:AT23" si="18">EXP(SQRT((LN(AW13)^2)+(LN(AX13)^2)+(LN(AY13)^2)+(LN(AZ13)^2)+(LN(BA13)^2)+(LN(BB13)^2)))</f>
        <v>1.2941338353151037</v>
      </c>
      <c r="AU13" s="107">
        <f t="shared" ref="AU13:AU23" si="19">EXP(SQRT((LN(AW13)^2)+(LN(AX13)^2)+(LN(AY13)^2)+(LN(AZ13)^2)+(LN(BA13)^2)+(LN(BB13)^2)+LN(AS13)^2))</f>
        <v>1.3000688016831126</v>
      </c>
      <c r="AV13" s="107" t="str">
        <f t="shared" ref="AV13:AV23" si="20">CONCATENATE("(",AL13,",",AM13,",",AN13,",",AO13,",",AP13,",",AQ13,")")</f>
        <v>(4,1,1,1,1,5)</v>
      </c>
      <c r="AW13" s="108">
        <v>1.2</v>
      </c>
      <c r="AX13" s="108">
        <v>1</v>
      </c>
      <c r="AY13" s="108">
        <v>1</v>
      </c>
      <c r="AZ13" s="108">
        <v>1</v>
      </c>
      <c r="BA13" s="108">
        <v>1</v>
      </c>
      <c r="BB13" s="108">
        <v>1.2</v>
      </c>
    </row>
    <row r="14" spans="1:54" ht="24" customHeight="1">
      <c r="A14" s="330" t="s">
        <v>813</v>
      </c>
      <c r="B14" s="331"/>
      <c r="C14" s="88"/>
      <c r="D14" s="340">
        <v>5</v>
      </c>
      <c r="E14" s="341" t="s">
        <v>98</v>
      </c>
      <c r="F14" s="432" t="s">
        <v>801</v>
      </c>
      <c r="G14" s="433" t="s">
        <v>93</v>
      </c>
      <c r="H14" s="434" t="s">
        <v>98</v>
      </c>
      <c r="I14" s="434" t="s">
        <v>98</v>
      </c>
      <c r="J14" s="94">
        <v>0</v>
      </c>
      <c r="K14" s="433" t="s">
        <v>679</v>
      </c>
      <c r="L14" s="350">
        <v>0</v>
      </c>
      <c r="M14" s="276">
        <v>1</v>
      </c>
      <c r="N14" s="1162">
        <f t="shared" si="6"/>
        <v>1.3000688016831126</v>
      </c>
      <c r="O14" s="274" t="str">
        <f t="shared" si="7"/>
        <v>(4,1,1,1,1,5); Market share European wafers</v>
      </c>
      <c r="P14" s="350">
        <v>0</v>
      </c>
      <c r="Q14" s="276">
        <v>1</v>
      </c>
      <c r="R14" s="1162">
        <f t="shared" si="8"/>
        <v>1.3000688016831126</v>
      </c>
      <c r="S14" s="274" t="str">
        <f t="shared" si="9"/>
        <v>(4,1,1,1,1,5); Market share European wafers</v>
      </c>
      <c r="T14" s="350">
        <v>0</v>
      </c>
      <c r="U14" s="276">
        <v>1</v>
      </c>
      <c r="V14" s="1162">
        <f t="shared" si="10"/>
        <v>1.3000688016831126</v>
      </c>
      <c r="W14" s="275" t="str">
        <f t="shared" si="11"/>
        <v>(4,1,1,1,1,5); Market share European wafers</v>
      </c>
      <c r="X14" s="350">
        <v>0</v>
      </c>
      <c r="Y14" s="276">
        <v>1</v>
      </c>
      <c r="Z14" s="1162">
        <f t="shared" si="12"/>
        <v>1.3000688016831126</v>
      </c>
      <c r="AA14" s="275" t="str">
        <f t="shared" si="13"/>
        <v>(4,1,1,1,1,5); Market share European wafers</v>
      </c>
      <c r="AB14" s="350">
        <v>0</v>
      </c>
      <c r="AC14" s="276">
        <v>1</v>
      </c>
      <c r="AD14" s="1162">
        <f t="shared" si="14"/>
        <v>1.3000688016831126</v>
      </c>
      <c r="AE14" s="275" t="str">
        <f t="shared" si="15"/>
        <v>(4,1,1,1,1,5); Market share European wafers</v>
      </c>
      <c r="AF14" s="350">
        <v>0</v>
      </c>
      <c r="AG14" s="95">
        <v>1</v>
      </c>
      <c r="AH14" s="96">
        <f t="shared" si="16"/>
        <v>1.3000688016831126</v>
      </c>
      <c r="AI14" s="432" t="str">
        <f t="shared" si="17"/>
        <v>(4,1,1,1,1,5); Market share European wafers</v>
      </c>
      <c r="AJ14" s="112"/>
      <c r="AK14" s="216" t="s">
        <v>897</v>
      </c>
      <c r="AL14" s="339">
        <v>4</v>
      </c>
      <c r="AM14" s="339">
        <v>1</v>
      </c>
      <c r="AN14" s="339">
        <v>1</v>
      </c>
      <c r="AO14" s="339">
        <v>1</v>
      </c>
      <c r="AP14" s="339">
        <v>1</v>
      </c>
      <c r="AQ14" s="339">
        <v>5</v>
      </c>
      <c r="AR14" s="104">
        <v>3</v>
      </c>
      <c r="AS14" s="104">
        <v>1.05</v>
      </c>
      <c r="AT14" s="107">
        <f t="shared" si="18"/>
        <v>1.2941338353151037</v>
      </c>
      <c r="AU14" s="107">
        <f t="shared" si="19"/>
        <v>1.3000688016831126</v>
      </c>
      <c r="AV14" s="107" t="str">
        <f t="shared" si="20"/>
        <v>(4,1,1,1,1,5)</v>
      </c>
      <c r="AW14" s="108">
        <v>1.2</v>
      </c>
      <c r="AX14" s="108">
        <v>1</v>
      </c>
      <c r="AY14" s="108">
        <v>1</v>
      </c>
      <c r="AZ14" s="108">
        <v>1</v>
      </c>
      <c r="BA14" s="108">
        <v>1</v>
      </c>
      <c r="BB14" s="108">
        <v>1.2</v>
      </c>
    </row>
    <row r="15" spans="1:54" ht="24" customHeight="1">
      <c r="A15" s="330" t="s">
        <v>806</v>
      </c>
      <c r="B15" s="331"/>
      <c r="C15" s="88"/>
      <c r="D15" s="340">
        <v>5</v>
      </c>
      <c r="E15" s="341" t="s">
        <v>98</v>
      </c>
      <c r="F15" s="432" t="s">
        <v>794</v>
      </c>
      <c r="G15" s="433" t="s">
        <v>372</v>
      </c>
      <c r="H15" s="434" t="s">
        <v>98</v>
      </c>
      <c r="I15" s="434" t="s">
        <v>98</v>
      </c>
      <c r="J15" s="94">
        <v>0</v>
      </c>
      <c r="K15" s="433" t="s">
        <v>679</v>
      </c>
      <c r="L15" s="350">
        <v>1</v>
      </c>
      <c r="M15" s="276">
        <v>1</v>
      </c>
      <c r="N15" s="1162">
        <f t="shared" si="6"/>
        <v>1.3000688016831126</v>
      </c>
      <c r="O15" s="274" t="str">
        <f t="shared" si="7"/>
        <v>(4,1,1,1,1,5); Market share Chinese wafers</v>
      </c>
      <c r="P15" s="350">
        <v>0</v>
      </c>
      <c r="Q15" s="276">
        <v>1</v>
      </c>
      <c r="R15" s="1162">
        <f t="shared" si="8"/>
        <v>1.3000688016831126</v>
      </c>
      <c r="S15" s="274" t="str">
        <f t="shared" si="9"/>
        <v>(4,1,1,1,1,5); Market share Chinese wafers</v>
      </c>
      <c r="T15" s="350">
        <v>1</v>
      </c>
      <c r="U15" s="276">
        <v>1</v>
      </c>
      <c r="V15" s="1162">
        <f t="shared" si="10"/>
        <v>1.3000688016831126</v>
      </c>
      <c r="W15" s="275" t="str">
        <f t="shared" si="11"/>
        <v>(4,1,1,1,1,5); Market share Chinese wafers</v>
      </c>
      <c r="X15" s="350">
        <v>0</v>
      </c>
      <c r="Y15" s="276">
        <v>1</v>
      </c>
      <c r="Z15" s="1162">
        <f t="shared" si="12"/>
        <v>1.3000688016831126</v>
      </c>
      <c r="AA15" s="275" t="str">
        <f t="shared" si="13"/>
        <v>(4,1,1,1,1,5); Market share Chinese wafers</v>
      </c>
      <c r="AB15" s="350">
        <v>0.59225680933852098</v>
      </c>
      <c r="AC15" s="276">
        <v>1</v>
      </c>
      <c r="AD15" s="1162">
        <f t="shared" si="14"/>
        <v>1.3000688016831126</v>
      </c>
      <c r="AE15" s="275" t="str">
        <f t="shared" si="15"/>
        <v>(4,1,1,1,1,5); Market share Chinese wafers</v>
      </c>
      <c r="AF15" s="350">
        <v>0</v>
      </c>
      <c r="AG15" s="95">
        <v>1</v>
      </c>
      <c r="AH15" s="96">
        <f t="shared" si="16"/>
        <v>1.3000688016831126</v>
      </c>
      <c r="AI15" s="432" t="str">
        <f t="shared" si="17"/>
        <v>(4,1,1,1,1,5); Market share Chinese wafers</v>
      </c>
      <c r="AJ15" s="112"/>
      <c r="AK15" s="216" t="s">
        <v>898</v>
      </c>
      <c r="AL15" s="339">
        <v>4</v>
      </c>
      <c r="AM15" s="339">
        <v>1</v>
      </c>
      <c r="AN15" s="339">
        <v>1</v>
      </c>
      <c r="AO15" s="339">
        <v>1</v>
      </c>
      <c r="AP15" s="339">
        <v>1</v>
      </c>
      <c r="AQ15" s="339">
        <v>5</v>
      </c>
      <c r="AR15" s="104">
        <v>3</v>
      </c>
      <c r="AS15" s="104">
        <v>1.05</v>
      </c>
      <c r="AT15" s="107">
        <f t="shared" si="18"/>
        <v>1.2941338353151037</v>
      </c>
      <c r="AU15" s="107">
        <f t="shared" si="19"/>
        <v>1.3000688016831126</v>
      </c>
      <c r="AV15" s="107" t="str">
        <f t="shared" si="20"/>
        <v>(4,1,1,1,1,5)</v>
      </c>
      <c r="AW15" s="108">
        <v>1.2</v>
      </c>
      <c r="AX15" s="108">
        <v>1</v>
      </c>
      <c r="AY15" s="108">
        <v>1</v>
      </c>
      <c r="AZ15" s="108">
        <v>1</v>
      </c>
      <c r="BA15" s="108">
        <v>1</v>
      </c>
      <c r="BB15" s="108">
        <v>1.2</v>
      </c>
    </row>
    <row r="16" spans="1:54" ht="24" customHeight="1">
      <c r="A16" s="330" t="s">
        <v>807</v>
      </c>
      <c r="B16" s="331"/>
      <c r="C16" s="88"/>
      <c r="D16" s="340">
        <v>5</v>
      </c>
      <c r="E16" s="341" t="s">
        <v>98</v>
      </c>
      <c r="F16" s="432" t="s">
        <v>795</v>
      </c>
      <c r="G16" s="433" t="s">
        <v>372</v>
      </c>
      <c r="H16" s="434" t="s">
        <v>98</v>
      </c>
      <c r="I16" s="434" t="s">
        <v>98</v>
      </c>
      <c r="J16" s="94">
        <v>0</v>
      </c>
      <c r="K16" s="433" t="s">
        <v>679</v>
      </c>
      <c r="L16" s="350">
        <v>0</v>
      </c>
      <c r="M16" s="276">
        <v>1</v>
      </c>
      <c r="N16" s="1162">
        <f t="shared" si="6"/>
        <v>1.3000688016831126</v>
      </c>
      <c r="O16" s="274" t="str">
        <f t="shared" si="7"/>
        <v>(4,1,1,1,1,5); Market share Chinese wafers</v>
      </c>
      <c r="P16" s="350">
        <v>1</v>
      </c>
      <c r="Q16" s="276">
        <v>1</v>
      </c>
      <c r="R16" s="1162">
        <f t="shared" si="8"/>
        <v>1.3000688016831126</v>
      </c>
      <c r="S16" s="274" t="str">
        <f t="shared" si="9"/>
        <v>(4,1,1,1,1,5); Market share Chinese wafers</v>
      </c>
      <c r="T16" s="350">
        <v>0</v>
      </c>
      <c r="U16" s="276">
        <v>1</v>
      </c>
      <c r="V16" s="1162">
        <f t="shared" si="10"/>
        <v>1.3000688016831126</v>
      </c>
      <c r="W16" s="275" t="str">
        <f t="shared" si="11"/>
        <v>(4,1,1,1,1,5); Market share Chinese wafers</v>
      </c>
      <c r="X16" s="350">
        <v>1</v>
      </c>
      <c r="Y16" s="276">
        <v>1</v>
      </c>
      <c r="Z16" s="1162">
        <f t="shared" si="12"/>
        <v>1.3000688016831126</v>
      </c>
      <c r="AA16" s="275" t="str">
        <f t="shared" si="13"/>
        <v>(4,1,1,1,1,5); Market share Chinese wafers</v>
      </c>
      <c r="AB16" s="350">
        <v>0</v>
      </c>
      <c r="AC16" s="276">
        <v>1</v>
      </c>
      <c r="AD16" s="1162">
        <f t="shared" si="14"/>
        <v>1.3000688016831126</v>
      </c>
      <c r="AE16" s="275" t="str">
        <f t="shared" si="15"/>
        <v>(4,1,1,1,1,5); Market share Chinese wafers</v>
      </c>
      <c r="AF16" s="350">
        <v>0.59225680933852098</v>
      </c>
      <c r="AG16" s="95">
        <v>1</v>
      </c>
      <c r="AH16" s="96">
        <f t="shared" si="16"/>
        <v>1.3000688016831126</v>
      </c>
      <c r="AI16" s="432" t="str">
        <f t="shared" si="17"/>
        <v>(4,1,1,1,1,5); Market share Chinese wafers</v>
      </c>
      <c r="AJ16" s="112"/>
      <c r="AK16" s="216" t="s">
        <v>898</v>
      </c>
      <c r="AL16" s="339">
        <v>4</v>
      </c>
      <c r="AM16" s="339">
        <v>1</v>
      </c>
      <c r="AN16" s="339">
        <v>1</v>
      </c>
      <c r="AO16" s="339">
        <v>1</v>
      </c>
      <c r="AP16" s="339">
        <v>1</v>
      </c>
      <c r="AQ16" s="339">
        <v>5</v>
      </c>
      <c r="AR16" s="104">
        <v>3</v>
      </c>
      <c r="AS16" s="104">
        <v>1.05</v>
      </c>
      <c r="AT16" s="107">
        <f t="shared" si="18"/>
        <v>1.2941338353151037</v>
      </c>
      <c r="AU16" s="107">
        <f t="shared" si="19"/>
        <v>1.3000688016831126</v>
      </c>
      <c r="AV16" s="107" t="str">
        <f t="shared" si="20"/>
        <v>(4,1,1,1,1,5)</v>
      </c>
      <c r="AW16" s="108">
        <v>1.2</v>
      </c>
      <c r="AX16" s="108">
        <v>1</v>
      </c>
      <c r="AY16" s="108">
        <v>1</v>
      </c>
      <c r="AZ16" s="108">
        <v>1</v>
      </c>
      <c r="BA16" s="108">
        <v>1</v>
      </c>
      <c r="BB16" s="108">
        <v>1.2</v>
      </c>
    </row>
    <row r="17" spans="1:54" ht="24" customHeight="1">
      <c r="A17" s="330" t="s">
        <v>808</v>
      </c>
      <c r="B17" s="331"/>
      <c r="C17" s="88"/>
      <c r="D17" s="340">
        <v>5</v>
      </c>
      <c r="E17" s="341" t="s">
        <v>98</v>
      </c>
      <c r="F17" s="432" t="s">
        <v>796</v>
      </c>
      <c r="G17" s="433" t="s">
        <v>215</v>
      </c>
      <c r="H17" s="434" t="s">
        <v>98</v>
      </c>
      <c r="I17" s="434" t="s">
        <v>98</v>
      </c>
      <c r="J17" s="94">
        <v>0</v>
      </c>
      <c r="K17" s="433" t="s">
        <v>679</v>
      </c>
      <c r="L17" s="350">
        <v>0</v>
      </c>
      <c r="M17" s="276">
        <v>1</v>
      </c>
      <c r="N17" s="1162">
        <f t="shared" si="6"/>
        <v>1.3000688016831126</v>
      </c>
      <c r="O17" s="274" t="str">
        <f t="shared" si="7"/>
        <v>(4,1,1,1,1,5); Market share US wafers</v>
      </c>
      <c r="P17" s="350">
        <v>0</v>
      </c>
      <c r="Q17" s="276">
        <v>1</v>
      </c>
      <c r="R17" s="1162">
        <f t="shared" si="8"/>
        <v>1.3000688016831126</v>
      </c>
      <c r="S17" s="274" t="str">
        <f t="shared" si="9"/>
        <v>(4,1,1,1,1,5); Market share US wafers</v>
      </c>
      <c r="T17" s="350">
        <v>0</v>
      </c>
      <c r="U17" s="276">
        <v>1</v>
      </c>
      <c r="V17" s="1162">
        <f t="shared" si="10"/>
        <v>1.3000688016831126</v>
      </c>
      <c r="W17" s="275" t="str">
        <f t="shared" si="11"/>
        <v>(4,1,1,1,1,5); Market share US wafers</v>
      </c>
      <c r="X17" s="350">
        <v>0</v>
      </c>
      <c r="Y17" s="276">
        <v>1</v>
      </c>
      <c r="Z17" s="1162">
        <f t="shared" si="12"/>
        <v>1.3000688016831126</v>
      </c>
      <c r="AA17" s="275" t="str">
        <f t="shared" si="13"/>
        <v>(4,1,1,1,1,5); Market share US wafers</v>
      </c>
      <c r="AB17" s="350">
        <v>0</v>
      </c>
      <c r="AC17" s="276">
        <v>1</v>
      </c>
      <c r="AD17" s="1162">
        <f t="shared" si="14"/>
        <v>1.3000688016831126</v>
      </c>
      <c r="AE17" s="275" t="str">
        <f t="shared" si="15"/>
        <v>(4,1,1,1,1,5); Market share US wafers</v>
      </c>
      <c r="AF17" s="350">
        <v>0</v>
      </c>
      <c r="AG17" s="95">
        <v>1</v>
      </c>
      <c r="AH17" s="96">
        <f t="shared" si="16"/>
        <v>1.3000688016831126</v>
      </c>
      <c r="AI17" s="432" t="str">
        <f t="shared" si="17"/>
        <v>(4,1,1,1,1,5); Market share US wafers</v>
      </c>
      <c r="AJ17" s="112"/>
      <c r="AK17" s="216" t="s">
        <v>899</v>
      </c>
      <c r="AL17" s="339">
        <v>4</v>
      </c>
      <c r="AM17" s="339">
        <v>1</v>
      </c>
      <c r="AN17" s="339">
        <v>1</v>
      </c>
      <c r="AO17" s="339">
        <v>1</v>
      </c>
      <c r="AP17" s="339">
        <v>1</v>
      </c>
      <c r="AQ17" s="339">
        <v>5</v>
      </c>
      <c r="AR17" s="104">
        <v>3</v>
      </c>
      <c r="AS17" s="104">
        <v>1.05</v>
      </c>
      <c r="AT17" s="107">
        <f t="shared" si="18"/>
        <v>1.2941338353151037</v>
      </c>
      <c r="AU17" s="107">
        <f t="shared" si="19"/>
        <v>1.3000688016831126</v>
      </c>
      <c r="AV17" s="107" t="str">
        <f t="shared" si="20"/>
        <v>(4,1,1,1,1,5)</v>
      </c>
      <c r="AW17" s="108">
        <v>1.2</v>
      </c>
      <c r="AX17" s="108">
        <v>1</v>
      </c>
      <c r="AY17" s="108">
        <v>1</v>
      </c>
      <c r="AZ17" s="108">
        <v>1</v>
      </c>
      <c r="BA17" s="108">
        <v>1</v>
      </c>
      <c r="BB17" s="108">
        <v>1.2</v>
      </c>
    </row>
    <row r="18" spans="1:54" ht="24" customHeight="1">
      <c r="A18" s="330" t="s">
        <v>809</v>
      </c>
      <c r="B18" s="331"/>
      <c r="C18" s="88"/>
      <c r="D18" s="340">
        <v>5</v>
      </c>
      <c r="E18" s="341" t="s">
        <v>98</v>
      </c>
      <c r="F18" s="432" t="s">
        <v>797</v>
      </c>
      <c r="G18" s="433" t="s">
        <v>215</v>
      </c>
      <c r="H18" s="434" t="s">
        <v>98</v>
      </c>
      <c r="I18" s="434" t="s">
        <v>98</v>
      </c>
      <c r="J18" s="94">
        <v>0</v>
      </c>
      <c r="K18" s="433" t="s">
        <v>679</v>
      </c>
      <c r="L18" s="350">
        <v>0</v>
      </c>
      <c r="M18" s="276">
        <v>1</v>
      </c>
      <c r="N18" s="1162">
        <f t="shared" si="6"/>
        <v>1.3000688016831126</v>
      </c>
      <c r="O18" s="274" t="str">
        <f t="shared" si="7"/>
        <v>(4,1,1,1,1,5); Market share US wafers</v>
      </c>
      <c r="P18" s="350">
        <v>0</v>
      </c>
      <c r="Q18" s="276">
        <v>1</v>
      </c>
      <c r="R18" s="1162">
        <f t="shared" si="8"/>
        <v>1.3000688016831126</v>
      </c>
      <c r="S18" s="274" t="str">
        <f t="shared" si="9"/>
        <v>(4,1,1,1,1,5); Market share US wafers</v>
      </c>
      <c r="T18" s="350">
        <v>0</v>
      </c>
      <c r="U18" s="276">
        <v>1</v>
      </c>
      <c r="V18" s="1162">
        <f t="shared" si="10"/>
        <v>1.3000688016831126</v>
      </c>
      <c r="W18" s="275" t="str">
        <f t="shared" si="11"/>
        <v>(4,1,1,1,1,5); Market share US wafers</v>
      </c>
      <c r="X18" s="350">
        <v>0</v>
      </c>
      <c r="Y18" s="276">
        <v>1</v>
      </c>
      <c r="Z18" s="1162">
        <f t="shared" si="12"/>
        <v>1.3000688016831126</v>
      </c>
      <c r="AA18" s="275" t="str">
        <f t="shared" si="13"/>
        <v>(4,1,1,1,1,5); Market share US wafers</v>
      </c>
      <c r="AB18" s="350">
        <v>0</v>
      </c>
      <c r="AC18" s="276">
        <v>1</v>
      </c>
      <c r="AD18" s="1162">
        <f t="shared" si="14"/>
        <v>1.3000688016831126</v>
      </c>
      <c r="AE18" s="275" t="str">
        <f t="shared" si="15"/>
        <v>(4,1,1,1,1,5); Market share US wafers</v>
      </c>
      <c r="AF18" s="350">
        <v>0</v>
      </c>
      <c r="AG18" s="95">
        <v>1</v>
      </c>
      <c r="AH18" s="96">
        <f t="shared" si="16"/>
        <v>1.3000688016831126</v>
      </c>
      <c r="AI18" s="432" t="str">
        <f t="shared" si="17"/>
        <v>(4,1,1,1,1,5); Market share US wafers</v>
      </c>
      <c r="AJ18" s="112"/>
      <c r="AK18" s="216" t="s">
        <v>899</v>
      </c>
      <c r="AL18" s="339">
        <v>4</v>
      </c>
      <c r="AM18" s="339">
        <v>1</v>
      </c>
      <c r="AN18" s="339">
        <v>1</v>
      </c>
      <c r="AO18" s="339">
        <v>1</v>
      </c>
      <c r="AP18" s="339">
        <v>1</v>
      </c>
      <c r="AQ18" s="339">
        <v>5</v>
      </c>
      <c r="AR18" s="104">
        <v>3</v>
      </c>
      <c r="AS18" s="104">
        <v>1.05</v>
      </c>
      <c r="AT18" s="107">
        <f t="shared" si="18"/>
        <v>1.2941338353151037</v>
      </c>
      <c r="AU18" s="107">
        <f t="shared" si="19"/>
        <v>1.3000688016831126</v>
      </c>
      <c r="AV18" s="107" t="str">
        <f t="shared" si="20"/>
        <v>(4,1,1,1,1,5)</v>
      </c>
      <c r="AW18" s="108">
        <v>1.2</v>
      </c>
      <c r="AX18" s="108">
        <v>1</v>
      </c>
      <c r="AY18" s="108">
        <v>1</v>
      </c>
      <c r="AZ18" s="108">
        <v>1</v>
      </c>
      <c r="BA18" s="108">
        <v>1</v>
      </c>
      <c r="BB18" s="108">
        <v>1.2</v>
      </c>
    </row>
    <row r="19" spans="1:54" ht="24" customHeight="1">
      <c r="A19" s="330" t="s">
        <v>810</v>
      </c>
      <c r="B19" s="331"/>
      <c r="C19" s="88"/>
      <c r="D19" s="340">
        <v>5</v>
      </c>
      <c r="E19" s="341" t="s">
        <v>98</v>
      </c>
      <c r="F19" s="432" t="s">
        <v>798</v>
      </c>
      <c r="G19" s="433" t="s">
        <v>373</v>
      </c>
      <c r="H19" s="434" t="s">
        <v>98</v>
      </c>
      <c r="I19" s="434" t="s">
        <v>98</v>
      </c>
      <c r="J19" s="94">
        <v>0</v>
      </c>
      <c r="K19" s="433" t="s">
        <v>679</v>
      </c>
      <c r="L19" s="350">
        <v>0</v>
      </c>
      <c r="M19" s="276">
        <v>1</v>
      </c>
      <c r="N19" s="1162">
        <f t="shared" si="6"/>
        <v>1.3000688016831126</v>
      </c>
      <c r="O19" s="274" t="str">
        <f t="shared" si="7"/>
        <v>(4,1,1,1,1,5); Market share APAC wafers</v>
      </c>
      <c r="P19" s="350">
        <v>0</v>
      </c>
      <c r="Q19" s="276">
        <v>1</v>
      </c>
      <c r="R19" s="1162">
        <f t="shared" si="8"/>
        <v>1.3000688016831126</v>
      </c>
      <c r="S19" s="274" t="str">
        <f t="shared" si="9"/>
        <v>(4,1,1,1,1,5); Market share APAC wafers</v>
      </c>
      <c r="T19" s="350">
        <v>0</v>
      </c>
      <c r="U19" s="276">
        <v>1</v>
      </c>
      <c r="V19" s="1162">
        <f t="shared" si="10"/>
        <v>1.3000688016831126</v>
      </c>
      <c r="W19" s="275" t="str">
        <f t="shared" si="11"/>
        <v>(4,1,1,1,1,5); Market share APAC wafers</v>
      </c>
      <c r="X19" s="350">
        <v>0</v>
      </c>
      <c r="Y19" s="276">
        <v>1</v>
      </c>
      <c r="Z19" s="1162">
        <f t="shared" si="12"/>
        <v>1.3000688016831126</v>
      </c>
      <c r="AA19" s="275" t="str">
        <f t="shared" si="13"/>
        <v>(4,1,1,1,1,5); Market share APAC wafers</v>
      </c>
      <c r="AB19" s="350">
        <v>0.40774319066147902</v>
      </c>
      <c r="AC19" s="276">
        <v>1</v>
      </c>
      <c r="AD19" s="1162">
        <f t="shared" si="14"/>
        <v>1.3000688016831126</v>
      </c>
      <c r="AE19" s="275" t="str">
        <f t="shared" si="15"/>
        <v>(4,1,1,1,1,5); Market share APAC wafers</v>
      </c>
      <c r="AF19" s="350">
        <v>0</v>
      </c>
      <c r="AG19" s="95">
        <v>1</v>
      </c>
      <c r="AH19" s="96">
        <f t="shared" si="16"/>
        <v>1.3000688016831126</v>
      </c>
      <c r="AI19" s="432" t="str">
        <f t="shared" si="17"/>
        <v>(4,1,1,1,1,5); Market share APAC wafers</v>
      </c>
      <c r="AJ19" s="112"/>
      <c r="AK19" s="216" t="s">
        <v>900</v>
      </c>
      <c r="AL19" s="339">
        <v>4</v>
      </c>
      <c r="AM19" s="339">
        <v>1</v>
      </c>
      <c r="AN19" s="339">
        <v>1</v>
      </c>
      <c r="AO19" s="339">
        <v>1</v>
      </c>
      <c r="AP19" s="339">
        <v>1</v>
      </c>
      <c r="AQ19" s="339">
        <v>5</v>
      </c>
      <c r="AR19" s="104">
        <v>3</v>
      </c>
      <c r="AS19" s="104">
        <v>1.05</v>
      </c>
      <c r="AT19" s="107">
        <f t="shared" si="18"/>
        <v>1.2941338353151037</v>
      </c>
      <c r="AU19" s="107">
        <f t="shared" si="19"/>
        <v>1.3000688016831126</v>
      </c>
      <c r="AV19" s="107" t="str">
        <f t="shared" si="20"/>
        <v>(4,1,1,1,1,5)</v>
      </c>
      <c r="AW19" s="108">
        <v>1.2</v>
      </c>
      <c r="AX19" s="108">
        <v>1</v>
      </c>
      <c r="AY19" s="108">
        <v>1</v>
      </c>
      <c r="AZ19" s="108">
        <v>1</v>
      </c>
      <c r="BA19" s="108">
        <v>1</v>
      </c>
      <c r="BB19" s="108">
        <v>1.2</v>
      </c>
    </row>
    <row r="20" spans="1:54" ht="24" customHeight="1">
      <c r="A20" s="330" t="s">
        <v>811</v>
      </c>
      <c r="B20" s="331"/>
      <c r="C20" s="88"/>
      <c r="D20" s="340">
        <v>5</v>
      </c>
      <c r="E20" s="341" t="s">
        <v>98</v>
      </c>
      <c r="F20" s="432" t="s">
        <v>799</v>
      </c>
      <c r="G20" s="433" t="s">
        <v>373</v>
      </c>
      <c r="H20" s="434" t="s">
        <v>98</v>
      </c>
      <c r="I20" s="434" t="s">
        <v>98</v>
      </c>
      <c r="J20" s="94">
        <v>0</v>
      </c>
      <c r="K20" s="433" t="s">
        <v>679</v>
      </c>
      <c r="L20" s="350">
        <v>0</v>
      </c>
      <c r="M20" s="276">
        <v>1</v>
      </c>
      <c r="N20" s="1162">
        <f t="shared" si="6"/>
        <v>1.3000688016831126</v>
      </c>
      <c r="O20" s="274" t="str">
        <f t="shared" si="7"/>
        <v>(4,1,1,1,1,5); Market share APAC wafers</v>
      </c>
      <c r="P20" s="350">
        <v>0</v>
      </c>
      <c r="Q20" s="276">
        <v>1</v>
      </c>
      <c r="R20" s="1162">
        <f t="shared" si="8"/>
        <v>1.3000688016831126</v>
      </c>
      <c r="S20" s="274" t="str">
        <f t="shared" si="9"/>
        <v>(4,1,1,1,1,5); Market share APAC wafers</v>
      </c>
      <c r="T20" s="350">
        <v>0</v>
      </c>
      <c r="U20" s="276">
        <v>1</v>
      </c>
      <c r="V20" s="1162">
        <f t="shared" si="10"/>
        <v>1.3000688016831126</v>
      </c>
      <c r="W20" s="275" t="str">
        <f t="shared" si="11"/>
        <v>(4,1,1,1,1,5); Market share APAC wafers</v>
      </c>
      <c r="X20" s="350">
        <v>0</v>
      </c>
      <c r="Y20" s="276">
        <v>1</v>
      </c>
      <c r="Z20" s="1162">
        <f t="shared" si="12"/>
        <v>1.3000688016831126</v>
      </c>
      <c r="AA20" s="275" t="str">
        <f t="shared" si="13"/>
        <v>(4,1,1,1,1,5); Market share APAC wafers</v>
      </c>
      <c r="AB20" s="350">
        <v>0</v>
      </c>
      <c r="AC20" s="276">
        <v>1</v>
      </c>
      <c r="AD20" s="1162">
        <f t="shared" si="14"/>
        <v>1.3000688016831126</v>
      </c>
      <c r="AE20" s="275" t="str">
        <f t="shared" si="15"/>
        <v>(4,1,1,1,1,5); Market share APAC wafers</v>
      </c>
      <c r="AF20" s="350">
        <v>0.40774319066147902</v>
      </c>
      <c r="AG20" s="95">
        <v>1</v>
      </c>
      <c r="AH20" s="96">
        <f t="shared" si="16"/>
        <v>1.3000688016831126</v>
      </c>
      <c r="AI20" s="432" t="str">
        <f t="shared" si="17"/>
        <v>(4,1,1,1,1,5); Market share APAC wafers</v>
      </c>
      <c r="AJ20" s="112"/>
      <c r="AK20" s="216" t="s">
        <v>900</v>
      </c>
      <c r="AL20" s="339">
        <v>4</v>
      </c>
      <c r="AM20" s="339">
        <v>1</v>
      </c>
      <c r="AN20" s="339">
        <v>1</v>
      </c>
      <c r="AO20" s="339">
        <v>1</v>
      </c>
      <c r="AP20" s="339">
        <v>1</v>
      </c>
      <c r="AQ20" s="339">
        <v>5</v>
      </c>
      <c r="AR20" s="104">
        <v>3</v>
      </c>
      <c r="AS20" s="104">
        <v>1.05</v>
      </c>
      <c r="AT20" s="107">
        <f t="shared" si="18"/>
        <v>1.2941338353151037</v>
      </c>
      <c r="AU20" s="107">
        <f t="shared" si="19"/>
        <v>1.3000688016831126</v>
      </c>
      <c r="AV20" s="107" t="str">
        <f t="shared" si="20"/>
        <v>(4,1,1,1,1,5)</v>
      </c>
      <c r="AW20" s="108">
        <v>1.2</v>
      </c>
      <c r="AX20" s="108">
        <v>1</v>
      </c>
      <c r="AY20" s="108">
        <v>1</v>
      </c>
      <c r="AZ20" s="108">
        <v>1</v>
      </c>
      <c r="BA20" s="108">
        <v>1</v>
      </c>
      <c r="BB20" s="108">
        <v>1.2</v>
      </c>
    </row>
    <row r="21" spans="1:54" ht="39.75" customHeight="1">
      <c r="A21" s="330">
        <v>269599</v>
      </c>
      <c r="B21" s="331" t="s">
        <v>322</v>
      </c>
      <c r="C21" s="88"/>
      <c r="D21" s="340">
        <v>5</v>
      </c>
      <c r="E21" s="341" t="s">
        <v>98</v>
      </c>
      <c r="F21" s="432" t="s">
        <v>244</v>
      </c>
      <c r="G21" s="433" t="s">
        <v>245</v>
      </c>
      <c r="H21" s="434" t="s">
        <v>98</v>
      </c>
      <c r="I21" s="434" t="s">
        <v>98</v>
      </c>
      <c r="J21" s="94">
        <v>0</v>
      </c>
      <c r="K21" s="433" t="s">
        <v>115</v>
      </c>
      <c r="L21" s="435">
        <f>SUM(L15:L16)*L25/1000*L$31</f>
        <v>6.0562407568000003</v>
      </c>
      <c r="M21" s="95">
        <v>1</v>
      </c>
      <c r="N21" s="96">
        <f t="shared" si="6"/>
        <v>2.0949941301068096</v>
      </c>
      <c r="O21" s="432" t="str">
        <f t="shared" si="7"/>
        <v>(4,5,na,na,na,na); Transport distance CN-EU: 19994 km, CN-US: 20755 km, CN-APAC: 4584 km</v>
      </c>
      <c r="P21" s="435">
        <f>SUM(P15:P16)*P25/1000*P$31</f>
        <v>6.5221054304000008</v>
      </c>
      <c r="Q21" s="95">
        <v>1</v>
      </c>
      <c r="R21" s="96">
        <f t="shared" si="8"/>
        <v>2.0949941301068096</v>
      </c>
      <c r="S21" s="432" t="str">
        <f t="shared" si="9"/>
        <v>(4,5,na,na,na,na); Transport distance CN-EU: 19994 km, CN-US: 20755 km, CN-APAC: 4584 km</v>
      </c>
      <c r="T21" s="435">
        <f>SUM(T15:T16)*T25/1000*T$32</f>
        <v>6.2867997556000006</v>
      </c>
      <c r="U21" s="95">
        <v>1</v>
      </c>
      <c r="V21" s="96">
        <f t="shared" si="10"/>
        <v>2.0949941301068096</v>
      </c>
      <c r="W21" s="432" t="str">
        <f t="shared" si="11"/>
        <v>(4,5,na,na,na,na); Transport distance CN-EU: 19994 km, CN-US: 20755 km, CN-APAC: 4584 km</v>
      </c>
      <c r="X21" s="435">
        <f>SUM(X15:X16)*X25/1000*X$32</f>
        <v>6.7703997368000008</v>
      </c>
      <c r="Y21" s="95">
        <v>1</v>
      </c>
      <c r="Z21" s="96">
        <f t="shared" si="12"/>
        <v>2.0949941301068096</v>
      </c>
      <c r="AA21" s="432" t="str">
        <f t="shared" si="13"/>
        <v>(4,5,na,na,na,na); Transport distance CN-EU: 19994 km, CN-US: 20755 km, CN-APAC: 4584 km</v>
      </c>
      <c r="AB21" s="435">
        <f>SUM(AB15:AB16)*AB25/1000*AB$33</f>
        <v>0.82229097094669201</v>
      </c>
      <c r="AC21" s="95">
        <v>1</v>
      </c>
      <c r="AD21" s="96">
        <f t="shared" si="14"/>
        <v>2.0949941301068096</v>
      </c>
      <c r="AE21" s="432" t="str">
        <f t="shared" si="15"/>
        <v>(4,5,na,na,na,na); Transport distance CN-EU: 19994 km, CN-US: 20755 km, CN-APAC: 4584 km</v>
      </c>
      <c r="AF21" s="435">
        <f>SUM(AF15:AF16)*AF25/1000*AF$33</f>
        <v>0.88554412255797599</v>
      </c>
      <c r="AG21" s="95">
        <v>1</v>
      </c>
      <c r="AH21" s="96">
        <f t="shared" si="16"/>
        <v>2.0949941301068096</v>
      </c>
      <c r="AI21" s="432" t="str">
        <f t="shared" si="17"/>
        <v>(4,5,na,na,na,na); Transport distance CN-EU: 19994 km, CN-US: 20755 km, CN-APAC: 4584 km</v>
      </c>
      <c r="AJ21" s="112"/>
      <c r="AK21" s="216" t="s">
        <v>561</v>
      </c>
      <c r="AL21" s="339">
        <v>4</v>
      </c>
      <c r="AM21" s="339">
        <v>5</v>
      </c>
      <c r="AN21" s="339" t="s">
        <v>106</v>
      </c>
      <c r="AO21" s="339" t="s">
        <v>106</v>
      </c>
      <c r="AP21" s="339" t="s">
        <v>106</v>
      </c>
      <c r="AQ21" s="339" t="s">
        <v>106</v>
      </c>
      <c r="AR21" s="104">
        <v>5</v>
      </c>
      <c r="AS21" s="104">
        <v>2</v>
      </c>
      <c r="AT21" s="107">
        <f t="shared" si="18"/>
        <v>1.2941338353151037</v>
      </c>
      <c r="AU21" s="107">
        <f t="shared" si="19"/>
        <v>2.0949941301068096</v>
      </c>
      <c r="AV21" s="107" t="str">
        <f t="shared" si="20"/>
        <v>(4,5,na,na,na,na)</v>
      </c>
      <c r="AW21" s="108">
        <v>1.2</v>
      </c>
      <c r="AX21" s="108">
        <v>1.2</v>
      </c>
      <c r="AY21" s="108">
        <v>1</v>
      </c>
      <c r="AZ21" s="108">
        <v>1</v>
      </c>
      <c r="BA21" s="108">
        <v>1</v>
      </c>
      <c r="BB21" s="108">
        <v>1</v>
      </c>
    </row>
    <row r="22" spans="1:54">
      <c r="A22" s="330">
        <v>160371</v>
      </c>
      <c r="B22" s="331"/>
      <c r="C22" s="88"/>
      <c r="D22" s="340">
        <v>5</v>
      </c>
      <c r="E22" s="341" t="s">
        <v>98</v>
      </c>
      <c r="F22" s="432" t="s">
        <v>242</v>
      </c>
      <c r="G22" s="433" t="s">
        <v>93</v>
      </c>
      <c r="H22" s="434" t="s">
        <v>98</v>
      </c>
      <c r="I22" s="434" t="s">
        <v>98</v>
      </c>
      <c r="J22" s="94">
        <v>0</v>
      </c>
      <c r="K22" s="433" t="s">
        <v>115</v>
      </c>
      <c r="L22" s="435">
        <f>L25*200/1000</f>
        <v>6.0579999999999995E-2</v>
      </c>
      <c r="M22" s="95">
        <v>1</v>
      </c>
      <c r="N22" s="96">
        <f t="shared" si="6"/>
        <v>2.0949941301068096</v>
      </c>
      <c r="O22" s="432" t="str">
        <f t="shared" si="7"/>
        <v>(4,5,na,na,na,na); Standard distance 200km</v>
      </c>
      <c r="P22" s="435">
        <f>P25*200/1000</f>
        <v>6.5239999999999992E-2</v>
      </c>
      <c r="Q22" s="95">
        <v>1</v>
      </c>
      <c r="R22" s="96">
        <f t="shared" si="8"/>
        <v>2.0949941301068096</v>
      </c>
      <c r="S22" s="432" t="str">
        <f t="shared" si="9"/>
        <v>(4,5,na,na,na,na); Standard distance 200km</v>
      </c>
      <c r="T22" s="435">
        <f>T25*200/1000</f>
        <v>6.0579999999999995E-2</v>
      </c>
      <c r="U22" s="95">
        <v>1</v>
      </c>
      <c r="V22" s="96">
        <f t="shared" si="10"/>
        <v>2.0949941301068096</v>
      </c>
      <c r="W22" s="432" t="str">
        <f t="shared" si="11"/>
        <v>(4,5,na,na,na,na); Standard distance 200km</v>
      </c>
      <c r="X22" s="435">
        <f>X25*200/1000</f>
        <v>6.5239999999999992E-2</v>
      </c>
      <c r="Y22" s="95">
        <v>1</v>
      </c>
      <c r="Z22" s="96">
        <f t="shared" si="12"/>
        <v>2.0949941301068096</v>
      </c>
      <c r="AA22" s="432" t="str">
        <f t="shared" si="13"/>
        <v>(4,5,na,na,na,na); Standard distance 200km</v>
      </c>
      <c r="AB22" s="435">
        <f>AB25*200/1000</f>
        <v>6.0579999999999995E-2</v>
      </c>
      <c r="AC22" s="95">
        <v>1</v>
      </c>
      <c r="AD22" s="96">
        <f t="shared" si="14"/>
        <v>2.0949941301068096</v>
      </c>
      <c r="AE22" s="432" t="str">
        <f t="shared" si="15"/>
        <v>(4,5,na,na,na,na); Standard distance 200km</v>
      </c>
      <c r="AF22" s="435">
        <f>AF25*200/1000</f>
        <v>6.5239999999999992E-2</v>
      </c>
      <c r="AG22" s="95">
        <v>1</v>
      </c>
      <c r="AH22" s="96">
        <f t="shared" si="16"/>
        <v>2.0949941301068096</v>
      </c>
      <c r="AI22" s="432" t="str">
        <f t="shared" si="17"/>
        <v>(4,5,na,na,na,na); Standard distance 200km</v>
      </c>
      <c r="AJ22" s="113"/>
      <c r="AK22" s="216" t="s">
        <v>562</v>
      </c>
      <c r="AL22" s="339">
        <v>4</v>
      </c>
      <c r="AM22" s="339">
        <v>5</v>
      </c>
      <c r="AN22" s="339" t="s">
        <v>106</v>
      </c>
      <c r="AO22" s="339" t="s">
        <v>106</v>
      </c>
      <c r="AP22" s="339" t="s">
        <v>106</v>
      </c>
      <c r="AQ22" s="339" t="s">
        <v>106</v>
      </c>
      <c r="AR22" s="104">
        <v>5</v>
      </c>
      <c r="AS22" s="104">
        <v>2</v>
      </c>
      <c r="AT22" s="107">
        <f t="shared" si="18"/>
        <v>1.2941338353151037</v>
      </c>
      <c r="AU22" s="107">
        <f t="shared" si="19"/>
        <v>2.0949941301068096</v>
      </c>
      <c r="AV22" s="107" t="str">
        <f t="shared" si="20"/>
        <v>(4,5,na,na,na,na)</v>
      </c>
      <c r="AW22" s="108">
        <v>1.2</v>
      </c>
      <c r="AX22" s="108">
        <v>1.2</v>
      </c>
      <c r="AY22" s="108">
        <v>1</v>
      </c>
      <c r="AZ22" s="108">
        <v>1</v>
      </c>
      <c r="BA22" s="108">
        <v>1</v>
      </c>
      <c r="BB22" s="108">
        <v>1</v>
      </c>
    </row>
    <row r="23" spans="1:54">
      <c r="A23" s="330">
        <v>269641</v>
      </c>
      <c r="B23" s="331"/>
      <c r="C23" s="88"/>
      <c r="D23" s="340">
        <v>5</v>
      </c>
      <c r="E23" s="341" t="s">
        <v>98</v>
      </c>
      <c r="F23" s="432" t="s">
        <v>240</v>
      </c>
      <c r="G23" s="433" t="s">
        <v>93</v>
      </c>
      <c r="H23" s="434" t="s">
        <v>98</v>
      </c>
      <c r="I23" s="434" t="s">
        <v>98</v>
      </c>
      <c r="J23" s="94">
        <v>0</v>
      </c>
      <c r="K23" s="433" t="s">
        <v>115</v>
      </c>
      <c r="L23" s="435">
        <f>L25*50/1000</f>
        <v>1.5144999999999999E-2</v>
      </c>
      <c r="M23" s="95">
        <v>1</v>
      </c>
      <c r="N23" s="96">
        <f t="shared" si="6"/>
        <v>2.0949941301068096</v>
      </c>
      <c r="O23" s="432" t="str">
        <f t="shared" si="7"/>
        <v>(4,5,na,na,na,na); Standard distance 50km</v>
      </c>
      <c r="P23" s="435">
        <f>P25*50/1000</f>
        <v>1.6309999999999998E-2</v>
      </c>
      <c r="Q23" s="95">
        <v>1</v>
      </c>
      <c r="R23" s="96">
        <f t="shared" si="8"/>
        <v>2.0949941301068096</v>
      </c>
      <c r="S23" s="432" t="str">
        <f t="shared" si="9"/>
        <v>(4,5,na,na,na,na); Standard distance 50km</v>
      </c>
      <c r="T23" s="435">
        <f>T25*50/1000</f>
        <v>1.5144999999999999E-2</v>
      </c>
      <c r="U23" s="95">
        <v>1</v>
      </c>
      <c r="V23" s="96">
        <f t="shared" si="10"/>
        <v>2.0949941301068096</v>
      </c>
      <c r="W23" s="432" t="str">
        <f t="shared" si="11"/>
        <v>(4,5,na,na,na,na); Standard distance 50km</v>
      </c>
      <c r="X23" s="435">
        <f>X25*50/1000</f>
        <v>1.6309999999999998E-2</v>
      </c>
      <c r="Y23" s="95">
        <v>1</v>
      </c>
      <c r="Z23" s="96">
        <f t="shared" si="12"/>
        <v>2.0949941301068096</v>
      </c>
      <c r="AA23" s="432" t="str">
        <f t="shared" si="13"/>
        <v>(4,5,na,na,na,na); Standard distance 50km</v>
      </c>
      <c r="AB23" s="435">
        <f>AB25*50/1000</f>
        <v>1.5144999999999999E-2</v>
      </c>
      <c r="AC23" s="95">
        <v>1</v>
      </c>
      <c r="AD23" s="96">
        <f t="shared" si="14"/>
        <v>2.0949941301068096</v>
      </c>
      <c r="AE23" s="432" t="str">
        <f t="shared" si="15"/>
        <v>(4,5,na,na,na,na); Standard distance 50km</v>
      </c>
      <c r="AF23" s="435">
        <f>AF25*50/1000</f>
        <v>1.6309999999999998E-2</v>
      </c>
      <c r="AG23" s="95">
        <v>1</v>
      </c>
      <c r="AH23" s="96">
        <f t="shared" si="16"/>
        <v>2.0949941301068096</v>
      </c>
      <c r="AI23" s="432" t="str">
        <f t="shared" si="17"/>
        <v>(4,5,na,na,na,na); Standard distance 50km</v>
      </c>
      <c r="AJ23" s="112"/>
      <c r="AK23" s="216" t="s">
        <v>563</v>
      </c>
      <c r="AL23" s="339">
        <v>4</v>
      </c>
      <c r="AM23" s="339">
        <v>5</v>
      </c>
      <c r="AN23" s="339" t="s">
        <v>106</v>
      </c>
      <c r="AO23" s="339" t="s">
        <v>106</v>
      </c>
      <c r="AP23" s="339" t="s">
        <v>106</v>
      </c>
      <c r="AQ23" s="339" t="s">
        <v>106</v>
      </c>
      <c r="AR23" s="104">
        <v>5</v>
      </c>
      <c r="AS23" s="104">
        <v>2</v>
      </c>
      <c r="AT23" s="107">
        <f t="shared" si="18"/>
        <v>1.2941338353151037</v>
      </c>
      <c r="AU23" s="107">
        <f t="shared" si="19"/>
        <v>2.0949941301068096</v>
      </c>
      <c r="AV23" s="107" t="str">
        <f t="shared" si="20"/>
        <v>(4,5,na,na,na,na)</v>
      </c>
      <c r="AW23" s="108">
        <v>1.2</v>
      </c>
      <c r="AX23" s="108">
        <v>1.2</v>
      </c>
      <c r="AY23" s="108">
        <v>1</v>
      </c>
      <c r="AZ23" s="108">
        <v>1</v>
      </c>
      <c r="BA23" s="108">
        <v>1</v>
      </c>
      <c r="BB23" s="108">
        <v>1</v>
      </c>
    </row>
    <row r="24" spans="1:54">
      <c r="AJ24" s="112"/>
    </row>
    <row r="25" spans="1:54">
      <c r="F25" s="126" t="s">
        <v>901</v>
      </c>
      <c r="K25" s="277" t="s">
        <v>902</v>
      </c>
      <c r="L25" s="135">
        <v>0.3029</v>
      </c>
      <c r="M25" s="127"/>
      <c r="N25" s="127"/>
      <c r="O25" s="134"/>
      <c r="P25" s="135">
        <v>0.32619999999999999</v>
      </c>
      <c r="Q25" s="127"/>
      <c r="R25" s="127"/>
      <c r="S25" s="134"/>
      <c r="T25" s="135">
        <f>L25</f>
        <v>0.3029</v>
      </c>
      <c r="U25" s="127"/>
      <c r="V25" s="127"/>
      <c r="W25" s="134"/>
      <c r="X25" s="135">
        <f>P25</f>
        <v>0.32619999999999999</v>
      </c>
      <c r="Y25" s="127"/>
      <c r="Z25" s="127"/>
      <c r="AA25" s="134"/>
      <c r="AB25" s="135">
        <f>T25</f>
        <v>0.3029</v>
      </c>
      <c r="AC25" s="127"/>
      <c r="AD25" s="127"/>
      <c r="AE25" s="134"/>
      <c r="AF25" s="135">
        <f>X25</f>
        <v>0.32619999999999999</v>
      </c>
      <c r="AG25" s="127"/>
      <c r="AH25" s="127"/>
      <c r="AI25" s="134"/>
      <c r="AJ25" s="112"/>
    </row>
    <row r="26" spans="1:54">
      <c r="L26" s="135"/>
      <c r="O26" s="136"/>
      <c r="S26" s="136"/>
      <c r="W26" s="136"/>
      <c r="AA26" s="136"/>
      <c r="AE26" s="136"/>
      <c r="AI26" s="136"/>
      <c r="AJ26" s="112"/>
    </row>
    <row r="27" spans="1:54">
      <c r="F27" s="126" t="s">
        <v>568</v>
      </c>
      <c r="L27" s="129">
        <f>SUM(L13:L20)</f>
        <v>1</v>
      </c>
      <c r="M27" s="277"/>
      <c r="N27" s="277"/>
      <c r="O27" s="129"/>
      <c r="P27" s="129">
        <f>SUM(P13:P20)</f>
        <v>1</v>
      </c>
      <c r="Q27" s="277"/>
      <c r="R27" s="277"/>
      <c r="S27" s="129"/>
      <c r="T27" s="129">
        <f>SUM(T13:T20)</f>
        <v>1</v>
      </c>
      <c r="U27" s="277"/>
      <c r="V27" s="277"/>
      <c r="W27" s="129"/>
      <c r="X27" s="129">
        <f>SUM(X13:X20)</f>
        <v>1</v>
      </c>
      <c r="Y27" s="277"/>
      <c r="Z27" s="277"/>
      <c r="AA27" s="129"/>
      <c r="AB27" s="129">
        <f>SUM(AB13:AB20)</f>
        <v>1</v>
      </c>
      <c r="AC27" s="277"/>
      <c r="AD27" s="277"/>
      <c r="AE27" s="129"/>
      <c r="AF27" s="129">
        <f>SUM(AF13:AF20)</f>
        <v>1</v>
      </c>
      <c r="AG27" s="129"/>
      <c r="AH27" s="129"/>
      <c r="AI27" s="129"/>
      <c r="AJ27" s="112"/>
    </row>
    <row r="28" spans="1:54">
      <c r="J28" s="518"/>
      <c r="AJ28" s="112"/>
    </row>
    <row r="29" spans="1:54">
      <c r="AJ29" s="112"/>
    </row>
    <row r="30" spans="1:54">
      <c r="AJ30" s="112"/>
    </row>
    <row r="31" spans="1:54" s="128" customFormat="1">
      <c r="A31" s="277"/>
      <c r="B31" s="124"/>
      <c r="C31" s="125"/>
      <c r="D31" s="277"/>
      <c r="E31" s="277"/>
      <c r="F31" s="126" t="s">
        <v>571</v>
      </c>
      <c r="G31" s="277" t="s">
        <v>168</v>
      </c>
      <c r="H31" s="130">
        <f>L31</f>
        <v>19994.192000000003</v>
      </c>
      <c r="I31" s="277"/>
      <c r="J31" s="277"/>
      <c r="K31" s="277" t="s">
        <v>168</v>
      </c>
      <c r="L31" s="131">
        <f>1.852*10796</f>
        <v>19994.192000000003</v>
      </c>
      <c r="M31" s="137"/>
      <c r="N31" s="137"/>
      <c r="O31" s="137"/>
      <c r="P31" s="131">
        <f>1.852*10796</f>
        <v>19994.192000000003</v>
      </c>
      <c r="Q31" s="137"/>
      <c r="R31" s="137"/>
      <c r="S31" s="137"/>
      <c r="T31" s="138"/>
      <c r="U31" s="138"/>
      <c r="V31" s="138"/>
      <c r="W31" s="138"/>
      <c r="X31" s="138"/>
      <c r="Y31" s="137"/>
      <c r="Z31" s="137"/>
      <c r="AA31" s="137"/>
      <c r="AB31" s="138"/>
      <c r="AC31" s="138"/>
      <c r="AD31" s="138"/>
      <c r="AE31" s="138"/>
      <c r="AF31" s="138"/>
      <c r="AG31" s="109"/>
      <c r="AH31" s="109"/>
      <c r="AI31" s="109"/>
      <c r="AJ31" s="112"/>
      <c r="AL31" s="402"/>
      <c r="AM31" s="395"/>
      <c r="AN31" s="395"/>
      <c r="AO31" s="395"/>
      <c r="AP31" s="395"/>
      <c r="AQ31" s="395"/>
      <c r="AR31" s="395"/>
      <c r="AS31" s="395"/>
      <c r="AT31" s="395"/>
      <c r="AU31" s="395"/>
      <c r="AV31" s="395"/>
      <c r="AW31" s="277"/>
      <c r="AX31" s="277"/>
      <c r="AY31" s="277"/>
      <c r="AZ31" s="277"/>
      <c r="BA31" s="277"/>
      <c r="BB31" s="277"/>
    </row>
    <row r="32" spans="1:54" s="128" customFormat="1">
      <c r="A32" s="277"/>
      <c r="B32" s="124"/>
      <c r="C32" s="125"/>
      <c r="D32" s="277"/>
      <c r="E32" s="277"/>
      <c r="F32" s="126" t="s">
        <v>570</v>
      </c>
      <c r="G32" s="277" t="s">
        <v>168</v>
      </c>
      <c r="H32" s="130">
        <f>T32</f>
        <v>20755.364000000001</v>
      </c>
      <c r="I32" s="277"/>
      <c r="J32" s="277"/>
      <c r="K32" s="277" t="s">
        <v>168</v>
      </c>
      <c r="L32" s="133"/>
      <c r="M32" s="137"/>
      <c r="N32" s="137"/>
      <c r="O32" s="137"/>
      <c r="P32" s="133"/>
      <c r="Q32" s="137"/>
      <c r="R32" s="137"/>
      <c r="S32" s="137"/>
      <c r="T32" s="131">
        <f>1.852*11207</f>
        <v>20755.364000000001</v>
      </c>
      <c r="U32" s="137"/>
      <c r="V32" s="137"/>
      <c r="W32" s="137"/>
      <c r="X32" s="131">
        <f>1.852*11207</f>
        <v>20755.364000000001</v>
      </c>
      <c r="Y32" s="137"/>
      <c r="Z32" s="137"/>
      <c r="AA32" s="137"/>
      <c r="AB32" s="131"/>
      <c r="AC32" s="137"/>
      <c r="AD32" s="137"/>
      <c r="AE32" s="137"/>
      <c r="AF32" s="131"/>
      <c r="AG32" s="109"/>
      <c r="AH32" s="109"/>
      <c r="AI32" s="109"/>
      <c r="AJ32" s="112"/>
      <c r="AL32" s="402"/>
      <c r="AM32" s="395"/>
      <c r="AN32" s="395"/>
      <c r="AO32" s="395"/>
      <c r="AP32" s="395"/>
      <c r="AQ32" s="395"/>
      <c r="AR32" s="395"/>
      <c r="AS32" s="395"/>
      <c r="AT32" s="395"/>
      <c r="AU32" s="395"/>
      <c r="AV32" s="395"/>
      <c r="AW32" s="277"/>
      <c r="AX32" s="277"/>
      <c r="AY32" s="277"/>
      <c r="AZ32" s="277"/>
      <c r="BA32" s="277"/>
      <c r="BB32" s="277"/>
    </row>
    <row r="33" spans="6:32" s="128" customFormat="1">
      <c r="F33" s="126" t="s">
        <v>569</v>
      </c>
      <c r="G33" s="277" t="s">
        <v>168</v>
      </c>
      <c r="H33" s="130">
        <f>AB33</f>
        <v>4583.7</v>
      </c>
      <c r="I33" s="277"/>
      <c r="J33" s="277"/>
      <c r="K33" s="277" t="s">
        <v>168</v>
      </c>
      <c r="L33" s="133"/>
      <c r="M33" s="137"/>
      <c r="N33" s="137"/>
      <c r="O33" s="137"/>
      <c r="P33" s="133"/>
      <c r="Q33" s="137"/>
      <c r="R33" s="137"/>
      <c r="S33" s="137"/>
      <c r="T33" s="133"/>
      <c r="U33" s="137"/>
      <c r="V33" s="137"/>
      <c r="W33" s="137"/>
      <c r="X33" s="133"/>
      <c r="Y33" s="137"/>
      <c r="Z33" s="137"/>
      <c r="AA33" s="137"/>
      <c r="AB33" s="133">
        <f>1.852*2475</f>
        <v>4583.7</v>
      </c>
      <c r="AC33" s="137"/>
      <c r="AD33" s="137"/>
      <c r="AE33" s="137"/>
      <c r="AF33" s="133">
        <f>1.852*2475</f>
        <v>4583.7</v>
      </c>
    </row>
  </sheetData>
  <mergeCells count="1">
    <mergeCell ref="AL1:AQ1"/>
  </mergeCells>
  <conditionalFormatting sqref="D13:AI23">
    <cfRule type="expression" dxfId="327" priority="5">
      <formula>MOD(ROW(),2)=0</formula>
    </cfRule>
  </conditionalFormatting>
  <conditionalFormatting sqref="AK13:AQ23">
    <cfRule type="expression" dxfId="326" priority="3">
      <formula>MOD(ROW(),2)=0</formula>
    </cfRule>
  </conditionalFormatting>
  <conditionalFormatting sqref="AR13:BB23">
    <cfRule type="expression" dxfId="325" priority="1">
      <formula>MOD(ROW(),2)=0</formula>
    </cfRule>
  </conditionalFormatting>
  <dataValidations count="10">
    <dataValidation allowBlank="1" showInputMessage="1" showErrorMessage="1" promptTitle="Remarks" prompt="A general comment (data source, calculation procedure, ...) can be made about each individual exchange. The remarks are added to the GeneralComment-field." sqref="AK3" xr:uid="{00000000-0002-0000-1800-000000000000}"/>
    <dataValidation allowBlank="1" showInputMessage="1" showErrorMessage="1" prompt="Do not change." sqref="AR3:BB4" xr:uid="{00000000-0002-0000-18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M3" xr:uid="{00000000-0002-0000-18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N3" xr:uid="{00000000-0002-0000-18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O3" xr:uid="{00000000-0002-0000-18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P3" xr:uid="{00000000-0002-0000-18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Q3" xr:uid="{00000000-0002-0000-18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L3" xr:uid="{00000000-0002-0000-1800-000007000000}"/>
    <dataValidation allowBlank="1" showInputMessage="1" showErrorMessage="1" promptTitle="Do not change" prompt="This field is automatically updated from the names-list" sqref="AR13:AR23" xr:uid="{00000000-0002-0000-1800-000008000000}"/>
    <dataValidation allowBlank="1" showInputMessage="1" showErrorMessage="1" prompt="always 1" sqref="L7:L12 P7:P12 T7:T12 X7:X12 AB7:AB12 AF7:AF12" xr:uid="{00000000-0002-0000-1800-000009000000}"/>
  </dataValidations>
  <pageMargins left="0.78740157499999996" right="0.78740157499999996" top="0.984251969" bottom="0.984251969" header="0.4921259845" footer="0.4921259845"/>
  <pageSetup paperSize="9" scale="3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2">
    <tabColor rgb="FF9CD9F0"/>
    <pageSetUpPr fitToPage="1"/>
  </sheetPr>
  <dimension ref="A1:AR28"/>
  <sheetViews>
    <sheetView showGridLines="0" workbookViewId="0">
      <selection activeCell="G26" sqref="G26:T30"/>
    </sheetView>
  </sheetViews>
  <sheetFormatPr baseColWidth="10" defaultColWidth="11.42578125" defaultRowHeight="12" outlineLevelCol="1"/>
  <cols>
    <col min="1" max="1" width="8.7109375" style="299" customWidth="1"/>
    <col min="2" max="2" width="13.28515625" style="15" customWidth="1"/>
    <col min="3" max="3" width="3.7109375" style="16" customWidth="1"/>
    <col min="4" max="5" width="4.42578125" style="299" customWidth="1"/>
    <col min="6" max="6" width="44.42578125" style="1" customWidth="1"/>
    <col min="7" max="7" width="6" style="299" customWidth="1"/>
    <col min="8" max="8" width="5.7109375" style="299" hidden="1" customWidth="1" outlineLevel="1"/>
    <col min="9" max="9" width="19.42578125" style="299" hidden="1" customWidth="1" outlineLevel="1"/>
    <col min="10" max="10" width="3.28515625" style="299" customWidth="1" collapsed="1"/>
    <col min="11" max="11" width="5.140625" style="299" customWidth="1"/>
    <col min="12" max="12" width="11.42578125" style="299" customWidth="1"/>
    <col min="13" max="13" width="2.42578125" style="12" hidden="1" customWidth="1" outlineLevel="1"/>
    <col min="14" max="14" width="5.7109375" style="12" hidden="1" customWidth="1" outlineLevel="1"/>
    <col min="15" max="15" width="30.85546875" style="12" hidden="1" customWidth="1" outlineLevel="1"/>
    <col min="16" max="16" width="12" style="299" customWidth="1" collapsed="1"/>
    <col min="17" max="17" width="2.42578125" style="12" hidden="1" customWidth="1" outlineLevel="1"/>
    <col min="18" max="18" width="5.85546875" style="12" hidden="1" customWidth="1" outlineLevel="1"/>
    <col min="19" max="19" width="30.85546875" style="12" hidden="1" customWidth="1" outlineLevel="1"/>
    <col min="20" max="20" width="14.42578125" style="299" customWidth="1" collapsed="1"/>
    <col min="21" max="21" width="2.42578125" style="308" hidden="1" customWidth="1" outlineLevel="1"/>
    <col min="22" max="22" width="5.7109375" style="308" hidden="1" customWidth="1" outlineLevel="1"/>
    <col min="23" max="23" width="38.85546875" style="308" hidden="1" customWidth="1" outlineLevel="1"/>
    <col min="24" max="24" width="2.7109375" style="308" hidden="1" customWidth="1" outlineLevel="1"/>
    <col min="25" max="25" width="23.140625" style="8" customWidth="1" collapsed="1"/>
    <col min="26" max="26" width="4" style="5" bestFit="1" customWidth="1"/>
    <col min="27" max="27" width="6.28515625" style="3" bestFit="1" customWidth="1"/>
    <col min="28" max="28" width="5.85546875" style="3" bestFit="1" customWidth="1"/>
    <col min="29" max="29" width="4.7109375" style="3" bestFit="1" customWidth="1"/>
    <col min="30" max="30" width="5.28515625" style="3" bestFit="1" customWidth="1"/>
    <col min="31" max="31" width="5.85546875" style="3" bestFit="1" customWidth="1"/>
    <col min="32" max="33" width="6.85546875" style="3" bestFit="1" customWidth="1"/>
    <col min="34" max="34" width="8.28515625" style="3" bestFit="1" customWidth="1"/>
    <col min="35" max="35" width="9.140625" style="3" bestFit="1" customWidth="1"/>
    <col min="36" max="36" width="12.140625" style="3" customWidth="1"/>
    <col min="37" max="39" width="5.42578125" style="299" customWidth="1"/>
    <col min="40" max="40" width="5.85546875" style="299" customWidth="1"/>
    <col min="41" max="41" width="5.42578125" style="299" customWidth="1"/>
    <col min="42" max="42" width="5.28515625" style="299" customWidth="1"/>
    <col min="43" max="44" width="11.42578125" style="299" customWidth="1"/>
    <col min="45" max="16384" width="11.42578125" style="299"/>
  </cols>
  <sheetData>
    <row r="1" spans="1:44">
      <c r="A1" s="922"/>
      <c r="B1" s="923"/>
      <c r="C1" s="924"/>
      <c r="D1" s="922"/>
      <c r="E1" s="922"/>
      <c r="F1" s="927" t="s">
        <v>65</v>
      </c>
      <c r="G1" s="922"/>
      <c r="H1" s="922"/>
      <c r="I1" s="922"/>
      <c r="J1" s="922"/>
      <c r="K1" s="922"/>
      <c r="L1" s="886">
        <v>266181</v>
      </c>
      <c r="M1" s="907"/>
      <c r="N1" s="907"/>
      <c r="O1" s="907"/>
      <c r="P1" s="886">
        <v>266185</v>
      </c>
      <c r="Q1" s="907"/>
      <c r="R1" s="907"/>
      <c r="S1" s="907"/>
      <c r="T1" s="886">
        <v>266177</v>
      </c>
      <c r="U1" s="907"/>
      <c r="V1" s="907"/>
      <c r="W1" s="907"/>
      <c r="X1" s="109"/>
      <c r="Y1" s="189"/>
      <c r="Z1" s="937"/>
      <c r="AA1" s="938"/>
      <c r="AB1" s="938"/>
      <c r="AC1" s="938"/>
      <c r="AD1" s="938"/>
      <c r="AE1" s="938"/>
      <c r="AF1" s="849"/>
      <c r="AG1" s="849"/>
      <c r="AH1" s="849"/>
      <c r="AI1" s="849"/>
      <c r="AJ1" s="849"/>
      <c r="AK1" s="850"/>
      <c r="AL1" s="850"/>
      <c r="AM1" s="850"/>
      <c r="AN1" s="850"/>
      <c r="AO1" s="850"/>
      <c r="AP1" s="850"/>
    </row>
    <row r="2" spans="1:44" ht="36" customHeight="1">
      <c r="A2" s="922"/>
      <c r="B2" s="925"/>
      <c r="C2" s="924" t="s">
        <v>67</v>
      </c>
      <c r="D2" s="253">
        <v>3503</v>
      </c>
      <c r="E2" s="253">
        <v>3504</v>
      </c>
      <c r="F2" s="253">
        <v>3702</v>
      </c>
      <c r="G2" s="253">
        <v>3703</v>
      </c>
      <c r="H2" s="253">
        <v>3506</v>
      </c>
      <c r="I2" s="253">
        <v>3507</v>
      </c>
      <c r="J2" s="253">
        <v>3508</v>
      </c>
      <c r="K2" s="253">
        <v>3706</v>
      </c>
      <c r="L2" s="253">
        <v>3707</v>
      </c>
      <c r="M2" s="928" t="s">
        <v>86</v>
      </c>
      <c r="N2" s="928" t="s">
        <v>87</v>
      </c>
      <c r="O2" s="929" t="s">
        <v>88</v>
      </c>
      <c r="P2" s="253">
        <v>3707</v>
      </c>
      <c r="Q2" s="928" t="s">
        <v>82</v>
      </c>
      <c r="R2" s="928" t="s">
        <v>83</v>
      </c>
      <c r="S2" s="929" t="s">
        <v>84</v>
      </c>
      <c r="T2" s="253">
        <v>3707</v>
      </c>
      <c r="U2" s="928" t="s">
        <v>86</v>
      </c>
      <c r="V2" s="928" t="s">
        <v>87</v>
      </c>
      <c r="W2" s="929" t="s">
        <v>88</v>
      </c>
      <c r="X2" s="929"/>
      <c r="Y2" s="948" t="s">
        <v>81</v>
      </c>
      <c r="Z2" s="825" t="s">
        <v>82</v>
      </c>
      <c r="AA2" s="825" t="s">
        <v>83</v>
      </c>
      <c r="AB2" s="825" t="s">
        <v>84</v>
      </c>
      <c r="AC2" s="825" t="s">
        <v>85</v>
      </c>
      <c r="AD2" s="825" t="s">
        <v>86</v>
      </c>
      <c r="AE2" s="825" t="s">
        <v>87</v>
      </c>
      <c r="AF2" s="829" t="s">
        <v>88</v>
      </c>
      <c r="AG2" s="829" t="s">
        <v>89</v>
      </c>
      <c r="AH2" s="829" t="s">
        <v>90</v>
      </c>
      <c r="AI2" s="943" t="s">
        <v>91</v>
      </c>
      <c r="AJ2" s="943" t="s">
        <v>92</v>
      </c>
      <c r="AK2" s="944" t="s">
        <v>82</v>
      </c>
      <c r="AL2" s="944" t="s">
        <v>83</v>
      </c>
      <c r="AM2" s="944" t="s">
        <v>84</v>
      </c>
      <c r="AN2" s="944" t="s">
        <v>85</v>
      </c>
      <c r="AO2" s="944" t="s">
        <v>86</v>
      </c>
      <c r="AP2" s="944" t="s">
        <v>87</v>
      </c>
    </row>
    <row r="3" spans="1:44" ht="56.25" customHeight="1">
      <c r="A3" s="922" t="s">
        <v>68</v>
      </c>
      <c r="B3" s="926"/>
      <c r="C3" s="924">
        <v>401</v>
      </c>
      <c r="D3" s="878" t="s">
        <v>69</v>
      </c>
      <c r="E3" s="878" t="s">
        <v>70</v>
      </c>
      <c r="F3" s="930" t="s">
        <v>71</v>
      </c>
      <c r="G3" s="878" t="s">
        <v>72</v>
      </c>
      <c r="H3" s="878" t="s">
        <v>73</v>
      </c>
      <c r="I3" s="878" t="s">
        <v>74</v>
      </c>
      <c r="J3" s="878" t="s">
        <v>75</v>
      </c>
      <c r="K3" s="878" t="s">
        <v>76</v>
      </c>
      <c r="L3" s="885" t="s">
        <v>903</v>
      </c>
      <c r="M3" s="931">
        <v>0</v>
      </c>
      <c r="N3" s="931">
        <v>0</v>
      </c>
      <c r="O3" s="932">
        <v>0</v>
      </c>
      <c r="P3" s="885" t="s">
        <v>904</v>
      </c>
      <c r="Q3" s="931">
        <v>0</v>
      </c>
      <c r="R3" s="931">
        <v>0</v>
      </c>
      <c r="S3" s="932">
        <v>0</v>
      </c>
      <c r="T3" s="885" t="s">
        <v>905</v>
      </c>
      <c r="U3" s="931">
        <v>0</v>
      </c>
      <c r="V3" s="931">
        <v>0</v>
      </c>
      <c r="W3" s="932">
        <v>0</v>
      </c>
      <c r="X3" s="932"/>
      <c r="Y3" s="949"/>
      <c r="Z3" s="939"/>
      <c r="AA3" s="825"/>
      <c r="AB3" s="825"/>
      <c r="AC3" s="825"/>
      <c r="AD3" s="825"/>
      <c r="AE3" s="825"/>
      <c r="AF3" s="829"/>
      <c r="AG3" s="829"/>
      <c r="AH3" s="829" t="s">
        <v>95</v>
      </c>
      <c r="AI3" s="943" t="s">
        <v>95</v>
      </c>
      <c r="AJ3" s="945"/>
      <c r="AK3" s="850"/>
      <c r="AL3" s="850"/>
      <c r="AM3" s="850"/>
      <c r="AN3" s="850"/>
      <c r="AO3" s="850"/>
      <c r="AP3" s="850"/>
    </row>
    <row r="4" spans="1:44" ht="12" customHeight="1">
      <c r="A4" s="922"/>
      <c r="B4" s="926"/>
      <c r="C4" s="924">
        <v>662</v>
      </c>
      <c r="D4" s="933"/>
      <c r="E4" s="933"/>
      <c r="F4" s="930" t="s">
        <v>72</v>
      </c>
      <c r="G4" s="930"/>
      <c r="H4" s="930"/>
      <c r="I4" s="930"/>
      <c r="J4" s="930"/>
      <c r="K4" s="930"/>
      <c r="L4" s="885" t="s">
        <v>93</v>
      </c>
      <c r="M4" s="934">
        <v>0</v>
      </c>
      <c r="N4" s="934">
        <v>0</v>
      </c>
      <c r="O4" s="935">
        <v>0</v>
      </c>
      <c r="P4" s="885" t="s">
        <v>93</v>
      </c>
      <c r="Q4" s="934" t="s">
        <v>94</v>
      </c>
      <c r="R4" s="934">
        <v>0</v>
      </c>
      <c r="S4" s="935">
        <v>0</v>
      </c>
      <c r="T4" s="885" t="s">
        <v>93</v>
      </c>
      <c r="U4" s="934">
        <v>0</v>
      </c>
      <c r="V4" s="934">
        <v>0</v>
      </c>
      <c r="W4" s="935">
        <v>0</v>
      </c>
      <c r="X4" s="935"/>
      <c r="Y4" s="189"/>
      <c r="Z4" s="940" t="s">
        <v>94</v>
      </c>
      <c r="AA4" s="848"/>
      <c r="AB4" s="848"/>
      <c r="AC4" s="848"/>
      <c r="AD4" s="848"/>
      <c r="AE4" s="848"/>
      <c r="AF4" s="849"/>
      <c r="AG4" s="849"/>
      <c r="AH4" s="851"/>
      <c r="AI4" s="851"/>
      <c r="AJ4" s="851"/>
      <c r="AK4" s="850"/>
      <c r="AL4" s="850"/>
      <c r="AM4" s="850"/>
      <c r="AN4" s="850"/>
      <c r="AO4" s="850"/>
      <c r="AP4" s="850"/>
    </row>
    <row r="5" spans="1:44">
      <c r="A5" s="922"/>
      <c r="B5" s="926"/>
      <c r="C5" s="924">
        <v>493</v>
      </c>
      <c r="D5" s="933"/>
      <c r="E5" s="933"/>
      <c r="F5" s="930" t="s">
        <v>75</v>
      </c>
      <c r="G5" s="930"/>
      <c r="H5" s="930"/>
      <c r="I5" s="930"/>
      <c r="J5" s="930"/>
      <c r="K5" s="930"/>
      <c r="L5" s="885">
        <v>0</v>
      </c>
      <c r="M5" s="934">
        <v>0</v>
      </c>
      <c r="N5" s="934">
        <v>0</v>
      </c>
      <c r="O5" s="935">
        <v>0</v>
      </c>
      <c r="P5" s="885">
        <v>0</v>
      </c>
      <c r="Q5" s="934">
        <v>0</v>
      </c>
      <c r="R5" s="934">
        <v>0</v>
      </c>
      <c r="S5" s="935">
        <v>0</v>
      </c>
      <c r="T5" s="885">
        <v>0</v>
      </c>
      <c r="U5" s="934">
        <v>0</v>
      </c>
      <c r="V5" s="934">
        <v>0</v>
      </c>
      <c r="W5" s="935">
        <v>0</v>
      </c>
      <c r="X5" s="935"/>
      <c r="Y5" s="189"/>
      <c r="Z5" s="941"/>
      <c r="AA5" s="848"/>
      <c r="AB5" s="848"/>
      <c r="AC5" s="848"/>
      <c r="AD5" s="848"/>
      <c r="AE5" s="848"/>
      <c r="AF5" s="849"/>
      <c r="AG5" s="849"/>
      <c r="AH5" s="849"/>
      <c r="AI5" s="849"/>
      <c r="AJ5" s="849"/>
      <c r="AK5" s="850"/>
      <c r="AL5" s="850"/>
      <c r="AM5" s="850"/>
      <c r="AN5" s="850"/>
      <c r="AO5" s="850"/>
      <c r="AP5" s="850"/>
    </row>
    <row r="6" spans="1:44">
      <c r="A6" s="922"/>
      <c r="B6" s="926"/>
      <c r="C6" s="924">
        <v>403</v>
      </c>
      <c r="D6" s="933"/>
      <c r="E6" s="933"/>
      <c r="F6" s="930" t="s">
        <v>76</v>
      </c>
      <c r="G6" s="936"/>
      <c r="H6" s="930"/>
      <c r="I6" s="930"/>
      <c r="J6" s="930"/>
      <c r="K6" s="930"/>
      <c r="L6" s="885" t="s">
        <v>96</v>
      </c>
      <c r="M6" s="934">
        <v>0</v>
      </c>
      <c r="N6" s="934">
        <v>0</v>
      </c>
      <c r="O6" s="935">
        <v>0</v>
      </c>
      <c r="P6" s="885" t="s">
        <v>96</v>
      </c>
      <c r="Q6" s="934">
        <v>0</v>
      </c>
      <c r="R6" s="934">
        <v>0</v>
      </c>
      <c r="S6" s="935">
        <v>0</v>
      </c>
      <c r="T6" s="885" t="s">
        <v>96</v>
      </c>
      <c r="U6" s="934">
        <v>0</v>
      </c>
      <c r="V6" s="934">
        <v>0</v>
      </c>
      <c r="W6" s="935">
        <v>0</v>
      </c>
      <c r="X6" s="935"/>
      <c r="Y6" s="189"/>
      <c r="Z6" s="942"/>
      <c r="AA6" s="942"/>
      <c r="AB6" s="942"/>
      <c r="AC6" s="942"/>
      <c r="AD6" s="942"/>
      <c r="AE6" s="942"/>
      <c r="AF6" s="849"/>
      <c r="AG6" s="849"/>
      <c r="AH6" s="946"/>
      <c r="AI6" s="946"/>
      <c r="AJ6" s="947"/>
      <c r="AK6" s="850"/>
      <c r="AL6" s="850"/>
      <c r="AM6" s="850"/>
      <c r="AN6" s="850"/>
      <c r="AO6" s="850"/>
      <c r="AP6" s="850"/>
    </row>
    <row r="7" spans="1:44">
      <c r="A7" s="887">
        <v>266181</v>
      </c>
      <c r="B7" s="912" t="s">
        <v>97</v>
      </c>
      <c r="C7" s="913"/>
      <c r="D7" s="825" t="s">
        <v>98</v>
      </c>
      <c r="E7" s="951">
        <v>0</v>
      </c>
      <c r="F7" s="952" t="s">
        <v>903</v>
      </c>
      <c r="G7" s="889" t="s">
        <v>93</v>
      </c>
      <c r="H7" s="888" t="s">
        <v>98</v>
      </c>
      <c r="I7" s="888" t="s">
        <v>98</v>
      </c>
      <c r="J7" s="890">
        <v>0</v>
      </c>
      <c r="K7" s="889" t="s">
        <v>96</v>
      </c>
      <c r="L7" s="953">
        <v>1</v>
      </c>
      <c r="M7" s="914"/>
      <c r="N7" s="914"/>
      <c r="O7" s="954"/>
      <c r="P7" s="953">
        <v>0</v>
      </c>
      <c r="Q7" s="914"/>
      <c r="R7" s="914"/>
      <c r="S7" s="954"/>
      <c r="T7" s="953">
        <v>0</v>
      </c>
      <c r="U7" s="914"/>
      <c r="V7" s="915"/>
      <c r="W7" s="916"/>
      <c r="X7" s="916"/>
      <c r="Y7" s="399"/>
      <c r="Z7" s="825">
        <v>1</v>
      </c>
      <c r="AA7" s="951">
        <v>1</v>
      </c>
      <c r="AB7" s="951">
        <v>1</v>
      </c>
      <c r="AC7" s="951">
        <v>1</v>
      </c>
      <c r="AD7" s="951">
        <v>1</v>
      </c>
      <c r="AE7" s="951">
        <v>1</v>
      </c>
      <c r="AF7" s="944">
        <v>45</v>
      </c>
      <c r="AG7" s="944">
        <v>1</v>
      </c>
      <c r="AH7" s="955">
        <v>1</v>
      </c>
      <c r="AI7" s="956">
        <v>1</v>
      </c>
      <c r="AJ7" s="955" t="s">
        <v>3089</v>
      </c>
      <c r="AK7" s="957">
        <v>1</v>
      </c>
      <c r="AL7" s="957">
        <v>1</v>
      </c>
      <c r="AM7" s="957">
        <v>1</v>
      </c>
      <c r="AN7" s="957">
        <v>1</v>
      </c>
      <c r="AO7" s="957">
        <v>1</v>
      </c>
      <c r="AP7" s="957">
        <v>1</v>
      </c>
    </row>
    <row r="8" spans="1:44">
      <c r="A8" s="887">
        <v>266185</v>
      </c>
      <c r="B8" s="895"/>
      <c r="C8" s="913"/>
      <c r="D8" s="825" t="s">
        <v>98</v>
      </c>
      <c r="E8" s="951">
        <v>0</v>
      </c>
      <c r="F8" s="952" t="s">
        <v>904</v>
      </c>
      <c r="G8" s="889" t="s">
        <v>93</v>
      </c>
      <c r="H8" s="888" t="s">
        <v>98</v>
      </c>
      <c r="I8" s="888" t="s">
        <v>98</v>
      </c>
      <c r="J8" s="890">
        <v>0</v>
      </c>
      <c r="K8" s="889" t="s">
        <v>96</v>
      </c>
      <c r="L8" s="953">
        <v>0</v>
      </c>
      <c r="M8" s="914"/>
      <c r="N8" s="914"/>
      <c r="O8" s="954"/>
      <c r="P8" s="953">
        <v>1</v>
      </c>
      <c r="Q8" s="914"/>
      <c r="R8" s="914"/>
      <c r="S8" s="954"/>
      <c r="T8" s="953">
        <v>0</v>
      </c>
      <c r="U8" s="914"/>
      <c r="V8" s="915"/>
      <c r="W8" s="916"/>
      <c r="X8" s="916"/>
      <c r="Y8" s="399"/>
      <c r="Z8" s="825">
        <v>1</v>
      </c>
      <c r="AA8" s="951">
        <v>1</v>
      </c>
      <c r="AB8" s="951">
        <v>1</v>
      </c>
      <c r="AC8" s="951">
        <v>1</v>
      </c>
      <c r="AD8" s="951">
        <v>1</v>
      </c>
      <c r="AE8" s="951">
        <v>1</v>
      </c>
      <c r="AF8" s="944">
        <v>45</v>
      </c>
      <c r="AG8" s="944">
        <v>1</v>
      </c>
      <c r="AH8" s="955">
        <v>1</v>
      </c>
      <c r="AI8" s="956">
        <v>1</v>
      </c>
      <c r="AJ8" s="955" t="s">
        <v>3089</v>
      </c>
      <c r="AK8" s="957">
        <v>1</v>
      </c>
      <c r="AL8" s="957">
        <v>1</v>
      </c>
      <c r="AM8" s="957">
        <v>1</v>
      </c>
      <c r="AN8" s="957">
        <v>1</v>
      </c>
      <c r="AO8" s="957">
        <v>1</v>
      </c>
      <c r="AP8" s="957">
        <v>1</v>
      </c>
    </row>
    <row r="9" spans="1:44" ht="24" customHeight="1">
      <c r="A9" s="887">
        <v>266177</v>
      </c>
      <c r="B9" s="895"/>
      <c r="C9" s="913"/>
      <c r="D9" s="825" t="s">
        <v>98</v>
      </c>
      <c r="E9" s="951">
        <v>0</v>
      </c>
      <c r="F9" s="952" t="s">
        <v>905</v>
      </c>
      <c r="G9" s="889" t="s">
        <v>93</v>
      </c>
      <c r="H9" s="888" t="s">
        <v>98</v>
      </c>
      <c r="I9" s="888" t="s">
        <v>98</v>
      </c>
      <c r="J9" s="890">
        <v>0</v>
      </c>
      <c r="K9" s="889" t="s">
        <v>96</v>
      </c>
      <c r="L9" s="953">
        <v>0</v>
      </c>
      <c r="M9" s="914"/>
      <c r="N9" s="914"/>
      <c r="O9" s="954"/>
      <c r="P9" s="953">
        <v>0</v>
      </c>
      <c r="Q9" s="914"/>
      <c r="R9" s="914"/>
      <c r="S9" s="954"/>
      <c r="T9" s="953">
        <v>1</v>
      </c>
      <c r="U9" s="914"/>
      <c r="V9" s="915"/>
      <c r="W9" s="916"/>
      <c r="X9" s="916"/>
      <c r="Y9" s="399"/>
      <c r="Z9" s="825">
        <v>1</v>
      </c>
      <c r="AA9" s="951">
        <v>1</v>
      </c>
      <c r="AB9" s="951">
        <v>1</v>
      </c>
      <c r="AC9" s="951">
        <v>1</v>
      </c>
      <c r="AD9" s="951">
        <v>1</v>
      </c>
      <c r="AE9" s="951">
        <v>1</v>
      </c>
      <c r="AF9" s="944">
        <v>45</v>
      </c>
      <c r="AG9" s="944">
        <v>1</v>
      </c>
      <c r="AH9" s="955">
        <v>1</v>
      </c>
      <c r="AI9" s="956">
        <v>1</v>
      </c>
      <c r="AJ9" s="955" t="s">
        <v>3089</v>
      </c>
      <c r="AK9" s="957">
        <v>1</v>
      </c>
      <c r="AL9" s="957">
        <v>1</v>
      </c>
      <c r="AM9" s="957">
        <v>1</v>
      </c>
      <c r="AN9" s="957">
        <v>1</v>
      </c>
      <c r="AO9" s="957">
        <v>1</v>
      </c>
      <c r="AP9" s="957">
        <v>1</v>
      </c>
    </row>
    <row r="10" spans="1:44" ht="24" customHeight="1">
      <c r="A10" s="887">
        <v>266451</v>
      </c>
      <c r="B10" s="912" t="s">
        <v>221</v>
      </c>
      <c r="C10" s="913"/>
      <c r="D10" s="895">
        <v>5</v>
      </c>
      <c r="E10" s="894" t="s">
        <v>98</v>
      </c>
      <c r="F10" s="868" t="s">
        <v>906</v>
      </c>
      <c r="G10" s="869" t="s">
        <v>93</v>
      </c>
      <c r="H10" s="870" t="s">
        <v>98</v>
      </c>
      <c r="I10" s="871" t="s">
        <v>98</v>
      </c>
      <c r="J10" s="872">
        <v>0</v>
      </c>
      <c r="K10" s="869" t="s">
        <v>96</v>
      </c>
      <c r="L10" s="961">
        <v>0.83829999999999993</v>
      </c>
      <c r="M10" s="919">
        <v>1</v>
      </c>
      <c r="N10" s="920">
        <v>1.1267298112245603</v>
      </c>
      <c r="O10" s="962" t="s">
        <v>3104</v>
      </c>
      <c r="P10" s="961">
        <v>0.67670000000000008</v>
      </c>
      <c r="Q10" s="919">
        <v>1</v>
      </c>
      <c r="R10" s="920">
        <v>1.1267298112245603</v>
      </c>
      <c r="S10" s="962" t="s">
        <v>3104</v>
      </c>
      <c r="T10" s="961">
        <v>0</v>
      </c>
      <c r="U10" s="919">
        <v>1</v>
      </c>
      <c r="V10" s="920">
        <v>1.1267298112245603</v>
      </c>
      <c r="W10" s="921" t="s">
        <v>3104</v>
      </c>
      <c r="X10" s="916"/>
      <c r="Y10" s="399" t="s">
        <v>907</v>
      </c>
      <c r="Z10" s="895">
        <v>3</v>
      </c>
      <c r="AA10" s="895">
        <v>2</v>
      </c>
      <c r="AB10" s="895">
        <v>1</v>
      </c>
      <c r="AC10" s="895">
        <v>1</v>
      </c>
      <c r="AD10" s="895">
        <v>1</v>
      </c>
      <c r="AE10" s="895">
        <v>3</v>
      </c>
      <c r="AF10" s="963">
        <v>3</v>
      </c>
      <c r="AG10" s="963">
        <v>1.05</v>
      </c>
      <c r="AH10" s="964">
        <v>1.1150377561073679</v>
      </c>
      <c r="AI10" s="965">
        <v>1.1267298112245603</v>
      </c>
      <c r="AJ10" s="964" t="s">
        <v>3100</v>
      </c>
      <c r="AK10" s="966">
        <v>1.1000000000000001</v>
      </c>
      <c r="AL10" s="966">
        <v>1.02</v>
      </c>
      <c r="AM10" s="966">
        <v>1</v>
      </c>
      <c r="AN10" s="966">
        <v>1</v>
      </c>
      <c r="AO10" s="966">
        <v>1</v>
      </c>
      <c r="AP10" s="966">
        <v>1.05</v>
      </c>
    </row>
    <row r="11" spans="1:44" ht="24" customHeight="1">
      <c r="A11" s="887">
        <v>268491</v>
      </c>
      <c r="B11" s="912"/>
      <c r="C11" s="913"/>
      <c r="D11" s="895">
        <v>5</v>
      </c>
      <c r="E11" s="894" t="s">
        <v>98</v>
      </c>
      <c r="F11" s="868" t="s">
        <v>908</v>
      </c>
      <c r="G11" s="869" t="s">
        <v>93</v>
      </c>
      <c r="H11" s="870" t="s">
        <v>98</v>
      </c>
      <c r="I11" s="871" t="s">
        <v>98</v>
      </c>
      <c r="J11" s="872">
        <v>0</v>
      </c>
      <c r="K11" s="869" t="s">
        <v>96</v>
      </c>
      <c r="L11" s="961">
        <v>5.0500000000000003E-2</v>
      </c>
      <c r="M11" s="919">
        <v>1</v>
      </c>
      <c r="N11" s="920">
        <v>1.1267298112245603</v>
      </c>
      <c r="O11" s="962" t="s">
        <v>3105</v>
      </c>
      <c r="P11" s="961">
        <v>8.0799999999999997E-2</v>
      </c>
      <c r="Q11" s="919">
        <v>1</v>
      </c>
      <c r="R11" s="920">
        <v>1.1267298112245603</v>
      </c>
      <c r="S11" s="962" t="s">
        <v>3105</v>
      </c>
      <c r="T11" s="961">
        <v>0</v>
      </c>
      <c r="U11" s="919">
        <v>1</v>
      </c>
      <c r="V11" s="920">
        <v>1.1267298112245603</v>
      </c>
      <c r="W11" s="921" t="s">
        <v>3105</v>
      </c>
      <c r="X11" s="916"/>
      <c r="Y11" s="399" t="s">
        <v>909</v>
      </c>
      <c r="Z11" s="895">
        <v>3</v>
      </c>
      <c r="AA11" s="895">
        <v>2</v>
      </c>
      <c r="AB11" s="895">
        <v>1</v>
      </c>
      <c r="AC11" s="895">
        <v>1</v>
      </c>
      <c r="AD11" s="895">
        <v>1</v>
      </c>
      <c r="AE11" s="895">
        <v>3</v>
      </c>
      <c r="AF11" s="963">
        <v>3</v>
      </c>
      <c r="AG11" s="963">
        <v>1.05</v>
      </c>
      <c r="AH11" s="964">
        <v>1.1150377561073679</v>
      </c>
      <c r="AI11" s="965">
        <v>1.1267298112245603</v>
      </c>
      <c r="AJ11" s="964" t="s">
        <v>3100</v>
      </c>
      <c r="AK11" s="966">
        <v>1.1000000000000001</v>
      </c>
      <c r="AL11" s="966">
        <v>1.02</v>
      </c>
      <c r="AM11" s="966">
        <v>1</v>
      </c>
      <c r="AN11" s="966">
        <v>1</v>
      </c>
      <c r="AO11" s="966">
        <v>1</v>
      </c>
      <c r="AP11" s="966">
        <v>1.05</v>
      </c>
    </row>
    <row r="12" spans="1:44" ht="24" customHeight="1">
      <c r="A12" s="887">
        <v>267502</v>
      </c>
      <c r="B12" s="912"/>
      <c r="C12" s="913"/>
      <c r="D12" s="895">
        <v>5</v>
      </c>
      <c r="E12" s="894" t="s">
        <v>98</v>
      </c>
      <c r="F12" s="868" t="s">
        <v>910</v>
      </c>
      <c r="G12" s="869" t="s">
        <v>93</v>
      </c>
      <c r="H12" s="870" t="s">
        <v>98</v>
      </c>
      <c r="I12" s="871" t="s">
        <v>98</v>
      </c>
      <c r="J12" s="872">
        <v>0</v>
      </c>
      <c r="K12" s="869" t="s">
        <v>96</v>
      </c>
      <c r="L12" s="961">
        <v>0</v>
      </c>
      <c r="M12" s="919">
        <v>1</v>
      </c>
      <c r="N12" s="920">
        <v>1.1267298112245603</v>
      </c>
      <c r="O12" s="962" t="s">
        <v>3104</v>
      </c>
      <c r="P12" s="961">
        <v>0</v>
      </c>
      <c r="Q12" s="919">
        <v>1</v>
      </c>
      <c r="R12" s="920">
        <v>1.1267298112245603</v>
      </c>
      <c r="S12" s="962" t="s">
        <v>3104</v>
      </c>
      <c r="T12" s="961">
        <v>0.80800000000000005</v>
      </c>
      <c r="U12" s="919">
        <v>1</v>
      </c>
      <c r="V12" s="920">
        <v>1.1267298112245603</v>
      </c>
      <c r="W12" s="921" t="s">
        <v>3104</v>
      </c>
      <c r="X12" s="916"/>
      <c r="Y12" s="399" t="s">
        <v>907</v>
      </c>
      <c r="Z12" s="895">
        <v>3</v>
      </c>
      <c r="AA12" s="895">
        <v>2</v>
      </c>
      <c r="AB12" s="895">
        <v>1</v>
      </c>
      <c r="AC12" s="895">
        <v>1</v>
      </c>
      <c r="AD12" s="895">
        <v>1</v>
      </c>
      <c r="AE12" s="895">
        <v>3</v>
      </c>
      <c r="AF12" s="963">
        <v>3</v>
      </c>
      <c r="AG12" s="963">
        <v>1.05</v>
      </c>
      <c r="AH12" s="964">
        <v>1.1150377561073679</v>
      </c>
      <c r="AI12" s="965">
        <v>1.1267298112245603</v>
      </c>
      <c r="AJ12" s="964" t="s">
        <v>3100</v>
      </c>
      <c r="AK12" s="966">
        <v>1.1000000000000001</v>
      </c>
      <c r="AL12" s="966">
        <v>1.02</v>
      </c>
      <c r="AM12" s="966">
        <v>1</v>
      </c>
      <c r="AN12" s="966">
        <v>1</v>
      </c>
      <c r="AO12" s="966">
        <v>1</v>
      </c>
      <c r="AP12" s="966">
        <v>1.05</v>
      </c>
      <c r="AQ12" s="452">
        <v>251921.99999999997</v>
      </c>
    </row>
    <row r="13" spans="1:44" ht="24" customHeight="1">
      <c r="A13" s="887">
        <v>268503</v>
      </c>
      <c r="B13" s="927"/>
      <c r="C13" s="913"/>
      <c r="D13" s="895">
        <v>5</v>
      </c>
      <c r="E13" s="894" t="s">
        <v>98</v>
      </c>
      <c r="F13" s="868" t="s">
        <v>393</v>
      </c>
      <c r="G13" s="869" t="s">
        <v>340</v>
      </c>
      <c r="H13" s="870" t="s">
        <v>98</v>
      </c>
      <c r="I13" s="871" t="s">
        <v>98</v>
      </c>
      <c r="J13" s="872">
        <v>0</v>
      </c>
      <c r="K13" s="869" t="s">
        <v>96</v>
      </c>
      <c r="L13" s="961">
        <v>0</v>
      </c>
      <c r="M13" s="919">
        <v>1</v>
      </c>
      <c r="N13" s="920">
        <v>1.1267298112245603</v>
      </c>
      <c r="O13" s="962" t="s">
        <v>3104</v>
      </c>
      <c r="P13" s="961">
        <v>0</v>
      </c>
      <c r="Q13" s="919">
        <v>1</v>
      </c>
      <c r="R13" s="920">
        <v>1.1267298112245603</v>
      </c>
      <c r="S13" s="962" t="s">
        <v>3104</v>
      </c>
      <c r="T13" s="961">
        <v>3.0300000000000001E-2</v>
      </c>
      <c r="U13" s="919">
        <v>1</v>
      </c>
      <c r="V13" s="920">
        <v>1.1267298112245603</v>
      </c>
      <c r="W13" s="921" t="s">
        <v>3104</v>
      </c>
      <c r="X13" s="916"/>
      <c r="Y13" s="399" t="s">
        <v>907</v>
      </c>
      <c r="Z13" s="895">
        <v>3</v>
      </c>
      <c r="AA13" s="895">
        <v>2</v>
      </c>
      <c r="AB13" s="895">
        <v>1</v>
      </c>
      <c r="AC13" s="895">
        <v>1</v>
      </c>
      <c r="AD13" s="895">
        <v>1</v>
      </c>
      <c r="AE13" s="895">
        <v>3</v>
      </c>
      <c r="AF13" s="963">
        <v>3</v>
      </c>
      <c r="AG13" s="963">
        <v>1.05</v>
      </c>
      <c r="AH13" s="964">
        <v>1.1150377561073679</v>
      </c>
      <c r="AI13" s="965">
        <v>1.1267298112245603</v>
      </c>
      <c r="AJ13" s="964" t="s">
        <v>3100</v>
      </c>
      <c r="AK13" s="966">
        <v>1.1000000000000001</v>
      </c>
      <c r="AL13" s="966">
        <v>1.02</v>
      </c>
      <c r="AM13" s="966">
        <v>1</v>
      </c>
      <c r="AN13" s="966">
        <v>1</v>
      </c>
      <c r="AO13" s="966">
        <v>1</v>
      </c>
      <c r="AP13" s="966">
        <v>1.05</v>
      </c>
    </row>
    <row r="14" spans="1:44" ht="24" customHeight="1">
      <c r="A14" s="887">
        <v>157699</v>
      </c>
      <c r="B14" s="912"/>
      <c r="C14" s="913"/>
      <c r="D14" s="895">
        <v>5</v>
      </c>
      <c r="E14" s="894" t="s">
        <v>98</v>
      </c>
      <c r="F14" s="868" t="s">
        <v>316</v>
      </c>
      <c r="G14" s="869" t="s">
        <v>154</v>
      </c>
      <c r="H14" s="870" t="s">
        <v>98</v>
      </c>
      <c r="I14" s="871" t="s">
        <v>98</v>
      </c>
      <c r="J14" s="872">
        <v>0</v>
      </c>
      <c r="K14" s="869" t="s">
        <v>96</v>
      </c>
      <c r="L14" s="961">
        <v>0.1212</v>
      </c>
      <c r="M14" s="919">
        <v>1</v>
      </c>
      <c r="N14" s="920">
        <v>1.1267298112245603</v>
      </c>
      <c r="O14" s="962" t="s">
        <v>3104</v>
      </c>
      <c r="P14" s="961">
        <v>0.2525</v>
      </c>
      <c r="Q14" s="919">
        <v>1</v>
      </c>
      <c r="R14" s="920">
        <v>1.1267298112245603</v>
      </c>
      <c r="S14" s="962" t="s">
        <v>3104</v>
      </c>
      <c r="T14" s="961">
        <v>0.17170000000000002</v>
      </c>
      <c r="U14" s="919">
        <v>1</v>
      </c>
      <c r="V14" s="920">
        <v>1.1267298112245603</v>
      </c>
      <c r="W14" s="921" t="s">
        <v>3104</v>
      </c>
      <c r="X14" s="916"/>
      <c r="Y14" s="399" t="s">
        <v>907</v>
      </c>
      <c r="Z14" s="895">
        <v>3</v>
      </c>
      <c r="AA14" s="895">
        <v>2</v>
      </c>
      <c r="AB14" s="895">
        <v>1</v>
      </c>
      <c r="AC14" s="895">
        <v>1</v>
      </c>
      <c r="AD14" s="895">
        <v>1</v>
      </c>
      <c r="AE14" s="895">
        <v>3</v>
      </c>
      <c r="AF14" s="963">
        <v>3</v>
      </c>
      <c r="AG14" s="963">
        <v>1.05</v>
      </c>
      <c r="AH14" s="964">
        <v>1.1150377561073679</v>
      </c>
      <c r="AI14" s="965">
        <v>1.1267298112245603</v>
      </c>
      <c r="AJ14" s="964" t="s">
        <v>3100</v>
      </c>
      <c r="AK14" s="966">
        <v>1.1000000000000001</v>
      </c>
      <c r="AL14" s="966">
        <v>1.02</v>
      </c>
      <c r="AM14" s="966">
        <v>1</v>
      </c>
      <c r="AN14" s="966">
        <v>1</v>
      </c>
      <c r="AO14" s="966">
        <v>1</v>
      </c>
      <c r="AP14" s="966">
        <v>1.05</v>
      </c>
    </row>
    <row r="15" spans="1:44" ht="24" customHeight="1">
      <c r="A15" s="887">
        <v>269603</v>
      </c>
      <c r="B15" s="927" t="s">
        <v>500</v>
      </c>
      <c r="C15" s="913"/>
      <c r="D15" s="895">
        <v>5</v>
      </c>
      <c r="E15" s="894" t="s">
        <v>98</v>
      </c>
      <c r="F15" s="868" t="s">
        <v>222</v>
      </c>
      <c r="G15" s="869" t="s">
        <v>223</v>
      </c>
      <c r="H15" s="870" t="s">
        <v>98</v>
      </c>
      <c r="I15" s="871" t="s">
        <v>98</v>
      </c>
      <c r="J15" s="872">
        <v>0</v>
      </c>
      <c r="K15" s="869" t="s">
        <v>109</v>
      </c>
      <c r="L15" s="967">
        <v>0.25</v>
      </c>
      <c r="M15" s="919">
        <v>1</v>
      </c>
      <c r="N15" s="920">
        <v>1.5225777546409482</v>
      </c>
      <c r="O15" s="962" t="s">
        <v>3106</v>
      </c>
      <c r="P15" s="961">
        <v>0.25</v>
      </c>
      <c r="Q15" s="919">
        <v>1</v>
      </c>
      <c r="R15" s="920">
        <v>1.5225777546409482</v>
      </c>
      <c r="S15" s="962" t="s">
        <v>3106</v>
      </c>
      <c r="T15" s="961">
        <v>0.25</v>
      </c>
      <c r="U15" s="919">
        <v>1</v>
      </c>
      <c r="V15" s="920">
        <v>1.5225777546409482</v>
      </c>
      <c r="W15" s="921" t="s">
        <v>3106</v>
      </c>
      <c r="X15" s="916"/>
      <c r="Y15" s="399" t="s">
        <v>911</v>
      </c>
      <c r="Z15" s="895">
        <v>3</v>
      </c>
      <c r="AA15" s="895" t="s">
        <v>106</v>
      </c>
      <c r="AB15" s="895">
        <v>2</v>
      </c>
      <c r="AC15" s="895">
        <v>1</v>
      </c>
      <c r="AD15" s="895">
        <v>4</v>
      </c>
      <c r="AE15" s="895" t="s">
        <v>106</v>
      </c>
      <c r="AF15" s="963">
        <v>2</v>
      </c>
      <c r="AG15" s="963">
        <v>1.05</v>
      </c>
      <c r="AH15" s="964">
        <v>1.5182585929014503</v>
      </c>
      <c r="AI15" s="965">
        <v>1.5225777546409482</v>
      </c>
      <c r="AJ15" s="964" t="s">
        <v>3107</v>
      </c>
      <c r="AK15" s="966">
        <v>1.1000000000000001</v>
      </c>
      <c r="AL15" s="966">
        <v>1</v>
      </c>
      <c r="AM15" s="966">
        <v>1.03</v>
      </c>
      <c r="AN15" s="966">
        <v>1</v>
      </c>
      <c r="AO15" s="966">
        <v>1.5</v>
      </c>
      <c r="AP15" s="966">
        <v>1</v>
      </c>
    </row>
    <row r="16" spans="1:44" ht="24" customHeight="1">
      <c r="A16" s="887">
        <v>269447</v>
      </c>
      <c r="B16" s="927"/>
      <c r="C16" s="913"/>
      <c r="D16" s="895">
        <v>5</v>
      </c>
      <c r="E16" s="894" t="s">
        <v>98</v>
      </c>
      <c r="F16" s="868" t="s">
        <v>228</v>
      </c>
      <c r="G16" s="869" t="s">
        <v>103</v>
      </c>
      <c r="H16" s="870" t="s">
        <v>98</v>
      </c>
      <c r="I16" s="871" t="s">
        <v>98</v>
      </c>
      <c r="J16" s="872">
        <v>0</v>
      </c>
      <c r="K16" s="869" t="s">
        <v>104</v>
      </c>
      <c r="L16" s="967">
        <v>0.82799999999999996</v>
      </c>
      <c r="M16" s="919">
        <v>1</v>
      </c>
      <c r="N16" s="920">
        <v>1.5225777546409482</v>
      </c>
      <c r="O16" s="962" t="s">
        <v>3106</v>
      </c>
      <c r="P16" s="961">
        <v>0.82799999999999996</v>
      </c>
      <c r="Q16" s="919">
        <v>1</v>
      </c>
      <c r="R16" s="920">
        <v>1.5225777546409482</v>
      </c>
      <c r="S16" s="962" t="s">
        <v>3106</v>
      </c>
      <c r="T16" s="961">
        <v>0.82799999999999996</v>
      </c>
      <c r="U16" s="919">
        <v>1</v>
      </c>
      <c r="V16" s="920">
        <v>1.5225777546409482</v>
      </c>
      <c r="W16" s="921" t="s">
        <v>3106</v>
      </c>
      <c r="X16" s="916"/>
      <c r="Y16" s="399" t="s">
        <v>911</v>
      </c>
      <c r="Z16" s="895">
        <v>3</v>
      </c>
      <c r="AA16" s="895" t="s">
        <v>106</v>
      </c>
      <c r="AB16" s="895">
        <v>2</v>
      </c>
      <c r="AC16" s="895">
        <v>1</v>
      </c>
      <c r="AD16" s="895">
        <v>4</v>
      </c>
      <c r="AE16" s="895" t="s">
        <v>106</v>
      </c>
      <c r="AF16" s="963">
        <v>1</v>
      </c>
      <c r="AG16" s="963">
        <v>1.05</v>
      </c>
      <c r="AH16" s="964">
        <v>1.5182585929014503</v>
      </c>
      <c r="AI16" s="965">
        <v>1.5225777546409482</v>
      </c>
      <c r="AJ16" s="964" t="s">
        <v>3107</v>
      </c>
      <c r="AK16" s="966">
        <v>1.1000000000000001</v>
      </c>
      <c r="AL16" s="966">
        <v>1</v>
      </c>
      <c r="AM16" s="966">
        <v>1.03</v>
      </c>
      <c r="AN16" s="966">
        <v>1</v>
      </c>
      <c r="AO16" s="966">
        <v>1.5</v>
      </c>
      <c r="AP16" s="966">
        <v>1</v>
      </c>
      <c r="AR16" s="299">
        <v>0</v>
      </c>
    </row>
    <row r="17" spans="1:44" ht="12.75" customHeight="1">
      <c r="A17" s="887">
        <v>269641</v>
      </c>
      <c r="B17" s="927" t="s">
        <v>322</v>
      </c>
      <c r="C17" s="913"/>
      <c r="D17" s="895">
        <v>5</v>
      </c>
      <c r="E17" s="894" t="s">
        <v>98</v>
      </c>
      <c r="F17" s="868" t="s">
        <v>240</v>
      </c>
      <c r="G17" s="869" t="s">
        <v>93</v>
      </c>
      <c r="H17" s="870" t="s">
        <v>98</v>
      </c>
      <c r="I17" s="871" t="s">
        <v>98</v>
      </c>
      <c r="J17" s="872">
        <v>0</v>
      </c>
      <c r="K17" s="869" t="s">
        <v>115</v>
      </c>
      <c r="L17" s="961">
        <v>0.10100000000000001</v>
      </c>
      <c r="M17" s="919">
        <v>1</v>
      </c>
      <c r="N17" s="920">
        <v>2.0949941301068096</v>
      </c>
      <c r="O17" s="962" t="s">
        <v>3108</v>
      </c>
      <c r="P17" s="961">
        <v>0.10100000000000001</v>
      </c>
      <c r="Q17" s="919">
        <v>1</v>
      </c>
      <c r="R17" s="920">
        <v>2.0949941301068096</v>
      </c>
      <c r="S17" s="962" t="s">
        <v>3108</v>
      </c>
      <c r="T17" s="961">
        <v>0.10100000000000001</v>
      </c>
      <c r="U17" s="919">
        <v>1</v>
      </c>
      <c r="V17" s="920">
        <v>2.0949941301068096</v>
      </c>
      <c r="W17" s="921" t="s">
        <v>3108</v>
      </c>
      <c r="X17" s="916"/>
      <c r="Y17" s="399" t="s">
        <v>400</v>
      </c>
      <c r="Z17" s="894">
        <v>4</v>
      </c>
      <c r="AA17" s="895">
        <v>5</v>
      </c>
      <c r="AB17" s="895" t="s">
        <v>106</v>
      </c>
      <c r="AC17" s="895" t="s">
        <v>106</v>
      </c>
      <c r="AD17" s="895" t="s">
        <v>106</v>
      </c>
      <c r="AE17" s="895" t="s">
        <v>106</v>
      </c>
      <c r="AF17" s="963">
        <v>5</v>
      </c>
      <c r="AG17" s="963">
        <v>2</v>
      </c>
      <c r="AH17" s="964">
        <v>1.2941338353151037</v>
      </c>
      <c r="AI17" s="965">
        <v>2.0949941301068096</v>
      </c>
      <c r="AJ17" s="964" t="s">
        <v>274</v>
      </c>
      <c r="AK17" s="966">
        <v>1.2</v>
      </c>
      <c r="AL17" s="966">
        <v>1.2</v>
      </c>
      <c r="AM17" s="966">
        <v>1</v>
      </c>
      <c r="AN17" s="966">
        <v>1</v>
      </c>
      <c r="AO17" s="966">
        <v>1</v>
      </c>
      <c r="AP17" s="966">
        <v>1</v>
      </c>
    </row>
    <row r="18" spans="1:44" ht="12.75" customHeight="1">
      <c r="A18" s="887">
        <v>160371</v>
      </c>
      <c r="B18" s="912"/>
      <c r="C18" s="913"/>
      <c r="D18" s="895">
        <v>5</v>
      </c>
      <c r="E18" s="894" t="s">
        <v>98</v>
      </c>
      <c r="F18" s="868" t="s">
        <v>242</v>
      </c>
      <c r="G18" s="869" t="s">
        <v>93</v>
      </c>
      <c r="H18" s="870" t="s">
        <v>98</v>
      </c>
      <c r="I18" s="871" t="s">
        <v>98</v>
      </c>
      <c r="J18" s="872">
        <v>0</v>
      </c>
      <c r="K18" s="869" t="s">
        <v>115</v>
      </c>
      <c r="L18" s="961">
        <v>0.60599999999999998</v>
      </c>
      <c r="M18" s="919">
        <v>1</v>
      </c>
      <c r="N18" s="920">
        <v>2.0949941301068096</v>
      </c>
      <c r="O18" s="962" t="s">
        <v>3109</v>
      </c>
      <c r="P18" s="961">
        <v>0.60599999999999998</v>
      </c>
      <c r="Q18" s="919">
        <v>1</v>
      </c>
      <c r="R18" s="920">
        <v>2.0949941301068096</v>
      </c>
      <c r="S18" s="962" t="s">
        <v>3109</v>
      </c>
      <c r="T18" s="961">
        <v>0.60599999999999998</v>
      </c>
      <c r="U18" s="919">
        <v>1</v>
      </c>
      <c r="V18" s="920">
        <v>2.0949941301068096</v>
      </c>
      <c r="W18" s="921" t="s">
        <v>3109</v>
      </c>
      <c r="X18" s="916"/>
      <c r="Y18" s="399" t="s">
        <v>912</v>
      </c>
      <c r="Z18" s="894">
        <v>4</v>
      </c>
      <c r="AA18" s="895">
        <v>5</v>
      </c>
      <c r="AB18" s="895" t="s">
        <v>106</v>
      </c>
      <c r="AC18" s="895" t="s">
        <v>106</v>
      </c>
      <c r="AD18" s="895" t="s">
        <v>106</v>
      </c>
      <c r="AE18" s="895" t="s">
        <v>106</v>
      </c>
      <c r="AF18" s="963">
        <v>5</v>
      </c>
      <c r="AG18" s="963">
        <v>2</v>
      </c>
      <c r="AH18" s="964">
        <v>1.2941338353151037</v>
      </c>
      <c r="AI18" s="965">
        <v>2.0949941301068096</v>
      </c>
      <c r="AJ18" s="964" t="s">
        <v>274</v>
      </c>
      <c r="AK18" s="966">
        <v>1.2</v>
      </c>
      <c r="AL18" s="966">
        <v>1.2</v>
      </c>
      <c r="AM18" s="966">
        <v>1</v>
      </c>
      <c r="AN18" s="966">
        <v>1</v>
      </c>
      <c r="AO18" s="966">
        <v>1</v>
      </c>
      <c r="AP18" s="966">
        <v>1</v>
      </c>
    </row>
    <row r="19" spans="1:44" ht="12.75" customHeight="1">
      <c r="A19" s="950">
        <v>265599</v>
      </c>
      <c r="B19" s="927"/>
      <c r="C19" s="913"/>
      <c r="D19" s="895">
        <v>5</v>
      </c>
      <c r="E19" s="894" t="s">
        <v>98</v>
      </c>
      <c r="F19" s="868" t="s">
        <v>913</v>
      </c>
      <c r="G19" s="869" t="s">
        <v>93</v>
      </c>
      <c r="H19" s="870" t="s">
        <v>98</v>
      </c>
      <c r="I19" s="871" t="s">
        <v>98</v>
      </c>
      <c r="J19" s="872">
        <v>1</v>
      </c>
      <c r="K19" s="869" t="s">
        <v>144</v>
      </c>
      <c r="L19" s="961">
        <v>2.0000000000000001E-10</v>
      </c>
      <c r="M19" s="919">
        <v>1</v>
      </c>
      <c r="N19" s="920">
        <v>3.0909055800049732</v>
      </c>
      <c r="O19" s="962" t="s">
        <v>3110</v>
      </c>
      <c r="P19" s="961">
        <v>2.0000000000000001E-10</v>
      </c>
      <c r="Q19" s="919">
        <v>1</v>
      </c>
      <c r="R19" s="920">
        <v>3.0909055800049732</v>
      </c>
      <c r="S19" s="962" t="s">
        <v>3110</v>
      </c>
      <c r="T19" s="961">
        <v>2.0000000000000001E-10</v>
      </c>
      <c r="U19" s="919">
        <v>1</v>
      </c>
      <c r="V19" s="920">
        <v>3.0909055800049732</v>
      </c>
      <c r="W19" s="921" t="s">
        <v>3110</v>
      </c>
      <c r="X19" s="916"/>
      <c r="Y19" s="399" t="s">
        <v>914</v>
      </c>
      <c r="Z19" s="895">
        <v>4</v>
      </c>
      <c r="AA19" s="895">
        <v>5</v>
      </c>
      <c r="AB19" s="895" t="s">
        <v>106</v>
      </c>
      <c r="AC19" s="895" t="s">
        <v>106</v>
      </c>
      <c r="AD19" s="895" t="s">
        <v>106</v>
      </c>
      <c r="AE19" s="895" t="s">
        <v>106</v>
      </c>
      <c r="AF19" s="963">
        <v>9</v>
      </c>
      <c r="AG19" s="963">
        <v>3</v>
      </c>
      <c r="AH19" s="964">
        <v>1.2941338353151037</v>
      </c>
      <c r="AI19" s="965">
        <v>3.0909055800049732</v>
      </c>
      <c r="AJ19" s="964" t="s">
        <v>274</v>
      </c>
      <c r="AK19" s="966">
        <v>1.2</v>
      </c>
      <c r="AL19" s="966">
        <v>1.2</v>
      </c>
      <c r="AM19" s="966">
        <v>1</v>
      </c>
      <c r="AN19" s="966">
        <v>1</v>
      </c>
      <c r="AO19" s="966">
        <v>1</v>
      </c>
      <c r="AP19" s="966">
        <v>1</v>
      </c>
      <c r="AR19" s="299">
        <v>0</v>
      </c>
    </row>
    <row r="20" spans="1:44" ht="12.75" customHeight="1">
      <c r="A20" s="887">
        <v>21844</v>
      </c>
      <c r="B20" s="912" t="s">
        <v>594</v>
      </c>
      <c r="C20" s="913"/>
      <c r="D20" s="951" t="s">
        <v>98</v>
      </c>
      <c r="E20" s="825">
        <v>4</v>
      </c>
      <c r="F20" s="952" t="s">
        <v>121</v>
      </c>
      <c r="G20" s="889" t="s">
        <v>98</v>
      </c>
      <c r="H20" s="958" t="s">
        <v>247</v>
      </c>
      <c r="I20" s="959" t="s">
        <v>258</v>
      </c>
      <c r="J20" s="890" t="s">
        <v>98</v>
      </c>
      <c r="K20" s="889" t="s">
        <v>104</v>
      </c>
      <c r="L20" s="960">
        <v>0.9</v>
      </c>
      <c r="M20" s="914">
        <v>1</v>
      </c>
      <c r="N20" s="915">
        <v>1.2859877072397368</v>
      </c>
      <c r="O20" s="954" t="s">
        <v>3111</v>
      </c>
      <c r="P20" s="960">
        <v>0.9</v>
      </c>
      <c r="Q20" s="914">
        <v>1</v>
      </c>
      <c r="R20" s="915">
        <v>1.2859877072397368</v>
      </c>
      <c r="S20" s="954" t="s">
        <v>3111</v>
      </c>
      <c r="T20" s="960">
        <v>0.9</v>
      </c>
      <c r="U20" s="914">
        <v>1</v>
      </c>
      <c r="V20" s="915">
        <v>1.2859877072397368</v>
      </c>
      <c r="W20" s="916" t="s">
        <v>3111</v>
      </c>
      <c r="X20" s="916"/>
      <c r="Y20" s="399" t="s">
        <v>249</v>
      </c>
      <c r="Z20" s="825">
        <v>3</v>
      </c>
      <c r="AA20" s="951">
        <v>4</v>
      </c>
      <c r="AB20" s="951">
        <v>3</v>
      </c>
      <c r="AC20" s="951">
        <v>3</v>
      </c>
      <c r="AD20" s="951">
        <v>1</v>
      </c>
      <c r="AE20" s="951">
        <v>5</v>
      </c>
      <c r="AF20" s="944">
        <v>13</v>
      </c>
      <c r="AG20" s="944">
        <v>1.05</v>
      </c>
      <c r="AH20" s="955">
        <v>1.2798586482969265</v>
      </c>
      <c r="AI20" s="956">
        <v>1.2859877072397368</v>
      </c>
      <c r="AJ20" s="955" t="s">
        <v>3112</v>
      </c>
      <c r="AK20" s="957">
        <v>1.1000000000000001</v>
      </c>
      <c r="AL20" s="957">
        <v>1.1000000000000001</v>
      </c>
      <c r="AM20" s="957">
        <v>1.1000000000000001</v>
      </c>
      <c r="AN20" s="957">
        <v>1.02</v>
      </c>
      <c r="AO20" s="957">
        <v>1</v>
      </c>
      <c r="AP20" s="957">
        <v>1.2</v>
      </c>
    </row>
    <row r="21" spans="1:44">
      <c r="B21" s="33"/>
      <c r="C21" s="34"/>
      <c r="Z21" s="8"/>
      <c r="AA21" s="8"/>
      <c r="AB21" s="8"/>
      <c r="AC21" s="8"/>
      <c r="AD21" s="8"/>
      <c r="AE21" s="8"/>
      <c r="AF21" s="8"/>
      <c r="AG21" s="8"/>
      <c r="AH21" s="8"/>
      <c r="AI21" s="8"/>
      <c r="AJ21" s="8"/>
      <c r="AK21" s="8"/>
      <c r="AL21" s="8"/>
      <c r="AM21" s="8"/>
      <c r="AN21" s="8"/>
      <c r="AO21" s="8"/>
      <c r="AP21" s="8"/>
    </row>
    <row r="22" spans="1:44">
      <c r="B22" s="18"/>
      <c r="C22" s="14"/>
      <c r="D22" s="297"/>
      <c r="E22" s="298"/>
      <c r="F22" s="409" t="s">
        <v>915</v>
      </c>
      <c r="G22" s="410"/>
      <c r="H22" s="411"/>
      <c r="I22" s="418"/>
      <c r="J22" s="2"/>
      <c r="K22" s="410" t="s">
        <v>96</v>
      </c>
      <c r="L22" s="36">
        <v>1.01</v>
      </c>
      <c r="M22" s="36">
        <v>5</v>
      </c>
      <c r="N22" s="36">
        <v>5.6336490561228016</v>
      </c>
      <c r="O22" s="36">
        <v>0</v>
      </c>
      <c r="P22" s="36">
        <v>1.01</v>
      </c>
      <c r="Q22" s="36">
        <v>5</v>
      </c>
      <c r="R22" s="36">
        <v>5.6336490561228016</v>
      </c>
      <c r="S22" s="36">
        <v>0</v>
      </c>
      <c r="T22" s="36">
        <v>1.01</v>
      </c>
      <c r="Z22" s="8"/>
      <c r="AA22" s="8"/>
      <c r="AB22" s="8"/>
      <c r="AC22" s="8"/>
      <c r="AD22" s="8"/>
      <c r="AE22" s="8"/>
      <c r="AF22" s="8"/>
      <c r="AG22" s="8"/>
      <c r="AH22" s="8"/>
      <c r="AI22" s="8"/>
      <c r="AJ22" s="8"/>
      <c r="AK22" s="8"/>
      <c r="AL22" s="8"/>
      <c r="AM22" s="8"/>
      <c r="AN22" s="8"/>
      <c r="AO22" s="8"/>
      <c r="AP22" s="8"/>
    </row>
    <row r="23" spans="1:44">
      <c r="B23" s="33"/>
      <c r="C23" s="34"/>
      <c r="F23" s="1" t="s">
        <v>916</v>
      </c>
      <c r="L23" s="35">
        <v>0.01</v>
      </c>
      <c r="P23" s="35">
        <v>0.01</v>
      </c>
      <c r="T23" s="35">
        <v>0.01</v>
      </c>
      <c r="Z23" s="8"/>
      <c r="AA23" s="8"/>
      <c r="AB23" s="8"/>
      <c r="AC23" s="8"/>
      <c r="AD23" s="8"/>
      <c r="AE23" s="8"/>
      <c r="AF23" s="8"/>
      <c r="AG23" s="8"/>
      <c r="AH23" s="8"/>
      <c r="AI23" s="8"/>
      <c r="AJ23" s="8"/>
      <c r="AK23" s="8"/>
      <c r="AL23" s="8"/>
      <c r="AM23" s="8"/>
      <c r="AN23" s="8"/>
      <c r="AO23" s="8"/>
      <c r="AP23" s="8"/>
    </row>
    <row r="24" spans="1:44">
      <c r="B24" s="33"/>
      <c r="C24" s="34"/>
      <c r="Z24" s="8"/>
      <c r="AA24" s="8"/>
      <c r="AB24" s="8"/>
      <c r="AC24" s="8"/>
      <c r="AD24" s="8"/>
      <c r="AE24" s="8"/>
      <c r="AF24" s="8"/>
      <c r="AG24" s="8"/>
      <c r="AH24" s="8"/>
      <c r="AI24" s="8"/>
      <c r="AJ24" s="8"/>
      <c r="AK24" s="8"/>
      <c r="AL24" s="8"/>
      <c r="AM24" s="8"/>
      <c r="AN24" s="8"/>
      <c r="AO24" s="8"/>
      <c r="AP24" s="8"/>
    </row>
    <row r="25" spans="1:44">
      <c r="B25" s="33"/>
      <c r="C25" s="34"/>
      <c r="Z25" s="8"/>
      <c r="AA25" s="8"/>
      <c r="AB25" s="8"/>
      <c r="AC25" s="8"/>
      <c r="AD25" s="8"/>
      <c r="AE25" s="8"/>
      <c r="AF25" s="8"/>
      <c r="AG25" s="8"/>
      <c r="AH25" s="8"/>
      <c r="AI25" s="8"/>
      <c r="AJ25" s="8"/>
      <c r="AK25" s="8"/>
      <c r="AL25" s="8"/>
      <c r="AM25" s="8"/>
      <c r="AN25" s="8"/>
      <c r="AO25" s="8"/>
      <c r="AP25" s="8"/>
    </row>
    <row r="27" spans="1:44">
      <c r="B27" s="33"/>
      <c r="C27" s="34"/>
    </row>
    <row r="28" spans="1:44" ht="12.75">
      <c r="B28" s="33"/>
      <c r="C28" s="34"/>
      <c r="L28" s="542"/>
      <c r="P28" s="542"/>
    </row>
  </sheetData>
  <conditionalFormatting sqref="Z7:AE16 Z19:AE20">
    <cfRule type="cellIs" dxfId="324" priority="1" stopIfTrue="1" operator="notBetween">
      <formula>1</formula>
      <formula>5</formula>
    </cfRule>
  </conditionalFormatting>
  <conditionalFormatting sqref="AK7:AP20">
    <cfRule type="cellIs" dxfId="323" priority="2" stopIfTrue="1" operator="equal">
      <formula>0</formula>
    </cfRule>
  </conditionalFormatting>
  <dataValidations disablePrompts="1" count="7">
    <dataValidation allowBlank="1" showInputMessage="1" showErrorMessage="1" promptTitle="Do not change" prompt="This field is automatically updated from the names-list" sqref="AF10:AF16 AF19" xr:uid="{00000000-0002-0000-1900-000000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A10" xr:uid="{00000000-0002-0000-1900-000001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B10" xr:uid="{00000000-0002-0000-19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C10" xr:uid="{00000000-0002-0000-1900-000003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D10" xr:uid="{00000000-0002-0000-1900-000004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E10" xr:uid="{00000000-0002-0000-1900-000005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Z10" xr:uid="{00000000-0002-0000-1900-000006000000}"/>
  </dataValidations>
  <pageMargins left="0.78740157499999996" right="0.78740157499999996" top="0.984251969" bottom="0.984251969" header="0.4921259845" footer="0.4921259845"/>
  <pageSetup paperSize="9" scale="5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1">
    <tabColor rgb="FF9CD9F0"/>
  </sheetPr>
  <dimension ref="A1:BH130"/>
  <sheetViews>
    <sheetView showGridLines="0" workbookViewId="0">
      <selection activeCell="S4" sqref="S4"/>
    </sheetView>
  </sheetViews>
  <sheetFormatPr baseColWidth="10" defaultColWidth="11.42578125" defaultRowHeight="12" outlineLevelCol="1"/>
  <cols>
    <col min="1" max="1" width="7" style="397" customWidth="1"/>
    <col min="2" max="2" width="12.28515625" style="32" bestFit="1" customWidth="1"/>
    <col min="3" max="3" width="5.85546875" style="31" hidden="1" customWidth="1" outlineLevel="1"/>
    <col min="4" max="4" width="2.5703125" style="308" hidden="1" customWidth="1" outlineLevel="1"/>
    <col min="5" max="5" width="2.85546875" style="308" hidden="1" customWidth="1" outlineLevel="1"/>
    <col min="6" max="6" width="44.7109375" style="308" bestFit="1" customWidth="1" collapsed="1"/>
    <col min="7" max="7" width="6.28515625" style="308" customWidth="1"/>
    <col min="8" max="9" width="6.28515625" style="308" hidden="1" customWidth="1" outlineLevel="1"/>
    <col min="10" max="10" width="6" style="308" bestFit="1" customWidth="1" collapsed="1"/>
    <col min="11" max="11" width="5.28515625" style="308" customWidth="1"/>
    <col min="12" max="12" width="14.42578125" style="308" customWidth="1"/>
    <col min="13" max="13" width="5" style="308" hidden="1" customWidth="1" outlineLevel="1"/>
    <col min="14" max="14" width="5.42578125" style="308" hidden="1" customWidth="1" outlineLevel="1"/>
    <col min="15" max="15" width="32.85546875" style="308" hidden="1" customWidth="1" outlineLevel="1"/>
    <col min="16" max="16" width="11.140625" style="308" customWidth="1" collapsed="1"/>
    <col min="17" max="17" width="5" style="308" customWidth="1" outlineLevel="1"/>
    <col min="18" max="18" width="5.42578125" style="308" customWidth="1" outlineLevel="1"/>
    <col min="19" max="19" width="53.85546875" style="308" customWidth="1" outlineLevel="1"/>
    <col min="20" max="20" width="4.42578125" style="397" customWidth="1"/>
    <col min="21" max="21" width="13.7109375" style="397" hidden="1" customWidth="1" outlineLevel="1"/>
    <col min="22" max="22" width="10.28515625" style="397" hidden="1" customWidth="1" outlineLevel="1"/>
    <col min="23" max="23" width="44" style="7" customWidth="1" collapsed="1"/>
    <col min="24" max="24" width="4" style="398" hidden="1" customWidth="1" outlineLevel="1"/>
    <col min="25" max="25" width="6.28515625" style="398" hidden="1" customWidth="1" outlineLevel="1"/>
    <col min="26" max="26" width="5.85546875" style="398" hidden="1" customWidth="1" outlineLevel="1"/>
    <col min="27" max="27" width="4.7109375" style="398" hidden="1" customWidth="1" outlineLevel="1"/>
    <col min="28" max="28" width="5.28515625" style="398" hidden="1" customWidth="1" outlineLevel="1"/>
    <col min="29" max="29" width="5.85546875" style="398" hidden="1" customWidth="1" outlineLevel="1"/>
    <col min="30" max="31" width="6.85546875" style="398" hidden="1" customWidth="1" outlineLevel="1"/>
    <col min="32" max="32" width="8.28515625" style="398" hidden="1" customWidth="1" outlineLevel="1"/>
    <col min="33" max="33" width="9.140625" style="398" hidden="1" customWidth="1" outlineLevel="1"/>
    <col min="34" max="34" width="12.140625" style="398" hidden="1" customWidth="1" outlineLevel="1"/>
    <col min="35" max="37" width="5.42578125" style="397" hidden="1" customWidth="1" outlineLevel="1"/>
    <col min="38" max="38" width="5.85546875" style="397" hidden="1" customWidth="1" outlineLevel="1"/>
    <col min="39" max="39" width="5.42578125" style="397" hidden="1" customWidth="1" outlineLevel="1"/>
    <col min="40" max="40" width="5.28515625" style="397" hidden="1" customWidth="1" outlineLevel="1"/>
    <col min="41" max="41" width="5.28515625" style="397" customWidth="1" collapsed="1"/>
    <col min="42" max="42" width="45.42578125" style="397" customWidth="1"/>
    <col min="43" max="43" width="7.5703125" style="397" hidden="1" customWidth="1" outlineLevel="1"/>
    <col min="44" max="44" width="5.85546875" style="397" hidden="1" customWidth="1" outlineLevel="1"/>
    <col min="45" max="45" width="5.5703125" style="397" hidden="1" customWidth="1" outlineLevel="1"/>
    <col min="46" max="46" width="4.28515625" style="397" hidden="1" customWidth="1" outlineLevel="1"/>
    <col min="47" max="47" width="4.85546875" style="397" hidden="1" customWidth="1" outlineLevel="1"/>
    <col min="48" max="48" width="5.7109375" style="397" hidden="1" customWidth="1" outlineLevel="1"/>
    <col min="49" max="49" width="5.28515625" style="397" hidden="1" customWidth="1" outlineLevel="1"/>
    <col min="50" max="50" width="11.140625" style="397" hidden="1" customWidth="1" outlineLevel="1"/>
    <col min="51" max="51" width="8.140625" style="397" hidden="1" customWidth="1" outlineLevel="1"/>
    <col min="52" max="52" width="6.42578125" style="397" hidden="1" customWidth="1" outlineLevel="1"/>
    <col min="53" max="53" width="11.42578125" style="397" hidden="1" customWidth="1" outlineLevel="1"/>
    <col min="54" max="54" width="4.42578125" style="397" hidden="1" customWidth="1" outlineLevel="1"/>
    <col min="55" max="55" width="5.85546875" style="397" hidden="1" customWidth="1" outlineLevel="1"/>
    <col min="56" max="56" width="5.5703125" style="397" hidden="1" customWidth="1" outlineLevel="1"/>
    <col min="57" max="57" width="4.42578125" style="397" hidden="1" customWidth="1" outlineLevel="1"/>
    <col min="58" max="58" width="4.85546875" style="397" hidden="1" customWidth="1" outlineLevel="1"/>
    <col min="59" max="59" width="5.7109375" style="397" hidden="1" customWidth="1" outlineLevel="1"/>
    <col min="60" max="60" width="11.42578125" style="397" customWidth="1" collapsed="1"/>
    <col min="61" max="61" width="11.42578125" style="397" customWidth="1"/>
    <col min="62" max="16384" width="11.42578125" style="397"/>
  </cols>
  <sheetData>
    <row r="1" spans="1:59">
      <c r="A1" s="1461"/>
      <c r="B1" s="1423"/>
      <c r="C1" s="1424"/>
      <c r="D1" s="1443"/>
      <c r="E1" s="1443"/>
      <c r="F1" s="1444" t="s">
        <v>65</v>
      </c>
      <c r="G1" s="1443"/>
      <c r="H1" s="1443"/>
      <c r="I1" s="1443"/>
      <c r="J1" s="1443"/>
      <c r="K1" s="1443"/>
      <c r="L1" s="1469">
        <v>269235</v>
      </c>
      <c r="M1" s="1462"/>
      <c r="N1" s="1462"/>
      <c r="O1" s="1462"/>
      <c r="P1" s="1469" t="s">
        <v>917</v>
      </c>
      <c r="Q1" s="1462"/>
      <c r="R1" s="1462"/>
      <c r="S1" s="1462"/>
      <c r="T1" s="1373"/>
      <c r="U1" s="1373"/>
      <c r="V1" s="1373"/>
      <c r="W1" s="1399" t="s">
        <v>918</v>
      </c>
      <c r="X1" s="1400"/>
      <c r="Y1" s="1400"/>
      <c r="Z1" s="1400"/>
      <c r="AA1" s="1400"/>
      <c r="AB1" s="1400"/>
      <c r="AC1" s="1372"/>
      <c r="AD1" s="1372"/>
      <c r="AE1" s="1372"/>
      <c r="AF1" s="1372"/>
      <c r="AG1" s="1372"/>
      <c r="AH1" s="1372"/>
      <c r="AI1" s="1372"/>
      <c r="AJ1" s="1372"/>
      <c r="AK1" s="1372"/>
      <c r="AL1" s="1372"/>
      <c r="AM1" s="1372"/>
      <c r="AN1" s="1372"/>
      <c r="AO1" s="1372"/>
      <c r="AP1" s="1399" t="s">
        <v>919</v>
      </c>
      <c r="AQ1" s="1406"/>
      <c r="AR1" s="1406"/>
      <c r="AS1" s="1406"/>
      <c r="AT1" s="1406"/>
      <c r="AU1" s="1406"/>
      <c r="AV1" s="1372"/>
      <c r="AW1" s="1400"/>
      <c r="AX1" s="1400"/>
      <c r="AY1" s="1400"/>
      <c r="AZ1" s="1400"/>
      <c r="BA1" s="1400"/>
      <c r="BB1" s="1372"/>
      <c r="BC1" s="1372"/>
      <c r="BD1" s="1372"/>
      <c r="BE1" s="1372"/>
      <c r="BF1" s="1372"/>
      <c r="BG1" s="1372"/>
    </row>
    <row r="2" spans="1:59" ht="36" customHeight="1">
      <c r="A2" s="1461"/>
      <c r="B2" s="1425"/>
      <c r="C2" s="1424" t="s">
        <v>67</v>
      </c>
      <c r="D2" s="1427">
        <v>3503</v>
      </c>
      <c r="E2" s="1427">
        <v>3504</v>
      </c>
      <c r="F2" s="1427">
        <v>3702</v>
      </c>
      <c r="G2" s="1427">
        <v>3703</v>
      </c>
      <c r="H2" s="1427">
        <v>3506</v>
      </c>
      <c r="I2" s="1427">
        <v>3507</v>
      </c>
      <c r="J2" s="1427">
        <v>3508</v>
      </c>
      <c r="K2" s="1427">
        <v>3706</v>
      </c>
      <c r="L2" s="1427">
        <v>3707</v>
      </c>
      <c r="M2" s="1428">
        <v>3708</v>
      </c>
      <c r="N2" s="1428">
        <v>3709</v>
      </c>
      <c r="O2" s="1429">
        <v>3792</v>
      </c>
      <c r="P2" s="1427">
        <v>3707</v>
      </c>
      <c r="Q2" s="1428">
        <v>3708</v>
      </c>
      <c r="R2" s="1428">
        <v>3709</v>
      </c>
      <c r="S2" s="1429">
        <v>3792</v>
      </c>
      <c r="T2" s="1393"/>
      <c r="U2" s="1393"/>
      <c r="V2" s="1393"/>
      <c r="W2" s="1408" t="s">
        <v>81</v>
      </c>
      <c r="X2" s="1395" t="s">
        <v>82</v>
      </c>
      <c r="Y2" s="1395" t="s">
        <v>83</v>
      </c>
      <c r="Z2" s="1395" t="s">
        <v>84</v>
      </c>
      <c r="AA2" s="1395" t="s">
        <v>85</v>
      </c>
      <c r="AB2" s="1395" t="s">
        <v>86</v>
      </c>
      <c r="AC2" s="1395" t="s">
        <v>87</v>
      </c>
      <c r="AD2" s="1381" t="s">
        <v>88</v>
      </c>
      <c r="AE2" s="1381" t="s">
        <v>89</v>
      </c>
      <c r="AF2" s="1382" t="s">
        <v>90</v>
      </c>
      <c r="AG2" s="1382" t="s">
        <v>91</v>
      </c>
      <c r="AH2" s="1375" t="s">
        <v>92</v>
      </c>
      <c r="AI2" s="1373" t="s">
        <v>82</v>
      </c>
      <c r="AJ2" s="1373" t="s">
        <v>83</v>
      </c>
      <c r="AK2" s="1373" t="s">
        <v>84</v>
      </c>
      <c r="AL2" s="1373" t="s">
        <v>85</v>
      </c>
      <c r="AM2" s="1373" t="s">
        <v>86</v>
      </c>
      <c r="AN2" s="1373" t="s">
        <v>87</v>
      </c>
      <c r="AO2" s="1372"/>
      <c r="AP2" s="1408" t="s">
        <v>81</v>
      </c>
      <c r="AQ2" s="1395" t="s">
        <v>82</v>
      </c>
      <c r="AR2" s="1395" t="s">
        <v>83</v>
      </c>
      <c r="AS2" s="1395" t="s">
        <v>84</v>
      </c>
      <c r="AT2" s="1395" t="s">
        <v>85</v>
      </c>
      <c r="AU2" s="1395" t="s">
        <v>86</v>
      </c>
      <c r="AV2" s="1395" t="s">
        <v>87</v>
      </c>
      <c r="AW2" s="1381" t="s">
        <v>88</v>
      </c>
      <c r="AX2" s="1381" t="s">
        <v>89</v>
      </c>
      <c r="AY2" s="1382" t="s">
        <v>90</v>
      </c>
      <c r="AZ2" s="1382" t="s">
        <v>91</v>
      </c>
      <c r="BA2" s="1375" t="s">
        <v>92</v>
      </c>
      <c r="BB2" s="1373" t="s">
        <v>82</v>
      </c>
      <c r="BC2" s="1373" t="s">
        <v>83</v>
      </c>
      <c r="BD2" s="1373" t="s">
        <v>84</v>
      </c>
      <c r="BE2" s="1373" t="s">
        <v>85</v>
      </c>
      <c r="BF2" s="1373" t="s">
        <v>86</v>
      </c>
      <c r="BG2" s="1373" t="s">
        <v>87</v>
      </c>
    </row>
    <row r="3" spans="1:59" ht="81.75" customHeight="1">
      <c r="A3" s="1461"/>
      <c r="B3" s="1426"/>
      <c r="C3" s="1424">
        <v>401</v>
      </c>
      <c r="D3" s="1463" t="s">
        <v>69</v>
      </c>
      <c r="E3" s="1463" t="s">
        <v>70</v>
      </c>
      <c r="F3" s="1464" t="s">
        <v>71</v>
      </c>
      <c r="G3" s="1430" t="s">
        <v>72</v>
      </c>
      <c r="H3" s="1430" t="s">
        <v>73</v>
      </c>
      <c r="I3" s="1430" t="s">
        <v>74</v>
      </c>
      <c r="J3" s="1430" t="s">
        <v>75</v>
      </c>
      <c r="K3" s="1430" t="s">
        <v>76</v>
      </c>
      <c r="L3" s="1431" t="s">
        <v>918</v>
      </c>
      <c r="M3" s="1465" t="s">
        <v>78</v>
      </c>
      <c r="N3" s="1465" t="s">
        <v>79</v>
      </c>
      <c r="O3" s="1466" t="s">
        <v>80</v>
      </c>
      <c r="P3" s="1431" t="s">
        <v>919</v>
      </c>
      <c r="Q3" s="1465" t="s">
        <v>78</v>
      </c>
      <c r="R3" s="1465" t="s">
        <v>79</v>
      </c>
      <c r="S3" s="1466" t="s">
        <v>80</v>
      </c>
      <c r="T3" s="1386"/>
      <c r="U3" s="1386" t="s">
        <v>920</v>
      </c>
      <c r="V3" s="1386" t="s">
        <v>921</v>
      </c>
      <c r="W3" s="1409"/>
      <c r="X3" s="1374" t="s">
        <v>668</v>
      </c>
      <c r="Y3" s="1395"/>
      <c r="Z3" s="1395"/>
      <c r="AA3" s="1395"/>
      <c r="AB3" s="1395"/>
      <c r="AC3" s="1395"/>
      <c r="AD3" s="1375"/>
      <c r="AE3" s="1375"/>
      <c r="AF3" s="1382" t="s">
        <v>95</v>
      </c>
      <c r="AG3" s="1382" t="s">
        <v>95</v>
      </c>
      <c r="AH3" s="1372"/>
      <c r="AI3" s="1372"/>
      <c r="AJ3" s="1372"/>
      <c r="AK3" s="1372"/>
      <c r="AL3" s="1372"/>
      <c r="AM3" s="1372"/>
      <c r="AN3" s="1372"/>
      <c r="AO3" s="1372"/>
      <c r="AP3" s="1409"/>
      <c r="AQ3" s="1374" t="s">
        <v>668</v>
      </c>
      <c r="AR3" s="1395"/>
      <c r="AS3" s="1395"/>
      <c r="AT3" s="1395"/>
      <c r="AU3" s="1395"/>
      <c r="AV3" s="1395"/>
      <c r="AW3" s="1375"/>
      <c r="AX3" s="1375"/>
      <c r="AY3" s="1382" t="s">
        <v>95</v>
      </c>
      <c r="AZ3" s="1382" t="s">
        <v>95</v>
      </c>
      <c r="BA3" s="1400"/>
      <c r="BB3" s="1372"/>
      <c r="BC3" s="1372"/>
      <c r="BD3" s="1372"/>
      <c r="BE3" s="1372"/>
      <c r="BF3" s="1372"/>
      <c r="BG3" s="1372"/>
    </row>
    <row r="4" spans="1:59">
      <c r="A4" s="1461"/>
      <c r="B4" s="1426"/>
      <c r="C4" s="1424">
        <v>662</v>
      </c>
      <c r="D4" s="1464"/>
      <c r="E4" s="1464"/>
      <c r="F4" s="1464" t="s">
        <v>72</v>
      </c>
      <c r="G4" s="1464"/>
      <c r="H4" s="1464"/>
      <c r="I4" s="1464"/>
      <c r="J4" s="1464"/>
      <c r="K4" s="1464"/>
      <c r="L4" s="1431" t="s">
        <v>340</v>
      </c>
      <c r="M4" s="1467"/>
      <c r="N4" s="1467"/>
      <c r="O4" s="1468"/>
      <c r="P4" s="1431" t="s">
        <v>340</v>
      </c>
      <c r="Q4" s="1467"/>
      <c r="R4" s="1467"/>
      <c r="S4" s="1468"/>
      <c r="T4" s="1386"/>
      <c r="U4" s="1386" t="s">
        <v>340</v>
      </c>
      <c r="V4" s="1386" t="s">
        <v>93</v>
      </c>
      <c r="W4" s="1409"/>
      <c r="X4" s="1399" t="s">
        <v>94</v>
      </c>
      <c r="Y4" s="1372"/>
      <c r="Z4" s="1372"/>
      <c r="AA4" s="1372"/>
      <c r="AB4" s="1372"/>
      <c r="AC4" s="1372"/>
      <c r="AD4" s="1372"/>
      <c r="AE4" s="1372"/>
      <c r="AF4" s="1376"/>
      <c r="AG4" s="1376"/>
      <c r="AH4" s="1376"/>
      <c r="AI4" s="1372"/>
      <c r="AJ4" s="1372"/>
      <c r="AK4" s="1372"/>
      <c r="AL4" s="1372"/>
      <c r="AM4" s="1372"/>
      <c r="AN4" s="1372"/>
      <c r="AO4" s="1372"/>
      <c r="AP4" s="1409"/>
      <c r="AQ4" s="1399" t="s">
        <v>94</v>
      </c>
      <c r="AR4" s="1400"/>
      <c r="AS4" s="1400"/>
      <c r="AT4" s="1400"/>
      <c r="AU4" s="1400"/>
      <c r="AV4" s="1400"/>
      <c r="AW4" s="1400"/>
      <c r="AX4" s="1400"/>
      <c r="AY4" s="1376"/>
      <c r="AZ4" s="1376"/>
      <c r="BA4" s="1376"/>
      <c r="BB4" s="1372"/>
      <c r="BC4" s="1372"/>
      <c r="BD4" s="1372"/>
      <c r="BE4" s="1372"/>
      <c r="BF4" s="1372"/>
      <c r="BG4" s="1372"/>
    </row>
    <row r="5" spans="1:59">
      <c r="A5" s="1461"/>
      <c r="B5" s="1426"/>
      <c r="C5" s="1424">
        <v>493</v>
      </c>
      <c r="D5" s="1464"/>
      <c r="E5" s="1464"/>
      <c r="F5" s="1464" t="s">
        <v>75</v>
      </c>
      <c r="G5" s="1464"/>
      <c r="H5" s="1464"/>
      <c r="I5" s="1464"/>
      <c r="J5" s="1464"/>
      <c r="K5" s="1464"/>
      <c r="L5" s="1431">
        <v>1</v>
      </c>
      <c r="M5" s="1467"/>
      <c r="N5" s="1467"/>
      <c r="O5" s="1468"/>
      <c r="P5" s="1431">
        <v>1</v>
      </c>
      <c r="Q5" s="1467"/>
      <c r="R5" s="1467"/>
      <c r="S5" s="1468"/>
      <c r="T5" s="1386"/>
      <c r="U5" s="1386">
        <v>1</v>
      </c>
      <c r="V5" s="1386">
        <v>1</v>
      </c>
      <c r="W5" s="1407"/>
      <c r="X5" s="1372"/>
      <c r="Y5" s="1372"/>
      <c r="Z5" s="1372"/>
      <c r="AA5" s="1372"/>
      <c r="AB5" s="1372"/>
      <c r="AC5" s="1372"/>
      <c r="AD5" s="1372"/>
      <c r="AE5" s="1372"/>
      <c r="AF5" s="1372"/>
      <c r="AG5" s="1372"/>
      <c r="AH5" s="1372"/>
      <c r="AI5" s="1372"/>
      <c r="AJ5" s="1372"/>
      <c r="AK5" s="1372"/>
      <c r="AL5" s="1372"/>
      <c r="AM5" s="1372"/>
      <c r="AN5" s="1372"/>
      <c r="AO5" s="1372"/>
      <c r="AP5" s="1407"/>
      <c r="AQ5" s="1400"/>
      <c r="AR5" s="1400"/>
      <c r="AS5" s="1400"/>
      <c r="AT5" s="1400"/>
      <c r="AU5" s="1400"/>
      <c r="AV5" s="1400"/>
      <c r="AW5" s="1400"/>
      <c r="AX5" s="1400"/>
      <c r="AY5" s="1400"/>
      <c r="AZ5" s="1400"/>
      <c r="BA5" s="1400"/>
      <c r="BB5" s="1372"/>
      <c r="BC5" s="1372"/>
      <c r="BD5" s="1372"/>
      <c r="BE5" s="1372"/>
      <c r="BF5" s="1372"/>
      <c r="BG5" s="1372"/>
    </row>
    <row r="6" spans="1:59">
      <c r="A6" s="1461"/>
      <c r="B6" s="1426"/>
      <c r="C6" s="1424">
        <v>403</v>
      </c>
      <c r="D6" s="1464"/>
      <c r="E6" s="1464"/>
      <c r="F6" s="1464" t="s">
        <v>76</v>
      </c>
      <c r="G6" s="1464"/>
      <c r="H6" s="1464"/>
      <c r="I6" s="1464"/>
      <c r="J6" s="1464"/>
      <c r="K6" s="1464"/>
      <c r="L6" s="1431" t="s">
        <v>144</v>
      </c>
      <c r="M6" s="1467"/>
      <c r="N6" s="1467"/>
      <c r="O6" s="1468"/>
      <c r="P6" s="1431" t="s">
        <v>144</v>
      </c>
      <c r="Q6" s="1467"/>
      <c r="R6" s="1467"/>
      <c r="S6" s="1468"/>
      <c r="T6" s="1386"/>
      <c r="U6" s="1386" t="s">
        <v>112</v>
      </c>
      <c r="V6" s="1386" t="s">
        <v>112</v>
      </c>
      <c r="W6" s="1407"/>
      <c r="X6" s="1377"/>
      <c r="Y6" s="1377"/>
      <c r="Z6" s="1377"/>
      <c r="AA6" s="1377"/>
      <c r="AB6" s="1377"/>
      <c r="AC6" s="1377"/>
      <c r="AD6" s="1372"/>
      <c r="AE6" s="1372"/>
      <c r="AF6" s="1403"/>
      <c r="AG6" s="1403"/>
      <c r="AH6" s="1376"/>
      <c r="AI6" s="1372"/>
      <c r="AJ6" s="1372"/>
      <c r="AK6" s="1372"/>
      <c r="AL6" s="1372"/>
      <c r="AM6" s="1372"/>
      <c r="AN6" s="1372"/>
      <c r="AO6" s="1372"/>
      <c r="AP6" s="1407"/>
      <c r="AQ6" s="1377"/>
      <c r="AR6" s="1377"/>
      <c r="AS6" s="1377"/>
      <c r="AT6" s="1377"/>
      <c r="AU6" s="1377"/>
      <c r="AV6" s="1377"/>
      <c r="AW6" s="1400"/>
      <c r="AX6" s="1400"/>
      <c r="AY6" s="1403"/>
      <c r="AZ6" s="1403"/>
      <c r="BA6" s="1376"/>
      <c r="BB6" s="1372"/>
      <c r="BC6" s="1372"/>
      <c r="BD6" s="1372"/>
      <c r="BE6" s="1372"/>
      <c r="BF6" s="1372"/>
      <c r="BG6" s="1372"/>
    </row>
    <row r="7" spans="1:59" ht="13.5" customHeight="1">
      <c r="A7" s="1470"/>
      <c r="B7" s="1435" t="s">
        <v>97</v>
      </c>
      <c r="C7" s="1434"/>
      <c r="D7" s="1475" t="s">
        <v>98</v>
      </c>
      <c r="E7" s="1437">
        <v>0</v>
      </c>
      <c r="F7" s="1438" t="s">
        <v>918</v>
      </c>
      <c r="G7" s="1439" t="s">
        <v>340</v>
      </c>
      <c r="H7" s="1438" t="s">
        <v>98</v>
      </c>
      <c r="I7" s="1438" t="s">
        <v>98</v>
      </c>
      <c r="J7" s="1440">
        <v>1</v>
      </c>
      <c r="K7" s="1439" t="s">
        <v>144</v>
      </c>
      <c r="L7" s="1439">
        <v>1</v>
      </c>
      <c r="M7" s="1476"/>
      <c r="N7" s="1477"/>
      <c r="O7" s="1478"/>
      <c r="P7" s="1439">
        <v>0</v>
      </c>
      <c r="Q7" s="1476"/>
      <c r="R7" s="1477"/>
      <c r="S7" s="1478"/>
      <c r="T7" s="1404"/>
      <c r="U7" s="1404" t="s">
        <v>91</v>
      </c>
      <c r="V7" s="1404"/>
      <c r="W7" s="1390"/>
      <c r="X7" s="1378">
        <v>1</v>
      </c>
      <c r="Y7" s="1378">
        <v>1</v>
      </c>
      <c r="Z7" s="1378">
        <v>1</v>
      </c>
      <c r="AA7" s="1378">
        <v>1</v>
      </c>
      <c r="AB7" s="1378">
        <v>1</v>
      </c>
      <c r="AC7" s="1378">
        <v>1</v>
      </c>
      <c r="AD7" s="1378">
        <v>45</v>
      </c>
      <c r="AE7" s="1380">
        <v>1</v>
      </c>
      <c r="AF7" s="1383">
        <v>1</v>
      </c>
      <c r="AG7" s="1383">
        <v>1</v>
      </c>
      <c r="AH7" s="1384" t="s">
        <v>3089</v>
      </c>
      <c r="AI7" s="1379">
        <v>1</v>
      </c>
      <c r="AJ7" s="1379">
        <v>1</v>
      </c>
      <c r="AK7" s="1379">
        <v>1</v>
      </c>
      <c r="AL7" s="1379">
        <v>1</v>
      </c>
      <c r="AM7" s="1379">
        <v>1</v>
      </c>
      <c r="AN7" s="1379">
        <v>1</v>
      </c>
      <c r="AO7" s="1372"/>
      <c r="AP7" s="1390"/>
      <c r="AQ7" s="1378">
        <v>1</v>
      </c>
      <c r="AR7" s="1378">
        <v>1</v>
      </c>
      <c r="AS7" s="1378">
        <v>1</v>
      </c>
      <c r="AT7" s="1378">
        <v>1</v>
      </c>
      <c r="AU7" s="1378">
        <v>1</v>
      </c>
      <c r="AV7" s="1378">
        <v>1</v>
      </c>
      <c r="AW7" s="1378">
        <v>45</v>
      </c>
      <c r="AX7" s="1380">
        <v>1</v>
      </c>
      <c r="AY7" s="1383">
        <v>1</v>
      </c>
      <c r="AZ7" s="1383">
        <v>1</v>
      </c>
      <c r="BA7" s="1384" t="s">
        <v>3089</v>
      </c>
      <c r="BB7" s="1379">
        <v>1</v>
      </c>
      <c r="BC7" s="1379">
        <v>1</v>
      </c>
      <c r="BD7" s="1379">
        <v>1</v>
      </c>
      <c r="BE7" s="1379">
        <v>1</v>
      </c>
      <c r="BF7" s="1379">
        <v>1</v>
      </c>
      <c r="BG7" s="1379">
        <v>1</v>
      </c>
    </row>
    <row r="8" spans="1:59" ht="13.5" customHeight="1">
      <c r="A8" s="1470"/>
      <c r="B8" s="1435"/>
      <c r="C8" s="1434"/>
      <c r="D8" s="1475" t="s">
        <v>98</v>
      </c>
      <c r="E8" s="1437">
        <v>0</v>
      </c>
      <c r="F8" s="1438" t="s">
        <v>919</v>
      </c>
      <c r="G8" s="1439" t="s">
        <v>340</v>
      </c>
      <c r="H8" s="1438" t="s">
        <v>98</v>
      </c>
      <c r="I8" s="1438" t="s">
        <v>98</v>
      </c>
      <c r="J8" s="1440">
        <v>1</v>
      </c>
      <c r="K8" s="1439" t="s">
        <v>144</v>
      </c>
      <c r="L8" s="1439">
        <v>0</v>
      </c>
      <c r="M8" s="1476"/>
      <c r="N8" s="1477"/>
      <c r="O8" s="1478"/>
      <c r="P8" s="1439">
        <v>1</v>
      </c>
      <c r="Q8" s="1476"/>
      <c r="R8" s="1477"/>
      <c r="S8" s="1478"/>
      <c r="T8" s="1404"/>
      <c r="U8" s="1404" t="s">
        <v>91</v>
      </c>
      <c r="V8" s="1404"/>
      <c r="W8" s="1390"/>
      <c r="X8" s="1378">
        <v>1</v>
      </c>
      <c r="Y8" s="1378">
        <v>1</v>
      </c>
      <c r="Z8" s="1378">
        <v>1</v>
      </c>
      <c r="AA8" s="1378">
        <v>1</v>
      </c>
      <c r="AB8" s="1378">
        <v>1</v>
      </c>
      <c r="AC8" s="1378">
        <v>1</v>
      </c>
      <c r="AD8" s="1378">
        <v>45</v>
      </c>
      <c r="AE8" s="1380">
        <v>1</v>
      </c>
      <c r="AF8" s="1383">
        <v>1</v>
      </c>
      <c r="AG8" s="1383">
        <v>1</v>
      </c>
      <c r="AH8" s="1384" t="s">
        <v>3089</v>
      </c>
      <c r="AI8" s="1379">
        <v>1</v>
      </c>
      <c r="AJ8" s="1379">
        <v>1</v>
      </c>
      <c r="AK8" s="1379">
        <v>1</v>
      </c>
      <c r="AL8" s="1379">
        <v>1</v>
      </c>
      <c r="AM8" s="1379">
        <v>1</v>
      </c>
      <c r="AN8" s="1379">
        <v>1</v>
      </c>
      <c r="AO8" s="1372"/>
      <c r="AP8" s="1390"/>
      <c r="AQ8" s="1378">
        <v>1</v>
      </c>
      <c r="AR8" s="1378">
        <v>1</v>
      </c>
      <c r="AS8" s="1378">
        <v>1</v>
      </c>
      <c r="AT8" s="1378">
        <v>1</v>
      </c>
      <c r="AU8" s="1378">
        <v>1</v>
      </c>
      <c r="AV8" s="1378">
        <v>1</v>
      </c>
      <c r="AW8" s="1378">
        <v>45</v>
      </c>
      <c r="AX8" s="1380">
        <v>1</v>
      </c>
      <c r="AY8" s="1383">
        <v>1</v>
      </c>
      <c r="AZ8" s="1383">
        <v>1</v>
      </c>
      <c r="BA8" s="1384" t="s">
        <v>3089</v>
      </c>
      <c r="BB8" s="1379">
        <v>1</v>
      </c>
      <c r="BC8" s="1379">
        <v>1</v>
      </c>
      <c r="BD8" s="1379">
        <v>1</v>
      </c>
      <c r="BE8" s="1379">
        <v>1</v>
      </c>
      <c r="BF8" s="1379">
        <v>1</v>
      </c>
      <c r="BG8" s="1379">
        <v>1</v>
      </c>
    </row>
    <row r="9" spans="1:59" ht="12.75" customHeight="1">
      <c r="A9" s="1432">
        <v>157719</v>
      </c>
      <c r="B9" s="1435" t="s">
        <v>582</v>
      </c>
      <c r="C9" s="1434"/>
      <c r="D9" s="1479">
        <v>5</v>
      </c>
      <c r="E9" s="1480" t="s">
        <v>98</v>
      </c>
      <c r="F9" s="1447" t="s">
        <v>922</v>
      </c>
      <c r="G9" s="1448" t="s">
        <v>93</v>
      </c>
      <c r="H9" s="1456" t="s">
        <v>98</v>
      </c>
      <c r="I9" s="1449" t="s">
        <v>98</v>
      </c>
      <c r="J9" s="1450">
        <v>0</v>
      </c>
      <c r="K9" s="1448" t="s">
        <v>96</v>
      </c>
      <c r="L9" s="1448">
        <v>190000</v>
      </c>
      <c r="M9" s="1481">
        <v>1</v>
      </c>
      <c r="N9" s="1482">
        <v>1.2620910621938648</v>
      </c>
      <c r="O9" s="1483" t="s">
        <v>3221</v>
      </c>
      <c r="P9" s="1448">
        <v>0</v>
      </c>
      <c r="Q9" s="1481">
        <v>1</v>
      </c>
      <c r="R9" s="1482">
        <v>1.02</v>
      </c>
      <c r="S9" s="1483" t="s">
        <v>3191</v>
      </c>
      <c r="T9" s="1405"/>
      <c r="U9" s="1405">
        <v>190000</v>
      </c>
      <c r="V9" s="1405"/>
      <c r="W9" s="1390" t="s">
        <v>923</v>
      </c>
      <c r="X9" s="1387">
        <v>3</v>
      </c>
      <c r="Y9" s="1387">
        <v>4</v>
      </c>
      <c r="Z9" s="1387">
        <v>1</v>
      </c>
      <c r="AA9" s="1387">
        <v>3</v>
      </c>
      <c r="AB9" s="1387">
        <v>1</v>
      </c>
      <c r="AC9" s="1398">
        <v>5</v>
      </c>
      <c r="AD9" s="1394">
        <v>3</v>
      </c>
      <c r="AE9" s="1380">
        <v>1.05</v>
      </c>
      <c r="AF9" s="1383">
        <v>1.2555818742947564</v>
      </c>
      <c r="AG9" s="1383">
        <v>1.2620910621938648</v>
      </c>
      <c r="AH9" s="1384" t="s">
        <v>3222</v>
      </c>
      <c r="AI9" s="1379">
        <v>1.1000000000000001</v>
      </c>
      <c r="AJ9" s="1379">
        <v>1.1000000000000001</v>
      </c>
      <c r="AK9" s="1379">
        <v>1</v>
      </c>
      <c r="AL9" s="1379">
        <v>1.02</v>
      </c>
      <c r="AM9" s="1379">
        <v>1</v>
      </c>
      <c r="AN9" s="1379">
        <v>1.2</v>
      </c>
      <c r="AO9" s="1372"/>
      <c r="AP9" s="1390"/>
      <c r="AQ9" s="1378">
        <v>1</v>
      </c>
      <c r="AR9" s="1378">
        <v>1</v>
      </c>
      <c r="AS9" s="1378">
        <v>1</v>
      </c>
      <c r="AT9" s="1378">
        <v>1</v>
      </c>
      <c r="AU9" s="1378">
        <v>1</v>
      </c>
      <c r="AV9" s="1378">
        <v>1</v>
      </c>
      <c r="AW9" s="1378">
        <v>7</v>
      </c>
      <c r="AX9" s="1380">
        <v>1.5</v>
      </c>
      <c r="AY9" s="1383">
        <v>1</v>
      </c>
      <c r="AZ9" s="1383">
        <v>1.5</v>
      </c>
      <c r="BA9" s="1384" t="s">
        <v>3089</v>
      </c>
      <c r="BB9" s="1379">
        <v>1</v>
      </c>
      <c r="BC9" s="1379">
        <v>1</v>
      </c>
      <c r="BD9" s="1379">
        <v>1</v>
      </c>
      <c r="BE9" s="1379">
        <v>1</v>
      </c>
      <c r="BF9" s="1379">
        <v>1</v>
      </c>
      <c r="BG9" s="1379">
        <v>1</v>
      </c>
    </row>
    <row r="10" spans="1:59" ht="12.75" customHeight="1">
      <c r="A10" s="1432">
        <v>266627</v>
      </c>
      <c r="B10" s="1435"/>
      <c r="C10" s="1434"/>
      <c r="D10" s="1484">
        <v>5</v>
      </c>
      <c r="E10" s="1485" t="s">
        <v>98</v>
      </c>
      <c r="F10" s="1415" t="s">
        <v>634</v>
      </c>
      <c r="G10" s="1416" t="s">
        <v>93</v>
      </c>
      <c r="H10" s="1417" t="s">
        <v>98</v>
      </c>
      <c r="I10" s="1418" t="s">
        <v>98</v>
      </c>
      <c r="J10" s="1419">
        <v>0</v>
      </c>
      <c r="K10" s="1416" t="s">
        <v>96</v>
      </c>
      <c r="L10" s="1416">
        <v>110000</v>
      </c>
      <c r="M10" s="1486">
        <v>1</v>
      </c>
      <c r="N10" s="1487">
        <v>1.2620910621938648</v>
      </c>
      <c r="O10" s="1488" t="s">
        <v>3221</v>
      </c>
      <c r="P10" s="1416">
        <v>0</v>
      </c>
      <c r="Q10" s="1486">
        <v>1</v>
      </c>
      <c r="R10" s="1487">
        <v>1.02</v>
      </c>
      <c r="S10" s="1488" t="s">
        <v>3191</v>
      </c>
      <c r="T10" s="1405"/>
      <c r="U10" s="1405">
        <v>110000</v>
      </c>
      <c r="V10" s="1405"/>
      <c r="W10" s="1390" t="s">
        <v>923</v>
      </c>
      <c r="X10" s="1387">
        <v>3</v>
      </c>
      <c r="Y10" s="1387">
        <v>4</v>
      </c>
      <c r="Z10" s="1387">
        <v>1</v>
      </c>
      <c r="AA10" s="1387">
        <v>3</v>
      </c>
      <c r="AB10" s="1387">
        <v>1</v>
      </c>
      <c r="AC10" s="1398">
        <v>5</v>
      </c>
      <c r="AD10" s="1394">
        <v>3</v>
      </c>
      <c r="AE10" s="1380">
        <v>1.05</v>
      </c>
      <c r="AF10" s="1383">
        <v>1.2555818742947564</v>
      </c>
      <c r="AG10" s="1383">
        <v>1.2620910621938648</v>
      </c>
      <c r="AH10" s="1384" t="s">
        <v>3222</v>
      </c>
      <c r="AI10" s="1379">
        <v>1.1000000000000001</v>
      </c>
      <c r="AJ10" s="1379">
        <v>1.1000000000000001</v>
      </c>
      <c r="AK10" s="1379">
        <v>1</v>
      </c>
      <c r="AL10" s="1379">
        <v>1.02</v>
      </c>
      <c r="AM10" s="1379">
        <v>1</v>
      </c>
      <c r="AN10" s="1379">
        <v>1.2</v>
      </c>
      <c r="AO10" s="1372"/>
      <c r="AP10" s="1390"/>
      <c r="AQ10" s="1378">
        <v>1</v>
      </c>
      <c r="AR10" s="1378">
        <v>1</v>
      </c>
      <c r="AS10" s="1378">
        <v>1</v>
      </c>
      <c r="AT10" s="1378">
        <v>1</v>
      </c>
      <c r="AU10" s="1378">
        <v>1</v>
      </c>
      <c r="AV10" s="1378">
        <v>1</v>
      </c>
      <c r="AW10" s="1378">
        <v>7</v>
      </c>
      <c r="AX10" s="1380">
        <v>1.5</v>
      </c>
      <c r="AY10" s="1383">
        <v>1</v>
      </c>
      <c r="AZ10" s="1383">
        <v>1.5</v>
      </c>
      <c r="BA10" s="1384" t="s">
        <v>3089</v>
      </c>
      <c r="BB10" s="1379">
        <v>1</v>
      </c>
      <c r="BC10" s="1379">
        <v>1</v>
      </c>
      <c r="BD10" s="1379">
        <v>1</v>
      </c>
      <c r="BE10" s="1379">
        <v>1</v>
      </c>
      <c r="BF10" s="1379">
        <v>1</v>
      </c>
      <c r="BG10" s="1379">
        <v>1</v>
      </c>
    </row>
    <row r="11" spans="1:59" ht="12.75" customHeight="1">
      <c r="A11" s="1432">
        <v>268947</v>
      </c>
      <c r="B11" s="1435"/>
      <c r="C11" s="1434"/>
      <c r="D11" s="1479">
        <v>5</v>
      </c>
      <c r="E11" s="1480" t="s">
        <v>98</v>
      </c>
      <c r="F11" s="1447" t="s">
        <v>924</v>
      </c>
      <c r="G11" s="1448" t="s">
        <v>93</v>
      </c>
      <c r="H11" s="1456" t="s">
        <v>98</v>
      </c>
      <c r="I11" s="1449" t="s">
        <v>98</v>
      </c>
      <c r="J11" s="1450">
        <v>0</v>
      </c>
      <c r="K11" s="1448" t="s">
        <v>96</v>
      </c>
      <c r="L11" s="1448">
        <v>506.00000000000006</v>
      </c>
      <c r="M11" s="1481">
        <v>1</v>
      </c>
      <c r="N11" s="1482">
        <v>1.2620910621938648</v>
      </c>
      <c r="O11" s="1483" t="s">
        <v>3221</v>
      </c>
      <c r="P11" s="1448">
        <v>0</v>
      </c>
      <c r="Q11" s="1481">
        <v>1</v>
      </c>
      <c r="R11" s="1482">
        <v>1.02</v>
      </c>
      <c r="S11" s="1483" t="s">
        <v>3191</v>
      </c>
      <c r="T11" s="1405"/>
      <c r="U11" s="1405">
        <v>506.00000000000006</v>
      </c>
      <c r="V11" s="1405"/>
      <c r="W11" s="1390" t="s">
        <v>923</v>
      </c>
      <c r="X11" s="1387">
        <v>3</v>
      </c>
      <c r="Y11" s="1387">
        <v>4</v>
      </c>
      <c r="Z11" s="1387">
        <v>1</v>
      </c>
      <c r="AA11" s="1387">
        <v>3</v>
      </c>
      <c r="AB11" s="1387">
        <v>1</v>
      </c>
      <c r="AC11" s="1398">
        <v>5</v>
      </c>
      <c r="AD11" s="1394">
        <v>3</v>
      </c>
      <c r="AE11" s="1380">
        <v>1.05</v>
      </c>
      <c r="AF11" s="1383">
        <v>1.2555818742947564</v>
      </c>
      <c r="AG11" s="1383">
        <v>1.2620910621938648</v>
      </c>
      <c r="AH11" s="1384" t="s">
        <v>3222</v>
      </c>
      <c r="AI11" s="1379">
        <v>1.1000000000000001</v>
      </c>
      <c r="AJ11" s="1379">
        <v>1.1000000000000001</v>
      </c>
      <c r="AK11" s="1379">
        <v>1</v>
      </c>
      <c r="AL11" s="1379">
        <v>1.02</v>
      </c>
      <c r="AM11" s="1379">
        <v>1</v>
      </c>
      <c r="AN11" s="1379">
        <v>1.2</v>
      </c>
      <c r="AO11" s="1372"/>
      <c r="AP11" s="1390"/>
      <c r="AQ11" s="1378">
        <v>1</v>
      </c>
      <c r="AR11" s="1378">
        <v>1</v>
      </c>
      <c r="AS11" s="1378">
        <v>1</v>
      </c>
      <c r="AT11" s="1378">
        <v>1</v>
      </c>
      <c r="AU11" s="1378">
        <v>1</v>
      </c>
      <c r="AV11" s="1378">
        <v>1</v>
      </c>
      <c r="AW11" s="1378">
        <v>7</v>
      </c>
      <c r="AX11" s="1380">
        <v>1.5</v>
      </c>
      <c r="AY11" s="1383">
        <v>1</v>
      </c>
      <c r="AZ11" s="1383">
        <v>1.5</v>
      </c>
      <c r="BA11" s="1384" t="s">
        <v>3089</v>
      </c>
      <c r="BB11" s="1379">
        <v>1</v>
      </c>
      <c r="BC11" s="1379">
        <v>1</v>
      </c>
      <c r="BD11" s="1379">
        <v>1</v>
      </c>
      <c r="BE11" s="1379">
        <v>1</v>
      </c>
      <c r="BF11" s="1379">
        <v>1</v>
      </c>
      <c r="BG11" s="1379">
        <v>1</v>
      </c>
    </row>
    <row r="12" spans="1:59" ht="12.75" customHeight="1">
      <c r="A12" s="1432">
        <v>269643</v>
      </c>
      <c r="B12" s="1472"/>
      <c r="C12" s="1473"/>
      <c r="D12" s="1442">
        <v>5</v>
      </c>
      <c r="E12" s="1441" t="s">
        <v>98</v>
      </c>
      <c r="F12" s="1415" t="s">
        <v>702</v>
      </c>
      <c r="G12" s="1416" t="s">
        <v>103</v>
      </c>
      <c r="H12" s="1417" t="s">
        <v>98</v>
      </c>
      <c r="I12" s="1418" t="s">
        <v>98</v>
      </c>
      <c r="J12" s="1419">
        <v>0</v>
      </c>
      <c r="K12" s="1416" t="s">
        <v>119</v>
      </c>
      <c r="L12" s="1416">
        <v>1800</v>
      </c>
      <c r="M12" s="1486">
        <v>1</v>
      </c>
      <c r="N12" s="1487">
        <v>1.2620910621938648</v>
      </c>
      <c r="O12" s="1488" t="s">
        <v>3221</v>
      </c>
      <c r="P12" s="1416">
        <v>0</v>
      </c>
      <c r="Q12" s="1486">
        <v>1</v>
      </c>
      <c r="R12" s="1487">
        <v>1.02</v>
      </c>
      <c r="S12" s="1488" t="s">
        <v>3191</v>
      </c>
      <c r="T12" s="1405"/>
      <c r="U12" s="1405">
        <v>1800</v>
      </c>
      <c r="V12" s="1405"/>
      <c r="W12" s="1390" t="s">
        <v>923</v>
      </c>
      <c r="X12" s="1387">
        <v>3</v>
      </c>
      <c r="Y12" s="1387">
        <v>4</v>
      </c>
      <c r="Z12" s="1387">
        <v>1</v>
      </c>
      <c r="AA12" s="1387">
        <v>3</v>
      </c>
      <c r="AB12" s="1387">
        <v>1</v>
      </c>
      <c r="AC12" s="1398">
        <v>5</v>
      </c>
      <c r="AD12" s="1394">
        <v>3</v>
      </c>
      <c r="AE12" s="1380">
        <v>1.05</v>
      </c>
      <c r="AF12" s="1383">
        <v>1.2555818742947564</v>
      </c>
      <c r="AG12" s="1383">
        <v>1.2620910621938648</v>
      </c>
      <c r="AH12" s="1384" t="s">
        <v>3222</v>
      </c>
      <c r="AI12" s="1379">
        <v>1.1000000000000001</v>
      </c>
      <c r="AJ12" s="1379">
        <v>1.1000000000000001</v>
      </c>
      <c r="AK12" s="1379">
        <v>1</v>
      </c>
      <c r="AL12" s="1379">
        <v>1.02</v>
      </c>
      <c r="AM12" s="1379">
        <v>1</v>
      </c>
      <c r="AN12" s="1379">
        <v>1.2</v>
      </c>
      <c r="AO12" s="1372"/>
      <c r="AP12" s="1390"/>
      <c r="AQ12" s="1378">
        <v>1</v>
      </c>
      <c r="AR12" s="1378">
        <v>1</v>
      </c>
      <c r="AS12" s="1378">
        <v>1</v>
      </c>
      <c r="AT12" s="1378">
        <v>1</v>
      </c>
      <c r="AU12" s="1378">
        <v>1</v>
      </c>
      <c r="AV12" s="1378">
        <v>1</v>
      </c>
      <c r="AW12" s="1378">
        <v>7</v>
      </c>
      <c r="AX12" s="1380">
        <v>1.5</v>
      </c>
      <c r="AY12" s="1383">
        <v>1</v>
      </c>
      <c r="AZ12" s="1383">
        <v>1.5</v>
      </c>
      <c r="BA12" s="1384" t="s">
        <v>3089</v>
      </c>
      <c r="BB12" s="1379">
        <v>1</v>
      </c>
      <c r="BC12" s="1379">
        <v>1</v>
      </c>
      <c r="BD12" s="1379">
        <v>1</v>
      </c>
      <c r="BE12" s="1379">
        <v>1</v>
      </c>
      <c r="BF12" s="1379">
        <v>1</v>
      </c>
      <c r="BG12" s="1379">
        <v>1</v>
      </c>
    </row>
    <row r="13" spans="1:59" ht="24" customHeight="1">
      <c r="A13" s="1432">
        <v>264499</v>
      </c>
      <c r="B13" s="1472"/>
      <c r="C13" s="1473"/>
      <c r="D13" s="1446">
        <v>5</v>
      </c>
      <c r="E13" s="1445" t="s">
        <v>98</v>
      </c>
      <c r="F13" s="1447" t="s">
        <v>510</v>
      </c>
      <c r="G13" s="1448" t="s">
        <v>93</v>
      </c>
      <c r="H13" s="1456" t="s">
        <v>98</v>
      </c>
      <c r="I13" s="1449" t="s">
        <v>98</v>
      </c>
      <c r="J13" s="1450">
        <v>1</v>
      </c>
      <c r="K13" s="1448" t="s">
        <v>96</v>
      </c>
      <c r="L13" s="1448">
        <v>10000</v>
      </c>
      <c r="M13" s="1481">
        <v>1</v>
      </c>
      <c r="N13" s="1482">
        <v>3.0708070945678916</v>
      </c>
      <c r="O13" s="1483" t="s">
        <v>3223</v>
      </c>
      <c r="P13" s="1448">
        <v>2478000</v>
      </c>
      <c r="Q13" s="1481">
        <v>1</v>
      </c>
      <c r="R13" s="1482">
        <v>1.02</v>
      </c>
      <c r="S13" s="1483" t="s">
        <v>3224</v>
      </c>
      <c r="T13" s="1405"/>
      <c r="U13" s="1405"/>
      <c r="V13" s="1405"/>
      <c r="W13" s="1390" t="s">
        <v>925</v>
      </c>
      <c r="X13" s="1387">
        <v>3</v>
      </c>
      <c r="Y13" s="1387">
        <v>4</v>
      </c>
      <c r="Z13" s="1387">
        <v>1</v>
      </c>
      <c r="AA13" s="1387">
        <v>3</v>
      </c>
      <c r="AB13" s="1387">
        <v>1</v>
      </c>
      <c r="AC13" s="1398">
        <v>5</v>
      </c>
      <c r="AD13" s="1394">
        <v>9</v>
      </c>
      <c r="AE13" s="1380">
        <v>3</v>
      </c>
      <c r="AF13" s="1383">
        <v>1.2555818742947564</v>
      </c>
      <c r="AG13" s="1383">
        <v>3.0708070945678916</v>
      </c>
      <c r="AH13" s="1384" t="s">
        <v>3222</v>
      </c>
      <c r="AI13" s="1379">
        <v>1.1000000000000001</v>
      </c>
      <c r="AJ13" s="1379">
        <v>1.1000000000000001</v>
      </c>
      <c r="AK13" s="1379">
        <v>1</v>
      </c>
      <c r="AL13" s="1379">
        <v>1.02</v>
      </c>
      <c r="AM13" s="1379">
        <v>1</v>
      </c>
      <c r="AN13" s="1379">
        <v>1.2</v>
      </c>
      <c r="AO13" s="1372"/>
      <c r="AP13" s="1396" t="s">
        <v>926</v>
      </c>
      <c r="AQ13" s="1387">
        <v>2</v>
      </c>
      <c r="AR13" s="1387">
        <v>4</v>
      </c>
      <c r="AS13" s="1387">
        <v>1</v>
      </c>
      <c r="AT13" s="1387">
        <v>3</v>
      </c>
      <c r="AU13" s="1387">
        <v>4</v>
      </c>
      <c r="AV13" s="1387">
        <v>5</v>
      </c>
      <c r="AW13" s="1378">
        <v>7</v>
      </c>
      <c r="AX13" s="1380">
        <v>1.5</v>
      </c>
      <c r="AY13" s="1383">
        <v>1.5804528752110836</v>
      </c>
      <c r="AZ13" s="1383">
        <v>1.8431480935485498</v>
      </c>
      <c r="BA13" s="1384" t="s">
        <v>3225</v>
      </c>
      <c r="BB13" s="1379">
        <v>1.05</v>
      </c>
      <c r="BC13" s="1379">
        <v>1.1000000000000001</v>
      </c>
      <c r="BD13" s="1379">
        <v>1</v>
      </c>
      <c r="BE13" s="1379">
        <v>1.02</v>
      </c>
      <c r="BF13" s="1379">
        <v>1.5</v>
      </c>
      <c r="BG13" s="1379">
        <v>1.2</v>
      </c>
    </row>
    <row r="14" spans="1:59" s="401" customFormat="1" ht="12.75" customHeight="1">
      <c r="A14" s="1432">
        <v>257118</v>
      </c>
      <c r="B14" s="1433"/>
      <c r="C14" s="1411"/>
      <c r="D14" s="1413">
        <v>5</v>
      </c>
      <c r="E14" s="1414" t="s">
        <v>98</v>
      </c>
      <c r="F14" s="1415" t="s">
        <v>717</v>
      </c>
      <c r="G14" s="1416" t="s">
        <v>103</v>
      </c>
      <c r="H14" s="1417" t="s">
        <v>98</v>
      </c>
      <c r="I14" s="1418" t="s">
        <v>98</v>
      </c>
      <c r="J14" s="1419">
        <v>1</v>
      </c>
      <c r="K14" s="1416" t="s">
        <v>168</v>
      </c>
      <c r="L14" s="1416">
        <v>0</v>
      </c>
      <c r="M14" s="1420">
        <v>1</v>
      </c>
      <c r="N14" s="1421">
        <v>3.0708070945678916</v>
      </c>
      <c r="O14" s="1422" t="s">
        <v>3196</v>
      </c>
      <c r="P14" s="1416">
        <v>0.83000000000000007</v>
      </c>
      <c r="Q14" s="1420">
        <v>1</v>
      </c>
      <c r="R14" s="1421">
        <v>3.0616345979734279</v>
      </c>
      <c r="S14" s="1422" t="s">
        <v>3193</v>
      </c>
      <c r="T14" s="1401"/>
      <c r="U14" s="1402"/>
      <c r="V14" s="1402"/>
      <c r="W14" s="1388"/>
      <c r="X14" s="1387">
        <v>3</v>
      </c>
      <c r="Y14" s="1387">
        <v>4</v>
      </c>
      <c r="Z14" s="1387">
        <v>1</v>
      </c>
      <c r="AA14" s="1387">
        <v>3</v>
      </c>
      <c r="AB14" s="1387">
        <v>1</v>
      </c>
      <c r="AC14" s="1398">
        <v>5</v>
      </c>
      <c r="AD14" s="1394">
        <v>9</v>
      </c>
      <c r="AE14" s="1380">
        <v>3</v>
      </c>
      <c r="AF14" s="1391">
        <v>1.2555818742947564</v>
      </c>
      <c r="AG14" s="1391">
        <v>3.0708070945678916</v>
      </c>
      <c r="AH14" s="1392" t="s">
        <v>3222</v>
      </c>
      <c r="AI14" s="1389">
        <v>1.1000000000000001</v>
      </c>
      <c r="AJ14" s="1389">
        <v>1.1000000000000001</v>
      </c>
      <c r="AK14" s="1389">
        <v>1</v>
      </c>
      <c r="AL14" s="1389">
        <v>1.02</v>
      </c>
      <c r="AM14" s="1389">
        <v>1</v>
      </c>
      <c r="AN14" s="1389">
        <v>1.2</v>
      </c>
      <c r="AO14" s="1401"/>
      <c r="AP14" s="1396" t="s">
        <v>673</v>
      </c>
      <c r="AQ14" s="1387">
        <v>2</v>
      </c>
      <c r="AR14" s="1387">
        <v>4</v>
      </c>
      <c r="AS14" s="1387">
        <v>1</v>
      </c>
      <c r="AT14" s="1387">
        <v>3</v>
      </c>
      <c r="AU14" s="1387">
        <v>1</v>
      </c>
      <c r="AV14" s="1387">
        <v>5</v>
      </c>
      <c r="AW14" s="1394">
        <v>9</v>
      </c>
      <c r="AX14" s="1380">
        <v>3</v>
      </c>
      <c r="AY14" s="1391">
        <v>1.2365959919080913</v>
      </c>
      <c r="AZ14" s="1391">
        <v>3.0616345979734279</v>
      </c>
      <c r="BA14" s="1392" t="s">
        <v>3226</v>
      </c>
      <c r="BB14" s="1389">
        <v>1.05</v>
      </c>
      <c r="BC14" s="1389">
        <v>1.1000000000000001</v>
      </c>
      <c r="BD14" s="1389">
        <v>1</v>
      </c>
      <c r="BE14" s="1389">
        <v>1.02</v>
      </c>
      <c r="BF14" s="1389">
        <v>1</v>
      </c>
      <c r="BG14" s="1389">
        <v>1.2</v>
      </c>
    </row>
    <row r="15" spans="1:59" s="401" customFormat="1" ht="12.75" customHeight="1">
      <c r="A15" s="1410">
        <v>268743</v>
      </c>
      <c r="B15" s="1412" t="s">
        <v>671</v>
      </c>
      <c r="C15" s="1411"/>
      <c r="D15" s="1454">
        <v>5</v>
      </c>
      <c r="E15" s="1455" t="s">
        <v>98</v>
      </c>
      <c r="F15" s="1447" t="s">
        <v>672</v>
      </c>
      <c r="G15" s="1448" t="s">
        <v>103</v>
      </c>
      <c r="H15" s="1456" t="s">
        <v>98</v>
      </c>
      <c r="I15" s="1449" t="s">
        <v>98</v>
      </c>
      <c r="J15" s="1450">
        <v>0</v>
      </c>
      <c r="K15" s="1448" t="s">
        <v>96</v>
      </c>
      <c r="L15" s="1448">
        <v>0</v>
      </c>
      <c r="M15" s="1451">
        <v>1</v>
      </c>
      <c r="N15" s="1452">
        <v>1.2620910621938648</v>
      </c>
      <c r="O15" s="1453" t="s">
        <v>3196</v>
      </c>
      <c r="P15" s="1448">
        <v>12588840</v>
      </c>
      <c r="Q15" s="1451">
        <v>1</v>
      </c>
      <c r="R15" s="1452">
        <v>1.2434566510799234</v>
      </c>
      <c r="S15" s="1453" t="s">
        <v>3193</v>
      </c>
      <c r="T15" s="1401"/>
      <c r="U15" s="1402"/>
      <c r="V15" s="1402"/>
      <c r="W15" s="1396"/>
      <c r="X15" s="1387">
        <v>3</v>
      </c>
      <c r="Y15" s="1387">
        <v>4</v>
      </c>
      <c r="Z15" s="1387">
        <v>1</v>
      </c>
      <c r="AA15" s="1387">
        <v>3</v>
      </c>
      <c r="AB15" s="1387">
        <v>1</v>
      </c>
      <c r="AC15" s="1398">
        <v>5</v>
      </c>
      <c r="AD15" s="1394">
        <v>3</v>
      </c>
      <c r="AE15" s="1380">
        <v>1.05</v>
      </c>
      <c r="AF15" s="1391">
        <v>1.2555818742947564</v>
      </c>
      <c r="AG15" s="1391">
        <v>1.2620910621938648</v>
      </c>
      <c r="AH15" s="1392" t="s">
        <v>3222</v>
      </c>
      <c r="AI15" s="1389">
        <v>1.1000000000000001</v>
      </c>
      <c r="AJ15" s="1389">
        <v>1.1000000000000001</v>
      </c>
      <c r="AK15" s="1389">
        <v>1</v>
      </c>
      <c r="AL15" s="1389">
        <v>1.02</v>
      </c>
      <c r="AM15" s="1389">
        <v>1</v>
      </c>
      <c r="AN15" s="1389">
        <v>1.2</v>
      </c>
      <c r="AO15" s="1401"/>
      <c r="AP15" s="1396" t="s">
        <v>673</v>
      </c>
      <c r="AQ15" s="1387">
        <v>2</v>
      </c>
      <c r="AR15" s="1387">
        <v>4</v>
      </c>
      <c r="AS15" s="1387">
        <v>1</v>
      </c>
      <c r="AT15" s="1387">
        <v>3</v>
      </c>
      <c r="AU15" s="1387">
        <v>1</v>
      </c>
      <c r="AV15" s="1387">
        <v>5</v>
      </c>
      <c r="AW15" s="1394">
        <v>3</v>
      </c>
      <c r="AX15" s="1380">
        <v>1.05</v>
      </c>
      <c r="AY15" s="1391">
        <v>1.2365959919080913</v>
      </c>
      <c r="AZ15" s="1391">
        <v>1.2434566510799234</v>
      </c>
      <c r="BA15" s="1392" t="s">
        <v>3226</v>
      </c>
      <c r="BB15" s="1389">
        <v>1.05</v>
      </c>
      <c r="BC15" s="1389">
        <v>1.1000000000000001</v>
      </c>
      <c r="BD15" s="1389">
        <v>1</v>
      </c>
      <c r="BE15" s="1389">
        <v>1.02</v>
      </c>
      <c r="BF15" s="1389">
        <v>1</v>
      </c>
      <c r="BG15" s="1389">
        <v>1.2</v>
      </c>
    </row>
    <row r="16" spans="1:59" s="401" customFormat="1" ht="12.75" customHeight="1">
      <c r="A16" s="1410">
        <v>269089</v>
      </c>
      <c r="B16" s="1412" t="s">
        <v>674</v>
      </c>
      <c r="C16" s="1411"/>
      <c r="D16" s="1413">
        <v>5</v>
      </c>
      <c r="E16" s="1414" t="s">
        <v>98</v>
      </c>
      <c r="F16" s="1415" t="s">
        <v>675</v>
      </c>
      <c r="G16" s="1416" t="s">
        <v>93</v>
      </c>
      <c r="H16" s="1417" t="s">
        <v>98</v>
      </c>
      <c r="I16" s="1418" t="s">
        <v>98</v>
      </c>
      <c r="J16" s="1419">
        <v>0</v>
      </c>
      <c r="K16" s="1416" t="s">
        <v>96</v>
      </c>
      <c r="L16" s="1416">
        <v>0</v>
      </c>
      <c r="M16" s="1420">
        <v>1</v>
      </c>
      <c r="N16" s="1421">
        <v>1.2620910621938648</v>
      </c>
      <c r="O16" s="1422" t="s">
        <v>3196</v>
      </c>
      <c r="P16" s="1416">
        <v>9410.9</v>
      </c>
      <c r="Q16" s="1420">
        <v>1</v>
      </c>
      <c r="R16" s="1421">
        <v>1.3276635867218565</v>
      </c>
      <c r="S16" s="1422" t="s">
        <v>3227</v>
      </c>
      <c r="T16" s="1401"/>
      <c r="U16" s="1402"/>
      <c r="V16" s="1402"/>
      <c r="W16" s="1396"/>
      <c r="X16" s="1387">
        <v>3</v>
      </c>
      <c r="Y16" s="1387">
        <v>4</v>
      </c>
      <c r="Z16" s="1387">
        <v>1</v>
      </c>
      <c r="AA16" s="1387">
        <v>3</v>
      </c>
      <c r="AB16" s="1387">
        <v>1</v>
      </c>
      <c r="AC16" s="1398">
        <v>5</v>
      </c>
      <c r="AD16" s="1394">
        <v>3</v>
      </c>
      <c r="AE16" s="1380">
        <v>1.05</v>
      </c>
      <c r="AF16" s="1391">
        <v>1.2555818742947564</v>
      </c>
      <c r="AG16" s="1391">
        <v>1.2620910621938648</v>
      </c>
      <c r="AH16" s="1392" t="s">
        <v>3222</v>
      </c>
      <c r="AI16" s="1389">
        <v>1.1000000000000001</v>
      </c>
      <c r="AJ16" s="1389">
        <v>1.1000000000000001</v>
      </c>
      <c r="AK16" s="1389">
        <v>1</v>
      </c>
      <c r="AL16" s="1389">
        <v>1.02</v>
      </c>
      <c r="AM16" s="1389">
        <v>1</v>
      </c>
      <c r="AN16" s="1389">
        <v>1.2</v>
      </c>
      <c r="AO16" s="1401"/>
      <c r="AP16" s="1396" t="s">
        <v>676</v>
      </c>
      <c r="AQ16" s="1387">
        <v>2</v>
      </c>
      <c r="AR16" s="1387">
        <v>4</v>
      </c>
      <c r="AS16" s="1387">
        <v>1</v>
      </c>
      <c r="AT16" s="1387">
        <v>1</v>
      </c>
      <c r="AU16" s="1387">
        <v>3</v>
      </c>
      <c r="AV16" s="1387">
        <v>5</v>
      </c>
      <c r="AW16" s="1394">
        <v>3</v>
      </c>
      <c r="AX16" s="1380">
        <v>1.05</v>
      </c>
      <c r="AY16" s="1391">
        <v>1.3220579299510793</v>
      </c>
      <c r="AZ16" s="1391">
        <v>1.3276635867218565</v>
      </c>
      <c r="BA16" s="1392" t="s">
        <v>3228</v>
      </c>
      <c r="BB16" s="1389">
        <v>1.05</v>
      </c>
      <c r="BC16" s="1389">
        <v>1.1000000000000001</v>
      </c>
      <c r="BD16" s="1389">
        <v>1</v>
      </c>
      <c r="BE16" s="1389">
        <v>1</v>
      </c>
      <c r="BF16" s="1389">
        <v>1.2</v>
      </c>
      <c r="BG16" s="1389">
        <v>1.2</v>
      </c>
    </row>
    <row r="17" spans="1:59" s="401" customFormat="1" ht="24" customHeight="1">
      <c r="A17" s="1410">
        <v>263015</v>
      </c>
      <c r="B17" s="1433"/>
      <c r="C17" s="1411"/>
      <c r="D17" s="1454">
        <v>5</v>
      </c>
      <c r="E17" s="1455" t="s">
        <v>98</v>
      </c>
      <c r="F17" s="1447" t="s">
        <v>677</v>
      </c>
      <c r="G17" s="1448" t="s">
        <v>103</v>
      </c>
      <c r="H17" s="1456" t="s">
        <v>98</v>
      </c>
      <c r="I17" s="1449" t="s">
        <v>98</v>
      </c>
      <c r="J17" s="1450">
        <v>0</v>
      </c>
      <c r="K17" s="1448" t="s">
        <v>96</v>
      </c>
      <c r="L17" s="1448">
        <v>0</v>
      </c>
      <c r="M17" s="1451">
        <v>1</v>
      </c>
      <c r="N17" s="1452">
        <v>1.2620910621938648</v>
      </c>
      <c r="O17" s="1453" t="s">
        <v>3196</v>
      </c>
      <c r="P17" s="1448">
        <v>57057.599999999999</v>
      </c>
      <c r="Q17" s="1451">
        <v>1</v>
      </c>
      <c r="R17" s="1452">
        <v>1.2434566510799234</v>
      </c>
      <c r="S17" s="1453" t="s">
        <v>3193</v>
      </c>
      <c r="T17" s="1401"/>
      <c r="U17" s="1402"/>
      <c r="V17" s="1402"/>
      <c r="W17" s="1388"/>
      <c r="X17" s="1387">
        <v>3</v>
      </c>
      <c r="Y17" s="1387">
        <v>4</v>
      </c>
      <c r="Z17" s="1387">
        <v>1</v>
      </c>
      <c r="AA17" s="1387">
        <v>3</v>
      </c>
      <c r="AB17" s="1387">
        <v>1</v>
      </c>
      <c r="AC17" s="1398">
        <v>5</v>
      </c>
      <c r="AD17" s="1394">
        <v>3</v>
      </c>
      <c r="AE17" s="1380">
        <v>1.05</v>
      </c>
      <c r="AF17" s="1391">
        <v>1.2555818742947564</v>
      </c>
      <c r="AG17" s="1391">
        <v>1.2620910621938648</v>
      </c>
      <c r="AH17" s="1392" t="s">
        <v>3222</v>
      </c>
      <c r="AI17" s="1389">
        <v>1.1000000000000001</v>
      </c>
      <c r="AJ17" s="1389">
        <v>1.1000000000000001</v>
      </c>
      <c r="AK17" s="1389">
        <v>1</v>
      </c>
      <c r="AL17" s="1389">
        <v>1.02</v>
      </c>
      <c r="AM17" s="1389">
        <v>1</v>
      </c>
      <c r="AN17" s="1389">
        <v>1.2</v>
      </c>
      <c r="AO17" s="1401"/>
      <c r="AP17" s="1388" t="s">
        <v>673</v>
      </c>
      <c r="AQ17" s="1387">
        <v>2</v>
      </c>
      <c r="AR17" s="1387">
        <v>4</v>
      </c>
      <c r="AS17" s="1387">
        <v>1</v>
      </c>
      <c r="AT17" s="1387">
        <v>3</v>
      </c>
      <c r="AU17" s="1387">
        <v>1</v>
      </c>
      <c r="AV17" s="1387">
        <v>5</v>
      </c>
      <c r="AW17" s="1394">
        <v>3</v>
      </c>
      <c r="AX17" s="1380">
        <v>1.05</v>
      </c>
      <c r="AY17" s="1391">
        <v>1.2365959919080913</v>
      </c>
      <c r="AZ17" s="1391">
        <v>1.2434566510799234</v>
      </c>
      <c r="BA17" s="1392" t="s">
        <v>3226</v>
      </c>
      <c r="BB17" s="1389">
        <v>1.05</v>
      </c>
      <c r="BC17" s="1389">
        <v>1.1000000000000001</v>
      </c>
      <c r="BD17" s="1389">
        <v>1</v>
      </c>
      <c r="BE17" s="1389">
        <v>1.02</v>
      </c>
      <c r="BF17" s="1389">
        <v>1</v>
      </c>
      <c r="BG17" s="1389">
        <v>1.2</v>
      </c>
    </row>
    <row r="18" spans="1:59" s="401" customFormat="1" ht="12.75" customHeight="1">
      <c r="A18" s="1410">
        <v>268459</v>
      </c>
      <c r="B18" s="1433"/>
      <c r="C18" s="1411"/>
      <c r="D18" s="1413">
        <v>5</v>
      </c>
      <c r="E18" s="1414" t="s">
        <v>98</v>
      </c>
      <c r="F18" s="1415" t="s">
        <v>678</v>
      </c>
      <c r="G18" s="1416" t="s">
        <v>93</v>
      </c>
      <c r="H18" s="1417" t="s">
        <v>98</v>
      </c>
      <c r="I18" s="1418" t="s">
        <v>98</v>
      </c>
      <c r="J18" s="1419">
        <v>0</v>
      </c>
      <c r="K18" s="1416" t="s">
        <v>679</v>
      </c>
      <c r="L18" s="1416">
        <v>0</v>
      </c>
      <c r="M18" s="1420">
        <v>1</v>
      </c>
      <c r="N18" s="1421">
        <v>1.2620910621938648</v>
      </c>
      <c r="O18" s="1422" t="s">
        <v>3196</v>
      </c>
      <c r="P18" s="1416">
        <v>40800</v>
      </c>
      <c r="Q18" s="1420">
        <v>1</v>
      </c>
      <c r="R18" s="1421">
        <v>1.2434566510799234</v>
      </c>
      <c r="S18" s="1422" t="s">
        <v>3198</v>
      </c>
      <c r="T18" s="1401"/>
      <c r="U18" s="1402"/>
      <c r="V18" s="1402"/>
      <c r="W18" s="1396"/>
      <c r="X18" s="1387">
        <v>3</v>
      </c>
      <c r="Y18" s="1387">
        <v>4</v>
      </c>
      <c r="Z18" s="1387">
        <v>1</v>
      </c>
      <c r="AA18" s="1387">
        <v>3</v>
      </c>
      <c r="AB18" s="1387">
        <v>1</v>
      </c>
      <c r="AC18" s="1398">
        <v>5</v>
      </c>
      <c r="AD18" s="1394">
        <v>3</v>
      </c>
      <c r="AE18" s="1380">
        <v>1.05</v>
      </c>
      <c r="AF18" s="1391">
        <v>1.2555818742947564</v>
      </c>
      <c r="AG18" s="1391">
        <v>1.2620910621938648</v>
      </c>
      <c r="AH18" s="1392" t="s">
        <v>3222</v>
      </c>
      <c r="AI18" s="1389">
        <v>1.1000000000000001</v>
      </c>
      <c r="AJ18" s="1389">
        <v>1.1000000000000001</v>
      </c>
      <c r="AK18" s="1389">
        <v>1</v>
      </c>
      <c r="AL18" s="1389">
        <v>1.02</v>
      </c>
      <c r="AM18" s="1389">
        <v>1</v>
      </c>
      <c r="AN18" s="1389">
        <v>1.2</v>
      </c>
      <c r="AO18" s="1401"/>
      <c r="AP18" s="1396" t="s">
        <v>680</v>
      </c>
      <c r="AQ18" s="1387">
        <v>2</v>
      </c>
      <c r="AR18" s="1387">
        <v>4</v>
      </c>
      <c r="AS18" s="1387">
        <v>1</v>
      </c>
      <c r="AT18" s="1387">
        <v>3</v>
      </c>
      <c r="AU18" s="1387">
        <v>1</v>
      </c>
      <c r="AV18" s="1387">
        <v>5</v>
      </c>
      <c r="AW18" s="1394">
        <v>3</v>
      </c>
      <c r="AX18" s="1380">
        <v>1.05</v>
      </c>
      <c r="AY18" s="1391">
        <v>1.2365959919080913</v>
      </c>
      <c r="AZ18" s="1391">
        <v>1.2434566510799234</v>
      </c>
      <c r="BA18" s="1392" t="s">
        <v>3226</v>
      </c>
      <c r="BB18" s="1389">
        <v>1.05</v>
      </c>
      <c r="BC18" s="1389">
        <v>1.1000000000000001</v>
      </c>
      <c r="BD18" s="1389">
        <v>1</v>
      </c>
      <c r="BE18" s="1389">
        <v>1.02</v>
      </c>
      <c r="BF18" s="1389">
        <v>1</v>
      </c>
      <c r="BG18" s="1389">
        <v>1.2</v>
      </c>
    </row>
    <row r="19" spans="1:59" s="401" customFormat="1" ht="12.75" customHeight="1">
      <c r="A19" s="1410">
        <v>269423</v>
      </c>
      <c r="B19" s="1433"/>
      <c r="C19" s="1411"/>
      <c r="D19" s="1454">
        <v>5</v>
      </c>
      <c r="E19" s="1455" t="s">
        <v>98</v>
      </c>
      <c r="F19" s="1447" t="s">
        <v>681</v>
      </c>
      <c r="G19" s="1448" t="s">
        <v>93</v>
      </c>
      <c r="H19" s="1456" t="s">
        <v>98</v>
      </c>
      <c r="I19" s="1449" t="s">
        <v>98</v>
      </c>
      <c r="J19" s="1450">
        <v>0</v>
      </c>
      <c r="K19" s="1448" t="s">
        <v>96</v>
      </c>
      <c r="L19" s="1448">
        <v>0</v>
      </c>
      <c r="M19" s="1451">
        <v>1</v>
      </c>
      <c r="N19" s="1452">
        <v>1.2620910621938648</v>
      </c>
      <c r="O19" s="1453" t="s">
        <v>3196</v>
      </c>
      <c r="P19" s="1448">
        <v>9410.9</v>
      </c>
      <c r="Q19" s="1451">
        <v>1</v>
      </c>
      <c r="R19" s="1452">
        <v>1.2434566510799234</v>
      </c>
      <c r="S19" s="1453" t="s">
        <v>3198</v>
      </c>
      <c r="T19" s="1401"/>
      <c r="U19" s="1402"/>
      <c r="V19" s="1402"/>
      <c r="W19" s="1396"/>
      <c r="X19" s="1387">
        <v>3</v>
      </c>
      <c r="Y19" s="1387">
        <v>4</v>
      </c>
      <c r="Z19" s="1387">
        <v>1</v>
      </c>
      <c r="AA19" s="1387">
        <v>3</v>
      </c>
      <c r="AB19" s="1387">
        <v>1</v>
      </c>
      <c r="AC19" s="1398">
        <v>5</v>
      </c>
      <c r="AD19" s="1394">
        <v>3</v>
      </c>
      <c r="AE19" s="1380">
        <v>1.05</v>
      </c>
      <c r="AF19" s="1391">
        <v>1.2555818742947564</v>
      </c>
      <c r="AG19" s="1391">
        <v>1.2620910621938648</v>
      </c>
      <c r="AH19" s="1392" t="s">
        <v>3222</v>
      </c>
      <c r="AI19" s="1389">
        <v>1.1000000000000001</v>
      </c>
      <c r="AJ19" s="1389">
        <v>1.1000000000000001</v>
      </c>
      <c r="AK19" s="1389">
        <v>1</v>
      </c>
      <c r="AL19" s="1389">
        <v>1.02</v>
      </c>
      <c r="AM19" s="1389">
        <v>1</v>
      </c>
      <c r="AN19" s="1389">
        <v>1.2</v>
      </c>
      <c r="AO19" s="1401"/>
      <c r="AP19" s="1396" t="s">
        <v>680</v>
      </c>
      <c r="AQ19" s="1387">
        <v>2</v>
      </c>
      <c r="AR19" s="1387">
        <v>4</v>
      </c>
      <c r="AS19" s="1387">
        <v>1</v>
      </c>
      <c r="AT19" s="1387">
        <v>3</v>
      </c>
      <c r="AU19" s="1387">
        <v>1</v>
      </c>
      <c r="AV19" s="1387">
        <v>5</v>
      </c>
      <c r="AW19" s="1394">
        <v>3</v>
      </c>
      <c r="AX19" s="1380">
        <v>1.05</v>
      </c>
      <c r="AY19" s="1391">
        <v>1.2365959919080913</v>
      </c>
      <c r="AZ19" s="1391">
        <v>1.2434566510799234</v>
      </c>
      <c r="BA19" s="1392" t="s">
        <v>3226</v>
      </c>
      <c r="BB19" s="1389">
        <v>1.05</v>
      </c>
      <c r="BC19" s="1389">
        <v>1.1000000000000001</v>
      </c>
      <c r="BD19" s="1389">
        <v>1</v>
      </c>
      <c r="BE19" s="1389">
        <v>1.02</v>
      </c>
      <c r="BF19" s="1389">
        <v>1</v>
      </c>
      <c r="BG19" s="1389">
        <v>1.2</v>
      </c>
    </row>
    <row r="20" spans="1:59" s="401" customFormat="1" ht="12.75" customHeight="1">
      <c r="A20" s="1410">
        <v>269445</v>
      </c>
      <c r="B20" s="1436"/>
      <c r="C20" s="1411"/>
      <c r="D20" s="1413">
        <v>5</v>
      </c>
      <c r="E20" s="1414" t="s">
        <v>98</v>
      </c>
      <c r="F20" s="1415" t="s">
        <v>682</v>
      </c>
      <c r="G20" s="1416" t="s">
        <v>93</v>
      </c>
      <c r="H20" s="1417" t="s">
        <v>98</v>
      </c>
      <c r="I20" s="1418" t="s">
        <v>98</v>
      </c>
      <c r="J20" s="1419">
        <v>0</v>
      </c>
      <c r="K20" s="1416" t="s">
        <v>96</v>
      </c>
      <c r="L20" s="1416">
        <v>0</v>
      </c>
      <c r="M20" s="1420">
        <v>1</v>
      </c>
      <c r="N20" s="1421">
        <v>1.2620910621938648</v>
      </c>
      <c r="O20" s="1422" t="s">
        <v>3196</v>
      </c>
      <c r="P20" s="1416">
        <v>319790.40000000002</v>
      </c>
      <c r="Q20" s="1420">
        <v>1</v>
      </c>
      <c r="R20" s="1421">
        <v>1.2434566510799234</v>
      </c>
      <c r="S20" s="1422" t="s">
        <v>3193</v>
      </c>
      <c r="T20" s="1401"/>
      <c r="U20" s="1402"/>
      <c r="V20" s="1402"/>
      <c r="W20" s="1396"/>
      <c r="X20" s="1387">
        <v>3</v>
      </c>
      <c r="Y20" s="1387">
        <v>4</v>
      </c>
      <c r="Z20" s="1387">
        <v>1</v>
      </c>
      <c r="AA20" s="1387">
        <v>3</v>
      </c>
      <c r="AB20" s="1387">
        <v>1</v>
      </c>
      <c r="AC20" s="1398">
        <v>5</v>
      </c>
      <c r="AD20" s="1394">
        <v>3</v>
      </c>
      <c r="AE20" s="1380">
        <v>1.05</v>
      </c>
      <c r="AF20" s="1391">
        <v>1.2555818742947564</v>
      </c>
      <c r="AG20" s="1391">
        <v>1.2620910621938648</v>
      </c>
      <c r="AH20" s="1392" t="s">
        <v>3222</v>
      </c>
      <c r="AI20" s="1389">
        <v>1.1000000000000001</v>
      </c>
      <c r="AJ20" s="1389">
        <v>1.1000000000000001</v>
      </c>
      <c r="AK20" s="1389">
        <v>1</v>
      </c>
      <c r="AL20" s="1389">
        <v>1.02</v>
      </c>
      <c r="AM20" s="1389">
        <v>1</v>
      </c>
      <c r="AN20" s="1389">
        <v>1.2</v>
      </c>
      <c r="AO20" s="1401"/>
      <c r="AP20" s="1396" t="s">
        <v>673</v>
      </c>
      <c r="AQ20" s="1387">
        <v>2</v>
      </c>
      <c r="AR20" s="1387">
        <v>4</v>
      </c>
      <c r="AS20" s="1387">
        <v>1</v>
      </c>
      <c r="AT20" s="1387">
        <v>3</v>
      </c>
      <c r="AU20" s="1387">
        <v>1</v>
      </c>
      <c r="AV20" s="1387">
        <v>5</v>
      </c>
      <c r="AW20" s="1394">
        <v>3</v>
      </c>
      <c r="AX20" s="1380">
        <v>1.05</v>
      </c>
      <c r="AY20" s="1391">
        <v>1.2365959919080913</v>
      </c>
      <c r="AZ20" s="1391">
        <v>1.2434566510799234</v>
      </c>
      <c r="BA20" s="1392" t="s">
        <v>3226</v>
      </c>
      <c r="BB20" s="1389">
        <v>1.05</v>
      </c>
      <c r="BC20" s="1389">
        <v>1.1000000000000001</v>
      </c>
      <c r="BD20" s="1389">
        <v>1</v>
      </c>
      <c r="BE20" s="1389">
        <v>1.02</v>
      </c>
      <c r="BF20" s="1389">
        <v>1</v>
      </c>
      <c r="BG20" s="1389">
        <v>1.2</v>
      </c>
    </row>
    <row r="21" spans="1:59" s="401" customFormat="1" ht="12.75" customHeight="1">
      <c r="A21" s="1410">
        <v>266627</v>
      </c>
      <c r="B21" s="1436"/>
      <c r="C21" s="1411"/>
      <c r="D21" s="1454">
        <v>5</v>
      </c>
      <c r="E21" s="1455" t="s">
        <v>98</v>
      </c>
      <c r="F21" s="1447" t="s">
        <v>634</v>
      </c>
      <c r="G21" s="1448" t="s">
        <v>93</v>
      </c>
      <c r="H21" s="1456" t="s">
        <v>98</v>
      </c>
      <c r="I21" s="1449" t="s">
        <v>98</v>
      </c>
      <c r="J21" s="1450">
        <v>0</v>
      </c>
      <c r="K21" s="1448" t="s">
        <v>96</v>
      </c>
      <c r="L21" s="1448">
        <v>0</v>
      </c>
      <c r="M21" s="1451">
        <v>1</v>
      </c>
      <c r="N21" s="1452">
        <v>1.2620910621938648</v>
      </c>
      <c r="O21" s="1453" t="s">
        <v>3196</v>
      </c>
      <c r="P21" s="1448">
        <v>319790.40000000002</v>
      </c>
      <c r="Q21" s="1451">
        <v>1</v>
      </c>
      <c r="R21" s="1452">
        <v>1.2434566510799234</v>
      </c>
      <c r="S21" s="1453" t="s">
        <v>3193</v>
      </c>
      <c r="T21" s="1401"/>
      <c r="U21" s="1402"/>
      <c r="V21" s="1402"/>
      <c r="W21" s="1396"/>
      <c r="X21" s="1387">
        <v>3</v>
      </c>
      <c r="Y21" s="1387">
        <v>4</v>
      </c>
      <c r="Z21" s="1387">
        <v>1</v>
      </c>
      <c r="AA21" s="1387">
        <v>3</v>
      </c>
      <c r="AB21" s="1387">
        <v>1</v>
      </c>
      <c r="AC21" s="1398">
        <v>5</v>
      </c>
      <c r="AD21" s="1394">
        <v>3</v>
      </c>
      <c r="AE21" s="1380">
        <v>1.05</v>
      </c>
      <c r="AF21" s="1391">
        <v>1.2555818742947564</v>
      </c>
      <c r="AG21" s="1391">
        <v>1.2620910621938648</v>
      </c>
      <c r="AH21" s="1392" t="s">
        <v>3222</v>
      </c>
      <c r="AI21" s="1389">
        <v>1.1000000000000001</v>
      </c>
      <c r="AJ21" s="1389">
        <v>1.1000000000000001</v>
      </c>
      <c r="AK21" s="1389">
        <v>1</v>
      </c>
      <c r="AL21" s="1389">
        <v>1.02</v>
      </c>
      <c r="AM21" s="1389">
        <v>1</v>
      </c>
      <c r="AN21" s="1389">
        <v>1.2</v>
      </c>
      <c r="AO21" s="1401"/>
      <c r="AP21" s="1396" t="s">
        <v>673</v>
      </c>
      <c r="AQ21" s="1387">
        <v>2</v>
      </c>
      <c r="AR21" s="1387">
        <v>4</v>
      </c>
      <c r="AS21" s="1387">
        <v>1</v>
      </c>
      <c r="AT21" s="1387">
        <v>3</v>
      </c>
      <c r="AU21" s="1387">
        <v>1</v>
      </c>
      <c r="AV21" s="1387">
        <v>5</v>
      </c>
      <c r="AW21" s="1394">
        <v>3</v>
      </c>
      <c r="AX21" s="1380">
        <v>1.05</v>
      </c>
      <c r="AY21" s="1391">
        <v>1.2365959919080913</v>
      </c>
      <c r="AZ21" s="1391">
        <v>1.2434566510799234</v>
      </c>
      <c r="BA21" s="1392" t="s">
        <v>3226</v>
      </c>
      <c r="BB21" s="1389">
        <v>1.05</v>
      </c>
      <c r="BC21" s="1389">
        <v>1.1000000000000001</v>
      </c>
      <c r="BD21" s="1389">
        <v>1</v>
      </c>
      <c r="BE21" s="1389">
        <v>1.02</v>
      </c>
      <c r="BF21" s="1389">
        <v>1</v>
      </c>
      <c r="BG21" s="1389">
        <v>1.2</v>
      </c>
    </row>
    <row r="22" spans="1:59" s="401" customFormat="1" ht="12.75" customHeight="1">
      <c r="A22" s="1410">
        <v>268933</v>
      </c>
      <c r="B22" s="1433"/>
      <c r="C22" s="1411"/>
      <c r="D22" s="1413">
        <v>5</v>
      </c>
      <c r="E22" s="1414" t="s">
        <v>98</v>
      </c>
      <c r="F22" s="1415" t="s">
        <v>683</v>
      </c>
      <c r="G22" s="1416" t="s">
        <v>93</v>
      </c>
      <c r="H22" s="1417" t="s">
        <v>98</v>
      </c>
      <c r="I22" s="1418" t="s">
        <v>98</v>
      </c>
      <c r="J22" s="1419">
        <v>0</v>
      </c>
      <c r="K22" s="1416" t="s">
        <v>679</v>
      </c>
      <c r="L22" s="1416">
        <v>0</v>
      </c>
      <c r="M22" s="1420">
        <v>1</v>
      </c>
      <c r="N22" s="1421">
        <v>1.2620910621938648</v>
      </c>
      <c r="O22" s="1422" t="s">
        <v>3196</v>
      </c>
      <c r="P22" s="1416">
        <v>2425.5</v>
      </c>
      <c r="Q22" s="1420">
        <v>1</v>
      </c>
      <c r="R22" s="1421">
        <v>1.2434566510799234</v>
      </c>
      <c r="S22" s="1422" t="s">
        <v>3193</v>
      </c>
      <c r="T22" s="1401"/>
      <c r="U22" s="1402"/>
      <c r="V22" s="1402"/>
      <c r="W22" s="1388"/>
      <c r="X22" s="1387">
        <v>3</v>
      </c>
      <c r="Y22" s="1387">
        <v>4</v>
      </c>
      <c r="Z22" s="1387">
        <v>1</v>
      </c>
      <c r="AA22" s="1387">
        <v>3</v>
      </c>
      <c r="AB22" s="1387">
        <v>1</v>
      </c>
      <c r="AC22" s="1398">
        <v>5</v>
      </c>
      <c r="AD22" s="1394">
        <v>3</v>
      </c>
      <c r="AE22" s="1380">
        <v>1.05</v>
      </c>
      <c r="AF22" s="1391">
        <v>1.2555818742947564</v>
      </c>
      <c r="AG22" s="1391">
        <v>1.2620910621938648</v>
      </c>
      <c r="AH22" s="1392" t="s">
        <v>3222</v>
      </c>
      <c r="AI22" s="1389">
        <v>1.1000000000000001</v>
      </c>
      <c r="AJ22" s="1389">
        <v>1.1000000000000001</v>
      </c>
      <c r="AK22" s="1389">
        <v>1</v>
      </c>
      <c r="AL22" s="1389">
        <v>1.02</v>
      </c>
      <c r="AM22" s="1389">
        <v>1</v>
      </c>
      <c r="AN22" s="1389">
        <v>1.2</v>
      </c>
      <c r="AO22" s="1401"/>
      <c r="AP22" s="1396" t="s">
        <v>673</v>
      </c>
      <c r="AQ22" s="1387">
        <v>2</v>
      </c>
      <c r="AR22" s="1387">
        <v>4</v>
      </c>
      <c r="AS22" s="1387">
        <v>1</v>
      </c>
      <c r="AT22" s="1387">
        <v>3</v>
      </c>
      <c r="AU22" s="1387">
        <v>1</v>
      </c>
      <c r="AV22" s="1387">
        <v>5</v>
      </c>
      <c r="AW22" s="1394">
        <v>3</v>
      </c>
      <c r="AX22" s="1380">
        <v>1.05</v>
      </c>
      <c r="AY22" s="1391">
        <v>1.2365959919080913</v>
      </c>
      <c r="AZ22" s="1391">
        <v>1.2434566510799234</v>
      </c>
      <c r="BA22" s="1392" t="s">
        <v>3226</v>
      </c>
      <c r="BB22" s="1389">
        <v>1.05</v>
      </c>
      <c r="BC22" s="1389">
        <v>1.1000000000000001</v>
      </c>
      <c r="BD22" s="1389">
        <v>1</v>
      </c>
      <c r="BE22" s="1389">
        <v>1.02</v>
      </c>
      <c r="BF22" s="1389">
        <v>1</v>
      </c>
      <c r="BG22" s="1389">
        <v>1.2</v>
      </c>
    </row>
    <row r="23" spans="1:59" s="401" customFormat="1" ht="36" customHeight="1">
      <c r="A23" s="1410">
        <v>256002</v>
      </c>
      <c r="B23" s="1412" t="s">
        <v>684</v>
      </c>
      <c r="C23" s="1411"/>
      <c r="D23" s="1454">
        <v>5</v>
      </c>
      <c r="E23" s="1455" t="s">
        <v>98</v>
      </c>
      <c r="F23" s="1447" t="s">
        <v>685</v>
      </c>
      <c r="G23" s="1448" t="s">
        <v>103</v>
      </c>
      <c r="H23" s="1456" t="s">
        <v>98</v>
      </c>
      <c r="I23" s="1449" t="s">
        <v>98</v>
      </c>
      <c r="J23" s="1450">
        <v>0</v>
      </c>
      <c r="K23" s="1448" t="s">
        <v>679</v>
      </c>
      <c r="L23" s="1448">
        <v>0</v>
      </c>
      <c r="M23" s="1451">
        <v>1</v>
      </c>
      <c r="N23" s="1452">
        <v>1.2620910621938648</v>
      </c>
      <c r="O23" s="1453" t="s">
        <v>3196</v>
      </c>
      <c r="P23" s="1448">
        <v>1918.4999999999998</v>
      </c>
      <c r="Q23" s="1451">
        <v>1</v>
      </c>
      <c r="R23" s="1452">
        <v>1.3285812705862265</v>
      </c>
      <c r="S23" s="1453" t="s">
        <v>3199</v>
      </c>
      <c r="T23" s="1401"/>
      <c r="U23" s="1402"/>
      <c r="V23" s="1402"/>
      <c r="W23" s="1396"/>
      <c r="X23" s="1387">
        <v>3</v>
      </c>
      <c r="Y23" s="1387">
        <v>4</v>
      </c>
      <c r="Z23" s="1387">
        <v>1</v>
      </c>
      <c r="AA23" s="1387">
        <v>3</v>
      </c>
      <c r="AB23" s="1387">
        <v>1</v>
      </c>
      <c r="AC23" s="1398">
        <v>5</v>
      </c>
      <c r="AD23" s="1394">
        <v>3</v>
      </c>
      <c r="AE23" s="1380">
        <v>1.05</v>
      </c>
      <c r="AF23" s="1391">
        <v>1.2555818742947564</v>
      </c>
      <c r="AG23" s="1391">
        <v>1.2620910621938648</v>
      </c>
      <c r="AH23" s="1392" t="s">
        <v>3222</v>
      </c>
      <c r="AI23" s="1389">
        <v>1.1000000000000001</v>
      </c>
      <c r="AJ23" s="1389">
        <v>1.1000000000000001</v>
      </c>
      <c r="AK23" s="1389">
        <v>1</v>
      </c>
      <c r="AL23" s="1389">
        <v>1.02</v>
      </c>
      <c r="AM23" s="1389">
        <v>1</v>
      </c>
      <c r="AN23" s="1389">
        <v>1.2</v>
      </c>
      <c r="AO23" s="1401"/>
      <c r="AP23" s="1396" t="s">
        <v>686</v>
      </c>
      <c r="AQ23" s="1387">
        <v>2</v>
      </c>
      <c r="AR23" s="1387">
        <v>4</v>
      </c>
      <c r="AS23" s="1387">
        <v>1</v>
      </c>
      <c r="AT23" s="1387">
        <v>3</v>
      </c>
      <c r="AU23" s="1387">
        <v>3</v>
      </c>
      <c r="AV23" s="1387">
        <v>5</v>
      </c>
      <c r="AW23" s="1394">
        <v>3</v>
      </c>
      <c r="AX23" s="1380">
        <v>1.05</v>
      </c>
      <c r="AY23" s="1391">
        <v>1.3229855584076429</v>
      </c>
      <c r="AZ23" s="1391">
        <v>1.3285812705862265</v>
      </c>
      <c r="BA23" s="1392" t="s">
        <v>3229</v>
      </c>
      <c r="BB23" s="1389">
        <v>1.05</v>
      </c>
      <c r="BC23" s="1389">
        <v>1.1000000000000001</v>
      </c>
      <c r="BD23" s="1389">
        <v>1</v>
      </c>
      <c r="BE23" s="1389">
        <v>1.02</v>
      </c>
      <c r="BF23" s="1389">
        <v>1.2</v>
      </c>
      <c r="BG23" s="1389">
        <v>1.2</v>
      </c>
    </row>
    <row r="24" spans="1:59" s="401" customFormat="1" ht="12.75" customHeight="1">
      <c r="A24" s="1410">
        <v>77572</v>
      </c>
      <c r="B24" s="1436"/>
      <c r="C24" s="1411"/>
      <c r="D24" s="1413">
        <v>5</v>
      </c>
      <c r="E24" s="1414" t="s">
        <v>98</v>
      </c>
      <c r="F24" s="1415" t="s">
        <v>687</v>
      </c>
      <c r="G24" s="1416" t="s">
        <v>103</v>
      </c>
      <c r="H24" s="1417" t="s">
        <v>98</v>
      </c>
      <c r="I24" s="1418" t="s">
        <v>98</v>
      </c>
      <c r="J24" s="1419">
        <v>0</v>
      </c>
      <c r="K24" s="1416" t="s">
        <v>104</v>
      </c>
      <c r="L24" s="1416">
        <v>0</v>
      </c>
      <c r="M24" s="1420">
        <v>1</v>
      </c>
      <c r="N24" s="1421">
        <v>2.0741629046031922</v>
      </c>
      <c r="O24" s="1422" t="s">
        <v>3196</v>
      </c>
      <c r="P24" s="1416">
        <v>287883</v>
      </c>
      <c r="Q24" s="1420">
        <v>1</v>
      </c>
      <c r="R24" s="1421">
        <v>2.0646254680556719</v>
      </c>
      <c r="S24" s="1422" t="s">
        <v>3193</v>
      </c>
      <c r="T24" s="1401"/>
      <c r="U24" s="1402"/>
      <c r="V24" s="1402"/>
      <c r="W24" s="1396"/>
      <c r="X24" s="1387">
        <v>3</v>
      </c>
      <c r="Y24" s="1387">
        <v>4</v>
      </c>
      <c r="Z24" s="1387">
        <v>1</v>
      </c>
      <c r="AA24" s="1387">
        <v>3</v>
      </c>
      <c r="AB24" s="1387">
        <v>1</v>
      </c>
      <c r="AC24" s="1398">
        <v>5</v>
      </c>
      <c r="AD24" s="1394">
        <v>5</v>
      </c>
      <c r="AE24" s="1380">
        <v>2</v>
      </c>
      <c r="AF24" s="1391">
        <v>1.2555818742947564</v>
      </c>
      <c r="AG24" s="1391">
        <v>2.0741629046031922</v>
      </c>
      <c r="AH24" s="1392" t="s">
        <v>3222</v>
      </c>
      <c r="AI24" s="1389">
        <v>1.1000000000000001</v>
      </c>
      <c r="AJ24" s="1389">
        <v>1.1000000000000001</v>
      </c>
      <c r="AK24" s="1389">
        <v>1</v>
      </c>
      <c r="AL24" s="1389">
        <v>1.02</v>
      </c>
      <c r="AM24" s="1389">
        <v>1</v>
      </c>
      <c r="AN24" s="1389">
        <v>1.2</v>
      </c>
      <c r="AO24" s="1401"/>
      <c r="AP24" s="1396" t="s">
        <v>673</v>
      </c>
      <c r="AQ24" s="1387">
        <v>2</v>
      </c>
      <c r="AR24" s="1387">
        <v>4</v>
      </c>
      <c r="AS24" s="1387">
        <v>1</v>
      </c>
      <c r="AT24" s="1387">
        <v>3</v>
      </c>
      <c r="AU24" s="1387">
        <v>1</v>
      </c>
      <c r="AV24" s="1387">
        <v>5</v>
      </c>
      <c r="AW24" s="1394">
        <v>5</v>
      </c>
      <c r="AX24" s="1380">
        <v>2</v>
      </c>
      <c r="AY24" s="1391">
        <v>1.2365959919080913</v>
      </c>
      <c r="AZ24" s="1391">
        <v>2.0646254680556719</v>
      </c>
      <c r="BA24" s="1392" t="s">
        <v>3226</v>
      </c>
      <c r="BB24" s="1389">
        <v>1.05</v>
      </c>
      <c r="BC24" s="1389">
        <v>1.1000000000000001</v>
      </c>
      <c r="BD24" s="1389">
        <v>1</v>
      </c>
      <c r="BE24" s="1389">
        <v>1.02</v>
      </c>
      <c r="BF24" s="1389">
        <v>1</v>
      </c>
      <c r="BG24" s="1389">
        <v>1.2</v>
      </c>
    </row>
    <row r="25" spans="1:59" s="401" customFormat="1" ht="12.75" customHeight="1">
      <c r="A25" s="1410">
        <v>79235</v>
      </c>
      <c r="B25" s="1436"/>
      <c r="C25" s="1411"/>
      <c r="D25" s="1454">
        <v>5</v>
      </c>
      <c r="E25" s="1455" t="s">
        <v>98</v>
      </c>
      <c r="F25" s="1447" t="s">
        <v>688</v>
      </c>
      <c r="G25" s="1448" t="s">
        <v>340</v>
      </c>
      <c r="H25" s="1456" t="s">
        <v>98</v>
      </c>
      <c r="I25" s="1449" t="s">
        <v>98</v>
      </c>
      <c r="J25" s="1450">
        <v>0</v>
      </c>
      <c r="K25" s="1448" t="s">
        <v>109</v>
      </c>
      <c r="L25" s="1448">
        <v>0</v>
      </c>
      <c r="M25" s="1451">
        <v>1</v>
      </c>
      <c r="N25" s="1452">
        <v>1.2620910621938648</v>
      </c>
      <c r="O25" s="1453" t="s">
        <v>3196</v>
      </c>
      <c r="P25" s="1448">
        <v>109859.6</v>
      </c>
      <c r="Q25" s="1451">
        <v>1</v>
      </c>
      <c r="R25" s="1452">
        <v>1.2434566510799234</v>
      </c>
      <c r="S25" s="1453" t="s">
        <v>3193</v>
      </c>
      <c r="T25" s="1401"/>
      <c r="U25" s="1402"/>
      <c r="V25" s="1402"/>
      <c r="W25" s="1396"/>
      <c r="X25" s="1387">
        <v>3</v>
      </c>
      <c r="Y25" s="1387">
        <v>4</v>
      </c>
      <c r="Z25" s="1387">
        <v>1</v>
      </c>
      <c r="AA25" s="1387">
        <v>3</v>
      </c>
      <c r="AB25" s="1387">
        <v>1</v>
      </c>
      <c r="AC25" s="1398">
        <v>5</v>
      </c>
      <c r="AD25" s="1394">
        <v>3</v>
      </c>
      <c r="AE25" s="1380">
        <v>1.05</v>
      </c>
      <c r="AF25" s="1391">
        <v>1.2555818742947564</v>
      </c>
      <c r="AG25" s="1391">
        <v>1.2620910621938648</v>
      </c>
      <c r="AH25" s="1392" t="s">
        <v>3222</v>
      </c>
      <c r="AI25" s="1389">
        <v>1.1000000000000001</v>
      </c>
      <c r="AJ25" s="1389">
        <v>1.1000000000000001</v>
      </c>
      <c r="AK25" s="1389">
        <v>1</v>
      </c>
      <c r="AL25" s="1389">
        <v>1.02</v>
      </c>
      <c r="AM25" s="1389">
        <v>1</v>
      </c>
      <c r="AN25" s="1389">
        <v>1.2</v>
      </c>
      <c r="AO25" s="1401"/>
      <c r="AP25" s="1396" t="s">
        <v>673</v>
      </c>
      <c r="AQ25" s="1387">
        <v>2</v>
      </c>
      <c r="AR25" s="1387">
        <v>4</v>
      </c>
      <c r="AS25" s="1387">
        <v>1</v>
      </c>
      <c r="AT25" s="1387">
        <v>3</v>
      </c>
      <c r="AU25" s="1387">
        <v>1</v>
      </c>
      <c r="AV25" s="1387">
        <v>5</v>
      </c>
      <c r="AW25" s="1394">
        <v>3</v>
      </c>
      <c r="AX25" s="1380">
        <v>1.05</v>
      </c>
      <c r="AY25" s="1391">
        <v>1.2365959919080913</v>
      </c>
      <c r="AZ25" s="1391">
        <v>1.2434566510799234</v>
      </c>
      <c r="BA25" s="1392" t="s">
        <v>3226</v>
      </c>
      <c r="BB25" s="1389">
        <v>1.05</v>
      </c>
      <c r="BC25" s="1389">
        <v>1.1000000000000001</v>
      </c>
      <c r="BD25" s="1389">
        <v>1</v>
      </c>
      <c r="BE25" s="1389">
        <v>1.02</v>
      </c>
      <c r="BF25" s="1389">
        <v>1</v>
      </c>
      <c r="BG25" s="1389">
        <v>1.2</v>
      </c>
    </row>
    <row r="26" spans="1:59" s="401" customFormat="1" ht="12.75" customHeight="1">
      <c r="A26" s="1410">
        <v>268949</v>
      </c>
      <c r="B26" s="1433"/>
      <c r="C26" s="1411"/>
      <c r="D26" s="1413">
        <v>5</v>
      </c>
      <c r="E26" s="1414" t="s">
        <v>98</v>
      </c>
      <c r="F26" s="1415" t="s">
        <v>689</v>
      </c>
      <c r="G26" s="1416" t="s">
        <v>93</v>
      </c>
      <c r="H26" s="1417" t="s">
        <v>98</v>
      </c>
      <c r="I26" s="1418" t="s">
        <v>98</v>
      </c>
      <c r="J26" s="1419">
        <v>0</v>
      </c>
      <c r="K26" s="1416" t="s">
        <v>119</v>
      </c>
      <c r="L26" s="1416">
        <v>0</v>
      </c>
      <c r="M26" s="1420">
        <v>1</v>
      </c>
      <c r="N26" s="1421">
        <v>1.2620910621938648</v>
      </c>
      <c r="O26" s="1422" t="s">
        <v>3196</v>
      </c>
      <c r="P26" s="1416">
        <v>1024.7</v>
      </c>
      <c r="Q26" s="1420">
        <v>1</v>
      </c>
      <c r="R26" s="1421">
        <v>1.2434566510799234</v>
      </c>
      <c r="S26" s="1422" t="s">
        <v>3193</v>
      </c>
      <c r="T26" s="1401"/>
      <c r="U26" s="1402"/>
      <c r="V26" s="1402"/>
      <c r="W26" s="1388"/>
      <c r="X26" s="1387">
        <v>3</v>
      </c>
      <c r="Y26" s="1387">
        <v>4</v>
      </c>
      <c r="Z26" s="1387">
        <v>1</v>
      </c>
      <c r="AA26" s="1387">
        <v>3</v>
      </c>
      <c r="AB26" s="1387">
        <v>1</v>
      </c>
      <c r="AC26" s="1398">
        <v>5</v>
      </c>
      <c r="AD26" s="1394">
        <v>2</v>
      </c>
      <c r="AE26" s="1380">
        <v>1.05</v>
      </c>
      <c r="AF26" s="1391">
        <v>1.2555818742947564</v>
      </c>
      <c r="AG26" s="1391">
        <v>1.2620910621938648</v>
      </c>
      <c r="AH26" s="1392" t="s">
        <v>3222</v>
      </c>
      <c r="AI26" s="1389">
        <v>1.1000000000000001</v>
      </c>
      <c r="AJ26" s="1389">
        <v>1.1000000000000001</v>
      </c>
      <c r="AK26" s="1389">
        <v>1</v>
      </c>
      <c r="AL26" s="1389">
        <v>1.02</v>
      </c>
      <c r="AM26" s="1389">
        <v>1</v>
      </c>
      <c r="AN26" s="1389">
        <v>1.2</v>
      </c>
      <c r="AO26" s="1401"/>
      <c r="AP26" s="1396" t="s">
        <v>673</v>
      </c>
      <c r="AQ26" s="1387">
        <v>2</v>
      </c>
      <c r="AR26" s="1387">
        <v>4</v>
      </c>
      <c r="AS26" s="1387">
        <v>1</v>
      </c>
      <c r="AT26" s="1387">
        <v>3</v>
      </c>
      <c r="AU26" s="1387">
        <v>1</v>
      </c>
      <c r="AV26" s="1387">
        <v>5</v>
      </c>
      <c r="AW26" s="1394">
        <v>2</v>
      </c>
      <c r="AX26" s="1380">
        <v>1.05</v>
      </c>
      <c r="AY26" s="1391">
        <v>1.2365959919080913</v>
      </c>
      <c r="AZ26" s="1391">
        <v>1.2434566510799234</v>
      </c>
      <c r="BA26" s="1392" t="s">
        <v>3226</v>
      </c>
      <c r="BB26" s="1389">
        <v>1.05</v>
      </c>
      <c r="BC26" s="1389">
        <v>1.1000000000000001</v>
      </c>
      <c r="BD26" s="1389">
        <v>1</v>
      </c>
      <c r="BE26" s="1389">
        <v>1.02</v>
      </c>
      <c r="BF26" s="1389">
        <v>1</v>
      </c>
      <c r="BG26" s="1389">
        <v>1.2</v>
      </c>
    </row>
    <row r="27" spans="1:59" s="401" customFormat="1" ht="23.25" customHeight="1">
      <c r="A27" s="1410">
        <v>267287</v>
      </c>
      <c r="B27" s="1436"/>
      <c r="C27" s="1411"/>
      <c r="D27" s="1454">
        <v>5</v>
      </c>
      <c r="E27" s="1455" t="s">
        <v>98</v>
      </c>
      <c r="F27" s="1447" t="s">
        <v>690</v>
      </c>
      <c r="G27" s="1448" t="s">
        <v>154</v>
      </c>
      <c r="H27" s="1456" t="s">
        <v>98</v>
      </c>
      <c r="I27" s="1449" t="s">
        <v>98</v>
      </c>
      <c r="J27" s="1450">
        <v>0</v>
      </c>
      <c r="K27" s="1448" t="s">
        <v>104</v>
      </c>
      <c r="L27" s="1448">
        <v>0</v>
      </c>
      <c r="M27" s="1451">
        <v>1</v>
      </c>
      <c r="N27" s="1452">
        <v>1.2620910621938648</v>
      </c>
      <c r="O27" s="1453" t="s">
        <v>3196</v>
      </c>
      <c r="P27" s="1448">
        <v>19809.615451235964</v>
      </c>
      <c r="Q27" s="1451">
        <v>1</v>
      </c>
      <c r="R27" s="1452">
        <v>1.2434566510799234</v>
      </c>
      <c r="S27" s="1453" t="s">
        <v>3200</v>
      </c>
      <c r="T27" s="1401"/>
      <c r="U27" s="1402"/>
      <c r="V27" s="1402"/>
      <c r="W27" s="1396"/>
      <c r="X27" s="1387">
        <v>3</v>
      </c>
      <c r="Y27" s="1387">
        <v>4</v>
      </c>
      <c r="Z27" s="1387">
        <v>1</v>
      </c>
      <c r="AA27" s="1387">
        <v>3</v>
      </c>
      <c r="AB27" s="1387">
        <v>1</v>
      </c>
      <c r="AC27" s="1398">
        <v>5</v>
      </c>
      <c r="AD27" s="1394">
        <v>1</v>
      </c>
      <c r="AE27" s="1380">
        <v>1.05</v>
      </c>
      <c r="AF27" s="1391">
        <v>1.2555818742947564</v>
      </c>
      <c r="AG27" s="1391">
        <v>1.2620910621938648</v>
      </c>
      <c r="AH27" s="1392" t="s">
        <v>3222</v>
      </c>
      <c r="AI27" s="1389">
        <v>1.1000000000000001</v>
      </c>
      <c r="AJ27" s="1389">
        <v>1.1000000000000001</v>
      </c>
      <c r="AK27" s="1389">
        <v>1</v>
      </c>
      <c r="AL27" s="1389">
        <v>1.02</v>
      </c>
      <c r="AM27" s="1389">
        <v>1</v>
      </c>
      <c r="AN27" s="1389">
        <v>1.2</v>
      </c>
      <c r="AO27" s="1401"/>
      <c r="AP27" s="1396" t="s">
        <v>691</v>
      </c>
      <c r="AQ27" s="1387">
        <v>2</v>
      </c>
      <c r="AR27" s="1387">
        <v>4</v>
      </c>
      <c r="AS27" s="1387">
        <v>1</v>
      </c>
      <c r="AT27" s="1387">
        <v>3</v>
      </c>
      <c r="AU27" s="1387">
        <v>1</v>
      </c>
      <c r="AV27" s="1387">
        <v>5</v>
      </c>
      <c r="AW27" s="1394">
        <v>1</v>
      </c>
      <c r="AX27" s="1380">
        <v>1.05</v>
      </c>
      <c r="AY27" s="1391">
        <v>1.2365959919080913</v>
      </c>
      <c r="AZ27" s="1391">
        <v>1.2434566510799234</v>
      </c>
      <c r="BA27" s="1392" t="s">
        <v>3226</v>
      </c>
      <c r="BB27" s="1389">
        <v>1.05</v>
      </c>
      <c r="BC27" s="1389">
        <v>1.1000000000000001</v>
      </c>
      <c r="BD27" s="1389">
        <v>1</v>
      </c>
      <c r="BE27" s="1389">
        <v>1.02</v>
      </c>
      <c r="BF27" s="1389">
        <v>1</v>
      </c>
      <c r="BG27" s="1389">
        <v>1.2</v>
      </c>
    </row>
    <row r="28" spans="1:59" s="401" customFormat="1" ht="23.25" customHeight="1">
      <c r="A28" s="1410">
        <v>267287</v>
      </c>
      <c r="B28" s="1436"/>
      <c r="C28" s="1411"/>
      <c r="D28" s="1413">
        <v>5</v>
      </c>
      <c r="E28" s="1414" t="s">
        <v>98</v>
      </c>
      <c r="F28" s="1415" t="s">
        <v>690</v>
      </c>
      <c r="G28" s="1416" t="s">
        <v>154</v>
      </c>
      <c r="H28" s="1417" t="s">
        <v>98</v>
      </c>
      <c r="I28" s="1418" t="s">
        <v>98</v>
      </c>
      <c r="J28" s="1419">
        <v>0</v>
      </c>
      <c r="K28" s="1416" t="s">
        <v>104</v>
      </c>
      <c r="L28" s="1416">
        <v>0</v>
      </c>
      <c r="M28" s="1420">
        <v>1</v>
      </c>
      <c r="N28" s="1421">
        <v>1.2620910621938648</v>
      </c>
      <c r="O28" s="1422" t="s">
        <v>3196</v>
      </c>
      <c r="P28" s="1416">
        <v>173417.76316410626</v>
      </c>
      <c r="Q28" s="1420">
        <v>1</v>
      </c>
      <c r="R28" s="1421">
        <v>1.2434566510799234</v>
      </c>
      <c r="S28" s="1422" t="s">
        <v>3201</v>
      </c>
      <c r="T28" s="1401"/>
      <c r="U28" s="1402"/>
      <c r="V28" s="1402"/>
      <c r="W28" s="1396"/>
      <c r="X28" s="1387">
        <v>3</v>
      </c>
      <c r="Y28" s="1387">
        <v>4</v>
      </c>
      <c r="Z28" s="1387">
        <v>1</v>
      </c>
      <c r="AA28" s="1387">
        <v>3</v>
      </c>
      <c r="AB28" s="1387">
        <v>1</v>
      </c>
      <c r="AC28" s="1398">
        <v>5</v>
      </c>
      <c r="AD28" s="1394">
        <v>1</v>
      </c>
      <c r="AE28" s="1380">
        <v>1.05</v>
      </c>
      <c r="AF28" s="1391">
        <v>1.2555818742947564</v>
      </c>
      <c r="AG28" s="1391">
        <v>1.2620910621938648</v>
      </c>
      <c r="AH28" s="1392" t="s">
        <v>3222</v>
      </c>
      <c r="AI28" s="1389">
        <v>1.1000000000000001</v>
      </c>
      <c r="AJ28" s="1389">
        <v>1.1000000000000001</v>
      </c>
      <c r="AK28" s="1389">
        <v>1</v>
      </c>
      <c r="AL28" s="1389">
        <v>1.02</v>
      </c>
      <c r="AM28" s="1389">
        <v>1</v>
      </c>
      <c r="AN28" s="1389">
        <v>1.2</v>
      </c>
      <c r="AO28" s="1401"/>
      <c r="AP28" s="1396" t="s">
        <v>692</v>
      </c>
      <c r="AQ28" s="1387">
        <v>2</v>
      </c>
      <c r="AR28" s="1387">
        <v>4</v>
      </c>
      <c r="AS28" s="1387">
        <v>1</v>
      </c>
      <c r="AT28" s="1387">
        <v>3</v>
      </c>
      <c r="AU28" s="1387">
        <v>1</v>
      </c>
      <c r="AV28" s="1387">
        <v>5</v>
      </c>
      <c r="AW28" s="1394">
        <v>1</v>
      </c>
      <c r="AX28" s="1380">
        <v>1.05</v>
      </c>
      <c r="AY28" s="1391">
        <v>1.2365959919080913</v>
      </c>
      <c r="AZ28" s="1391">
        <v>1.2434566510799234</v>
      </c>
      <c r="BA28" s="1392" t="s">
        <v>3226</v>
      </c>
      <c r="BB28" s="1389">
        <v>1.05</v>
      </c>
      <c r="BC28" s="1389">
        <v>1.1000000000000001</v>
      </c>
      <c r="BD28" s="1389">
        <v>1</v>
      </c>
      <c r="BE28" s="1389">
        <v>1.02</v>
      </c>
      <c r="BF28" s="1389">
        <v>1</v>
      </c>
      <c r="BG28" s="1389">
        <v>1.2</v>
      </c>
    </row>
    <row r="29" spans="1:59" s="401" customFormat="1" ht="23.25" customHeight="1">
      <c r="A29" s="1410">
        <v>267287</v>
      </c>
      <c r="B29" s="1436"/>
      <c r="C29" s="1411"/>
      <c r="D29" s="1454">
        <v>5</v>
      </c>
      <c r="E29" s="1455" t="s">
        <v>98</v>
      </c>
      <c r="F29" s="1447" t="s">
        <v>690</v>
      </c>
      <c r="G29" s="1448" t="s">
        <v>154</v>
      </c>
      <c r="H29" s="1456" t="s">
        <v>98</v>
      </c>
      <c r="I29" s="1449" t="s">
        <v>98</v>
      </c>
      <c r="J29" s="1450">
        <v>0</v>
      </c>
      <c r="K29" s="1448" t="s">
        <v>104</v>
      </c>
      <c r="L29" s="1448">
        <v>0</v>
      </c>
      <c r="M29" s="1451">
        <v>1</v>
      </c>
      <c r="N29" s="1452">
        <v>1.2620910621938648</v>
      </c>
      <c r="O29" s="1453" t="s">
        <v>3196</v>
      </c>
      <c r="P29" s="1448">
        <v>12923429.838013714</v>
      </c>
      <c r="Q29" s="1451">
        <v>1</v>
      </c>
      <c r="R29" s="1452">
        <v>1.2434566510799234</v>
      </c>
      <c r="S29" s="1453" t="s">
        <v>3202</v>
      </c>
      <c r="T29" s="1401"/>
      <c r="U29" s="1402"/>
      <c r="V29" s="1402"/>
      <c r="W29" s="1396"/>
      <c r="X29" s="1387">
        <v>3</v>
      </c>
      <c r="Y29" s="1387">
        <v>4</v>
      </c>
      <c r="Z29" s="1387">
        <v>1</v>
      </c>
      <c r="AA29" s="1387">
        <v>3</v>
      </c>
      <c r="AB29" s="1387">
        <v>1</v>
      </c>
      <c r="AC29" s="1398">
        <v>5</v>
      </c>
      <c r="AD29" s="1394">
        <v>1</v>
      </c>
      <c r="AE29" s="1380">
        <v>1.05</v>
      </c>
      <c r="AF29" s="1391">
        <v>1.2555818742947564</v>
      </c>
      <c r="AG29" s="1391">
        <v>1.2620910621938648</v>
      </c>
      <c r="AH29" s="1392" t="s">
        <v>3222</v>
      </c>
      <c r="AI29" s="1389">
        <v>1.1000000000000001</v>
      </c>
      <c r="AJ29" s="1389">
        <v>1.1000000000000001</v>
      </c>
      <c r="AK29" s="1389">
        <v>1</v>
      </c>
      <c r="AL29" s="1389">
        <v>1.02</v>
      </c>
      <c r="AM29" s="1389">
        <v>1</v>
      </c>
      <c r="AN29" s="1389">
        <v>1.2</v>
      </c>
      <c r="AO29" s="1401"/>
      <c r="AP29" s="1396" t="s">
        <v>693</v>
      </c>
      <c r="AQ29" s="1387">
        <v>2</v>
      </c>
      <c r="AR29" s="1387">
        <v>4</v>
      </c>
      <c r="AS29" s="1387">
        <v>1</v>
      </c>
      <c r="AT29" s="1387">
        <v>3</v>
      </c>
      <c r="AU29" s="1387">
        <v>1</v>
      </c>
      <c r="AV29" s="1387">
        <v>5</v>
      </c>
      <c r="AW29" s="1394">
        <v>1</v>
      </c>
      <c r="AX29" s="1380">
        <v>1.05</v>
      </c>
      <c r="AY29" s="1391">
        <v>1.2365959919080913</v>
      </c>
      <c r="AZ29" s="1391">
        <v>1.2434566510799234</v>
      </c>
      <c r="BA29" s="1392" t="s">
        <v>3226</v>
      </c>
      <c r="BB29" s="1389">
        <v>1.05</v>
      </c>
      <c r="BC29" s="1389">
        <v>1.1000000000000001</v>
      </c>
      <c r="BD29" s="1389">
        <v>1</v>
      </c>
      <c r="BE29" s="1389">
        <v>1.02</v>
      </c>
      <c r="BF29" s="1389">
        <v>1</v>
      </c>
      <c r="BG29" s="1389">
        <v>1.2</v>
      </c>
    </row>
    <row r="30" spans="1:59" s="401" customFormat="1" ht="12.75" customHeight="1">
      <c r="A30" s="1410">
        <v>160371</v>
      </c>
      <c r="B30" s="1436"/>
      <c r="C30" s="1411"/>
      <c r="D30" s="1413">
        <v>5</v>
      </c>
      <c r="E30" s="1414" t="s">
        <v>98</v>
      </c>
      <c r="F30" s="1415" t="s">
        <v>242</v>
      </c>
      <c r="G30" s="1416" t="s">
        <v>93</v>
      </c>
      <c r="H30" s="1417" t="s">
        <v>98</v>
      </c>
      <c r="I30" s="1418" t="s">
        <v>98</v>
      </c>
      <c r="J30" s="1419">
        <v>0</v>
      </c>
      <c r="K30" s="1416" t="s">
        <v>115</v>
      </c>
      <c r="L30" s="1416">
        <v>0</v>
      </c>
      <c r="M30" s="1420">
        <v>1</v>
      </c>
      <c r="N30" s="1421">
        <v>2.0741629046031922</v>
      </c>
      <c r="O30" s="1422" t="s">
        <v>3196</v>
      </c>
      <c r="P30" s="1416">
        <v>137462.39999999999</v>
      </c>
      <c r="Q30" s="1420">
        <v>1</v>
      </c>
      <c r="R30" s="1421">
        <v>2.0646254680556719</v>
      </c>
      <c r="S30" s="1422" t="s">
        <v>3193</v>
      </c>
      <c r="T30" s="1401"/>
      <c r="U30" s="1402"/>
      <c r="V30" s="1402"/>
      <c r="W30" s="1396"/>
      <c r="X30" s="1387">
        <v>3</v>
      </c>
      <c r="Y30" s="1387">
        <v>4</v>
      </c>
      <c r="Z30" s="1387">
        <v>1</v>
      </c>
      <c r="AA30" s="1387">
        <v>3</v>
      </c>
      <c r="AB30" s="1387">
        <v>1</v>
      </c>
      <c r="AC30" s="1398">
        <v>5</v>
      </c>
      <c r="AD30" s="1394">
        <v>5</v>
      </c>
      <c r="AE30" s="1380">
        <v>2</v>
      </c>
      <c r="AF30" s="1391">
        <v>1.2555818742947564</v>
      </c>
      <c r="AG30" s="1391">
        <v>2.0741629046031922</v>
      </c>
      <c r="AH30" s="1392" t="s">
        <v>3222</v>
      </c>
      <c r="AI30" s="1389">
        <v>1.1000000000000001</v>
      </c>
      <c r="AJ30" s="1389">
        <v>1.1000000000000001</v>
      </c>
      <c r="AK30" s="1389">
        <v>1</v>
      </c>
      <c r="AL30" s="1389">
        <v>1.02</v>
      </c>
      <c r="AM30" s="1389">
        <v>1</v>
      </c>
      <c r="AN30" s="1389">
        <v>1.2</v>
      </c>
      <c r="AO30" s="1401"/>
      <c r="AP30" s="1396" t="s">
        <v>673</v>
      </c>
      <c r="AQ30" s="1387">
        <v>2</v>
      </c>
      <c r="AR30" s="1387">
        <v>4</v>
      </c>
      <c r="AS30" s="1387">
        <v>1</v>
      </c>
      <c r="AT30" s="1387">
        <v>3</v>
      </c>
      <c r="AU30" s="1387">
        <v>1</v>
      </c>
      <c r="AV30" s="1387">
        <v>5</v>
      </c>
      <c r="AW30" s="1394">
        <v>5</v>
      </c>
      <c r="AX30" s="1380">
        <v>2</v>
      </c>
      <c r="AY30" s="1391">
        <v>1.2365959919080913</v>
      </c>
      <c r="AZ30" s="1391">
        <v>2.0646254680556719</v>
      </c>
      <c r="BA30" s="1392" t="s">
        <v>3226</v>
      </c>
      <c r="BB30" s="1389">
        <v>1.05</v>
      </c>
      <c r="BC30" s="1389">
        <v>1.1000000000000001</v>
      </c>
      <c r="BD30" s="1389">
        <v>1</v>
      </c>
      <c r="BE30" s="1389">
        <v>1.02</v>
      </c>
      <c r="BF30" s="1389">
        <v>1</v>
      </c>
      <c r="BG30" s="1389">
        <v>1.2</v>
      </c>
    </row>
    <row r="31" spans="1:59" s="401" customFormat="1" ht="12.75" customHeight="1">
      <c r="A31" s="1410">
        <v>269641</v>
      </c>
      <c r="B31" s="1436"/>
      <c r="C31" s="1411"/>
      <c r="D31" s="1454">
        <v>5</v>
      </c>
      <c r="E31" s="1455" t="s">
        <v>98</v>
      </c>
      <c r="F31" s="1447" t="s">
        <v>240</v>
      </c>
      <c r="G31" s="1448" t="s">
        <v>93</v>
      </c>
      <c r="H31" s="1456" t="s">
        <v>98</v>
      </c>
      <c r="I31" s="1449" t="s">
        <v>98</v>
      </c>
      <c r="J31" s="1450">
        <v>0</v>
      </c>
      <c r="K31" s="1448" t="s">
        <v>115</v>
      </c>
      <c r="L31" s="1448">
        <v>0</v>
      </c>
      <c r="M31" s="1451">
        <v>1</v>
      </c>
      <c r="N31" s="1452">
        <v>2.0741629046031922</v>
      </c>
      <c r="O31" s="1453" t="s">
        <v>3196</v>
      </c>
      <c r="P31" s="1448">
        <v>254376.5</v>
      </c>
      <c r="Q31" s="1451">
        <v>1</v>
      </c>
      <c r="R31" s="1452">
        <v>2.0646254680556719</v>
      </c>
      <c r="S31" s="1453" t="s">
        <v>3193</v>
      </c>
      <c r="T31" s="1401"/>
      <c r="U31" s="1402"/>
      <c r="V31" s="1402"/>
      <c r="W31" s="1396"/>
      <c r="X31" s="1387">
        <v>3</v>
      </c>
      <c r="Y31" s="1387">
        <v>4</v>
      </c>
      <c r="Z31" s="1387">
        <v>1</v>
      </c>
      <c r="AA31" s="1387">
        <v>3</v>
      </c>
      <c r="AB31" s="1387">
        <v>1</v>
      </c>
      <c r="AC31" s="1398">
        <v>5</v>
      </c>
      <c r="AD31" s="1394">
        <v>5</v>
      </c>
      <c r="AE31" s="1380">
        <v>2</v>
      </c>
      <c r="AF31" s="1391">
        <v>1.2555818742947564</v>
      </c>
      <c r="AG31" s="1391">
        <v>2.0741629046031922</v>
      </c>
      <c r="AH31" s="1392" t="s">
        <v>3222</v>
      </c>
      <c r="AI31" s="1389">
        <v>1.1000000000000001</v>
      </c>
      <c r="AJ31" s="1389">
        <v>1.1000000000000001</v>
      </c>
      <c r="AK31" s="1389">
        <v>1</v>
      </c>
      <c r="AL31" s="1389">
        <v>1.02</v>
      </c>
      <c r="AM31" s="1389">
        <v>1</v>
      </c>
      <c r="AN31" s="1389">
        <v>1.2</v>
      </c>
      <c r="AO31" s="1401"/>
      <c r="AP31" s="1396" t="s">
        <v>673</v>
      </c>
      <c r="AQ31" s="1387">
        <v>2</v>
      </c>
      <c r="AR31" s="1387">
        <v>4</v>
      </c>
      <c r="AS31" s="1387">
        <v>1</v>
      </c>
      <c r="AT31" s="1387">
        <v>3</v>
      </c>
      <c r="AU31" s="1387">
        <v>1</v>
      </c>
      <c r="AV31" s="1387">
        <v>5</v>
      </c>
      <c r="AW31" s="1394">
        <v>5</v>
      </c>
      <c r="AX31" s="1380">
        <v>2</v>
      </c>
      <c r="AY31" s="1391">
        <v>1.2365959919080913</v>
      </c>
      <c r="AZ31" s="1391">
        <v>2.0646254680556719</v>
      </c>
      <c r="BA31" s="1392" t="s">
        <v>3226</v>
      </c>
      <c r="BB31" s="1389">
        <v>1.05</v>
      </c>
      <c r="BC31" s="1389">
        <v>1.1000000000000001</v>
      </c>
      <c r="BD31" s="1389">
        <v>1</v>
      </c>
      <c r="BE31" s="1389">
        <v>1.02</v>
      </c>
      <c r="BF31" s="1389">
        <v>1</v>
      </c>
      <c r="BG31" s="1389">
        <v>1.2</v>
      </c>
    </row>
    <row r="32" spans="1:59" s="401" customFormat="1" ht="12.75" customHeight="1">
      <c r="A32" s="1410">
        <v>261895</v>
      </c>
      <c r="B32" s="1436"/>
      <c r="C32" s="1411"/>
      <c r="D32" s="1413">
        <v>5</v>
      </c>
      <c r="E32" s="1414" t="s">
        <v>98</v>
      </c>
      <c r="F32" s="1415" t="s">
        <v>694</v>
      </c>
      <c r="G32" s="1416" t="s">
        <v>245</v>
      </c>
      <c r="H32" s="1417" t="s">
        <v>98</v>
      </c>
      <c r="I32" s="1418" t="s">
        <v>98</v>
      </c>
      <c r="J32" s="1419">
        <v>0</v>
      </c>
      <c r="K32" s="1416" t="s">
        <v>115</v>
      </c>
      <c r="L32" s="1416">
        <v>0</v>
      </c>
      <c r="M32" s="1420">
        <v>1</v>
      </c>
      <c r="N32" s="1421">
        <v>2.0741629046031922</v>
      </c>
      <c r="O32" s="1422" t="s">
        <v>3196</v>
      </c>
      <c r="P32" s="1416">
        <v>153.30000000000001</v>
      </c>
      <c r="Q32" s="1420">
        <v>1</v>
      </c>
      <c r="R32" s="1421">
        <v>2.0646254680556719</v>
      </c>
      <c r="S32" s="1422" t="s">
        <v>3193</v>
      </c>
      <c r="T32" s="1401"/>
      <c r="U32" s="1402"/>
      <c r="V32" s="1402"/>
      <c r="W32" s="1396"/>
      <c r="X32" s="1387">
        <v>3</v>
      </c>
      <c r="Y32" s="1387">
        <v>4</v>
      </c>
      <c r="Z32" s="1387">
        <v>1</v>
      </c>
      <c r="AA32" s="1387">
        <v>3</v>
      </c>
      <c r="AB32" s="1387">
        <v>1</v>
      </c>
      <c r="AC32" s="1398">
        <v>5</v>
      </c>
      <c r="AD32" s="1394">
        <v>5</v>
      </c>
      <c r="AE32" s="1380">
        <v>2</v>
      </c>
      <c r="AF32" s="1391">
        <v>1.2555818742947564</v>
      </c>
      <c r="AG32" s="1391">
        <v>2.0741629046031922</v>
      </c>
      <c r="AH32" s="1392" t="s">
        <v>3222</v>
      </c>
      <c r="AI32" s="1389">
        <v>1.1000000000000001</v>
      </c>
      <c r="AJ32" s="1389">
        <v>1.1000000000000001</v>
      </c>
      <c r="AK32" s="1389">
        <v>1</v>
      </c>
      <c r="AL32" s="1389">
        <v>1.02</v>
      </c>
      <c r="AM32" s="1389">
        <v>1</v>
      </c>
      <c r="AN32" s="1389">
        <v>1.2</v>
      </c>
      <c r="AO32" s="1401"/>
      <c r="AP32" s="1396" t="s">
        <v>673</v>
      </c>
      <c r="AQ32" s="1387">
        <v>2</v>
      </c>
      <c r="AR32" s="1387">
        <v>4</v>
      </c>
      <c r="AS32" s="1387">
        <v>1</v>
      </c>
      <c r="AT32" s="1387">
        <v>3</v>
      </c>
      <c r="AU32" s="1387">
        <v>1</v>
      </c>
      <c r="AV32" s="1387">
        <v>5</v>
      </c>
      <c r="AW32" s="1394">
        <v>5</v>
      </c>
      <c r="AX32" s="1380">
        <v>2</v>
      </c>
      <c r="AY32" s="1391">
        <v>1.2365959919080913</v>
      </c>
      <c r="AZ32" s="1391">
        <v>2.0646254680556719</v>
      </c>
      <c r="BA32" s="1392" t="s">
        <v>3226</v>
      </c>
      <c r="BB32" s="1389">
        <v>1.05</v>
      </c>
      <c r="BC32" s="1389">
        <v>1.1000000000000001</v>
      </c>
      <c r="BD32" s="1389">
        <v>1</v>
      </c>
      <c r="BE32" s="1389">
        <v>1.02</v>
      </c>
      <c r="BF32" s="1389">
        <v>1</v>
      </c>
      <c r="BG32" s="1389">
        <v>1.2</v>
      </c>
    </row>
    <row r="33" spans="1:59" s="401" customFormat="1" ht="24" customHeight="1">
      <c r="A33" s="1410">
        <v>258103</v>
      </c>
      <c r="B33" s="1412" t="s">
        <v>695</v>
      </c>
      <c r="C33" s="1411"/>
      <c r="D33" s="1454">
        <v>5</v>
      </c>
      <c r="E33" s="1455" t="s">
        <v>98</v>
      </c>
      <c r="F33" s="1447" t="s">
        <v>696</v>
      </c>
      <c r="G33" s="1448" t="s">
        <v>103</v>
      </c>
      <c r="H33" s="1456" t="s">
        <v>98</v>
      </c>
      <c r="I33" s="1449" t="s">
        <v>98</v>
      </c>
      <c r="J33" s="1450">
        <v>0</v>
      </c>
      <c r="K33" s="1448" t="s">
        <v>679</v>
      </c>
      <c r="L33" s="1448">
        <v>0</v>
      </c>
      <c r="M33" s="1451">
        <v>1</v>
      </c>
      <c r="N33" s="1452">
        <v>1.2620910621938648</v>
      </c>
      <c r="O33" s="1453" t="s">
        <v>3196</v>
      </c>
      <c r="P33" s="1448">
        <v>30.2</v>
      </c>
      <c r="Q33" s="1451">
        <v>1</v>
      </c>
      <c r="R33" s="1452">
        <v>1.2434566510799234</v>
      </c>
      <c r="S33" s="1453" t="s">
        <v>3193</v>
      </c>
      <c r="T33" s="1401"/>
      <c r="U33" s="1402"/>
      <c r="V33" s="1402"/>
      <c r="W33" s="1396"/>
      <c r="X33" s="1387">
        <v>3</v>
      </c>
      <c r="Y33" s="1387">
        <v>4</v>
      </c>
      <c r="Z33" s="1387">
        <v>1</v>
      </c>
      <c r="AA33" s="1387">
        <v>3</v>
      </c>
      <c r="AB33" s="1387">
        <v>1</v>
      </c>
      <c r="AC33" s="1398">
        <v>5</v>
      </c>
      <c r="AD33" s="1394">
        <v>3</v>
      </c>
      <c r="AE33" s="1380">
        <v>1.05</v>
      </c>
      <c r="AF33" s="1391">
        <v>1.2555818742947564</v>
      </c>
      <c r="AG33" s="1391">
        <v>1.2620910621938648</v>
      </c>
      <c r="AH33" s="1392" t="s">
        <v>3222</v>
      </c>
      <c r="AI33" s="1389">
        <v>1.1000000000000001</v>
      </c>
      <c r="AJ33" s="1389">
        <v>1.1000000000000001</v>
      </c>
      <c r="AK33" s="1389">
        <v>1</v>
      </c>
      <c r="AL33" s="1389">
        <v>1.02</v>
      </c>
      <c r="AM33" s="1389">
        <v>1</v>
      </c>
      <c r="AN33" s="1389">
        <v>1.2</v>
      </c>
      <c r="AO33" s="1401"/>
      <c r="AP33" s="1396" t="s">
        <v>673</v>
      </c>
      <c r="AQ33" s="1387">
        <v>2</v>
      </c>
      <c r="AR33" s="1387">
        <v>4</v>
      </c>
      <c r="AS33" s="1387">
        <v>1</v>
      </c>
      <c r="AT33" s="1387">
        <v>3</v>
      </c>
      <c r="AU33" s="1387">
        <v>1</v>
      </c>
      <c r="AV33" s="1387">
        <v>5</v>
      </c>
      <c r="AW33" s="1394">
        <v>3</v>
      </c>
      <c r="AX33" s="1380">
        <v>1.05</v>
      </c>
      <c r="AY33" s="1391">
        <v>1.2365959919080913</v>
      </c>
      <c r="AZ33" s="1391">
        <v>1.2434566510799234</v>
      </c>
      <c r="BA33" s="1392" t="s">
        <v>3226</v>
      </c>
      <c r="BB33" s="1389">
        <v>1.05</v>
      </c>
      <c r="BC33" s="1389">
        <v>1.1000000000000001</v>
      </c>
      <c r="BD33" s="1389">
        <v>1</v>
      </c>
      <c r="BE33" s="1389">
        <v>1.02</v>
      </c>
      <c r="BF33" s="1389">
        <v>1</v>
      </c>
      <c r="BG33" s="1389">
        <v>1.2</v>
      </c>
    </row>
    <row r="34" spans="1:59" s="401" customFormat="1" ht="12.75" customHeight="1">
      <c r="A34" s="1410">
        <v>79235</v>
      </c>
      <c r="B34" s="1436"/>
      <c r="C34" s="1411"/>
      <c r="D34" s="1413">
        <v>5</v>
      </c>
      <c r="E34" s="1414" t="s">
        <v>98</v>
      </c>
      <c r="F34" s="1415" t="s">
        <v>688</v>
      </c>
      <c r="G34" s="1416" t="s">
        <v>340</v>
      </c>
      <c r="H34" s="1417" t="s">
        <v>98</v>
      </c>
      <c r="I34" s="1418" t="s">
        <v>98</v>
      </c>
      <c r="J34" s="1419">
        <v>0</v>
      </c>
      <c r="K34" s="1416" t="s">
        <v>109</v>
      </c>
      <c r="L34" s="1416">
        <v>0</v>
      </c>
      <c r="M34" s="1420">
        <v>1</v>
      </c>
      <c r="N34" s="1421">
        <v>1.2620910621938648</v>
      </c>
      <c r="O34" s="1422" t="s">
        <v>3196</v>
      </c>
      <c r="P34" s="1416">
        <v>714</v>
      </c>
      <c r="Q34" s="1420">
        <v>1</v>
      </c>
      <c r="R34" s="1421">
        <v>1.2434566510799234</v>
      </c>
      <c r="S34" s="1422" t="s">
        <v>3193</v>
      </c>
      <c r="T34" s="1401"/>
      <c r="U34" s="1402"/>
      <c r="V34" s="1402"/>
      <c r="W34" s="1396"/>
      <c r="X34" s="1387">
        <v>3</v>
      </c>
      <c r="Y34" s="1387">
        <v>4</v>
      </c>
      <c r="Z34" s="1387">
        <v>1</v>
      </c>
      <c r="AA34" s="1387">
        <v>3</v>
      </c>
      <c r="AB34" s="1387">
        <v>1</v>
      </c>
      <c r="AC34" s="1398">
        <v>5</v>
      </c>
      <c r="AD34" s="1394">
        <v>3</v>
      </c>
      <c r="AE34" s="1380">
        <v>1.05</v>
      </c>
      <c r="AF34" s="1391">
        <v>1.2555818742947564</v>
      </c>
      <c r="AG34" s="1391">
        <v>1.2620910621938648</v>
      </c>
      <c r="AH34" s="1392" t="s">
        <v>3222</v>
      </c>
      <c r="AI34" s="1389">
        <v>1.1000000000000001</v>
      </c>
      <c r="AJ34" s="1389">
        <v>1.1000000000000001</v>
      </c>
      <c r="AK34" s="1389">
        <v>1</v>
      </c>
      <c r="AL34" s="1389">
        <v>1.02</v>
      </c>
      <c r="AM34" s="1389">
        <v>1</v>
      </c>
      <c r="AN34" s="1389">
        <v>1.2</v>
      </c>
      <c r="AO34" s="1401"/>
      <c r="AP34" s="1396" t="s">
        <v>673</v>
      </c>
      <c r="AQ34" s="1387">
        <v>2</v>
      </c>
      <c r="AR34" s="1387">
        <v>4</v>
      </c>
      <c r="AS34" s="1387">
        <v>1</v>
      </c>
      <c r="AT34" s="1387">
        <v>3</v>
      </c>
      <c r="AU34" s="1387">
        <v>1</v>
      </c>
      <c r="AV34" s="1387">
        <v>5</v>
      </c>
      <c r="AW34" s="1394">
        <v>3</v>
      </c>
      <c r="AX34" s="1380">
        <v>1.05</v>
      </c>
      <c r="AY34" s="1391">
        <v>1.2365959919080913</v>
      </c>
      <c r="AZ34" s="1391">
        <v>1.2434566510799234</v>
      </c>
      <c r="BA34" s="1392" t="s">
        <v>3226</v>
      </c>
      <c r="BB34" s="1389">
        <v>1.05</v>
      </c>
      <c r="BC34" s="1389">
        <v>1.1000000000000001</v>
      </c>
      <c r="BD34" s="1389">
        <v>1</v>
      </c>
      <c r="BE34" s="1389">
        <v>1.02</v>
      </c>
      <c r="BF34" s="1389">
        <v>1</v>
      </c>
      <c r="BG34" s="1389">
        <v>1.2</v>
      </c>
    </row>
    <row r="35" spans="1:59" s="401" customFormat="1" ht="12.75" customHeight="1">
      <c r="A35" s="1410">
        <v>263665</v>
      </c>
      <c r="B35" s="1436"/>
      <c r="C35" s="1411"/>
      <c r="D35" s="1454">
        <v>5</v>
      </c>
      <c r="E35" s="1455" t="s">
        <v>98</v>
      </c>
      <c r="F35" s="1447" t="s">
        <v>697</v>
      </c>
      <c r="G35" s="1448" t="s">
        <v>93</v>
      </c>
      <c r="H35" s="1456" t="s">
        <v>98</v>
      </c>
      <c r="I35" s="1449" t="s">
        <v>98</v>
      </c>
      <c r="J35" s="1450">
        <v>0</v>
      </c>
      <c r="K35" s="1448" t="s">
        <v>679</v>
      </c>
      <c r="L35" s="1448">
        <v>0</v>
      </c>
      <c r="M35" s="1451">
        <v>1</v>
      </c>
      <c r="N35" s="1452">
        <v>1.2620910621938648</v>
      </c>
      <c r="O35" s="1453" t="s">
        <v>3196</v>
      </c>
      <c r="P35" s="1448">
        <v>1034.8</v>
      </c>
      <c r="Q35" s="1451">
        <v>1</v>
      </c>
      <c r="R35" s="1452">
        <v>1.2434566510799234</v>
      </c>
      <c r="S35" s="1453" t="s">
        <v>3193</v>
      </c>
      <c r="T35" s="1401"/>
      <c r="U35" s="1402"/>
      <c r="V35" s="1402"/>
      <c r="W35" s="1396"/>
      <c r="X35" s="1387">
        <v>3</v>
      </c>
      <c r="Y35" s="1387">
        <v>4</v>
      </c>
      <c r="Z35" s="1387">
        <v>1</v>
      </c>
      <c r="AA35" s="1387">
        <v>3</v>
      </c>
      <c r="AB35" s="1387">
        <v>1</v>
      </c>
      <c r="AC35" s="1398">
        <v>5</v>
      </c>
      <c r="AD35" s="1394">
        <v>3</v>
      </c>
      <c r="AE35" s="1380">
        <v>1.05</v>
      </c>
      <c r="AF35" s="1391">
        <v>1.2555818742947564</v>
      </c>
      <c r="AG35" s="1391">
        <v>1.2620910621938648</v>
      </c>
      <c r="AH35" s="1392" t="s">
        <v>3222</v>
      </c>
      <c r="AI35" s="1389">
        <v>1.1000000000000001</v>
      </c>
      <c r="AJ35" s="1389">
        <v>1.1000000000000001</v>
      </c>
      <c r="AK35" s="1389">
        <v>1</v>
      </c>
      <c r="AL35" s="1389">
        <v>1.02</v>
      </c>
      <c r="AM35" s="1389">
        <v>1</v>
      </c>
      <c r="AN35" s="1389">
        <v>1.2</v>
      </c>
      <c r="AO35" s="1401"/>
      <c r="AP35" s="1396" t="s">
        <v>673</v>
      </c>
      <c r="AQ35" s="1387">
        <v>2</v>
      </c>
      <c r="AR35" s="1387">
        <v>4</v>
      </c>
      <c r="AS35" s="1387">
        <v>1</v>
      </c>
      <c r="AT35" s="1387">
        <v>3</v>
      </c>
      <c r="AU35" s="1387">
        <v>1</v>
      </c>
      <c r="AV35" s="1387">
        <v>5</v>
      </c>
      <c r="AW35" s="1394">
        <v>3</v>
      </c>
      <c r="AX35" s="1380">
        <v>1.05</v>
      </c>
      <c r="AY35" s="1391">
        <v>1.2365959919080913</v>
      </c>
      <c r="AZ35" s="1391">
        <v>1.2434566510799234</v>
      </c>
      <c r="BA35" s="1392" t="s">
        <v>3226</v>
      </c>
      <c r="BB35" s="1389">
        <v>1.05</v>
      </c>
      <c r="BC35" s="1389">
        <v>1.1000000000000001</v>
      </c>
      <c r="BD35" s="1389">
        <v>1</v>
      </c>
      <c r="BE35" s="1389">
        <v>1.02</v>
      </c>
      <c r="BF35" s="1389">
        <v>1</v>
      </c>
      <c r="BG35" s="1389">
        <v>1.2</v>
      </c>
    </row>
    <row r="36" spans="1:59" s="401" customFormat="1" ht="12.75" customHeight="1">
      <c r="A36" s="1410">
        <v>269445</v>
      </c>
      <c r="B36" s="1436"/>
      <c r="C36" s="1411"/>
      <c r="D36" s="1413">
        <v>5</v>
      </c>
      <c r="E36" s="1414" t="s">
        <v>98</v>
      </c>
      <c r="F36" s="1415" t="s">
        <v>682</v>
      </c>
      <c r="G36" s="1416" t="s">
        <v>93</v>
      </c>
      <c r="H36" s="1417" t="s">
        <v>98</v>
      </c>
      <c r="I36" s="1418" t="s">
        <v>98</v>
      </c>
      <c r="J36" s="1419">
        <v>0</v>
      </c>
      <c r="K36" s="1416" t="s">
        <v>96</v>
      </c>
      <c r="L36" s="1416">
        <v>0</v>
      </c>
      <c r="M36" s="1420">
        <v>1</v>
      </c>
      <c r="N36" s="1421">
        <v>1.2620910621938648</v>
      </c>
      <c r="O36" s="1422" t="s">
        <v>3196</v>
      </c>
      <c r="P36" s="1416">
        <v>360</v>
      </c>
      <c r="Q36" s="1420">
        <v>1</v>
      </c>
      <c r="R36" s="1421">
        <v>1.2434566510799234</v>
      </c>
      <c r="S36" s="1422" t="s">
        <v>3193</v>
      </c>
      <c r="T36" s="1401"/>
      <c r="U36" s="1402"/>
      <c r="V36" s="1402"/>
      <c r="W36" s="1396"/>
      <c r="X36" s="1387">
        <v>3</v>
      </c>
      <c r="Y36" s="1387">
        <v>4</v>
      </c>
      <c r="Z36" s="1387">
        <v>1</v>
      </c>
      <c r="AA36" s="1387">
        <v>3</v>
      </c>
      <c r="AB36" s="1387">
        <v>1</v>
      </c>
      <c r="AC36" s="1398">
        <v>5</v>
      </c>
      <c r="AD36" s="1394">
        <v>3</v>
      </c>
      <c r="AE36" s="1380">
        <v>1.05</v>
      </c>
      <c r="AF36" s="1391">
        <v>1.2555818742947564</v>
      </c>
      <c r="AG36" s="1391">
        <v>1.2620910621938648</v>
      </c>
      <c r="AH36" s="1392" t="s">
        <v>3222</v>
      </c>
      <c r="AI36" s="1389">
        <v>1.1000000000000001</v>
      </c>
      <c r="AJ36" s="1389">
        <v>1.1000000000000001</v>
      </c>
      <c r="AK36" s="1389">
        <v>1</v>
      </c>
      <c r="AL36" s="1389">
        <v>1.02</v>
      </c>
      <c r="AM36" s="1389">
        <v>1</v>
      </c>
      <c r="AN36" s="1389">
        <v>1.2</v>
      </c>
      <c r="AO36" s="1401"/>
      <c r="AP36" s="1396" t="s">
        <v>673</v>
      </c>
      <c r="AQ36" s="1387">
        <v>2</v>
      </c>
      <c r="AR36" s="1387">
        <v>4</v>
      </c>
      <c r="AS36" s="1387">
        <v>1</v>
      </c>
      <c r="AT36" s="1387">
        <v>3</v>
      </c>
      <c r="AU36" s="1387">
        <v>1</v>
      </c>
      <c r="AV36" s="1387">
        <v>5</v>
      </c>
      <c r="AW36" s="1394">
        <v>3</v>
      </c>
      <c r="AX36" s="1380">
        <v>1.05</v>
      </c>
      <c r="AY36" s="1391">
        <v>1.2365959919080913</v>
      </c>
      <c r="AZ36" s="1391">
        <v>1.2434566510799234</v>
      </c>
      <c r="BA36" s="1392" t="s">
        <v>3226</v>
      </c>
      <c r="BB36" s="1389">
        <v>1.05</v>
      </c>
      <c r="BC36" s="1389">
        <v>1.1000000000000001</v>
      </c>
      <c r="BD36" s="1389">
        <v>1</v>
      </c>
      <c r="BE36" s="1389">
        <v>1.02</v>
      </c>
      <c r="BF36" s="1389">
        <v>1</v>
      </c>
      <c r="BG36" s="1389">
        <v>1.2</v>
      </c>
    </row>
    <row r="37" spans="1:59" s="401" customFormat="1" ht="12.75" customHeight="1">
      <c r="A37" s="1410">
        <v>266627</v>
      </c>
      <c r="B37" s="1436"/>
      <c r="C37" s="1411"/>
      <c r="D37" s="1454">
        <v>5</v>
      </c>
      <c r="E37" s="1455" t="s">
        <v>98</v>
      </c>
      <c r="F37" s="1447" t="s">
        <v>634</v>
      </c>
      <c r="G37" s="1448" t="s">
        <v>93</v>
      </c>
      <c r="H37" s="1456" t="s">
        <v>98</v>
      </c>
      <c r="I37" s="1449" t="s">
        <v>98</v>
      </c>
      <c r="J37" s="1450">
        <v>0</v>
      </c>
      <c r="K37" s="1448" t="s">
        <v>96</v>
      </c>
      <c r="L37" s="1448">
        <v>0</v>
      </c>
      <c r="M37" s="1451">
        <v>1</v>
      </c>
      <c r="N37" s="1452">
        <v>1.2620910621938648</v>
      </c>
      <c r="O37" s="1453" t="s">
        <v>3196</v>
      </c>
      <c r="P37" s="1448">
        <v>360</v>
      </c>
      <c r="Q37" s="1451">
        <v>1</v>
      </c>
      <c r="R37" s="1452">
        <v>1.2434566510799234</v>
      </c>
      <c r="S37" s="1453" t="s">
        <v>3193</v>
      </c>
      <c r="T37" s="1401"/>
      <c r="U37" s="1402"/>
      <c r="V37" s="1402"/>
      <c r="W37" s="1396"/>
      <c r="X37" s="1387">
        <v>3</v>
      </c>
      <c r="Y37" s="1387">
        <v>4</v>
      </c>
      <c r="Z37" s="1387">
        <v>1</v>
      </c>
      <c r="AA37" s="1387">
        <v>3</v>
      </c>
      <c r="AB37" s="1387">
        <v>1</v>
      </c>
      <c r="AC37" s="1398">
        <v>5</v>
      </c>
      <c r="AD37" s="1394">
        <v>3</v>
      </c>
      <c r="AE37" s="1380">
        <v>1.05</v>
      </c>
      <c r="AF37" s="1391">
        <v>1.2555818742947564</v>
      </c>
      <c r="AG37" s="1391">
        <v>1.2620910621938648</v>
      </c>
      <c r="AH37" s="1392" t="s">
        <v>3222</v>
      </c>
      <c r="AI37" s="1389">
        <v>1.1000000000000001</v>
      </c>
      <c r="AJ37" s="1389">
        <v>1.1000000000000001</v>
      </c>
      <c r="AK37" s="1389">
        <v>1</v>
      </c>
      <c r="AL37" s="1389">
        <v>1.02</v>
      </c>
      <c r="AM37" s="1389">
        <v>1</v>
      </c>
      <c r="AN37" s="1389">
        <v>1.2</v>
      </c>
      <c r="AO37" s="1401"/>
      <c r="AP37" s="1396" t="s">
        <v>673</v>
      </c>
      <c r="AQ37" s="1387">
        <v>2</v>
      </c>
      <c r="AR37" s="1387">
        <v>4</v>
      </c>
      <c r="AS37" s="1387">
        <v>1</v>
      </c>
      <c r="AT37" s="1387">
        <v>3</v>
      </c>
      <c r="AU37" s="1387">
        <v>1</v>
      </c>
      <c r="AV37" s="1387">
        <v>5</v>
      </c>
      <c r="AW37" s="1394">
        <v>3</v>
      </c>
      <c r="AX37" s="1380">
        <v>1.05</v>
      </c>
      <c r="AY37" s="1391">
        <v>1.2365959919080913</v>
      </c>
      <c r="AZ37" s="1391">
        <v>1.2434566510799234</v>
      </c>
      <c r="BA37" s="1392" t="s">
        <v>3226</v>
      </c>
      <c r="BB37" s="1389">
        <v>1.05</v>
      </c>
      <c r="BC37" s="1389">
        <v>1.1000000000000001</v>
      </c>
      <c r="BD37" s="1389">
        <v>1</v>
      </c>
      <c r="BE37" s="1389">
        <v>1.02</v>
      </c>
      <c r="BF37" s="1389">
        <v>1</v>
      </c>
      <c r="BG37" s="1389">
        <v>1.2</v>
      </c>
    </row>
    <row r="38" spans="1:59" s="401" customFormat="1" ht="24" customHeight="1">
      <c r="A38" s="1410">
        <v>255515</v>
      </c>
      <c r="B38" s="1436"/>
      <c r="C38" s="1411"/>
      <c r="D38" s="1413">
        <v>5</v>
      </c>
      <c r="E38" s="1414" t="s">
        <v>98</v>
      </c>
      <c r="F38" s="1415" t="s">
        <v>698</v>
      </c>
      <c r="G38" s="1416" t="s">
        <v>103</v>
      </c>
      <c r="H38" s="1417" t="s">
        <v>98</v>
      </c>
      <c r="I38" s="1418" t="s">
        <v>98</v>
      </c>
      <c r="J38" s="1419">
        <v>0</v>
      </c>
      <c r="K38" s="1416" t="s">
        <v>679</v>
      </c>
      <c r="L38" s="1416">
        <v>0</v>
      </c>
      <c r="M38" s="1420">
        <v>1</v>
      </c>
      <c r="N38" s="1421">
        <v>1.2620910621938648</v>
      </c>
      <c r="O38" s="1422" t="s">
        <v>3196</v>
      </c>
      <c r="P38" s="1416">
        <v>93.1</v>
      </c>
      <c r="Q38" s="1420">
        <v>1</v>
      </c>
      <c r="R38" s="1421">
        <v>1.2434566510799234</v>
      </c>
      <c r="S38" s="1422" t="s">
        <v>3193</v>
      </c>
      <c r="T38" s="1401"/>
      <c r="U38" s="1402"/>
      <c r="V38" s="1402"/>
      <c r="W38" s="1396"/>
      <c r="X38" s="1387">
        <v>3</v>
      </c>
      <c r="Y38" s="1387">
        <v>4</v>
      </c>
      <c r="Z38" s="1387">
        <v>1</v>
      </c>
      <c r="AA38" s="1387">
        <v>3</v>
      </c>
      <c r="AB38" s="1387">
        <v>1</v>
      </c>
      <c r="AC38" s="1398">
        <v>5</v>
      </c>
      <c r="AD38" s="1394">
        <v>3</v>
      </c>
      <c r="AE38" s="1380">
        <v>1.05</v>
      </c>
      <c r="AF38" s="1391">
        <v>1.2555818742947564</v>
      </c>
      <c r="AG38" s="1391">
        <v>1.2620910621938648</v>
      </c>
      <c r="AH38" s="1392" t="s">
        <v>3222</v>
      </c>
      <c r="AI38" s="1389">
        <v>1.1000000000000001</v>
      </c>
      <c r="AJ38" s="1389">
        <v>1.1000000000000001</v>
      </c>
      <c r="AK38" s="1389">
        <v>1</v>
      </c>
      <c r="AL38" s="1389">
        <v>1.02</v>
      </c>
      <c r="AM38" s="1389">
        <v>1</v>
      </c>
      <c r="AN38" s="1389">
        <v>1.2</v>
      </c>
      <c r="AO38" s="1401"/>
      <c r="AP38" s="1396" t="s">
        <v>673</v>
      </c>
      <c r="AQ38" s="1387">
        <v>2</v>
      </c>
      <c r="AR38" s="1387">
        <v>4</v>
      </c>
      <c r="AS38" s="1387">
        <v>1</v>
      </c>
      <c r="AT38" s="1387">
        <v>3</v>
      </c>
      <c r="AU38" s="1387">
        <v>1</v>
      </c>
      <c r="AV38" s="1387">
        <v>5</v>
      </c>
      <c r="AW38" s="1394">
        <v>3</v>
      </c>
      <c r="AX38" s="1380">
        <v>1.05</v>
      </c>
      <c r="AY38" s="1391">
        <v>1.2365959919080913</v>
      </c>
      <c r="AZ38" s="1391">
        <v>1.2434566510799234</v>
      </c>
      <c r="BA38" s="1392" t="s">
        <v>3226</v>
      </c>
      <c r="BB38" s="1389">
        <v>1.05</v>
      </c>
      <c r="BC38" s="1389">
        <v>1.1000000000000001</v>
      </c>
      <c r="BD38" s="1389">
        <v>1</v>
      </c>
      <c r="BE38" s="1389">
        <v>1.02</v>
      </c>
      <c r="BF38" s="1389">
        <v>1</v>
      </c>
      <c r="BG38" s="1389">
        <v>1.2</v>
      </c>
    </row>
    <row r="39" spans="1:59" s="401" customFormat="1" ht="12.75" customHeight="1">
      <c r="A39" s="1410">
        <v>79235</v>
      </c>
      <c r="B39" s="1412" t="s">
        <v>699</v>
      </c>
      <c r="C39" s="1411"/>
      <c r="D39" s="1454">
        <v>5</v>
      </c>
      <c r="E39" s="1455" t="s">
        <v>98</v>
      </c>
      <c r="F39" s="1447" t="s">
        <v>688</v>
      </c>
      <c r="G39" s="1448" t="s">
        <v>340</v>
      </c>
      <c r="H39" s="1456" t="s">
        <v>98</v>
      </c>
      <c r="I39" s="1449" t="s">
        <v>98</v>
      </c>
      <c r="J39" s="1450">
        <v>0</v>
      </c>
      <c r="K39" s="1448" t="s">
        <v>109</v>
      </c>
      <c r="L39" s="1448">
        <v>0</v>
      </c>
      <c r="M39" s="1451">
        <v>1</v>
      </c>
      <c r="N39" s="1452">
        <v>1.2620910621938648</v>
      </c>
      <c r="O39" s="1453" t="s">
        <v>3196</v>
      </c>
      <c r="P39" s="1448">
        <v>209375</v>
      </c>
      <c r="Q39" s="1451">
        <v>1</v>
      </c>
      <c r="R39" s="1452">
        <v>1.2434566510799234</v>
      </c>
      <c r="S39" s="1453" t="s">
        <v>3193</v>
      </c>
      <c r="T39" s="1401"/>
      <c r="U39" s="1402"/>
      <c r="V39" s="1402"/>
      <c r="W39" s="1396"/>
      <c r="X39" s="1387">
        <v>3</v>
      </c>
      <c r="Y39" s="1387">
        <v>4</v>
      </c>
      <c r="Z39" s="1387">
        <v>1</v>
      </c>
      <c r="AA39" s="1387">
        <v>3</v>
      </c>
      <c r="AB39" s="1387">
        <v>1</v>
      </c>
      <c r="AC39" s="1398">
        <v>5</v>
      </c>
      <c r="AD39" s="1394">
        <v>3</v>
      </c>
      <c r="AE39" s="1380">
        <v>1.05</v>
      </c>
      <c r="AF39" s="1391">
        <v>1.2555818742947564</v>
      </c>
      <c r="AG39" s="1391">
        <v>1.2620910621938648</v>
      </c>
      <c r="AH39" s="1392" t="s">
        <v>3222</v>
      </c>
      <c r="AI39" s="1389">
        <v>1.1000000000000001</v>
      </c>
      <c r="AJ39" s="1389">
        <v>1.1000000000000001</v>
      </c>
      <c r="AK39" s="1389">
        <v>1</v>
      </c>
      <c r="AL39" s="1389">
        <v>1.02</v>
      </c>
      <c r="AM39" s="1389">
        <v>1</v>
      </c>
      <c r="AN39" s="1389">
        <v>1.2</v>
      </c>
      <c r="AO39" s="1401"/>
      <c r="AP39" s="1396" t="s">
        <v>673</v>
      </c>
      <c r="AQ39" s="1387">
        <v>2</v>
      </c>
      <c r="AR39" s="1387">
        <v>4</v>
      </c>
      <c r="AS39" s="1387">
        <v>1</v>
      </c>
      <c r="AT39" s="1387">
        <v>3</v>
      </c>
      <c r="AU39" s="1387">
        <v>1</v>
      </c>
      <c r="AV39" s="1387">
        <v>5</v>
      </c>
      <c r="AW39" s="1394">
        <v>3</v>
      </c>
      <c r="AX39" s="1380">
        <v>1.05</v>
      </c>
      <c r="AY39" s="1391">
        <v>1.2365959919080913</v>
      </c>
      <c r="AZ39" s="1391">
        <v>1.2434566510799234</v>
      </c>
      <c r="BA39" s="1392" t="s">
        <v>3226</v>
      </c>
      <c r="BB39" s="1389">
        <v>1.05</v>
      </c>
      <c r="BC39" s="1389">
        <v>1.1000000000000001</v>
      </c>
      <c r="BD39" s="1389">
        <v>1</v>
      </c>
      <c r="BE39" s="1389">
        <v>1.02</v>
      </c>
      <c r="BF39" s="1389">
        <v>1</v>
      </c>
      <c r="BG39" s="1389">
        <v>1.2</v>
      </c>
    </row>
    <row r="40" spans="1:59" s="401" customFormat="1" ht="23.25" customHeight="1">
      <c r="A40" s="1410">
        <v>267287</v>
      </c>
      <c r="B40" s="1436"/>
      <c r="C40" s="1411"/>
      <c r="D40" s="1413">
        <v>5</v>
      </c>
      <c r="E40" s="1414" t="s">
        <v>98</v>
      </c>
      <c r="F40" s="1415" t="s">
        <v>690</v>
      </c>
      <c r="G40" s="1416" t="s">
        <v>154</v>
      </c>
      <c r="H40" s="1417" t="s">
        <v>98</v>
      </c>
      <c r="I40" s="1418" t="s">
        <v>98</v>
      </c>
      <c r="J40" s="1419">
        <v>0</v>
      </c>
      <c r="K40" s="1416" t="s">
        <v>104</v>
      </c>
      <c r="L40" s="1416">
        <v>0</v>
      </c>
      <c r="M40" s="1420">
        <v>1</v>
      </c>
      <c r="N40" s="1421">
        <v>1.2620910621938648</v>
      </c>
      <c r="O40" s="1422" t="s">
        <v>3196</v>
      </c>
      <c r="P40" s="1416">
        <v>3552212.1816503387</v>
      </c>
      <c r="Q40" s="1420">
        <v>1</v>
      </c>
      <c r="R40" s="1421">
        <v>1.2434566510799234</v>
      </c>
      <c r="S40" s="1422" t="s">
        <v>3201</v>
      </c>
      <c r="T40" s="1401"/>
      <c r="U40" s="1402"/>
      <c r="V40" s="1402"/>
      <c r="W40" s="1396"/>
      <c r="X40" s="1387">
        <v>3</v>
      </c>
      <c r="Y40" s="1387">
        <v>4</v>
      </c>
      <c r="Z40" s="1387">
        <v>1</v>
      </c>
      <c r="AA40" s="1387">
        <v>3</v>
      </c>
      <c r="AB40" s="1387">
        <v>1</v>
      </c>
      <c r="AC40" s="1398">
        <v>5</v>
      </c>
      <c r="AD40" s="1394">
        <v>1</v>
      </c>
      <c r="AE40" s="1380">
        <v>1.05</v>
      </c>
      <c r="AF40" s="1391">
        <v>1.2555818742947564</v>
      </c>
      <c r="AG40" s="1391">
        <v>1.2620910621938648</v>
      </c>
      <c r="AH40" s="1392" t="s">
        <v>3222</v>
      </c>
      <c r="AI40" s="1389">
        <v>1.1000000000000001</v>
      </c>
      <c r="AJ40" s="1389">
        <v>1.1000000000000001</v>
      </c>
      <c r="AK40" s="1389">
        <v>1</v>
      </c>
      <c r="AL40" s="1389">
        <v>1.02</v>
      </c>
      <c r="AM40" s="1389">
        <v>1</v>
      </c>
      <c r="AN40" s="1389">
        <v>1.2</v>
      </c>
      <c r="AO40" s="1401"/>
      <c r="AP40" s="1396" t="s">
        <v>692</v>
      </c>
      <c r="AQ40" s="1387">
        <v>2</v>
      </c>
      <c r="AR40" s="1387">
        <v>4</v>
      </c>
      <c r="AS40" s="1387">
        <v>1</v>
      </c>
      <c r="AT40" s="1387">
        <v>3</v>
      </c>
      <c r="AU40" s="1387">
        <v>1</v>
      </c>
      <c r="AV40" s="1387">
        <v>5</v>
      </c>
      <c r="AW40" s="1394">
        <v>1</v>
      </c>
      <c r="AX40" s="1380">
        <v>1.05</v>
      </c>
      <c r="AY40" s="1391">
        <v>1.2365959919080913</v>
      </c>
      <c r="AZ40" s="1391">
        <v>1.2434566510799234</v>
      </c>
      <c r="BA40" s="1392" t="s">
        <v>3226</v>
      </c>
      <c r="BB40" s="1389">
        <v>1.05</v>
      </c>
      <c r="BC40" s="1389">
        <v>1.1000000000000001</v>
      </c>
      <c r="BD40" s="1389">
        <v>1</v>
      </c>
      <c r="BE40" s="1389">
        <v>1.02</v>
      </c>
      <c r="BF40" s="1389">
        <v>1</v>
      </c>
      <c r="BG40" s="1389">
        <v>1.2</v>
      </c>
    </row>
    <row r="41" spans="1:59" s="401" customFormat="1" ht="23.25" customHeight="1">
      <c r="A41" s="1410">
        <v>267287</v>
      </c>
      <c r="B41" s="1436"/>
      <c r="C41" s="1411"/>
      <c r="D41" s="1454">
        <v>5</v>
      </c>
      <c r="E41" s="1455" t="s">
        <v>98</v>
      </c>
      <c r="F41" s="1447" t="s">
        <v>690</v>
      </c>
      <c r="G41" s="1448" t="s">
        <v>154</v>
      </c>
      <c r="H41" s="1456" t="s">
        <v>98</v>
      </c>
      <c r="I41" s="1449" t="s">
        <v>98</v>
      </c>
      <c r="J41" s="1450">
        <v>0</v>
      </c>
      <c r="K41" s="1448" t="s">
        <v>104</v>
      </c>
      <c r="L41" s="1448">
        <v>0</v>
      </c>
      <c r="M41" s="1451">
        <v>1</v>
      </c>
      <c r="N41" s="1452">
        <v>1.2620910621938648</v>
      </c>
      <c r="O41" s="1453" t="s">
        <v>3196</v>
      </c>
      <c r="P41" s="1448">
        <v>19771791.759947266</v>
      </c>
      <c r="Q41" s="1451">
        <v>1</v>
      </c>
      <c r="R41" s="1452">
        <v>1.2434566510799234</v>
      </c>
      <c r="S41" s="1453" t="s">
        <v>3202</v>
      </c>
      <c r="T41" s="1401"/>
      <c r="U41" s="1402"/>
      <c r="V41" s="1402"/>
      <c r="W41" s="1396"/>
      <c r="X41" s="1387">
        <v>3</v>
      </c>
      <c r="Y41" s="1387">
        <v>4</v>
      </c>
      <c r="Z41" s="1387">
        <v>1</v>
      </c>
      <c r="AA41" s="1387">
        <v>3</v>
      </c>
      <c r="AB41" s="1387">
        <v>1</v>
      </c>
      <c r="AC41" s="1398">
        <v>5</v>
      </c>
      <c r="AD41" s="1394">
        <v>1</v>
      </c>
      <c r="AE41" s="1380">
        <v>1.05</v>
      </c>
      <c r="AF41" s="1391">
        <v>1.2555818742947564</v>
      </c>
      <c r="AG41" s="1391">
        <v>1.2620910621938648</v>
      </c>
      <c r="AH41" s="1392" t="s">
        <v>3222</v>
      </c>
      <c r="AI41" s="1389">
        <v>1.1000000000000001</v>
      </c>
      <c r="AJ41" s="1389">
        <v>1.1000000000000001</v>
      </c>
      <c r="AK41" s="1389">
        <v>1</v>
      </c>
      <c r="AL41" s="1389">
        <v>1.02</v>
      </c>
      <c r="AM41" s="1389">
        <v>1</v>
      </c>
      <c r="AN41" s="1389">
        <v>1.2</v>
      </c>
      <c r="AO41" s="1401"/>
      <c r="AP41" s="1396" t="s">
        <v>693</v>
      </c>
      <c r="AQ41" s="1387">
        <v>2</v>
      </c>
      <c r="AR41" s="1387">
        <v>4</v>
      </c>
      <c r="AS41" s="1387">
        <v>1</v>
      </c>
      <c r="AT41" s="1387">
        <v>3</v>
      </c>
      <c r="AU41" s="1387">
        <v>1</v>
      </c>
      <c r="AV41" s="1387">
        <v>5</v>
      </c>
      <c r="AW41" s="1394">
        <v>1</v>
      </c>
      <c r="AX41" s="1380">
        <v>1.05</v>
      </c>
      <c r="AY41" s="1391">
        <v>1.2365959919080913</v>
      </c>
      <c r="AZ41" s="1391">
        <v>1.2434566510799234</v>
      </c>
      <c r="BA41" s="1392" t="s">
        <v>3226</v>
      </c>
      <c r="BB41" s="1389">
        <v>1.05</v>
      </c>
      <c r="BC41" s="1389">
        <v>1.1000000000000001</v>
      </c>
      <c r="BD41" s="1389">
        <v>1</v>
      </c>
      <c r="BE41" s="1389">
        <v>1.02</v>
      </c>
      <c r="BF41" s="1389">
        <v>1</v>
      </c>
      <c r="BG41" s="1389">
        <v>1.2</v>
      </c>
    </row>
    <row r="42" spans="1:59" s="401" customFormat="1" ht="28.5" customHeight="1">
      <c r="A42" s="1410">
        <v>265477</v>
      </c>
      <c r="B42" s="1436"/>
      <c r="C42" s="1411"/>
      <c r="D42" s="1413">
        <v>5</v>
      </c>
      <c r="E42" s="1414" t="s">
        <v>98</v>
      </c>
      <c r="F42" s="1415" t="s">
        <v>700</v>
      </c>
      <c r="G42" s="1416" t="s">
        <v>103</v>
      </c>
      <c r="H42" s="1417" t="s">
        <v>98</v>
      </c>
      <c r="I42" s="1418" t="s">
        <v>98</v>
      </c>
      <c r="J42" s="1419">
        <v>0</v>
      </c>
      <c r="K42" s="1416" t="s">
        <v>115</v>
      </c>
      <c r="L42" s="1416">
        <v>0</v>
      </c>
      <c r="M42" s="1420">
        <v>1</v>
      </c>
      <c r="N42" s="1421">
        <v>2.0741629046031922</v>
      </c>
      <c r="O42" s="1422" t="s">
        <v>3196</v>
      </c>
      <c r="P42" s="1416">
        <v>152325</v>
      </c>
      <c r="Q42" s="1420">
        <v>1</v>
      </c>
      <c r="R42" s="1421">
        <v>2.0646254680556719</v>
      </c>
      <c r="S42" s="1422" t="s">
        <v>3193</v>
      </c>
      <c r="T42" s="1401"/>
      <c r="U42" s="1402"/>
      <c r="V42" s="1402"/>
      <c r="W42" s="1396"/>
      <c r="X42" s="1387">
        <v>3</v>
      </c>
      <c r="Y42" s="1387">
        <v>4</v>
      </c>
      <c r="Z42" s="1387">
        <v>1</v>
      </c>
      <c r="AA42" s="1387">
        <v>3</v>
      </c>
      <c r="AB42" s="1387">
        <v>1</v>
      </c>
      <c r="AC42" s="1398">
        <v>5</v>
      </c>
      <c r="AD42" s="1394">
        <v>5</v>
      </c>
      <c r="AE42" s="1380">
        <v>2</v>
      </c>
      <c r="AF42" s="1391">
        <v>1.2555818742947564</v>
      </c>
      <c r="AG42" s="1391">
        <v>2.0741629046031922</v>
      </c>
      <c r="AH42" s="1392" t="s">
        <v>3222</v>
      </c>
      <c r="AI42" s="1389">
        <v>1.1000000000000001</v>
      </c>
      <c r="AJ42" s="1389">
        <v>1.1000000000000001</v>
      </c>
      <c r="AK42" s="1389">
        <v>1</v>
      </c>
      <c r="AL42" s="1389">
        <v>1.02</v>
      </c>
      <c r="AM42" s="1389">
        <v>1</v>
      </c>
      <c r="AN42" s="1389">
        <v>1.2</v>
      </c>
      <c r="AO42" s="1401"/>
      <c r="AP42" s="1396" t="s">
        <v>673</v>
      </c>
      <c r="AQ42" s="1387">
        <v>2</v>
      </c>
      <c r="AR42" s="1387">
        <v>4</v>
      </c>
      <c r="AS42" s="1387">
        <v>1</v>
      </c>
      <c r="AT42" s="1387">
        <v>3</v>
      </c>
      <c r="AU42" s="1387">
        <v>1</v>
      </c>
      <c r="AV42" s="1387">
        <v>5</v>
      </c>
      <c r="AW42" s="1394">
        <v>5</v>
      </c>
      <c r="AX42" s="1380">
        <v>2</v>
      </c>
      <c r="AY42" s="1391">
        <v>1.2365959919080913</v>
      </c>
      <c r="AZ42" s="1391">
        <v>2.0646254680556719</v>
      </c>
      <c r="BA42" s="1392" t="s">
        <v>3226</v>
      </c>
      <c r="BB42" s="1389">
        <v>1.05</v>
      </c>
      <c r="BC42" s="1389">
        <v>1.1000000000000001</v>
      </c>
      <c r="BD42" s="1389">
        <v>1</v>
      </c>
      <c r="BE42" s="1389">
        <v>1.02</v>
      </c>
      <c r="BF42" s="1389">
        <v>1</v>
      </c>
      <c r="BG42" s="1389">
        <v>1.2</v>
      </c>
    </row>
    <row r="43" spans="1:59" s="401" customFormat="1" ht="12.75" customHeight="1">
      <c r="A43" s="1410">
        <v>269641</v>
      </c>
      <c r="B43" s="1436"/>
      <c r="C43" s="1411"/>
      <c r="D43" s="1454">
        <v>5</v>
      </c>
      <c r="E43" s="1455" t="s">
        <v>98</v>
      </c>
      <c r="F43" s="1447" t="s">
        <v>240</v>
      </c>
      <c r="G43" s="1448" t="s">
        <v>93</v>
      </c>
      <c r="H43" s="1456" t="s">
        <v>98</v>
      </c>
      <c r="I43" s="1449" t="s">
        <v>98</v>
      </c>
      <c r="J43" s="1450">
        <v>0</v>
      </c>
      <c r="K43" s="1448" t="s">
        <v>115</v>
      </c>
      <c r="L43" s="1448">
        <v>0</v>
      </c>
      <c r="M43" s="1451">
        <v>1</v>
      </c>
      <c r="N43" s="1452">
        <v>2.0741629046031922</v>
      </c>
      <c r="O43" s="1453" t="s">
        <v>3196</v>
      </c>
      <c r="P43" s="1448">
        <v>752246.10000000009</v>
      </c>
      <c r="Q43" s="1451">
        <v>1</v>
      </c>
      <c r="R43" s="1452">
        <v>2.0646254680556719</v>
      </c>
      <c r="S43" s="1453" t="s">
        <v>3193</v>
      </c>
      <c r="T43" s="1401"/>
      <c r="U43" s="1402"/>
      <c r="V43" s="1402"/>
      <c r="W43" s="1396"/>
      <c r="X43" s="1387">
        <v>3</v>
      </c>
      <c r="Y43" s="1387">
        <v>4</v>
      </c>
      <c r="Z43" s="1387">
        <v>1</v>
      </c>
      <c r="AA43" s="1387">
        <v>3</v>
      </c>
      <c r="AB43" s="1387">
        <v>1</v>
      </c>
      <c r="AC43" s="1398">
        <v>5</v>
      </c>
      <c r="AD43" s="1394">
        <v>5</v>
      </c>
      <c r="AE43" s="1380">
        <v>2</v>
      </c>
      <c r="AF43" s="1391">
        <v>1.2555818742947564</v>
      </c>
      <c r="AG43" s="1391">
        <v>2.0741629046031922</v>
      </c>
      <c r="AH43" s="1392" t="s">
        <v>3222</v>
      </c>
      <c r="AI43" s="1389">
        <v>1.1000000000000001</v>
      </c>
      <c r="AJ43" s="1389">
        <v>1.1000000000000001</v>
      </c>
      <c r="AK43" s="1389">
        <v>1</v>
      </c>
      <c r="AL43" s="1389">
        <v>1.02</v>
      </c>
      <c r="AM43" s="1389">
        <v>1</v>
      </c>
      <c r="AN43" s="1389">
        <v>1.2</v>
      </c>
      <c r="AO43" s="1401"/>
      <c r="AP43" s="1396" t="s">
        <v>673</v>
      </c>
      <c r="AQ43" s="1387">
        <v>2</v>
      </c>
      <c r="AR43" s="1387">
        <v>4</v>
      </c>
      <c r="AS43" s="1387">
        <v>1</v>
      </c>
      <c r="AT43" s="1387">
        <v>3</v>
      </c>
      <c r="AU43" s="1387">
        <v>1</v>
      </c>
      <c r="AV43" s="1387">
        <v>5</v>
      </c>
      <c r="AW43" s="1394">
        <v>5</v>
      </c>
      <c r="AX43" s="1380">
        <v>2</v>
      </c>
      <c r="AY43" s="1391">
        <v>1.2365959919080913</v>
      </c>
      <c r="AZ43" s="1391">
        <v>2.0646254680556719</v>
      </c>
      <c r="BA43" s="1392" t="s">
        <v>3226</v>
      </c>
      <c r="BB43" s="1389">
        <v>1.05</v>
      </c>
      <c r="BC43" s="1389">
        <v>1.1000000000000001</v>
      </c>
      <c r="BD43" s="1389">
        <v>1</v>
      </c>
      <c r="BE43" s="1389">
        <v>1.02</v>
      </c>
      <c r="BF43" s="1389">
        <v>1</v>
      </c>
      <c r="BG43" s="1389">
        <v>1.2</v>
      </c>
    </row>
    <row r="44" spans="1:59" s="401" customFormat="1" ht="36" customHeight="1">
      <c r="A44" s="1410">
        <v>269643</v>
      </c>
      <c r="B44" s="1412" t="s">
        <v>701</v>
      </c>
      <c r="C44" s="1411"/>
      <c r="D44" s="1413">
        <v>5</v>
      </c>
      <c r="E44" s="1414" t="s">
        <v>98</v>
      </c>
      <c r="F44" s="1415" t="s">
        <v>702</v>
      </c>
      <c r="G44" s="1416" t="s">
        <v>103</v>
      </c>
      <c r="H44" s="1417" t="s">
        <v>98</v>
      </c>
      <c r="I44" s="1418" t="s">
        <v>98</v>
      </c>
      <c r="J44" s="1419">
        <v>0</v>
      </c>
      <c r="K44" s="1416" t="s">
        <v>119</v>
      </c>
      <c r="L44" s="1416">
        <v>0</v>
      </c>
      <c r="M44" s="1420">
        <v>1</v>
      </c>
      <c r="N44" s="1421">
        <v>1.2620910621938648</v>
      </c>
      <c r="O44" s="1422" t="s">
        <v>3196</v>
      </c>
      <c r="P44" s="1416">
        <v>17952</v>
      </c>
      <c r="Q44" s="1420">
        <v>1</v>
      </c>
      <c r="R44" s="1421">
        <v>1.2434566510799234</v>
      </c>
      <c r="S44" s="1422" t="s">
        <v>3203</v>
      </c>
      <c r="T44" s="1401"/>
      <c r="U44" s="1402"/>
      <c r="V44" s="1402"/>
      <c r="W44" s="1396"/>
      <c r="X44" s="1387">
        <v>3</v>
      </c>
      <c r="Y44" s="1387">
        <v>4</v>
      </c>
      <c r="Z44" s="1387">
        <v>1</v>
      </c>
      <c r="AA44" s="1387">
        <v>3</v>
      </c>
      <c r="AB44" s="1387">
        <v>1</v>
      </c>
      <c r="AC44" s="1398">
        <v>5</v>
      </c>
      <c r="AD44" s="1394">
        <v>3</v>
      </c>
      <c r="AE44" s="1380">
        <v>1.05</v>
      </c>
      <c r="AF44" s="1391">
        <v>1.2555818742947564</v>
      </c>
      <c r="AG44" s="1391">
        <v>1.2620910621938648</v>
      </c>
      <c r="AH44" s="1392" t="s">
        <v>3222</v>
      </c>
      <c r="AI44" s="1389">
        <v>1.1000000000000001</v>
      </c>
      <c r="AJ44" s="1389">
        <v>1.1000000000000001</v>
      </c>
      <c r="AK44" s="1389">
        <v>1</v>
      </c>
      <c r="AL44" s="1389">
        <v>1.02</v>
      </c>
      <c r="AM44" s="1389">
        <v>1</v>
      </c>
      <c r="AN44" s="1389">
        <v>1.2</v>
      </c>
      <c r="AO44" s="1401"/>
      <c r="AP44" s="1396" t="s">
        <v>703</v>
      </c>
      <c r="AQ44" s="1387">
        <v>2</v>
      </c>
      <c r="AR44" s="1387">
        <v>4</v>
      </c>
      <c r="AS44" s="1387">
        <v>1</v>
      </c>
      <c r="AT44" s="1387">
        <v>3</v>
      </c>
      <c r="AU44" s="1387">
        <v>1</v>
      </c>
      <c r="AV44" s="1387">
        <v>5</v>
      </c>
      <c r="AW44" s="1394">
        <v>3</v>
      </c>
      <c r="AX44" s="1380">
        <v>1.05</v>
      </c>
      <c r="AY44" s="1391">
        <v>1.2365959919080913</v>
      </c>
      <c r="AZ44" s="1391">
        <v>1.2434566510799234</v>
      </c>
      <c r="BA44" s="1392" t="s">
        <v>3226</v>
      </c>
      <c r="BB44" s="1389">
        <v>1.05</v>
      </c>
      <c r="BC44" s="1389">
        <v>1.1000000000000001</v>
      </c>
      <c r="BD44" s="1389">
        <v>1</v>
      </c>
      <c r="BE44" s="1389">
        <v>1.02</v>
      </c>
      <c r="BF44" s="1389">
        <v>1</v>
      </c>
      <c r="BG44" s="1389">
        <v>1.2</v>
      </c>
    </row>
    <row r="45" spans="1:59" s="401" customFormat="1" ht="12.75" customHeight="1">
      <c r="A45" s="1410">
        <v>265101</v>
      </c>
      <c r="B45" s="1436"/>
      <c r="C45" s="1411"/>
      <c r="D45" s="1454">
        <v>5</v>
      </c>
      <c r="E45" s="1455" t="s">
        <v>98</v>
      </c>
      <c r="F45" s="1447" t="s">
        <v>704</v>
      </c>
      <c r="G45" s="1448" t="s">
        <v>103</v>
      </c>
      <c r="H45" s="1456" t="s">
        <v>98</v>
      </c>
      <c r="I45" s="1449" t="s">
        <v>98</v>
      </c>
      <c r="J45" s="1450">
        <v>0</v>
      </c>
      <c r="K45" s="1448" t="s">
        <v>119</v>
      </c>
      <c r="L45" s="1448">
        <v>0</v>
      </c>
      <c r="M45" s="1451">
        <v>1</v>
      </c>
      <c r="N45" s="1452">
        <v>1.2620910621938648</v>
      </c>
      <c r="O45" s="1453" t="s">
        <v>3196</v>
      </c>
      <c r="P45" s="1448">
        <v>897.59999999999991</v>
      </c>
      <c r="Q45" s="1451">
        <v>1</v>
      </c>
      <c r="R45" s="1452">
        <v>1.2434566510799234</v>
      </c>
      <c r="S45" s="1453" t="s">
        <v>3193</v>
      </c>
      <c r="T45" s="1401"/>
      <c r="U45" s="1402"/>
      <c r="V45" s="1402"/>
      <c r="W45" s="1396"/>
      <c r="X45" s="1387">
        <v>3</v>
      </c>
      <c r="Y45" s="1387">
        <v>4</v>
      </c>
      <c r="Z45" s="1387">
        <v>1</v>
      </c>
      <c r="AA45" s="1387">
        <v>3</v>
      </c>
      <c r="AB45" s="1387">
        <v>1</v>
      </c>
      <c r="AC45" s="1398">
        <v>5</v>
      </c>
      <c r="AD45" s="1394">
        <v>3</v>
      </c>
      <c r="AE45" s="1380">
        <v>1.05</v>
      </c>
      <c r="AF45" s="1391">
        <v>1.2555818742947564</v>
      </c>
      <c r="AG45" s="1391">
        <v>1.2620910621938648</v>
      </c>
      <c r="AH45" s="1392" t="s">
        <v>3222</v>
      </c>
      <c r="AI45" s="1389">
        <v>1.1000000000000001</v>
      </c>
      <c r="AJ45" s="1389">
        <v>1.1000000000000001</v>
      </c>
      <c r="AK45" s="1389">
        <v>1</v>
      </c>
      <c r="AL45" s="1389">
        <v>1.02</v>
      </c>
      <c r="AM45" s="1389">
        <v>1</v>
      </c>
      <c r="AN45" s="1389">
        <v>1.2</v>
      </c>
      <c r="AO45" s="1401"/>
      <c r="AP45" s="1396" t="s">
        <v>673</v>
      </c>
      <c r="AQ45" s="1387">
        <v>2</v>
      </c>
      <c r="AR45" s="1387">
        <v>4</v>
      </c>
      <c r="AS45" s="1387">
        <v>1</v>
      </c>
      <c r="AT45" s="1387">
        <v>3</v>
      </c>
      <c r="AU45" s="1387">
        <v>1</v>
      </c>
      <c r="AV45" s="1387">
        <v>5</v>
      </c>
      <c r="AW45" s="1394">
        <v>3</v>
      </c>
      <c r="AX45" s="1380">
        <v>1.05</v>
      </c>
      <c r="AY45" s="1391">
        <v>1.2365959919080913</v>
      </c>
      <c r="AZ45" s="1391">
        <v>1.2434566510799234</v>
      </c>
      <c r="BA45" s="1392" t="s">
        <v>3226</v>
      </c>
      <c r="BB45" s="1389">
        <v>1.05</v>
      </c>
      <c r="BC45" s="1389">
        <v>1.1000000000000001</v>
      </c>
      <c r="BD45" s="1389">
        <v>1</v>
      </c>
      <c r="BE45" s="1389">
        <v>1.02</v>
      </c>
      <c r="BF45" s="1389">
        <v>1</v>
      </c>
      <c r="BG45" s="1389">
        <v>1.2</v>
      </c>
    </row>
    <row r="46" spans="1:59" s="401" customFormat="1" ht="24" customHeight="1">
      <c r="A46" s="1410">
        <v>79235</v>
      </c>
      <c r="B46" s="1412" t="s">
        <v>705</v>
      </c>
      <c r="C46" s="1411"/>
      <c r="D46" s="1413">
        <v>5</v>
      </c>
      <c r="E46" s="1414" t="s">
        <v>98</v>
      </c>
      <c r="F46" s="1415" t="s">
        <v>688</v>
      </c>
      <c r="G46" s="1416" t="s">
        <v>340</v>
      </c>
      <c r="H46" s="1417" t="s">
        <v>98</v>
      </c>
      <c r="I46" s="1418" t="s">
        <v>98</v>
      </c>
      <c r="J46" s="1419">
        <v>0</v>
      </c>
      <c r="K46" s="1416" t="s">
        <v>109</v>
      </c>
      <c r="L46" s="1416">
        <v>0</v>
      </c>
      <c r="M46" s="1420">
        <v>1</v>
      </c>
      <c r="N46" s="1421">
        <v>1.2620910621938648</v>
      </c>
      <c r="O46" s="1422" t="s">
        <v>3196</v>
      </c>
      <c r="P46" s="1416">
        <v>92.6</v>
      </c>
      <c r="Q46" s="1420">
        <v>1</v>
      </c>
      <c r="R46" s="1421">
        <v>1.2434566510799234</v>
      </c>
      <c r="S46" s="1422" t="s">
        <v>3204</v>
      </c>
      <c r="T46" s="1401"/>
      <c r="U46" s="1402"/>
      <c r="V46" s="1402"/>
      <c r="W46" s="1396"/>
      <c r="X46" s="1387">
        <v>3</v>
      </c>
      <c r="Y46" s="1387">
        <v>4</v>
      </c>
      <c r="Z46" s="1387">
        <v>1</v>
      </c>
      <c r="AA46" s="1387">
        <v>3</v>
      </c>
      <c r="AB46" s="1387">
        <v>1</v>
      </c>
      <c r="AC46" s="1398">
        <v>5</v>
      </c>
      <c r="AD46" s="1394">
        <v>3</v>
      </c>
      <c r="AE46" s="1380">
        <v>1.05</v>
      </c>
      <c r="AF46" s="1391">
        <v>1.2555818742947564</v>
      </c>
      <c r="AG46" s="1391">
        <v>1.2620910621938648</v>
      </c>
      <c r="AH46" s="1392" t="s">
        <v>3222</v>
      </c>
      <c r="AI46" s="1389">
        <v>1.1000000000000001</v>
      </c>
      <c r="AJ46" s="1389">
        <v>1.1000000000000001</v>
      </c>
      <c r="AK46" s="1389">
        <v>1</v>
      </c>
      <c r="AL46" s="1389">
        <v>1.02</v>
      </c>
      <c r="AM46" s="1389">
        <v>1</v>
      </c>
      <c r="AN46" s="1389">
        <v>1.2</v>
      </c>
      <c r="AO46" s="1401"/>
      <c r="AP46" s="1396" t="s">
        <v>706</v>
      </c>
      <c r="AQ46" s="1387">
        <v>2</v>
      </c>
      <c r="AR46" s="1387">
        <v>4</v>
      </c>
      <c r="AS46" s="1387">
        <v>1</v>
      </c>
      <c r="AT46" s="1387">
        <v>3</v>
      </c>
      <c r="AU46" s="1387">
        <v>1</v>
      </c>
      <c r="AV46" s="1387">
        <v>5</v>
      </c>
      <c r="AW46" s="1394">
        <v>3</v>
      </c>
      <c r="AX46" s="1380">
        <v>1.05</v>
      </c>
      <c r="AY46" s="1391">
        <v>1.2365959919080913</v>
      </c>
      <c r="AZ46" s="1391">
        <v>1.2434566510799234</v>
      </c>
      <c r="BA46" s="1392" t="s">
        <v>3226</v>
      </c>
      <c r="BB46" s="1389">
        <v>1.05</v>
      </c>
      <c r="BC46" s="1389">
        <v>1.1000000000000001</v>
      </c>
      <c r="BD46" s="1389">
        <v>1</v>
      </c>
      <c r="BE46" s="1389">
        <v>1.02</v>
      </c>
      <c r="BF46" s="1389">
        <v>1</v>
      </c>
      <c r="BG46" s="1389">
        <v>1.2</v>
      </c>
    </row>
    <row r="47" spans="1:59" s="401" customFormat="1" ht="12.75" customHeight="1">
      <c r="A47" s="1410">
        <v>263587</v>
      </c>
      <c r="B47" s="1436"/>
      <c r="C47" s="1411"/>
      <c r="D47" s="1454">
        <v>5</v>
      </c>
      <c r="E47" s="1455" t="s">
        <v>98</v>
      </c>
      <c r="F47" s="1447" t="s">
        <v>707</v>
      </c>
      <c r="G47" s="1448" t="s">
        <v>103</v>
      </c>
      <c r="H47" s="1456" t="s">
        <v>98</v>
      </c>
      <c r="I47" s="1449" t="s">
        <v>98</v>
      </c>
      <c r="J47" s="1450">
        <v>0</v>
      </c>
      <c r="K47" s="1448" t="s">
        <v>96</v>
      </c>
      <c r="L47" s="1448">
        <v>0</v>
      </c>
      <c r="M47" s="1451">
        <v>1</v>
      </c>
      <c r="N47" s="1452">
        <v>1.2620910621938648</v>
      </c>
      <c r="O47" s="1453" t="s">
        <v>3196</v>
      </c>
      <c r="P47" s="1448">
        <v>6018.8</v>
      </c>
      <c r="Q47" s="1451">
        <v>1</v>
      </c>
      <c r="R47" s="1452">
        <v>1.2434566510799234</v>
      </c>
      <c r="S47" s="1453" t="s">
        <v>3193</v>
      </c>
      <c r="T47" s="1401"/>
      <c r="U47" s="1402"/>
      <c r="V47" s="1402"/>
      <c r="W47" s="1396"/>
      <c r="X47" s="1387">
        <v>3</v>
      </c>
      <c r="Y47" s="1387">
        <v>4</v>
      </c>
      <c r="Z47" s="1387">
        <v>1</v>
      </c>
      <c r="AA47" s="1387">
        <v>3</v>
      </c>
      <c r="AB47" s="1387">
        <v>1</v>
      </c>
      <c r="AC47" s="1398">
        <v>5</v>
      </c>
      <c r="AD47" s="1394">
        <v>3</v>
      </c>
      <c r="AE47" s="1380">
        <v>1.05</v>
      </c>
      <c r="AF47" s="1391">
        <v>1.2555818742947564</v>
      </c>
      <c r="AG47" s="1391">
        <v>1.2620910621938648</v>
      </c>
      <c r="AH47" s="1392" t="s">
        <v>3222</v>
      </c>
      <c r="AI47" s="1389">
        <v>1.1000000000000001</v>
      </c>
      <c r="AJ47" s="1389">
        <v>1.1000000000000001</v>
      </c>
      <c r="AK47" s="1389">
        <v>1</v>
      </c>
      <c r="AL47" s="1389">
        <v>1.02</v>
      </c>
      <c r="AM47" s="1389">
        <v>1</v>
      </c>
      <c r="AN47" s="1389">
        <v>1.2</v>
      </c>
      <c r="AO47" s="1401"/>
      <c r="AP47" s="1396" t="s">
        <v>673</v>
      </c>
      <c r="AQ47" s="1387">
        <v>2</v>
      </c>
      <c r="AR47" s="1387">
        <v>4</v>
      </c>
      <c r="AS47" s="1387">
        <v>1</v>
      </c>
      <c r="AT47" s="1387">
        <v>3</v>
      </c>
      <c r="AU47" s="1387">
        <v>1</v>
      </c>
      <c r="AV47" s="1387">
        <v>5</v>
      </c>
      <c r="AW47" s="1394">
        <v>3</v>
      </c>
      <c r="AX47" s="1380">
        <v>1.05</v>
      </c>
      <c r="AY47" s="1391">
        <v>1.2365959919080913</v>
      </c>
      <c r="AZ47" s="1391">
        <v>1.2434566510799234</v>
      </c>
      <c r="BA47" s="1392" t="s">
        <v>3226</v>
      </c>
      <c r="BB47" s="1389">
        <v>1.05</v>
      </c>
      <c r="BC47" s="1389">
        <v>1.1000000000000001</v>
      </c>
      <c r="BD47" s="1389">
        <v>1</v>
      </c>
      <c r="BE47" s="1389">
        <v>1.02</v>
      </c>
      <c r="BF47" s="1389">
        <v>1</v>
      </c>
      <c r="BG47" s="1389">
        <v>1.2</v>
      </c>
    </row>
    <row r="48" spans="1:59" s="401" customFormat="1" ht="24" customHeight="1">
      <c r="A48" s="1410">
        <v>257828</v>
      </c>
      <c r="B48" s="1436"/>
      <c r="C48" s="1411"/>
      <c r="D48" s="1413">
        <v>5</v>
      </c>
      <c r="E48" s="1414" t="s">
        <v>98</v>
      </c>
      <c r="F48" s="1415" t="s">
        <v>708</v>
      </c>
      <c r="G48" s="1416" t="s">
        <v>103</v>
      </c>
      <c r="H48" s="1417" t="s">
        <v>98</v>
      </c>
      <c r="I48" s="1418" t="s">
        <v>98</v>
      </c>
      <c r="J48" s="1419">
        <v>0</v>
      </c>
      <c r="K48" s="1416" t="s">
        <v>679</v>
      </c>
      <c r="L48" s="1416">
        <v>0</v>
      </c>
      <c r="M48" s="1420">
        <v>1</v>
      </c>
      <c r="N48" s="1421">
        <v>1.2620910621938648</v>
      </c>
      <c r="O48" s="1422" t="s">
        <v>3196</v>
      </c>
      <c r="P48" s="1416">
        <v>9259.7999999999993</v>
      </c>
      <c r="Q48" s="1420">
        <v>1</v>
      </c>
      <c r="R48" s="1421">
        <v>1.2434566510799234</v>
      </c>
      <c r="S48" s="1422" t="s">
        <v>3205</v>
      </c>
      <c r="T48" s="1401"/>
      <c r="U48" s="1402"/>
      <c r="V48" s="1402"/>
      <c r="W48" s="1396"/>
      <c r="X48" s="1387">
        <v>3</v>
      </c>
      <c r="Y48" s="1387">
        <v>4</v>
      </c>
      <c r="Z48" s="1387">
        <v>1</v>
      </c>
      <c r="AA48" s="1387">
        <v>3</v>
      </c>
      <c r="AB48" s="1387">
        <v>1</v>
      </c>
      <c r="AC48" s="1398">
        <v>5</v>
      </c>
      <c r="AD48" s="1394">
        <v>3</v>
      </c>
      <c r="AE48" s="1380">
        <v>1.05</v>
      </c>
      <c r="AF48" s="1391">
        <v>1.2555818742947564</v>
      </c>
      <c r="AG48" s="1391">
        <v>1.2620910621938648</v>
      </c>
      <c r="AH48" s="1392" t="s">
        <v>3222</v>
      </c>
      <c r="AI48" s="1389">
        <v>1.1000000000000001</v>
      </c>
      <c r="AJ48" s="1389">
        <v>1.1000000000000001</v>
      </c>
      <c r="AK48" s="1389">
        <v>1</v>
      </c>
      <c r="AL48" s="1389">
        <v>1.02</v>
      </c>
      <c r="AM48" s="1389">
        <v>1</v>
      </c>
      <c r="AN48" s="1389">
        <v>1.2</v>
      </c>
      <c r="AO48" s="1401"/>
      <c r="AP48" s="1396" t="s">
        <v>709</v>
      </c>
      <c r="AQ48" s="1387">
        <v>2</v>
      </c>
      <c r="AR48" s="1387">
        <v>4</v>
      </c>
      <c r="AS48" s="1387">
        <v>1</v>
      </c>
      <c r="AT48" s="1387">
        <v>3</v>
      </c>
      <c r="AU48" s="1387">
        <v>1</v>
      </c>
      <c r="AV48" s="1387">
        <v>5</v>
      </c>
      <c r="AW48" s="1394">
        <v>3</v>
      </c>
      <c r="AX48" s="1380">
        <v>1.05</v>
      </c>
      <c r="AY48" s="1391">
        <v>1.2365959919080913</v>
      </c>
      <c r="AZ48" s="1391">
        <v>1.2434566510799234</v>
      </c>
      <c r="BA48" s="1392" t="s">
        <v>3226</v>
      </c>
      <c r="BB48" s="1389">
        <v>1.05</v>
      </c>
      <c r="BC48" s="1389">
        <v>1.1000000000000001</v>
      </c>
      <c r="BD48" s="1389">
        <v>1</v>
      </c>
      <c r="BE48" s="1389">
        <v>1.02</v>
      </c>
      <c r="BF48" s="1389">
        <v>1</v>
      </c>
      <c r="BG48" s="1389">
        <v>1.2</v>
      </c>
    </row>
    <row r="49" spans="1:59" s="401" customFormat="1" ht="24" customHeight="1">
      <c r="A49" s="1410">
        <v>254233</v>
      </c>
      <c r="B49" s="1436"/>
      <c r="C49" s="1411"/>
      <c r="D49" s="1454">
        <v>5</v>
      </c>
      <c r="E49" s="1455" t="s">
        <v>98</v>
      </c>
      <c r="F49" s="1447" t="s">
        <v>710</v>
      </c>
      <c r="G49" s="1448" t="s">
        <v>103</v>
      </c>
      <c r="H49" s="1456" t="s">
        <v>98</v>
      </c>
      <c r="I49" s="1449" t="s">
        <v>98</v>
      </c>
      <c r="J49" s="1450">
        <v>0</v>
      </c>
      <c r="K49" s="1448" t="s">
        <v>104</v>
      </c>
      <c r="L49" s="1448">
        <v>0</v>
      </c>
      <c r="M49" s="1451">
        <v>1</v>
      </c>
      <c r="N49" s="1452">
        <v>1.2620910621938648</v>
      </c>
      <c r="O49" s="1453" t="s">
        <v>3196</v>
      </c>
      <c r="P49" s="1448">
        <v>83.3</v>
      </c>
      <c r="Q49" s="1451">
        <v>1</v>
      </c>
      <c r="R49" s="1452">
        <v>1.2434566510799234</v>
      </c>
      <c r="S49" s="1453" t="s">
        <v>3203</v>
      </c>
      <c r="T49" s="1401"/>
      <c r="U49" s="1402"/>
      <c r="V49" s="1402"/>
      <c r="W49" s="1396"/>
      <c r="X49" s="1387">
        <v>3</v>
      </c>
      <c r="Y49" s="1387">
        <v>4</v>
      </c>
      <c r="Z49" s="1387">
        <v>1</v>
      </c>
      <c r="AA49" s="1387">
        <v>3</v>
      </c>
      <c r="AB49" s="1387">
        <v>1</v>
      </c>
      <c r="AC49" s="1398">
        <v>5</v>
      </c>
      <c r="AD49" s="1394">
        <v>1</v>
      </c>
      <c r="AE49" s="1380">
        <v>1.05</v>
      </c>
      <c r="AF49" s="1391">
        <v>1.2555818742947564</v>
      </c>
      <c r="AG49" s="1391">
        <v>1.2620910621938648</v>
      </c>
      <c r="AH49" s="1392" t="s">
        <v>3222</v>
      </c>
      <c r="AI49" s="1389">
        <v>1.1000000000000001</v>
      </c>
      <c r="AJ49" s="1389">
        <v>1.1000000000000001</v>
      </c>
      <c r="AK49" s="1389">
        <v>1</v>
      </c>
      <c r="AL49" s="1389">
        <v>1.02</v>
      </c>
      <c r="AM49" s="1389">
        <v>1</v>
      </c>
      <c r="AN49" s="1389">
        <v>1.2</v>
      </c>
      <c r="AO49" s="1401"/>
      <c r="AP49" s="1396" t="s">
        <v>703</v>
      </c>
      <c r="AQ49" s="1387">
        <v>2</v>
      </c>
      <c r="AR49" s="1387">
        <v>4</v>
      </c>
      <c r="AS49" s="1387">
        <v>1</v>
      </c>
      <c r="AT49" s="1387">
        <v>3</v>
      </c>
      <c r="AU49" s="1387">
        <v>1</v>
      </c>
      <c r="AV49" s="1387">
        <v>5</v>
      </c>
      <c r="AW49" s="1394">
        <v>1</v>
      </c>
      <c r="AX49" s="1380">
        <v>1.05</v>
      </c>
      <c r="AY49" s="1391">
        <v>1.2365959919080913</v>
      </c>
      <c r="AZ49" s="1391">
        <v>1.2434566510799234</v>
      </c>
      <c r="BA49" s="1392" t="s">
        <v>3226</v>
      </c>
      <c r="BB49" s="1389">
        <v>1.05</v>
      </c>
      <c r="BC49" s="1389">
        <v>1.1000000000000001</v>
      </c>
      <c r="BD49" s="1389">
        <v>1</v>
      </c>
      <c r="BE49" s="1389">
        <v>1.02</v>
      </c>
      <c r="BF49" s="1389">
        <v>1</v>
      </c>
      <c r="BG49" s="1389">
        <v>1.2</v>
      </c>
    </row>
    <row r="50" spans="1:59" s="401" customFormat="1" ht="12.75" customHeight="1">
      <c r="A50" s="1410">
        <v>269445</v>
      </c>
      <c r="B50" s="1436"/>
      <c r="C50" s="1411"/>
      <c r="D50" s="1413">
        <v>5</v>
      </c>
      <c r="E50" s="1414" t="s">
        <v>98</v>
      </c>
      <c r="F50" s="1415" t="s">
        <v>682</v>
      </c>
      <c r="G50" s="1416" t="s">
        <v>93</v>
      </c>
      <c r="H50" s="1417" t="s">
        <v>98</v>
      </c>
      <c r="I50" s="1418" t="s">
        <v>98</v>
      </c>
      <c r="J50" s="1419">
        <v>0</v>
      </c>
      <c r="K50" s="1416" t="s">
        <v>96</v>
      </c>
      <c r="L50" s="1416">
        <v>0</v>
      </c>
      <c r="M50" s="1420">
        <v>1</v>
      </c>
      <c r="N50" s="1421">
        <v>1.2620910621938648</v>
      </c>
      <c r="O50" s="1422" t="s">
        <v>3196</v>
      </c>
      <c r="P50" s="1416">
        <v>6018.8</v>
      </c>
      <c r="Q50" s="1420">
        <v>1</v>
      </c>
      <c r="R50" s="1421">
        <v>1.2434566510799234</v>
      </c>
      <c r="S50" s="1422" t="s">
        <v>3193</v>
      </c>
      <c r="T50" s="1401"/>
      <c r="U50" s="1402"/>
      <c r="V50" s="1402"/>
      <c r="W50" s="1396"/>
      <c r="X50" s="1387">
        <v>3</v>
      </c>
      <c r="Y50" s="1387">
        <v>4</v>
      </c>
      <c r="Z50" s="1387">
        <v>1</v>
      </c>
      <c r="AA50" s="1387">
        <v>3</v>
      </c>
      <c r="AB50" s="1387">
        <v>1</v>
      </c>
      <c r="AC50" s="1398">
        <v>5</v>
      </c>
      <c r="AD50" s="1394">
        <v>3</v>
      </c>
      <c r="AE50" s="1380">
        <v>1.05</v>
      </c>
      <c r="AF50" s="1391">
        <v>1.2555818742947564</v>
      </c>
      <c r="AG50" s="1391">
        <v>1.2620910621938648</v>
      </c>
      <c r="AH50" s="1392" t="s">
        <v>3222</v>
      </c>
      <c r="AI50" s="1389">
        <v>1.1000000000000001</v>
      </c>
      <c r="AJ50" s="1389">
        <v>1.1000000000000001</v>
      </c>
      <c r="AK50" s="1389">
        <v>1</v>
      </c>
      <c r="AL50" s="1389">
        <v>1.02</v>
      </c>
      <c r="AM50" s="1389">
        <v>1</v>
      </c>
      <c r="AN50" s="1389">
        <v>1.2</v>
      </c>
      <c r="AO50" s="1401"/>
      <c r="AP50" s="1396" t="s">
        <v>673</v>
      </c>
      <c r="AQ50" s="1387">
        <v>2</v>
      </c>
      <c r="AR50" s="1387">
        <v>4</v>
      </c>
      <c r="AS50" s="1387">
        <v>1</v>
      </c>
      <c r="AT50" s="1387">
        <v>3</v>
      </c>
      <c r="AU50" s="1387">
        <v>1</v>
      </c>
      <c r="AV50" s="1387">
        <v>5</v>
      </c>
      <c r="AW50" s="1394">
        <v>3</v>
      </c>
      <c r="AX50" s="1380">
        <v>1.05</v>
      </c>
      <c r="AY50" s="1391">
        <v>1.2365959919080913</v>
      </c>
      <c r="AZ50" s="1391">
        <v>1.2434566510799234</v>
      </c>
      <c r="BA50" s="1392" t="s">
        <v>3226</v>
      </c>
      <c r="BB50" s="1389">
        <v>1.05</v>
      </c>
      <c r="BC50" s="1389">
        <v>1.1000000000000001</v>
      </c>
      <c r="BD50" s="1389">
        <v>1</v>
      </c>
      <c r="BE50" s="1389">
        <v>1.02</v>
      </c>
      <c r="BF50" s="1389">
        <v>1</v>
      </c>
      <c r="BG50" s="1389">
        <v>1.2</v>
      </c>
    </row>
    <row r="51" spans="1:59" s="401" customFormat="1" ht="12.75" customHeight="1">
      <c r="A51" s="1410">
        <v>266627</v>
      </c>
      <c r="B51" s="1436"/>
      <c r="C51" s="1411"/>
      <c r="D51" s="1454">
        <v>5</v>
      </c>
      <c r="E51" s="1455" t="s">
        <v>98</v>
      </c>
      <c r="F51" s="1447" t="s">
        <v>634</v>
      </c>
      <c r="G51" s="1448" t="s">
        <v>93</v>
      </c>
      <c r="H51" s="1456" t="s">
        <v>98</v>
      </c>
      <c r="I51" s="1449" t="s">
        <v>98</v>
      </c>
      <c r="J51" s="1450">
        <v>0</v>
      </c>
      <c r="K51" s="1448" t="s">
        <v>96</v>
      </c>
      <c r="L51" s="1448">
        <v>0</v>
      </c>
      <c r="M51" s="1451">
        <v>1</v>
      </c>
      <c r="N51" s="1452">
        <v>1.2620910621938648</v>
      </c>
      <c r="O51" s="1453" t="s">
        <v>3196</v>
      </c>
      <c r="P51" s="1448">
        <v>6018.8</v>
      </c>
      <c r="Q51" s="1451">
        <v>1</v>
      </c>
      <c r="R51" s="1452">
        <v>1.2434566510799234</v>
      </c>
      <c r="S51" s="1453" t="s">
        <v>3193</v>
      </c>
      <c r="T51" s="1401"/>
      <c r="U51" s="1402"/>
      <c r="V51" s="1402"/>
      <c r="W51" s="1396"/>
      <c r="X51" s="1387">
        <v>3</v>
      </c>
      <c r="Y51" s="1387">
        <v>4</v>
      </c>
      <c r="Z51" s="1387">
        <v>1</v>
      </c>
      <c r="AA51" s="1387">
        <v>3</v>
      </c>
      <c r="AB51" s="1387">
        <v>1</v>
      </c>
      <c r="AC51" s="1398">
        <v>5</v>
      </c>
      <c r="AD51" s="1394">
        <v>3</v>
      </c>
      <c r="AE51" s="1380">
        <v>1.05</v>
      </c>
      <c r="AF51" s="1391">
        <v>1.2555818742947564</v>
      </c>
      <c r="AG51" s="1391">
        <v>1.2620910621938648</v>
      </c>
      <c r="AH51" s="1392" t="s">
        <v>3222</v>
      </c>
      <c r="AI51" s="1389">
        <v>1.1000000000000001</v>
      </c>
      <c r="AJ51" s="1389">
        <v>1.1000000000000001</v>
      </c>
      <c r="AK51" s="1389">
        <v>1</v>
      </c>
      <c r="AL51" s="1389">
        <v>1.02</v>
      </c>
      <c r="AM51" s="1389">
        <v>1</v>
      </c>
      <c r="AN51" s="1389">
        <v>1.2</v>
      </c>
      <c r="AO51" s="1401"/>
      <c r="AP51" s="1396" t="s">
        <v>673</v>
      </c>
      <c r="AQ51" s="1387">
        <v>2</v>
      </c>
      <c r="AR51" s="1387">
        <v>4</v>
      </c>
      <c r="AS51" s="1387">
        <v>1</v>
      </c>
      <c r="AT51" s="1387">
        <v>3</v>
      </c>
      <c r="AU51" s="1387">
        <v>1</v>
      </c>
      <c r="AV51" s="1387">
        <v>5</v>
      </c>
      <c r="AW51" s="1394">
        <v>3</v>
      </c>
      <c r="AX51" s="1380">
        <v>1.05</v>
      </c>
      <c r="AY51" s="1391">
        <v>1.2365959919080913</v>
      </c>
      <c r="AZ51" s="1391">
        <v>1.2434566510799234</v>
      </c>
      <c r="BA51" s="1392" t="s">
        <v>3226</v>
      </c>
      <c r="BB51" s="1389">
        <v>1.05</v>
      </c>
      <c r="BC51" s="1389">
        <v>1.1000000000000001</v>
      </c>
      <c r="BD51" s="1389">
        <v>1</v>
      </c>
      <c r="BE51" s="1389">
        <v>1.02</v>
      </c>
      <c r="BF51" s="1389">
        <v>1</v>
      </c>
      <c r="BG51" s="1389">
        <v>1.2</v>
      </c>
    </row>
    <row r="52" spans="1:59" s="401" customFormat="1" ht="36" customHeight="1">
      <c r="A52" s="1410">
        <v>267017</v>
      </c>
      <c r="B52" s="1412" t="s">
        <v>714</v>
      </c>
      <c r="C52" s="1411"/>
      <c r="D52" s="1413">
        <v>5</v>
      </c>
      <c r="E52" s="1414" t="s">
        <v>98</v>
      </c>
      <c r="F52" s="1415" t="s">
        <v>715</v>
      </c>
      <c r="G52" s="1416" t="s">
        <v>93</v>
      </c>
      <c r="H52" s="1417" t="s">
        <v>98</v>
      </c>
      <c r="I52" s="1418" t="s">
        <v>98</v>
      </c>
      <c r="J52" s="1419">
        <v>0</v>
      </c>
      <c r="K52" s="1416" t="s">
        <v>96</v>
      </c>
      <c r="L52" s="1416">
        <v>0</v>
      </c>
      <c r="M52" s="1420">
        <v>1</v>
      </c>
      <c r="N52" s="1421">
        <v>1.2620910621938648</v>
      </c>
      <c r="O52" s="1422" t="s">
        <v>3196</v>
      </c>
      <c r="P52" s="1416">
        <v>688.9</v>
      </c>
      <c r="Q52" s="1420">
        <v>1</v>
      </c>
      <c r="R52" s="1421">
        <v>1.2434566510799234</v>
      </c>
      <c r="S52" s="1422" t="s">
        <v>3193</v>
      </c>
      <c r="T52" s="1401"/>
      <c r="U52" s="1402"/>
      <c r="V52" s="1402"/>
      <c r="W52" s="1396"/>
      <c r="X52" s="1387">
        <v>3</v>
      </c>
      <c r="Y52" s="1387">
        <v>4</v>
      </c>
      <c r="Z52" s="1387">
        <v>1</v>
      </c>
      <c r="AA52" s="1387">
        <v>3</v>
      </c>
      <c r="AB52" s="1387">
        <v>1</v>
      </c>
      <c r="AC52" s="1398">
        <v>5</v>
      </c>
      <c r="AD52" s="1394">
        <v>3</v>
      </c>
      <c r="AE52" s="1380">
        <v>1.05</v>
      </c>
      <c r="AF52" s="1391">
        <v>1.2555818742947564</v>
      </c>
      <c r="AG52" s="1391">
        <v>1.2620910621938648</v>
      </c>
      <c r="AH52" s="1392" t="s">
        <v>3222</v>
      </c>
      <c r="AI52" s="1389">
        <v>1.1000000000000001</v>
      </c>
      <c r="AJ52" s="1389">
        <v>1.1000000000000001</v>
      </c>
      <c r="AK52" s="1389">
        <v>1</v>
      </c>
      <c r="AL52" s="1389">
        <v>1.02</v>
      </c>
      <c r="AM52" s="1389">
        <v>1</v>
      </c>
      <c r="AN52" s="1389">
        <v>1.2</v>
      </c>
      <c r="AO52" s="1401"/>
      <c r="AP52" s="1396" t="s">
        <v>673</v>
      </c>
      <c r="AQ52" s="1387">
        <v>2</v>
      </c>
      <c r="AR52" s="1387">
        <v>4</v>
      </c>
      <c r="AS52" s="1387">
        <v>1</v>
      </c>
      <c r="AT52" s="1387">
        <v>3</v>
      </c>
      <c r="AU52" s="1387">
        <v>1</v>
      </c>
      <c r="AV52" s="1387">
        <v>5</v>
      </c>
      <c r="AW52" s="1394">
        <v>3</v>
      </c>
      <c r="AX52" s="1380">
        <v>1.05</v>
      </c>
      <c r="AY52" s="1391">
        <v>1.2365959919080913</v>
      </c>
      <c r="AZ52" s="1391">
        <v>1.2434566510799234</v>
      </c>
      <c r="BA52" s="1392" t="s">
        <v>3226</v>
      </c>
      <c r="BB52" s="1389">
        <v>1.05</v>
      </c>
      <c r="BC52" s="1389">
        <v>1.1000000000000001</v>
      </c>
      <c r="BD52" s="1389">
        <v>1</v>
      </c>
      <c r="BE52" s="1389">
        <v>1.02</v>
      </c>
      <c r="BF52" s="1389">
        <v>1</v>
      </c>
      <c r="BG52" s="1389">
        <v>1.2</v>
      </c>
    </row>
    <row r="53" spans="1:59" s="401" customFormat="1" ht="23.25" customHeight="1">
      <c r="A53" s="1410">
        <v>267287</v>
      </c>
      <c r="B53" s="1436"/>
      <c r="C53" s="1411"/>
      <c r="D53" s="1454">
        <v>5</v>
      </c>
      <c r="E53" s="1455" t="s">
        <v>98</v>
      </c>
      <c r="F53" s="1447" t="s">
        <v>690</v>
      </c>
      <c r="G53" s="1448" t="s">
        <v>154</v>
      </c>
      <c r="H53" s="1456" t="s">
        <v>98</v>
      </c>
      <c r="I53" s="1449" t="s">
        <v>98</v>
      </c>
      <c r="J53" s="1450">
        <v>0</v>
      </c>
      <c r="K53" s="1448" t="s">
        <v>104</v>
      </c>
      <c r="L53" s="1448">
        <v>0</v>
      </c>
      <c r="M53" s="1451">
        <v>1</v>
      </c>
      <c r="N53" s="1452">
        <v>1.2620910621938648</v>
      </c>
      <c r="O53" s="1453" t="s">
        <v>3196</v>
      </c>
      <c r="P53" s="1448">
        <v>168497.89405316347</v>
      </c>
      <c r="Q53" s="1451">
        <v>1</v>
      </c>
      <c r="R53" s="1452">
        <v>1.2434566510799234</v>
      </c>
      <c r="S53" s="1453" t="s">
        <v>3200</v>
      </c>
      <c r="T53" s="1401"/>
      <c r="U53" s="1402"/>
      <c r="V53" s="1402"/>
      <c r="W53" s="1396"/>
      <c r="X53" s="1387">
        <v>3</v>
      </c>
      <c r="Y53" s="1387">
        <v>4</v>
      </c>
      <c r="Z53" s="1387">
        <v>1</v>
      </c>
      <c r="AA53" s="1387">
        <v>3</v>
      </c>
      <c r="AB53" s="1387">
        <v>1</v>
      </c>
      <c r="AC53" s="1398">
        <v>5</v>
      </c>
      <c r="AD53" s="1394">
        <v>1</v>
      </c>
      <c r="AE53" s="1380">
        <v>1.05</v>
      </c>
      <c r="AF53" s="1391">
        <v>1.2555818742947564</v>
      </c>
      <c r="AG53" s="1391">
        <v>1.2620910621938648</v>
      </c>
      <c r="AH53" s="1392" t="s">
        <v>3222</v>
      </c>
      <c r="AI53" s="1389">
        <v>1.1000000000000001</v>
      </c>
      <c r="AJ53" s="1389">
        <v>1.1000000000000001</v>
      </c>
      <c r="AK53" s="1389">
        <v>1</v>
      </c>
      <c r="AL53" s="1389">
        <v>1.02</v>
      </c>
      <c r="AM53" s="1389">
        <v>1</v>
      </c>
      <c r="AN53" s="1389">
        <v>1.2</v>
      </c>
      <c r="AO53" s="1401"/>
      <c r="AP53" s="1396" t="s">
        <v>691</v>
      </c>
      <c r="AQ53" s="1387">
        <v>2</v>
      </c>
      <c r="AR53" s="1387">
        <v>4</v>
      </c>
      <c r="AS53" s="1387">
        <v>1</v>
      </c>
      <c r="AT53" s="1387">
        <v>3</v>
      </c>
      <c r="AU53" s="1387">
        <v>1</v>
      </c>
      <c r="AV53" s="1387">
        <v>5</v>
      </c>
      <c r="AW53" s="1394">
        <v>1</v>
      </c>
      <c r="AX53" s="1380">
        <v>1.05</v>
      </c>
      <c r="AY53" s="1391">
        <v>1.2365959919080913</v>
      </c>
      <c r="AZ53" s="1391">
        <v>1.2434566510799234</v>
      </c>
      <c r="BA53" s="1392" t="s">
        <v>3226</v>
      </c>
      <c r="BB53" s="1389">
        <v>1.05</v>
      </c>
      <c r="BC53" s="1389">
        <v>1.1000000000000001</v>
      </c>
      <c r="BD53" s="1389">
        <v>1</v>
      </c>
      <c r="BE53" s="1389">
        <v>1.02</v>
      </c>
      <c r="BF53" s="1389">
        <v>1</v>
      </c>
      <c r="BG53" s="1389">
        <v>1.2</v>
      </c>
    </row>
    <row r="54" spans="1:59" s="401" customFormat="1" ht="23.25" customHeight="1">
      <c r="A54" s="1410">
        <v>267287</v>
      </c>
      <c r="B54" s="1436"/>
      <c r="C54" s="1411"/>
      <c r="D54" s="1413">
        <v>5</v>
      </c>
      <c r="E54" s="1414" t="s">
        <v>98</v>
      </c>
      <c r="F54" s="1415" t="s">
        <v>690</v>
      </c>
      <c r="G54" s="1416" t="s">
        <v>154</v>
      </c>
      <c r="H54" s="1417" t="s">
        <v>98</v>
      </c>
      <c r="I54" s="1418" t="s">
        <v>98</v>
      </c>
      <c r="J54" s="1419">
        <v>0</v>
      </c>
      <c r="K54" s="1416" t="s">
        <v>104</v>
      </c>
      <c r="L54" s="1416">
        <v>0</v>
      </c>
      <c r="M54" s="1420">
        <v>1</v>
      </c>
      <c r="N54" s="1421">
        <v>1.2620910621938648</v>
      </c>
      <c r="O54" s="1422" t="s">
        <v>3196</v>
      </c>
      <c r="P54" s="1416">
        <v>403591.69229798584</v>
      </c>
      <c r="Q54" s="1420">
        <v>1</v>
      </c>
      <c r="R54" s="1421">
        <v>1.2434566510799234</v>
      </c>
      <c r="S54" s="1422" t="s">
        <v>3202</v>
      </c>
      <c r="T54" s="1401"/>
      <c r="U54" s="1402"/>
      <c r="V54" s="1402"/>
      <c r="W54" s="1396"/>
      <c r="X54" s="1387">
        <v>3</v>
      </c>
      <c r="Y54" s="1387">
        <v>4</v>
      </c>
      <c r="Z54" s="1387">
        <v>1</v>
      </c>
      <c r="AA54" s="1387">
        <v>3</v>
      </c>
      <c r="AB54" s="1387">
        <v>1</v>
      </c>
      <c r="AC54" s="1398">
        <v>5</v>
      </c>
      <c r="AD54" s="1394">
        <v>1</v>
      </c>
      <c r="AE54" s="1380">
        <v>1.05</v>
      </c>
      <c r="AF54" s="1391">
        <v>1.2555818742947564</v>
      </c>
      <c r="AG54" s="1391">
        <v>1.2620910621938648</v>
      </c>
      <c r="AH54" s="1392" t="s">
        <v>3222</v>
      </c>
      <c r="AI54" s="1389">
        <v>1.1000000000000001</v>
      </c>
      <c r="AJ54" s="1389">
        <v>1.1000000000000001</v>
      </c>
      <c r="AK54" s="1389">
        <v>1</v>
      </c>
      <c r="AL54" s="1389">
        <v>1.02</v>
      </c>
      <c r="AM54" s="1389">
        <v>1</v>
      </c>
      <c r="AN54" s="1389">
        <v>1.2</v>
      </c>
      <c r="AO54" s="1401"/>
      <c r="AP54" s="1396" t="s">
        <v>693</v>
      </c>
      <c r="AQ54" s="1387">
        <v>2</v>
      </c>
      <c r="AR54" s="1387">
        <v>4</v>
      </c>
      <c r="AS54" s="1387">
        <v>1</v>
      </c>
      <c r="AT54" s="1387">
        <v>3</v>
      </c>
      <c r="AU54" s="1387">
        <v>1</v>
      </c>
      <c r="AV54" s="1387">
        <v>5</v>
      </c>
      <c r="AW54" s="1394">
        <v>1</v>
      </c>
      <c r="AX54" s="1380">
        <v>1.05</v>
      </c>
      <c r="AY54" s="1391">
        <v>1.2365959919080913</v>
      </c>
      <c r="AZ54" s="1391">
        <v>1.2434566510799234</v>
      </c>
      <c r="BA54" s="1392" t="s">
        <v>3226</v>
      </c>
      <c r="BB54" s="1389">
        <v>1.05</v>
      </c>
      <c r="BC54" s="1389">
        <v>1.1000000000000001</v>
      </c>
      <c r="BD54" s="1389">
        <v>1</v>
      </c>
      <c r="BE54" s="1389">
        <v>1.02</v>
      </c>
      <c r="BF54" s="1389">
        <v>1</v>
      </c>
      <c r="BG54" s="1389">
        <v>1.2</v>
      </c>
    </row>
    <row r="55" spans="1:59" s="401" customFormat="1" ht="12.75" customHeight="1">
      <c r="A55" s="1410">
        <v>160371</v>
      </c>
      <c r="B55" s="1436"/>
      <c r="C55" s="1411"/>
      <c r="D55" s="1454">
        <v>5</v>
      </c>
      <c r="E55" s="1455" t="s">
        <v>98</v>
      </c>
      <c r="F55" s="1447" t="s">
        <v>242</v>
      </c>
      <c r="G55" s="1448" t="s">
        <v>93</v>
      </c>
      <c r="H55" s="1456" t="s">
        <v>98</v>
      </c>
      <c r="I55" s="1449" t="s">
        <v>98</v>
      </c>
      <c r="J55" s="1450">
        <v>0</v>
      </c>
      <c r="K55" s="1448" t="s">
        <v>115</v>
      </c>
      <c r="L55" s="1448">
        <v>0</v>
      </c>
      <c r="M55" s="1451">
        <v>1</v>
      </c>
      <c r="N55" s="1452">
        <v>2.0741629046031922</v>
      </c>
      <c r="O55" s="1453" t="s">
        <v>3196</v>
      </c>
      <c r="P55" s="1448">
        <v>92239.900000000009</v>
      </c>
      <c r="Q55" s="1451">
        <v>1</v>
      </c>
      <c r="R55" s="1452">
        <v>2.0646254680556719</v>
      </c>
      <c r="S55" s="1453" t="s">
        <v>3193</v>
      </c>
      <c r="T55" s="1401"/>
      <c r="U55" s="1402"/>
      <c r="V55" s="1402"/>
      <c r="W55" s="1396"/>
      <c r="X55" s="1387">
        <v>3</v>
      </c>
      <c r="Y55" s="1387">
        <v>4</v>
      </c>
      <c r="Z55" s="1387">
        <v>1</v>
      </c>
      <c r="AA55" s="1387">
        <v>3</v>
      </c>
      <c r="AB55" s="1387">
        <v>1</v>
      </c>
      <c r="AC55" s="1398">
        <v>5</v>
      </c>
      <c r="AD55" s="1394">
        <v>5</v>
      </c>
      <c r="AE55" s="1380">
        <v>2</v>
      </c>
      <c r="AF55" s="1391">
        <v>1.2555818742947564</v>
      </c>
      <c r="AG55" s="1391">
        <v>2.0741629046031922</v>
      </c>
      <c r="AH55" s="1392" t="s">
        <v>3222</v>
      </c>
      <c r="AI55" s="1389">
        <v>1.1000000000000001</v>
      </c>
      <c r="AJ55" s="1389">
        <v>1.1000000000000001</v>
      </c>
      <c r="AK55" s="1389">
        <v>1</v>
      </c>
      <c r="AL55" s="1389">
        <v>1.02</v>
      </c>
      <c r="AM55" s="1389">
        <v>1</v>
      </c>
      <c r="AN55" s="1389">
        <v>1.2</v>
      </c>
      <c r="AO55" s="1401"/>
      <c r="AP55" s="1396" t="s">
        <v>673</v>
      </c>
      <c r="AQ55" s="1387">
        <v>2</v>
      </c>
      <c r="AR55" s="1387">
        <v>4</v>
      </c>
      <c r="AS55" s="1387">
        <v>1</v>
      </c>
      <c r="AT55" s="1387">
        <v>3</v>
      </c>
      <c r="AU55" s="1387">
        <v>1</v>
      </c>
      <c r="AV55" s="1387">
        <v>5</v>
      </c>
      <c r="AW55" s="1394">
        <v>5</v>
      </c>
      <c r="AX55" s="1380">
        <v>2</v>
      </c>
      <c r="AY55" s="1391">
        <v>1.2365959919080913</v>
      </c>
      <c r="AZ55" s="1391">
        <v>2.0646254680556719</v>
      </c>
      <c r="BA55" s="1392" t="s">
        <v>3226</v>
      </c>
      <c r="BB55" s="1389">
        <v>1.05</v>
      </c>
      <c r="BC55" s="1389">
        <v>1.1000000000000001</v>
      </c>
      <c r="BD55" s="1389">
        <v>1</v>
      </c>
      <c r="BE55" s="1389">
        <v>1.02</v>
      </c>
      <c r="BF55" s="1389">
        <v>1</v>
      </c>
      <c r="BG55" s="1389">
        <v>1.2</v>
      </c>
    </row>
    <row r="56" spans="1:59" s="401" customFormat="1" ht="12.75" customHeight="1">
      <c r="A56" s="1410">
        <v>269641</v>
      </c>
      <c r="B56" s="1436"/>
      <c r="C56" s="1411"/>
      <c r="D56" s="1413">
        <v>5</v>
      </c>
      <c r="E56" s="1414" t="s">
        <v>98</v>
      </c>
      <c r="F56" s="1415" t="s">
        <v>240</v>
      </c>
      <c r="G56" s="1416" t="s">
        <v>93</v>
      </c>
      <c r="H56" s="1417" t="s">
        <v>98</v>
      </c>
      <c r="I56" s="1418" t="s">
        <v>98</v>
      </c>
      <c r="J56" s="1419">
        <v>0</v>
      </c>
      <c r="K56" s="1416" t="s">
        <v>115</v>
      </c>
      <c r="L56" s="1416">
        <v>0</v>
      </c>
      <c r="M56" s="1420">
        <v>1</v>
      </c>
      <c r="N56" s="1421">
        <v>2.0741629046031922</v>
      </c>
      <c r="O56" s="1422" t="s">
        <v>3196</v>
      </c>
      <c r="P56" s="1416">
        <v>1212.3</v>
      </c>
      <c r="Q56" s="1420">
        <v>1</v>
      </c>
      <c r="R56" s="1421">
        <v>2.0646254680556719</v>
      </c>
      <c r="S56" s="1422" t="s">
        <v>3193</v>
      </c>
      <c r="T56" s="1401"/>
      <c r="U56" s="1402"/>
      <c r="V56" s="1402"/>
      <c r="W56" s="1396"/>
      <c r="X56" s="1387">
        <v>3</v>
      </c>
      <c r="Y56" s="1387">
        <v>4</v>
      </c>
      <c r="Z56" s="1387">
        <v>1</v>
      </c>
      <c r="AA56" s="1387">
        <v>3</v>
      </c>
      <c r="AB56" s="1387">
        <v>1</v>
      </c>
      <c r="AC56" s="1398">
        <v>5</v>
      </c>
      <c r="AD56" s="1394">
        <v>5</v>
      </c>
      <c r="AE56" s="1380">
        <v>2</v>
      </c>
      <c r="AF56" s="1391">
        <v>1.2555818742947564</v>
      </c>
      <c r="AG56" s="1391">
        <v>2.0741629046031922</v>
      </c>
      <c r="AH56" s="1392" t="s">
        <v>3222</v>
      </c>
      <c r="AI56" s="1389">
        <v>1.1000000000000001</v>
      </c>
      <c r="AJ56" s="1389">
        <v>1.1000000000000001</v>
      </c>
      <c r="AK56" s="1389">
        <v>1</v>
      </c>
      <c r="AL56" s="1389">
        <v>1.02</v>
      </c>
      <c r="AM56" s="1389">
        <v>1</v>
      </c>
      <c r="AN56" s="1389">
        <v>1.2</v>
      </c>
      <c r="AO56" s="1401"/>
      <c r="AP56" s="1396" t="s">
        <v>673</v>
      </c>
      <c r="AQ56" s="1387">
        <v>2</v>
      </c>
      <c r="AR56" s="1387">
        <v>4</v>
      </c>
      <c r="AS56" s="1387">
        <v>1</v>
      </c>
      <c r="AT56" s="1387">
        <v>3</v>
      </c>
      <c r="AU56" s="1387">
        <v>1</v>
      </c>
      <c r="AV56" s="1387">
        <v>5</v>
      </c>
      <c r="AW56" s="1394">
        <v>5</v>
      </c>
      <c r="AX56" s="1380">
        <v>2</v>
      </c>
      <c r="AY56" s="1391">
        <v>1.2365959919080913</v>
      </c>
      <c r="AZ56" s="1391">
        <v>2.0646254680556719</v>
      </c>
      <c r="BA56" s="1392" t="s">
        <v>3226</v>
      </c>
      <c r="BB56" s="1389">
        <v>1.05</v>
      </c>
      <c r="BC56" s="1389">
        <v>1.1000000000000001</v>
      </c>
      <c r="BD56" s="1389">
        <v>1</v>
      </c>
      <c r="BE56" s="1389">
        <v>1.02</v>
      </c>
      <c r="BF56" s="1389">
        <v>1</v>
      </c>
      <c r="BG56" s="1389">
        <v>1.2</v>
      </c>
    </row>
    <row r="57" spans="1:59" s="401" customFormat="1" ht="12.75" customHeight="1">
      <c r="A57" s="1410">
        <v>269641</v>
      </c>
      <c r="B57" s="1436"/>
      <c r="C57" s="1411"/>
      <c r="D57" s="1454">
        <v>5</v>
      </c>
      <c r="E57" s="1455" t="s">
        <v>98</v>
      </c>
      <c r="F57" s="1447" t="s">
        <v>240</v>
      </c>
      <c r="G57" s="1448" t="s">
        <v>93</v>
      </c>
      <c r="H57" s="1456" t="s">
        <v>98</v>
      </c>
      <c r="I57" s="1449" t="s">
        <v>98</v>
      </c>
      <c r="J57" s="1450">
        <v>0</v>
      </c>
      <c r="K57" s="1448" t="s">
        <v>115</v>
      </c>
      <c r="L57" s="1448">
        <v>0</v>
      </c>
      <c r="M57" s="1451">
        <v>1</v>
      </c>
      <c r="N57" s="1452">
        <v>2.0741629046031922</v>
      </c>
      <c r="O57" s="1453" t="s">
        <v>3196</v>
      </c>
      <c r="P57" s="1448">
        <v>174498.3</v>
      </c>
      <c r="Q57" s="1451">
        <v>1</v>
      </c>
      <c r="R57" s="1452">
        <v>2.0646254680556719</v>
      </c>
      <c r="S57" s="1453" t="s">
        <v>3193</v>
      </c>
      <c r="T57" s="1401"/>
      <c r="U57" s="1402"/>
      <c r="V57" s="1402"/>
      <c r="W57" s="1396"/>
      <c r="X57" s="1387">
        <v>3</v>
      </c>
      <c r="Y57" s="1387">
        <v>4</v>
      </c>
      <c r="Z57" s="1387">
        <v>1</v>
      </c>
      <c r="AA57" s="1387">
        <v>3</v>
      </c>
      <c r="AB57" s="1387">
        <v>1</v>
      </c>
      <c r="AC57" s="1398">
        <v>5</v>
      </c>
      <c r="AD57" s="1394">
        <v>5</v>
      </c>
      <c r="AE57" s="1380">
        <v>2</v>
      </c>
      <c r="AF57" s="1391">
        <v>1.2555818742947564</v>
      </c>
      <c r="AG57" s="1391">
        <v>2.0741629046031922</v>
      </c>
      <c r="AH57" s="1392" t="s">
        <v>3222</v>
      </c>
      <c r="AI57" s="1389">
        <v>1.1000000000000001</v>
      </c>
      <c r="AJ57" s="1389">
        <v>1.1000000000000001</v>
      </c>
      <c r="AK57" s="1389">
        <v>1</v>
      </c>
      <c r="AL57" s="1389">
        <v>1.02</v>
      </c>
      <c r="AM57" s="1389">
        <v>1</v>
      </c>
      <c r="AN57" s="1389">
        <v>1.2</v>
      </c>
      <c r="AO57" s="1401"/>
      <c r="AP57" s="1396" t="s">
        <v>673</v>
      </c>
      <c r="AQ57" s="1387">
        <v>2</v>
      </c>
      <c r="AR57" s="1387">
        <v>4</v>
      </c>
      <c r="AS57" s="1387">
        <v>1</v>
      </c>
      <c r="AT57" s="1387">
        <v>3</v>
      </c>
      <c r="AU57" s="1387">
        <v>1</v>
      </c>
      <c r="AV57" s="1387">
        <v>5</v>
      </c>
      <c r="AW57" s="1394">
        <v>5</v>
      </c>
      <c r="AX57" s="1380">
        <v>2</v>
      </c>
      <c r="AY57" s="1391">
        <v>1.2365959919080913</v>
      </c>
      <c r="AZ57" s="1391">
        <v>2.0646254680556719</v>
      </c>
      <c r="BA57" s="1392" t="s">
        <v>3226</v>
      </c>
      <c r="BB57" s="1389">
        <v>1.05</v>
      </c>
      <c r="BC57" s="1389">
        <v>1.1000000000000001</v>
      </c>
      <c r="BD57" s="1389">
        <v>1</v>
      </c>
      <c r="BE57" s="1389">
        <v>1.02</v>
      </c>
      <c r="BF57" s="1389">
        <v>1</v>
      </c>
      <c r="BG57" s="1389">
        <v>1.2</v>
      </c>
    </row>
    <row r="58" spans="1:59" s="401" customFormat="1" ht="26.25" customHeight="1">
      <c r="A58" s="1410">
        <v>261895</v>
      </c>
      <c r="B58" s="1436"/>
      <c r="C58" s="1411"/>
      <c r="D58" s="1413">
        <v>5</v>
      </c>
      <c r="E58" s="1414" t="s">
        <v>98</v>
      </c>
      <c r="F58" s="1415" t="s">
        <v>694</v>
      </c>
      <c r="G58" s="1416" t="s">
        <v>245</v>
      </c>
      <c r="H58" s="1417" t="s">
        <v>98</v>
      </c>
      <c r="I58" s="1418" t="s">
        <v>98</v>
      </c>
      <c r="J58" s="1419">
        <v>0</v>
      </c>
      <c r="K58" s="1416" t="s">
        <v>115</v>
      </c>
      <c r="L58" s="1416">
        <v>0</v>
      </c>
      <c r="M58" s="1420">
        <v>1</v>
      </c>
      <c r="N58" s="1421">
        <v>2.0741629046031922</v>
      </c>
      <c r="O58" s="1422" t="s">
        <v>3196</v>
      </c>
      <c r="P58" s="1416">
        <v>133.4</v>
      </c>
      <c r="Q58" s="1420">
        <v>1</v>
      </c>
      <c r="R58" s="1421">
        <v>2.0646254680556719</v>
      </c>
      <c r="S58" s="1422" t="s">
        <v>3193</v>
      </c>
      <c r="T58" s="1401"/>
      <c r="U58" s="1402"/>
      <c r="V58" s="1402"/>
      <c r="W58" s="1396"/>
      <c r="X58" s="1387">
        <v>3</v>
      </c>
      <c r="Y58" s="1387">
        <v>4</v>
      </c>
      <c r="Z58" s="1387">
        <v>1</v>
      </c>
      <c r="AA58" s="1387">
        <v>3</v>
      </c>
      <c r="AB58" s="1387">
        <v>1</v>
      </c>
      <c r="AC58" s="1398">
        <v>5</v>
      </c>
      <c r="AD58" s="1394">
        <v>5</v>
      </c>
      <c r="AE58" s="1380">
        <v>2</v>
      </c>
      <c r="AF58" s="1391">
        <v>1.2555818742947564</v>
      </c>
      <c r="AG58" s="1391">
        <v>2.0741629046031922</v>
      </c>
      <c r="AH58" s="1392" t="s">
        <v>3222</v>
      </c>
      <c r="AI58" s="1389">
        <v>1.1000000000000001</v>
      </c>
      <c r="AJ58" s="1389">
        <v>1.1000000000000001</v>
      </c>
      <c r="AK58" s="1389">
        <v>1</v>
      </c>
      <c r="AL58" s="1389">
        <v>1.02</v>
      </c>
      <c r="AM58" s="1389">
        <v>1</v>
      </c>
      <c r="AN58" s="1389">
        <v>1.2</v>
      </c>
      <c r="AO58" s="1401"/>
      <c r="AP58" s="1396" t="s">
        <v>673</v>
      </c>
      <c r="AQ58" s="1387">
        <v>2</v>
      </c>
      <c r="AR58" s="1387">
        <v>4</v>
      </c>
      <c r="AS58" s="1387">
        <v>1</v>
      </c>
      <c r="AT58" s="1387">
        <v>3</v>
      </c>
      <c r="AU58" s="1387">
        <v>1</v>
      </c>
      <c r="AV58" s="1387">
        <v>5</v>
      </c>
      <c r="AW58" s="1394">
        <v>5</v>
      </c>
      <c r="AX58" s="1380">
        <v>2</v>
      </c>
      <c r="AY58" s="1391">
        <v>1.2365959919080913</v>
      </c>
      <c r="AZ58" s="1391">
        <v>2.0646254680556719</v>
      </c>
      <c r="BA58" s="1392" t="s">
        <v>3226</v>
      </c>
      <c r="BB58" s="1389">
        <v>1.05</v>
      </c>
      <c r="BC58" s="1389">
        <v>1.1000000000000001</v>
      </c>
      <c r="BD58" s="1389">
        <v>1</v>
      </c>
      <c r="BE58" s="1389">
        <v>1.02</v>
      </c>
      <c r="BF58" s="1389">
        <v>1</v>
      </c>
      <c r="BG58" s="1389">
        <v>1.2</v>
      </c>
    </row>
    <row r="59" spans="1:59" s="401" customFormat="1" ht="36" customHeight="1">
      <c r="A59" s="1410">
        <v>79235</v>
      </c>
      <c r="B59" s="1412" t="s">
        <v>718</v>
      </c>
      <c r="C59" s="1411"/>
      <c r="D59" s="1454">
        <v>5</v>
      </c>
      <c r="E59" s="1455" t="s">
        <v>98</v>
      </c>
      <c r="F59" s="1447" t="s">
        <v>688</v>
      </c>
      <c r="G59" s="1448" t="s">
        <v>340</v>
      </c>
      <c r="H59" s="1456" t="s">
        <v>98</v>
      </c>
      <c r="I59" s="1449" t="s">
        <v>98</v>
      </c>
      <c r="J59" s="1450">
        <v>0</v>
      </c>
      <c r="K59" s="1448" t="s">
        <v>109</v>
      </c>
      <c r="L59" s="1448">
        <v>0</v>
      </c>
      <c r="M59" s="1451">
        <v>1</v>
      </c>
      <c r="N59" s="1452">
        <v>1.2620910621938648</v>
      </c>
      <c r="O59" s="1453" t="s">
        <v>3196</v>
      </c>
      <c r="P59" s="1448">
        <v>36501</v>
      </c>
      <c r="Q59" s="1451">
        <v>1</v>
      </c>
      <c r="R59" s="1452">
        <v>1.2434566510799234</v>
      </c>
      <c r="S59" s="1453" t="s">
        <v>3193</v>
      </c>
      <c r="T59" s="1401"/>
      <c r="U59" s="1402"/>
      <c r="V59" s="1402"/>
      <c r="W59" s="1396"/>
      <c r="X59" s="1387">
        <v>3</v>
      </c>
      <c r="Y59" s="1387">
        <v>4</v>
      </c>
      <c r="Z59" s="1387">
        <v>1</v>
      </c>
      <c r="AA59" s="1387">
        <v>3</v>
      </c>
      <c r="AB59" s="1387">
        <v>1</v>
      </c>
      <c r="AC59" s="1398">
        <v>5</v>
      </c>
      <c r="AD59" s="1394">
        <v>3</v>
      </c>
      <c r="AE59" s="1380">
        <v>1.05</v>
      </c>
      <c r="AF59" s="1391">
        <v>1.2555818742947564</v>
      </c>
      <c r="AG59" s="1391">
        <v>1.2620910621938648</v>
      </c>
      <c r="AH59" s="1392" t="s">
        <v>3222</v>
      </c>
      <c r="AI59" s="1389">
        <v>1.1000000000000001</v>
      </c>
      <c r="AJ59" s="1389">
        <v>1.1000000000000001</v>
      </c>
      <c r="AK59" s="1389">
        <v>1</v>
      </c>
      <c r="AL59" s="1389">
        <v>1.02</v>
      </c>
      <c r="AM59" s="1389">
        <v>1</v>
      </c>
      <c r="AN59" s="1389">
        <v>1.2</v>
      </c>
      <c r="AO59" s="1401"/>
      <c r="AP59" s="1396" t="s">
        <v>673</v>
      </c>
      <c r="AQ59" s="1387">
        <v>2</v>
      </c>
      <c r="AR59" s="1387">
        <v>4</v>
      </c>
      <c r="AS59" s="1387">
        <v>1</v>
      </c>
      <c r="AT59" s="1387">
        <v>3</v>
      </c>
      <c r="AU59" s="1387">
        <v>1</v>
      </c>
      <c r="AV59" s="1387">
        <v>5</v>
      </c>
      <c r="AW59" s="1394">
        <v>3</v>
      </c>
      <c r="AX59" s="1380">
        <v>1.05</v>
      </c>
      <c r="AY59" s="1391">
        <v>1.2365959919080913</v>
      </c>
      <c r="AZ59" s="1391">
        <v>1.2434566510799234</v>
      </c>
      <c r="BA59" s="1392" t="s">
        <v>3226</v>
      </c>
      <c r="BB59" s="1389">
        <v>1.05</v>
      </c>
      <c r="BC59" s="1389">
        <v>1.1000000000000001</v>
      </c>
      <c r="BD59" s="1389">
        <v>1</v>
      </c>
      <c r="BE59" s="1389">
        <v>1.02</v>
      </c>
      <c r="BF59" s="1389">
        <v>1</v>
      </c>
      <c r="BG59" s="1389">
        <v>1.2</v>
      </c>
    </row>
    <row r="60" spans="1:59" s="401" customFormat="1" ht="23.25" customHeight="1">
      <c r="A60" s="1410">
        <v>267287</v>
      </c>
      <c r="B60" s="1436"/>
      <c r="C60" s="1411"/>
      <c r="D60" s="1413">
        <v>5</v>
      </c>
      <c r="E60" s="1414" t="s">
        <v>98</v>
      </c>
      <c r="F60" s="1415" t="s">
        <v>690</v>
      </c>
      <c r="G60" s="1416" t="s">
        <v>154</v>
      </c>
      <c r="H60" s="1417" t="s">
        <v>98</v>
      </c>
      <c r="I60" s="1418" t="s">
        <v>98</v>
      </c>
      <c r="J60" s="1419">
        <v>0</v>
      </c>
      <c r="K60" s="1416" t="s">
        <v>104</v>
      </c>
      <c r="L60" s="1416">
        <v>0</v>
      </c>
      <c r="M60" s="1420">
        <v>1</v>
      </c>
      <c r="N60" s="1421">
        <v>1.2620910621938648</v>
      </c>
      <c r="O60" s="1422" t="s">
        <v>3196</v>
      </c>
      <c r="P60" s="1416">
        <v>1850752.1878591883</v>
      </c>
      <c r="Q60" s="1420">
        <v>1</v>
      </c>
      <c r="R60" s="1421">
        <v>1.2434566510799234</v>
      </c>
      <c r="S60" s="1422" t="s">
        <v>3202</v>
      </c>
      <c r="T60" s="1401"/>
      <c r="U60" s="1402"/>
      <c r="V60" s="1402"/>
      <c r="W60" s="1396"/>
      <c r="X60" s="1387">
        <v>3</v>
      </c>
      <c r="Y60" s="1387">
        <v>4</v>
      </c>
      <c r="Z60" s="1387">
        <v>1</v>
      </c>
      <c r="AA60" s="1387">
        <v>3</v>
      </c>
      <c r="AB60" s="1387">
        <v>1</v>
      </c>
      <c r="AC60" s="1398">
        <v>5</v>
      </c>
      <c r="AD60" s="1394">
        <v>1</v>
      </c>
      <c r="AE60" s="1380">
        <v>1.05</v>
      </c>
      <c r="AF60" s="1391">
        <v>1.2555818742947564</v>
      </c>
      <c r="AG60" s="1391">
        <v>1.2620910621938648</v>
      </c>
      <c r="AH60" s="1392" t="s">
        <v>3222</v>
      </c>
      <c r="AI60" s="1389">
        <v>1.1000000000000001</v>
      </c>
      <c r="AJ60" s="1389">
        <v>1.1000000000000001</v>
      </c>
      <c r="AK60" s="1389">
        <v>1</v>
      </c>
      <c r="AL60" s="1389">
        <v>1.02</v>
      </c>
      <c r="AM60" s="1389">
        <v>1</v>
      </c>
      <c r="AN60" s="1389">
        <v>1.2</v>
      </c>
      <c r="AO60" s="1401"/>
      <c r="AP60" s="1396" t="s">
        <v>693</v>
      </c>
      <c r="AQ60" s="1387">
        <v>2</v>
      </c>
      <c r="AR60" s="1387">
        <v>4</v>
      </c>
      <c r="AS60" s="1387">
        <v>1</v>
      </c>
      <c r="AT60" s="1387">
        <v>3</v>
      </c>
      <c r="AU60" s="1387">
        <v>1</v>
      </c>
      <c r="AV60" s="1387">
        <v>5</v>
      </c>
      <c r="AW60" s="1394">
        <v>1</v>
      </c>
      <c r="AX60" s="1380">
        <v>1.05</v>
      </c>
      <c r="AY60" s="1391">
        <v>1.2365959919080913</v>
      </c>
      <c r="AZ60" s="1391">
        <v>1.2434566510799234</v>
      </c>
      <c r="BA60" s="1392" t="s">
        <v>3226</v>
      </c>
      <c r="BB60" s="1389">
        <v>1.05</v>
      </c>
      <c r="BC60" s="1389">
        <v>1.1000000000000001</v>
      </c>
      <c r="BD60" s="1389">
        <v>1</v>
      </c>
      <c r="BE60" s="1389">
        <v>1.02</v>
      </c>
      <c r="BF60" s="1389">
        <v>1</v>
      </c>
      <c r="BG60" s="1389">
        <v>1.2</v>
      </c>
    </row>
    <row r="61" spans="1:59" s="401" customFormat="1" ht="12.75" customHeight="1">
      <c r="A61" s="1410">
        <v>160371</v>
      </c>
      <c r="B61" s="1436"/>
      <c r="C61" s="1411"/>
      <c r="D61" s="1454">
        <v>5</v>
      </c>
      <c r="E61" s="1455" t="s">
        <v>98</v>
      </c>
      <c r="F61" s="1447" t="s">
        <v>242</v>
      </c>
      <c r="G61" s="1448" t="s">
        <v>93</v>
      </c>
      <c r="H61" s="1456" t="s">
        <v>98</v>
      </c>
      <c r="I61" s="1449" t="s">
        <v>98</v>
      </c>
      <c r="J61" s="1450">
        <v>0</v>
      </c>
      <c r="K61" s="1448" t="s">
        <v>115</v>
      </c>
      <c r="L61" s="1448">
        <v>0</v>
      </c>
      <c r="M61" s="1451">
        <v>1</v>
      </c>
      <c r="N61" s="1452">
        <v>2.0741629046031922</v>
      </c>
      <c r="O61" s="1453" t="s">
        <v>3196</v>
      </c>
      <c r="P61" s="1448">
        <v>10159.799999999999</v>
      </c>
      <c r="Q61" s="1451">
        <v>1</v>
      </c>
      <c r="R61" s="1452">
        <v>2.0646254680556719</v>
      </c>
      <c r="S61" s="1453" t="s">
        <v>3193</v>
      </c>
      <c r="T61" s="1401"/>
      <c r="U61" s="1402"/>
      <c r="V61" s="1402"/>
      <c r="W61" s="1396"/>
      <c r="X61" s="1387">
        <v>3</v>
      </c>
      <c r="Y61" s="1387">
        <v>4</v>
      </c>
      <c r="Z61" s="1387">
        <v>1</v>
      </c>
      <c r="AA61" s="1387">
        <v>3</v>
      </c>
      <c r="AB61" s="1387">
        <v>1</v>
      </c>
      <c r="AC61" s="1398">
        <v>5</v>
      </c>
      <c r="AD61" s="1394">
        <v>5</v>
      </c>
      <c r="AE61" s="1380">
        <v>2</v>
      </c>
      <c r="AF61" s="1391">
        <v>1.2555818742947564</v>
      </c>
      <c r="AG61" s="1391">
        <v>2.0741629046031922</v>
      </c>
      <c r="AH61" s="1392" t="s">
        <v>3222</v>
      </c>
      <c r="AI61" s="1389">
        <v>1.1000000000000001</v>
      </c>
      <c r="AJ61" s="1389">
        <v>1.1000000000000001</v>
      </c>
      <c r="AK61" s="1389">
        <v>1</v>
      </c>
      <c r="AL61" s="1389">
        <v>1.02</v>
      </c>
      <c r="AM61" s="1389">
        <v>1</v>
      </c>
      <c r="AN61" s="1389">
        <v>1.2</v>
      </c>
      <c r="AO61" s="1401"/>
      <c r="AP61" s="1396" t="s">
        <v>673</v>
      </c>
      <c r="AQ61" s="1387">
        <v>2</v>
      </c>
      <c r="AR61" s="1387">
        <v>4</v>
      </c>
      <c r="AS61" s="1387">
        <v>1</v>
      </c>
      <c r="AT61" s="1387">
        <v>3</v>
      </c>
      <c r="AU61" s="1387">
        <v>1</v>
      </c>
      <c r="AV61" s="1387">
        <v>5</v>
      </c>
      <c r="AW61" s="1394">
        <v>5</v>
      </c>
      <c r="AX61" s="1380">
        <v>2</v>
      </c>
      <c r="AY61" s="1391">
        <v>1.2365959919080913</v>
      </c>
      <c r="AZ61" s="1391">
        <v>2.0646254680556719</v>
      </c>
      <c r="BA61" s="1392" t="s">
        <v>3226</v>
      </c>
      <c r="BB61" s="1389">
        <v>1.05</v>
      </c>
      <c r="BC61" s="1389">
        <v>1.1000000000000001</v>
      </c>
      <c r="BD61" s="1389">
        <v>1</v>
      </c>
      <c r="BE61" s="1389">
        <v>1.02</v>
      </c>
      <c r="BF61" s="1389">
        <v>1</v>
      </c>
      <c r="BG61" s="1389">
        <v>1.2</v>
      </c>
    </row>
    <row r="62" spans="1:59" s="401" customFormat="1" ht="12.75" customHeight="1">
      <c r="A62" s="1410">
        <v>269609</v>
      </c>
      <c r="B62" s="1436"/>
      <c r="C62" s="1411"/>
      <c r="D62" s="1413">
        <v>5</v>
      </c>
      <c r="E62" s="1414" t="s">
        <v>98</v>
      </c>
      <c r="F62" s="1415" t="s">
        <v>720</v>
      </c>
      <c r="G62" s="1416" t="s">
        <v>93</v>
      </c>
      <c r="H62" s="1417" t="s">
        <v>98</v>
      </c>
      <c r="I62" s="1418" t="s">
        <v>98</v>
      </c>
      <c r="J62" s="1419">
        <v>0</v>
      </c>
      <c r="K62" s="1416" t="s">
        <v>115</v>
      </c>
      <c r="L62" s="1416">
        <v>0</v>
      </c>
      <c r="M62" s="1420">
        <v>1</v>
      </c>
      <c r="N62" s="1421">
        <v>2.0741629046031922</v>
      </c>
      <c r="O62" s="1422" t="s">
        <v>3196</v>
      </c>
      <c r="P62" s="1416">
        <v>3593.1</v>
      </c>
      <c r="Q62" s="1420">
        <v>1</v>
      </c>
      <c r="R62" s="1421">
        <v>2.0646254680556719</v>
      </c>
      <c r="S62" s="1422" t="s">
        <v>3193</v>
      </c>
      <c r="T62" s="1401"/>
      <c r="U62" s="1402"/>
      <c r="V62" s="1402"/>
      <c r="W62" s="1396"/>
      <c r="X62" s="1387">
        <v>3</v>
      </c>
      <c r="Y62" s="1387">
        <v>4</v>
      </c>
      <c r="Z62" s="1387">
        <v>1</v>
      </c>
      <c r="AA62" s="1387">
        <v>3</v>
      </c>
      <c r="AB62" s="1387">
        <v>1</v>
      </c>
      <c r="AC62" s="1398">
        <v>5</v>
      </c>
      <c r="AD62" s="1394">
        <v>5</v>
      </c>
      <c r="AE62" s="1380">
        <v>2</v>
      </c>
      <c r="AF62" s="1391">
        <v>1.2555818742947564</v>
      </c>
      <c r="AG62" s="1391">
        <v>2.0741629046031922</v>
      </c>
      <c r="AH62" s="1392" t="s">
        <v>3222</v>
      </c>
      <c r="AI62" s="1389">
        <v>1.1000000000000001</v>
      </c>
      <c r="AJ62" s="1389">
        <v>1.1000000000000001</v>
      </c>
      <c r="AK62" s="1389">
        <v>1</v>
      </c>
      <c r="AL62" s="1389">
        <v>1.02</v>
      </c>
      <c r="AM62" s="1389">
        <v>1</v>
      </c>
      <c r="AN62" s="1389">
        <v>1.2</v>
      </c>
      <c r="AO62" s="1401"/>
      <c r="AP62" s="1396" t="s">
        <v>673</v>
      </c>
      <c r="AQ62" s="1387">
        <v>2</v>
      </c>
      <c r="AR62" s="1387">
        <v>4</v>
      </c>
      <c r="AS62" s="1387">
        <v>1</v>
      </c>
      <c r="AT62" s="1387">
        <v>3</v>
      </c>
      <c r="AU62" s="1387">
        <v>1</v>
      </c>
      <c r="AV62" s="1387">
        <v>5</v>
      </c>
      <c r="AW62" s="1394">
        <v>5</v>
      </c>
      <c r="AX62" s="1380">
        <v>2</v>
      </c>
      <c r="AY62" s="1391">
        <v>1.2365959919080913</v>
      </c>
      <c r="AZ62" s="1391">
        <v>2.0646254680556719</v>
      </c>
      <c r="BA62" s="1392" t="s">
        <v>3226</v>
      </c>
      <c r="BB62" s="1389">
        <v>1.05</v>
      </c>
      <c r="BC62" s="1389">
        <v>1.1000000000000001</v>
      </c>
      <c r="BD62" s="1389">
        <v>1</v>
      </c>
      <c r="BE62" s="1389">
        <v>1.02</v>
      </c>
      <c r="BF62" s="1389">
        <v>1</v>
      </c>
      <c r="BG62" s="1389">
        <v>1.2</v>
      </c>
    </row>
    <row r="63" spans="1:59" s="401" customFormat="1" ht="12.75" customHeight="1">
      <c r="A63" s="1410">
        <v>269641</v>
      </c>
      <c r="B63" s="1436"/>
      <c r="C63" s="1411"/>
      <c r="D63" s="1454">
        <v>5</v>
      </c>
      <c r="E63" s="1455" t="s">
        <v>98</v>
      </c>
      <c r="F63" s="1447" t="s">
        <v>240</v>
      </c>
      <c r="G63" s="1448" t="s">
        <v>93</v>
      </c>
      <c r="H63" s="1456" t="s">
        <v>98</v>
      </c>
      <c r="I63" s="1449" t="s">
        <v>98</v>
      </c>
      <c r="J63" s="1450">
        <v>0</v>
      </c>
      <c r="K63" s="1448" t="s">
        <v>115</v>
      </c>
      <c r="L63" s="1448">
        <v>0</v>
      </c>
      <c r="M63" s="1451">
        <v>1</v>
      </c>
      <c r="N63" s="1452">
        <v>2.0741629046031922</v>
      </c>
      <c r="O63" s="1453" t="s">
        <v>3196</v>
      </c>
      <c r="P63" s="1448">
        <v>852679.8</v>
      </c>
      <c r="Q63" s="1451">
        <v>1</v>
      </c>
      <c r="R63" s="1452">
        <v>2.0646254680556719</v>
      </c>
      <c r="S63" s="1453" t="s">
        <v>3206</v>
      </c>
      <c r="T63" s="1401"/>
      <c r="U63" s="1402"/>
      <c r="V63" s="1402"/>
      <c r="W63" s="1396"/>
      <c r="X63" s="1387">
        <v>3</v>
      </c>
      <c r="Y63" s="1387">
        <v>4</v>
      </c>
      <c r="Z63" s="1387">
        <v>1</v>
      </c>
      <c r="AA63" s="1387">
        <v>3</v>
      </c>
      <c r="AB63" s="1387">
        <v>1</v>
      </c>
      <c r="AC63" s="1398">
        <v>5</v>
      </c>
      <c r="AD63" s="1394">
        <v>5</v>
      </c>
      <c r="AE63" s="1380">
        <v>2</v>
      </c>
      <c r="AF63" s="1391">
        <v>1.2555818742947564</v>
      </c>
      <c r="AG63" s="1391">
        <v>2.0741629046031922</v>
      </c>
      <c r="AH63" s="1392" t="s">
        <v>3222</v>
      </c>
      <c r="AI63" s="1389">
        <v>1.1000000000000001</v>
      </c>
      <c r="AJ63" s="1389">
        <v>1.1000000000000001</v>
      </c>
      <c r="AK63" s="1389">
        <v>1</v>
      </c>
      <c r="AL63" s="1389">
        <v>1.02</v>
      </c>
      <c r="AM63" s="1389">
        <v>1</v>
      </c>
      <c r="AN63" s="1389">
        <v>1.2</v>
      </c>
      <c r="AO63" s="1401"/>
      <c r="AP63" s="1396" t="s">
        <v>719</v>
      </c>
      <c r="AQ63" s="1387">
        <v>2</v>
      </c>
      <c r="AR63" s="1387">
        <v>4</v>
      </c>
      <c r="AS63" s="1387">
        <v>1</v>
      </c>
      <c r="AT63" s="1387">
        <v>3</v>
      </c>
      <c r="AU63" s="1387">
        <v>1</v>
      </c>
      <c r="AV63" s="1387">
        <v>5</v>
      </c>
      <c r="AW63" s="1394">
        <v>5</v>
      </c>
      <c r="AX63" s="1380">
        <v>2</v>
      </c>
      <c r="AY63" s="1391">
        <v>1.2365959919080913</v>
      </c>
      <c r="AZ63" s="1391">
        <v>2.0646254680556719</v>
      </c>
      <c r="BA63" s="1392" t="s">
        <v>3226</v>
      </c>
      <c r="BB63" s="1389">
        <v>1.05</v>
      </c>
      <c r="BC63" s="1389">
        <v>1.1000000000000001</v>
      </c>
      <c r="BD63" s="1389">
        <v>1</v>
      </c>
      <c r="BE63" s="1389">
        <v>1.02</v>
      </c>
      <c r="BF63" s="1389">
        <v>1</v>
      </c>
      <c r="BG63" s="1389">
        <v>1.2</v>
      </c>
    </row>
    <row r="64" spans="1:59" s="401" customFormat="1" ht="24" customHeight="1">
      <c r="A64" s="1410">
        <v>79235</v>
      </c>
      <c r="B64" s="1412" t="s">
        <v>721</v>
      </c>
      <c r="C64" s="1411"/>
      <c r="D64" s="1413">
        <v>5</v>
      </c>
      <c r="E64" s="1414" t="s">
        <v>98</v>
      </c>
      <c r="F64" s="1415" t="s">
        <v>688</v>
      </c>
      <c r="G64" s="1416" t="s">
        <v>340</v>
      </c>
      <c r="H64" s="1417" t="s">
        <v>98</v>
      </c>
      <c r="I64" s="1418" t="s">
        <v>98</v>
      </c>
      <c r="J64" s="1419">
        <v>0</v>
      </c>
      <c r="K64" s="1416" t="s">
        <v>109</v>
      </c>
      <c r="L64" s="1416">
        <v>0</v>
      </c>
      <c r="M64" s="1420">
        <v>1</v>
      </c>
      <c r="N64" s="1421">
        <v>1.2620910621938648</v>
      </c>
      <c r="O64" s="1422" t="s">
        <v>3196</v>
      </c>
      <c r="P64" s="1416">
        <v>4063.3000000000011</v>
      </c>
      <c r="Q64" s="1420">
        <v>1</v>
      </c>
      <c r="R64" s="1421">
        <v>1.2434566510799234</v>
      </c>
      <c r="S64" s="1422" t="s">
        <v>3193</v>
      </c>
      <c r="T64" s="1401"/>
      <c r="U64" s="1402"/>
      <c r="V64" s="1402"/>
      <c r="W64" s="1396"/>
      <c r="X64" s="1387">
        <v>3</v>
      </c>
      <c r="Y64" s="1387">
        <v>4</v>
      </c>
      <c r="Z64" s="1387">
        <v>1</v>
      </c>
      <c r="AA64" s="1387">
        <v>3</v>
      </c>
      <c r="AB64" s="1387">
        <v>1</v>
      </c>
      <c r="AC64" s="1398">
        <v>5</v>
      </c>
      <c r="AD64" s="1394">
        <v>3</v>
      </c>
      <c r="AE64" s="1380">
        <v>1.05</v>
      </c>
      <c r="AF64" s="1391">
        <v>1.2555818742947564</v>
      </c>
      <c r="AG64" s="1391">
        <v>1.2620910621938648</v>
      </c>
      <c r="AH64" s="1392" t="s">
        <v>3222</v>
      </c>
      <c r="AI64" s="1389">
        <v>1.1000000000000001</v>
      </c>
      <c r="AJ64" s="1389">
        <v>1.1000000000000001</v>
      </c>
      <c r="AK64" s="1389">
        <v>1</v>
      </c>
      <c r="AL64" s="1389">
        <v>1.02</v>
      </c>
      <c r="AM64" s="1389">
        <v>1</v>
      </c>
      <c r="AN64" s="1389">
        <v>1.2</v>
      </c>
      <c r="AO64" s="1401"/>
      <c r="AP64" s="1396" t="s">
        <v>673</v>
      </c>
      <c r="AQ64" s="1387">
        <v>2</v>
      </c>
      <c r="AR64" s="1387">
        <v>4</v>
      </c>
      <c r="AS64" s="1387">
        <v>1</v>
      </c>
      <c r="AT64" s="1387">
        <v>3</v>
      </c>
      <c r="AU64" s="1387">
        <v>1</v>
      </c>
      <c r="AV64" s="1387">
        <v>5</v>
      </c>
      <c r="AW64" s="1394">
        <v>3</v>
      </c>
      <c r="AX64" s="1380">
        <v>1.05</v>
      </c>
      <c r="AY64" s="1391">
        <v>1.2365959919080913</v>
      </c>
      <c r="AZ64" s="1391">
        <v>1.2434566510799234</v>
      </c>
      <c r="BA64" s="1392" t="s">
        <v>3226</v>
      </c>
      <c r="BB64" s="1389">
        <v>1.05</v>
      </c>
      <c r="BC64" s="1389">
        <v>1.1000000000000001</v>
      </c>
      <c r="BD64" s="1389">
        <v>1</v>
      </c>
      <c r="BE64" s="1389">
        <v>1.02</v>
      </c>
      <c r="BF64" s="1389">
        <v>1</v>
      </c>
      <c r="BG64" s="1389">
        <v>1.2</v>
      </c>
    </row>
    <row r="65" spans="1:59" s="401" customFormat="1" ht="12.75" customHeight="1">
      <c r="A65" s="1410">
        <v>263631</v>
      </c>
      <c r="B65" s="1436"/>
      <c r="C65" s="1411"/>
      <c r="D65" s="1454">
        <v>5</v>
      </c>
      <c r="E65" s="1455" t="s">
        <v>98</v>
      </c>
      <c r="F65" s="1447" t="s">
        <v>722</v>
      </c>
      <c r="G65" s="1448" t="s">
        <v>103</v>
      </c>
      <c r="H65" s="1456" t="s">
        <v>98</v>
      </c>
      <c r="I65" s="1449" t="s">
        <v>98</v>
      </c>
      <c r="J65" s="1450">
        <v>0</v>
      </c>
      <c r="K65" s="1448" t="s">
        <v>96</v>
      </c>
      <c r="L65" s="1448">
        <v>0</v>
      </c>
      <c r="M65" s="1451">
        <v>1</v>
      </c>
      <c r="N65" s="1452">
        <v>1.2620910621938648</v>
      </c>
      <c r="O65" s="1453" t="s">
        <v>3196</v>
      </c>
      <c r="P65" s="1448">
        <v>1373664.6</v>
      </c>
      <c r="Q65" s="1451">
        <v>1</v>
      </c>
      <c r="R65" s="1452">
        <v>1.2434566510799234</v>
      </c>
      <c r="S65" s="1453" t="s">
        <v>3193</v>
      </c>
      <c r="T65" s="1401"/>
      <c r="U65" s="1402"/>
      <c r="V65" s="1402"/>
      <c r="W65" s="1396"/>
      <c r="X65" s="1387">
        <v>3</v>
      </c>
      <c r="Y65" s="1387">
        <v>4</v>
      </c>
      <c r="Z65" s="1387">
        <v>1</v>
      </c>
      <c r="AA65" s="1387">
        <v>3</v>
      </c>
      <c r="AB65" s="1387">
        <v>1</v>
      </c>
      <c r="AC65" s="1398">
        <v>5</v>
      </c>
      <c r="AD65" s="1394">
        <v>3</v>
      </c>
      <c r="AE65" s="1380">
        <v>1.05</v>
      </c>
      <c r="AF65" s="1391">
        <v>1.2555818742947564</v>
      </c>
      <c r="AG65" s="1391">
        <v>1.2620910621938648</v>
      </c>
      <c r="AH65" s="1392" t="s">
        <v>3222</v>
      </c>
      <c r="AI65" s="1389">
        <v>1.1000000000000001</v>
      </c>
      <c r="AJ65" s="1389">
        <v>1.1000000000000001</v>
      </c>
      <c r="AK65" s="1389">
        <v>1</v>
      </c>
      <c r="AL65" s="1389">
        <v>1.02</v>
      </c>
      <c r="AM65" s="1389">
        <v>1</v>
      </c>
      <c r="AN65" s="1389">
        <v>1.2</v>
      </c>
      <c r="AO65" s="1401"/>
      <c r="AP65" s="1396" t="s">
        <v>673</v>
      </c>
      <c r="AQ65" s="1387">
        <v>2</v>
      </c>
      <c r="AR65" s="1387">
        <v>4</v>
      </c>
      <c r="AS65" s="1387">
        <v>1</v>
      </c>
      <c r="AT65" s="1387">
        <v>3</v>
      </c>
      <c r="AU65" s="1387">
        <v>1</v>
      </c>
      <c r="AV65" s="1387">
        <v>5</v>
      </c>
      <c r="AW65" s="1394">
        <v>3</v>
      </c>
      <c r="AX65" s="1380">
        <v>1.05</v>
      </c>
      <c r="AY65" s="1391">
        <v>1.2365959919080913</v>
      </c>
      <c r="AZ65" s="1391">
        <v>1.2434566510799234</v>
      </c>
      <c r="BA65" s="1392" t="s">
        <v>3226</v>
      </c>
      <c r="BB65" s="1389">
        <v>1.05</v>
      </c>
      <c r="BC65" s="1389">
        <v>1.1000000000000001</v>
      </c>
      <c r="BD65" s="1389">
        <v>1</v>
      </c>
      <c r="BE65" s="1389">
        <v>1.02</v>
      </c>
      <c r="BF65" s="1389">
        <v>1</v>
      </c>
      <c r="BG65" s="1389">
        <v>1.2</v>
      </c>
    </row>
    <row r="66" spans="1:59" s="401" customFormat="1" ht="12.75" customHeight="1">
      <c r="A66" s="1410">
        <v>268132</v>
      </c>
      <c r="B66" s="1412" t="s">
        <v>723</v>
      </c>
      <c r="C66" s="1411"/>
      <c r="D66" s="1413">
        <v>5</v>
      </c>
      <c r="E66" s="1414" t="s">
        <v>98</v>
      </c>
      <c r="F66" s="1415" t="s">
        <v>724</v>
      </c>
      <c r="G66" s="1416" t="s">
        <v>103</v>
      </c>
      <c r="H66" s="1417" t="s">
        <v>98</v>
      </c>
      <c r="I66" s="1418" t="s">
        <v>98</v>
      </c>
      <c r="J66" s="1419">
        <v>1</v>
      </c>
      <c r="K66" s="1416" t="s">
        <v>725</v>
      </c>
      <c r="L66" s="1416">
        <v>0</v>
      </c>
      <c r="M66" s="1420">
        <v>1</v>
      </c>
      <c r="N66" s="1421">
        <v>3.0708070945678916</v>
      </c>
      <c r="O66" s="1422" t="s">
        <v>3196</v>
      </c>
      <c r="P66" s="1416">
        <v>48793.80000000001</v>
      </c>
      <c r="Q66" s="1420">
        <v>1</v>
      </c>
      <c r="R66" s="1421">
        <v>3.0616345979734279</v>
      </c>
      <c r="S66" s="1422" t="s">
        <v>3193</v>
      </c>
      <c r="T66" s="1401"/>
      <c r="U66" s="1402"/>
      <c r="V66" s="1402"/>
      <c r="W66" s="1396"/>
      <c r="X66" s="1387">
        <v>3</v>
      </c>
      <c r="Y66" s="1387">
        <v>4</v>
      </c>
      <c r="Z66" s="1387">
        <v>1</v>
      </c>
      <c r="AA66" s="1387">
        <v>3</v>
      </c>
      <c r="AB66" s="1387">
        <v>1</v>
      </c>
      <c r="AC66" s="1398">
        <v>5</v>
      </c>
      <c r="AD66" s="1394">
        <v>9</v>
      </c>
      <c r="AE66" s="1380">
        <v>3</v>
      </c>
      <c r="AF66" s="1391">
        <v>1.2555818742947564</v>
      </c>
      <c r="AG66" s="1391">
        <v>3.0708070945678916</v>
      </c>
      <c r="AH66" s="1392" t="s">
        <v>3222</v>
      </c>
      <c r="AI66" s="1389">
        <v>1.1000000000000001</v>
      </c>
      <c r="AJ66" s="1389">
        <v>1.1000000000000001</v>
      </c>
      <c r="AK66" s="1389">
        <v>1</v>
      </c>
      <c r="AL66" s="1389">
        <v>1.02</v>
      </c>
      <c r="AM66" s="1389">
        <v>1</v>
      </c>
      <c r="AN66" s="1389">
        <v>1.2</v>
      </c>
      <c r="AO66" s="1401"/>
      <c r="AP66" s="1396" t="s">
        <v>673</v>
      </c>
      <c r="AQ66" s="1387">
        <v>2</v>
      </c>
      <c r="AR66" s="1387">
        <v>4</v>
      </c>
      <c r="AS66" s="1387">
        <v>1</v>
      </c>
      <c r="AT66" s="1387">
        <v>3</v>
      </c>
      <c r="AU66" s="1387">
        <v>1</v>
      </c>
      <c r="AV66" s="1387">
        <v>5</v>
      </c>
      <c r="AW66" s="1394">
        <v>9</v>
      </c>
      <c r="AX66" s="1380">
        <v>3</v>
      </c>
      <c r="AY66" s="1391">
        <v>1.2365959919080913</v>
      </c>
      <c r="AZ66" s="1391">
        <v>3.0616345979734279</v>
      </c>
      <c r="BA66" s="1392" t="s">
        <v>3226</v>
      </c>
      <c r="BB66" s="1389">
        <v>1.05</v>
      </c>
      <c r="BC66" s="1389">
        <v>1.1000000000000001</v>
      </c>
      <c r="BD66" s="1389">
        <v>1</v>
      </c>
      <c r="BE66" s="1389">
        <v>1.02</v>
      </c>
      <c r="BF66" s="1389">
        <v>1</v>
      </c>
      <c r="BG66" s="1389">
        <v>1.2</v>
      </c>
    </row>
    <row r="67" spans="1:59" s="401" customFormat="1" ht="12.75" customHeight="1">
      <c r="A67" s="1410">
        <v>79235</v>
      </c>
      <c r="B67" s="1412" t="s">
        <v>726</v>
      </c>
      <c r="C67" s="1411"/>
      <c r="D67" s="1454">
        <v>5</v>
      </c>
      <c r="E67" s="1455" t="s">
        <v>98</v>
      </c>
      <c r="F67" s="1447" t="s">
        <v>688</v>
      </c>
      <c r="G67" s="1448" t="s">
        <v>340</v>
      </c>
      <c r="H67" s="1456" t="s">
        <v>98</v>
      </c>
      <c r="I67" s="1449" t="s">
        <v>98</v>
      </c>
      <c r="J67" s="1450">
        <v>0</v>
      </c>
      <c r="K67" s="1448" t="s">
        <v>109</v>
      </c>
      <c r="L67" s="1448">
        <v>0</v>
      </c>
      <c r="M67" s="1451">
        <v>1</v>
      </c>
      <c r="N67" s="1452">
        <v>1.2620910621938648</v>
      </c>
      <c r="O67" s="1453" t="s">
        <v>3196</v>
      </c>
      <c r="P67" s="1448">
        <v>4110.6000000000004</v>
      </c>
      <c r="Q67" s="1451">
        <v>1</v>
      </c>
      <c r="R67" s="1452">
        <v>1.2434566510799234</v>
      </c>
      <c r="S67" s="1453" t="s">
        <v>3207</v>
      </c>
      <c r="T67" s="1401"/>
      <c r="U67" s="1402"/>
      <c r="V67" s="1402"/>
      <c r="W67" s="1396"/>
      <c r="X67" s="1387">
        <v>3</v>
      </c>
      <c r="Y67" s="1387">
        <v>4</v>
      </c>
      <c r="Z67" s="1387">
        <v>1</v>
      </c>
      <c r="AA67" s="1387">
        <v>3</v>
      </c>
      <c r="AB67" s="1387">
        <v>1</v>
      </c>
      <c r="AC67" s="1398">
        <v>5</v>
      </c>
      <c r="AD67" s="1394">
        <v>3</v>
      </c>
      <c r="AE67" s="1380">
        <v>1.05</v>
      </c>
      <c r="AF67" s="1391">
        <v>1.2555818742947564</v>
      </c>
      <c r="AG67" s="1391">
        <v>1.2620910621938648</v>
      </c>
      <c r="AH67" s="1392" t="s">
        <v>3222</v>
      </c>
      <c r="AI67" s="1389">
        <v>1.1000000000000001</v>
      </c>
      <c r="AJ67" s="1389">
        <v>1.1000000000000001</v>
      </c>
      <c r="AK67" s="1389">
        <v>1</v>
      </c>
      <c r="AL67" s="1389">
        <v>1.02</v>
      </c>
      <c r="AM67" s="1389">
        <v>1</v>
      </c>
      <c r="AN67" s="1389">
        <v>1.2</v>
      </c>
      <c r="AO67" s="1401"/>
      <c r="AP67" s="1396" t="s">
        <v>727</v>
      </c>
      <c r="AQ67" s="1387">
        <v>2</v>
      </c>
      <c r="AR67" s="1387">
        <v>4</v>
      </c>
      <c r="AS67" s="1387">
        <v>1</v>
      </c>
      <c r="AT67" s="1387">
        <v>3</v>
      </c>
      <c r="AU67" s="1387">
        <v>1</v>
      </c>
      <c r="AV67" s="1387">
        <v>5</v>
      </c>
      <c r="AW67" s="1394">
        <v>3</v>
      </c>
      <c r="AX67" s="1380">
        <v>1.05</v>
      </c>
      <c r="AY67" s="1391">
        <v>1.2365959919080913</v>
      </c>
      <c r="AZ67" s="1391">
        <v>1.2434566510799234</v>
      </c>
      <c r="BA67" s="1392" t="s">
        <v>3226</v>
      </c>
      <c r="BB67" s="1389">
        <v>1.05</v>
      </c>
      <c r="BC67" s="1389">
        <v>1.1000000000000001</v>
      </c>
      <c r="BD67" s="1389">
        <v>1</v>
      </c>
      <c r="BE67" s="1389">
        <v>1.02</v>
      </c>
      <c r="BF67" s="1389">
        <v>1</v>
      </c>
      <c r="BG67" s="1389">
        <v>1.2</v>
      </c>
    </row>
    <row r="68" spans="1:59" s="401" customFormat="1" ht="24" customHeight="1">
      <c r="A68" s="1410">
        <v>254233</v>
      </c>
      <c r="B68" s="1436"/>
      <c r="C68" s="1411"/>
      <c r="D68" s="1413">
        <v>5</v>
      </c>
      <c r="E68" s="1414" t="s">
        <v>98</v>
      </c>
      <c r="F68" s="1415" t="s">
        <v>710</v>
      </c>
      <c r="G68" s="1416" t="s">
        <v>103</v>
      </c>
      <c r="H68" s="1417" t="s">
        <v>98</v>
      </c>
      <c r="I68" s="1418" t="s">
        <v>98</v>
      </c>
      <c r="J68" s="1419">
        <v>0</v>
      </c>
      <c r="K68" s="1416" t="s">
        <v>104</v>
      </c>
      <c r="L68" s="1416">
        <v>0</v>
      </c>
      <c r="M68" s="1420">
        <v>1</v>
      </c>
      <c r="N68" s="1421">
        <v>1.2620910621938648</v>
      </c>
      <c r="O68" s="1422" t="s">
        <v>3196</v>
      </c>
      <c r="P68" s="1416">
        <v>3699.6</v>
      </c>
      <c r="Q68" s="1420">
        <v>1</v>
      </c>
      <c r="R68" s="1421">
        <v>1.2434566510799234</v>
      </c>
      <c r="S68" s="1422" t="s">
        <v>3193</v>
      </c>
      <c r="T68" s="1401"/>
      <c r="U68" s="1402"/>
      <c r="V68" s="1402"/>
      <c r="W68" s="1396"/>
      <c r="X68" s="1387">
        <v>3</v>
      </c>
      <c r="Y68" s="1387">
        <v>4</v>
      </c>
      <c r="Z68" s="1387">
        <v>1</v>
      </c>
      <c r="AA68" s="1387">
        <v>3</v>
      </c>
      <c r="AB68" s="1387">
        <v>1</v>
      </c>
      <c r="AC68" s="1398">
        <v>5</v>
      </c>
      <c r="AD68" s="1394">
        <v>1</v>
      </c>
      <c r="AE68" s="1380">
        <v>1.05</v>
      </c>
      <c r="AF68" s="1391">
        <v>1.2555818742947564</v>
      </c>
      <c r="AG68" s="1391">
        <v>1.2620910621938648</v>
      </c>
      <c r="AH68" s="1392" t="s">
        <v>3222</v>
      </c>
      <c r="AI68" s="1389">
        <v>1.1000000000000001</v>
      </c>
      <c r="AJ68" s="1389">
        <v>1.1000000000000001</v>
      </c>
      <c r="AK68" s="1389">
        <v>1</v>
      </c>
      <c r="AL68" s="1389">
        <v>1.02</v>
      </c>
      <c r="AM68" s="1389">
        <v>1</v>
      </c>
      <c r="AN68" s="1389">
        <v>1.2</v>
      </c>
      <c r="AO68" s="1401"/>
      <c r="AP68" s="1396" t="s">
        <v>673</v>
      </c>
      <c r="AQ68" s="1387">
        <v>2</v>
      </c>
      <c r="AR68" s="1387">
        <v>4</v>
      </c>
      <c r="AS68" s="1387">
        <v>1</v>
      </c>
      <c r="AT68" s="1387">
        <v>3</v>
      </c>
      <c r="AU68" s="1387">
        <v>1</v>
      </c>
      <c r="AV68" s="1387">
        <v>5</v>
      </c>
      <c r="AW68" s="1394">
        <v>1</v>
      </c>
      <c r="AX68" s="1380">
        <v>1.05</v>
      </c>
      <c r="AY68" s="1391">
        <v>1.2365959919080913</v>
      </c>
      <c r="AZ68" s="1391">
        <v>1.2434566510799234</v>
      </c>
      <c r="BA68" s="1392" t="s">
        <v>3226</v>
      </c>
      <c r="BB68" s="1389">
        <v>1.05</v>
      </c>
      <c r="BC68" s="1389">
        <v>1.1000000000000001</v>
      </c>
      <c r="BD68" s="1389">
        <v>1</v>
      </c>
      <c r="BE68" s="1389">
        <v>1.02</v>
      </c>
      <c r="BF68" s="1389">
        <v>1</v>
      </c>
      <c r="BG68" s="1389">
        <v>1.2</v>
      </c>
    </row>
    <row r="69" spans="1:59" s="401" customFormat="1" ht="24" customHeight="1">
      <c r="A69" s="1410">
        <v>263015</v>
      </c>
      <c r="B69" s="1436"/>
      <c r="C69" s="1411"/>
      <c r="D69" s="1454">
        <v>5</v>
      </c>
      <c r="E69" s="1455" t="s">
        <v>98</v>
      </c>
      <c r="F69" s="1447" t="s">
        <v>677</v>
      </c>
      <c r="G69" s="1448" t="s">
        <v>103</v>
      </c>
      <c r="H69" s="1456" t="s">
        <v>98</v>
      </c>
      <c r="I69" s="1449" t="s">
        <v>98</v>
      </c>
      <c r="J69" s="1450">
        <v>0</v>
      </c>
      <c r="K69" s="1448" t="s">
        <v>96</v>
      </c>
      <c r="L69" s="1448">
        <v>0</v>
      </c>
      <c r="M69" s="1451">
        <v>1</v>
      </c>
      <c r="N69" s="1452">
        <v>1.2620910621938648</v>
      </c>
      <c r="O69" s="1453" t="s">
        <v>3196</v>
      </c>
      <c r="P69" s="1448">
        <v>196965</v>
      </c>
      <c r="Q69" s="1451">
        <v>1</v>
      </c>
      <c r="R69" s="1452">
        <v>1.2434566510799234</v>
      </c>
      <c r="S69" s="1453" t="s">
        <v>3193</v>
      </c>
      <c r="T69" s="1401"/>
      <c r="U69" s="1402"/>
      <c r="V69" s="1402"/>
      <c r="W69" s="1396"/>
      <c r="X69" s="1387">
        <v>3</v>
      </c>
      <c r="Y69" s="1387">
        <v>4</v>
      </c>
      <c r="Z69" s="1387">
        <v>1</v>
      </c>
      <c r="AA69" s="1387">
        <v>3</v>
      </c>
      <c r="AB69" s="1387">
        <v>1</v>
      </c>
      <c r="AC69" s="1398">
        <v>5</v>
      </c>
      <c r="AD69" s="1394">
        <v>3</v>
      </c>
      <c r="AE69" s="1380">
        <v>1.05</v>
      </c>
      <c r="AF69" s="1391">
        <v>1.2555818742947564</v>
      </c>
      <c r="AG69" s="1391">
        <v>1.2620910621938648</v>
      </c>
      <c r="AH69" s="1392" t="s">
        <v>3222</v>
      </c>
      <c r="AI69" s="1389">
        <v>1.1000000000000001</v>
      </c>
      <c r="AJ69" s="1389">
        <v>1.1000000000000001</v>
      </c>
      <c r="AK69" s="1389">
        <v>1</v>
      </c>
      <c r="AL69" s="1389">
        <v>1.02</v>
      </c>
      <c r="AM69" s="1389">
        <v>1</v>
      </c>
      <c r="AN69" s="1389">
        <v>1.2</v>
      </c>
      <c r="AO69" s="1401"/>
      <c r="AP69" s="1396" t="s">
        <v>673</v>
      </c>
      <c r="AQ69" s="1387">
        <v>2</v>
      </c>
      <c r="AR69" s="1387">
        <v>4</v>
      </c>
      <c r="AS69" s="1387">
        <v>1</v>
      </c>
      <c r="AT69" s="1387">
        <v>3</v>
      </c>
      <c r="AU69" s="1387">
        <v>1</v>
      </c>
      <c r="AV69" s="1387">
        <v>5</v>
      </c>
      <c r="AW69" s="1394">
        <v>3</v>
      </c>
      <c r="AX69" s="1380">
        <v>1.05</v>
      </c>
      <c r="AY69" s="1391">
        <v>1.2365959919080913</v>
      </c>
      <c r="AZ69" s="1391">
        <v>1.2434566510799234</v>
      </c>
      <c r="BA69" s="1392" t="s">
        <v>3226</v>
      </c>
      <c r="BB69" s="1389">
        <v>1.05</v>
      </c>
      <c r="BC69" s="1389">
        <v>1.1000000000000001</v>
      </c>
      <c r="BD69" s="1389">
        <v>1</v>
      </c>
      <c r="BE69" s="1389">
        <v>1.02</v>
      </c>
      <c r="BF69" s="1389">
        <v>1</v>
      </c>
      <c r="BG69" s="1389">
        <v>1.2</v>
      </c>
    </row>
    <row r="70" spans="1:59" s="401" customFormat="1" ht="12.75" customHeight="1">
      <c r="A70" s="1410">
        <v>268459</v>
      </c>
      <c r="B70" s="1436"/>
      <c r="C70" s="1411"/>
      <c r="D70" s="1413">
        <v>5</v>
      </c>
      <c r="E70" s="1414" t="s">
        <v>98</v>
      </c>
      <c r="F70" s="1415" t="s">
        <v>678</v>
      </c>
      <c r="G70" s="1416" t="s">
        <v>93</v>
      </c>
      <c r="H70" s="1417" t="s">
        <v>98</v>
      </c>
      <c r="I70" s="1418" t="s">
        <v>98</v>
      </c>
      <c r="J70" s="1419">
        <v>0</v>
      </c>
      <c r="K70" s="1416" t="s">
        <v>679</v>
      </c>
      <c r="L70" s="1416">
        <v>0</v>
      </c>
      <c r="M70" s="1420">
        <v>1</v>
      </c>
      <c r="N70" s="1421">
        <v>1.2620910621938648</v>
      </c>
      <c r="O70" s="1422" t="s">
        <v>3196</v>
      </c>
      <c r="P70" s="1416">
        <v>123319.2</v>
      </c>
      <c r="Q70" s="1420">
        <v>1</v>
      </c>
      <c r="R70" s="1421">
        <v>1.2434566510799234</v>
      </c>
      <c r="S70" s="1422" t="s">
        <v>3193</v>
      </c>
      <c r="T70" s="1401"/>
      <c r="U70" s="1402"/>
      <c r="V70" s="1402"/>
      <c r="W70" s="1396"/>
      <c r="X70" s="1387">
        <v>3</v>
      </c>
      <c r="Y70" s="1387">
        <v>4</v>
      </c>
      <c r="Z70" s="1387">
        <v>1</v>
      </c>
      <c r="AA70" s="1387">
        <v>3</v>
      </c>
      <c r="AB70" s="1387">
        <v>1</v>
      </c>
      <c r="AC70" s="1398">
        <v>5</v>
      </c>
      <c r="AD70" s="1394">
        <v>3</v>
      </c>
      <c r="AE70" s="1380">
        <v>1.05</v>
      </c>
      <c r="AF70" s="1391">
        <v>1.2555818742947564</v>
      </c>
      <c r="AG70" s="1391">
        <v>1.2620910621938648</v>
      </c>
      <c r="AH70" s="1392" t="s">
        <v>3222</v>
      </c>
      <c r="AI70" s="1389">
        <v>1.1000000000000001</v>
      </c>
      <c r="AJ70" s="1389">
        <v>1.1000000000000001</v>
      </c>
      <c r="AK70" s="1389">
        <v>1</v>
      </c>
      <c r="AL70" s="1389">
        <v>1.02</v>
      </c>
      <c r="AM70" s="1389">
        <v>1</v>
      </c>
      <c r="AN70" s="1389">
        <v>1.2</v>
      </c>
      <c r="AO70" s="1401"/>
      <c r="AP70" s="1396" t="s">
        <v>673</v>
      </c>
      <c r="AQ70" s="1387">
        <v>2</v>
      </c>
      <c r="AR70" s="1387">
        <v>4</v>
      </c>
      <c r="AS70" s="1387">
        <v>1</v>
      </c>
      <c r="AT70" s="1387">
        <v>3</v>
      </c>
      <c r="AU70" s="1387">
        <v>1</v>
      </c>
      <c r="AV70" s="1387">
        <v>5</v>
      </c>
      <c r="AW70" s="1394">
        <v>3</v>
      </c>
      <c r="AX70" s="1380">
        <v>1.05</v>
      </c>
      <c r="AY70" s="1391">
        <v>1.2365959919080913</v>
      </c>
      <c r="AZ70" s="1391">
        <v>1.2434566510799234</v>
      </c>
      <c r="BA70" s="1392" t="s">
        <v>3226</v>
      </c>
      <c r="BB70" s="1389">
        <v>1.05</v>
      </c>
      <c r="BC70" s="1389">
        <v>1.1000000000000001</v>
      </c>
      <c r="BD70" s="1389">
        <v>1</v>
      </c>
      <c r="BE70" s="1389">
        <v>1.02</v>
      </c>
      <c r="BF70" s="1389">
        <v>1</v>
      </c>
      <c r="BG70" s="1389">
        <v>1.2</v>
      </c>
    </row>
    <row r="71" spans="1:59" s="401" customFormat="1" ht="12.75" customHeight="1">
      <c r="A71" s="1410">
        <v>269445</v>
      </c>
      <c r="B71" s="1436"/>
      <c r="C71" s="1411"/>
      <c r="D71" s="1454">
        <v>5</v>
      </c>
      <c r="E71" s="1455" t="s">
        <v>98</v>
      </c>
      <c r="F71" s="1447" t="s">
        <v>682</v>
      </c>
      <c r="G71" s="1448" t="s">
        <v>93</v>
      </c>
      <c r="H71" s="1456" t="s">
        <v>98</v>
      </c>
      <c r="I71" s="1449" t="s">
        <v>98</v>
      </c>
      <c r="J71" s="1450">
        <v>0</v>
      </c>
      <c r="K71" s="1448" t="s">
        <v>96</v>
      </c>
      <c r="L71" s="1448">
        <v>0</v>
      </c>
      <c r="M71" s="1451">
        <v>1</v>
      </c>
      <c r="N71" s="1452">
        <v>1.2620910621938648</v>
      </c>
      <c r="O71" s="1453" t="s">
        <v>3196</v>
      </c>
      <c r="P71" s="1448">
        <v>399899.50000000012</v>
      </c>
      <c r="Q71" s="1451">
        <v>1</v>
      </c>
      <c r="R71" s="1452">
        <v>1.2434566510799234</v>
      </c>
      <c r="S71" s="1453" t="s">
        <v>3193</v>
      </c>
      <c r="T71" s="1401"/>
      <c r="U71" s="1402"/>
      <c r="V71" s="1402"/>
      <c r="W71" s="1396"/>
      <c r="X71" s="1387">
        <v>3</v>
      </c>
      <c r="Y71" s="1387">
        <v>4</v>
      </c>
      <c r="Z71" s="1387">
        <v>1</v>
      </c>
      <c r="AA71" s="1387">
        <v>3</v>
      </c>
      <c r="AB71" s="1387">
        <v>1</v>
      </c>
      <c r="AC71" s="1398">
        <v>5</v>
      </c>
      <c r="AD71" s="1394">
        <v>3</v>
      </c>
      <c r="AE71" s="1380">
        <v>1.05</v>
      </c>
      <c r="AF71" s="1391">
        <v>1.2555818742947564</v>
      </c>
      <c r="AG71" s="1391">
        <v>1.2620910621938648</v>
      </c>
      <c r="AH71" s="1392" t="s">
        <v>3222</v>
      </c>
      <c r="AI71" s="1389">
        <v>1.1000000000000001</v>
      </c>
      <c r="AJ71" s="1389">
        <v>1.1000000000000001</v>
      </c>
      <c r="AK71" s="1389">
        <v>1</v>
      </c>
      <c r="AL71" s="1389">
        <v>1.02</v>
      </c>
      <c r="AM71" s="1389">
        <v>1</v>
      </c>
      <c r="AN71" s="1389">
        <v>1.2</v>
      </c>
      <c r="AO71" s="1401"/>
      <c r="AP71" s="1396" t="s">
        <v>673</v>
      </c>
      <c r="AQ71" s="1387">
        <v>2</v>
      </c>
      <c r="AR71" s="1387">
        <v>4</v>
      </c>
      <c r="AS71" s="1387">
        <v>1</v>
      </c>
      <c r="AT71" s="1387">
        <v>3</v>
      </c>
      <c r="AU71" s="1387">
        <v>1</v>
      </c>
      <c r="AV71" s="1387">
        <v>5</v>
      </c>
      <c r="AW71" s="1394">
        <v>3</v>
      </c>
      <c r="AX71" s="1380">
        <v>1.05</v>
      </c>
      <c r="AY71" s="1391">
        <v>1.2365959919080913</v>
      </c>
      <c r="AZ71" s="1391">
        <v>1.2434566510799234</v>
      </c>
      <c r="BA71" s="1392" t="s">
        <v>3226</v>
      </c>
      <c r="BB71" s="1389">
        <v>1.05</v>
      </c>
      <c r="BC71" s="1389">
        <v>1.1000000000000001</v>
      </c>
      <c r="BD71" s="1389">
        <v>1</v>
      </c>
      <c r="BE71" s="1389">
        <v>1.02</v>
      </c>
      <c r="BF71" s="1389">
        <v>1</v>
      </c>
      <c r="BG71" s="1389">
        <v>1.2</v>
      </c>
    </row>
    <row r="72" spans="1:59" s="401" customFormat="1" ht="12.75" customHeight="1">
      <c r="A72" s="1410">
        <v>266627</v>
      </c>
      <c r="B72" s="1436"/>
      <c r="C72" s="1411"/>
      <c r="D72" s="1413">
        <v>5</v>
      </c>
      <c r="E72" s="1414" t="s">
        <v>98</v>
      </c>
      <c r="F72" s="1415" t="s">
        <v>634</v>
      </c>
      <c r="G72" s="1416" t="s">
        <v>93</v>
      </c>
      <c r="H72" s="1417" t="s">
        <v>98</v>
      </c>
      <c r="I72" s="1418" t="s">
        <v>98</v>
      </c>
      <c r="J72" s="1419">
        <v>0</v>
      </c>
      <c r="K72" s="1416" t="s">
        <v>96</v>
      </c>
      <c r="L72" s="1416">
        <v>0</v>
      </c>
      <c r="M72" s="1420">
        <v>1</v>
      </c>
      <c r="N72" s="1421">
        <v>1.2620910621938648</v>
      </c>
      <c r="O72" s="1422" t="s">
        <v>3196</v>
      </c>
      <c r="P72" s="1416">
        <v>399899.50000000012</v>
      </c>
      <c r="Q72" s="1420">
        <v>1</v>
      </c>
      <c r="R72" s="1421">
        <v>1.2434566510799234</v>
      </c>
      <c r="S72" s="1422" t="s">
        <v>3193</v>
      </c>
      <c r="T72" s="1401"/>
      <c r="U72" s="1402"/>
      <c r="V72" s="1402"/>
      <c r="W72" s="1396"/>
      <c r="X72" s="1387">
        <v>3</v>
      </c>
      <c r="Y72" s="1387">
        <v>4</v>
      </c>
      <c r="Z72" s="1387">
        <v>1</v>
      </c>
      <c r="AA72" s="1387">
        <v>3</v>
      </c>
      <c r="AB72" s="1387">
        <v>1</v>
      </c>
      <c r="AC72" s="1398">
        <v>5</v>
      </c>
      <c r="AD72" s="1394">
        <v>3</v>
      </c>
      <c r="AE72" s="1380">
        <v>1.05</v>
      </c>
      <c r="AF72" s="1391">
        <v>1.2555818742947564</v>
      </c>
      <c r="AG72" s="1391">
        <v>1.2620910621938648</v>
      </c>
      <c r="AH72" s="1392" t="s">
        <v>3222</v>
      </c>
      <c r="AI72" s="1389">
        <v>1.1000000000000001</v>
      </c>
      <c r="AJ72" s="1389">
        <v>1.1000000000000001</v>
      </c>
      <c r="AK72" s="1389">
        <v>1</v>
      </c>
      <c r="AL72" s="1389">
        <v>1.02</v>
      </c>
      <c r="AM72" s="1389">
        <v>1</v>
      </c>
      <c r="AN72" s="1389">
        <v>1.2</v>
      </c>
      <c r="AO72" s="1401"/>
      <c r="AP72" s="1396" t="s">
        <v>673</v>
      </c>
      <c r="AQ72" s="1387">
        <v>2</v>
      </c>
      <c r="AR72" s="1387">
        <v>4</v>
      </c>
      <c r="AS72" s="1387">
        <v>1</v>
      </c>
      <c r="AT72" s="1387">
        <v>3</v>
      </c>
      <c r="AU72" s="1387">
        <v>1</v>
      </c>
      <c r="AV72" s="1387">
        <v>5</v>
      </c>
      <c r="AW72" s="1394">
        <v>3</v>
      </c>
      <c r="AX72" s="1380">
        <v>1.05</v>
      </c>
      <c r="AY72" s="1391">
        <v>1.2365959919080913</v>
      </c>
      <c r="AZ72" s="1391">
        <v>1.2434566510799234</v>
      </c>
      <c r="BA72" s="1392" t="s">
        <v>3226</v>
      </c>
      <c r="BB72" s="1389">
        <v>1.05</v>
      </c>
      <c r="BC72" s="1389">
        <v>1.1000000000000001</v>
      </c>
      <c r="BD72" s="1389">
        <v>1</v>
      </c>
      <c r="BE72" s="1389">
        <v>1.02</v>
      </c>
      <c r="BF72" s="1389">
        <v>1</v>
      </c>
      <c r="BG72" s="1389">
        <v>1.2</v>
      </c>
    </row>
    <row r="73" spans="1:59" s="401" customFormat="1" ht="23.25" customHeight="1">
      <c r="A73" s="1410">
        <v>267287</v>
      </c>
      <c r="B73" s="1412" t="s">
        <v>728</v>
      </c>
      <c r="C73" s="1411"/>
      <c r="D73" s="1454">
        <v>5</v>
      </c>
      <c r="E73" s="1455" t="s">
        <v>98</v>
      </c>
      <c r="F73" s="1447" t="s">
        <v>690</v>
      </c>
      <c r="G73" s="1448" t="s">
        <v>154</v>
      </c>
      <c r="H73" s="1456" t="s">
        <v>98</v>
      </c>
      <c r="I73" s="1449" t="s">
        <v>98</v>
      </c>
      <c r="J73" s="1450">
        <v>0</v>
      </c>
      <c r="K73" s="1448" t="s">
        <v>104</v>
      </c>
      <c r="L73" s="1448">
        <v>0</v>
      </c>
      <c r="M73" s="1451">
        <v>1</v>
      </c>
      <c r="N73" s="1452">
        <v>1.2620910621938648</v>
      </c>
      <c r="O73" s="1453" t="s">
        <v>3196</v>
      </c>
      <c r="P73" s="1448">
        <v>383799.54823895905</v>
      </c>
      <c r="Q73" s="1451">
        <v>1</v>
      </c>
      <c r="R73" s="1452">
        <v>1.2434566510799234</v>
      </c>
      <c r="S73" s="1453" t="s">
        <v>3202</v>
      </c>
      <c r="T73" s="1401"/>
      <c r="U73" s="1402"/>
      <c r="V73" s="1402"/>
      <c r="W73" s="1396"/>
      <c r="X73" s="1387">
        <v>3</v>
      </c>
      <c r="Y73" s="1387">
        <v>4</v>
      </c>
      <c r="Z73" s="1387">
        <v>1</v>
      </c>
      <c r="AA73" s="1387">
        <v>3</v>
      </c>
      <c r="AB73" s="1387">
        <v>1</v>
      </c>
      <c r="AC73" s="1398">
        <v>5</v>
      </c>
      <c r="AD73" s="1394">
        <v>1</v>
      </c>
      <c r="AE73" s="1380">
        <v>1.05</v>
      </c>
      <c r="AF73" s="1391">
        <v>1.2555818742947564</v>
      </c>
      <c r="AG73" s="1391">
        <v>1.2620910621938648</v>
      </c>
      <c r="AH73" s="1392" t="s">
        <v>3222</v>
      </c>
      <c r="AI73" s="1389">
        <v>1.1000000000000001</v>
      </c>
      <c r="AJ73" s="1389">
        <v>1.1000000000000001</v>
      </c>
      <c r="AK73" s="1389">
        <v>1</v>
      </c>
      <c r="AL73" s="1389">
        <v>1.02</v>
      </c>
      <c r="AM73" s="1389">
        <v>1</v>
      </c>
      <c r="AN73" s="1389">
        <v>1.2</v>
      </c>
      <c r="AO73" s="1401"/>
      <c r="AP73" s="1396" t="s">
        <v>693</v>
      </c>
      <c r="AQ73" s="1387">
        <v>2</v>
      </c>
      <c r="AR73" s="1387">
        <v>4</v>
      </c>
      <c r="AS73" s="1387">
        <v>1</v>
      </c>
      <c r="AT73" s="1387">
        <v>3</v>
      </c>
      <c r="AU73" s="1387">
        <v>1</v>
      </c>
      <c r="AV73" s="1387">
        <v>5</v>
      </c>
      <c r="AW73" s="1394">
        <v>1</v>
      </c>
      <c r="AX73" s="1380">
        <v>1.05</v>
      </c>
      <c r="AY73" s="1391">
        <v>1.2365959919080913</v>
      </c>
      <c r="AZ73" s="1391">
        <v>1.2434566510799234</v>
      </c>
      <c r="BA73" s="1392" t="s">
        <v>3226</v>
      </c>
      <c r="BB73" s="1389">
        <v>1.05</v>
      </c>
      <c r="BC73" s="1389">
        <v>1.1000000000000001</v>
      </c>
      <c r="BD73" s="1389">
        <v>1</v>
      </c>
      <c r="BE73" s="1389">
        <v>1.02</v>
      </c>
      <c r="BF73" s="1389">
        <v>1</v>
      </c>
      <c r="BG73" s="1389">
        <v>1.2</v>
      </c>
    </row>
    <row r="74" spans="1:59" s="401" customFormat="1" ht="12.75" customHeight="1">
      <c r="A74" s="1410">
        <v>160371</v>
      </c>
      <c r="B74" s="1436"/>
      <c r="C74" s="1411"/>
      <c r="D74" s="1413">
        <v>5</v>
      </c>
      <c r="E74" s="1414" t="s">
        <v>98</v>
      </c>
      <c r="F74" s="1415" t="s">
        <v>242</v>
      </c>
      <c r="G74" s="1416" t="s">
        <v>93</v>
      </c>
      <c r="H74" s="1417" t="s">
        <v>98</v>
      </c>
      <c r="I74" s="1418" t="s">
        <v>98</v>
      </c>
      <c r="J74" s="1419">
        <v>0</v>
      </c>
      <c r="K74" s="1416" t="s">
        <v>115</v>
      </c>
      <c r="L74" s="1416">
        <v>0</v>
      </c>
      <c r="M74" s="1420">
        <v>1</v>
      </c>
      <c r="N74" s="1421">
        <v>2.0741629046031922</v>
      </c>
      <c r="O74" s="1422" t="s">
        <v>3196</v>
      </c>
      <c r="P74" s="1416">
        <v>149216.20000000001</v>
      </c>
      <c r="Q74" s="1420">
        <v>1</v>
      </c>
      <c r="R74" s="1421">
        <v>2.0646254680556719</v>
      </c>
      <c r="S74" s="1422" t="s">
        <v>3193</v>
      </c>
      <c r="T74" s="1401"/>
      <c r="U74" s="1402"/>
      <c r="V74" s="1402"/>
      <c r="W74" s="1396"/>
      <c r="X74" s="1387">
        <v>3</v>
      </c>
      <c r="Y74" s="1387">
        <v>4</v>
      </c>
      <c r="Z74" s="1387">
        <v>1</v>
      </c>
      <c r="AA74" s="1387">
        <v>3</v>
      </c>
      <c r="AB74" s="1387">
        <v>1</v>
      </c>
      <c r="AC74" s="1398">
        <v>5</v>
      </c>
      <c r="AD74" s="1394">
        <v>5</v>
      </c>
      <c r="AE74" s="1380">
        <v>2</v>
      </c>
      <c r="AF74" s="1391">
        <v>1.2555818742947564</v>
      </c>
      <c r="AG74" s="1391">
        <v>2.0741629046031922</v>
      </c>
      <c r="AH74" s="1392" t="s">
        <v>3222</v>
      </c>
      <c r="AI74" s="1389">
        <v>1.1000000000000001</v>
      </c>
      <c r="AJ74" s="1389">
        <v>1.1000000000000001</v>
      </c>
      <c r="AK74" s="1389">
        <v>1</v>
      </c>
      <c r="AL74" s="1389">
        <v>1.02</v>
      </c>
      <c r="AM74" s="1389">
        <v>1</v>
      </c>
      <c r="AN74" s="1389">
        <v>1.2</v>
      </c>
      <c r="AO74" s="1401"/>
      <c r="AP74" s="1396" t="s">
        <v>673</v>
      </c>
      <c r="AQ74" s="1387">
        <v>2</v>
      </c>
      <c r="AR74" s="1387">
        <v>4</v>
      </c>
      <c r="AS74" s="1387">
        <v>1</v>
      </c>
      <c r="AT74" s="1387">
        <v>3</v>
      </c>
      <c r="AU74" s="1387">
        <v>1</v>
      </c>
      <c r="AV74" s="1387">
        <v>5</v>
      </c>
      <c r="AW74" s="1394">
        <v>5</v>
      </c>
      <c r="AX74" s="1380">
        <v>2</v>
      </c>
      <c r="AY74" s="1391">
        <v>1.2365959919080913</v>
      </c>
      <c r="AZ74" s="1391">
        <v>2.0646254680556719</v>
      </c>
      <c r="BA74" s="1392" t="s">
        <v>3226</v>
      </c>
      <c r="BB74" s="1389">
        <v>1.05</v>
      </c>
      <c r="BC74" s="1389">
        <v>1.1000000000000001</v>
      </c>
      <c r="BD74" s="1389">
        <v>1</v>
      </c>
      <c r="BE74" s="1389">
        <v>1.02</v>
      </c>
      <c r="BF74" s="1389">
        <v>1</v>
      </c>
      <c r="BG74" s="1389">
        <v>1.2</v>
      </c>
    </row>
    <row r="75" spans="1:59" s="401" customFormat="1" ht="12.75" customHeight="1">
      <c r="A75" s="1410">
        <v>269641</v>
      </c>
      <c r="B75" s="1436"/>
      <c r="C75" s="1411"/>
      <c r="D75" s="1454">
        <v>5</v>
      </c>
      <c r="E75" s="1455" t="s">
        <v>98</v>
      </c>
      <c r="F75" s="1447" t="s">
        <v>240</v>
      </c>
      <c r="G75" s="1448" t="s">
        <v>93</v>
      </c>
      <c r="H75" s="1456" t="s">
        <v>98</v>
      </c>
      <c r="I75" s="1449" t="s">
        <v>98</v>
      </c>
      <c r="J75" s="1450">
        <v>0</v>
      </c>
      <c r="K75" s="1448" t="s">
        <v>115</v>
      </c>
      <c r="L75" s="1448">
        <v>0</v>
      </c>
      <c r="M75" s="1451">
        <v>1</v>
      </c>
      <c r="N75" s="1452">
        <v>2.0741629046031922</v>
      </c>
      <c r="O75" s="1453" t="s">
        <v>3196</v>
      </c>
      <c r="P75" s="1448">
        <v>276050</v>
      </c>
      <c r="Q75" s="1451">
        <v>1</v>
      </c>
      <c r="R75" s="1452">
        <v>2.0646254680556719</v>
      </c>
      <c r="S75" s="1453" t="s">
        <v>3193</v>
      </c>
      <c r="T75" s="1401"/>
      <c r="U75" s="1402"/>
      <c r="V75" s="1402"/>
      <c r="W75" s="1396"/>
      <c r="X75" s="1387">
        <v>3</v>
      </c>
      <c r="Y75" s="1387">
        <v>4</v>
      </c>
      <c r="Z75" s="1387">
        <v>1</v>
      </c>
      <c r="AA75" s="1387">
        <v>3</v>
      </c>
      <c r="AB75" s="1387">
        <v>1</v>
      </c>
      <c r="AC75" s="1398">
        <v>5</v>
      </c>
      <c r="AD75" s="1394">
        <v>5</v>
      </c>
      <c r="AE75" s="1380">
        <v>2</v>
      </c>
      <c r="AF75" s="1391">
        <v>1.2555818742947564</v>
      </c>
      <c r="AG75" s="1391">
        <v>2.0741629046031922</v>
      </c>
      <c r="AH75" s="1392" t="s">
        <v>3222</v>
      </c>
      <c r="AI75" s="1389">
        <v>1.1000000000000001</v>
      </c>
      <c r="AJ75" s="1389">
        <v>1.1000000000000001</v>
      </c>
      <c r="AK75" s="1389">
        <v>1</v>
      </c>
      <c r="AL75" s="1389">
        <v>1.02</v>
      </c>
      <c r="AM75" s="1389">
        <v>1</v>
      </c>
      <c r="AN75" s="1389">
        <v>1.2</v>
      </c>
      <c r="AO75" s="1401"/>
      <c r="AP75" s="1396" t="s">
        <v>673</v>
      </c>
      <c r="AQ75" s="1387">
        <v>2</v>
      </c>
      <c r="AR75" s="1387">
        <v>4</v>
      </c>
      <c r="AS75" s="1387">
        <v>1</v>
      </c>
      <c r="AT75" s="1387">
        <v>3</v>
      </c>
      <c r="AU75" s="1387">
        <v>1</v>
      </c>
      <c r="AV75" s="1387">
        <v>5</v>
      </c>
      <c r="AW75" s="1394">
        <v>5</v>
      </c>
      <c r="AX75" s="1380">
        <v>2</v>
      </c>
      <c r="AY75" s="1391">
        <v>1.2365959919080913</v>
      </c>
      <c r="AZ75" s="1391">
        <v>2.0646254680556719</v>
      </c>
      <c r="BA75" s="1392" t="s">
        <v>3226</v>
      </c>
      <c r="BB75" s="1389">
        <v>1.05</v>
      </c>
      <c r="BC75" s="1389">
        <v>1.1000000000000001</v>
      </c>
      <c r="BD75" s="1389">
        <v>1</v>
      </c>
      <c r="BE75" s="1389">
        <v>1.02</v>
      </c>
      <c r="BF75" s="1389">
        <v>1</v>
      </c>
      <c r="BG75" s="1389">
        <v>1.2</v>
      </c>
    </row>
    <row r="76" spans="1:59" s="401" customFormat="1" ht="12.75" customHeight="1">
      <c r="A76" s="1410">
        <v>77572</v>
      </c>
      <c r="B76" s="1412" t="s">
        <v>729</v>
      </c>
      <c r="C76" s="1411"/>
      <c r="D76" s="1413">
        <v>5</v>
      </c>
      <c r="E76" s="1414" t="s">
        <v>98</v>
      </c>
      <c r="F76" s="1415" t="s">
        <v>687</v>
      </c>
      <c r="G76" s="1416" t="s">
        <v>103</v>
      </c>
      <c r="H76" s="1417" t="s">
        <v>98</v>
      </c>
      <c r="I76" s="1418" t="s">
        <v>98</v>
      </c>
      <c r="J76" s="1419">
        <v>0</v>
      </c>
      <c r="K76" s="1416" t="s">
        <v>104</v>
      </c>
      <c r="L76" s="1416">
        <v>0</v>
      </c>
      <c r="M76" s="1420">
        <v>1</v>
      </c>
      <c r="N76" s="1421">
        <v>2.0741629046031922</v>
      </c>
      <c r="O76" s="1422" t="s">
        <v>3196</v>
      </c>
      <c r="P76" s="1416">
        <v>91648</v>
      </c>
      <c r="Q76" s="1420">
        <v>1</v>
      </c>
      <c r="R76" s="1421">
        <v>2.0646254680556719</v>
      </c>
      <c r="S76" s="1422" t="s">
        <v>3193</v>
      </c>
      <c r="T76" s="1401"/>
      <c r="U76" s="1402"/>
      <c r="V76" s="1402"/>
      <c r="W76" s="1396"/>
      <c r="X76" s="1387">
        <v>3</v>
      </c>
      <c r="Y76" s="1387">
        <v>4</v>
      </c>
      <c r="Z76" s="1387">
        <v>1</v>
      </c>
      <c r="AA76" s="1387">
        <v>3</v>
      </c>
      <c r="AB76" s="1387">
        <v>1</v>
      </c>
      <c r="AC76" s="1398">
        <v>5</v>
      </c>
      <c r="AD76" s="1394">
        <v>5</v>
      </c>
      <c r="AE76" s="1380">
        <v>2</v>
      </c>
      <c r="AF76" s="1391">
        <v>1.2555818742947564</v>
      </c>
      <c r="AG76" s="1391">
        <v>2.0741629046031922</v>
      </c>
      <c r="AH76" s="1392" t="s">
        <v>3222</v>
      </c>
      <c r="AI76" s="1389">
        <v>1.1000000000000001</v>
      </c>
      <c r="AJ76" s="1389">
        <v>1.1000000000000001</v>
      </c>
      <c r="AK76" s="1389">
        <v>1</v>
      </c>
      <c r="AL76" s="1389">
        <v>1.02</v>
      </c>
      <c r="AM76" s="1389">
        <v>1</v>
      </c>
      <c r="AN76" s="1389">
        <v>1.2</v>
      </c>
      <c r="AO76" s="1401"/>
      <c r="AP76" s="1396" t="s">
        <v>673</v>
      </c>
      <c r="AQ76" s="1387">
        <v>2</v>
      </c>
      <c r="AR76" s="1387">
        <v>4</v>
      </c>
      <c r="AS76" s="1387">
        <v>1</v>
      </c>
      <c r="AT76" s="1387">
        <v>3</v>
      </c>
      <c r="AU76" s="1387">
        <v>1</v>
      </c>
      <c r="AV76" s="1387">
        <v>5</v>
      </c>
      <c r="AW76" s="1394">
        <v>5</v>
      </c>
      <c r="AX76" s="1380">
        <v>2</v>
      </c>
      <c r="AY76" s="1391">
        <v>1.2365959919080913</v>
      </c>
      <c r="AZ76" s="1391">
        <v>2.0646254680556719</v>
      </c>
      <c r="BA76" s="1392" t="s">
        <v>3226</v>
      </c>
      <c r="BB76" s="1389">
        <v>1.05</v>
      </c>
      <c r="BC76" s="1389">
        <v>1.1000000000000001</v>
      </c>
      <c r="BD76" s="1389">
        <v>1</v>
      </c>
      <c r="BE76" s="1389">
        <v>1.02</v>
      </c>
      <c r="BF76" s="1389">
        <v>1</v>
      </c>
      <c r="BG76" s="1389">
        <v>1.2</v>
      </c>
    </row>
    <row r="77" spans="1:59" s="401" customFormat="1" ht="12.75" customHeight="1">
      <c r="A77" s="1410">
        <v>268893</v>
      </c>
      <c r="B77" s="1436"/>
      <c r="C77" s="1411"/>
      <c r="D77" s="1454">
        <v>5</v>
      </c>
      <c r="E77" s="1455" t="s">
        <v>98</v>
      </c>
      <c r="F77" s="1447" t="s">
        <v>730</v>
      </c>
      <c r="G77" s="1448" t="s">
        <v>93</v>
      </c>
      <c r="H77" s="1456" t="s">
        <v>98</v>
      </c>
      <c r="I77" s="1449" t="s">
        <v>98</v>
      </c>
      <c r="J77" s="1450">
        <v>0</v>
      </c>
      <c r="K77" s="1448" t="s">
        <v>119</v>
      </c>
      <c r="L77" s="1448">
        <v>0</v>
      </c>
      <c r="M77" s="1451">
        <v>1</v>
      </c>
      <c r="N77" s="1452">
        <v>2.0741629046031922</v>
      </c>
      <c r="O77" s="1453" t="s">
        <v>3196</v>
      </c>
      <c r="P77" s="1448">
        <v>15232</v>
      </c>
      <c r="Q77" s="1451">
        <v>1</v>
      </c>
      <c r="R77" s="1452">
        <v>2.0646254680556719</v>
      </c>
      <c r="S77" s="1453" t="s">
        <v>3193</v>
      </c>
      <c r="T77" s="1401"/>
      <c r="U77" s="1402"/>
      <c r="V77" s="1402"/>
      <c r="W77" s="1396"/>
      <c r="X77" s="1387">
        <v>3</v>
      </c>
      <c r="Y77" s="1387">
        <v>4</v>
      </c>
      <c r="Z77" s="1387">
        <v>1</v>
      </c>
      <c r="AA77" s="1387">
        <v>3</v>
      </c>
      <c r="AB77" s="1387">
        <v>1</v>
      </c>
      <c r="AC77" s="1398">
        <v>5</v>
      </c>
      <c r="AD77" s="1394">
        <v>5</v>
      </c>
      <c r="AE77" s="1380">
        <v>2</v>
      </c>
      <c r="AF77" s="1391">
        <v>1.2555818742947564</v>
      </c>
      <c r="AG77" s="1391">
        <v>2.0741629046031922</v>
      </c>
      <c r="AH77" s="1392" t="s">
        <v>3222</v>
      </c>
      <c r="AI77" s="1389">
        <v>1.1000000000000001</v>
      </c>
      <c r="AJ77" s="1389">
        <v>1.1000000000000001</v>
      </c>
      <c r="AK77" s="1389">
        <v>1</v>
      </c>
      <c r="AL77" s="1389">
        <v>1.02</v>
      </c>
      <c r="AM77" s="1389">
        <v>1</v>
      </c>
      <c r="AN77" s="1389">
        <v>1.2</v>
      </c>
      <c r="AO77" s="1401"/>
      <c r="AP77" s="1396" t="s">
        <v>673</v>
      </c>
      <c r="AQ77" s="1387">
        <v>2</v>
      </c>
      <c r="AR77" s="1387">
        <v>4</v>
      </c>
      <c r="AS77" s="1387">
        <v>1</v>
      </c>
      <c r="AT77" s="1387">
        <v>3</v>
      </c>
      <c r="AU77" s="1387">
        <v>1</v>
      </c>
      <c r="AV77" s="1387">
        <v>5</v>
      </c>
      <c r="AW77" s="1394">
        <v>5</v>
      </c>
      <c r="AX77" s="1380">
        <v>2</v>
      </c>
      <c r="AY77" s="1391">
        <v>1.2365959919080913</v>
      </c>
      <c r="AZ77" s="1391">
        <v>2.0646254680556719</v>
      </c>
      <c r="BA77" s="1392" t="s">
        <v>3226</v>
      </c>
      <c r="BB77" s="1389">
        <v>1.05</v>
      </c>
      <c r="BC77" s="1389">
        <v>1.1000000000000001</v>
      </c>
      <c r="BD77" s="1389">
        <v>1</v>
      </c>
      <c r="BE77" s="1389">
        <v>1.02</v>
      </c>
      <c r="BF77" s="1389">
        <v>1</v>
      </c>
      <c r="BG77" s="1389">
        <v>1.2</v>
      </c>
    </row>
    <row r="78" spans="1:59" s="401" customFormat="1" ht="12.75" customHeight="1">
      <c r="A78" s="1410">
        <v>259813</v>
      </c>
      <c r="B78" s="1412" t="s">
        <v>731</v>
      </c>
      <c r="C78" s="1411"/>
      <c r="D78" s="1413">
        <v>5</v>
      </c>
      <c r="E78" s="1414" t="s">
        <v>98</v>
      </c>
      <c r="F78" s="1415" t="s">
        <v>732</v>
      </c>
      <c r="G78" s="1416" t="s">
        <v>103</v>
      </c>
      <c r="H78" s="1417" t="s">
        <v>98</v>
      </c>
      <c r="I78" s="1418" t="s">
        <v>98</v>
      </c>
      <c r="J78" s="1419">
        <v>1</v>
      </c>
      <c r="K78" s="1416" t="s">
        <v>168</v>
      </c>
      <c r="L78" s="1416">
        <v>0</v>
      </c>
      <c r="M78" s="1420">
        <v>1</v>
      </c>
      <c r="N78" s="1421">
        <v>3.0708070945678916</v>
      </c>
      <c r="O78" s="1422" t="s">
        <v>3196</v>
      </c>
      <c r="P78" s="1416">
        <v>1.28</v>
      </c>
      <c r="Q78" s="1420">
        <v>1</v>
      </c>
      <c r="R78" s="1421">
        <v>3.0616345979734279</v>
      </c>
      <c r="S78" s="1422" t="s">
        <v>3193</v>
      </c>
      <c r="T78" s="1401"/>
      <c r="U78" s="1402"/>
      <c r="V78" s="1402"/>
      <c r="W78" s="1396"/>
      <c r="X78" s="1387">
        <v>3</v>
      </c>
      <c r="Y78" s="1387">
        <v>4</v>
      </c>
      <c r="Z78" s="1387">
        <v>1</v>
      </c>
      <c r="AA78" s="1387">
        <v>3</v>
      </c>
      <c r="AB78" s="1387">
        <v>1</v>
      </c>
      <c r="AC78" s="1398">
        <v>5</v>
      </c>
      <c r="AD78" s="1394">
        <v>9</v>
      </c>
      <c r="AE78" s="1380">
        <v>3</v>
      </c>
      <c r="AF78" s="1391">
        <v>1.2555818742947564</v>
      </c>
      <c r="AG78" s="1391">
        <v>3.0708070945678916</v>
      </c>
      <c r="AH78" s="1392" t="s">
        <v>3222</v>
      </c>
      <c r="AI78" s="1389">
        <v>1.1000000000000001</v>
      </c>
      <c r="AJ78" s="1389">
        <v>1.1000000000000001</v>
      </c>
      <c r="AK78" s="1389">
        <v>1</v>
      </c>
      <c r="AL78" s="1389">
        <v>1.02</v>
      </c>
      <c r="AM78" s="1389">
        <v>1</v>
      </c>
      <c r="AN78" s="1389">
        <v>1.2</v>
      </c>
      <c r="AO78" s="1401"/>
      <c r="AP78" s="1396" t="s">
        <v>673</v>
      </c>
      <c r="AQ78" s="1387">
        <v>2</v>
      </c>
      <c r="AR78" s="1387">
        <v>4</v>
      </c>
      <c r="AS78" s="1387">
        <v>1</v>
      </c>
      <c r="AT78" s="1387">
        <v>3</v>
      </c>
      <c r="AU78" s="1387">
        <v>1</v>
      </c>
      <c r="AV78" s="1387">
        <v>5</v>
      </c>
      <c r="AW78" s="1394">
        <v>9</v>
      </c>
      <c r="AX78" s="1380">
        <v>3</v>
      </c>
      <c r="AY78" s="1391">
        <v>1.2365959919080913</v>
      </c>
      <c r="AZ78" s="1391">
        <v>3.0616345979734279</v>
      </c>
      <c r="BA78" s="1392" t="s">
        <v>3226</v>
      </c>
      <c r="BB78" s="1389">
        <v>1.05</v>
      </c>
      <c r="BC78" s="1389">
        <v>1.1000000000000001</v>
      </c>
      <c r="BD78" s="1389">
        <v>1</v>
      </c>
      <c r="BE78" s="1389">
        <v>1.02</v>
      </c>
      <c r="BF78" s="1389">
        <v>1</v>
      </c>
      <c r="BG78" s="1389">
        <v>1.2</v>
      </c>
    </row>
    <row r="79" spans="1:59" s="401" customFormat="1" ht="12.75" customHeight="1">
      <c r="A79" s="1410">
        <v>79235</v>
      </c>
      <c r="B79" s="1412" t="s">
        <v>733</v>
      </c>
      <c r="C79" s="1411"/>
      <c r="D79" s="1454">
        <v>5</v>
      </c>
      <c r="E79" s="1455" t="s">
        <v>98</v>
      </c>
      <c r="F79" s="1447" t="s">
        <v>688</v>
      </c>
      <c r="G79" s="1448" t="s">
        <v>340</v>
      </c>
      <c r="H79" s="1456" t="s">
        <v>98</v>
      </c>
      <c r="I79" s="1449" t="s">
        <v>98</v>
      </c>
      <c r="J79" s="1450">
        <v>0</v>
      </c>
      <c r="K79" s="1448" t="s">
        <v>109</v>
      </c>
      <c r="L79" s="1448">
        <v>0</v>
      </c>
      <c r="M79" s="1451">
        <v>1</v>
      </c>
      <c r="N79" s="1452">
        <v>1.2620910621938648</v>
      </c>
      <c r="O79" s="1453" t="s">
        <v>3196</v>
      </c>
      <c r="P79" s="1448">
        <v>931.3</v>
      </c>
      <c r="Q79" s="1451">
        <v>1</v>
      </c>
      <c r="R79" s="1452">
        <v>1.2434566510799234</v>
      </c>
      <c r="S79" s="1453" t="s">
        <v>3193</v>
      </c>
      <c r="T79" s="1401"/>
      <c r="U79" s="1402"/>
      <c r="V79" s="1402"/>
      <c r="W79" s="1396"/>
      <c r="X79" s="1387">
        <v>3</v>
      </c>
      <c r="Y79" s="1387">
        <v>4</v>
      </c>
      <c r="Z79" s="1387">
        <v>1</v>
      </c>
      <c r="AA79" s="1387">
        <v>3</v>
      </c>
      <c r="AB79" s="1387">
        <v>1</v>
      </c>
      <c r="AC79" s="1398">
        <v>5</v>
      </c>
      <c r="AD79" s="1394">
        <v>3</v>
      </c>
      <c r="AE79" s="1380">
        <v>1.05</v>
      </c>
      <c r="AF79" s="1391">
        <v>1.2555818742947564</v>
      </c>
      <c r="AG79" s="1391">
        <v>1.2620910621938648</v>
      </c>
      <c r="AH79" s="1392" t="s">
        <v>3222</v>
      </c>
      <c r="AI79" s="1389">
        <v>1.1000000000000001</v>
      </c>
      <c r="AJ79" s="1389">
        <v>1.1000000000000001</v>
      </c>
      <c r="AK79" s="1389">
        <v>1</v>
      </c>
      <c r="AL79" s="1389">
        <v>1.02</v>
      </c>
      <c r="AM79" s="1389">
        <v>1</v>
      </c>
      <c r="AN79" s="1389">
        <v>1.2</v>
      </c>
      <c r="AO79" s="1401"/>
      <c r="AP79" s="1396" t="s">
        <v>673</v>
      </c>
      <c r="AQ79" s="1387">
        <v>2</v>
      </c>
      <c r="AR79" s="1387">
        <v>4</v>
      </c>
      <c r="AS79" s="1387">
        <v>1</v>
      </c>
      <c r="AT79" s="1387">
        <v>3</v>
      </c>
      <c r="AU79" s="1387">
        <v>1</v>
      </c>
      <c r="AV79" s="1387">
        <v>5</v>
      </c>
      <c r="AW79" s="1394">
        <v>3</v>
      </c>
      <c r="AX79" s="1380">
        <v>1.05</v>
      </c>
      <c r="AY79" s="1391">
        <v>1.2365959919080913</v>
      </c>
      <c r="AZ79" s="1391">
        <v>1.2434566510799234</v>
      </c>
      <c r="BA79" s="1392" t="s">
        <v>3226</v>
      </c>
      <c r="BB79" s="1389">
        <v>1.05</v>
      </c>
      <c r="BC79" s="1389">
        <v>1.1000000000000001</v>
      </c>
      <c r="BD79" s="1389">
        <v>1</v>
      </c>
      <c r="BE79" s="1389">
        <v>1.02</v>
      </c>
      <c r="BF79" s="1389">
        <v>1</v>
      </c>
      <c r="BG79" s="1389">
        <v>1.2</v>
      </c>
    </row>
    <row r="80" spans="1:59" s="401" customFormat="1" ht="24" customHeight="1">
      <c r="A80" s="1410">
        <v>254233</v>
      </c>
      <c r="B80" s="1436"/>
      <c r="C80" s="1411"/>
      <c r="D80" s="1413">
        <v>5</v>
      </c>
      <c r="E80" s="1414" t="s">
        <v>98</v>
      </c>
      <c r="F80" s="1415" t="s">
        <v>710</v>
      </c>
      <c r="G80" s="1416" t="s">
        <v>103</v>
      </c>
      <c r="H80" s="1417" t="s">
        <v>98</v>
      </c>
      <c r="I80" s="1418" t="s">
        <v>98</v>
      </c>
      <c r="J80" s="1419">
        <v>0</v>
      </c>
      <c r="K80" s="1416" t="s">
        <v>104</v>
      </c>
      <c r="L80" s="1416">
        <v>0</v>
      </c>
      <c r="M80" s="1420">
        <v>1</v>
      </c>
      <c r="N80" s="1421">
        <v>1.2620910621938648</v>
      </c>
      <c r="O80" s="1422" t="s">
        <v>3196</v>
      </c>
      <c r="P80" s="1416">
        <v>838.2</v>
      </c>
      <c r="Q80" s="1420">
        <v>1</v>
      </c>
      <c r="R80" s="1421">
        <v>1.2434566510799234</v>
      </c>
      <c r="S80" s="1422" t="s">
        <v>3193</v>
      </c>
      <c r="T80" s="1401"/>
      <c r="U80" s="1402"/>
      <c r="V80" s="1402"/>
      <c r="W80" s="1396"/>
      <c r="X80" s="1387">
        <v>3</v>
      </c>
      <c r="Y80" s="1387">
        <v>4</v>
      </c>
      <c r="Z80" s="1387">
        <v>1</v>
      </c>
      <c r="AA80" s="1387">
        <v>3</v>
      </c>
      <c r="AB80" s="1387">
        <v>1</v>
      </c>
      <c r="AC80" s="1398">
        <v>5</v>
      </c>
      <c r="AD80" s="1394">
        <v>1</v>
      </c>
      <c r="AE80" s="1380">
        <v>1.05</v>
      </c>
      <c r="AF80" s="1391">
        <v>1.2555818742947564</v>
      </c>
      <c r="AG80" s="1391">
        <v>1.2620910621938648</v>
      </c>
      <c r="AH80" s="1392" t="s">
        <v>3222</v>
      </c>
      <c r="AI80" s="1389">
        <v>1.1000000000000001</v>
      </c>
      <c r="AJ80" s="1389">
        <v>1.1000000000000001</v>
      </c>
      <c r="AK80" s="1389">
        <v>1</v>
      </c>
      <c r="AL80" s="1389">
        <v>1.02</v>
      </c>
      <c r="AM80" s="1389">
        <v>1</v>
      </c>
      <c r="AN80" s="1389">
        <v>1.2</v>
      </c>
      <c r="AO80" s="1401"/>
      <c r="AP80" s="1396" t="s">
        <v>673</v>
      </c>
      <c r="AQ80" s="1387">
        <v>2</v>
      </c>
      <c r="AR80" s="1387">
        <v>4</v>
      </c>
      <c r="AS80" s="1387">
        <v>1</v>
      </c>
      <c r="AT80" s="1387">
        <v>3</v>
      </c>
      <c r="AU80" s="1387">
        <v>1</v>
      </c>
      <c r="AV80" s="1387">
        <v>5</v>
      </c>
      <c r="AW80" s="1394">
        <v>1</v>
      </c>
      <c r="AX80" s="1380">
        <v>1.05</v>
      </c>
      <c r="AY80" s="1391">
        <v>1.2365959919080913</v>
      </c>
      <c r="AZ80" s="1391">
        <v>1.2434566510799234</v>
      </c>
      <c r="BA80" s="1392" t="s">
        <v>3226</v>
      </c>
      <c r="BB80" s="1389">
        <v>1.05</v>
      </c>
      <c r="BC80" s="1389">
        <v>1.1000000000000001</v>
      </c>
      <c r="BD80" s="1389">
        <v>1</v>
      </c>
      <c r="BE80" s="1389">
        <v>1.02</v>
      </c>
      <c r="BF80" s="1389">
        <v>1</v>
      </c>
      <c r="BG80" s="1389">
        <v>1.2</v>
      </c>
    </row>
    <row r="81" spans="1:59" s="401" customFormat="1" ht="24" customHeight="1">
      <c r="A81" s="1410">
        <v>263015</v>
      </c>
      <c r="B81" s="1436"/>
      <c r="C81" s="1411"/>
      <c r="D81" s="1454">
        <v>5</v>
      </c>
      <c r="E81" s="1455" t="s">
        <v>98</v>
      </c>
      <c r="F81" s="1447" t="s">
        <v>677</v>
      </c>
      <c r="G81" s="1448" t="s">
        <v>103</v>
      </c>
      <c r="H81" s="1456" t="s">
        <v>98</v>
      </c>
      <c r="I81" s="1449" t="s">
        <v>98</v>
      </c>
      <c r="J81" s="1450">
        <v>0</v>
      </c>
      <c r="K81" s="1448" t="s">
        <v>96</v>
      </c>
      <c r="L81" s="1448">
        <v>0</v>
      </c>
      <c r="M81" s="1451">
        <v>1</v>
      </c>
      <c r="N81" s="1452">
        <v>1.2620910621938648</v>
      </c>
      <c r="O81" s="1453" t="s">
        <v>3196</v>
      </c>
      <c r="P81" s="1448">
        <v>44625.4</v>
      </c>
      <c r="Q81" s="1451">
        <v>1</v>
      </c>
      <c r="R81" s="1452">
        <v>1.2434566510799234</v>
      </c>
      <c r="S81" s="1453" t="s">
        <v>3193</v>
      </c>
      <c r="T81" s="1401"/>
      <c r="U81" s="1402"/>
      <c r="V81" s="1402"/>
      <c r="W81" s="1396"/>
      <c r="X81" s="1387">
        <v>3</v>
      </c>
      <c r="Y81" s="1387">
        <v>4</v>
      </c>
      <c r="Z81" s="1387">
        <v>1</v>
      </c>
      <c r="AA81" s="1387">
        <v>3</v>
      </c>
      <c r="AB81" s="1387">
        <v>1</v>
      </c>
      <c r="AC81" s="1398">
        <v>5</v>
      </c>
      <c r="AD81" s="1394">
        <v>3</v>
      </c>
      <c r="AE81" s="1380">
        <v>1.05</v>
      </c>
      <c r="AF81" s="1391">
        <v>1.2555818742947564</v>
      </c>
      <c r="AG81" s="1391">
        <v>1.2620910621938648</v>
      </c>
      <c r="AH81" s="1392" t="s">
        <v>3222</v>
      </c>
      <c r="AI81" s="1389">
        <v>1.1000000000000001</v>
      </c>
      <c r="AJ81" s="1389">
        <v>1.1000000000000001</v>
      </c>
      <c r="AK81" s="1389">
        <v>1</v>
      </c>
      <c r="AL81" s="1389">
        <v>1.02</v>
      </c>
      <c r="AM81" s="1389">
        <v>1</v>
      </c>
      <c r="AN81" s="1389">
        <v>1.2</v>
      </c>
      <c r="AO81" s="1401"/>
      <c r="AP81" s="1396" t="s">
        <v>673</v>
      </c>
      <c r="AQ81" s="1387">
        <v>2</v>
      </c>
      <c r="AR81" s="1387">
        <v>4</v>
      </c>
      <c r="AS81" s="1387">
        <v>1</v>
      </c>
      <c r="AT81" s="1387">
        <v>3</v>
      </c>
      <c r="AU81" s="1387">
        <v>1</v>
      </c>
      <c r="AV81" s="1387">
        <v>5</v>
      </c>
      <c r="AW81" s="1394">
        <v>3</v>
      </c>
      <c r="AX81" s="1380">
        <v>1.05</v>
      </c>
      <c r="AY81" s="1391">
        <v>1.2365959919080913</v>
      </c>
      <c r="AZ81" s="1391">
        <v>1.2434566510799234</v>
      </c>
      <c r="BA81" s="1392" t="s">
        <v>3226</v>
      </c>
      <c r="BB81" s="1389">
        <v>1.05</v>
      </c>
      <c r="BC81" s="1389">
        <v>1.1000000000000001</v>
      </c>
      <c r="BD81" s="1389">
        <v>1</v>
      </c>
      <c r="BE81" s="1389">
        <v>1.02</v>
      </c>
      <c r="BF81" s="1389">
        <v>1</v>
      </c>
      <c r="BG81" s="1389">
        <v>1.2</v>
      </c>
    </row>
    <row r="82" spans="1:59" s="401" customFormat="1" ht="12.75" customHeight="1">
      <c r="A82" s="1410">
        <v>268459</v>
      </c>
      <c r="B82" s="1436"/>
      <c r="C82" s="1411"/>
      <c r="D82" s="1413">
        <v>5</v>
      </c>
      <c r="E82" s="1414" t="s">
        <v>98</v>
      </c>
      <c r="F82" s="1415" t="s">
        <v>678</v>
      </c>
      <c r="G82" s="1416" t="s">
        <v>93</v>
      </c>
      <c r="H82" s="1417" t="s">
        <v>98</v>
      </c>
      <c r="I82" s="1418" t="s">
        <v>98</v>
      </c>
      <c r="J82" s="1419">
        <v>0</v>
      </c>
      <c r="K82" s="1416" t="s">
        <v>679</v>
      </c>
      <c r="L82" s="1416">
        <v>0</v>
      </c>
      <c r="M82" s="1420">
        <v>1</v>
      </c>
      <c r="N82" s="1421">
        <v>1.2620910621938648</v>
      </c>
      <c r="O82" s="1422" t="s">
        <v>3196</v>
      </c>
      <c r="P82" s="1416">
        <v>27393.7</v>
      </c>
      <c r="Q82" s="1420">
        <v>1</v>
      </c>
      <c r="R82" s="1421">
        <v>1.2434566510799234</v>
      </c>
      <c r="S82" s="1422" t="s">
        <v>3193</v>
      </c>
      <c r="T82" s="1401"/>
      <c r="U82" s="1402"/>
      <c r="V82" s="1402"/>
      <c r="W82" s="1396"/>
      <c r="X82" s="1387">
        <v>3</v>
      </c>
      <c r="Y82" s="1387">
        <v>4</v>
      </c>
      <c r="Z82" s="1387">
        <v>1</v>
      </c>
      <c r="AA82" s="1387">
        <v>3</v>
      </c>
      <c r="AB82" s="1387">
        <v>1</v>
      </c>
      <c r="AC82" s="1398">
        <v>5</v>
      </c>
      <c r="AD82" s="1394">
        <v>3</v>
      </c>
      <c r="AE82" s="1380">
        <v>1.05</v>
      </c>
      <c r="AF82" s="1391">
        <v>1.2555818742947564</v>
      </c>
      <c r="AG82" s="1391">
        <v>1.2620910621938648</v>
      </c>
      <c r="AH82" s="1392" t="s">
        <v>3222</v>
      </c>
      <c r="AI82" s="1389">
        <v>1.1000000000000001</v>
      </c>
      <c r="AJ82" s="1389">
        <v>1.1000000000000001</v>
      </c>
      <c r="AK82" s="1389">
        <v>1</v>
      </c>
      <c r="AL82" s="1389">
        <v>1.02</v>
      </c>
      <c r="AM82" s="1389">
        <v>1</v>
      </c>
      <c r="AN82" s="1389">
        <v>1.2</v>
      </c>
      <c r="AO82" s="1401"/>
      <c r="AP82" s="1396" t="s">
        <v>673</v>
      </c>
      <c r="AQ82" s="1387">
        <v>2</v>
      </c>
      <c r="AR82" s="1387">
        <v>4</v>
      </c>
      <c r="AS82" s="1387">
        <v>1</v>
      </c>
      <c r="AT82" s="1387">
        <v>3</v>
      </c>
      <c r="AU82" s="1387">
        <v>1</v>
      </c>
      <c r="AV82" s="1387">
        <v>5</v>
      </c>
      <c r="AW82" s="1394">
        <v>3</v>
      </c>
      <c r="AX82" s="1380">
        <v>1.05</v>
      </c>
      <c r="AY82" s="1391">
        <v>1.2365959919080913</v>
      </c>
      <c r="AZ82" s="1391">
        <v>1.2434566510799234</v>
      </c>
      <c r="BA82" s="1392" t="s">
        <v>3226</v>
      </c>
      <c r="BB82" s="1389">
        <v>1.05</v>
      </c>
      <c r="BC82" s="1389">
        <v>1.1000000000000001</v>
      </c>
      <c r="BD82" s="1389">
        <v>1</v>
      </c>
      <c r="BE82" s="1389">
        <v>1.02</v>
      </c>
      <c r="BF82" s="1389">
        <v>1</v>
      </c>
      <c r="BG82" s="1389">
        <v>1.2</v>
      </c>
    </row>
    <row r="83" spans="1:59" s="401" customFormat="1" ht="12.75" customHeight="1">
      <c r="A83" s="1410">
        <v>269445</v>
      </c>
      <c r="B83" s="1436"/>
      <c r="C83" s="1411"/>
      <c r="D83" s="1454">
        <v>5</v>
      </c>
      <c r="E83" s="1455" t="s">
        <v>98</v>
      </c>
      <c r="F83" s="1447" t="s">
        <v>682</v>
      </c>
      <c r="G83" s="1448" t="s">
        <v>93</v>
      </c>
      <c r="H83" s="1456" t="s">
        <v>98</v>
      </c>
      <c r="I83" s="1449" t="s">
        <v>98</v>
      </c>
      <c r="J83" s="1450">
        <v>0</v>
      </c>
      <c r="K83" s="1448" t="s">
        <v>96</v>
      </c>
      <c r="L83" s="1448">
        <v>0</v>
      </c>
      <c r="M83" s="1451">
        <v>1</v>
      </c>
      <c r="N83" s="1452">
        <v>1.2620910621938648</v>
      </c>
      <c r="O83" s="1453" t="s">
        <v>3196</v>
      </c>
      <c r="P83" s="1448">
        <v>90603</v>
      </c>
      <c r="Q83" s="1451">
        <v>1</v>
      </c>
      <c r="R83" s="1452">
        <v>1.2434566510799234</v>
      </c>
      <c r="S83" s="1453" t="s">
        <v>3193</v>
      </c>
      <c r="T83" s="1401"/>
      <c r="U83" s="1402"/>
      <c r="V83" s="1402"/>
      <c r="W83" s="1396"/>
      <c r="X83" s="1387">
        <v>3</v>
      </c>
      <c r="Y83" s="1387">
        <v>4</v>
      </c>
      <c r="Z83" s="1387">
        <v>1</v>
      </c>
      <c r="AA83" s="1387">
        <v>3</v>
      </c>
      <c r="AB83" s="1387">
        <v>1</v>
      </c>
      <c r="AC83" s="1398">
        <v>5</v>
      </c>
      <c r="AD83" s="1394">
        <v>3</v>
      </c>
      <c r="AE83" s="1380">
        <v>1.05</v>
      </c>
      <c r="AF83" s="1391">
        <v>1.2555818742947564</v>
      </c>
      <c r="AG83" s="1391">
        <v>1.2620910621938648</v>
      </c>
      <c r="AH83" s="1392" t="s">
        <v>3222</v>
      </c>
      <c r="AI83" s="1389">
        <v>1.1000000000000001</v>
      </c>
      <c r="AJ83" s="1389">
        <v>1.1000000000000001</v>
      </c>
      <c r="AK83" s="1389">
        <v>1</v>
      </c>
      <c r="AL83" s="1389">
        <v>1.02</v>
      </c>
      <c r="AM83" s="1389">
        <v>1</v>
      </c>
      <c r="AN83" s="1389">
        <v>1.2</v>
      </c>
      <c r="AO83" s="1401"/>
      <c r="AP83" s="1396" t="s">
        <v>673</v>
      </c>
      <c r="AQ83" s="1387">
        <v>2</v>
      </c>
      <c r="AR83" s="1387">
        <v>4</v>
      </c>
      <c r="AS83" s="1387">
        <v>1</v>
      </c>
      <c r="AT83" s="1387">
        <v>3</v>
      </c>
      <c r="AU83" s="1387">
        <v>1</v>
      </c>
      <c r="AV83" s="1387">
        <v>5</v>
      </c>
      <c r="AW83" s="1394">
        <v>3</v>
      </c>
      <c r="AX83" s="1380">
        <v>1.05</v>
      </c>
      <c r="AY83" s="1391">
        <v>1.2365959919080913</v>
      </c>
      <c r="AZ83" s="1391">
        <v>1.2434566510799234</v>
      </c>
      <c r="BA83" s="1392" t="s">
        <v>3226</v>
      </c>
      <c r="BB83" s="1389">
        <v>1.05</v>
      </c>
      <c r="BC83" s="1389">
        <v>1.1000000000000001</v>
      </c>
      <c r="BD83" s="1389">
        <v>1</v>
      </c>
      <c r="BE83" s="1389">
        <v>1.02</v>
      </c>
      <c r="BF83" s="1389">
        <v>1</v>
      </c>
      <c r="BG83" s="1389">
        <v>1.2</v>
      </c>
    </row>
    <row r="84" spans="1:59" s="401" customFormat="1" ht="12.75" customHeight="1">
      <c r="A84" s="1410">
        <v>266627</v>
      </c>
      <c r="B84" s="1436"/>
      <c r="C84" s="1411"/>
      <c r="D84" s="1413">
        <v>5</v>
      </c>
      <c r="E84" s="1414" t="s">
        <v>98</v>
      </c>
      <c r="F84" s="1415" t="s">
        <v>634</v>
      </c>
      <c r="G84" s="1416" t="s">
        <v>93</v>
      </c>
      <c r="H84" s="1417" t="s">
        <v>98</v>
      </c>
      <c r="I84" s="1418" t="s">
        <v>98</v>
      </c>
      <c r="J84" s="1419">
        <v>0</v>
      </c>
      <c r="K84" s="1416" t="s">
        <v>96</v>
      </c>
      <c r="L84" s="1416">
        <v>0</v>
      </c>
      <c r="M84" s="1420">
        <v>1</v>
      </c>
      <c r="N84" s="1421">
        <v>1.2620910621938648</v>
      </c>
      <c r="O84" s="1422" t="s">
        <v>3196</v>
      </c>
      <c r="P84" s="1416">
        <v>90603</v>
      </c>
      <c r="Q84" s="1420">
        <v>1</v>
      </c>
      <c r="R84" s="1421">
        <v>1.2434566510799234</v>
      </c>
      <c r="S84" s="1422" t="s">
        <v>3193</v>
      </c>
      <c r="T84" s="1401"/>
      <c r="U84" s="1402"/>
      <c r="V84" s="1402"/>
      <c r="W84" s="1396"/>
      <c r="X84" s="1387">
        <v>3</v>
      </c>
      <c r="Y84" s="1387">
        <v>4</v>
      </c>
      <c r="Z84" s="1387">
        <v>1</v>
      </c>
      <c r="AA84" s="1387">
        <v>3</v>
      </c>
      <c r="AB84" s="1387">
        <v>1</v>
      </c>
      <c r="AC84" s="1398">
        <v>5</v>
      </c>
      <c r="AD84" s="1394">
        <v>3</v>
      </c>
      <c r="AE84" s="1380">
        <v>1.05</v>
      </c>
      <c r="AF84" s="1391">
        <v>1.2555818742947564</v>
      </c>
      <c r="AG84" s="1391">
        <v>1.2620910621938648</v>
      </c>
      <c r="AH84" s="1392" t="s">
        <v>3222</v>
      </c>
      <c r="AI84" s="1389">
        <v>1.1000000000000001</v>
      </c>
      <c r="AJ84" s="1389">
        <v>1.1000000000000001</v>
      </c>
      <c r="AK84" s="1389">
        <v>1</v>
      </c>
      <c r="AL84" s="1389">
        <v>1.02</v>
      </c>
      <c r="AM84" s="1389">
        <v>1</v>
      </c>
      <c r="AN84" s="1389">
        <v>1.2</v>
      </c>
      <c r="AO84" s="1401"/>
      <c r="AP84" s="1396" t="s">
        <v>673</v>
      </c>
      <c r="AQ84" s="1387">
        <v>2</v>
      </c>
      <c r="AR84" s="1387">
        <v>4</v>
      </c>
      <c r="AS84" s="1387">
        <v>1</v>
      </c>
      <c r="AT84" s="1387">
        <v>3</v>
      </c>
      <c r="AU84" s="1387">
        <v>1</v>
      </c>
      <c r="AV84" s="1387">
        <v>5</v>
      </c>
      <c r="AW84" s="1394">
        <v>3</v>
      </c>
      <c r="AX84" s="1380">
        <v>1.05</v>
      </c>
      <c r="AY84" s="1391">
        <v>1.2365959919080913</v>
      </c>
      <c r="AZ84" s="1391">
        <v>1.2434566510799234</v>
      </c>
      <c r="BA84" s="1392" t="s">
        <v>3226</v>
      </c>
      <c r="BB84" s="1389">
        <v>1.05</v>
      </c>
      <c r="BC84" s="1389">
        <v>1.1000000000000001</v>
      </c>
      <c r="BD84" s="1389">
        <v>1</v>
      </c>
      <c r="BE84" s="1389">
        <v>1.02</v>
      </c>
      <c r="BF84" s="1389">
        <v>1</v>
      </c>
      <c r="BG84" s="1389">
        <v>1.2</v>
      </c>
    </row>
    <row r="85" spans="1:59" s="401" customFormat="1" ht="23.25" customHeight="1">
      <c r="A85" s="1410">
        <v>267287</v>
      </c>
      <c r="B85" s="1412" t="s">
        <v>734</v>
      </c>
      <c r="C85" s="1411"/>
      <c r="D85" s="1454">
        <v>5</v>
      </c>
      <c r="E85" s="1455" t="s">
        <v>98</v>
      </c>
      <c r="F85" s="1447" t="s">
        <v>690</v>
      </c>
      <c r="G85" s="1448" t="s">
        <v>154</v>
      </c>
      <c r="H85" s="1456" t="s">
        <v>98</v>
      </c>
      <c r="I85" s="1449" t="s">
        <v>98</v>
      </c>
      <c r="J85" s="1450">
        <v>0</v>
      </c>
      <c r="K85" s="1448" t="s">
        <v>104</v>
      </c>
      <c r="L85" s="1448">
        <v>0</v>
      </c>
      <c r="M85" s="1451">
        <v>1</v>
      </c>
      <c r="N85" s="1452">
        <v>1.2620910621938648</v>
      </c>
      <c r="O85" s="1453" t="s">
        <v>3196</v>
      </c>
      <c r="P85" s="1448">
        <v>86917.387353556507</v>
      </c>
      <c r="Q85" s="1451">
        <v>1</v>
      </c>
      <c r="R85" s="1452">
        <v>1.2434566510799234</v>
      </c>
      <c r="S85" s="1453" t="s">
        <v>3202</v>
      </c>
      <c r="T85" s="1401"/>
      <c r="U85" s="1402"/>
      <c r="V85" s="1402"/>
      <c r="W85" s="1396"/>
      <c r="X85" s="1387">
        <v>3</v>
      </c>
      <c r="Y85" s="1387">
        <v>4</v>
      </c>
      <c r="Z85" s="1387">
        <v>1</v>
      </c>
      <c r="AA85" s="1387">
        <v>3</v>
      </c>
      <c r="AB85" s="1387">
        <v>1</v>
      </c>
      <c r="AC85" s="1398">
        <v>5</v>
      </c>
      <c r="AD85" s="1394">
        <v>1</v>
      </c>
      <c r="AE85" s="1380">
        <v>1.05</v>
      </c>
      <c r="AF85" s="1391">
        <v>1.2555818742947564</v>
      </c>
      <c r="AG85" s="1391">
        <v>1.2620910621938648</v>
      </c>
      <c r="AH85" s="1392" t="s">
        <v>3222</v>
      </c>
      <c r="AI85" s="1389">
        <v>1.1000000000000001</v>
      </c>
      <c r="AJ85" s="1389">
        <v>1.1000000000000001</v>
      </c>
      <c r="AK85" s="1389">
        <v>1</v>
      </c>
      <c r="AL85" s="1389">
        <v>1.02</v>
      </c>
      <c r="AM85" s="1389">
        <v>1</v>
      </c>
      <c r="AN85" s="1389">
        <v>1.2</v>
      </c>
      <c r="AO85" s="1401"/>
      <c r="AP85" s="1396" t="s">
        <v>693</v>
      </c>
      <c r="AQ85" s="1387">
        <v>2</v>
      </c>
      <c r="AR85" s="1387">
        <v>4</v>
      </c>
      <c r="AS85" s="1387">
        <v>1</v>
      </c>
      <c r="AT85" s="1387">
        <v>3</v>
      </c>
      <c r="AU85" s="1387">
        <v>1</v>
      </c>
      <c r="AV85" s="1387">
        <v>5</v>
      </c>
      <c r="AW85" s="1394">
        <v>1</v>
      </c>
      <c r="AX85" s="1380">
        <v>1.05</v>
      </c>
      <c r="AY85" s="1391">
        <v>1.2365959919080913</v>
      </c>
      <c r="AZ85" s="1391">
        <v>1.2434566510799234</v>
      </c>
      <c r="BA85" s="1392" t="s">
        <v>3226</v>
      </c>
      <c r="BB85" s="1389">
        <v>1.05</v>
      </c>
      <c r="BC85" s="1389">
        <v>1.1000000000000001</v>
      </c>
      <c r="BD85" s="1389">
        <v>1</v>
      </c>
      <c r="BE85" s="1389">
        <v>1.02</v>
      </c>
      <c r="BF85" s="1389">
        <v>1</v>
      </c>
      <c r="BG85" s="1389">
        <v>1.2</v>
      </c>
    </row>
    <row r="86" spans="1:59" s="401" customFormat="1" ht="12.75" customHeight="1">
      <c r="A86" s="1410">
        <v>160371</v>
      </c>
      <c r="B86" s="1436"/>
      <c r="C86" s="1411"/>
      <c r="D86" s="1413">
        <v>5</v>
      </c>
      <c r="E86" s="1414" t="s">
        <v>98</v>
      </c>
      <c r="F86" s="1415" t="s">
        <v>242</v>
      </c>
      <c r="G86" s="1416" t="s">
        <v>93</v>
      </c>
      <c r="H86" s="1417" t="s">
        <v>98</v>
      </c>
      <c r="I86" s="1418" t="s">
        <v>98</v>
      </c>
      <c r="J86" s="1419">
        <v>0</v>
      </c>
      <c r="K86" s="1416" t="s">
        <v>115</v>
      </c>
      <c r="L86" s="1416">
        <v>0</v>
      </c>
      <c r="M86" s="1420">
        <v>1</v>
      </c>
      <c r="N86" s="1421">
        <v>2.0741629046031922</v>
      </c>
      <c r="O86" s="1422" t="s">
        <v>3196</v>
      </c>
      <c r="P86" s="1416">
        <v>33807.1</v>
      </c>
      <c r="Q86" s="1420">
        <v>1</v>
      </c>
      <c r="R86" s="1421">
        <v>2.0646254680556719</v>
      </c>
      <c r="S86" s="1422" t="s">
        <v>3193</v>
      </c>
      <c r="T86" s="1401"/>
      <c r="U86" s="1402"/>
      <c r="V86" s="1402"/>
      <c r="W86" s="1396"/>
      <c r="X86" s="1387">
        <v>3</v>
      </c>
      <c r="Y86" s="1387">
        <v>4</v>
      </c>
      <c r="Z86" s="1387">
        <v>1</v>
      </c>
      <c r="AA86" s="1387">
        <v>3</v>
      </c>
      <c r="AB86" s="1387">
        <v>1</v>
      </c>
      <c r="AC86" s="1398">
        <v>5</v>
      </c>
      <c r="AD86" s="1394">
        <v>5</v>
      </c>
      <c r="AE86" s="1380">
        <v>2</v>
      </c>
      <c r="AF86" s="1391">
        <v>1.2555818742947564</v>
      </c>
      <c r="AG86" s="1391">
        <v>2.0741629046031922</v>
      </c>
      <c r="AH86" s="1392" t="s">
        <v>3222</v>
      </c>
      <c r="AI86" s="1389">
        <v>1.1000000000000001</v>
      </c>
      <c r="AJ86" s="1389">
        <v>1.1000000000000001</v>
      </c>
      <c r="AK86" s="1389">
        <v>1</v>
      </c>
      <c r="AL86" s="1389">
        <v>1.02</v>
      </c>
      <c r="AM86" s="1389">
        <v>1</v>
      </c>
      <c r="AN86" s="1389">
        <v>1.2</v>
      </c>
      <c r="AO86" s="1401"/>
      <c r="AP86" s="1396" t="s">
        <v>673</v>
      </c>
      <c r="AQ86" s="1387">
        <v>2</v>
      </c>
      <c r="AR86" s="1387">
        <v>4</v>
      </c>
      <c r="AS86" s="1387">
        <v>1</v>
      </c>
      <c r="AT86" s="1387">
        <v>3</v>
      </c>
      <c r="AU86" s="1387">
        <v>1</v>
      </c>
      <c r="AV86" s="1387">
        <v>5</v>
      </c>
      <c r="AW86" s="1394">
        <v>5</v>
      </c>
      <c r="AX86" s="1380">
        <v>2</v>
      </c>
      <c r="AY86" s="1391">
        <v>1.2365959919080913</v>
      </c>
      <c r="AZ86" s="1391">
        <v>2.0646254680556719</v>
      </c>
      <c r="BA86" s="1392" t="s">
        <v>3226</v>
      </c>
      <c r="BB86" s="1389">
        <v>1.05</v>
      </c>
      <c r="BC86" s="1389">
        <v>1.1000000000000001</v>
      </c>
      <c r="BD86" s="1389">
        <v>1</v>
      </c>
      <c r="BE86" s="1389">
        <v>1.02</v>
      </c>
      <c r="BF86" s="1389">
        <v>1</v>
      </c>
      <c r="BG86" s="1389">
        <v>1.2</v>
      </c>
    </row>
    <row r="87" spans="1:59" s="401" customFormat="1" ht="12.75" customHeight="1">
      <c r="A87" s="1410">
        <v>269641</v>
      </c>
      <c r="B87" s="1436"/>
      <c r="C87" s="1411"/>
      <c r="D87" s="1454">
        <v>5</v>
      </c>
      <c r="E87" s="1455" t="s">
        <v>98</v>
      </c>
      <c r="F87" s="1447" t="s">
        <v>240</v>
      </c>
      <c r="G87" s="1448" t="s">
        <v>93</v>
      </c>
      <c r="H87" s="1456" t="s">
        <v>98</v>
      </c>
      <c r="I87" s="1449" t="s">
        <v>98</v>
      </c>
      <c r="J87" s="1450">
        <v>0</v>
      </c>
      <c r="K87" s="1448" t="s">
        <v>115</v>
      </c>
      <c r="L87" s="1448">
        <v>0</v>
      </c>
      <c r="M87" s="1451">
        <v>1</v>
      </c>
      <c r="N87" s="1452">
        <v>2.0741629046031922</v>
      </c>
      <c r="O87" s="1453" t="s">
        <v>3196</v>
      </c>
      <c r="P87" s="1448">
        <v>62543.1</v>
      </c>
      <c r="Q87" s="1451">
        <v>1</v>
      </c>
      <c r="R87" s="1452">
        <v>2.0646254680556719</v>
      </c>
      <c r="S87" s="1453" t="s">
        <v>3193</v>
      </c>
      <c r="T87" s="1401"/>
      <c r="U87" s="1402"/>
      <c r="V87" s="1402"/>
      <c r="W87" s="1396"/>
      <c r="X87" s="1387">
        <v>3</v>
      </c>
      <c r="Y87" s="1387">
        <v>4</v>
      </c>
      <c r="Z87" s="1387">
        <v>1</v>
      </c>
      <c r="AA87" s="1387">
        <v>3</v>
      </c>
      <c r="AB87" s="1387">
        <v>1</v>
      </c>
      <c r="AC87" s="1398">
        <v>5</v>
      </c>
      <c r="AD87" s="1394">
        <v>5</v>
      </c>
      <c r="AE87" s="1380">
        <v>2</v>
      </c>
      <c r="AF87" s="1391">
        <v>1.2555818742947564</v>
      </c>
      <c r="AG87" s="1391">
        <v>2.0741629046031922</v>
      </c>
      <c r="AH87" s="1392" t="s">
        <v>3222</v>
      </c>
      <c r="AI87" s="1389">
        <v>1.1000000000000001</v>
      </c>
      <c r="AJ87" s="1389">
        <v>1.1000000000000001</v>
      </c>
      <c r="AK87" s="1389">
        <v>1</v>
      </c>
      <c r="AL87" s="1389">
        <v>1.02</v>
      </c>
      <c r="AM87" s="1389">
        <v>1</v>
      </c>
      <c r="AN87" s="1389">
        <v>1.2</v>
      </c>
      <c r="AO87" s="1401"/>
      <c r="AP87" s="1396" t="s">
        <v>673</v>
      </c>
      <c r="AQ87" s="1387">
        <v>2</v>
      </c>
      <c r="AR87" s="1387">
        <v>4</v>
      </c>
      <c r="AS87" s="1387">
        <v>1</v>
      </c>
      <c r="AT87" s="1387">
        <v>3</v>
      </c>
      <c r="AU87" s="1387">
        <v>1</v>
      </c>
      <c r="AV87" s="1387">
        <v>5</v>
      </c>
      <c r="AW87" s="1394">
        <v>5</v>
      </c>
      <c r="AX87" s="1380">
        <v>2</v>
      </c>
      <c r="AY87" s="1391">
        <v>1.2365959919080913</v>
      </c>
      <c r="AZ87" s="1391">
        <v>2.0646254680556719</v>
      </c>
      <c r="BA87" s="1392" t="s">
        <v>3226</v>
      </c>
      <c r="BB87" s="1389">
        <v>1.05</v>
      </c>
      <c r="BC87" s="1389">
        <v>1.1000000000000001</v>
      </c>
      <c r="BD87" s="1389">
        <v>1</v>
      </c>
      <c r="BE87" s="1389">
        <v>1.02</v>
      </c>
      <c r="BF87" s="1389">
        <v>1</v>
      </c>
      <c r="BG87" s="1389">
        <v>1.2</v>
      </c>
    </row>
    <row r="88" spans="1:59" s="401" customFormat="1" ht="12.75" customHeight="1">
      <c r="A88" s="1410">
        <v>267874</v>
      </c>
      <c r="B88" s="1412" t="s">
        <v>735</v>
      </c>
      <c r="C88" s="1411"/>
      <c r="D88" s="1413">
        <v>5</v>
      </c>
      <c r="E88" s="1414" t="s">
        <v>98</v>
      </c>
      <c r="F88" s="1415" t="s">
        <v>736</v>
      </c>
      <c r="G88" s="1416" t="s">
        <v>93</v>
      </c>
      <c r="H88" s="1417" t="s">
        <v>98</v>
      </c>
      <c r="I88" s="1418" t="s">
        <v>98</v>
      </c>
      <c r="J88" s="1419">
        <v>0</v>
      </c>
      <c r="K88" s="1416" t="s">
        <v>96</v>
      </c>
      <c r="L88" s="1416">
        <v>0</v>
      </c>
      <c r="M88" s="1420">
        <v>1</v>
      </c>
      <c r="N88" s="1421">
        <v>1.2620910621938648</v>
      </c>
      <c r="O88" s="1422" t="s">
        <v>3196</v>
      </c>
      <c r="P88" s="1416">
        <v>3427200</v>
      </c>
      <c r="Q88" s="1420">
        <v>1</v>
      </c>
      <c r="R88" s="1421">
        <v>1.2434566510799234</v>
      </c>
      <c r="S88" s="1422" t="s">
        <v>3193</v>
      </c>
      <c r="T88" s="1401"/>
      <c r="U88" s="1402"/>
      <c r="V88" s="1402"/>
      <c r="W88" s="1396"/>
      <c r="X88" s="1387">
        <v>3</v>
      </c>
      <c r="Y88" s="1387">
        <v>4</v>
      </c>
      <c r="Z88" s="1387">
        <v>1</v>
      </c>
      <c r="AA88" s="1387">
        <v>3</v>
      </c>
      <c r="AB88" s="1387">
        <v>1</v>
      </c>
      <c r="AC88" s="1398">
        <v>5</v>
      </c>
      <c r="AD88" s="1394">
        <v>3</v>
      </c>
      <c r="AE88" s="1380">
        <v>1.05</v>
      </c>
      <c r="AF88" s="1391">
        <v>1.2555818742947564</v>
      </c>
      <c r="AG88" s="1391">
        <v>1.2620910621938648</v>
      </c>
      <c r="AH88" s="1392" t="s">
        <v>3222</v>
      </c>
      <c r="AI88" s="1389">
        <v>1.1000000000000001</v>
      </c>
      <c r="AJ88" s="1389">
        <v>1.1000000000000001</v>
      </c>
      <c r="AK88" s="1389">
        <v>1</v>
      </c>
      <c r="AL88" s="1389">
        <v>1.02</v>
      </c>
      <c r="AM88" s="1389">
        <v>1</v>
      </c>
      <c r="AN88" s="1389">
        <v>1.2</v>
      </c>
      <c r="AO88" s="1401"/>
      <c r="AP88" s="1396" t="s">
        <v>673</v>
      </c>
      <c r="AQ88" s="1387">
        <v>2</v>
      </c>
      <c r="AR88" s="1387">
        <v>4</v>
      </c>
      <c r="AS88" s="1387">
        <v>1</v>
      </c>
      <c r="AT88" s="1387">
        <v>3</v>
      </c>
      <c r="AU88" s="1387">
        <v>1</v>
      </c>
      <c r="AV88" s="1387">
        <v>5</v>
      </c>
      <c r="AW88" s="1394">
        <v>3</v>
      </c>
      <c r="AX88" s="1380">
        <v>1.05</v>
      </c>
      <c r="AY88" s="1391">
        <v>1.2365959919080913</v>
      </c>
      <c r="AZ88" s="1391">
        <v>1.2434566510799234</v>
      </c>
      <c r="BA88" s="1392" t="s">
        <v>3226</v>
      </c>
      <c r="BB88" s="1389">
        <v>1.05</v>
      </c>
      <c r="BC88" s="1389">
        <v>1.1000000000000001</v>
      </c>
      <c r="BD88" s="1389">
        <v>1</v>
      </c>
      <c r="BE88" s="1389">
        <v>1.02</v>
      </c>
      <c r="BF88" s="1389">
        <v>1</v>
      </c>
      <c r="BG88" s="1389">
        <v>1.2</v>
      </c>
    </row>
    <row r="89" spans="1:59" s="401" customFormat="1" ht="12.75" customHeight="1">
      <c r="A89" s="1410">
        <v>268459</v>
      </c>
      <c r="B89" s="1436"/>
      <c r="C89" s="1411"/>
      <c r="D89" s="1454">
        <v>5</v>
      </c>
      <c r="E89" s="1455" t="s">
        <v>98</v>
      </c>
      <c r="F89" s="1447" t="s">
        <v>678</v>
      </c>
      <c r="G89" s="1448" t="s">
        <v>93</v>
      </c>
      <c r="H89" s="1456" t="s">
        <v>98</v>
      </c>
      <c r="I89" s="1449" t="s">
        <v>98</v>
      </c>
      <c r="J89" s="1450">
        <v>0</v>
      </c>
      <c r="K89" s="1448" t="s">
        <v>679</v>
      </c>
      <c r="L89" s="1448">
        <v>0</v>
      </c>
      <c r="M89" s="1451">
        <v>1</v>
      </c>
      <c r="N89" s="1452">
        <v>1.2620910621938648</v>
      </c>
      <c r="O89" s="1453" t="s">
        <v>3196</v>
      </c>
      <c r="P89" s="1448">
        <v>293760</v>
      </c>
      <c r="Q89" s="1451">
        <v>1</v>
      </c>
      <c r="R89" s="1452">
        <v>1.2434566510799234</v>
      </c>
      <c r="S89" s="1453" t="s">
        <v>3193</v>
      </c>
      <c r="T89" s="1401"/>
      <c r="U89" s="1402"/>
      <c r="V89" s="1402"/>
      <c r="W89" s="1396"/>
      <c r="X89" s="1387">
        <v>3</v>
      </c>
      <c r="Y89" s="1387">
        <v>4</v>
      </c>
      <c r="Z89" s="1387">
        <v>1</v>
      </c>
      <c r="AA89" s="1387">
        <v>3</v>
      </c>
      <c r="AB89" s="1387">
        <v>1</v>
      </c>
      <c r="AC89" s="1398">
        <v>5</v>
      </c>
      <c r="AD89" s="1394">
        <v>3</v>
      </c>
      <c r="AE89" s="1380">
        <v>1.05</v>
      </c>
      <c r="AF89" s="1391">
        <v>1.2555818742947564</v>
      </c>
      <c r="AG89" s="1391">
        <v>1.2620910621938648</v>
      </c>
      <c r="AH89" s="1392" t="s">
        <v>3222</v>
      </c>
      <c r="AI89" s="1389">
        <v>1.1000000000000001</v>
      </c>
      <c r="AJ89" s="1389">
        <v>1.1000000000000001</v>
      </c>
      <c r="AK89" s="1389">
        <v>1</v>
      </c>
      <c r="AL89" s="1389">
        <v>1.02</v>
      </c>
      <c r="AM89" s="1389">
        <v>1</v>
      </c>
      <c r="AN89" s="1389">
        <v>1.2</v>
      </c>
      <c r="AO89" s="1401"/>
      <c r="AP89" s="1396" t="s">
        <v>673</v>
      </c>
      <c r="AQ89" s="1387">
        <v>2</v>
      </c>
      <c r="AR89" s="1387">
        <v>4</v>
      </c>
      <c r="AS89" s="1387">
        <v>1</v>
      </c>
      <c r="AT89" s="1387">
        <v>3</v>
      </c>
      <c r="AU89" s="1387">
        <v>1</v>
      </c>
      <c r="AV89" s="1387">
        <v>5</v>
      </c>
      <c r="AW89" s="1394">
        <v>3</v>
      </c>
      <c r="AX89" s="1380">
        <v>1.05</v>
      </c>
      <c r="AY89" s="1391">
        <v>1.2365959919080913</v>
      </c>
      <c r="AZ89" s="1391">
        <v>1.2434566510799234</v>
      </c>
      <c r="BA89" s="1392" t="s">
        <v>3226</v>
      </c>
      <c r="BB89" s="1389">
        <v>1.05</v>
      </c>
      <c r="BC89" s="1389">
        <v>1.1000000000000001</v>
      </c>
      <c r="BD89" s="1389">
        <v>1</v>
      </c>
      <c r="BE89" s="1389">
        <v>1.02</v>
      </c>
      <c r="BF89" s="1389">
        <v>1</v>
      </c>
      <c r="BG89" s="1389">
        <v>1.2</v>
      </c>
    </row>
    <row r="90" spans="1:59" s="401" customFormat="1" ht="12.75" customHeight="1">
      <c r="A90" s="1410">
        <v>261394</v>
      </c>
      <c r="B90" s="1436"/>
      <c r="C90" s="1411"/>
      <c r="D90" s="1413">
        <v>5</v>
      </c>
      <c r="E90" s="1414" t="s">
        <v>98</v>
      </c>
      <c r="F90" s="1415" t="s">
        <v>737</v>
      </c>
      <c r="G90" s="1416" t="s">
        <v>103</v>
      </c>
      <c r="H90" s="1417" t="s">
        <v>98</v>
      </c>
      <c r="I90" s="1418" t="s">
        <v>98</v>
      </c>
      <c r="J90" s="1419">
        <v>0</v>
      </c>
      <c r="K90" s="1416" t="s">
        <v>96</v>
      </c>
      <c r="L90" s="1416">
        <v>0</v>
      </c>
      <c r="M90" s="1420">
        <v>1</v>
      </c>
      <c r="N90" s="1421">
        <v>1.2620910621938648</v>
      </c>
      <c r="O90" s="1422" t="s">
        <v>3196</v>
      </c>
      <c r="P90" s="1416">
        <v>342719.99999999988</v>
      </c>
      <c r="Q90" s="1420">
        <v>1</v>
      </c>
      <c r="R90" s="1421">
        <v>1.2434566510799234</v>
      </c>
      <c r="S90" s="1422" t="s">
        <v>3193</v>
      </c>
      <c r="T90" s="1401"/>
      <c r="U90" s="1402"/>
      <c r="V90" s="1402"/>
      <c r="W90" s="1396"/>
      <c r="X90" s="1387">
        <v>3</v>
      </c>
      <c r="Y90" s="1387">
        <v>4</v>
      </c>
      <c r="Z90" s="1387">
        <v>1</v>
      </c>
      <c r="AA90" s="1387">
        <v>3</v>
      </c>
      <c r="AB90" s="1387">
        <v>1</v>
      </c>
      <c r="AC90" s="1398">
        <v>5</v>
      </c>
      <c r="AD90" s="1394">
        <v>3</v>
      </c>
      <c r="AE90" s="1380">
        <v>1.05</v>
      </c>
      <c r="AF90" s="1391">
        <v>1.2555818742947564</v>
      </c>
      <c r="AG90" s="1391">
        <v>1.2620910621938648</v>
      </c>
      <c r="AH90" s="1392" t="s">
        <v>3222</v>
      </c>
      <c r="AI90" s="1389">
        <v>1.1000000000000001</v>
      </c>
      <c r="AJ90" s="1389">
        <v>1.1000000000000001</v>
      </c>
      <c r="AK90" s="1389">
        <v>1</v>
      </c>
      <c r="AL90" s="1389">
        <v>1.02</v>
      </c>
      <c r="AM90" s="1389">
        <v>1</v>
      </c>
      <c r="AN90" s="1389">
        <v>1.2</v>
      </c>
      <c r="AO90" s="1401"/>
      <c r="AP90" s="1396" t="s">
        <v>673</v>
      </c>
      <c r="AQ90" s="1387">
        <v>2</v>
      </c>
      <c r="AR90" s="1387">
        <v>4</v>
      </c>
      <c r="AS90" s="1387">
        <v>1</v>
      </c>
      <c r="AT90" s="1387">
        <v>3</v>
      </c>
      <c r="AU90" s="1387">
        <v>1</v>
      </c>
      <c r="AV90" s="1387">
        <v>5</v>
      </c>
      <c r="AW90" s="1394">
        <v>3</v>
      </c>
      <c r="AX90" s="1380">
        <v>1.05</v>
      </c>
      <c r="AY90" s="1391">
        <v>1.2365959919080913</v>
      </c>
      <c r="AZ90" s="1391">
        <v>1.2434566510799234</v>
      </c>
      <c r="BA90" s="1392" t="s">
        <v>3226</v>
      </c>
      <c r="BB90" s="1389">
        <v>1.05</v>
      </c>
      <c r="BC90" s="1389">
        <v>1.1000000000000001</v>
      </c>
      <c r="BD90" s="1389">
        <v>1</v>
      </c>
      <c r="BE90" s="1389">
        <v>1.02</v>
      </c>
      <c r="BF90" s="1389">
        <v>1</v>
      </c>
      <c r="BG90" s="1389">
        <v>1.2</v>
      </c>
    </row>
    <row r="91" spans="1:59" s="401" customFormat="1" ht="12.75" customHeight="1">
      <c r="A91" s="1410">
        <v>266627</v>
      </c>
      <c r="B91" s="1436"/>
      <c r="C91" s="1411"/>
      <c r="D91" s="1454">
        <v>5</v>
      </c>
      <c r="E91" s="1455" t="s">
        <v>98</v>
      </c>
      <c r="F91" s="1447" t="s">
        <v>634</v>
      </c>
      <c r="G91" s="1448" t="s">
        <v>93</v>
      </c>
      <c r="H91" s="1456" t="s">
        <v>98</v>
      </c>
      <c r="I91" s="1449" t="s">
        <v>98</v>
      </c>
      <c r="J91" s="1450">
        <v>0</v>
      </c>
      <c r="K91" s="1448" t="s">
        <v>96</v>
      </c>
      <c r="L91" s="1448">
        <v>0</v>
      </c>
      <c r="M91" s="1451">
        <v>1</v>
      </c>
      <c r="N91" s="1452">
        <v>1.2620910621938648</v>
      </c>
      <c r="O91" s="1453" t="s">
        <v>3196</v>
      </c>
      <c r="P91" s="1448">
        <v>3084480</v>
      </c>
      <c r="Q91" s="1451">
        <v>1</v>
      </c>
      <c r="R91" s="1452">
        <v>1.2434566510799234</v>
      </c>
      <c r="S91" s="1453" t="s">
        <v>3193</v>
      </c>
      <c r="T91" s="1401"/>
      <c r="U91" s="1402"/>
      <c r="V91" s="1402"/>
      <c r="W91" s="1396"/>
      <c r="X91" s="1387">
        <v>3</v>
      </c>
      <c r="Y91" s="1387">
        <v>4</v>
      </c>
      <c r="Z91" s="1387">
        <v>1</v>
      </c>
      <c r="AA91" s="1387">
        <v>3</v>
      </c>
      <c r="AB91" s="1387">
        <v>1</v>
      </c>
      <c r="AC91" s="1398">
        <v>5</v>
      </c>
      <c r="AD91" s="1394">
        <v>3</v>
      </c>
      <c r="AE91" s="1380">
        <v>1.05</v>
      </c>
      <c r="AF91" s="1391">
        <v>1.2555818742947564</v>
      </c>
      <c r="AG91" s="1391">
        <v>1.2620910621938648</v>
      </c>
      <c r="AH91" s="1392" t="s">
        <v>3222</v>
      </c>
      <c r="AI91" s="1389">
        <v>1.1000000000000001</v>
      </c>
      <c r="AJ91" s="1389">
        <v>1.1000000000000001</v>
      </c>
      <c r="AK91" s="1389">
        <v>1</v>
      </c>
      <c r="AL91" s="1389">
        <v>1.02</v>
      </c>
      <c r="AM91" s="1389">
        <v>1</v>
      </c>
      <c r="AN91" s="1389">
        <v>1.2</v>
      </c>
      <c r="AO91" s="1401"/>
      <c r="AP91" s="1396" t="s">
        <v>673</v>
      </c>
      <c r="AQ91" s="1387">
        <v>2</v>
      </c>
      <c r="AR91" s="1387">
        <v>4</v>
      </c>
      <c r="AS91" s="1387">
        <v>1</v>
      </c>
      <c r="AT91" s="1387">
        <v>3</v>
      </c>
      <c r="AU91" s="1387">
        <v>1</v>
      </c>
      <c r="AV91" s="1387">
        <v>5</v>
      </c>
      <c r="AW91" s="1394">
        <v>3</v>
      </c>
      <c r="AX91" s="1380">
        <v>1.05</v>
      </c>
      <c r="AY91" s="1391">
        <v>1.2365959919080913</v>
      </c>
      <c r="AZ91" s="1391">
        <v>1.2434566510799234</v>
      </c>
      <c r="BA91" s="1392" t="s">
        <v>3226</v>
      </c>
      <c r="BB91" s="1389">
        <v>1.05</v>
      </c>
      <c r="BC91" s="1389">
        <v>1.1000000000000001</v>
      </c>
      <c r="BD91" s="1389">
        <v>1</v>
      </c>
      <c r="BE91" s="1389">
        <v>1.02</v>
      </c>
      <c r="BF91" s="1389">
        <v>1</v>
      </c>
      <c r="BG91" s="1389">
        <v>1.2</v>
      </c>
    </row>
    <row r="92" spans="1:59" s="401" customFormat="1" ht="12.75" customHeight="1">
      <c r="A92" s="1410">
        <v>160371</v>
      </c>
      <c r="B92" s="1436"/>
      <c r="C92" s="1411"/>
      <c r="D92" s="1413">
        <v>5</v>
      </c>
      <c r="E92" s="1414" t="s">
        <v>98</v>
      </c>
      <c r="F92" s="1415" t="s">
        <v>242</v>
      </c>
      <c r="G92" s="1416" t="s">
        <v>93</v>
      </c>
      <c r="H92" s="1417" t="s">
        <v>98</v>
      </c>
      <c r="I92" s="1418" t="s">
        <v>98</v>
      </c>
      <c r="J92" s="1419">
        <v>0</v>
      </c>
      <c r="K92" s="1416" t="s">
        <v>115</v>
      </c>
      <c r="L92" s="1416">
        <v>0</v>
      </c>
      <c r="M92" s="1420">
        <v>1</v>
      </c>
      <c r="N92" s="1421">
        <v>2.0741629046031922</v>
      </c>
      <c r="O92" s="1422" t="s">
        <v>3196</v>
      </c>
      <c r="P92" s="1416">
        <v>651168</v>
      </c>
      <c r="Q92" s="1420">
        <v>1</v>
      </c>
      <c r="R92" s="1421">
        <v>2.0646254680556719</v>
      </c>
      <c r="S92" s="1422" t="s">
        <v>3193</v>
      </c>
      <c r="T92" s="1401"/>
      <c r="U92" s="1402"/>
      <c r="V92" s="1402"/>
      <c r="W92" s="1396"/>
      <c r="X92" s="1387">
        <v>3</v>
      </c>
      <c r="Y92" s="1387">
        <v>4</v>
      </c>
      <c r="Z92" s="1387">
        <v>1</v>
      </c>
      <c r="AA92" s="1387">
        <v>3</v>
      </c>
      <c r="AB92" s="1387">
        <v>1</v>
      </c>
      <c r="AC92" s="1398">
        <v>5</v>
      </c>
      <c r="AD92" s="1394">
        <v>5</v>
      </c>
      <c r="AE92" s="1380">
        <v>2</v>
      </c>
      <c r="AF92" s="1391">
        <v>1.2555818742947564</v>
      </c>
      <c r="AG92" s="1391">
        <v>2.0741629046031922</v>
      </c>
      <c r="AH92" s="1392" t="s">
        <v>3222</v>
      </c>
      <c r="AI92" s="1389">
        <v>1.1000000000000001</v>
      </c>
      <c r="AJ92" s="1389">
        <v>1.1000000000000001</v>
      </c>
      <c r="AK92" s="1389">
        <v>1</v>
      </c>
      <c r="AL92" s="1389">
        <v>1.02</v>
      </c>
      <c r="AM92" s="1389">
        <v>1</v>
      </c>
      <c r="AN92" s="1389">
        <v>1.2</v>
      </c>
      <c r="AO92" s="1401"/>
      <c r="AP92" s="1396" t="s">
        <v>673</v>
      </c>
      <c r="AQ92" s="1387">
        <v>2</v>
      </c>
      <c r="AR92" s="1387">
        <v>4</v>
      </c>
      <c r="AS92" s="1387">
        <v>1</v>
      </c>
      <c r="AT92" s="1387">
        <v>3</v>
      </c>
      <c r="AU92" s="1387">
        <v>1</v>
      </c>
      <c r="AV92" s="1387">
        <v>5</v>
      </c>
      <c r="AW92" s="1394">
        <v>5</v>
      </c>
      <c r="AX92" s="1380">
        <v>2</v>
      </c>
      <c r="AY92" s="1391">
        <v>1.2365959919080913</v>
      </c>
      <c r="AZ92" s="1391">
        <v>2.0646254680556719</v>
      </c>
      <c r="BA92" s="1392" t="s">
        <v>3226</v>
      </c>
      <c r="BB92" s="1389">
        <v>1.05</v>
      </c>
      <c r="BC92" s="1389">
        <v>1.1000000000000001</v>
      </c>
      <c r="BD92" s="1389">
        <v>1</v>
      </c>
      <c r="BE92" s="1389">
        <v>1.02</v>
      </c>
      <c r="BF92" s="1389">
        <v>1</v>
      </c>
      <c r="BG92" s="1389">
        <v>1.2</v>
      </c>
    </row>
    <row r="93" spans="1:59" s="401" customFormat="1" ht="12.75" customHeight="1">
      <c r="A93" s="1410">
        <v>269641</v>
      </c>
      <c r="B93" s="1436"/>
      <c r="C93" s="1411"/>
      <c r="D93" s="1454">
        <v>5</v>
      </c>
      <c r="E93" s="1455" t="s">
        <v>98</v>
      </c>
      <c r="F93" s="1447" t="s">
        <v>240</v>
      </c>
      <c r="G93" s="1448" t="s">
        <v>93</v>
      </c>
      <c r="H93" s="1456" t="s">
        <v>98</v>
      </c>
      <c r="I93" s="1449" t="s">
        <v>98</v>
      </c>
      <c r="J93" s="1450">
        <v>0</v>
      </c>
      <c r="K93" s="1448" t="s">
        <v>115</v>
      </c>
      <c r="L93" s="1448">
        <v>0</v>
      </c>
      <c r="M93" s="1451">
        <v>1</v>
      </c>
      <c r="N93" s="1452">
        <v>2.0741629046031922</v>
      </c>
      <c r="O93" s="1453" t="s">
        <v>3196</v>
      </c>
      <c r="P93" s="1448">
        <v>1331467.2</v>
      </c>
      <c r="Q93" s="1451">
        <v>1</v>
      </c>
      <c r="R93" s="1452">
        <v>2.0646254680556719</v>
      </c>
      <c r="S93" s="1453" t="s">
        <v>3193</v>
      </c>
      <c r="T93" s="1401"/>
      <c r="U93" s="1402"/>
      <c r="V93" s="1402"/>
      <c r="W93" s="1396"/>
      <c r="X93" s="1387">
        <v>3</v>
      </c>
      <c r="Y93" s="1387">
        <v>4</v>
      </c>
      <c r="Z93" s="1387">
        <v>1</v>
      </c>
      <c r="AA93" s="1387">
        <v>3</v>
      </c>
      <c r="AB93" s="1387">
        <v>1</v>
      </c>
      <c r="AC93" s="1398">
        <v>5</v>
      </c>
      <c r="AD93" s="1394">
        <v>5</v>
      </c>
      <c r="AE93" s="1380">
        <v>2</v>
      </c>
      <c r="AF93" s="1391">
        <v>1.2555818742947564</v>
      </c>
      <c r="AG93" s="1391">
        <v>2.0741629046031922</v>
      </c>
      <c r="AH93" s="1392" t="s">
        <v>3222</v>
      </c>
      <c r="AI93" s="1389">
        <v>1.1000000000000001</v>
      </c>
      <c r="AJ93" s="1389">
        <v>1.1000000000000001</v>
      </c>
      <c r="AK93" s="1389">
        <v>1</v>
      </c>
      <c r="AL93" s="1389">
        <v>1.02</v>
      </c>
      <c r="AM93" s="1389">
        <v>1</v>
      </c>
      <c r="AN93" s="1389">
        <v>1.2</v>
      </c>
      <c r="AO93" s="1401"/>
      <c r="AP93" s="1396" t="s">
        <v>673</v>
      </c>
      <c r="AQ93" s="1387">
        <v>2</v>
      </c>
      <c r="AR93" s="1387">
        <v>4</v>
      </c>
      <c r="AS93" s="1387">
        <v>1</v>
      </c>
      <c r="AT93" s="1387">
        <v>3</v>
      </c>
      <c r="AU93" s="1387">
        <v>1</v>
      </c>
      <c r="AV93" s="1387">
        <v>5</v>
      </c>
      <c r="AW93" s="1394">
        <v>5</v>
      </c>
      <c r="AX93" s="1380">
        <v>2</v>
      </c>
      <c r="AY93" s="1391">
        <v>1.2365959919080913</v>
      </c>
      <c r="AZ93" s="1391">
        <v>2.0646254680556719</v>
      </c>
      <c r="BA93" s="1392" t="s">
        <v>3226</v>
      </c>
      <c r="BB93" s="1389">
        <v>1.05</v>
      </c>
      <c r="BC93" s="1389">
        <v>1.1000000000000001</v>
      </c>
      <c r="BD93" s="1389">
        <v>1</v>
      </c>
      <c r="BE93" s="1389">
        <v>1.02</v>
      </c>
      <c r="BF93" s="1389">
        <v>1</v>
      </c>
      <c r="BG93" s="1389">
        <v>1.2</v>
      </c>
    </row>
    <row r="94" spans="1:59" s="401" customFormat="1" ht="26.25" customHeight="1">
      <c r="A94" s="1410">
        <v>261895</v>
      </c>
      <c r="B94" s="1436"/>
      <c r="C94" s="1411"/>
      <c r="D94" s="1413">
        <v>5</v>
      </c>
      <c r="E94" s="1414" t="s">
        <v>98</v>
      </c>
      <c r="F94" s="1415" t="s">
        <v>694</v>
      </c>
      <c r="G94" s="1416" t="s">
        <v>245</v>
      </c>
      <c r="H94" s="1417" t="s">
        <v>98</v>
      </c>
      <c r="I94" s="1418" t="s">
        <v>98</v>
      </c>
      <c r="J94" s="1419">
        <v>0</v>
      </c>
      <c r="K94" s="1416" t="s">
        <v>115</v>
      </c>
      <c r="L94" s="1416">
        <v>0</v>
      </c>
      <c r="M94" s="1420">
        <v>1</v>
      </c>
      <c r="N94" s="1421">
        <v>2.0741629046031922</v>
      </c>
      <c r="O94" s="1422" t="s">
        <v>3196</v>
      </c>
      <c r="P94" s="1416">
        <v>1507968</v>
      </c>
      <c r="Q94" s="1420">
        <v>1</v>
      </c>
      <c r="R94" s="1421">
        <v>2.0646254680556719</v>
      </c>
      <c r="S94" s="1422" t="s">
        <v>3193</v>
      </c>
      <c r="T94" s="1401"/>
      <c r="U94" s="1402"/>
      <c r="V94" s="1402"/>
      <c r="W94" s="1396"/>
      <c r="X94" s="1387">
        <v>3</v>
      </c>
      <c r="Y94" s="1387">
        <v>4</v>
      </c>
      <c r="Z94" s="1387">
        <v>1</v>
      </c>
      <c r="AA94" s="1387">
        <v>3</v>
      </c>
      <c r="AB94" s="1387">
        <v>1</v>
      </c>
      <c r="AC94" s="1398">
        <v>5</v>
      </c>
      <c r="AD94" s="1394">
        <v>5</v>
      </c>
      <c r="AE94" s="1380">
        <v>2</v>
      </c>
      <c r="AF94" s="1391">
        <v>1.2555818742947564</v>
      </c>
      <c r="AG94" s="1391">
        <v>2.0741629046031922</v>
      </c>
      <c r="AH94" s="1392" t="s">
        <v>3222</v>
      </c>
      <c r="AI94" s="1389">
        <v>1.1000000000000001</v>
      </c>
      <c r="AJ94" s="1389">
        <v>1.1000000000000001</v>
      </c>
      <c r="AK94" s="1389">
        <v>1</v>
      </c>
      <c r="AL94" s="1389">
        <v>1.02</v>
      </c>
      <c r="AM94" s="1389">
        <v>1</v>
      </c>
      <c r="AN94" s="1389">
        <v>1.2</v>
      </c>
      <c r="AO94" s="1401"/>
      <c r="AP94" s="1396" t="s">
        <v>673</v>
      </c>
      <c r="AQ94" s="1387">
        <v>2</v>
      </c>
      <c r="AR94" s="1387">
        <v>4</v>
      </c>
      <c r="AS94" s="1387">
        <v>1</v>
      </c>
      <c r="AT94" s="1387">
        <v>3</v>
      </c>
      <c r="AU94" s="1387">
        <v>1</v>
      </c>
      <c r="AV94" s="1387">
        <v>5</v>
      </c>
      <c r="AW94" s="1394">
        <v>5</v>
      </c>
      <c r="AX94" s="1380">
        <v>2</v>
      </c>
      <c r="AY94" s="1391">
        <v>1.2365959919080913</v>
      </c>
      <c r="AZ94" s="1391">
        <v>2.0646254680556719</v>
      </c>
      <c r="BA94" s="1392" t="s">
        <v>3226</v>
      </c>
      <c r="BB94" s="1389">
        <v>1.05</v>
      </c>
      <c r="BC94" s="1389">
        <v>1.1000000000000001</v>
      </c>
      <c r="BD94" s="1389">
        <v>1</v>
      </c>
      <c r="BE94" s="1389">
        <v>1.02</v>
      </c>
      <c r="BF94" s="1389">
        <v>1</v>
      </c>
      <c r="BG94" s="1389">
        <v>1.2</v>
      </c>
    </row>
    <row r="95" spans="1:59" s="401" customFormat="1" ht="12.75" customHeight="1">
      <c r="A95" s="1410">
        <v>266163</v>
      </c>
      <c r="B95" s="1436"/>
      <c r="C95" s="1411"/>
      <c r="D95" s="1454">
        <v>5</v>
      </c>
      <c r="E95" s="1455" t="s">
        <v>98</v>
      </c>
      <c r="F95" s="1447" t="s">
        <v>738</v>
      </c>
      <c r="G95" s="1448" t="s">
        <v>93</v>
      </c>
      <c r="H95" s="1456" t="s">
        <v>98</v>
      </c>
      <c r="I95" s="1449" t="s">
        <v>98</v>
      </c>
      <c r="J95" s="1450">
        <v>0</v>
      </c>
      <c r="K95" s="1448" t="s">
        <v>739</v>
      </c>
      <c r="L95" s="1448">
        <v>0</v>
      </c>
      <c r="M95" s="1451">
        <v>1</v>
      </c>
      <c r="N95" s="1452">
        <v>1.2620910621938648</v>
      </c>
      <c r="O95" s="1453" t="s">
        <v>3196</v>
      </c>
      <c r="P95" s="1448">
        <v>274176</v>
      </c>
      <c r="Q95" s="1451">
        <v>1</v>
      </c>
      <c r="R95" s="1452">
        <v>1.2434566510799234</v>
      </c>
      <c r="S95" s="1453" t="s">
        <v>3193</v>
      </c>
      <c r="T95" s="1401"/>
      <c r="U95" s="1402"/>
      <c r="V95" s="1402"/>
      <c r="W95" s="1396"/>
      <c r="X95" s="1387">
        <v>3</v>
      </c>
      <c r="Y95" s="1387">
        <v>4</v>
      </c>
      <c r="Z95" s="1387">
        <v>1</v>
      </c>
      <c r="AA95" s="1387">
        <v>3</v>
      </c>
      <c r="AB95" s="1387">
        <v>1</v>
      </c>
      <c r="AC95" s="1398">
        <v>5</v>
      </c>
      <c r="AD95" s="1394">
        <v>3</v>
      </c>
      <c r="AE95" s="1380">
        <v>1.05</v>
      </c>
      <c r="AF95" s="1391">
        <v>1.2555818742947564</v>
      </c>
      <c r="AG95" s="1391">
        <v>1.2620910621938648</v>
      </c>
      <c r="AH95" s="1392" t="s">
        <v>3222</v>
      </c>
      <c r="AI95" s="1389">
        <v>1.1000000000000001</v>
      </c>
      <c r="AJ95" s="1389">
        <v>1.1000000000000001</v>
      </c>
      <c r="AK95" s="1389">
        <v>1</v>
      </c>
      <c r="AL95" s="1389">
        <v>1.02</v>
      </c>
      <c r="AM95" s="1389">
        <v>1</v>
      </c>
      <c r="AN95" s="1389">
        <v>1.2</v>
      </c>
      <c r="AO95" s="1401"/>
      <c r="AP95" s="1396" t="s">
        <v>673</v>
      </c>
      <c r="AQ95" s="1387">
        <v>2</v>
      </c>
      <c r="AR95" s="1387">
        <v>4</v>
      </c>
      <c r="AS95" s="1387">
        <v>1</v>
      </c>
      <c r="AT95" s="1387">
        <v>3</v>
      </c>
      <c r="AU95" s="1387">
        <v>1</v>
      </c>
      <c r="AV95" s="1387">
        <v>5</v>
      </c>
      <c r="AW95" s="1394">
        <v>3</v>
      </c>
      <c r="AX95" s="1380">
        <v>1.05</v>
      </c>
      <c r="AY95" s="1391">
        <v>1.2365959919080913</v>
      </c>
      <c r="AZ95" s="1391">
        <v>1.2434566510799234</v>
      </c>
      <c r="BA95" s="1392" t="s">
        <v>3226</v>
      </c>
      <c r="BB95" s="1389">
        <v>1.05</v>
      </c>
      <c r="BC95" s="1389">
        <v>1.1000000000000001</v>
      </c>
      <c r="BD95" s="1389">
        <v>1</v>
      </c>
      <c r="BE95" s="1389">
        <v>1.02</v>
      </c>
      <c r="BF95" s="1389">
        <v>1</v>
      </c>
      <c r="BG95" s="1389">
        <v>1.2</v>
      </c>
    </row>
    <row r="96" spans="1:59" s="401" customFormat="1" ht="12.75" customHeight="1">
      <c r="A96" s="1410">
        <v>79235</v>
      </c>
      <c r="B96" s="1412" t="s">
        <v>740</v>
      </c>
      <c r="C96" s="1411"/>
      <c r="D96" s="1413">
        <v>5</v>
      </c>
      <c r="E96" s="1414" t="s">
        <v>98</v>
      </c>
      <c r="F96" s="1415" t="s">
        <v>688</v>
      </c>
      <c r="G96" s="1416" t="s">
        <v>340</v>
      </c>
      <c r="H96" s="1417" t="s">
        <v>98</v>
      </c>
      <c r="I96" s="1418" t="s">
        <v>98</v>
      </c>
      <c r="J96" s="1419">
        <v>0</v>
      </c>
      <c r="K96" s="1416" t="s">
        <v>109</v>
      </c>
      <c r="L96" s="1416">
        <v>0</v>
      </c>
      <c r="M96" s="1420">
        <v>1</v>
      </c>
      <c r="N96" s="1421">
        <v>1.2620910621938648</v>
      </c>
      <c r="O96" s="1422" t="s">
        <v>3196</v>
      </c>
      <c r="P96" s="1416">
        <v>104687.5</v>
      </c>
      <c r="Q96" s="1420">
        <v>1</v>
      </c>
      <c r="R96" s="1421">
        <v>1.2434566510799234</v>
      </c>
      <c r="S96" s="1422" t="s">
        <v>3193</v>
      </c>
      <c r="T96" s="1401"/>
      <c r="U96" s="1402"/>
      <c r="V96" s="1402"/>
      <c r="W96" s="1396"/>
      <c r="X96" s="1387">
        <v>3</v>
      </c>
      <c r="Y96" s="1387">
        <v>4</v>
      </c>
      <c r="Z96" s="1387">
        <v>1</v>
      </c>
      <c r="AA96" s="1387">
        <v>3</v>
      </c>
      <c r="AB96" s="1387">
        <v>1</v>
      </c>
      <c r="AC96" s="1398">
        <v>5</v>
      </c>
      <c r="AD96" s="1394">
        <v>3</v>
      </c>
      <c r="AE96" s="1380">
        <v>1.05</v>
      </c>
      <c r="AF96" s="1391">
        <v>1.2555818742947564</v>
      </c>
      <c r="AG96" s="1391">
        <v>1.2620910621938648</v>
      </c>
      <c r="AH96" s="1392" t="s">
        <v>3222</v>
      </c>
      <c r="AI96" s="1389">
        <v>1.1000000000000001</v>
      </c>
      <c r="AJ96" s="1389">
        <v>1.1000000000000001</v>
      </c>
      <c r="AK96" s="1389">
        <v>1</v>
      </c>
      <c r="AL96" s="1389">
        <v>1.02</v>
      </c>
      <c r="AM96" s="1389">
        <v>1</v>
      </c>
      <c r="AN96" s="1389">
        <v>1.2</v>
      </c>
      <c r="AO96" s="1401"/>
      <c r="AP96" s="1396" t="s">
        <v>673</v>
      </c>
      <c r="AQ96" s="1387">
        <v>2</v>
      </c>
      <c r="AR96" s="1387">
        <v>4</v>
      </c>
      <c r="AS96" s="1387">
        <v>1</v>
      </c>
      <c r="AT96" s="1387">
        <v>3</v>
      </c>
      <c r="AU96" s="1387">
        <v>1</v>
      </c>
      <c r="AV96" s="1387">
        <v>5</v>
      </c>
      <c r="AW96" s="1394">
        <v>3</v>
      </c>
      <c r="AX96" s="1380">
        <v>1.05</v>
      </c>
      <c r="AY96" s="1391">
        <v>1.2365959919080913</v>
      </c>
      <c r="AZ96" s="1391">
        <v>1.2434566510799234</v>
      </c>
      <c r="BA96" s="1392" t="s">
        <v>3226</v>
      </c>
      <c r="BB96" s="1389">
        <v>1.05</v>
      </c>
      <c r="BC96" s="1389">
        <v>1.1000000000000001</v>
      </c>
      <c r="BD96" s="1389">
        <v>1</v>
      </c>
      <c r="BE96" s="1389">
        <v>1.02</v>
      </c>
      <c r="BF96" s="1389">
        <v>1</v>
      </c>
      <c r="BG96" s="1389">
        <v>1.2</v>
      </c>
    </row>
    <row r="97" spans="1:59" s="401" customFormat="1" ht="23.25" customHeight="1">
      <c r="A97" s="1410">
        <v>267287</v>
      </c>
      <c r="B97" s="1436"/>
      <c r="C97" s="1411"/>
      <c r="D97" s="1454">
        <v>5</v>
      </c>
      <c r="E97" s="1455" t="s">
        <v>98</v>
      </c>
      <c r="F97" s="1447" t="s">
        <v>690</v>
      </c>
      <c r="G97" s="1448" t="s">
        <v>154</v>
      </c>
      <c r="H97" s="1456" t="s">
        <v>98</v>
      </c>
      <c r="I97" s="1449" t="s">
        <v>98</v>
      </c>
      <c r="J97" s="1450">
        <v>0</v>
      </c>
      <c r="K97" s="1448" t="s">
        <v>104</v>
      </c>
      <c r="L97" s="1448">
        <v>0</v>
      </c>
      <c r="M97" s="1451">
        <v>1</v>
      </c>
      <c r="N97" s="1452">
        <v>1.2620910621938648</v>
      </c>
      <c r="O97" s="1453" t="s">
        <v>3196</v>
      </c>
      <c r="P97" s="1448">
        <v>176939.05153629373</v>
      </c>
      <c r="Q97" s="1451">
        <v>1</v>
      </c>
      <c r="R97" s="1452">
        <v>1.2434566510799234</v>
      </c>
      <c r="S97" s="1453" t="s">
        <v>3200</v>
      </c>
      <c r="T97" s="1401"/>
      <c r="U97" s="1402"/>
      <c r="V97" s="1402"/>
      <c r="W97" s="1396"/>
      <c r="X97" s="1387">
        <v>3</v>
      </c>
      <c r="Y97" s="1387">
        <v>4</v>
      </c>
      <c r="Z97" s="1387">
        <v>1</v>
      </c>
      <c r="AA97" s="1387">
        <v>3</v>
      </c>
      <c r="AB97" s="1387">
        <v>1</v>
      </c>
      <c r="AC97" s="1398">
        <v>5</v>
      </c>
      <c r="AD97" s="1394">
        <v>1</v>
      </c>
      <c r="AE97" s="1380">
        <v>1.05</v>
      </c>
      <c r="AF97" s="1391">
        <v>1.2555818742947564</v>
      </c>
      <c r="AG97" s="1391">
        <v>1.2620910621938648</v>
      </c>
      <c r="AH97" s="1392" t="s">
        <v>3222</v>
      </c>
      <c r="AI97" s="1389">
        <v>1.1000000000000001</v>
      </c>
      <c r="AJ97" s="1389">
        <v>1.1000000000000001</v>
      </c>
      <c r="AK97" s="1389">
        <v>1</v>
      </c>
      <c r="AL97" s="1389">
        <v>1.02</v>
      </c>
      <c r="AM97" s="1389">
        <v>1</v>
      </c>
      <c r="AN97" s="1389">
        <v>1.2</v>
      </c>
      <c r="AO97" s="1401"/>
      <c r="AP97" s="1396" t="s">
        <v>691</v>
      </c>
      <c r="AQ97" s="1387">
        <v>2</v>
      </c>
      <c r="AR97" s="1387">
        <v>4</v>
      </c>
      <c r="AS97" s="1387">
        <v>1</v>
      </c>
      <c r="AT97" s="1387">
        <v>3</v>
      </c>
      <c r="AU97" s="1387">
        <v>1</v>
      </c>
      <c r="AV97" s="1387">
        <v>5</v>
      </c>
      <c r="AW97" s="1394">
        <v>1</v>
      </c>
      <c r="AX97" s="1380">
        <v>1.05</v>
      </c>
      <c r="AY97" s="1391">
        <v>1.2365959919080913</v>
      </c>
      <c r="AZ97" s="1391">
        <v>1.2434566510799234</v>
      </c>
      <c r="BA97" s="1392" t="s">
        <v>3226</v>
      </c>
      <c r="BB97" s="1389">
        <v>1.05</v>
      </c>
      <c r="BC97" s="1389">
        <v>1.1000000000000001</v>
      </c>
      <c r="BD97" s="1389">
        <v>1</v>
      </c>
      <c r="BE97" s="1389">
        <v>1.02</v>
      </c>
      <c r="BF97" s="1389">
        <v>1</v>
      </c>
      <c r="BG97" s="1389">
        <v>1.2</v>
      </c>
    </row>
    <row r="98" spans="1:59" s="401" customFormat="1" ht="23.25" customHeight="1">
      <c r="A98" s="1410">
        <v>267287</v>
      </c>
      <c r="B98" s="1436"/>
      <c r="C98" s="1411"/>
      <c r="D98" s="1413">
        <v>5</v>
      </c>
      <c r="E98" s="1414" t="s">
        <v>98</v>
      </c>
      <c r="F98" s="1415" t="s">
        <v>690</v>
      </c>
      <c r="G98" s="1416" t="s">
        <v>154</v>
      </c>
      <c r="H98" s="1417" t="s">
        <v>98</v>
      </c>
      <c r="I98" s="1418" t="s">
        <v>98</v>
      </c>
      <c r="J98" s="1419">
        <v>0</v>
      </c>
      <c r="K98" s="1416" t="s">
        <v>104</v>
      </c>
      <c r="L98" s="1416">
        <v>0</v>
      </c>
      <c r="M98" s="1420">
        <v>1</v>
      </c>
      <c r="N98" s="1421">
        <v>1.2620910621938648</v>
      </c>
      <c r="O98" s="1422" t="s">
        <v>3196</v>
      </c>
      <c r="P98" s="1416">
        <v>15998027.386579424</v>
      </c>
      <c r="Q98" s="1420">
        <v>1</v>
      </c>
      <c r="R98" s="1421">
        <v>1.2434566510799234</v>
      </c>
      <c r="S98" s="1422" t="s">
        <v>3202</v>
      </c>
      <c r="T98" s="1401"/>
      <c r="U98" s="1402"/>
      <c r="V98" s="1402"/>
      <c r="W98" s="1396"/>
      <c r="X98" s="1387">
        <v>3</v>
      </c>
      <c r="Y98" s="1387">
        <v>4</v>
      </c>
      <c r="Z98" s="1387">
        <v>1</v>
      </c>
      <c r="AA98" s="1387">
        <v>3</v>
      </c>
      <c r="AB98" s="1387">
        <v>1</v>
      </c>
      <c r="AC98" s="1398">
        <v>5</v>
      </c>
      <c r="AD98" s="1394">
        <v>1</v>
      </c>
      <c r="AE98" s="1380">
        <v>1.05</v>
      </c>
      <c r="AF98" s="1391">
        <v>1.2555818742947564</v>
      </c>
      <c r="AG98" s="1391">
        <v>1.2620910621938648</v>
      </c>
      <c r="AH98" s="1392" t="s">
        <v>3222</v>
      </c>
      <c r="AI98" s="1389">
        <v>1.1000000000000001</v>
      </c>
      <c r="AJ98" s="1389">
        <v>1.1000000000000001</v>
      </c>
      <c r="AK98" s="1389">
        <v>1</v>
      </c>
      <c r="AL98" s="1389">
        <v>1.02</v>
      </c>
      <c r="AM98" s="1389">
        <v>1</v>
      </c>
      <c r="AN98" s="1389">
        <v>1.2</v>
      </c>
      <c r="AO98" s="1401"/>
      <c r="AP98" s="1396" t="s">
        <v>693</v>
      </c>
      <c r="AQ98" s="1387">
        <v>2</v>
      </c>
      <c r="AR98" s="1387">
        <v>4</v>
      </c>
      <c r="AS98" s="1387">
        <v>1</v>
      </c>
      <c r="AT98" s="1387">
        <v>3</v>
      </c>
      <c r="AU98" s="1387">
        <v>1</v>
      </c>
      <c r="AV98" s="1387">
        <v>5</v>
      </c>
      <c r="AW98" s="1394">
        <v>1</v>
      </c>
      <c r="AX98" s="1380">
        <v>1.05</v>
      </c>
      <c r="AY98" s="1391">
        <v>1.2365959919080913</v>
      </c>
      <c r="AZ98" s="1391">
        <v>1.2434566510799234</v>
      </c>
      <c r="BA98" s="1392" t="s">
        <v>3226</v>
      </c>
      <c r="BB98" s="1389">
        <v>1.05</v>
      </c>
      <c r="BC98" s="1389">
        <v>1.1000000000000001</v>
      </c>
      <c r="BD98" s="1389">
        <v>1</v>
      </c>
      <c r="BE98" s="1389">
        <v>1.02</v>
      </c>
      <c r="BF98" s="1389">
        <v>1</v>
      </c>
      <c r="BG98" s="1389">
        <v>1.2</v>
      </c>
    </row>
    <row r="99" spans="1:59" s="401" customFormat="1" ht="12.75" customHeight="1">
      <c r="A99" s="1410">
        <v>160371</v>
      </c>
      <c r="B99" s="1436"/>
      <c r="C99" s="1411"/>
      <c r="D99" s="1454">
        <v>5</v>
      </c>
      <c r="E99" s="1455" t="s">
        <v>98</v>
      </c>
      <c r="F99" s="1447" t="s">
        <v>242</v>
      </c>
      <c r="G99" s="1448" t="s">
        <v>93</v>
      </c>
      <c r="H99" s="1456" t="s">
        <v>98</v>
      </c>
      <c r="I99" s="1449" t="s">
        <v>98</v>
      </c>
      <c r="J99" s="1450">
        <v>0</v>
      </c>
      <c r="K99" s="1448" t="s">
        <v>115</v>
      </c>
      <c r="L99" s="1448">
        <v>0</v>
      </c>
      <c r="M99" s="1451">
        <v>1</v>
      </c>
      <c r="N99" s="1452">
        <v>2.0741629046031922</v>
      </c>
      <c r="O99" s="1453" t="s">
        <v>3196</v>
      </c>
      <c r="P99" s="1448">
        <v>1884960</v>
      </c>
      <c r="Q99" s="1451">
        <v>1</v>
      </c>
      <c r="R99" s="1452">
        <v>2.0646254680556719</v>
      </c>
      <c r="S99" s="1453" t="s">
        <v>3193</v>
      </c>
      <c r="T99" s="1401"/>
      <c r="U99" s="1402"/>
      <c r="V99" s="1402"/>
      <c r="W99" s="1396"/>
      <c r="X99" s="1387">
        <v>3</v>
      </c>
      <c r="Y99" s="1387">
        <v>4</v>
      </c>
      <c r="Z99" s="1387">
        <v>1</v>
      </c>
      <c r="AA99" s="1387">
        <v>3</v>
      </c>
      <c r="AB99" s="1387">
        <v>1</v>
      </c>
      <c r="AC99" s="1398">
        <v>5</v>
      </c>
      <c r="AD99" s="1394">
        <v>5</v>
      </c>
      <c r="AE99" s="1380">
        <v>2</v>
      </c>
      <c r="AF99" s="1391">
        <v>1.2555818742947564</v>
      </c>
      <c r="AG99" s="1391">
        <v>2.0741629046031922</v>
      </c>
      <c r="AH99" s="1392" t="s">
        <v>3222</v>
      </c>
      <c r="AI99" s="1389">
        <v>1.1000000000000001</v>
      </c>
      <c r="AJ99" s="1389">
        <v>1.1000000000000001</v>
      </c>
      <c r="AK99" s="1389">
        <v>1</v>
      </c>
      <c r="AL99" s="1389">
        <v>1.02</v>
      </c>
      <c r="AM99" s="1389">
        <v>1</v>
      </c>
      <c r="AN99" s="1389">
        <v>1.2</v>
      </c>
      <c r="AO99" s="1401"/>
      <c r="AP99" s="1396" t="s">
        <v>673</v>
      </c>
      <c r="AQ99" s="1387">
        <v>2</v>
      </c>
      <c r="AR99" s="1387">
        <v>4</v>
      </c>
      <c r="AS99" s="1387">
        <v>1</v>
      </c>
      <c r="AT99" s="1387">
        <v>3</v>
      </c>
      <c r="AU99" s="1387">
        <v>1</v>
      </c>
      <c r="AV99" s="1387">
        <v>5</v>
      </c>
      <c r="AW99" s="1394">
        <v>5</v>
      </c>
      <c r="AX99" s="1380">
        <v>2</v>
      </c>
      <c r="AY99" s="1391">
        <v>1.2365959919080913</v>
      </c>
      <c r="AZ99" s="1391">
        <v>2.0646254680556719</v>
      </c>
      <c r="BA99" s="1392" t="s">
        <v>3226</v>
      </c>
      <c r="BB99" s="1389">
        <v>1.05</v>
      </c>
      <c r="BC99" s="1389">
        <v>1.1000000000000001</v>
      </c>
      <c r="BD99" s="1389">
        <v>1</v>
      </c>
      <c r="BE99" s="1389">
        <v>1.02</v>
      </c>
      <c r="BF99" s="1389">
        <v>1</v>
      </c>
      <c r="BG99" s="1389">
        <v>1.2</v>
      </c>
    </row>
    <row r="100" spans="1:59" s="401" customFormat="1" ht="12.75" customHeight="1">
      <c r="A100" s="1410">
        <v>269641</v>
      </c>
      <c r="B100" s="1436"/>
      <c r="C100" s="1411"/>
      <c r="D100" s="1413">
        <v>5</v>
      </c>
      <c r="E100" s="1414" t="s">
        <v>98</v>
      </c>
      <c r="F100" s="1415" t="s">
        <v>240</v>
      </c>
      <c r="G100" s="1416" t="s">
        <v>93</v>
      </c>
      <c r="H100" s="1417" t="s">
        <v>98</v>
      </c>
      <c r="I100" s="1418" t="s">
        <v>98</v>
      </c>
      <c r="J100" s="1419">
        <v>0</v>
      </c>
      <c r="K100" s="1416" t="s">
        <v>115</v>
      </c>
      <c r="L100" s="1416">
        <v>0</v>
      </c>
      <c r="M100" s="1420">
        <v>1</v>
      </c>
      <c r="N100" s="1421">
        <v>2.0741629046031922</v>
      </c>
      <c r="O100" s="1422" t="s">
        <v>3196</v>
      </c>
      <c r="P100" s="1416">
        <v>3487176</v>
      </c>
      <c r="Q100" s="1420">
        <v>1</v>
      </c>
      <c r="R100" s="1421">
        <v>2.0646254680556719</v>
      </c>
      <c r="S100" s="1422" t="s">
        <v>3193</v>
      </c>
      <c r="T100" s="1401"/>
      <c r="U100" s="1402"/>
      <c r="V100" s="1402"/>
      <c r="W100" s="1396"/>
      <c r="X100" s="1387">
        <v>3</v>
      </c>
      <c r="Y100" s="1387">
        <v>4</v>
      </c>
      <c r="Z100" s="1387">
        <v>1</v>
      </c>
      <c r="AA100" s="1387">
        <v>3</v>
      </c>
      <c r="AB100" s="1387">
        <v>1</v>
      </c>
      <c r="AC100" s="1398">
        <v>5</v>
      </c>
      <c r="AD100" s="1394">
        <v>5</v>
      </c>
      <c r="AE100" s="1380">
        <v>2</v>
      </c>
      <c r="AF100" s="1391">
        <v>1.2555818742947564</v>
      </c>
      <c r="AG100" s="1391">
        <v>2.0741629046031922</v>
      </c>
      <c r="AH100" s="1392" t="s">
        <v>3222</v>
      </c>
      <c r="AI100" s="1389">
        <v>1.1000000000000001</v>
      </c>
      <c r="AJ100" s="1389">
        <v>1.1000000000000001</v>
      </c>
      <c r="AK100" s="1389">
        <v>1</v>
      </c>
      <c r="AL100" s="1389">
        <v>1.02</v>
      </c>
      <c r="AM100" s="1389">
        <v>1</v>
      </c>
      <c r="AN100" s="1389">
        <v>1.2</v>
      </c>
      <c r="AO100" s="1401"/>
      <c r="AP100" s="1396" t="s">
        <v>673</v>
      </c>
      <c r="AQ100" s="1387">
        <v>2</v>
      </c>
      <c r="AR100" s="1387">
        <v>4</v>
      </c>
      <c r="AS100" s="1387">
        <v>1</v>
      </c>
      <c r="AT100" s="1387">
        <v>3</v>
      </c>
      <c r="AU100" s="1387">
        <v>1</v>
      </c>
      <c r="AV100" s="1387">
        <v>5</v>
      </c>
      <c r="AW100" s="1394">
        <v>5</v>
      </c>
      <c r="AX100" s="1380">
        <v>2</v>
      </c>
      <c r="AY100" s="1391">
        <v>1.2365959919080913</v>
      </c>
      <c r="AZ100" s="1391">
        <v>2.0646254680556719</v>
      </c>
      <c r="BA100" s="1392" t="s">
        <v>3226</v>
      </c>
      <c r="BB100" s="1389">
        <v>1.05</v>
      </c>
      <c r="BC100" s="1389">
        <v>1.1000000000000001</v>
      </c>
      <c r="BD100" s="1389">
        <v>1</v>
      </c>
      <c r="BE100" s="1389">
        <v>1.02</v>
      </c>
      <c r="BF100" s="1389">
        <v>1</v>
      </c>
      <c r="BG100" s="1389">
        <v>1.2</v>
      </c>
    </row>
    <row r="101" spans="1:59" s="401" customFormat="1" ht="24" customHeight="1">
      <c r="A101" s="1410">
        <v>269641</v>
      </c>
      <c r="B101" s="1412" t="s">
        <v>741</v>
      </c>
      <c r="C101" s="1411"/>
      <c r="D101" s="1454">
        <v>5</v>
      </c>
      <c r="E101" s="1455" t="s">
        <v>98</v>
      </c>
      <c r="F101" s="1447" t="s">
        <v>240</v>
      </c>
      <c r="G101" s="1448" t="s">
        <v>93</v>
      </c>
      <c r="H101" s="1456" t="s">
        <v>98</v>
      </c>
      <c r="I101" s="1449" t="s">
        <v>98</v>
      </c>
      <c r="J101" s="1450">
        <v>0</v>
      </c>
      <c r="K101" s="1448" t="s">
        <v>115</v>
      </c>
      <c r="L101" s="1448">
        <v>0</v>
      </c>
      <c r="M101" s="1451">
        <v>1</v>
      </c>
      <c r="N101" s="1452">
        <v>2.0741629046031922</v>
      </c>
      <c r="O101" s="1453" t="s">
        <v>3196</v>
      </c>
      <c r="P101" s="1448">
        <v>27744781.300000001</v>
      </c>
      <c r="Q101" s="1451">
        <v>1</v>
      </c>
      <c r="R101" s="1452">
        <v>2.0646254680556719</v>
      </c>
      <c r="S101" s="1453" t="s">
        <v>3193</v>
      </c>
      <c r="T101" s="1401"/>
      <c r="U101" s="1402"/>
      <c r="V101" s="1402"/>
      <c r="W101" s="1396"/>
      <c r="X101" s="1387">
        <v>3</v>
      </c>
      <c r="Y101" s="1387">
        <v>4</v>
      </c>
      <c r="Z101" s="1387">
        <v>1</v>
      </c>
      <c r="AA101" s="1387">
        <v>3</v>
      </c>
      <c r="AB101" s="1387">
        <v>1</v>
      </c>
      <c r="AC101" s="1398">
        <v>5</v>
      </c>
      <c r="AD101" s="1394">
        <v>5</v>
      </c>
      <c r="AE101" s="1380">
        <v>2</v>
      </c>
      <c r="AF101" s="1391">
        <v>1.2555818742947564</v>
      </c>
      <c r="AG101" s="1391">
        <v>2.0741629046031922</v>
      </c>
      <c r="AH101" s="1392" t="s">
        <v>3222</v>
      </c>
      <c r="AI101" s="1389">
        <v>1.1000000000000001</v>
      </c>
      <c r="AJ101" s="1389">
        <v>1.1000000000000001</v>
      </c>
      <c r="AK101" s="1389">
        <v>1</v>
      </c>
      <c r="AL101" s="1389">
        <v>1.02</v>
      </c>
      <c r="AM101" s="1389">
        <v>1</v>
      </c>
      <c r="AN101" s="1389">
        <v>1.2</v>
      </c>
      <c r="AO101" s="1401"/>
      <c r="AP101" s="1396" t="s">
        <v>673</v>
      </c>
      <c r="AQ101" s="1387">
        <v>2</v>
      </c>
      <c r="AR101" s="1387">
        <v>4</v>
      </c>
      <c r="AS101" s="1387">
        <v>1</v>
      </c>
      <c r="AT101" s="1387">
        <v>3</v>
      </c>
      <c r="AU101" s="1387">
        <v>1</v>
      </c>
      <c r="AV101" s="1387">
        <v>5</v>
      </c>
      <c r="AW101" s="1394">
        <v>5</v>
      </c>
      <c r="AX101" s="1380">
        <v>2</v>
      </c>
      <c r="AY101" s="1391">
        <v>1.2365959919080913</v>
      </c>
      <c r="AZ101" s="1391">
        <v>2.0646254680556719</v>
      </c>
      <c r="BA101" s="1392" t="s">
        <v>3226</v>
      </c>
      <c r="BB101" s="1389">
        <v>1.05</v>
      </c>
      <c r="BC101" s="1389">
        <v>1.1000000000000001</v>
      </c>
      <c r="BD101" s="1389">
        <v>1</v>
      </c>
      <c r="BE101" s="1389">
        <v>1.02</v>
      </c>
      <c r="BF101" s="1389">
        <v>1</v>
      </c>
      <c r="BG101" s="1389">
        <v>1.2</v>
      </c>
    </row>
    <row r="102" spans="1:59" s="401" customFormat="1" ht="12.75" customHeight="1">
      <c r="A102" s="1410">
        <v>79235</v>
      </c>
      <c r="B102" s="1412" t="s">
        <v>742</v>
      </c>
      <c r="C102" s="1411"/>
      <c r="D102" s="1413">
        <v>5</v>
      </c>
      <c r="E102" s="1414" t="s">
        <v>98</v>
      </c>
      <c r="F102" s="1415" t="s">
        <v>688</v>
      </c>
      <c r="G102" s="1416" t="s">
        <v>340</v>
      </c>
      <c r="H102" s="1417" t="s">
        <v>98</v>
      </c>
      <c r="I102" s="1418" t="s">
        <v>98</v>
      </c>
      <c r="J102" s="1419">
        <v>0</v>
      </c>
      <c r="K102" s="1416" t="s">
        <v>109</v>
      </c>
      <c r="L102" s="1416">
        <v>0</v>
      </c>
      <c r="M102" s="1420">
        <v>1</v>
      </c>
      <c r="N102" s="1421">
        <v>1.2620910621938648</v>
      </c>
      <c r="O102" s="1422" t="s">
        <v>3196</v>
      </c>
      <c r="P102" s="1416">
        <v>242.5</v>
      </c>
      <c r="Q102" s="1420">
        <v>1</v>
      </c>
      <c r="R102" s="1421">
        <v>1.2434566510799234</v>
      </c>
      <c r="S102" s="1422" t="s">
        <v>3193</v>
      </c>
      <c r="T102" s="1401"/>
      <c r="U102" s="1402"/>
      <c r="V102" s="1402"/>
      <c r="W102" s="1396"/>
      <c r="X102" s="1387">
        <v>3</v>
      </c>
      <c r="Y102" s="1387">
        <v>4</v>
      </c>
      <c r="Z102" s="1387">
        <v>1</v>
      </c>
      <c r="AA102" s="1387">
        <v>3</v>
      </c>
      <c r="AB102" s="1387">
        <v>1</v>
      </c>
      <c r="AC102" s="1398">
        <v>5</v>
      </c>
      <c r="AD102" s="1394">
        <v>3</v>
      </c>
      <c r="AE102" s="1380">
        <v>1.05</v>
      </c>
      <c r="AF102" s="1391">
        <v>1.2555818742947564</v>
      </c>
      <c r="AG102" s="1391">
        <v>1.2620910621938648</v>
      </c>
      <c r="AH102" s="1392" t="s">
        <v>3222</v>
      </c>
      <c r="AI102" s="1389">
        <v>1.1000000000000001</v>
      </c>
      <c r="AJ102" s="1389">
        <v>1.1000000000000001</v>
      </c>
      <c r="AK102" s="1389">
        <v>1</v>
      </c>
      <c r="AL102" s="1389">
        <v>1.02</v>
      </c>
      <c r="AM102" s="1389">
        <v>1</v>
      </c>
      <c r="AN102" s="1389">
        <v>1.2</v>
      </c>
      <c r="AO102" s="1401"/>
      <c r="AP102" s="1396" t="s">
        <v>673</v>
      </c>
      <c r="AQ102" s="1387">
        <v>2</v>
      </c>
      <c r="AR102" s="1387">
        <v>4</v>
      </c>
      <c r="AS102" s="1387">
        <v>1</v>
      </c>
      <c r="AT102" s="1387">
        <v>3</v>
      </c>
      <c r="AU102" s="1387">
        <v>1</v>
      </c>
      <c r="AV102" s="1387">
        <v>5</v>
      </c>
      <c r="AW102" s="1394">
        <v>3</v>
      </c>
      <c r="AX102" s="1380">
        <v>1.05</v>
      </c>
      <c r="AY102" s="1391">
        <v>1.2365959919080913</v>
      </c>
      <c r="AZ102" s="1391">
        <v>1.2434566510799234</v>
      </c>
      <c r="BA102" s="1392" t="s">
        <v>3226</v>
      </c>
      <c r="BB102" s="1389">
        <v>1.05</v>
      </c>
      <c r="BC102" s="1389">
        <v>1.1000000000000001</v>
      </c>
      <c r="BD102" s="1389">
        <v>1</v>
      </c>
      <c r="BE102" s="1389">
        <v>1.02</v>
      </c>
      <c r="BF102" s="1389">
        <v>1</v>
      </c>
      <c r="BG102" s="1389">
        <v>1.2</v>
      </c>
    </row>
    <row r="103" spans="1:59" s="401" customFormat="1" ht="24" customHeight="1">
      <c r="A103" s="1410">
        <v>256348</v>
      </c>
      <c r="B103" s="1436"/>
      <c r="C103" s="1411"/>
      <c r="D103" s="1454">
        <v>5</v>
      </c>
      <c r="E103" s="1455" t="s">
        <v>98</v>
      </c>
      <c r="F103" s="1447" t="s">
        <v>743</v>
      </c>
      <c r="G103" s="1448" t="s">
        <v>103</v>
      </c>
      <c r="H103" s="1456" t="s">
        <v>98</v>
      </c>
      <c r="I103" s="1449" t="s">
        <v>98</v>
      </c>
      <c r="J103" s="1450">
        <v>0</v>
      </c>
      <c r="K103" s="1448" t="s">
        <v>96</v>
      </c>
      <c r="L103" s="1448">
        <v>0</v>
      </c>
      <c r="M103" s="1451">
        <v>1</v>
      </c>
      <c r="N103" s="1452">
        <v>1.2620910621938648</v>
      </c>
      <c r="O103" s="1453" t="s">
        <v>3196</v>
      </c>
      <c r="P103" s="1448">
        <v>17460</v>
      </c>
      <c r="Q103" s="1451">
        <v>1</v>
      </c>
      <c r="R103" s="1452">
        <v>1.2434566510799234</v>
      </c>
      <c r="S103" s="1453" t="s">
        <v>3208</v>
      </c>
      <c r="T103" s="1401"/>
      <c r="U103" s="1402"/>
      <c r="V103" s="1402"/>
      <c r="W103" s="1396"/>
      <c r="X103" s="1387">
        <v>3</v>
      </c>
      <c r="Y103" s="1387">
        <v>4</v>
      </c>
      <c r="Z103" s="1387">
        <v>1</v>
      </c>
      <c r="AA103" s="1387">
        <v>3</v>
      </c>
      <c r="AB103" s="1387">
        <v>1</v>
      </c>
      <c r="AC103" s="1398">
        <v>5</v>
      </c>
      <c r="AD103" s="1394">
        <v>3</v>
      </c>
      <c r="AE103" s="1380">
        <v>1.05</v>
      </c>
      <c r="AF103" s="1391">
        <v>1.2555818742947564</v>
      </c>
      <c r="AG103" s="1391">
        <v>1.2620910621938648</v>
      </c>
      <c r="AH103" s="1392" t="s">
        <v>3222</v>
      </c>
      <c r="AI103" s="1389">
        <v>1.1000000000000001</v>
      </c>
      <c r="AJ103" s="1389">
        <v>1.1000000000000001</v>
      </c>
      <c r="AK103" s="1389">
        <v>1</v>
      </c>
      <c r="AL103" s="1389">
        <v>1.02</v>
      </c>
      <c r="AM103" s="1389">
        <v>1</v>
      </c>
      <c r="AN103" s="1389">
        <v>1.2</v>
      </c>
      <c r="AO103" s="1401"/>
      <c r="AP103" s="1396" t="s">
        <v>744</v>
      </c>
      <c r="AQ103" s="1387">
        <v>2</v>
      </c>
      <c r="AR103" s="1387">
        <v>4</v>
      </c>
      <c r="AS103" s="1387">
        <v>1</v>
      </c>
      <c r="AT103" s="1387">
        <v>3</v>
      </c>
      <c r="AU103" s="1387">
        <v>1</v>
      </c>
      <c r="AV103" s="1387">
        <v>5</v>
      </c>
      <c r="AW103" s="1394">
        <v>3</v>
      </c>
      <c r="AX103" s="1380">
        <v>1.05</v>
      </c>
      <c r="AY103" s="1391">
        <v>1.2365959919080913</v>
      </c>
      <c r="AZ103" s="1391">
        <v>1.2434566510799234</v>
      </c>
      <c r="BA103" s="1392" t="s">
        <v>3226</v>
      </c>
      <c r="BB103" s="1389">
        <v>1.05</v>
      </c>
      <c r="BC103" s="1389">
        <v>1.1000000000000001</v>
      </c>
      <c r="BD103" s="1389">
        <v>1</v>
      </c>
      <c r="BE103" s="1389">
        <v>1.02</v>
      </c>
      <c r="BF103" s="1389">
        <v>1</v>
      </c>
      <c r="BG103" s="1389">
        <v>1.2</v>
      </c>
    </row>
    <row r="104" spans="1:59" s="401" customFormat="1" ht="24" customHeight="1">
      <c r="A104" s="1410">
        <v>254233</v>
      </c>
      <c r="B104" s="1436"/>
      <c r="C104" s="1411"/>
      <c r="D104" s="1413">
        <v>5</v>
      </c>
      <c r="E104" s="1414" t="s">
        <v>98</v>
      </c>
      <c r="F104" s="1415" t="s">
        <v>710</v>
      </c>
      <c r="G104" s="1416" t="s">
        <v>103</v>
      </c>
      <c r="H104" s="1417" t="s">
        <v>98</v>
      </c>
      <c r="I104" s="1418" t="s">
        <v>98</v>
      </c>
      <c r="J104" s="1419">
        <v>0</v>
      </c>
      <c r="K104" s="1416" t="s">
        <v>104</v>
      </c>
      <c r="L104" s="1416">
        <v>0</v>
      </c>
      <c r="M104" s="1420">
        <v>1</v>
      </c>
      <c r="N104" s="1421">
        <v>1.2620910621938648</v>
      </c>
      <c r="O104" s="1422" t="s">
        <v>3196</v>
      </c>
      <c r="P104" s="1416">
        <v>218.3</v>
      </c>
      <c r="Q104" s="1420">
        <v>1</v>
      </c>
      <c r="R104" s="1421">
        <v>1.2434566510799234</v>
      </c>
      <c r="S104" s="1422" t="s">
        <v>3193</v>
      </c>
      <c r="T104" s="1401"/>
      <c r="U104" s="1402"/>
      <c r="V104" s="1402"/>
      <c r="W104" s="1396"/>
      <c r="X104" s="1387">
        <v>3</v>
      </c>
      <c r="Y104" s="1387">
        <v>4</v>
      </c>
      <c r="Z104" s="1387">
        <v>1</v>
      </c>
      <c r="AA104" s="1387">
        <v>3</v>
      </c>
      <c r="AB104" s="1387">
        <v>1</v>
      </c>
      <c r="AC104" s="1398">
        <v>5</v>
      </c>
      <c r="AD104" s="1394">
        <v>1</v>
      </c>
      <c r="AE104" s="1380">
        <v>1.05</v>
      </c>
      <c r="AF104" s="1391">
        <v>1.2555818742947564</v>
      </c>
      <c r="AG104" s="1391">
        <v>1.2620910621938648</v>
      </c>
      <c r="AH104" s="1392" t="s">
        <v>3222</v>
      </c>
      <c r="AI104" s="1389">
        <v>1.1000000000000001</v>
      </c>
      <c r="AJ104" s="1389">
        <v>1.1000000000000001</v>
      </c>
      <c r="AK104" s="1389">
        <v>1</v>
      </c>
      <c r="AL104" s="1389">
        <v>1.02</v>
      </c>
      <c r="AM104" s="1389">
        <v>1</v>
      </c>
      <c r="AN104" s="1389">
        <v>1.2</v>
      </c>
      <c r="AO104" s="1401"/>
      <c r="AP104" s="1396" t="s">
        <v>673</v>
      </c>
      <c r="AQ104" s="1387">
        <v>2</v>
      </c>
      <c r="AR104" s="1387">
        <v>4</v>
      </c>
      <c r="AS104" s="1387">
        <v>1</v>
      </c>
      <c r="AT104" s="1387">
        <v>3</v>
      </c>
      <c r="AU104" s="1387">
        <v>1</v>
      </c>
      <c r="AV104" s="1387">
        <v>5</v>
      </c>
      <c r="AW104" s="1394">
        <v>1</v>
      </c>
      <c r="AX104" s="1380">
        <v>1.05</v>
      </c>
      <c r="AY104" s="1391">
        <v>1.2365959919080913</v>
      </c>
      <c r="AZ104" s="1391">
        <v>1.2434566510799234</v>
      </c>
      <c r="BA104" s="1392" t="s">
        <v>3226</v>
      </c>
      <c r="BB104" s="1389">
        <v>1.05</v>
      </c>
      <c r="BC104" s="1389">
        <v>1.1000000000000001</v>
      </c>
      <c r="BD104" s="1389">
        <v>1</v>
      </c>
      <c r="BE104" s="1389">
        <v>1.02</v>
      </c>
      <c r="BF104" s="1389">
        <v>1</v>
      </c>
      <c r="BG104" s="1389">
        <v>1.2</v>
      </c>
    </row>
    <row r="105" spans="1:59" s="401" customFormat="1" ht="12.75" customHeight="1">
      <c r="A105" s="1410">
        <v>266105</v>
      </c>
      <c r="B105" s="1436"/>
      <c r="C105" s="1411"/>
      <c r="D105" s="1454">
        <v>5</v>
      </c>
      <c r="E105" s="1455" t="s">
        <v>98</v>
      </c>
      <c r="F105" s="1447" t="s">
        <v>745</v>
      </c>
      <c r="G105" s="1448" t="s">
        <v>93</v>
      </c>
      <c r="H105" s="1456" t="s">
        <v>98</v>
      </c>
      <c r="I105" s="1449" t="s">
        <v>98</v>
      </c>
      <c r="J105" s="1450">
        <v>0</v>
      </c>
      <c r="K105" s="1448" t="s">
        <v>96</v>
      </c>
      <c r="L105" s="1448">
        <v>0</v>
      </c>
      <c r="M105" s="1451">
        <v>1</v>
      </c>
      <c r="N105" s="1452">
        <v>1.2620910621938648</v>
      </c>
      <c r="O105" s="1453" t="s">
        <v>3196</v>
      </c>
      <c r="P105" s="1448">
        <v>727.6</v>
      </c>
      <c r="Q105" s="1451">
        <v>1</v>
      </c>
      <c r="R105" s="1452">
        <v>1.2434566510799234</v>
      </c>
      <c r="S105" s="1453" t="s">
        <v>3193</v>
      </c>
      <c r="T105" s="1401"/>
      <c r="U105" s="1402"/>
      <c r="V105" s="1402"/>
      <c r="W105" s="1396"/>
      <c r="X105" s="1387">
        <v>3</v>
      </c>
      <c r="Y105" s="1387">
        <v>4</v>
      </c>
      <c r="Z105" s="1387">
        <v>1</v>
      </c>
      <c r="AA105" s="1387">
        <v>3</v>
      </c>
      <c r="AB105" s="1387">
        <v>1</v>
      </c>
      <c r="AC105" s="1398">
        <v>5</v>
      </c>
      <c r="AD105" s="1394">
        <v>3</v>
      </c>
      <c r="AE105" s="1380">
        <v>1.05</v>
      </c>
      <c r="AF105" s="1391">
        <v>1.2555818742947564</v>
      </c>
      <c r="AG105" s="1391">
        <v>1.2620910621938648</v>
      </c>
      <c r="AH105" s="1392" t="s">
        <v>3222</v>
      </c>
      <c r="AI105" s="1389">
        <v>1.1000000000000001</v>
      </c>
      <c r="AJ105" s="1389">
        <v>1.1000000000000001</v>
      </c>
      <c r="AK105" s="1389">
        <v>1</v>
      </c>
      <c r="AL105" s="1389">
        <v>1.02</v>
      </c>
      <c r="AM105" s="1389">
        <v>1</v>
      </c>
      <c r="AN105" s="1389">
        <v>1.2</v>
      </c>
      <c r="AO105" s="1401"/>
      <c r="AP105" s="1396" t="s">
        <v>673</v>
      </c>
      <c r="AQ105" s="1387">
        <v>2</v>
      </c>
      <c r="AR105" s="1387">
        <v>4</v>
      </c>
      <c r="AS105" s="1387">
        <v>1</v>
      </c>
      <c r="AT105" s="1387">
        <v>3</v>
      </c>
      <c r="AU105" s="1387">
        <v>1</v>
      </c>
      <c r="AV105" s="1387">
        <v>5</v>
      </c>
      <c r="AW105" s="1394">
        <v>3</v>
      </c>
      <c r="AX105" s="1380">
        <v>1.05</v>
      </c>
      <c r="AY105" s="1391">
        <v>1.2365959919080913</v>
      </c>
      <c r="AZ105" s="1391">
        <v>1.2434566510799234</v>
      </c>
      <c r="BA105" s="1392" t="s">
        <v>3226</v>
      </c>
      <c r="BB105" s="1389">
        <v>1.05</v>
      </c>
      <c r="BC105" s="1389">
        <v>1.1000000000000001</v>
      </c>
      <c r="BD105" s="1389">
        <v>1</v>
      </c>
      <c r="BE105" s="1389">
        <v>1.02</v>
      </c>
      <c r="BF105" s="1389">
        <v>1</v>
      </c>
      <c r="BG105" s="1389">
        <v>1.2</v>
      </c>
    </row>
    <row r="106" spans="1:59" ht="12.75" customHeight="1">
      <c r="A106" s="1410">
        <v>269641</v>
      </c>
      <c r="B106" s="1474" t="s">
        <v>322</v>
      </c>
      <c r="C106" s="1473"/>
      <c r="D106" s="1442">
        <v>5</v>
      </c>
      <c r="E106" s="1441" t="s">
        <v>98</v>
      </c>
      <c r="F106" s="1415" t="s">
        <v>240</v>
      </c>
      <c r="G106" s="1416" t="s">
        <v>93</v>
      </c>
      <c r="H106" s="1417" t="s">
        <v>98</v>
      </c>
      <c r="I106" s="1418" t="s">
        <v>98</v>
      </c>
      <c r="J106" s="1419">
        <v>0</v>
      </c>
      <c r="K106" s="1416" t="s">
        <v>115</v>
      </c>
      <c r="L106" s="1416">
        <v>427050.60000000003</v>
      </c>
      <c r="M106" s="1486">
        <v>1</v>
      </c>
      <c r="N106" s="1487">
        <v>2.0741629046031922</v>
      </c>
      <c r="O106" s="1488" t="s">
        <v>3230</v>
      </c>
      <c r="P106" s="1416">
        <v>0</v>
      </c>
      <c r="Q106" s="1486">
        <v>1</v>
      </c>
      <c r="R106" s="1421">
        <v>2</v>
      </c>
      <c r="S106" s="1488" t="s">
        <v>3191</v>
      </c>
      <c r="T106" s="1405"/>
      <c r="U106" s="1405"/>
      <c r="V106" s="1405"/>
      <c r="W106" s="1390" t="s">
        <v>927</v>
      </c>
      <c r="X106" s="1387">
        <v>3</v>
      </c>
      <c r="Y106" s="1387">
        <v>4</v>
      </c>
      <c r="Z106" s="1387">
        <v>1</v>
      </c>
      <c r="AA106" s="1387">
        <v>3</v>
      </c>
      <c r="AB106" s="1387">
        <v>1</v>
      </c>
      <c r="AC106" s="1398">
        <v>5</v>
      </c>
      <c r="AD106" s="1394">
        <v>5</v>
      </c>
      <c r="AE106" s="1380">
        <v>2</v>
      </c>
      <c r="AF106" s="1383">
        <v>1.2555818742947564</v>
      </c>
      <c r="AG106" s="1383">
        <v>2.0741629046031922</v>
      </c>
      <c r="AH106" s="1384" t="s">
        <v>3222</v>
      </c>
      <c r="AI106" s="1379">
        <v>1.1000000000000001</v>
      </c>
      <c r="AJ106" s="1379">
        <v>1.1000000000000001</v>
      </c>
      <c r="AK106" s="1379">
        <v>1</v>
      </c>
      <c r="AL106" s="1379">
        <v>1.02</v>
      </c>
      <c r="AM106" s="1379">
        <v>1</v>
      </c>
      <c r="AN106" s="1379">
        <v>1.2</v>
      </c>
      <c r="AO106" s="1372"/>
      <c r="AP106" s="1390"/>
      <c r="AQ106" s="1378">
        <v>1</v>
      </c>
      <c r="AR106" s="1378">
        <v>1</v>
      </c>
      <c r="AS106" s="1378">
        <v>1</v>
      </c>
      <c r="AT106" s="1378">
        <v>1</v>
      </c>
      <c r="AU106" s="1378">
        <v>1</v>
      </c>
      <c r="AV106" s="1378">
        <v>1</v>
      </c>
      <c r="AW106" s="1394">
        <v>5</v>
      </c>
      <c r="AX106" s="1380">
        <v>2</v>
      </c>
      <c r="AY106" s="1383">
        <v>1</v>
      </c>
      <c r="AZ106" s="1383">
        <v>2</v>
      </c>
      <c r="BA106" s="1384" t="s">
        <v>3089</v>
      </c>
      <c r="BB106" s="1379">
        <v>1</v>
      </c>
      <c r="BC106" s="1379">
        <v>1</v>
      </c>
      <c r="BD106" s="1379">
        <v>1</v>
      </c>
      <c r="BE106" s="1379">
        <v>1</v>
      </c>
      <c r="BF106" s="1379">
        <v>1</v>
      </c>
      <c r="BG106" s="1379">
        <v>1</v>
      </c>
    </row>
    <row r="107" spans="1:59" ht="12.75" customHeight="1">
      <c r="A107" s="1410">
        <v>160371</v>
      </c>
      <c r="B107" s="1472"/>
      <c r="C107" s="1473"/>
      <c r="D107" s="1446">
        <v>5</v>
      </c>
      <c r="E107" s="1445" t="s">
        <v>98</v>
      </c>
      <c r="F107" s="1447" t="s">
        <v>242</v>
      </c>
      <c r="G107" s="1448" t="s">
        <v>93</v>
      </c>
      <c r="H107" s="1456" t="s">
        <v>98</v>
      </c>
      <c r="I107" s="1449" t="s">
        <v>98</v>
      </c>
      <c r="J107" s="1450">
        <v>0</v>
      </c>
      <c r="K107" s="1448" t="s">
        <v>115</v>
      </c>
      <c r="L107" s="1448">
        <v>458050.60000000003</v>
      </c>
      <c r="M107" s="1481">
        <v>1</v>
      </c>
      <c r="N107" s="1482">
        <v>2.0741629046031922</v>
      </c>
      <c r="O107" s="1483" t="s">
        <v>3230</v>
      </c>
      <c r="P107" s="1448">
        <v>0</v>
      </c>
      <c r="Q107" s="1481">
        <v>1</v>
      </c>
      <c r="R107" s="1452">
        <v>2</v>
      </c>
      <c r="S107" s="1483" t="s">
        <v>3191</v>
      </c>
      <c r="T107" s="1405"/>
      <c r="U107" s="1405"/>
      <c r="V107" s="1405"/>
      <c r="W107" s="1390" t="s">
        <v>927</v>
      </c>
      <c r="X107" s="1387">
        <v>3</v>
      </c>
      <c r="Y107" s="1387">
        <v>4</v>
      </c>
      <c r="Z107" s="1387">
        <v>1</v>
      </c>
      <c r="AA107" s="1387">
        <v>3</v>
      </c>
      <c r="AB107" s="1387">
        <v>1</v>
      </c>
      <c r="AC107" s="1398">
        <v>5</v>
      </c>
      <c r="AD107" s="1394">
        <v>5</v>
      </c>
      <c r="AE107" s="1380">
        <v>2</v>
      </c>
      <c r="AF107" s="1383">
        <v>1.2555818742947564</v>
      </c>
      <c r="AG107" s="1383">
        <v>2.0741629046031922</v>
      </c>
      <c r="AH107" s="1384" t="s">
        <v>3222</v>
      </c>
      <c r="AI107" s="1379">
        <v>1.1000000000000001</v>
      </c>
      <c r="AJ107" s="1379">
        <v>1.1000000000000001</v>
      </c>
      <c r="AK107" s="1379">
        <v>1</v>
      </c>
      <c r="AL107" s="1379">
        <v>1.02</v>
      </c>
      <c r="AM107" s="1379">
        <v>1</v>
      </c>
      <c r="AN107" s="1379">
        <v>1.2</v>
      </c>
      <c r="AO107" s="1372"/>
      <c r="AP107" s="1390"/>
      <c r="AQ107" s="1378">
        <v>1</v>
      </c>
      <c r="AR107" s="1378">
        <v>1</v>
      </c>
      <c r="AS107" s="1378">
        <v>1</v>
      </c>
      <c r="AT107" s="1378">
        <v>1</v>
      </c>
      <c r="AU107" s="1378">
        <v>1</v>
      </c>
      <c r="AV107" s="1378">
        <v>1</v>
      </c>
      <c r="AW107" s="1394">
        <v>5</v>
      </c>
      <c r="AX107" s="1380">
        <v>2</v>
      </c>
      <c r="AY107" s="1383">
        <v>1</v>
      </c>
      <c r="AZ107" s="1383">
        <v>2</v>
      </c>
      <c r="BA107" s="1384" t="s">
        <v>3089</v>
      </c>
      <c r="BB107" s="1379">
        <v>1</v>
      </c>
      <c r="BC107" s="1379">
        <v>1</v>
      </c>
      <c r="BD107" s="1379">
        <v>1</v>
      </c>
      <c r="BE107" s="1379">
        <v>1</v>
      </c>
      <c r="BF107" s="1379">
        <v>1</v>
      </c>
      <c r="BG107" s="1379">
        <v>1</v>
      </c>
    </row>
    <row r="108" spans="1:59" s="401" customFormat="1" ht="12.75" customHeight="1">
      <c r="A108" s="1410">
        <v>263293</v>
      </c>
      <c r="B108" s="1412" t="s">
        <v>511</v>
      </c>
      <c r="C108" s="1411"/>
      <c r="D108" s="1413">
        <v>5</v>
      </c>
      <c r="E108" s="1414" t="s">
        <v>98</v>
      </c>
      <c r="F108" s="1415" t="s">
        <v>760</v>
      </c>
      <c r="G108" s="1416" t="s">
        <v>103</v>
      </c>
      <c r="H108" s="1417" t="s">
        <v>98</v>
      </c>
      <c r="I108" s="1418" t="s">
        <v>98</v>
      </c>
      <c r="J108" s="1419">
        <v>0</v>
      </c>
      <c r="K108" s="1416" t="s">
        <v>96</v>
      </c>
      <c r="L108" s="1416">
        <v>506.00000000000011</v>
      </c>
      <c r="M108" s="1420">
        <v>1</v>
      </c>
      <c r="N108" s="1421">
        <v>1.2620910621938648</v>
      </c>
      <c r="O108" s="1422" t="s">
        <v>3231</v>
      </c>
      <c r="P108" s="1416">
        <v>0</v>
      </c>
      <c r="Q108" s="1420">
        <v>1</v>
      </c>
      <c r="R108" s="1421">
        <v>1.05</v>
      </c>
      <c r="S108" s="1422" t="s">
        <v>3191</v>
      </c>
      <c r="T108" s="1401"/>
      <c r="U108" s="1402"/>
      <c r="V108" s="1402"/>
      <c r="W108" s="1396" t="s">
        <v>251</v>
      </c>
      <c r="X108" s="1387">
        <v>3</v>
      </c>
      <c r="Y108" s="1387">
        <v>4</v>
      </c>
      <c r="Z108" s="1387">
        <v>1</v>
      </c>
      <c r="AA108" s="1387">
        <v>3</v>
      </c>
      <c r="AB108" s="1387">
        <v>1</v>
      </c>
      <c r="AC108" s="1398">
        <v>5</v>
      </c>
      <c r="AD108" s="1394">
        <v>6</v>
      </c>
      <c r="AE108" s="1380">
        <v>1.05</v>
      </c>
      <c r="AF108" s="1391">
        <v>1.2555818742947564</v>
      </c>
      <c r="AG108" s="1391">
        <v>1.2620910621938648</v>
      </c>
      <c r="AH108" s="1392" t="s">
        <v>3222</v>
      </c>
      <c r="AI108" s="1389">
        <v>1.1000000000000001</v>
      </c>
      <c r="AJ108" s="1389">
        <v>1.1000000000000001</v>
      </c>
      <c r="AK108" s="1389">
        <v>1</v>
      </c>
      <c r="AL108" s="1389">
        <v>1.02</v>
      </c>
      <c r="AM108" s="1389">
        <v>1</v>
      </c>
      <c r="AN108" s="1389">
        <v>1.2</v>
      </c>
      <c r="AO108" s="1401"/>
      <c r="AP108" s="1396"/>
      <c r="AQ108" s="1387">
        <v>1</v>
      </c>
      <c r="AR108" s="1387">
        <v>1</v>
      </c>
      <c r="AS108" s="1387">
        <v>1</v>
      </c>
      <c r="AT108" s="1387">
        <v>1</v>
      </c>
      <c r="AU108" s="1387">
        <v>1</v>
      </c>
      <c r="AV108" s="1387">
        <v>1</v>
      </c>
      <c r="AW108" s="1394">
        <v>6</v>
      </c>
      <c r="AX108" s="1380">
        <v>1.05</v>
      </c>
      <c r="AY108" s="1391">
        <v>1</v>
      </c>
      <c r="AZ108" s="1391">
        <v>1.05</v>
      </c>
      <c r="BA108" s="1392" t="s">
        <v>3089</v>
      </c>
      <c r="BB108" s="1389">
        <v>1</v>
      </c>
      <c r="BC108" s="1389">
        <v>1</v>
      </c>
      <c r="BD108" s="1389">
        <v>1</v>
      </c>
      <c r="BE108" s="1389">
        <v>1</v>
      </c>
      <c r="BF108" s="1389">
        <v>1</v>
      </c>
      <c r="BG108" s="1389">
        <v>1</v>
      </c>
    </row>
    <row r="109" spans="1:59" ht="24" customHeight="1">
      <c r="A109" s="1410">
        <v>267692</v>
      </c>
      <c r="B109" s="1472"/>
      <c r="C109" s="1473"/>
      <c r="D109" s="1446">
        <v>5</v>
      </c>
      <c r="E109" s="1445" t="s">
        <v>98</v>
      </c>
      <c r="F109" s="1447" t="s">
        <v>928</v>
      </c>
      <c r="G109" s="1448" t="s">
        <v>103</v>
      </c>
      <c r="H109" s="1456" t="s">
        <v>98</v>
      </c>
      <c r="I109" s="1449" t="s">
        <v>98</v>
      </c>
      <c r="J109" s="1450">
        <v>0</v>
      </c>
      <c r="K109" s="1448" t="s">
        <v>96</v>
      </c>
      <c r="L109" s="1448">
        <v>3960000</v>
      </c>
      <c r="M109" s="1481">
        <v>1</v>
      </c>
      <c r="N109" s="1482">
        <v>1.2620910621938648</v>
      </c>
      <c r="O109" s="1483" t="s">
        <v>3231</v>
      </c>
      <c r="P109" s="1448">
        <v>0</v>
      </c>
      <c r="Q109" s="1481">
        <v>1</v>
      </c>
      <c r="R109" s="1452">
        <v>1.5</v>
      </c>
      <c r="S109" s="1483" t="s">
        <v>3191</v>
      </c>
      <c r="T109" s="1405"/>
      <c r="U109" s="1405"/>
      <c r="V109" s="1405"/>
      <c r="W109" s="1390" t="s">
        <v>251</v>
      </c>
      <c r="X109" s="1387">
        <v>3</v>
      </c>
      <c r="Y109" s="1387">
        <v>4</v>
      </c>
      <c r="Z109" s="1387">
        <v>1</v>
      </c>
      <c r="AA109" s="1387">
        <v>3</v>
      </c>
      <c r="AB109" s="1387">
        <v>1</v>
      </c>
      <c r="AC109" s="1398">
        <v>5</v>
      </c>
      <c r="AD109" s="1394">
        <v>6</v>
      </c>
      <c r="AE109" s="1380">
        <v>1.05</v>
      </c>
      <c r="AF109" s="1383">
        <v>1.2555818742947564</v>
      </c>
      <c r="AG109" s="1383">
        <v>1.2620910621938648</v>
      </c>
      <c r="AH109" s="1384" t="s">
        <v>3222</v>
      </c>
      <c r="AI109" s="1379">
        <v>1.1000000000000001</v>
      </c>
      <c r="AJ109" s="1379">
        <v>1.1000000000000001</v>
      </c>
      <c r="AK109" s="1379">
        <v>1</v>
      </c>
      <c r="AL109" s="1379">
        <v>1.02</v>
      </c>
      <c r="AM109" s="1379">
        <v>1</v>
      </c>
      <c r="AN109" s="1379">
        <v>1.2</v>
      </c>
      <c r="AO109" s="1372"/>
      <c r="AP109" s="1390"/>
      <c r="AQ109" s="1378">
        <v>1</v>
      </c>
      <c r="AR109" s="1378">
        <v>1</v>
      </c>
      <c r="AS109" s="1378">
        <v>1</v>
      </c>
      <c r="AT109" s="1378">
        <v>1</v>
      </c>
      <c r="AU109" s="1378">
        <v>1</v>
      </c>
      <c r="AV109" s="1378">
        <v>1</v>
      </c>
      <c r="AW109" s="1378">
        <v>7</v>
      </c>
      <c r="AX109" s="1380">
        <v>1.5</v>
      </c>
      <c r="AY109" s="1383">
        <v>1</v>
      </c>
      <c r="AZ109" s="1383">
        <v>1.5</v>
      </c>
      <c r="BA109" s="1384" t="s">
        <v>3089</v>
      </c>
      <c r="BB109" s="1379">
        <v>1</v>
      </c>
      <c r="BC109" s="1379">
        <v>1</v>
      </c>
      <c r="BD109" s="1379">
        <v>1</v>
      </c>
      <c r="BE109" s="1379">
        <v>1</v>
      </c>
      <c r="BF109" s="1379">
        <v>1</v>
      </c>
      <c r="BG109" s="1379">
        <v>1</v>
      </c>
    </row>
    <row r="110" spans="1:59" ht="24" customHeight="1">
      <c r="A110" s="1410">
        <v>268269</v>
      </c>
      <c r="B110" s="1472"/>
      <c r="C110" s="1473"/>
      <c r="D110" s="1442">
        <v>5</v>
      </c>
      <c r="E110" s="1441" t="s">
        <v>98</v>
      </c>
      <c r="F110" s="1415" t="s">
        <v>751</v>
      </c>
      <c r="G110" s="1416" t="s">
        <v>103</v>
      </c>
      <c r="H110" s="1417" t="s">
        <v>98</v>
      </c>
      <c r="I110" s="1418" t="s">
        <v>98</v>
      </c>
      <c r="J110" s="1419">
        <v>0</v>
      </c>
      <c r="K110" s="1416" t="s">
        <v>96</v>
      </c>
      <c r="L110" s="1416">
        <v>300000</v>
      </c>
      <c r="M110" s="1486">
        <v>1</v>
      </c>
      <c r="N110" s="1487">
        <v>1.2620910621938648</v>
      </c>
      <c r="O110" s="1488" t="s">
        <v>3231</v>
      </c>
      <c r="P110" s="1416">
        <v>0</v>
      </c>
      <c r="Q110" s="1486">
        <v>1</v>
      </c>
      <c r="R110" s="1421">
        <v>1.5</v>
      </c>
      <c r="S110" s="1488" t="s">
        <v>3191</v>
      </c>
      <c r="T110" s="1405"/>
      <c r="U110" s="1405"/>
      <c r="V110" s="1405"/>
      <c r="W110" s="1390" t="s">
        <v>251</v>
      </c>
      <c r="X110" s="1387">
        <v>3</v>
      </c>
      <c r="Y110" s="1387">
        <v>4</v>
      </c>
      <c r="Z110" s="1387">
        <v>1</v>
      </c>
      <c r="AA110" s="1387">
        <v>3</v>
      </c>
      <c r="AB110" s="1387">
        <v>1</v>
      </c>
      <c r="AC110" s="1398">
        <v>5</v>
      </c>
      <c r="AD110" s="1394">
        <v>6</v>
      </c>
      <c r="AE110" s="1380">
        <v>1.05</v>
      </c>
      <c r="AF110" s="1383">
        <v>1.2555818742947564</v>
      </c>
      <c r="AG110" s="1383">
        <v>1.2620910621938648</v>
      </c>
      <c r="AH110" s="1384" t="s">
        <v>3222</v>
      </c>
      <c r="AI110" s="1379">
        <v>1.1000000000000001</v>
      </c>
      <c r="AJ110" s="1379">
        <v>1.1000000000000001</v>
      </c>
      <c r="AK110" s="1379">
        <v>1</v>
      </c>
      <c r="AL110" s="1379">
        <v>1.02</v>
      </c>
      <c r="AM110" s="1379">
        <v>1</v>
      </c>
      <c r="AN110" s="1379">
        <v>1.2</v>
      </c>
      <c r="AO110" s="1372"/>
      <c r="AP110" s="1390"/>
      <c r="AQ110" s="1378">
        <v>1</v>
      </c>
      <c r="AR110" s="1378">
        <v>1</v>
      </c>
      <c r="AS110" s="1378">
        <v>1</v>
      </c>
      <c r="AT110" s="1378">
        <v>1</v>
      </c>
      <c r="AU110" s="1378">
        <v>1</v>
      </c>
      <c r="AV110" s="1378">
        <v>1</v>
      </c>
      <c r="AW110" s="1378">
        <v>7</v>
      </c>
      <c r="AX110" s="1380">
        <v>1.5</v>
      </c>
      <c r="AY110" s="1383">
        <v>1</v>
      </c>
      <c r="AZ110" s="1383">
        <v>1.5</v>
      </c>
      <c r="BA110" s="1384" t="s">
        <v>3089</v>
      </c>
      <c r="BB110" s="1379">
        <v>1</v>
      </c>
      <c r="BC110" s="1379">
        <v>1</v>
      </c>
      <c r="BD110" s="1379">
        <v>1</v>
      </c>
      <c r="BE110" s="1379">
        <v>1</v>
      </c>
      <c r="BF110" s="1379">
        <v>1</v>
      </c>
      <c r="BG110" s="1379">
        <v>1</v>
      </c>
    </row>
    <row r="111" spans="1:59" s="401" customFormat="1" ht="24" customHeight="1">
      <c r="A111" s="1410">
        <v>259385</v>
      </c>
      <c r="B111" s="1436"/>
      <c r="C111" s="1411"/>
      <c r="D111" s="1454">
        <v>5</v>
      </c>
      <c r="E111" s="1455" t="s">
        <v>98</v>
      </c>
      <c r="F111" s="1447" t="s">
        <v>747</v>
      </c>
      <c r="G111" s="1448" t="s">
        <v>103</v>
      </c>
      <c r="H111" s="1456" t="s">
        <v>98</v>
      </c>
      <c r="I111" s="1449" t="s">
        <v>98</v>
      </c>
      <c r="J111" s="1450">
        <v>0</v>
      </c>
      <c r="K111" s="1448" t="s">
        <v>96</v>
      </c>
      <c r="L111" s="1448">
        <v>0</v>
      </c>
      <c r="M111" s="1451">
        <v>1</v>
      </c>
      <c r="N111" s="1452">
        <v>1.2620910621938648</v>
      </c>
      <c r="O111" s="1453" t="s">
        <v>3196</v>
      </c>
      <c r="P111" s="1448">
        <v>57057.599999999999</v>
      </c>
      <c r="Q111" s="1451">
        <v>1</v>
      </c>
      <c r="R111" s="1452">
        <v>1.2434566510799234</v>
      </c>
      <c r="S111" s="1453" t="s">
        <v>3209</v>
      </c>
      <c r="T111" s="1401"/>
      <c r="U111" s="1402"/>
      <c r="V111" s="1402"/>
      <c r="W111" s="1396"/>
      <c r="X111" s="1387">
        <v>3</v>
      </c>
      <c r="Y111" s="1387">
        <v>4</v>
      </c>
      <c r="Z111" s="1387">
        <v>1</v>
      </c>
      <c r="AA111" s="1387">
        <v>3</v>
      </c>
      <c r="AB111" s="1387">
        <v>1</v>
      </c>
      <c r="AC111" s="1398">
        <v>5</v>
      </c>
      <c r="AD111" s="1394">
        <v>6</v>
      </c>
      <c r="AE111" s="1380">
        <v>1.05</v>
      </c>
      <c r="AF111" s="1391">
        <v>1.2555818742947564</v>
      </c>
      <c r="AG111" s="1391">
        <v>1.2620910621938648</v>
      </c>
      <c r="AH111" s="1392" t="s">
        <v>3222</v>
      </c>
      <c r="AI111" s="1389">
        <v>1.1000000000000001</v>
      </c>
      <c r="AJ111" s="1389">
        <v>1.1000000000000001</v>
      </c>
      <c r="AK111" s="1389">
        <v>1</v>
      </c>
      <c r="AL111" s="1389">
        <v>1.02</v>
      </c>
      <c r="AM111" s="1389">
        <v>1</v>
      </c>
      <c r="AN111" s="1389">
        <v>1.2</v>
      </c>
      <c r="AO111" s="1401"/>
      <c r="AP111" s="1396" t="s">
        <v>748</v>
      </c>
      <c r="AQ111" s="1387">
        <v>2</v>
      </c>
      <c r="AR111" s="1387">
        <v>4</v>
      </c>
      <c r="AS111" s="1387">
        <v>1</v>
      </c>
      <c r="AT111" s="1387">
        <v>3</v>
      </c>
      <c r="AU111" s="1387">
        <v>1</v>
      </c>
      <c r="AV111" s="1387">
        <v>5</v>
      </c>
      <c r="AW111" s="1394">
        <v>6</v>
      </c>
      <c r="AX111" s="1380">
        <v>1.05</v>
      </c>
      <c r="AY111" s="1391">
        <v>1.2365959919080913</v>
      </c>
      <c r="AZ111" s="1391">
        <v>1.2434566510799234</v>
      </c>
      <c r="BA111" s="1392" t="s">
        <v>3226</v>
      </c>
      <c r="BB111" s="1389">
        <v>1.05</v>
      </c>
      <c r="BC111" s="1389">
        <v>1.1000000000000001</v>
      </c>
      <c r="BD111" s="1389">
        <v>1</v>
      </c>
      <c r="BE111" s="1389">
        <v>1.02</v>
      </c>
      <c r="BF111" s="1389">
        <v>1</v>
      </c>
      <c r="BG111" s="1389">
        <v>1.2</v>
      </c>
    </row>
    <row r="112" spans="1:59" s="401" customFormat="1" ht="24" customHeight="1">
      <c r="A112" s="1410">
        <v>259385</v>
      </c>
      <c r="B112" s="1436"/>
      <c r="C112" s="1411"/>
      <c r="D112" s="1413">
        <v>5</v>
      </c>
      <c r="E112" s="1414" t="s">
        <v>98</v>
      </c>
      <c r="F112" s="1415" t="s">
        <v>747</v>
      </c>
      <c r="G112" s="1416" t="s">
        <v>103</v>
      </c>
      <c r="H112" s="1417" t="s">
        <v>98</v>
      </c>
      <c r="I112" s="1418" t="s">
        <v>98</v>
      </c>
      <c r="J112" s="1419">
        <v>0</v>
      </c>
      <c r="K112" s="1416" t="s">
        <v>96</v>
      </c>
      <c r="L112" s="1416">
        <v>0</v>
      </c>
      <c r="M112" s="1420">
        <v>1</v>
      </c>
      <c r="N112" s="1421">
        <v>1.2620910621938648</v>
      </c>
      <c r="O112" s="1422" t="s">
        <v>3196</v>
      </c>
      <c r="P112" s="1416">
        <v>196965</v>
      </c>
      <c r="Q112" s="1420">
        <v>1</v>
      </c>
      <c r="R112" s="1421">
        <v>1.2434566510799234</v>
      </c>
      <c r="S112" s="1422" t="s">
        <v>3210</v>
      </c>
      <c r="T112" s="1401"/>
      <c r="U112" s="1402"/>
      <c r="V112" s="1402"/>
      <c r="W112" s="1396"/>
      <c r="X112" s="1387">
        <v>3</v>
      </c>
      <c r="Y112" s="1387">
        <v>4</v>
      </c>
      <c r="Z112" s="1387">
        <v>1</v>
      </c>
      <c r="AA112" s="1387">
        <v>3</v>
      </c>
      <c r="AB112" s="1387">
        <v>1</v>
      </c>
      <c r="AC112" s="1398">
        <v>5</v>
      </c>
      <c r="AD112" s="1394">
        <v>6</v>
      </c>
      <c r="AE112" s="1380">
        <v>1.05</v>
      </c>
      <c r="AF112" s="1391">
        <v>1.2555818742947564</v>
      </c>
      <c r="AG112" s="1391">
        <v>1.2620910621938648</v>
      </c>
      <c r="AH112" s="1392" t="s">
        <v>3222</v>
      </c>
      <c r="AI112" s="1389">
        <v>1.1000000000000001</v>
      </c>
      <c r="AJ112" s="1389">
        <v>1.1000000000000001</v>
      </c>
      <c r="AK112" s="1389">
        <v>1</v>
      </c>
      <c r="AL112" s="1389">
        <v>1.02</v>
      </c>
      <c r="AM112" s="1389">
        <v>1</v>
      </c>
      <c r="AN112" s="1389">
        <v>1.2</v>
      </c>
      <c r="AO112" s="1401"/>
      <c r="AP112" s="1396" t="s">
        <v>749</v>
      </c>
      <c r="AQ112" s="1387">
        <v>2</v>
      </c>
      <c r="AR112" s="1387">
        <v>4</v>
      </c>
      <c r="AS112" s="1387">
        <v>1</v>
      </c>
      <c r="AT112" s="1387">
        <v>3</v>
      </c>
      <c r="AU112" s="1387">
        <v>1</v>
      </c>
      <c r="AV112" s="1387">
        <v>5</v>
      </c>
      <c r="AW112" s="1394">
        <v>6</v>
      </c>
      <c r="AX112" s="1380">
        <v>1.05</v>
      </c>
      <c r="AY112" s="1391">
        <v>1.2365959919080913</v>
      </c>
      <c r="AZ112" s="1391">
        <v>1.2434566510799234</v>
      </c>
      <c r="BA112" s="1392" t="s">
        <v>3226</v>
      </c>
      <c r="BB112" s="1389">
        <v>1.05</v>
      </c>
      <c r="BC112" s="1389">
        <v>1.1000000000000001</v>
      </c>
      <c r="BD112" s="1389">
        <v>1</v>
      </c>
      <c r="BE112" s="1389">
        <v>1.02</v>
      </c>
      <c r="BF112" s="1389">
        <v>1</v>
      </c>
      <c r="BG112" s="1389">
        <v>1.2</v>
      </c>
    </row>
    <row r="113" spans="1:59" s="401" customFormat="1" ht="24" customHeight="1">
      <c r="A113" s="1410">
        <v>259385</v>
      </c>
      <c r="B113" s="1436"/>
      <c r="C113" s="1411"/>
      <c r="D113" s="1454">
        <v>5</v>
      </c>
      <c r="E113" s="1455" t="s">
        <v>98</v>
      </c>
      <c r="F113" s="1447" t="s">
        <v>747</v>
      </c>
      <c r="G113" s="1448" t="s">
        <v>103</v>
      </c>
      <c r="H113" s="1456" t="s">
        <v>98</v>
      </c>
      <c r="I113" s="1449" t="s">
        <v>98</v>
      </c>
      <c r="J113" s="1450">
        <v>0</v>
      </c>
      <c r="K113" s="1448" t="s">
        <v>96</v>
      </c>
      <c r="L113" s="1448">
        <v>0</v>
      </c>
      <c r="M113" s="1451">
        <v>1</v>
      </c>
      <c r="N113" s="1452">
        <v>1.2620910621938648</v>
      </c>
      <c r="O113" s="1453" t="s">
        <v>3196</v>
      </c>
      <c r="P113" s="1448">
        <v>44625.4</v>
      </c>
      <c r="Q113" s="1451">
        <v>1</v>
      </c>
      <c r="R113" s="1452">
        <v>1.2434566510799234</v>
      </c>
      <c r="S113" s="1453" t="s">
        <v>3211</v>
      </c>
      <c r="T113" s="1401"/>
      <c r="U113" s="1402"/>
      <c r="V113" s="1402"/>
      <c r="W113" s="1396"/>
      <c r="X113" s="1387">
        <v>3</v>
      </c>
      <c r="Y113" s="1387">
        <v>4</v>
      </c>
      <c r="Z113" s="1387">
        <v>1</v>
      </c>
      <c r="AA113" s="1387">
        <v>3</v>
      </c>
      <c r="AB113" s="1387">
        <v>1</v>
      </c>
      <c r="AC113" s="1398">
        <v>5</v>
      </c>
      <c r="AD113" s="1394">
        <v>6</v>
      </c>
      <c r="AE113" s="1380">
        <v>1.05</v>
      </c>
      <c r="AF113" s="1391">
        <v>1.2555818742947564</v>
      </c>
      <c r="AG113" s="1391">
        <v>1.2620910621938648</v>
      </c>
      <c r="AH113" s="1392" t="s">
        <v>3222</v>
      </c>
      <c r="AI113" s="1389">
        <v>1.1000000000000001</v>
      </c>
      <c r="AJ113" s="1389">
        <v>1.1000000000000001</v>
      </c>
      <c r="AK113" s="1389">
        <v>1</v>
      </c>
      <c r="AL113" s="1389">
        <v>1.02</v>
      </c>
      <c r="AM113" s="1389">
        <v>1</v>
      </c>
      <c r="AN113" s="1389">
        <v>1.2</v>
      </c>
      <c r="AO113" s="1401"/>
      <c r="AP113" s="1396" t="s">
        <v>750</v>
      </c>
      <c r="AQ113" s="1387">
        <v>2</v>
      </c>
      <c r="AR113" s="1387">
        <v>4</v>
      </c>
      <c r="AS113" s="1387">
        <v>1</v>
      </c>
      <c r="AT113" s="1387">
        <v>3</v>
      </c>
      <c r="AU113" s="1387">
        <v>1</v>
      </c>
      <c r="AV113" s="1387">
        <v>5</v>
      </c>
      <c r="AW113" s="1394">
        <v>6</v>
      </c>
      <c r="AX113" s="1380">
        <v>1.05</v>
      </c>
      <c r="AY113" s="1391">
        <v>1.2365959919080913</v>
      </c>
      <c r="AZ113" s="1391">
        <v>1.2434566510799234</v>
      </c>
      <c r="BA113" s="1392" t="s">
        <v>3226</v>
      </c>
      <c r="BB113" s="1389">
        <v>1.05</v>
      </c>
      <c r="BC113" s="1389">
        <v>1.1000000000000001</v>
      </c>
      <c r="BD113" s="1389">
        <v>1</v>
      </c>
      <c r="BE113" s="1389">
        <v>1.02</v>
      </c>
      <c r="BF113" s="1389">
        <v>1</v>
      </c>
      <c r="BG113" s="1389">
        <v>1.2</v>
      </c>
    </row>
    <row r="114" spans="1:59" s="401" customFormat="1" ht="24" customHeight="1">
      <c r="A114" s="1410">
        <v>268269</v>
      </c>
      <c r="B114" s="1436"/>
      <c r="C114" s="1411"/>
      <c r="D114" s="1413">
        <v>5</v>
      </c>
      <c r="E114" s="1414" t="s">
        <v>98</v>
      </c>
      <c r="F114" s="1415" t="s">
        <v>751</v>
      </c>
      <c r="G114" s="1416" t="s">
        <v>103</v>
      </c>
      <c r="H114" s="1417" t="s">
        <v>98</v>
      </c>
      <c r="I114" s="1418" t="s">
        <v>98</v>
      </c>
      <c r="J114" s="1419">
        <v>0</v>
      </c>
      <c r="K114" s="1416" t="s">
        <v>96</v>
      </c>
      <c r="L114" s="1416">
        <v>0</v>
      </c>
      <c r="M114" s="1420">
        <v>1</v>
      </c>
      <c r="N114" s="1421">
        <v>1.2620910621938648</v>
      </c>
      <c r="O114" s="1422" t="s">
        <v>3196</v>
      </c>
      <c r="P114" s="1416">
        <v>319790.40000000002</v>
      </c>
      <c r="Q114" s="1420">
        <v>1</v>
      </c>
      <c r="R114" s="1421">
        <v>1.2434566510799234</v>
      </c>
      <c r="S114" s="1422" t="s">
        <v>3209</v>
      </c>
      <c r="T114" s="1401"/>
      <c r="U114" s="1402"/>
      <c r="V114" s="1402"/>
      <c r="W114" s="1396"/>
      <c r="X114" s="1387">
        <v>3</v>
      </c>
      <c r="Y114" s="1387">
        <v>4</v>
      </c>
      <c r="Z114" s="1387">
        <v>1</v>
      </c>
      <c r="AA114" s="1387">
        <v>3</v>
      </c>
      <c r="AB114" s="1387">
        <v>1</v>
      </c>
      <c r="AC114" s="1398">
        <v>5</v>
      </c>
      <c r="AD114" s="1394">
        <v>6</v>
      </c>
      <c r="AE114" s="1380">
        <v>1.05</v>
      </c>
      <c r="AF114" s="1391">
        <v>1.2555818742947564</v>
      </c>
      <c r="AG114" s="1391">
        <v>1.2620910621938648</v>
      </c>
      <c r="AH114" s="1392" t="s">
        <v>3222</v>
      </c>
      <c r="AI114" s="1389">
        <v>1.1000000000000001</v>
      </c>
      <c r="AJ114" s="1389">
        <v>1.1000000000000001</v>
      </c>
      <c r="AK114" s="1389">
        <v>1</v>
      </c>
      <c r="AL114" s="1389">
        <v>1.02</v>
      </c>
      <c r="AM114" s="1389">
        <v>1</v>
      </c>
      <c r="AN114" s="1389">
        <v>1.2</v>
      </c>
      <c r="AO114" s="1401"/>
      <c r="AP114" s="1396" t="s">
        <v>748</v>
      </c>
      <c r="AQ114" s="1387">
        <v>2</v>
      </c>
      <c r="AR114" s="1387">
        <v>4</v>
      </c>
      <c r="AS114" s="1387">
        <v>1</v>
      </c>
      <c r="AT114" s="1387">
        <v>3</v>
      </c>
      <c r="AU114" s="1387">
        <v>1</v>
      </c>
      <c r="AV114" s="1387">
        <v>5</v>
      </c>
      <c r="AW114" s="1394">
        <v>6</v>
      </c>
      <c r="AX114" s="1380">
        <v>1.05</v>
      </c>
      <c r="AY114" s="1391">
        <v>1.2365959919080913</v>
      </c>
      <c r="AZ114" s="1391">
        <v>1.2434566510799234</v>
      </c>
      <c r="BA114" s="1392" t="s">
        <v>3226</v>
      </c>
      <c r="BB114" s="1389">
        <v>1.05</v>
      </c>
      <c r="BC114" s="1389">
        <v>1.1000000000000001</v>
      </c>
      <c r="BD114" s="1389">
        <v>1</v>
      </c>
      <c r="BE114" s="1389">
        <v>1.02</v>
      </c>
      <c r="BF114" s="1389">
        <v>1</v>
      </c>
      <c r="BG114" s="1389">
        <v>1.2</v>
      </c>
    </row>
    <row r="115" spans="1:59" s="401" customFormat="1" ht="24" customHeight="1">
      <c r="A115" s="1410">
        <v>268269</v>
      </c>
      <c r="B115" s="1436"/>
      <c r="C115" s="1411"/>
      <c r="D115" s="1454">
        <v>5</v>
      </c>
      <c r="E115" s="1455" t="s">
        <v>98</v>
      </c>
      <c r="F115" s="1447" t="s">
        <v>751</v>
      </c>
      <c r="G115" s="1448" t="s">
        <v>103</v>
      </c>
      <c r="H115" s="1456" t="s">
        <v>98</v>
      </c>
      <c r="I115" s="1449" t="s">
        <v>98</v>
      </c>
      <c r="J115" s="1450">
        <v>0</v>
      </c>
      <c r="K115" s="1448" t="s">
        <v>96</v>
      </c>
      <c r="L115" s="1448">
        <v>0</v>
      </c>
      <c r="M115" s="1451">
        <v>1</v>
      </c>
      <c r="N115" s="1452">
        <v>1.2620910621938648</v>
      </c>
      <c r="O115" s="1453" t="s">
        <v>3196</v>
      </c>
      <c r="P115" s="1448">
        <v>399899.50000000012</v>
      </c>
      <c r="Q115" s="1451">
        <v>1</v>
      </c>
      <c r="R115" s="1452">
        <v>1.2434566510799234</v>
      </c>
      <c r="S115" s="1453" t="s">
        <v>3210</v>
      </c>
      <c r="T115" s="1401"/>
      <c r="U115" s="1402"/>
      <c r="V115" s="1402"/>
      <c r="W115" s="1396"/>
      <c r="X115" s="1387">
        <v>3</v>
      </c>
      <c r="Y115" s="1387">
        <v>4</v>
      </c>
      <c r="Z115" s="1387">
        <v>1</v>
      </c>
      <c r="AA115" s="1387">
        <v>3</v>
      </c>
      <c r="AB115" s="1387">
        <v>1</v>
      </c>
      <c r="AC115" s="1398">
        <v>5</v>
      </c>
      <c r="AD115" s="1394">
        <v>6</v>
      </c>
      <c r="AE115" s="1380">
        <v>1.05</v>
      </c>
      <c r="AF115" s="1391">
        <v>1.2555818742947564</v>
      </c>
      <c r="AG115" s="1391">
        <v>1.2620910621938648</v>
      </c>
      <c r="AH115" s="1392" t="s">
        <v>3222</v>
      </c>
      <c r="AI115" s="1389">
        <v>1.1000000000000001</v>
      </c>
      <c r="AJ115" s="1389">
        <v>1.1000000000000001</v>
      </c>
      <c r="AK115" s="1389">
        <v>1</v>
      </c>
      <c r="AL115" s="1389">
        <v>1.02</v>
      </c>
      <c r="AM115" s="1389">
        <v>1</v>
      </c>
      <c r="AN115" s="1389">
        <v>1.2</v>
      </c>
      <c r="AO115" s="1401"/>
      <c r="AP115" s="1396" t="s">
        <v>749</v>
      </c>
      <c r="AQ115" s="1387">
        <v>2</v>
      </c>
      <c r="AR115" s="1387">
        <v>4</v>
      </c>
      <c r="AS115" s="1387">
        <v>1</v>
      </c>
      <c r="AT115" s="1387">
        <v>3</v>
      </c>
      <c r="AU115" s="1387">
        <v>1</v>
      </c>
      <c r="AV115" s="1387">
        <v>5</v>
      </c>
      <c r="AW115" s="1394">
        <v>6</v>
      </c>
      <c r="AX115" s="1380">
        <v>1.05</v>
      </c>
      <c r="AY115" s="1391">
        <v>1.2365959919080913</v>
      </c>
      <c r="AZ115" s="1391">
        <v>1.2434566510799234</v>
      </c>
      <c r="BA115" s="1392" t="s">
        <v>3226</v>
      </c>
      <c r="BB115" s="1389">
        <v>1.05</v>
      </c>
      <c r="BC115" s="1389">
        <v>1.1000000000000001</v>
      </c>
      <c r="BD115" s="1389">
        <v>1</v>
      </c>
      <c r="BE115" s="1389">
        <v>1.02</v>
      </c>
      <c r="BF115" s="1389">
        <v>1</v>
      </c>
      <c r="BG115" s="1389">
        <v>1.2</v>
      </c>
    </row>
    <row r="116" spans="1:59" s="401" customFormat="1" ht="24" customHeight="1">
      <c r="A116" s="1410">
        <v>268269</v>
      </c>
      <c r="B116" s="1436"/>
      <c r="C116" s="1411"/>
      <c r="D116" s="1413">
        <v>5</v>
      </c>
      <c r="E116" s="1414" t="s">
        <v>98</v>
      </c>
      <c r="F116" s="1415" t="s">
        <v>751</v>
      </c>
      <c r="G116" s="1416" t="s">
        <v>103</v>
      </c>
      <c r="H116" s="1417" t="s">
        <v>98</v>
      </c>
      <c r="I116" s="1418" t="s">
        <v>98</v>
      </c>
      <c r="J116" s="1419">
        <v>0</v>
      </c>
      <c r="K116" s="1416" t="s">
        <v>96</v>
      </c>
      <c r="L116" s="1416">
        <v>0</v>
      </c>
      <c r="M116" s="1420">
        <v>1</v>
      </c>
      <c r="N116" s="1421">
        <v>1.2620910621938648</v>
      </c>
      <c r="O116" s="1422" t="s">
        <v>3196</v>
      </c>
      <c r="P116" s="1416">
        <v>90603</v>
      </c>
      <c r="Q116" s="1420">
        <v>1</v>
      </c>
      <c r="R116" s="1421">
        <v>1.2434566510799234</v>
      </c>
      <c r="S116" s="1422" t="s">
        <v>3211</v>
      </c>
      <c r="T116" s="1401"/>
      <c r="U116" s="1402"/>
      <c r="V116" s="1402"/>
      <c r="W116" s="1396"/>
      <c r="X116" s="1387">
        <v>3</v>
      </c>
      <c r="Y116" s="1387">
        <v>4</v>
      </c>
      <c r="Z116" s="1387">
        <v>1</v>
      </c>
      <c r="AA116" s="1387">
        <v>3</v>
      </c>
      <c r="AB116" s="1387">
        <v>1</v>
      </c>
      <c r="AC116" s="1398">
        <v>5</v>
      </c>
      <c r="AD116" s="1394">
        <v>6</v>
      </c>
      <c r="AE116" s="1380">
        <v>1.05</v>
      </c>
      <c r="AF116" s="1391">
        <v>1.2555818742947564</v>
      </c>
      <c r="AG116" s="1391">
        <v>1.2620910621938648</v>
      </c>
      <c r="AH116" s="1392" t="s">
        <v>3222</v>
      </c>
      <c r="AI116" s="1389">
        <v>1.1000000000000001</v>
      </c>
      <c r="AJ116" s="1389">
        <v>1.1000000000000001</v>
      </c>
      <c r="AK116" s="1389">
        <v>1</v>
      </c>
      <c r="AL116" s="1389">
        <v>1.02</v>
      </c>
      <c r="AM116" s="1389">
        <v>1</v>
      </c>
      <c r="AN116" s="1389">
        <v>1.2</v>
      </c>
      <c r="AO116" s="1401"/>
      <c r="AP116" s="1396" t="s">
        <v>750</v>
      </c>
      <c r="AQ116" s="1387">
        <v>2</v>
      </c>
      <c r="AR116" s="1387">
        <v>4</v>
      </c>
      <c r="AS116" s="1387">
        <v>1</v>
      </c>
      <c r="AT116" s="1387">
        <v>3</v>
      </c>
      <c r="AU116" s="1387">
        <v>1</v>
      </c>
      <c r="AV116" s="1387">
        <v>5</v>
      </c>
      <c r="AW116" s="1394">
        <v>6</v>
      </c>
      <c r="AX116" s="1380">
        <v>1.05</v>
      </c>
      <c r="AY116" s="1391">
        <v>1.2365959919080913</v>
      </c>
      <c r="AZ116" s="1391">
        <v>1.2434566510799234</v>
      </c>
      <c r="BA116" s="1392" t="s">
        <v>3226</v>
      </c>
      <c r="BB116" s="1389">
        <v>1.05</v>
      </c>
      <c r="BC116" s="1389">
        <v>1.1000000000000001</v>
      </c>
      <c r="BD116" s="1389">
        <v>1</v>
      </c>
      <c r="BE116" s="1389">
        <v>1.02</v>
      </c>
      <c r="BF116" s="1389">
        <v>1</v>
      </c>
      <c r="BG116" s="1389">
        <v>1.2</v>
      </c>
    </row>
    <row r="117" spans="1:59" s="401" customFormat="1" ht="24" customHeight="1">
      <c r="A117" s="1410">
        <v>268269</v>
      </c>
      <c r="B117" s="1436"/>
      <c r="C117" s="1411"/>
      <c r="D117" s="1454">
        <v>5</v>
      </c>
      <c r="E117" s="1455" t="s">
        <v>98</v>
      </c>
      <c r="F117" s="1447" t="s">
        <v>751</v>
      </c>
      <c r="G117" s="1448" t="s">
        <v>103</v>
      </c>
      <c r="H117" s="1456" t="s">
        <v>98</v>
      </c>
      <c r="I117" s="1449" t="s">
        <v>98</v>
      </c>
      <c r="J117" s="1450">
        <v>0</v>
      </c>
      <c r="K117" s="1448" t="s">
        <v>96</v>
      </c>
      <c r="L117" s="1448">
        <v>0</v>
      </c>
      <c r="M117" s="1451">
        <v>1</v>
      </c>
      <c r="N117" s="1452">
        <v>1.2620910621938648</v>
      </c>
      <c r="O117" s="1453" t="s">
        <v>3196</v>
      </c>
      <c r="P117" s="1448">
        <v>4406385.311999999</v>
      </c>
      <c r="Q117" s="1451">
        <v>1</v>
      </c>
      <c r="R117" s="1452">
        <v>1.2434566510799234</v>
      </c>
      <c r="S117" s="1453" t="s">
        <v>3212</v>
      </c>
      <c r="T117" s="1401"/>
      <c r="U117" s="1402"/>
      <c r="V117" s="1402"/>
      <c r="W117" s="1396"/>
      <c r="X117" s="1387">
        <v>3</v>
      </c>
      <c r="Y117" s="1387">
        <v>4</v>
      </c>
      <c r="Z117" s="1387">
        <v>1</v>
      </c>
      <c r="AA117" s="1387">
        <v>3</v>
      </c>
      <c r="AB117" s="1387">
        <v>1</v>
      </c>
      <c r="AC117" s="1398">
        <v>5</v>
      </c>
      <c r="AD117" s="1394">
        <v>6</v>
      </c>
      <c r="AE117" s="1380">
        <v>1.05</v>
      </c>
      <c r="AF117" s="1391">
        <v>1.2555818742947564</v>
      </c>
      <c r="AG117" s="1391">
        <v>1.2620910621938648</v>
      </c>
      <c r="AH117" s="1392" t="s">
        <v>3222</v>
      </c>
      <c r="AI117" s="1389">
        <v>1.1000000000000001</v>
      </c>
      <c r="AJ117" s="1389">
        <v>1.1000000000000001</v>
      </c>
      <c r="AK117" s="1389">
        <v>1</v>
      </c>
      <c r="AL117" s="1389">
        <v>1.02</v>
      </c>
      <c r="AM117" s="1389">
        <v>1</v>
      </c>
      <c r="AN117" s="1389">
        <v>1.2</v>
      </c>
      <c r="AO117" s="1401"/>
      <c r="AP117" s="1396" t="s">
        <v>752</v>
      </c>
      <c r="AQ117" s="1387">
        <v>2</v>
      </c>
      <c r="AR117" s="1387">
        <v>4</v>
      </c>
      <c r="AS117" s="1387">
        <v>1</v>
      </c>
      <c r="AT117" s="1387">
        <v>3</v>
      </c>
      <c r="AU117" s="1387">
        <v>1</v>
      </c>
      <c r="AV117" s="1387">
        <v>5</v>
      </c>
      <c r="AW117" s="1394">
        <v>6</v>
      </c>
      <c r="AX117" s="1380">
        <v>1.05</v>
      </c>
      <c r="AY117" s="1391">
        <v>1.2365959919080913</v>
      </c>
      <c r="AZ117" s="1391">
        <v>1.2434566510799234</v>
      </c>
      <c r="BA117" s="1392" t="s">
        <v>3226</v>
      </c>
      <c r="BB117" s="1389">
        <v>1.05</v>
      </c>
      <c r="BC117" s="1389">
        <v>1.1000000000000001</v>
      </c>
      <c r="BD117" s="1389">
        <v>1</v>
      </c>
      <c r="BE117" s="1389">
        <v>1.02</v>
      </c>
      <c r="BF117" s="1389">
        <v>1</v>
      </c>
      <c r="BG117" s="1389">
        <v>1.2</v>
      </c>
    </row>
    <row r="118" spans="1:59" s="401" customFormat="1" ht="24" customHeight="1">
      <c r="A118" s="1410">
        <v>267245</v>
      </c>
      <c r="B118" s="1436"/>
      <c r="C118" s="1411"/>
      <c r="D118" s="1413">
        <v>5</v>
      </c>
      <c r="E118" s="1414" t="s">
        <v>98</v>
      </c>
      <c r="F118" s="1415" t="s">
        <v>753</v>
      </c>
      <c r="G118" s="1416" t="s">
        <v>103</v>
      </c>
      <c r="H118" s="1417" t="s">
        <v>98</v>
      </c>
      <c r="I118" s="1418" t="s">
        <v>98</v>
      </c>
      <c r="J118" s="1419">
        <v>0</v>
      </c>
      <c r="K118" s="1416" t="s">
        <v>96</v>
      </c>
      <c r="L118" s="1416">
        <v>0</v>
      </c>
      <c r="M118" s="1420">
        <v>1</v>
      </c>
      <c r="N118" s="1421">
        <v>1.2620910621938648</v>
      </c>
      <c r="O118" s="1422" t="s">
        <v>3196</v>
      </c>
      <c r="P118" s="1416">
        <v>4505952</v>
      </c>
      <c r="Q118" s="1420">
        <v>1</v>
      </c>
      <c r="R118" s="1421">
        <v>1.2434566510799234</v>
      </c>
      <c r="S118" s="1422" t="s">
        <v>3213</v>
      </c>
      <c r="T118" s="1401"/>
      <c r="U118" s="1402"/>
      <c r="V118" s="1402"/>
      <c r="W118" s="1396"/>
      <c r="X118" s="1387">
        <v>3</v>
      </c>
      <c r="Y118" s="1387">
        <v>4</v>
      </c>
      <c r="Z118" s="1387">
        <v>1</v>
      </c>
      <c r="AA118" s="1387">
        <v>3</v>
      </c>
      <c r="AB118" s="1387">
        <v>1</v>
      </c>
      <c r="AC118" s="1398">
        <v>5</v>
      </c>
      <c r="AD118" s="1394">
        <v>6</v>
      </c>
      <c r="AE118" s="1380">
        <v>1.05</v>
      </c>
      <c r="AF118" s="1391">
        <v>1.2555818742947564</v>
      </c>
      <c r="AG118" s="1391">
        <v>1.2620910621938648</v>
      </c>
      <c r="AH118" s="1392" t="s">
        <v>3222</v>
      </c>
      <c r="AI118" s="1389">
        <v>1.1000000000000001</v>
      </c>
      <c r="AJ118" s="1389">
        <v>1.1000000000000001</v>
      </c>
      <c r="AK118" s="1389">
        <v>1</v>
      </c>
      <c r="AL118" s="1389">
        <v>1.02</v>
      </c>
      <c r="AM118" s="1389">
        <v>1</v>
      </c>
      <c r="AN118" s="1389">
        <v>1.2</v>
      </c>
      <c r="AO118" s="1401"/>
      <c r="AP118" s="1396" t="s">
        <v>754</v>
      </c>
      <c r="AQ118" s="1387">
        <v>2</v>
      </c>
      <c r="AR118" s="1387">
        <v>4</v>
      </c>
      <c r="AS118" s="1387">
        <v>1</v>
      </c>
      <c r="AT118" s="1387">
        <v>3</v>
      </c>
      <c r="AU118" s="1387">
        <v>1</v>
      </c>
      <c r="AV118" s="1387">
        <v>5</v>
      </c>
      <c r="AW118" s="1394">
        <v>6</v>
      </c>
      <c r="AX118" s="1380">
        <v>1.05</v>
      </c>
      <c r="AY118" s="1391">
        <v>1.2365959919080913</v>
      </c>
      <c r="AZ118" s="1391">
        <v>1.2434566510799234</v>
      </c>
      <c r="BA118" s="1392" t="s">
        <v>3226</v>
      </c>
      <c r="BB118" s="1389">
        <v>1.05</v>
      </c>
      <c r="BC118" s="1389">
        <v>1.1000000000000001</v>
      </c>
      <c r="BD118" s="1389">
        <v>1</v>
      </c>
      <c r="BE118" s="1389">
        <v>1.02</v>
      </c>
      <c r="BF118" s="1389">
        <v>1</v>
      </c>
      <c r="BG118" s="1389">
        <v>1.2</v>
      </c>
    </row>
    <row r="119" spans="1:59" s="401" customFormat="1" ht="24" customHeight="1">
      <c r="A119" s="1410">
        <v>255195</v>
      </c>
      <c r="B119" s="1436"/>
      <c r="C119" s="1411"/>
      <c r="D119" s="1454">
        <v>5</v>
      </c>
      <c r="E119" s="1455" t="s">
        <v>98</v>
      </c>
      <c r="F119" s="1447" t="s">
        <v>755</v>
      </c>
      <c r="G119" s="1448" t="s">
        <v>103</v>
      </c>
      <c r="H119" s="1456" t="s">
        <v>98</v>
      </c>
      <c r="I119" s="1449" t="s">
        <v>98</v>
      </c>
      <c r="J119" s="1450">
        <v>0</v>
      </c>
      <c r="K119" s="1448" t="s">
        <v>96</v>
      </c>
      <c r="L119" s="1448">
        <v>0</v>
      </c>
      <c r="M119" s="1451">
        <v>1</v>
      </c>
      <c r="N119" s="1452">
        <v>1.2620910621938648</v>
      </c>
      <c r="O119" s="1453" t="s">
        <v>3196</v>
      </c>
      <c r="P119" s="1448">
        <v>749858950</v>
      </c>
      <c r="Q119" s="1451">
        <v>1</v>
      </c>
      <c r="R119" s="1452">
        <v>1.2434566510799234</v>
      </c>
      <c r="S119" s="1453" t="s">
        <v>3214</v>
      </c>
      <c r="T119" s="1401"/>
      <c r="U119" s="1402"/>
      <c r="V119" s="1402"/>
      <c r="W119" s="1396"/>
      <c r="X119" s="1387">
        <v>3</v>
      </c>
      <c r="Y119" s="1387">
        <v>4</v>
      </c>
      <c r="Z119" s="1387">
        <v>1</v>
      </c>
      <c r="AA119" s="1387">
        <v>3</v>
      </c>
      <c r="AB119" s="1387">
        <v>1</v>
      </c>
      <c r="AC119" s="1398">
        <v>5</v>
      </c>
      <c r="AD119" s="1394">
        <v>6</v>
      </c>
      <c r="AE119" s="1380">
        <v>1.05</v>
      </c>
      <c r="AF119" s="1391">
        <v>1.2555818742947564</v>
      </c>
      <c r="AG119" s="1391">
        <v>1.2620910621938648</v>
      </c>
      <c r="AH119" s="1392" t="s">
        <v>3222</v>
      </c>
      <c r="AI119" s="1389">
        <v>1.1000000000000001</v>
      </c>
      <c r="AJ119" s="1389">
        <v>1.1000000000000001</v>
      </c>
      <c r="AK119" s="1389">
        <v>1</v>
      </c>
      <c r="AL119" s="1389">
        <v>1.02</v>
      </c>
      <c r="AM119" s="1389">
        <v>1</v>
      </c>
      <c r="AN119" s="1389">
        <v>1.2</v>
      </c>
      <c r="AO119" s="1401"/>
      <c r="AP119" s="1396" t="s">
        <v>756</v>
      </c>
      <c r="AQ119" s="1387">
        <v>2</v>
      </c>
      <c r="AR119" s="1387">
        <v>4</v>
      </c>
      <c r="AS119" s="1387">
        <v>1</v>
      </c>
      <c r="AT119" s="1387">
        <v>3</v>
      </c>
      <c r="AU119" s="1387">
        <v>1</v>
      </c>
      <c r="AV119" s="1387">
        <v>5</v>
      </c>
      <c r="AW119" s="1394">
        <v>6</v>
      </c>
      <c r="AX119" s="1380">
        <v>1.05</v>
      </c>
      <c r="AY119" s="1391">
        <v>1.2365959919080913</v>
      </c>
      <c r="AZ119" s="1391">
        <v>1.2434566510799234</v>
      </c>
      <c r="BA119" s="1392" t="s">
        <v>3226</v>
      </c>
      <c r="BB119" s="1389">
        <v>1.05</v>
      </c>
      <c r="BC119" s="1389">
        <v>1.1000000000000001</v>
      </c>
      <c r="BD119" s="1389">
        <v>1</v>
      </c>
      <c r="BE119" s="1389">
        <v>1.02</v>
      </c>
      <c r="BF119" s="1389">
        <v>1</v>
      </c>
      <c r="BG119" s="1389">
        <v>1.2</v>
      </c>
    </row>
    <row r="120" spans="1:59" s="401" customFormat="1" ht="24" customHeight="1">
      <c r="A120" s="1410">
        <v>268265</v>
      </c>
      <c r="B120" s="1436"/>
      <c r="C120" s="1411"/>
      <c r="D120" s="1413">
        <v>5</v>
      </c>
      <c r="E120" s="1414" t="s">
        <v>98</v>
      </c>
      <c r="F120" s="1415" t="s">
        <v>757</v>
      </c>
      <c r="G120" s="1416" t="s">
        <v>103</v>
      </c>
      <c r="H120" s="1417" t="s">
        <v>98</v>
      </c>
      <c r="I120" s="1418" t="s">
        <v>98</v>
      </c>
      <c r="J120" s="1419">
        <v>0</v>
      </c>
      <c r="K120" s="1416" t="s">
        <v>96</v>
      </c>
      <c r="L120" s="1416">
        <v>0</v>
      </c>
      <c r="M120" s="1420">
        <v>1</v>
      </c>
      <c r="N120" s="1421">
        <v>1.2620910621938648</v>
      </c>
      <c r="O120" s="1422" t="s">
        <v>3196</v>
      </c>
      <c r="P120" s="1416">
        <v>1884960</v>
      </c>
      <c r="Q120" s="1420">
        <v>1</v>
      </c>
      <c r="R120" s="1421">
        <v>1.2434566510799234</v>
      </c>
      <c r="S120" s="1422" t="s">
        <v>3215</v>
      </c>
      <c r="T120" s="1401"/>
      <c r="U120" s="1402"/>
      <c r="V120" s="1402"/>
      <c r="W120" s="1396"/>
      <c r="X120" s="1387">
        <v>3</v>
      </c>
      <c r="Y120" s="1387">
        <v>4</v>
      </c>
      <c r="Z120" s="1387">
        <v>1</v>
      </c>
      <c r="AA120" s="1387">
        <v>3</v>
      </c>
      <c r="AB120" s="1387">
        <v>1</v>
      </c>
      <c r="AC120" s="1398">
        <v>5</v>
      </c>
      <c r="AD120" s="1394">
        <v>6</v>
      </c>
      <c r="AE120" s="1380">
        <v>1.05</v>
      </c>
      <c r="AF120" s="1391">
        <v>1.2555818742947564</v>
      </c>
      <c r="AG120" s="1391">
        <v>1.2620910621938648</v>
      </c>
      <c r="AH120" s="1392" t="s">
        <v>3222</v>
      </c>
      <c r="AI120" s="1389">
        <v>1.1000000000000001</v>
      </c>
      <c r="AJ120" s="1389">
        <v>1.1000000000000001</v>
      </c>
      <c r="AK120" s="1389">
        <v>1</v>
      </c>
      <c r="AL120" s="1389">
        <v>1.02</v>
      </c>
      <c r="AM120" s="1389">
        <v>1</v>
      </c>
      <c r="AN120" s="1389">
        <v>1.2</v>
      </c>
      <c r="AO120" s="1401"/>
      <c r="AP120" s="1396" t="s">
        <v>758</v>
      </c>
      <c r="AQ120" s="1387">
        <v>2</v>
      </c>
      <c r="AR120" s="1387">
        <v>4</v>
      </c>
      <c r="AS120" s="1387">
        <v>1</v>
      </c>
      <c r="AT120" s="1387">
        <v>3</v>
      </c>
      <c r="AU120" s="1387">
        <v>1</v>
      </c>
      <c r="AV120" s="1387">
        <v>5</v>
      </c>
      <c r="AW120" s="1394">
        <v>6</v>
      </c>
      <c r="AX120" s="1380">
        <v>1.05</v>
      </c>
      <c r="AY120" s="1391">
        <v>1.2365959919080913</v>
      </c>
      <c r="AZ120" s="1391">
        <v>1.2434566510799234</v>
      </c>
      <c r="BA120" s="1392" t="s">
        <v>3226</v>
      </c>
      <c r="BB120" s="1389">
        <v>1.05</v>
      </c>
      <c r="BC120" s="1389">
        <v>1.1000000000000001</v>
      </c>
      <c r="BD120" s="1389">
        <v>1</v>
      </c>
      <c r="BE120" s="1389">
        <v>1.02</v>
      </c>
      <c r="BF120" s="1389">
        <v>1</v>
      </c>
      <c r="BG120" s="1389">
        <v>1.2</v>
      </c>
    </row>
    <row r="121" spans="1:59" s="401" customFormat="1" ht="24" customHeight="1">
      <c r="A121" s="1410">
        <v>264229</v>
      </c>
      <c r="B121" s="1436"/>
      <c r="C121" s="1411"/>
      <c r="D121" s="1454">
        <v>5</v>
      </c>
      <c r="E121" s="1455" t="s">
        <v>98</v>
      </c>
      <c r="F121" s="1447" t="s">
        <v>759</v>
      </c>
      <c r="G121" s="1448" t="s">
        <v>103</v>
      </c>
      <c r="H121" s="1456" t="s">
        <v>98</v>
      </c>
      <c r="I121" s="1449" t="s">
        <v>98</v>
      </c>
      <c r="J121" s="1450">
        <v>0</v>
      </c>
      <c r="K121" s="1448" t="s">
        <v>96</v>
      </c>
      <c r="L121" s="1448">
        <v>0</v>
      </c>
      <c r="M121" s="1451">
        <v>1</v>
      </c>
      <c r="N121" s="1452">
        <v>1.2620910621938648</v>
      </c>
      <c r="O121" s="1453" t="s">
        <v>3196</v>
      </c>
      <c r="P121" s="1448">
        <v>42725760.000000007</v>
      </c>
      <c r="Q121" s="1451">
        <v>1</v>
      </c>
      <c r="R121" s="1452">
        <v>1.2434566510799234</v>
      </c>
      <c r="S121" s="1453" t="s">
        <v>3215</v>
      </c>
      <c r="T121" s="1401"/>
      <c r="U121" s="1402"/>
      <c r="V121" s="1402"/>
      <c r="W121" s="1396"/>
      <c r="X121" s="1387">
        <v>3</v>
      </c>
      <c r="Y121" s="1387">
        <v>4</v>
      </c>
      <c r="Z121" s="1387">
        <v>1</v>
      </c>
      <c r="AA121" s="1387">
        <v>3</v>
      </c>
      <c r="AB121" s="1387">
        <v>1</v>
      </c>
      <c r="AC121" s="1398">
        <v>5</v>
      </c>
      <c r="AD121" s="1394">
        <v>6</v>
      </c>
      <c r="AE121" s="1380">
        <v>1.05</v>
      </c>
      <c r="AF121" s="1391">
        <v>1.2555818742947564</v>
      </c>
      <c r="AG121" s="1391">
        <v>1.2620910621938648</v>
      </c>
      <c r="AH121" s="1392" t="s">
        <v>3222</v>
      </c>
      <c r="AI121" s="1389">
        <v>1.1000000000000001</v>
      </c>
      <c r="AJ121" s="1389">
        <v>1.1000000000000001</v>
      </c>
      <c r="AK121" s="1389">
        <v>1</v>
      </c>
      <c r="AL121" s="1389">
        <v>1.02</v>
      </c>
      <c r="AM121" s="1389">
        <v>1</v>
      </c>
      <c r="AN121" s="1389">
        <v>1.2</v>
      </c>
      <c r="AO121" s="1401"/>
      <c r="AP121" s="1396" t="s">
        <v>758</v>
      </c>
      <c r="AQ121" s="1387">
        <v>2</v>
      </c>
      <c r="AR121" s="1387">
        <v>4</v>
      </c>
      <c r="AS121" s="1387">
        <v>1</v>
      </c>
      <c r="AT121" s="1387">
        <v>3</v>
      </c>
      <c r="AU121" s="1387">
        <v>1</v>
      </c>
      <c r="AV121" s="1387">
        <v>5</v>
      </c>
      <c r="AW121" s="1394">
        <v>6</v>
      </c>
      <c r="AX121" s="1380">
        <v>1.05</v>
      </c>
      <c r="AY121" s="1391">
        <v>1.2365959919080913</v>
      </c>
      <c r="AZ121" s="1391">
        <v>1.2434566510799234</v>
      </c>
      <c r="BA121" s="1392" t="s">
        <v>3226</v>
      </c>
      <c r="BB121" s="1389">
        <v>1.05</v>
      </c>
      <c r="BC121" s="1389">
        <v>1.1000000000000001</v>
      </c>
      <c r="BD121" s="1389">
        <v>1</v>
      </c>
      <c r="BE121" s="1389">
        <v>1.02</v>
      </c>
      <c r="BF121" s="1389">
        <v>1</v>
      </c>
      <c r="BG121" s="1389">
        <v>1.2</v>
      </c>
    </row>
    <row r="122" spans="1:59" ht="24" customHeight="1">
      <c r="A122" s="1470">
        <v>116809</v>
      </c>
      <c r="B122" s="1435" t="s">
        <v>218</v>
      </c>
      <c r="C122" s="1434"/>
      <c r="D122" s="1441">
        <v>4</v>
      </c>
      <c r="E122" s="1460" t="s">
        <v>98</v>
      </c>
      <c r="F122" s="1415" t="s">
        <v>929</v>
      </c>
      <c r="G122" s="1416" t="s">
        <v>98</v>
      </c>
      <c r="H122" s="1418" t="s">
        <v>131</v>
      </c>
      <c r="I122" s="1418" t="s">
        <v>764</v>
      </c>
      <c r="J122" s="1419" t="s">
        <v>98</v>
      </c>
      <c r="K122" s="1416" t="s">
        <v>725</v>
      </c>
      <c r="L122" s="1416">
        <v>43144.022591779103</v>
      </c>
      <c r="M122" s="1486">
        <v>1</v>
      </c>
      <c r="N122" s="1487">
        <v>1.5919770563893134</v>
      </c>
      <c r="O122" s="1488" t="s">
        <v>3232</v>
      </c>
      <c r="P122" s="1416">
        <v>0</v>
      </c>
      <c r="Q122" s="1486">
        <v>1</v>
      </c>
      <c r="R122" s="1421">
        <v>1.5</v>
      </c>
      <c r="S122" s="1488" t="s">
        <v>3191</v>
      </c>
      <c r="T122" s="1405"/>
      <c r="U122" s="1405"/>
      <c r="V122" s="1405"/>
      <c r="W122" s="1390" t="s">
        <v>930</v>
      </c>
      <c r="X122" s="1387">
        <v>3</v>
      </c>
      <c r="Y122" s="1387">
        <v>4</v>
      </c>
      <c r="Z122" s="1387">
        <v>1</v>
      </c>
      <c r="AA122" s="1387">
        <v>3</v>
      </c>
      <c r="AB122" s="1387">
        <v>1</v>
      </c>
      <c r="AC122" s="1398">
        <v>5</v>
      </c>
      <c r="AD122" s="1394">
        <v>7</v>
      </c>
      <c r="AE122" s="1380">
        <v>1.5</v>
      </c>
      <c r="AF122" s="1383">
        <v>1.2555818742947564</v>
      </c>
      <c r="AG122" s="1383">
        <v>1.5919770563893134</v>
      </c>
      <c r="AH122" s="1384" t="s">
        <v>3222</v>
      </c>
      <c r="AI122" s="1379">
        <v>1.1000000000000001</v>
      </c>
      <c r="AJ122" s="1379">
        <v>1.1000000000000001</v>
      </c>
      <c r="AK122" s="1379">
        <v>1</v>
      </c>
      <c r="AL122" s="1379">
        <v>1.02</v>
      </c>
      <c r="AM122" s="1379">
        <v>1</v>
      </c>
      <c r="AN122" s="1379">
        <v>1.2</v>
      </c>
      <c r="AO122" s="1372"/>
      <c r="AP122" s="1390"/>
      <c r="AQ122" s="1378">
        <v>1</v>
      </c>
      <c r="AR122" s="1378">
        <v>1</v>
      </c>
      <c r="AS122" s="1378">
        <v>1</v>
      </c>
      <c r="AT122" s="1378">
        <v>1</v>
      </c>
      <c r="AU122" s="1378">
        <v>1</v>
      </c>
      <c r="AV122" s="1378">
        <v>1</v>
      </c>
      <c r="AW122" s="1394">
        <v>7</v>
      </c>
      <c r="AX122" s="1380">
        <v>1.5</v>
      </c>
      <c r="AY122" s="1383">
        <v>1</v>
      </c>
      <c r="AZ122" s="1383">
        <v>1.5</v>
      </c>
      <c r="BA122" s="1384" t="s">
        <v>3089</v>
      </c>
      <c r="BB122" s="1379">
        <v>1</v>
      </c>
      <c r="BC122" s="1379">
        <v>1</v>
      </c>
      <c r="BD122" s="1379">
        <v>1</v>
      </c>
      <c r="BE122" s="1379">
        <v>1</v>
      </c>
      <c r="BF122" s="1379">
        <v>1</v>
      </c>
      <c r="BG122" s="1379">
        <v>1</v>
      </c>
    </row>
    <row r="123" spans="1:59" s="401" customFormat="1" ht="24" customHeight="1">
      <c r="A123" s="1471">
        <v>113531</v>
      </c>
      <c r="B123" s="1435"/>
      <c r="C123" s="1434"/>
      <c r="D123" s="1458">
        <v>4</v>
      </c>
      <c r="E123" s="1459" t="s">
        <v>98</v>
      </c>
      <c r="F123" s="1447" t="s">
        <v>766</v>
      </c>
      <c r="G123" s="1448" t="s">
        <v>98</v>
      </c>
      <c r="H123" s="1456" t="s">
        <v>218</v>
      </c>
      <c r="I123" s="1449" t="s">
        <v>764</v>
      </c>
      <c r="J123" s="1450" t="s">
        <v>98</v>
      </c>
      <c r="K123" s="1448" t="s">
        <v>725</v>
      </c>
      <c r="L123" s="1448">
        <v>25000</v>
      </c>
      <c r="M123" s="1451">
        <v>1</v>
      </c>
      <c r="N123" s="1452">
        <v>1.5919770563893134</v>
      </c>
      <c r="O123" s="1483" t="s">
        <v>3232</v>
      </c>
      <c r="P123" s="1448">
        <v>630052.5</v>
      </c>
      <c r="Q123" s="1451">
        <v>1</v>
      </c>
      <c r="R123" s="1452">
        <v>1.5804528752110836</v>
      </c>
      <c r="S123" s="1453" t="s">
        <v>3193</v>
      </c>
      <c r="T123" s="1401"/>
      <c r="U123" s="1402"/>
      <c r="V123" s="1402"/>
      <c r="W123" s="1390" t="s">
        <v>930</v>
      </c>
      <c r="X123" s="1387">
        <v>3</v>
      </c>
      <c r="Y123" s="1387">
        <v>4</v>
      </c>
      <c r="Z123" s="1387">
        <v>1</v>
      </c>
      <c r="AA123" s="1387">
        <v>3</v>
      </c>
      <c r="AB123" s="1387">
        <v>1</v>
      </c>
      <c r="AC123" s="1398">
        <v>5</v>
      </c>
      <c r="AD123" s="1394">
        <v>7</v>
      </c>
      <c r="AE123" s="1380">
        <v>1.5</v>
      </c>
      <c r="AF123" s="1391">
        <v>1.2555818742947564</v>
      </c>
      <c r="AG123" s="1391">
        <v>1.5919770563893134</v>
      </c>
      <c r="AH123" s="1392" t="s">
        <v>3222</v>
      </c>
      <c r="AI123" s="1389">
        <v>1.1000000000000001</v>
      </c>
      <c r="AJ123" s="1389">
        <v>1.1000000000000001</v>
      </c>
      <c r="AK123" s="1389">
        <v>1</v>
      </c>
      <c r="AL123" s="1389">
        <v>1.02</v>
      </c>
      <c r="AM123" s="1389">
        <v>1</v>
      </c>
      <c r="AN123" s="1389">
        <v>1.2</v>
      </c>
      <c r="AO123" s="1401"/>
      <c r="AP123" s="1396" t="s">
        <v>673</v>
      </c>
      <c r="AQ123" s="1387">
        <v>2</v>
      </c>
      <c r="AR123" s="1387">
        <v>4</v>
      </c>
      <c r="AS123" s="1387">
        <v>1</v>
      </c>
      <c r="AT123" s="1387">
        <v>3</v>
      </c>
      <c r="AU123" s="1387">
        <v>1</v>
      </c>
      <c r="AV123" s="1387">
        <v>5</v>
      </c>
      <c r="AW123" s="1394">
        <v>7</v>
      </c>
      <c r="AX123" s="1380">
        <v>1.5</v>
      </c>
      <c r="AY123" s="1391">
        <v>1.2365959919080913</v>
      </c>
      <c r="AZ123" s="1391">
        <v>1.5804528752110836</v>
      </c>
      <c r="BA123" s="1392" t="s">
        <v>3226</v>
      </c>
      <c r="BB123" s="1389">
        <v>1.05</v>
      </c>
      <c r="BC123" s="1389">
        <v>1.1000000000000001</v>
      </c>
      <c r="BD123" s="1389">
        <v>1</v>
      </c>
      <c r="BE123" s="1389">
        <v>1.02</v>
      </c>
      <c r="BF123" s="1389">
        <v>1</v>
      </c>
      <c r="BG123" s="1389">
        <v>1.2</v>
      </c>
    </row>
    <row r="124" spans="1:59" s="401" customFormat="1" ht="12.75" customHeight="1">
      <c r="A124" s="1410">
        <v>113599</v>
      </c>
      <c r="B124" s="1435"/>
      <c r="C124" s="1411"/>
      <c r="D124" s="1413">
        <v>4</v>
      </c>
      <c r="E124" s="1414" t="s">
        <v>98</v>
      </c>
      <c r="F124" s="1415" t="s">
        <v>763</v>
      </c>
      <c r="G124" s="1416" t="s">
        <v>98</v>
      </c>
      <c r="H124" s="1417" t="s">
        <v>218</v>
      </c>
      <c r="I124" s="1418" t="s">
        <v>764</v>
      </c>
      <c r="J124" s="1419" t="s">
        <v>98</v>
      </c>
      <c r="K124" s="1416" t="s">
        <v>725</v>
      </c>
      <c r="L124" s="1416">
        <v>0</v>
      </c>
      <c r="M124" s="1420">
        <v>1</v>
      </c>
      <c r="N124" s="1421">
        <v>1.5919770563893134</v>
      </c>
      <c r="O124" s="1422" t="s">
        <v>3196</v>
      </c>
      <c r="P124" s="1416">
        <v>1224000</v>
      </c>
      <c r="Q124" s="1420">
        <v>1</v>
      </c>
      <c r="R124" s="1421">
        <v>1.5804528752110836</v>
      </c>
      <c r="S124" s="1422" t="s">
        <v>3193</v>
      </c>
      <c r="T124" s="1401"/>
      <c r="U124" s="1402"/>
      <c r="V124" s="1402"/>
      <c r="W124" s="1388"/>
      <c r="X124" s="1387">
        <v>3</v>
      </c>
      <c r="Y124" s="1387">
        <v>4</v>
      </c>
      <c r="Z124" s="1387">
        <v>1</v>
      </c>
      <c r="AA124" s="1387">
        <v>3</v>
      </c>
      <c r="AB124" s="1387">
        <v>1</v>
      </c>
      <c r="AC124" s="1398">
        <v>5</v>
      </c>
      <c r="AD124" s="1394">
        <v>7</v>
      </c>
      <c r="AE124" s="1380">
        <v>1.5</v>
      </c>
      <c r="AF124" s="1391">
        <v>1.2555818742947564</v>
      </c>
      <c r="AG124" s="1391">
        <v>1.5919770563893134</v>
      </c>
      <c r="AH124" s="1392" t="s">
        <v>3222</v>
      </c>
      <c r="AI124" s="1389">
        <v>1.1000000000000001</v>
      </c>
      <c r="AJ124" s="1389">
        <v>1.1000000000000001</v>
      </c>
      <c r="AK124" s="1389">
        <v>1</v>
      </c>
      <c r="AL124" s="1389">
        <v>1.02</v>
      </c>
      <c r="AM124" s="1389">
        <v>1</v>
      </c>
      <c r="AN124" s="1389">
        <v>1.2</v>
      </c>
      <c r="AO124" s="1401"/>
      <c r="AP124" s="1396" t="s">
        <v>673</v>
      </c>
      <c r="AQ124" s="1387">
        <v>2</v>
      </c>
      <c r="AR124" s="1387">
        <v>4</v>
      </c>
      <c r="AS124" s="1387">
        <v>1</v>
      </c>
      <c r="AT124" s="1387">
        <v>3</v>
      </c>
      <c r="AU124" s="1387">
        <v>1</v>
      </c>
      <c r="AV124" s="1387">
        <v>5</v>
      </c>
      <c r="AW124" s="1394">
        <v>7</v>
      </c>
      <c r="AX124" s="1380">
        <v>1.5</v>
      </c>
      <c r="AY124" s="1391">
        <v>1.2365959919080913</v>
      </c>
      <c r="AZ124" s="1391">
        <v>1.5804528752110836</v>
      </c>
      <c r="BA124" s="1392" t="s">
        <v>3226</v>
      </c>
      <c r="BB124" s="1389">
        <v>1.05</v>
      </c>
      <c r="BC124" s="1389">
        <v>1.1000000000000001</v>
      </c>
      <c r="BD124" s="1389">
        <v>1</v>
      </c>
      <c r="BE124" s="1389">
        <v>1.02</v>
      </c>
      <c r="BF124" s="1389">
        <v>1</v>
      </c>
      <c r="BG124" s="1389">
        <v>1.2</v>
      </c>
    </row>
    <row r="125" spans="1:59" s="401" customFormat="1" ht="12.75" customHeight="1">
      <c r="A125" s="1432">
        <v>131267</v>
      </c>
      <c r="B125" s="1435"/>
      <c r="C125" s="1434"/>
      <c r="D125" s="1458">
        <v>4</v>
      </c>
      <c r="E125" s="1459" t="s">
        <v>98</v>
      </c>
      <c r="F125" s="1447" t="s">
        <v>765</v>
      </c>
      <c r="G125" s="1448" t="s">
        <v>98</v>
      </c>
      <c r="H125" s="1456" t="s">
        <v>218</v>
      </c>
      <c r="I125" s="1449" t="s">
        <v>764</v>
      </c>
      <c r="J125" s="1450" t="s">
        <v>98</v>
      </c>
      <c r="K125" s="1448" t="s">
        <v>725</v>
      </c>
      <c r="L125" s="1448">
        <v>0</v>
      </c>
      <c r="M125" s="1451">
        <v>1</v>
      </c>
      <c r="N125" s="1452">
        <v>1.5919770563893134</v>
      </c>
      <c r="O125" s="1453" t="s">
        <v>3196</v>
      </c>
      <c r="P125" s="1448">
        <v>1463813.6</v>
      </c>
      <c r="Q125" s="1451">
        <v>1</v>
      </c>
      <c r="R125" s="1452">
        <v>1.5804528752110836</v>
      </c>
      <c r="S125" s="1453" t="s">
        <v>3193</v>
      </c>
      <c r="T125" s="1401"/>
      <c r="U125" s="1402"/>
      <c r="V125" s="1402"/>
      <c r="W125" s="1385"/>
      <c r="X125" s="1387">
        <v>3</v>
      </c>
      <c r="Y125" s="1387">
        <v>4</v>
      </c>
      <c r="Z125" s="1387">
        <v>1</v>
      </c>
      <c r="AA125" s="1387">
        <v>3</v>
      </c>
      <c r="AB125" s="1387">
        <v>1</v>
      </c>
      <c r="AC125" s="1398">
        <v>5</v>
      </c>
      <c r="AD125" s="1394">
        <v>7</v>
      </c>
      <c r="AE125" s="1380">
        <v>1.5</v>
      </c>
      <c r="AF125" s="1391">
        <v>1.2555818742947564</v>
      </c>
      <c r="AG125" s="1391">
        <v>1.5919770563893134</v>
      </c>
      <c r="AH125" s="1392" t="s">
        <v>3222</v>
      </c>
      <c r="AI125" s="1389">
        <v>1.1000000000000001</v>
      </c>
      <c r="AJ125" s="1389">
        <v>1.1000000000000001</v>
      </c>
      <c r="AK125" s="1389">
        <v>1</v>
      </c>
      <c r="AL125" s="1389">
        <v>1.02</v>
      </c>
      <c r="AM125" s="1389">
        <v>1</v>
      </c>
      <c r="AN125" s="1389">
        <v>1.2</v>
      </c>
      <c r="AO125" s="1401"/>
      <c r="AP125" s="1396" t="s">
        <v>673</v>
      </c>
      <c r="AQ125" s="1387">
        <v>2</v>
      </c>
      <c r="AR125" s="1387">
        <v>4</v>
      </c>
      <c r="AS125" s="1387">
        <v>1</v>
      </c>
      <c r="AT125" s="1387">
        <v>3</v>
      </c>
      <c r="AU125" s="1387">
        <v>1</v>
      </c>
      <c r="AV125" s="1387">
        <v>5</v>
      </c>
      <c r="AW125" s="1394">
        <v>7</v>
      </c>
      <c r="AX125" s="1380">
        <v>1.5</v>
      </c>
      <c r="AY125" s="1391">
        <v>1.2365959919080913</v>
      </c>
      <c r="AZ125" s="1391">
        <v>1.5804528752110836</v>
      </c>
      <c r="BA125" s="1392" t="s">
        <v>3226</v>
      </c>
      <c r="BB125" s="1389">
        <v>1.05</v>
      </c>
      <c r="BC125" s="1389">
        <v>1.1000000000000001</v>
      </c>
      <c r="BD125" s="1389">
        <v>1</v>
      </c>
      <c r="BE125" s="1389">
        <v>1.02</v>
      </c>
      <c r="BF125" s="1389">
        <v>1</v>
      </c>
      <c r="BG125" s="1389">
        <v>1.2</v>
      </c>
    </row>
    <row r="126" spans="1:59">
      <c r="A126" s="1470">
        <v>54270</v>
      </c>
      <c r="B126" s="1435"/>
      <c r="C126" s="1434"/>
      <c r="D126" s="1441">
        <v>4</v>
      </c>
      <c r="E126" s="1441" t="s">
        <v>98</v>
      </c>
      <c r="F126" s="1415" t="s">
        <v>790</v>
      </c>
      <c r="G126" s="1416" t="s">
        <v>98</v>
      </c>
      <c r="H126" s="1418" t="s">
        <v>131</v>
      </c>
      <c r="I126" s="1418" t="s">
        <v>764</v>
      </c>
      <c r="J126" s="1419" t="s">
        <v>98</v>
      </c>
      <c r="K126" s="1416" t="s">
        <v>679</v>
      </c>
      <c r="L126" s="1416">
        <v>2725.7609036711638</v>
      </c>
      <c r="M126" s="1486">
        <v>1</v>
      </c>
      <c r="N126" s="1487">
        <v>2.0741629046031922</v>
      </c>
      <c r="O126" s="1488" t="s">
        <v>3221</v>
      </c>
      <c r="P126" s="1416">
        <v>0</v>
      </c>
      <c r="Q126" s="1486">
        <v>1</v>
      </c>
      <c r="R126" s="1421">
        <v>2</v>
      </c>
      <c r="S126" s="1488" t="s">
        <v>3191</v>
      </c>
      <c r="T126" s="1405"/>
      <c r="U126" s="1405"/>
      <c r="V126" s="1405"/>
      <c r="W126" s="1390" t="s">
        <v>923</v>
      </c>
      <c r="X126" s="1387">
        <v>3</v>
      </c>
      <c r="Y126" s="1387">
        <v>4</v>
      </c>
      <c r="Z126" s="1387">
        <v>1</v>
      </c>
      <c r="AA126" s="1387">
        <v>3</v>
      </c>
      <c r="AB126" s="1387">
        <v>1</v>
      </c>
      <c r="AC126" s="1398">
        <v>5</v>
      </c>
      <c r="AD126" s="1394">
        <v>8</v>
      </c>
      <c r="AE126" s="1380">
        <v>2</v>
      </c>
      <c r="AF126" s="1383">
        <v>1.2555818742947564</v>
      </c>
      <c r="AG126" s="1383">
        <v>2.0741629046031922</v>
      </c>
      <c r="AH126" s="1384" t="s">
        <v>3222</v>
      </c>
      <c r="AI126" s="1379">
        <v>1.1000000000000001</v>
      </c>
      <c r="AJ126" s="1379">
        <v>1.1000000000000001</v>
      </c>
      <c r="AK126" s="1379">
        <v>1</v>
      </c>
      <c r="AL126" s="1379">
        <v>1.02</v>
      </c>
      <c r="AM126" s="1379">
        <v>1</v>
      </c>
      <c r="AN126" s="1379">
        <v>1.2</v>
      </c>
      <c r="AO126" s="1372"/>
      <c r="AP126" s="1390"/>
      <c r="AQ126" s="1378">
        <v>1</v>
      </c>
      <c r="AR126" s="1378">
        <v>1</v>
      </c>
      <c r="AS126" s="1378">
        <v>1</v>
      </c>
      <c r="AT126" s="1378">
        <v>1</v>
      </c>
      <c r="AU126" s="1378">
        <v>1</v>
      </c>
      <c r="AV126" s="1378">
        <v>1</v>
      </c>
      <c r="AW126" s="1394">
        <v>8</v>
      </c>
      <c r="AX126" s="1380">
        <v>2</v>
      </c>
      <c r="AY126" s="1383">
        <v>1</v>
      </c>
      <c r="AZ126" s="1383">
        <v>2</v>
      </c>
      <c r="BA126" s="1384" t="s">
        <v>3089</v>
      </c>
      <c r="BB126" s="1379">
        <v>1</v>
      </c>
      <c r="BC126" s="1379">
        <v>1</v>
      </c>
      <c r="BD126" s="1379">
        <v>1</v>
      </c>
      <c r="BE126" s="1379">
        <v>1</v>
      </c>
      <c r="BF126" s="1379">
        <v>1</v>
      </c>
      <c r="BG126" s="1379">
        <v>1</v>
      </c>
    </row>
    <row r="127" spans="1:59" s="401" customFormat="1" ht="24" customHeight="1">
      <c r="A127" s="1457">
        <v>1381</v>
      </c>
      <c r="B127" s="1433"/>
      <c r="C127" s="1411"/>
      <c r="D127" s="1454">
        <v>4</v>
      </c>
      <c r="E127" s="1455" t="s">
        <v>98</v>
      </c>
      <c r="F127" s="1447" t="s">
        <v>768</v>
      </c>
      <c r="G127" s="1448" t="s">
        <v>98</v>
      </c>
      <c r="H127" s="1456" t="s">
        <v>218</v>
      </c>
      <c r="I127" s="1449" t="s">
        <v>764</v>
      </c>
      <c r="J127" s="1450" t="s">
        <v>98</v>
      </c>
      <c r="K127" s="1448" t="s">
        <v>679</v>
      </c>
      <c r="L127" s="1448">
        <v>0</v>
      </c>
      <c r="M127" s="1451">
        <v>1</v>
      </c>
      <c r="N127" s="1452">
        <v>1.3385948990307144</v>
      </c>
      <c r="O127" s="1453" t="s">
        <v>3196</v>
      </c>
      <c r="P127" s="1448">
        <v>110595.5</v>
      </c>
      <c r="Q127" s="1451">
        <v>1</v>
      </c>
      <c r="R127" s="1452">
        <v>1.3229855584076429</v>
      </c>
      <c r="S127" s="1453" t="s">
        <v>3218</v>
      </c>
      <c r="T127" s="1401"/>
      <c r="U127" s="1402"/>
      <c r="V127" s="1402"/>
      <c r="W127" s="1397"/>
      <c r="X127" s="1387">
        <v>3</v>
      </c>
      <c r="Y127" s="1387">
        <v>4</v>
      </c>
      <c r="Z127" s="1387">
        <v>1</v>
      </c>
      <c r="AA127" s="1387">
        <v>3</v>
      </c>
      <c r="AB127" s="1387">
        <v>1</v>
      </c>
      <c r="AC127" s="1398">
        <v>5</v>
      </c>
      <c r="AD127" s="1394">
        <v>47</v>
      </c>
      <c r="AE127" s="1380">
        <v>1.2</v>
      </c>
      <c r="AF127" s="1391">
        <v>1.2555818742947564</v>
      </c>
      <c r="AG127" s="1391">
        <v>1.3385948990307144</v>
      </c>
      <c r="AH127" s="1392" t="s">
        <v>3222</v>
      </c>
      <c r="AI127" s="1389">
        <v>1.1000000000000001</v>
      </c>
      <c r="AJ127" s="1389">
        <v>1.1000000000000001</v>
      </c>
      <c r="AK127" s="1389">
        <v>1</v>
      </c>
      <c r="AL127" s="1389">
        <v>1.02</v>
      </c>
      <c r="AM127" s="1389">
        <v>1</v>
      </c>
      <c r="AN127" s="1389">
        <v>1.2</v>
      </c>
      <c r="AO127" s="1401"/>
      <c r="AP127" s="1396" t="s">
        <v>769</v>
      </c>
      <c r="AQ127" s="1387">
        <v>2</v>
      </c>
      <c r="AR127" s="1387">
        <v>4</v>
      </c>
      <c r="AS127" s="1387">
        <v>1</v>
      </c>
      <c r="AT127" s="1387">
        <v>3</v>
      </c>
      <c r="AU127" s="1387">
        <v>1</v>
      </c>
      <c r="AV127" s="1387">
        <v>5</v>
      </c>
      <c r="AW127" s="1394">
        <v>47</v>
      </c>
      <c r="AX127" s="1380">
        <v>1.2</v>
      </c>
      <c r="AY127" s="1391">
        <v>1.2365959919080913</v>
      </c>
      <c r="AZ127" s="1391">
        <v>1.3229855584076429</v>
      </c>
      <c r="BA127" s="1392" t="s">
        <v>3226</v>
      </c>
      <c r="BB127" s="1389">
        <v>1.05</v>
      </c>
      <c r="BC127" s="1389">
        <v>1.1000000000000001</v>
      </c>
      <c r="BD127" s="1389">
        <v>1</v>
      </c>
      <c r="BE127" s="1389">
        <v>1.02</v>
      </c>
      <c r="BF127" s="1389">
        <v>1</v>
      </c>
      <c r="BG127" s="1389">
        <v>1.2</v>
      </c>
    </row>
    <row r="128" spans="1:59" s="401" customFormat="1" ht="24" customHeight="1">
      <c r="A128" s="1457">
        <v>20910</v>
      </c>
      <c r="B128" s="1433"/>
      <c r="C128" s="1411"/>
      <c r="D128" s="1413">
        <v>4</v>
      </c>
      <c r="E128" s="1414" t="s">
        <v>98</v>
      </c>
      <c r="F128" s="1415" t="s">
        <v>770</v>
      </c>
      <c r="G128" s="1416" t="s">
        <v>98</v>
      </c>
      <c r="H128" s="1417" t="s">
        <v>218</v>
      </c>
      <c r="I128" s="1418" t="s">
        <v>764</v>
      </c>
      <c r="J128" s="1419" t="s">
        <v>98</v>
      </c>
      <c r="K128" s="1416" t="s">
        <v>679</v>
      </c>
      <c r="L128" s="1416">
        <v>1725.760903671164</v>
      </c>
      <c r="M128" s="1420">
        <v>1</v>
      </c>
      <c r="N128" s="1421">
        <v>2.0741629046031922</v>
      </c>
      <c r="O128" s="1422" t="s">
        <v>3233</v>
      </c>
      <c r="P128" s="1416">
        <v>40800</v>
      </c>
      <c r="Q128" s="1420">
        <v>1</v>
      </c>
      <c r="R128" s="1421">
        <v>2.0646254680556719</v>
      </c>
      <c r="S128" s="1422" t="s">
        <v>3193</v>
      </c>
      <c r="T128" s="1401"/>
      <c r="U128" s="1405">
        <v>3900</v>
      </c>
      <c r="V128" s="1405">
        <v>1600</v>
      </c>
      <c r="W128" s="1390" t="s">
        <v>931</v>
      </c>
      <c r="X128" s="1387">
        <v>3</v>
      </c>
      <c r="Y128" s="1387">
        <v>4</v>
      </c>
      <c r="Z128" s="1387">
        <v>1</v>
      </c>
      <c r="AA128" s="1387">
        <v>3</v>
      </c>
      <c r="AB128" s="1387">
        <v>1</v>
      </c>
      <c r="AC128" s="1398">
        <v>5</v>
      </c>
      <c r="AD128" s="1394">
        <v>8</v>
      </c>
      <c r="AE128" s="1380">
        <v>2</v>
      </c>
      <c r="AF128" s="1391">
        <v>1.2555818742947564</v>
      </c>
      <c r="AG128" s="1391">
        <v>2.0741629046031922</v>
      </c>
      <c r="AH128" s="1392" t="s">
        <v>3222</v>
      </c>
      <c r="AI128" s="1389">
        <v>1.1000000000000001</v>
      </c>
      <c r="AJ128" s="1389">
        <v>1.1000000000000001</v>
      </c>
      <c r="AK128" s="1389">
        <v>1</v>
      </c>
      <c r="AL128" s="1389">
        <v>1.02</v>
      </c>
      <c r="AM128" s="1389">
        <v>1</v>
      </c>
      <c r="AN128" s="1389">
        <v>1.2</v>
      </c>
      <c r="AO128" s="1401"/>
      <c r="AP128" s="1396" t="s">
        <v>673</v>
      </c>
      <c r="AQ128" s="1387">
        <v>2</v>
      </c>
      <c r="AR128" s="1387">
        <v>4</v>
      </c>
      <c r="AS128" s="1387">
        <v>1</v>
      </c>
      <c r="AT128" s="1387">
        <v>3</v>
      </c>
      <c r="AU128" s="1387">
        <v>1</v>
      </c>
      <c r="AV128" s="1387">
        <v>5</v>
      </c>
      <c r="AW128" s="1394">
        <v>8</v>
      </c>
      <c r="AX128" s="1380">
        <v>2</v>
      </c>
      <c r="AY128" s="1391">
        <v>1.2365959919080913</v>
      </c>
      <c r="AZ128" s="1391">
        <v>2.0646254680556719</v>
      </c>
      <c r="BA128" s="1392" t="s">
        <v>3226</v>
      </c>
      <c r="BB128" s="1389">
        <v>1.05</v>
      </c>
      <c r="BC128" s="1389">
        <v>1.1000000000000001</v>
      </c>
      <c r="BD128" s="1389">
        <v>1</v>
      </c>
      <c r="BE128" s="1389">
        <v>1.02</v>
      </c>
      <c r="BF128" s="1389">
        <v>1</v>
      </c>
      <c r="BG128" s="1389">
        <v>1.2</v>
      </c>
    </row>
    <row r="129" spans="1:59" s="401" customFormat="1" ht="12.75" customHeight="1">
      <c r="A129" s="1457">
        <v>22234</v>
      </c>
      <c r="B129" s="1433"/>
      <c r="C129" s="1411"/>
      <c r="D129" s="1454">
        <v>4</v>
      </c>
      <c r="E129" s="1455" t="s">
        <v>98</v>
      </c>
      <c r="F129" s="1447" t="s">
        <v>773</v>
      </c>
      <c r="G129" s="1448" t="s">
        <v>98</v>
      </c>
      <c r="H129" s="1456" t="s">
        <v>218</v>
      </c>
      <c r="I129" s="1449" t="s">
        <v>764</v>
      </c>
      <c r="J129" s="1450" t="s">
        <v>98</v>
      </c>
      <c r="K129" s="1448" t="s">
        <v>679</v>
      </c>
      <c r="L129" s="1448">
        <v>0</v>
      </c>
      <c r="M129" s="1451">
        <v>1</v>
      </c>
      <c r="N129" s="1452">
        <v>2.0741629046031922</v>
      </c>
      <c r="O129" s="1453" t="s">
        <v>3196</v>
      </c>
      <c r="P129" s="1448">
        <v>48793.80000000001</v>
      </c>
      <c r="Q129" s="1451">
        <v>1</v>
      </c>
      <c r="R129" s="1452">
        <v>2.0646254680556719</v>
      </c>
      <c r="S129" s="1453" t="s">
        <v>3193</v>
      </c>
      <c r="T129" s="1401"/>
      <c r="U129" s="1402"/>
      <c r="V129" s="1402"/>
      <c r="W129" s="1388"/>
      <c r="X129" s="1387">
        <v>3</v>
      </c>
      <c r="Y129" s="1387">
        <v>4</v>
      </c>
      <c r="Z129" s="1387">
        <v>1</v>
      </c>
      <c r="AA129" s="1387">
        <v>3</v>
      </c>
      <c r="AB129" s="1387">
        <v>1</v>
      </c>
      <c r="AC129" s="1398">
        <v>5</v>
      </c>
      <c r="AD129" s="1394">
        <v>8</v>
      </c>
      <c r="AE129" s="1380">
        <v>2</v>
      </c>
      <c r="AF129" s="1391">
        <v>1.2555818742947564</v>
      </c>
      <c r="AG129" s="1391">
        <v>2.0741629046031922</v>
      </c>
      <c r="AH129" s="1392" t="s">
        <v>3222</v>
      </c>
      <c r="AI129" s="1389">
        <v>1.1000000000000001</v>
      </c>
      <c r="AJ129" s="1389">
        <v>1.1000000000000001</v>
      </c>
      <c r="AK129" s="1389">
        <v>1</v>
      </c>
      <c r="AL129" s="1389">
        <v>1.02</v>
      </c>
      <c r="AM129" s="1389">
        <v>1</v>
      </c>
      <c r="AN129" s="1389">
        <v>1.2</v>
      </c>
      <c r="AO129" s="1401"/>
      <c r="AP129" s="1396" t="s">
        <v>673</v>
      </c>
      <c r="AQ129" s="1387">
        <v>2</v>
      </c>
      <c r="AR129" s="1387">
        <v>4</v>
      </c>
      <c r="AS129" s="1387">
        <v>1</v>
      </c>
      <c r="AT129" s="1387">
        <v>3</v>
      </c>
      <c r="AU129" s="1387">
        <v>1</v>
      </c>
      <c r="AV129" s="1387">
        <v>5</v>
      </c>
      <c r="AW129" s="1394">
        <v>8</v>
      </c>
      <c r="AX129" s="1380">
        <v>2</v>
      </c>
      <c r="AY129" s="1391">
        <v>1.2365959919080913</v>
      </c>
      <c r="AZ129" s="1391">
        <v>2.0646254680556719</v>
      </c>
      <c r="BA129" s="1392" t="s">
        <v>3226</v>
      </c>
      <c r="BB129" s="1389">
        <v>1.05</v>
      </c>
      <c r="BC129" s="1389">
        <v>1.1000000000000001</v>
      </c>
      <c r="BD129" s="1389">
        <v>1</v>
      </c>
      <c r="BE129" s="1389">
        <v>1.02</v>
      </c>
      <c r="BF129" s="1389">
        <v>1</v>
      </c>
      <c r="BG129" s="1389">
        <v>1.2</v>
      </c>
    </row>
    <row r="130" spans="1:59" s="401" customFormat="1" ht="24" customHeight="1">
      <c r="A130" s="1457">
        <v>21292</v>
      </c>
      <c r="B130" s="1433"/>
      <c r="C130" s="1411"/>
      <c r="D130" s="1413">
        <v>4</v>
      </c>
      <c r="E130" s="1414" t="s">
        <v>98</v>
      </c>
      <c r="F130" s="1415" t="s">
        <v>771</v>
      </c>
      <c r="G130" s="1416" t="s">
        <v>98</v>
      </c>
      <c r="H130" s="1417" t="s">
        <v>218</v>
      </c>
      <c r="I130" s="1418" t="s">
        <v>764</v>
      </c>
      <c r="J130" s="1419" t="s">
        <v>98</v>
      </c>
      <c r="K130" s="1416" t="s">
        <v>679</v>
      </c>
      <c r="L130" s="1416">
        <v>1000</v>
      </c>
      <c r="M130" s="1420">
        <v>1</v>
      </c>
      <c r="N130" s="1421">
        <v>2.0741629046031922</v>
      </c>
      <c r="O130" s="1422" t="s">
        <v>3221</v>
      </c>
      <c r="P130" s="1416">
        <v>21001.8</v>
      </c>
      <c r="Q130" s="1420">
        <v>1</v>
      </c>
      <c r="R130" s="1421">
        <v>2.0646254680556719</v>
      </c>
      <c r="S130" s="1422" t="s">
        <v>3220</v>
      </c>
      <c r="T130" s="1401"/>
      <c r="U130" s="1405">
        <v>1000</v>
      </c>
      <c r="V130" s="1402"/>
      <c r="W130" s="1390" t="s">
        <v>923</v>
      </c>
      <c r="X130" s="1387">
        <v>3</v>
      </c>
      <c r="Y130" s="1387">
        <v>4</v>
      </c>
      <c r="Z130" s="1387">
        <v>1</v>
      </c>
      <c r="AA130" s="1387">
        <v>3</v>
      </c>
      <c r="AB130" s="1387">
        <v>1</v>
      </c>
      <c r="AC130" s="1398">
        <v>5</v>
      </c>
      <c r="AD130" s="1394">
        <v>8</v>
      </c>
      <c r="AE130" s="1380">
        <v>2</v>
      </c>
      <c r="AF130" s="1391">
        <v>1.2555818742947564</v>
      </c>
      <c r="AG130" s="1391">
        <v>2.0741629046031922</v>
      </c>
      <c r="AH130" s="1392" t="s">
        <v>3222</v>
      </c>
      <c r="AI130" s="1389">
        <v>1.1000000000000001</v>
      </c>
      <c r="AJ130" s="1389">
        <v>1.1000000000000001</v>
      </c>
      <c r="AK130" s="1389">
        <v>1</v>
      </c>
      <c r="AL130" s="1389">
        <v>1.02</v>
      </c>
      <c r="AM130" s="1389">
        <v>1</v>
      </c>
      <c r="AN130" s="1389">
        <v>1.2</v>
      </c>
      <c r="AO130" s="1401"/>
      <c r="AP130" s="1396" t="s">
        <v>772</v>
      </c>
      <c r="AQ130" s="1387">
        <v>2</v>
      </c>
      <c r="AR130" s="1387">
        <v>4</v>
      </c>
      <c r="AS130" s="1387">
        <v>1</v>
      </c>
      <c r="AT130" s="1387">
        <v>3</v>
      </c>
      <c r="AU130" s="1387">
        <v>1</v>
      </c>
      <c r="AV130" s="1387">
        <v>5</v>
      </c>
      <c r="AW130" s="1394">
        <v>8</v>
      </c>
      <c r="AX130" s="1380">
        <v>2</v>
      </c>
      <c r="AY130" s="1391">
        <v>1.2365959919080913</v>
      </c>
      <c r="AZ130" s="1391">
        <v>2.0646254680556719</v>
      </c>
      <c r="BA130" s="1392" t="s">
        <v>3226</v>
      </c>
      <c r="BB130" s="1389">
        <v>1.05</v>
      </c>
      <c r="BC130" s="1389">
        <v>1.1000000000000001</v>
      </c>
      <c r="BD130" s="1389">
        <v>1</v>
      </c>
      <c r="BE130" s="1389">
        <v>1.02</v>
      </c>
      <c r="BF130" s="1389">
        <v>1</v>
      </c>
      <c r="BG130" s="1389">
        <v>1.2</v>
      </c>
    </row>
  </sheetData>
  <conditionalFormatting sqref="A9:A14">
    <cfRule type="cellIs" dxfId="322" priority="1909" stopIfTrue="1" operator="equal">
      <formula>#REF!</formula>
    </cfRule>
  </conditionalFormatting>
  <conditionalFormatting sqref="B7:B11 B122:B127">
    <cfRule type="cellIs" dxfId="321" priority="23" stopIfTrue="1" operator="notEqual">
      <formula>""</formula>
    </cfRule>
  </conditionalFormatting>
  <conditionalFormatting sqref="B106">
    <cfRule type="cellIs" dxfId="320" priority="21" stopIfTrue="1" operator="notEqual">
      <formula>""</formula>
    </cfRule>
  </conditionalFormatting>
  <conditionalFormatting sqref="X7:AC130">
    <cfRule type="cellIs" dxfId="319" priority="1" stopIfTrue="1" operator="notBetween">
      <formula>1</formula>
      <formula>5</formula>
    </cfRule>
  </conditionalFormatting>
  <conditionalFormatting sqref="AI7:AN130 BB7:BG130">
    <cfRule type="cellIs" dxfId="318" priority="11" stopIfTrue="1" operator="equal">
      <formula>0</formula>
    </cfRule>
  </conditionalFormatting>
  <conditionalFormatting sqref="AQ7:AV130">
    <cfRule type="cellIs" dxfId="317" priority="10" stopIfTrue="1" operator="notBetween">
      <formula>1</formula>
      <formula>5</formula>
    </cfRule>
  </conditionalFormatting>
  <dataValidations disablePrompts="1" count="1">
    <dataValidation allowBlank="1" showInputMessage="1" showErrorMessage="1" promptTitle="Do not change" prompt="This field is automatically updated from the names-list" sqref="AD9:AD130 AW14:AW108 AW111:AW130" xr:uid="{00000000-0002-0000-1A00-000000000000}"/>
  </dataValidations>
  <pageMargins left="0.78740157499999996" right="0.78740157499999996" top="0.984251969" bottom="0.984251969" header="0.4921259845" footer="0.4921259845"/>
  <pageSetup paperSize="9"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tabColor rgb="FF9CD9F0"/>
    <pageSetUpPr fitToPage="1"/>
  </sheetPr>
  <dimension ref="A1:CN144"/>
  <sheetViews>
    <sheetView topLeftCell="A92" workbookViewId="0">
      <selection activeCell="A116" sqref="A116"/>
    </sheetView>
  </sheetViews>
  <sheetFormatPr baseColWidth="10" defaultColWidth="11.42578125" defaultRowHeight="12" outlineLevelRow="1" outlineLevelCol="2"/>
  <cols>
    <col min="1" max="1" width="12.7109375" style="277" customWidth="1"/>
    <col min="2" max="2" width="11.28515625" style="140" customWidth="1"/>
    <col min="3" max="3" width="4.7109375" style="125" hidden="1" customWidth="1" outlineLevel="1"/>
    <col min="4" max="5" width="4.7109375" style="277" hidden="1" customWidth="1" outlineLevel="1"/>
    <col min="6" max="6" width="53" style="126" customWidth="1" collapsed="1"/>
    <col min="7" max="7" width="6" style="277" customWidth="1"/>
    <col min="8" max="8" width="8.7109375" style="277" hidden="1" customWidth="1" outlineLevel="1"/>
    <col min="9" max="9" width="20.7109375" style="277" hidden="1" customWidth="1" outlineLevel="1"/>
    <col min="10" max="10" width="7" style="277" customWidth="1" collapsed="1"/>
    <col min="11" max="11" width="5" style="277" customWidth="1"/>
    <col min="12" max="12" width="11.42578125" style="277" hidden="1" customWidth="1" outlineLevel="1"/>
    <col min="13" max="14" width="5.7109375" style="109" hidden="1" customWidth="1" outlineLevel="2"/>
    <col min="15" max="15" width="40.7109375" style="109" hidden="1" customWidth="1" outlineLevel="2"/>
    <col min="16" max="16" width="11.42578125" style="277" hidden="1" customWidth="1" outlineLevel="1" collapsed="1"/>
    <col min="17" max="18" width="5.7109375" style="109" hidden="1" customWidth="1" outlineLevel="2"/>
    <col min="19" max="19" width="40.7109375" style="109" hidden="1" customWidth="1" outlineLevel="2"/>
    <col min="20" max="20" width="13.85546875" style="277" hidden="1" customWidth="1" outlineLevel="1" collapsed="1"/>
    <col min="21" max="22" width="5.7109375" style="109" hidden="1" customWidth="1" outlineLevel="2"/>
    <col min="23" max="23" width="62.28515625" style="120" hidden="1" customWidth="1" outlineLevel="2"/>
    <col min="24" max="24" width="12.28515625" style="277" hidden="1" customWidth="1" outlineLevel="1" collapsed="1"/>
    <col min="25" max="26" width="5.7109375" style="109" hidden="1" customWidth="1" outlineLevel="2"/>
    <col min="27" max="27" width="59.140625" style="109" hidden="1" customWidth="1" outlineLevel="2"/>
    <col min="28" max="28" width="12.42578125" style="277" hidden="1" customWidth="1" outlineLevel="1" collapsed="1"/>
    <col min="29" max="29" width="5.28515625" style="109" hidden="1" customWidth="1" outlineLevel="2"/>
    <col min="30" max="30" width="5.7109375" style="109" hidden="1" customWidth="1" outlineLevel="2"/>
    <col min="31" max="31" width="40.7109375" style="109" hidden="1" customWidth="1" outlineLevel="2"/>
    <col min="32" max="32" width="12.140625" style="277" hidden="1" customWidth="1" outlineLevel="1" collapsed="1"/>
    <col min="33" max="34" width="5.7109375" style="109" hidden="1" customWidth="1" outlineLevel="2"/>
    <col min="35" max="35" width="40.7109375" style="109" hidden="1" customWidth="1" outlineLevel="2"/>
    <col min="36" max="36" width="14.42578125" style="277" hidden="1" customWidth="1" outlineLevel="1" collapsed="1"/>
    <col min="37" max="38" width="5.7109375" style="109" hidden="1" customWidth="1" outlineLevel="2"/>
    <col min="39" max="39" width="65" style="109" hidden="1" customWidth="1" outlineLevel="2"/>
    <col min="40" max="40" width="12.7109375" style="277" hidden="1" customWidth="1" outlineLevel="1" collapsed="1"/>
    <col min="41" max="41" width="4.7109375" style="109" hidden="1" customWidth="1" outlineLevel="1"/>
    <col min="42" max="42" width="5.7109375" style="109" hidden="1" customWidth="1" outlineLevel="1"/>
    <col min="43" max="43" width="63.7109375" style="109" hidden="1" customWidth="1" outlineLevel="1"/>
    <col min="44" max="44" width="13.5703125" style="277" customWidth="1" collapsed="1"/>
    <col min="45" max="45" width="5.7109375" style="109" hidden="1" customWidth="1" outlineLevel="1"/>
    <col min="46" max="46" width="6.7109375" style="109" hidden="1" customWidth="1" outlineLevel="1"/>
    <col min="47" max="47" width="65" style="109" hidden="1" customWidth="1" outlineLevel="1"/>
    <col min="48" max="48" width="12.42578125" style="277" customWidth="1" collapsed="1"/>
    <col min="49" max="50" width="5.7109375" style="109" hidden="1" customWidth="1" outlineLevel="1"/>
    <col min="51" max="51" width="45" style="109" hidden="1" customWidth="1" outlineLevel="1"/>
    <col min="52" max="52" width="4.140625" style="109" customWidth="1" collapsed="1"/>
    <col min="53" max="54" width="15.7109375" style="277" hidden="1" customWidth="1" outlineLevel="1"/>
    <col min="55" max="55" width="62.7109375" style="128" customWidth="1" collapsed="1"/>
    <col min="56" max="56" width="4.7109375" style="402" hidden="1" customWidth="1" outlineLevel="1"/>
    <col min="57" max="65" width="4.7109375" style="395" hidden="1" customWidth="1" outlineLevel="1"/>
    <col min="66" max="66" width="12.7109375" style="395" hidden="1" customWidth="1" outlineLevel="1"/>
    <col min="67" max="72" width="4.7109375" style="277" hidden="1" customWidth="1" outlineLevel="1"/>
    <col min="73" max="73" width="11.42578125" style="399" customWidth="1" collapsed="1"/>
    <col min="74" max="74" width="63.42578125" style="399" customWidth="1"/>
    <col min="75" max="75" width="6.7109375" style="399" hidden="1" customWidth="1" outlineLevel="1"/>
    <col min="76" max="81" width="3.140625" style="399" hidden="1" customWidth="1" outlineLevel="1"/>
    <col min="82" max="82" width="5" style="399" hidden="1" customWidth="1" outlineLevel="1"/>
    <col min="83" max="84" width="6.42578125" style="399" hidden="1" customWidth="1" outlineLevel="1"/>
    <col min="85" max="85" width="14.28515625" style="399" hidden="1" customWidth="1" outlineLevel="1"/>
    <col min="86" max="91" width="4.42578125" style="399" hidden="1" customWidth="1" outlineLevel="1"/>
    <col min="92" max="92" width="11.42578125" style="399" customWidth="1" collapsed="1"/>
    <col min="93" max="16384" width="11.42578125" style="399"/>
  </cols>
  <sheetData>
    <row r="1" spans="1:91">
      <c r="A1" s="77"/>
      <c r="B1" s="78"/>
      <c r="C1" s="79"/>
      <c r="D1" s="77"/>
      <c r="E1" s="77"/>
      <c r="F1" s="80" t="s">
        <v>65</v>
      </c>
      <c r="G1" s="77"/>
      <c r="H1" s="77"/>
      <c r="I1" s="77"/>
      <c r="J1" s="77"/>
      <c r="K1" s="77"/>
      <c r="L1" s="330" t="str">
        <f>A7</f>
        <v>Z-PV-114</v>
      </c>
      <c r="M1" s="81"/>
      <c r="N1" s="81"/>
      <c r="O1" s="81"/>
      <c r="P1" s="330" t="str">
        <f>A8</f>
        <v>Z-PV-110</v>
      </c>
      <c r="Q1" s="81"/>
      <c r="R1" s="81"/>
      <c r="S1" s="81"/>
      <c r="T1" s="330" t="str">
        <f>A9</f>
        <v>Z-PV-116</v>
      </c>
      <c r="U1" s="81"/>
      <c r="V1" s="81"/>
      <c r="W1" s="227"/>
      <c r="X1" s="330" t="str">
        <f>A10</f>
        <v>Z-PV-112</v>
      </c>
      <c r="Y1" s="81"/>
      <c r="Z1" s="81"/>
      <c r="AA1" s="81"/>
      <c r="AB1" s="330" t="str">
        <f>A11</f>
        <v>Z-PV-117</v>
      </c>
      <c r="AC1" s="81"/>
      <c r="AD1" s="81"/>
      <c r="AE1" s="81"/>
      <c r="AF1" s="330" t="str">
        <f>A12</f>
        <v>Z-PV-113</v>
      </c>
      <c r="AG1" s="81"/>
      <c r="AH1" s="81"/>
      <c r="AI1" s="81"/>
      <c r="AJ1" s="330" t="str">
        <f>A13</f>
        <v>Z-PV-115</v>
      </c>
      <c r="AK1" s="81"/>
      <c r="AL1" s="81"/>
      <c r="AM1" s="81"/>
      <c r="AN1" s="330" t="str">
        <f>A14</f>
        <v>Z-PV-111</v>
      </c>
      <c r="AO1" s="81"/>
      <c r="AP1" s="81"/>
      <c r="AQ1" s="81"/>
      <c r="AR1" s="330" t="str">
        <f>A15</f>
        <v>Z-PV-146</v>
      </c>
      <c r="AS1" s="81"/>
      <c r="AT1" s="81"/>
      <c r="AU1" s="81"/>
      <c r="AV1" s="330" t="str">
        <f>A16</f>
        <v>Z-PV-147</v>
      </c>
      <c r="AW1" s="81"/>
      <c r="AX1" s="81"/>
      <c r="AY1" s="81"/>
      <c r="BA1" s="378"/>
      <c r="BB1" s="378"/>
      <c r="BC1" s="378"/>
      <c r="BD1" s="1586"/>
      <c r="BE1" s="1588"/>
      <c r="BF1" s="1588"/>
      <c r="BG1" s="1588"/>
      <c r="BH1" s="1588"/>
      <c r="BI1" s="1588"/>
      <c r="BJ1" s="406"/>
      <c r="BK1" s="406"/>
      <c r="BL1" s="406"/>
      <c r="BM1" s="406"/>
      <c r="BN1" s="406"/>
      <c r="BO1" s="378"/>
      <c r="BP1" s="378"/>
      <c r="BQ1" s="378"/>
      <c r="BR1" s="378"/>
      <c r="BS1" s="378"/>
      <c r="BT1" s="378"/>
      <c r="BV1" s="378"/>
      <c r="BW1" s="1586"/>
      <c r="BX1" s="1591"/>
      <c r="BY1" s="1591"/>
      <c r="BZ1" s="1591"/>
      <c r="CA1" s="1591"/>
      <c r="CB1" s="1591"/>
      <c r="CC1" s="406"/>
      <c r="CD1" s="406"/>
      <c r="CE1" s="406"/>
      <c r="CF1" s="406"/>
      <c r="CG1" s="406"/>
      <c r="CH1" s="378"/>
      <c r="CI1" s="378"/>
      <c r="CJ1" s="378"/>
      <c r="CK1" s="378"/>
      <c r="CL1" s="378"/>
      <c r="CM1" s="378"/>
    </row>
    <row r="2" spans="1:9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421"/>
      <c r="BA2" s="406"/>
      <c r="BB2" s="406"/>
      <c r="BC2" s="393" t="s">
        <v>462</v>
      </c>
      <c r="BD2" s="406"/>
      <c r="BE2" s="406"/>
      <c r="BF2" s="406"/>
      <c r="BG2" s="406"/>
      <c r="BH2" s="406"/>
      <c r="BI2" s="406"/>
      <c r="BJ2" s="406"/>
      <c r="BK2" s="378"/>
      <c r="BL2" s="378"/>
      <c r="BM2" s="378"/>
      <c r="BN2" s="378"/>
      <c r="BO2" s="378"/>
      <c r="BP2" s="378"/>
      <c r="BQ2" s="378"/>
      <c r="BR2" s="378"/>
      <c r="BS2" s="378"/>
      <c r="BT2" s="378"/>
      <c r="BV2" s="393" t="s">
        <v>430</v>
      </c>
      <c r="BW2" s="406"/>
      <c r="BX2" s="406"/>
      <c r="BY2" s="406"/>
      <c r="BZ2" s="406"/>
      <c r="CA2" s="406"/>
      <c r="CB2" s="406"/>
      <c r="CC2" s="406"/>
      <c r="CD2" s="378"/>
      <c r="CE2" s="378"/>
      <c r="CF2" s="378"/>
      <c r="CG2" s="378"/>
      <c r="CH2" s="378"/>
      <c r="CI2" s="378"/>
      <c r="CJ2" s="378"/>
      <c r="CK2" s="378"/>
      <c r="CL2" s="378"/>
      <c r="CM2" s="378"/>
    </row>
    <row r="3" spans="1:91" ht="87" customHeight="1">
      <c r="A3" s="83" t="s">
        <v>68</v>
      </c>
      <c r="B3" s="84"/>
      <c r="C3" s="79">
        <v>401</v>
      </c>
      <c r="D3" s="85" t="s">
        <v>69</v>
      </c>
      <c r="E3" s="85" t="s">
        <v>70</v>
      </c>
      <c r="F3" s="86" t="s">
        <v>71</v>
      </c>
      <c r="G3" s="85" t="s">
        <v>72</v>
      </c>
      <c r="H3" s="85" t="s">
        <v>73</v>
      </c>
      <c r="I3" s="85" t="s">
        <v>74</v>
      </c>
      <c r="J3" s="85" t="s">
        <v>75</v>
      </c>
      <c r="K3" s="85" t="s">
        <v>76</v>
      </c>
      <c r="L3" s="87" t="s">
        <v>932</v>
      </c>
      <c r="M3" s="422" t="s">
        <v>78</v>
      </c>
      <c r="N3" s="422" t="s">
        <v>79</v>
      </c>
      <c r="O3" s="422" t="s">
        <v>80</v>
      </c>
      <c r="P3" s="87" t="s">
        <v>933</v>
      </c>
      <c r="Q3" s="422" t="s">
        <v>78</v>
      </c>
      <c r="R3" s="422" t="s">
        <v>79</v>
      </c>
      <c r="S3" s="422" t="s">
        <v>80</v>
      </c>
      <c r="T3" s="87" t="s">
        <v>934</v>
      </c>
      <c r="U3" s="422" t="s">
        <v>78</v>
      </c>
      <c r="V3" s="422" t="s">
        <v>79</v>
      </c>
      <c r="W3" s="422" t="s">
        <v>80</v>
      </c>
      <c r="X3" s="87" t="s">
        <v>935</v>
      </c>
      <c r="Y3" s="422" t="s">
        <v>78</v>
      </c>
      <c r="Z3" s="422" t="s">
        <v>79</v>
      </c>
      <c r="AA3" s="422" t="s">
        <v>80</v>
      </c>
      <c r="AB3" s="87" t="s">
        <v>936</v>
      </c>
      <c r="AC3" s="422" t="s">
        <v>78</v>
      </c>
      <c r="AD3" s="422" t="s">
        <v>79</v>
      </c>
      <c r="AE3" s="422" t="s">
        <v>80</v>
      </c>
      <c r="AF3" s="87" t="s">
        <v>937</v>
      </c>
      <c r="AG3" s="422" t="s">
        <v>78</v>
      </c>
      <c r="AH3" s="422" t="s">
        <v>79</v>
      </c>
      <c r="AI3" s="422" t="s">
        <v>80</v>
      </c>
      <c r="AJ3" s="87" t="s">
        <v>938</v>
      </c>
      <c r="AK3" s="422" t="s">
        <v>78</v>
      </c>
      <c r="AL3" s="422" t="s">
        <v>79</v>
      </c>
      <c r="AM3" s="422" t="s">
        <v>80</v>
      </c>
      <c r="AN3" s="87" t="s">
        <v>939</v>
      </c>
      <c r="AO3" s="422" t="s">
        <v>78</v>
      </c>
      <c r="AP3" s="422" t="s">
        <v>79</v>
      </c>
      <c r="AQ3" s="422" t="s">
        <v>80</v>
      </c>
      <c r="AR3" s="87" t="s">
        <v>940</v>
      </c>
      <c r="AS3" s="422" t="s">
        <v>78</v>
      </c>
      <c r="AT3" s="422" t="s">
        <v>79</v>
      </c>
      <c r="AU3" s="422" t="s">
        <v>80</v>
      </c>
      <c r="AV3" s="87" t="s">
        <v>941</v>
      </c>
      <c r="AW3" s="422" t="s">
        <v>78</v>
      </c>
      <c r="AX3" s="422" t="s">
        <v>79</v>
      </c>
      <c r="AY3" s="422" t="s">
        <v>80</v>
      </c>
      <c r="AZ3" s="424"/>
      <c r="BA3" s="87" t="s">
        <v>942</v>
      </c>
      <c r="BB3" s="87" t="s">
        <v>943</v>
      </c>
      <c r="BC3" s="97" t="s">
        <v>363</v>
      </c>
      <c r="BD3" s="98" t="s">
        <v>364</v>
      </c>
      <c r="BE3" s="98" t="s">
        <v>365</v>
      </c>
      <c r="BF3" s="98" t="s">
        <v>366</v>
      </c>
      <c r="BG3" s="98" t="s">
        <v>367</v>
      </c>
      <c r="BH3" s="98" t="s">
        <v>368</v>
      </c>
      <c r="BI3" s="98" t="s">
        <v>369</v>
      </c>
      <c r="BJ3" s="99" t="s">
        <v>88</v>
      </c>
      <c r="BK3" s="99" t="s">
        <v>370</v>
      </c>
      <c r="BL3" s="99" t="s">
        <v>90</v>
      </c>
      <c r="BM3" s="99" t="s">
        <v>91</v>
      </c>
      <c r="BN3" s="99" t="s">
        <v>371</v>
      </c>
      <c r="BO3" s="100" t="s">
        <v>364</v>
      </c>
      <c r="BP3" s="100" t="s">
        <v>365</v>
      </c>
      <c r="BQ3" s="100" t="s">
        <v>366</v>
      </c>
      <c r="BR3" s="100" t="s">
        <v>367</v>
      </c>
      <c r="BS3" s="100" t="s">
        <v>368</v>
      </c>
      <c r="BT3" s="100" t="s">
        <v>369</v>
      </c>
      <c r="BV3" s="97" t="s">
        <v>363</v>
      </c>
      <c r="BW3" s="98" t="s">
        <v>364</v>
      </c>
      <c r="BX3" s="98" t="s">
        <v>365</v>
      </c>
      <c r="BY3" s="98" t="s">
        <v>366</v>
      </c>
      <c r="BZ3" s="98" t="s">
        <v>367</v>
      </c>
      <c r="CA3" s="98" t="s">
        <v>368</v>
      </c>
      <c r="CB3" s="98" t="s">
        <v>369</v>
      </c>
      <c r="CC3" s="99" t="s">
        <v>88</v>
      </c>
      <c r="CD3" s="99" t="s">
        <v>370</v>
      </c>
      <c r="CE3" s="99" t="s">
        <v>90</v>
      </c>
      <c r="CF3" s="99" t="s">
        <v>91</v>
      </c>
      <c r="CG3" s="99" t="s">
        <v>371</v>
      </c>
      <c r="CH3" s="100" t="s">
        <v>364</v>
      </c>
      <c r="CI3" s="100" t="s">
        <v>365</v>
      </c>
      <c r="CJ3" s="100" t="s">
        <v>366</v>
      </c>
      <c r="CK3" s="100" t="s">
        <v>367</v>
      </c>
      <c r="CL3" s="100" t="s">
        <v>368</v>
      </c>
      <c r="CM3" s="100" t="s">
        <v>369</v>
      </c>
    </row>
    <row r="4" spans="1:91" ht="24" customHeight="1">
      <c r="A4" s="77"/>
      <c r="B4" s="84"/>
      <c r="C4" s="79">
        <v>662</v>
      </c>
      <c r="D4" s="86"/>
      <c r="E4" s="86"/>
      <c r="F4" s="86" t="s">
        <v>72</v>
      </c>
      <c r="G4" s="86"/>
      <c r="H4" s="86"/>
      <c r="I4" s="86"/>
      <c r="J4" s="86"/>
      <c r="K4" s="86"/>
      <c r="L4" s="87" t="s">
        <v>372</v>
      </c>
      <c r="M4" s="425"/>
      <c r="N4" s="425"/>
      <c r="O4" s="426"/>
      <c r="P4" s="87" t="s">
        <v>372</v>
      </c>
      <c r="Q4" s="425"/>
      <c r="R4" s="425"/>
      <c r="S4" s="426"/>
      <c r="T4" s="87" t="s">
        <v>215</v>
      </c>
      <c r="U4" s="425"/>
      <c r="V4" s="425"/>
      <c r="W4" s="454"/>
      <c r="X4" s="87" t="s">
        <v>215</v>
      </c>
      <c r="Y4" s="425"/>
      <c r="Z4" s="425"/>
      <c r="AA4" s="426"/>
      <c r="AB4" s="87" t="s">
        <v>373</v>
      </c>
      <c r="AC4" s="425"/>
      <c r="AD4" s="425"/>
      <c r="AE4" s="426"/>
      <c r="AF4" s="87" t="s">
        <v>373</v>
      </c>
      <c r="AG4" s="425"/>
      <c r="AH4" s="425"/>
      <c r="AI4" s="426"/>
      <c r="AJ4" s="87" t="s">
        <v>93</v>
      </c>
      <c r="AK4" s="425"/>
      <c r="AL4" s="425"/>
      <c r="AM4" s="426"/>
      <c r="AN4" s="87" t="s">
        <v>93</v>
      </c>
      <c r="AO4" s="425"/>
      <c r="AP4" s="425"/>
      <c r="AQ4" s="426"/>
      <c r="AR4" s="87" t="s">
        <v>340</v>
      </c>
      <c r="AS4" s="425"/>
      <c r="AT4" s="425"/>
      <c r="AU4" s="426"/>
      <c r="AV4" s="87" t="s">
        <v>372</v>
      </c>
      <c r="AW4" s="425"/>
      <c r="AX4" s="425"/>
      <c r="AY4" s="426"/>
      <c r="AZ4" s="427"/>
      <c r="BA4" s="87" t="s">
        <v>93</v>
      </c>
      <c r="BB4" s="87" t="s">
        <v>93</v>
      </c>
      <c r="BC4" s="101"/>
      <c r="BD4" s="102" t="s">
        <v>94</v>
      </c>
      <c r="BE4" s="97"/>
      <c r="BF4" s="97"/>
      <c r="BG4" s="97"/>
      <c r="BH4" s="97"/>
      <c r="BI4" s="97"/>
      <c r="BJ4" s="103"/>
      <c r="BK4" s="103"/>
      <c r="BL4" s="103" t="s">
        <v>95</v>
      </c>
      <c r="BM4" s="103" t="s">
        <v>95</v>
      </c>
      <c r="BN4" s="104"/>
      <c r="BO4" s="105"/>
      <c r="BP4" s="105"/>
      <c r="BQ4" s="105"/>
      <c r="BR4" s="105"/>
      <c r="BS4" s="105"/>
      <c r="BT4" s="105"/>
      <c r="BV4" s="101"/>
      <c r="BW4" s="102" t="s">
        <v>94</v>
      </c>
      <c r="BX4" s="97"/>
      <c r="BY4" s="97"/>
      <c r="BZ4" s="97"/>
      <c r="CA4" s="97"/>
      <c r="CB4" s="97"/>
      <c r="CC4" s="103"/>
      <c r="CD4" s="103"/>
      <c r="CE4" s="103" t="s">
        <v>95</v>
      </c>
      <c r="CF4" s="103" t="s">
        <v>95</v>
      </c>
      <c r="CG4" s="104"/>
      <c r="CH4" s="105"/>
      <c r="CI4" s="105"/>
      <c r="CJ4" s="105"/>
      <c r="CK4" s="105"/>
      <c r="CL4" s="105"/>
      <c r="CM4" s="105"/>
    </row>
    <row r="5" spans="1:91">
      <c r="A5" s="77"/>
      <c r="B5" s="84"/>
      <c r="C5" s="79">
        <v>493</v>
      </c>
      <c r="D5" s="86"/>
      <c r="E5" s="86"/>
      <c r="F5" s="86" t="s">
        <v>75</v>
      </c>
      <c r="G5" s="86"/>
      <c r="H5" s="86"/>
      <c r="I5" s="86"/>
      <c r="J5" s="86"/>
      <c r="K5" s="86"/>
      <c r="L5" s="87">
        <v>0</v>
      </c>
      <c r="M5" s="425"/>
      <c r="N5" s="425"/>
      <c r="O5" s="426"/>
      <c r="P5" s="87">
        <v>0</v>
      </c>
      <c r="Q5" s="425"/>
      <c r="R5" s="425"/>
      <c r="S5" s="426"/>
      <c r="T5" s="87">
        <v>0</v>
      </c>
      <c r="U5" s="425"/>
      <c r="V5" s="425"/>
      <c r="W5" s="454"/>
      <c r="X5" s="87">
        <v>0</v>
      </c>
      <c r="Y5" s="425"/>
      <c r="Z5" s="425"/>
      <c r="AA5" s="426"/>
      <c r="AB5" s="87">
        <v>0</v>
      </c>
      <c r="AC5" s="425"/>
      <c r="AD5" s="425"/>
      <c r="AE5" s="426"/>
      <c r="AF5" s="87">
        <v>0</v>
      </c>
      <c r="AG5" s="425"/>
      <c r="AH5" s="425"/>
      <c r="AI5" s="426"/>
      <c r="AJ5" s="87">
        <v>0</v>
      </c>
      <c r="AK5" s="425"/>
      <c r="AL5" s="425"/>
      <c r="AM5" s="426"/>
      <c r="AN5" s="87">
        <v>0</v>
      </c>
      <c r="AO5" s="425"/>
      <c r="AP5" s="425"/>
      <c r="AQ5" s="426"/>
      <c r="AR5" s="87">
        <v>0</v>
      </c>
      <c r="AS5" s="425"/>
      <c r="AT5" s="425"/>
      <c r="AU5" s="426"/>
      <c r="AV5" s="87">
        <v>0</v>
      </c>
      <c r="AW5" s="425"/>
      <c r="AX5" s="425"/>
      <c r="AY5" s="426"/>
      <c r="AZ5" s="427"/>
      <c r="BA5" s="87">
        <v>0</v>
      </c>
      <c r="BB5" s="87">
        <v>0</v>
      </c>
      <c r="BC5" s="101"/>
      <c r="BD5" s="97"/>
      <c r="BE5" s="97"/>
      <c r="BF5" s="97"/>
      <c r="BG5" s="97"/>
      <c r="BH5" s="97"/>
      <c r="BI5" s="97"/>
      <c r="BJ5" s="104"/>
      <c r="BK5" s="104"/>
      <c r="BL5" s="104"/>
      <c r="BM5" s="104"/>
      <c r="BN5" s="104"/>
      <c r="BO5" s="105"/>
      <c r="BP5" s="105"/>
      <c r="BQ5" s="105"/>
      <c r="BR5" s="105"/>
      <c r="BS5" s="105"/>
      <c r="BT5" s="105"/>
      <c r="BV5" s="101"/>
      <c r="BW5" s="97"/>
      <c r="BX5" s="97"/>
      <c r="BY5" s="97"/>
      <c r="BZ5" s="97"/>
      <c r="CA5" s="97"/>
      <c r="CB5" s="97"/>
      <c r="CC5" s="104"/>
      <c r="CD5" s="104"/>
      <c r="CE5" s="104"/>
      <c r="CF5" s="104"/>
      <c r="CG5" s="104"/>
      <c r="CH5" s="105"/>
      <c r="CI5" s="105"/>
      <c r="CJ5" s="105"/>
      <c r="CK5" s="105"/>
      <c r="CL5" s="105"/>
      <c r="CM5" s="105"/>
    </row>
    <row r="6" spans="1:9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54"/>
      <c r="X6" s="87" t="s">
        <v>679</v>
      </c>
      <c r="Y6" s="425"/>
      <c r="Z6" s="425"/>
      <c r="AA6" s="426"/>
      <c r="AB6" s="87" t="s">
        <v>679</v>
      </c>
      <c r="AC6" s="425"/>
      <c r="AD6" s="425"/>
      <c r="AE6" s="426"/>
      <c r="AF6" s="87" t="s">
        <v>679</v>
      </c>
      <c r="AG6" s="425"/>
      <c r="AH6" s="425"/>
      <c r="AI6" s="426"/>
      <c r="AJ6" s="87" t="s">
        <v>679</v>
      </c>
      <c r="AK6" s="425"/>
      <c r="AL6" s="425"/>
      <c r="AM6" s="426"/>
      <c r="AN6" s="87" t="s">
        <v>679</v>
      </c>
      <c r="AO6" s="425"/>
      <c r="AP6" s="425"/>
      <c r="AQ6" s="426"/>
      <c r="AR6" s="87" t="s">
        <v>679</v>
      </c>
      <c r="AS6" s="425"/>
      <c r="AT6" s="425"/>
      <c r="AU6" s="426"/>
      <c r="AV6" s="87" t="s">
        <v>679</v>
      </c>
      <c r="AW6" s="425"/>
      <c r="AX6" s="425"/>
      <c r="AY6" s="426"/>
      <c r="AZ6" s="427"/>
      <c r="BA6" s="87" t="s">
        <v>679</v>
      </c>
      <c r="BB6" s="87" t="s">
        <v>679</v>
      </c>
      <c r="BC6" s="101"/>
      <c r="BD6" s="106"/>
      <c r="BE6" s="106"/>
      <c r="BF6" s="106"/>
      <c r="BG6" s="106"/>
      <c r="BH6" s="106"/>
      <c r="BI6" s="106"/>
      <c r="BJ6" s="104"/>
      <c r="BK6" s="104"/>
      <c r="BL6" s="428"/>
      <c r="BM6" s="428"/>
      <c r="BN6" s="107"/>
      <c r="BO6" s="105"/>
      <c r="BP6" s="105"/>
      <c r="BQ6" s="105"/>
      <c r="BR6" s="105"/>
      <c r="BS6" s="105"/>
      <c r="BT6" s="105"/>
      <c r="BV6" s="101"/>
      <c r="BW6" s="106"/>
      <c r="BX6" s="106"/>
      <c r="BY6" s="106"/>
      <c r="BZ6" s="106"/>
      <c r="CA6" s="106"/>
      <c r="CB6" s="106"/>
      <c r="CC6" s="104"/>
      <c r="CD6" s="104"/>
      <c r="CE6" s="428"/>
      <c r="CF6" s="428"/>
      <c r="CG6" s="107"/>
      <c r="CH6" s="105"/>
      <c r="CI6" s="105"/>
      <c r="CJ6" s="105"/>
      <c r="CK6" s="105"/>
      <c r="CL6" s="105"/>
      <c r="CM6" s="105"/>
    </row>
    <row r="7" spans="1:91" hidden="1" outlineLevel="1">
      <c r="A7" s="330" t="s">
        <v>944</v>
      </c>
      <c r="B7" s="331"/>
      <c r="C7" s="88"/>
      <c r="D7" s="294" t="s">
        <v>98</v>
      </c>
      <c r="E7" s="295">
        <v>0</v>
      </c>
      <c r="F7" s="429" t="s">
        <v>932</v>
      </c>
      <c r="G7" s="430" t="s">
        <v>372</v>
      </c>
      <c r="H7" s="431" t="s">
        <v>98</v>
      </c>
      <c r="I7" s="431" t="s">
        <v>98</v>
      </c>
      <c r="J7" s="89">
        <v>0</v>
      </c>
      <c r="K7" s="430" t="s">
        <v>679</v>
      </c>
      <c r="L7" s="90">
        <f t="shared" ref="L7:L16" si="0">IF($A7=L$1,1,0)</f>
        <v>1</v>
      </c>
      <c r="M7" s="91"/>
      <c r="N7" s="92"/>
      <c r="O7" s="93"/>
      <c r="P7" s="90">
        <f t="shared" ref="P7:P16" si="1">IF($A7=P$1,1,0)</f>
        <v>0</v>
      </c>
      <c r="Q7" s="91"/>
      <c r="R7" s="92"/>
      <c r="S7" s="93"/>
      <c r="T7" s="90">
        <f t="shared" ref="T7:T16" si="2">IF($A7=T$1,1,0)</f>
        <v>0</v>
      </c>
      <c r="U7" s="91"/>
      <c r="V7" s="92"/>
      <c r="W7" s="206"/>
      <c r="X7" s="90">
        <f t="shared" ref="X7:X16" si="3">IF($A7=X$1,1,0)</f>
        <v>0</v>
      </c>
      <c r="Y7" s="91"/>
      <c r="Z7" s="92"/>
      <c r="AA7" s="93"/>
      <c r="AB7" s="90">
        <f t="shared" ref="AB7:AB16" si="4">IF($A7=AB$1,1,0)</f>
        <v>0</v>
      </c>
      <c r="AC7" s="91"/>
      <c r="AD7" s="92"/>
      <c r="AE7" s="93"/>
      <c r="AF7" s="90">
        <f t="shared" ref="AF7:AF16" si="5">IF($A7=AF$1,1,0)</f>
        <v>0</v>
      </c>
      <c r="AG7" s="91"/>
      <c r="AH7" s="92"/>
      <c r="AI7" s="93"/>
      <c r="AJ7" s="90">
        <f t="shared" ref="AJ7:AJ16" si="6">IF($A7=AJ$1,1,0)</f>
        <v>0</v>
      </c>
      <c r="AK7" s="91"/>
      <c r="AL7" s="92"/>
      <c r="AM7" s="93"/>
      <c r="AN7" s="90">
        <f t="shared" ref="AN7:AN16" si="7">IF($A7=AN$1,1,0)</f>
        <v>0</v>
      </c>
      <c r="AO7" s="91"/>
      <c r="AP7" s="92"/>
      <c r="AQ7" s="93"/>
      <c r="AR7" s="90">
        <f t="shared" ref="AR7:AR16" si="8">IF($A7=AR$1,1,0)</f>
        <v>0</v>
      </c>
      <c r="AS7" s="91"/>
      <c r="AT7" s="92"/>
      <c r="AU7" s="93"/>
      <c r="AV7" s="90">
        <f t="shared" ref="AV7:AV16" si="9">IF($A7=AV$1,1,0)</f>
        <v>0</v>
      </c>
      <c r="AW7" s="91"/>
      <c r="AX7" s="92"/>
      <c r="AY7" s="93"/>
      <c r="AZ7" s="427"/>
      <c r="BA7" s="90"/>
      <c r="BB7" s="90"/>
      <c r="BC7" s="101"/>
      <c r="BD7" s="97"/>
      <c r="BE7" s="97"/>
      <c r="BF7" s="97"/>
      <c r="BG7" s="97"/>
      <c r="BH7" s="97"/>
      <c r="BI7" s="97"/>
      <c r="BJ7" s="104"/>
      <c r="BK7" s="104"/>
      <c r="BL7" s="104"/>
      <c r="BM7" s="104"/>
      <c r="BN7" s="104"/>
      <c r="BO7" s="104"/>
      <c r="BP7" s="104"/>
      <c r="BQ7" s="104"/>
      <c r="BR7" s="104"/>
      <c r="BS7" s="104"/>
      <c r="BT7" s="104"/>
      <c r="BV7" s="101"/>
      <c r="BW7" s="97"/>
      <c r="BX7" s="97"/>
      <c r="BY7" s="97"/>
      <c r="BZ7" s="97"/>
      <c r="CA7" s="97"/>
      <c r="CB7" s="97"/>
      <c r="CC7" s="104"/>
      <c r="CD7" s="104"/>
      <c r="CE7" s="104"/>
      <c r="CF7" s="104"/>
      <c r="CG7" s="104"/>
      <c r="CH7" s="104"/>
      <c r="CI7" s="104"/>
      <c r="CJ7" s="104"/>
      <c r="CK7" s="104"/>
      <c r="CL7" s="104"/>
      <c r="CM7" s="104"/>
    </row>
    <row r="8" spans="1:91" hidden="1" outlineLevel="1">
      <c r="A8" s="330" t="s">
        <v>945</v>
      </c>
      <c r="B8" s="331"/>
      <c r="C8" s="88"/>
      <c r="D8" s="294" t="s">
        <v>98</v>
      </c>
      <c r="E8" s="295">
        <v>0</v>
      </c>
      <c r="F8" s="429" t="s">
        <v>933</v>
      </c>
      <c r="G8" s="430" t="s">
        <v>372</v>
      </c>
      <c r="H8" s="431" t="s">
        <v>98</v>
      </c>
      <c r="I8" s="431" t="s">
        <v>98</v>
      </c>
      <c r="J8" s="89">
        <v>0</v>
      </c>
      <c r="K8" s="430" t="s">
        <v>679</v>
      </c>
      <c r="L8" s="90">
        <f t="shared" si="0"/>
        <v>0</v>
      </c>
      <c r="M8" s="91"/>
      <c r="N8" s="92"/>
      <c r="O8" s="93"/>
      <c r="P8" s="90">
        <f t="shared" si="1"/>
        <v>1</v>
      </c>
      <c r="Q8" s="91"/>
      <c r="R8" s="92"/>
      <c r="S8" s="93"/>
      <c r="T8" s="90">
        <f t="shared" si="2"/>
        <v>0</v>
      </c>
      <c r="U8" s="91"/>
      <c r="V8" s="92"/>
      <c r="W8" s="206"/>
      <c r="X8" s="90">
        <f t="shared" si="3"/>
        <v>0</v>
      </c>
      <c r="Y8" s="91"/>
      <c r="Z8" s="92"/>
      <c r="AA8" s="93"/>
      <c r="AB8" s="90">
        <f t="shared" si="4"/>
        <v>0</v>
      </c>
      <c r="AC8" s="91"/>
      <c r="AD8" s="92"/>
      <c r="AE8" s="93"/>
      <c r="AF8" s="90">
        <f t="shared" si="5"/>
        <v>0</v>
      </c>
      <c r="AG8" s="91"/>
      <c r="AH8" s="92"/>
      <c r="AI8" s="93"/>
      <c r="AJ8" s="90">
        <f t="shared" si="6"/>
        <v>0</v>
      </c>
      <c r="AK8" s="91"/>
      <c r="AL8" s="92"/>
      <c r="AM8" s="93"/>
      <c r="AN8" s="90">
        <f t="shared" si="7"/>
        <v>0</v>
      </c>
      <c r="AO8" s="91"/>
      <c r="AP8" s="92"/>
      <c r="AQ8" s="93"/>
      <c r="AR8" s="90">
        <f t="shared" si="8"/>
        <v>0</v>
      </c>
      <c r="AS8" s="91"/>
      <c r="AT8" s="92"/>
      <c r="AU8" s="93"/>
      <c r="AV8" s="90">
        <f t="shared" si="9"/>
        <v>0</v>
      </c>
      <c r="AW8" s="91"/>
      <c r="AX8" s="92"/>
      <c r="AY8" s="93"/>
      <c r="AZ8" s="427"/>
      <c r="BA8" s="90"/>
      <c r="BB8" s="90"/>
      <c r="BC8" s="101"/>
      <c r="BD8" s="97"/>
      <c r="BE8" s="97"/>
      <c r="BF8" s="97"/>
      <c r="BG8" s="97"/>
      <c r="BH8" s="97"/>
      <c r="BI8" s="97"/>
      <c r="BJ8" s="104"/>
      <c r="BK8" s="104"/>
      <c r="BL8" s="104"/>
      <c r="BM8" s="104"/>
      <c r="BN8" s="104"/>
      <c r="BO8" s="104"/>
      <c r="BP8" s="104"/>
      <c r="BQ8" s="104"/>
      <c r="BR8" s="104"/>
      <c r="BS8" s="104"/>
      <c r="BT8" s="104"/>
      <c r="BV8" s="101"/>
      <c r="BW8" s="97"/>
      <c r="BX8" s="97"/>
      <c r="BY8" s="97"/>
      <c r="BZ8" s="97"/>
      <c r="CA8" s="97"/>
      <c r="CB8" s="97"/>
      <c r="CC8" s="104"/>
      <c r="CD8" s="104"/>
      <c r="CE8" s="104"/>
      <c r="CF8" s="104"/>
      <c r="CG8" s="104"/>
      <c r="CH8" s="104"/>
      <c r="CI8" s="104"/>
      <c r="CJ8" s="104"/>
      <c r="CK8" s="104"/>
      <c r="CL8" s="104"/>
      <c r="CM8" s="104"/>
    </row>
    <row r="9" spans="1:91" hidden="1" outlineLevel="1">
      <c r="A9" s="330" t="s">
        <v>946</v>
      </c>
      <c r="B9" s="331"/>
      <c r="C9" s="88"/>
      <c r="D9" s="294" t="s">
        <v>98</v>
      </c>
      <c r="E9" s="295">
        <v>0</v>
      </c>
      <c r="F9" s="429" t="s">
        <v>934</v>
      </c>
      <c r="G9" s="430" t="s">
        <v>215</v>
      </c>
      <c r="H9" s="431" t="s">
        <v>98</v>
      </c>
      <c r="I9" s="431" t="s">
        <v>98</v>
      </c>
      <c r="J9" s="89">
        <v>0</v>
      </c>
      <c r="K9" s="430" t="s">
        <v>679</v>
      </c>
      <c r="L9" s="90">
        <f t="shared" si="0"/>
        <v>0</v>
      </c>
      <c r="M9" s="91"/>
      <c r="N9" s="92"/>
      <c r="O9" s="93"/>
      <c r="P9" s="90">
        <f t="shared" si="1"/>
        <v>0</v>
      </c>
      <c r="Q9" s="91"/>
      <c r="R9" s="92"/>
      <c r="S9" s="93"/>
      <c r="T9" s="90">
        <f t="shared" si="2"/>
        <v>1</v>
      </c>
      <c r="U9" s="91"/>
      <c r="V9" s="92"/>
      <c r="W9" s="206"/>
      <c r="X9" s="90">
        <f t="shared" si="3"/>
        <v>0</v>
      </c>
      <c r="Y9" s="91"/>
      <c r="Z9" s="92"/>
      <c r="AA9" s="93"/>
      <c r="AB9" s="90">
        <f t="shared" si="4"/>
        <v>0</v>
      </c>
      <c r="AC9" s="91"/>
      <c r="AD9" s="92"/>
      <c r="AE9" s="93"/>
      <c r="AF9" s="90">
        <f t="shared" si="5"/>
        <v>0</v>
      </c>
      <c r="AG9" s="91"/>
      <c r="AH9" s="92"/>
      <c r="AI9" s="93"/>
      <c r="AJ9" s="90">
        <f t="shared" si="6"/>
        <v>0</v>
      </c>
      <c r="AK9" s="91"/>
      <c r="AL9" s="92"/>
      <c r="AM9" s="93"/>
      <c r="AN9" s="90">
        <f t="shared" si="7"/>
        <v>0</v>
      </c>
      <c r="AO9" s="91"/>
      <c r="AP9" s="92"/>
      <c r="AQ9" s="93"/>
      <c r="AR9" s="90">
        <f t="shared" si="8"/>
        <v>0</v>
      </c>
      <c r="AS9" s="91"/>
      <c r="AT9" s="92"/>
      <c r="AU9" s="93"/>
      <c r="AV9" s="90">
        <f t="shared" si="9"/>
        <v>0</v>
      </c>
      <c r="AW9" s="91"/>
      <c r="AX9" s="92"/>
      <c r="AY9" s="93"/>
      <c r="AZ9" s="427"/>
      <c r="BA9" s="90"/>
      <c r="BB9" s="90"/>
      <c r="BC9" s="101"/>
      <c r="BD9" s="97"/>
      <c r="BE9" s="97"/>
      <c r="BF9" s="97"/>
      <c r="BG9" s="97"/>
      <c r="BH9" s="97"/>
      <c r="BI9" s="97"/>
      <c r="BJ9" s="104"/>
      <c r="BK9" s="104"/>
      <c r="BL9" s="104"/>
      <c r="BM9" s="104"/>
      <c r="BN9" s="104"/>
      <c r="BO9" s="104"/>
      <c r="BP9" s="104"/>
      <c r="BQ9" s="104"/>
      <c r="BR9" s="104"/>
      <c r="BS9" s="104"/>
      <c r="BT9" s="104"/>
      <c r="BV9" s="101"/>
      <c r="BW9" s="97"/>
      <c r="BX9" s="97"/>
      <c r="BY9" s="97"/>
      <c r="BZ9" s="97"/>
      <c r="CA9" s="97"/>
      <c r="CB9" s="97"/>
      <c r="CC9" s="104"/>
      <c r="CD9" s="104"/>
      <c r="CE9" s="104"/>
      <c r="CF9" s="104"/>
      <c r="CG9" s="104"/>
      <c r="CH9" s="104"/>
      <c r="CI9" s="104"/>
      <c r="CJ9" s="104"/>
      <c r="CK9" s="104"/>
      <c r="CL9" s="104"/>
      <c r="CM9" s="104"/>
    </row>
    <row r="10" spans="1:91" hidden="1" outlineLevel="1">
      <c r="A10" s="330" t="s">
        <v>947</v>
      </c>
      <c r="B10" s="331"/>
      <c r="C10" s="88"/>
      <c r="D10" s="294" t="s">
        <v>98</v>
      </c>
      <c r="E10" s="295">
        <v>0</v>
      </c>
      <c r="F10" s="429" t="s">
        <v>935</v>
      </c>
      <c r="G10" s="430" t="s">
        <v>215</v>
      </c>
      <c r="H10" s="431" t="s">
        <v>98</v>
      </c>
      <c r="I10" s="431" t="s">
        <v>98</v>
      </c>
      <c r="J10" s="89">
        <v>0</v>
      </c>
      <c r="K10" s="430" t="s">
        <v>679</v>
      </c>
      <c r="L10" s="90">
        <f t="shared" si="0"/>
        <v>0</v>
      </c>
      <c r="M10" s="91"/>
      <c r="N10" s="92"/>
      <c r="O10" s="93"/>
      <c r="P10" s="90">
        <f t="shared" si="1"/>
        <v>0</v>
      </c>
      <c r="Q10" s="91"/>
      <c r="R10" s="92"/>
      <c r="S10" s="93"/>
      <c r="T10" s="90">
        <f t="shared" si="2"/>
        <v>0</v>
      </c>
      <c r="U10" s="91"/>
      <c r="V10" s="92"/>
      <c r="W10" s="206"/>
      <c r="X10" s="90">
        <f t="shared" si="3"/>
        <v>1</v>
      </c>
      <c r="Y10" s="91"/>
      <c r="Z10" s="92"/>
      <c r="AA10" s="93"/>
      <c r="AB10" s="90">
        <f t="shared" si="4"/>
        <v>0</v>
      </c>
      <c r="AC10" s="91"/>
      <c r="AD10" s="92"/>
      <c r="AE10" s="93"/>
      <c r="AF10" s="90">
        <f t="shared" si="5"/>
        <v>0</v>
      </c>
      <c r="AG10" s="91"/>
      <c r="AH10" s="92"/>
      <c r="AI10" s="93"/>
      <c r="AJ10" s="90">
        <f t="shared" si="6"/>
        <v>0</v>
      </c>
      <c r="AK10" s="91"/>
      <c r="AL10" s="92"/>
      <c r="AM10" s="93"/>
      <c r="AN10" s="90">
        <f t="shared" si="7"/>
        <v>0</v>
      </c>
      <c r="AO10" s="91"/>
      <c r="AP10" s="92"/>
      <c r="AQ10" s="93"/>
      <c r="AR10" s="90">
        <f t="shared" si="8"/>
        <v>0</v>
      </c>
      <c r="AS10" s="91"/>
      <c r="AT10" s="92"/>
      <c r="AU10" s="93"/>
      <c r="AV10" s="90">
        <f t="shared" si="9"/>
        <v>0</v>
      </c>
      <c r="AW10" s="91"/>
      <c r="AX10" s="92"/>
      <c r="AY10" s="93"/>
      <c r="AZ10" s="427"/>
      <c r="BA10" s="90"/>
      <c r="BB10" s="90"/>
      <c r="BC10" s="101"/>
      <c r="BD10" s="97"/>
      <c r="BE10" s="97"/>
      <c r="BF10" s="97"/>
      <c r="BG10" s="97"/>
      <c r="BH10" s="97"/>
      <c r="BI10" s="97"/>
      <c r="BJ10" s="104"/>
      <c r="BK10" s="104"/>
      <c r="BL10" s="104"/>
      <c r="BM10" s="104"/>
      <c r="BN10" s="104"/>
      <c r="BO10" s="104"/>
      <c r="BP10" s="104"/>
      <c r="BQ10" s="104"/>
      <c r="BR10" s="104"/>
      <c r="BS10" s="104"/>
      <c r="BT10" s="104"/>
      <c r="BV10" s="101"/>
      <c r="BW10" s="97"/>
      <c r="BX10" s="97"/>
      <c r="BY10" s="97"/>
      <c r="BZ10" s="97"/>
      <c r="CA10" s="97"/>
      <c r="CB10" s="97"/>
      <c r="CC10" s="104"/>
      <c r="CD10" s="104"/>
      <c r="CE10" s="104"/>
      <c r="CF10" s="104"/>
      <c r="CG10" s="104"/>
      <c r="CH10" s="104"/>
      <c r="CI10" s="104"/>
      <c r="CJ10" s="104"/>
      <c r="CK10" s="104"/>
      <c r="CL10" s="104"/>
      <c r="CM10" s="104"/>
    </row>
    <row r="11" spans="1:91" hidden="1" outlineLevel="1" collapsed="1">
      <c r="A11" s="330" t="s">
        <v>948</v>
      </c>
      <c r="B11" s="331"/>
      <c r="C11" s="88"/>
      <c r="D11" s="294" t="s">
        <v>98</v>
      </c>
      <c r="E11" s="295">
        <v>0</v>
      </c>
      <c r="F11" s="429" t="s">
        <v>936</v>
      </c>
      <c r="G11" s="430" t="s">
        <v>373</v>
      </c>
      <c r="H11" s="431" t="s">
        <v>98</v>
      </c>
      <c r="I11" s="431" t="s">
        <v>98</v>
      </c>
      <c r="J11" s="89">
        <v>0</v>
      </c>
      <c r="K11" s="430" t="s">
        <v>679</v>
      </c>
      <c r="L11" s="90">
        <f t="shared" si="0"/>
        <v>0</v>
      </c>
      <c r="M11" s="91"/>
      <c r="N11" s="92"/>
      <c r="O11" s="93"/>
      <c r="P11" s="90">
        <f t="shared" si="1"/>
        <v>0</v>
      </c>
      <c r="Q11" s="91"/>
      <c r="R11" s="92"/>
      <c r="S11" s="93"/>
      <c r="T11" s="90">
        <f t="shared" si="2"/>
        <v>0</v>
      </c>
      <c r="U11" s="91"/>
      <c r="V11" s="92"/>
      <c r="W11" s="206"/>
      <c r="X11" s="90">
        <f t="shared" si="3"/>
        <v>0</v>
      </c>
      <c r="Y11" s="91"/>
      <c r="Z11" s="92"/>
      <c r="AA11" s="93"/>
      <c r="AB11" s="90">
        <f t="shared" si="4"/>
        <v>1</v>
      </c>
      <c r="AC11" s="91"/>
      <c r="AD11" s="92"/>
      <c r="AE11" s="93"/>
      <c r="AF11" s="90">
        <f t="shared" si="5"/>
        <v>0</v>
      </c>
      <c r="AG11" s="91"/>
      <c r="AH11" s="92"/>
      <c r="AI11" s="93"/>
      <c r="AJ11" s="90">
        <f t="shared" si="6"/>
        <v>0</v>
      </c>
      <c r="AK11" s="91"/>
      <c r="AL11" s="92"/>
      <c r="AM11" s="93"/>
      <c r="AN11" s="90">
        <f t="shared" si="7"/>
        <v>0</v>
      </c>
      <c r="AO11" s="91"/>
      <c r="AP11" s="92"/>
      <c r="AQ11" s="93"/>
      <c r="AR11" s="90">
        <f t="shared" si="8"/>
        <v>0</v>
      </c>
      <c r="AS11" s="91"/>
      <c r="AT11" s="92"/>
      <c r="AU11" s="93"/>
      <c r="AV11" s="90">
        <f t="shared" si="9"/>
        <v>0</v>
      </c>
      <c r="AW11" s="91"/>
      <c r="AX11" s="92"/>
      <c r="AY11" s="93"/>
      <c r="AZ11" s="427"/>
      <c r="BA11" s="90"/>
      <c r="BB11" s="90"/>
      <c r="BC11" s="101"/>
      <c r="BD11" s="97"/>
      <c r="BE11" s="97"/>
      <c r="BF11" s="97"/>
      <c r="BG11" s="97"/>
      <c r="BH11" s="97"/>
      <c r="BI11" s="97"/>
      <c r="BJ11" s="104"/>
      <c r="BK11" s="104"/>
      <c r="BL11" s="104"/>
      <c r="BM11" s="104"/>
      <c r="BN11" s="104"/>
      <c r="BO11" s="104"/>
      <c r="BP11" s="104"/>
      <c r="BQ11" s="104"/>
      <c r="BR11" s="104"/>
      <c r="BS11" s="104"/>
      <c r="BT11" s="104"/>
      <c r="BV11" s="101"/>
      <c r="BW11" s="97"/>
      <c r="BX11" s="97"/>
      <c r="BY11" s="97"/>
      <c r="BZ11" s="97"/>
      <c r="CA11" s="97"/>
      <c r="CB11" s="97"/>
      <c r="CC11" s="104"/>
      <c r="CD11" s="104"/>
      <c r="CE11" s="104"/>
      <c r="CF11" s="104"/>
      <c r="CG11" s="104"/>
      <c r="CH11" s="104"/>
      <c r="CI11" s="104"/>
      <c r="CJ11" s="104"/>
      <c r="CK11" s="104"/>
      <c r="CL11" s="104"/>
      <c r="CM11" s="104"/>
    </row>
    <row r="12" spans="1:91" hidden="1" outlineLevel="1">
      <c r="A12" s="330" t="s">
        <v>949</v>
      </c>
      <c r="B12" s="331"/>
      <c r="C12" s="88"/>
      <c r="D12" s="294" t="s">
        <v>98</v>
      </c>
      <c r="E12" s="295">
        <v>0</v>
      </c>
      <c r="F12" s="429" t="s">
        <v>937</v>
      </c>
      <c r="G12" s="430" t="s">
        <v>373</v>
      </c>
      <c r="H12" s="431" t="s">
        <v>98</v>
      </c>
      <c r="I12" s="431" t="s">
        <v>98</v>
      </c>
      <c r="J12" s="89">
        <v>0</v>
      </c>
      <c r="K12" s="430" t="s">
        <v>679</v>
      </c>
      <c r="L12" s="90">
        <f t="shared" si="0"/>
        <v>0</v>
      </c>
      <c r="M12" s="91"/>
      <c r="N12" s="92"/>
      <c r="O12" s="93"/>
      <c r="P12" s="90">
        <f t="shared" si="1"/>
        <v>0</v>
      </c>
      <c r="Q12" s="91"/>
      <c r="R12" s="92"/>
      <c r="S12" s="93"/>
      <c r="T12" s="90">
        <f t="shared" si="2"/>
        <v>0</v>
      </c>
      <c r="U12" s="91"/>
      <c r="V12" s="92"/>
      <c r="W12" s="206"/>
      <c r="X12" s="90">
        <f t="shared" si="3"/>
        <v>0</v>
      </c>
      <c r="Y12" s="91"/>
      <c r="Z12" s="92"/>
      <c r="AA12" s="93"/>
      <c r="AB12" s="90">
        <f t="shared" si="4"/>
        <v>0</v>
      </c>
      <c r="AC12" s="91"/>
      <c r="AD12" s="92"/>
      <c r="AE12" s="93"/>
      <c r="AF12" s="90">
        <f t="shared" si="5"/>
        <v>1</v>
      </c>
      <c r="AG12" s="91"/>
      <c r="AH12" s="92"/>
      <c r="AI12" s="93"/>
      <c r="AJ12" s="90">
        <f t="shared" si="6"/>
        <v>0</v>
      </c>
      <c r="AK12" s="91"/>
      <c r="AL12" s="92"/>
      <c r="AM12" s="93"/>
      <c r="AN12" s="90">
        <f t="shared" si="7"/>
        <v>0</v>
      </c>
      <c r="AO12" s="91"/>
      <c r="AP12" s="92"/>
      <c r="AQ12" s="93"/>
      <c r="AR12" s="90">
        <f t="shared" si="8"/>
        <v>0</v>
      </c>
      <c r="AS12" s="91"/>
      <c r="AT12" s="92"/>
      <c r="AU12" s="93"/>
      <c r="AV12" s="90">
        <f t="shared" si="9"/>
        <v>0</v>
      </c>
      <c r="AW12" s="91"/>
      <c r="AX12" s="92"/>
      <c r="AY12" s="93"/>
      <c r="AZ12" s="427"/>
      <c r="BA12" s="90"/>
      <c r="BB12" s="90"/>
      <c r="BC12" s="101"/>
      <c r="BD12" s="97"/>
      <c r="BE12" s="97"/>
      <c r="BF12" s="97"/>
      <c r="BG12" s="97"/>
      <c r="BH12" s="97"/>
      <c r="BI12" s="97"/>
      <c r="BJ12" s="104"/>
      <c r="BK12" s="104"/>
      <c r="BL12" s="104"/>
      <c r="BM12" s="104"/>
      <c r="BN12" s="104"/>
      <c r="BO12" s="104"/>
      <c r="BP12" s="104"/>
      <c r="BQ12" s="104"/>
      <c r="BR12" s="104"/>
      <c r="BS12" s="104"/>
      <c r="BT12" s="104"/>
      <c r="BV12" s="101"/>
      <c r="BW12" s="97"/>
      <c r="BX12" s="97"/>
      <c r="BY12" s="97"/>
      <c r="BZ12" s="97"/>
      <c r="CA12" s="97"/>
      <c r="CB12" s="97"/>
      <c r="CC12" s="104"/>
      <c r="CD12" s="104"/>
      <c r="CE12" s="104"/>
      <c r="CF12" s="104"/>
      <c r="CG12" s="104"/>
      <c r="CH12" s="104"/>
      <c r="CI12" s="104"/>
      <c r="CJ12" s="104"/>
      <c r="CK12" s="104"/>
      <c r="CL12" s="104"/>
      <c r="CM12" s="104"/>
    </row>
    <row r="13" spans="1:91" hidden="1" outlineLevel="1">
      <c r="A13" s="330" t="s">
        <v>950</v>
      </c>
      <c r="B13" s="331"/>
      <c r="C13" s="88"/>
      <c r="D13" s="294" t="s">
        <v>98</v>
      </c>
      <c r="E13" s="295">
        <v>0</v>
      </c>
      <c r="F13" s="429" t="s">
        <v>938</v>
      </c>
      <c r="G13" s="430" t="s">
        <v>93</v>
      </c>
      <c r="H13" s="431" t="s">
        <v>98</v>
      </c>
      <c r="I13" s="431" t="s">
        <v>98</v>
      </c>
      <c r="J13" s="89">
        <v>0</v>
      </c>
      <c r="K13" s="430" t="s">
        <v>679</v>
      </c>
      <c r="L13" s="90">
        <f t="shared" si="0"/>
        <v>0</v>
      </c>
      <c r="M13" s="91"/>
      <c r="N13" s="92"/>
      <c r="O13" s="93"/>
      <c r="P13" s="90">
        <f t="shared" si="1"/>
        <v>0</v>
      </c>
      <c r="Q13" s="91"/>
      <c r="R13" s="92"/>
      <c r="S13" s="93"/>
      <c r="T13" s="90">
        <f t="shared" si="2"/>
        <v>0</v>
      </c>
      <c r="U13" s="91"/>
      <c r="V13" s="92"/>
      <c r="W13" s="206"/>
      <c r="X13" s="90">
        <f t="shared" si="3"/>
        <v>0</v>
      </c>
      <c r="Y13" s="91"/>
      <c r="Z13" s="92"/>
      <c r="AA13" s="93"/>
      <c r="AB13" s="90">
        <f t="shared" si="4"/>
        <v>0</v>
      </c>
      <c r="AC13" s="91"/>
      <c r="AD13" s="92"/>
      <c r="AE13" s="93"/>
      <c r="AF13" s="90">
        <f t="shared" si="5"/>
        <v>0</v>
      </c>
      <c r="AG13" s="91"/>
      <c r="AH13" s="92"/>
      <c r="AI13" s="93"/>
      <c r="AJ13" s="90">
        <f t="shared" si="6"/>
        <v>1</v>
      </c>
      <c r="AK13" s="91"/>
      <c r="AL13" s="92"/>
      <c r="AM13" s="93"/>
      <c r="AN13" s="90">
        <f t="shared" si="7"/>
        <v>0</v>
      </c>
      <c r="AO13" s="91"/>
      <c r="AP13" s="92"/>
      <c r="AQ13" s="93"/>
      <c r="AR13" s="90">
        <f t="shared" si="8"/>
        <v>0</v>
      </c>
      <c r="AS13" s="91"/>
      <c r="AT13" s="92"/>
      <c r="AU13" s="93"/>
      <c r="AV13" s="90">
        <f t="shared" si="9"/>
        <v>0</v>
      </c>
      <c r="AW13" s="91"/>
      <c r="AX13" s="92"/>
      <c r="AY13" s="93"/>
      <c r="AZ13" s="112"/>
      <c r="BA13" s="90"/>
      <c r="BB13" s="90"/>
      <c r="BC13" s="101"/>
      <c r="BD13" s="97"/>
      <c r="BE13" s="97"/>
      <c r="BF13" s="97"/>
      <c r="BG13" s="97"/>
      <c r="BH13" s="97"/>
      <c r="BI13" s="97"/>
      <c r="BJ13" s="104"/>
      <c r="BK13" s="104"/>
      <c r="BL13" s="104"/>
      <c r="BM13" s="104"/>
      <c r="BN13" s="104"/>
      <c r="BO13" s="104"/>
      <c r="BP13" s="104"/>
      <c r="BQ13" s="104"/>
      <c r="BR13" s="104"/>
      <c r="BS13" s="104"/>
      <c r="BT13" s="104"/>
      <c r="BV13" s="101"/>
      <c r="BW13" s="97"/>
      <c r="BX13" s="97"/>
      <c r="BY13" s="97"/>
      <c r="BZ13" s="97"/>
      <c r="CA13" s="97"/>
      <c r="CB13" s="97"/>
      <c r="CC13" s="104"/>
      <c r="CD13" s="104"/>
      <c r="CE13" s="104"/>
      <c r="CF13" s="104"/>
      <c r="CG13" s="104"/>
      <c r="CH13" s="104"/>
      <c r="CI13" s="104"/>
      <c r="CJ13" s="104"/>
      <c r="CK13" s="104"/>
      <c r="CL13" s="104"/>
      <c r="CM13" s="104"/>
    </row>
    <row r="14" spans="1:91" hidden="1" outlineLevel="1">
      <c r="A14" s="330" t="s">
        <v>951</v>
      </c>
      <c r="B14" s="331"/>
      <c r="C14" s="88"/>
      <c r="D14" s="294" t="s">
        <v>98</v>
      </c>
      <c r="E14" s="295">
        <v>0</v>
      </c>
      <c r="F14" s="429" t="s">
        <v>939</v>
      </c>
      <c r="G14" s="430" t="s">
        <v>93</v>
      </c>
      <c r="H14" s="431" t="s">
        <v>98</v>
      </c>
      <c r="I14" s="431" t="s">
        <v>98</v>
      </c>
      <c r="J14" s="89">
        <v>0</v>
      </c>
      <c r="K14" s="430" t="s">
        <v>679</v>
      </c>
      <c r="L14" s="90">
        <f t="shared" si="0"/>
        <v>0</v>
      </c>
      <c r="M14" s="91"/>
      <c r="N14" s="92"/>
      <c r="O14" s="93"/>
      <c r="P14" s="90">
        <f t="shared" si="1"/>
        <v>0</v>
      </c>
      <c r="Q14" s="91"/>
      <c r="R14" s="92"/>
      <c r="S14" s="93"/>
      <c r="T14" s="90">
        <f t="shared" si="2"/>
        <v>0</v>
      </c>
      <c r="U14" s="91"/>
      <c r="V14" s="92"/>
      <c r="W14" s="206"/>
      <c r="X14" s="90">
        <f t="shared" si="3"/>
        <v>0</v>
      </c>
      <c r="Y14" s="91"/>
      <c r="Z14" s="92"/>
      <c r="AA14" s="93"/>
      <c r="AB14" s="90">
        <f t="shared" si="4"/>
        <v>0</v>
      </c>
      <c r="AC14" s="91"/>
      <c r="AD14" s="92"/>
      <c r="AE14" s="93"/>
      <c r="AF14" s="90">
        <f t="shared" si="5"/>
        <v>0</v>
      </c>
      <c r="AG14" s="91"/>
      <c r="AH14" s="92"/>
      <c r="AI14" s="93"/>
      <c r="AJ14" s="90">
        <f t="shared" si="6"/>
        <v>0</v>
      </c>
      <c r="AK14" s="91"/>
      <c r="AL14" s="92"/>
      <c r="AM14" s="93"/>
      <c r="AN14" s="90">
        <f t="shared" si="7"/>
        <v>1</v>
      </c>
      <c r="AO14" s="91"/>
      <c r="AP14" s="92"/>
      <c r="AQ14" s="93"/>
      <c r="AR14" s="90">
        <f t="shared" si="8"/>
        <v>0</v>
      </c>
      <c r="AS14" s="91"/>
      <c r="AT14" s="92"/>
      <c r="AU14" s="93"/>
      <c r="AV14" s="90">
        <f t="shared" si="9"/>
        <v>0</v>
      </c>
      <c r="AW14" s="91"/>
      <c r="AX14" s="92"/>
      <c r="AY14" s="93"/>
      <c r="AZ14" s="112"/>
      <c r="BA14" s="90"/>
      <c r="BB14" s="90"/>
      <c r="BC14" s="101"/>
      <c r="BD14" s="97"/>
      <c r="BE14" s="97"/>
      <c r="BF14" s="97"/>
      <c r="BG14" s="97"/>
      <c r="BH14" s="97"/>
      <c r="BI14" s="97"/>
      <c r="BJ14" s="104"/>
      <c r="BK14" s="104"/>
      <c r="BL14" s="104"/>
      <c r="BM14" s="104"/>
      <c r="BN14" s="104"/>
      <c r="BO14" s="104"/>
      <c r="BP14" s="104"/>
      <c r="BQ14" s="104"/>
      <c r="BR14" s="104"/>
      <c r="BS14" s="104"/>
      <c r="BT14" s="104"/>
      <c r="BV14" s="101"/>
      <c r="BW14" s="97"/>
      <c r="BX14" s="97"/>
      <c r="BY14" s="97"/>
      <c r="BZ14" s="97"/>
      <c r="CA14" s="97"/>
      <c r="CB14" s="97"/>
      <c r="CC14" s="104"/>
      <c r="CD14" s="104"/>
      <c r="CE14" s="104"/>
      <c r="CF14" s="104"/>
      <c r="CG14" s="104"/>
      <c r="CH14" s="104"/>
      <c r="CI14" s="104"/>
      <c r="CJ14" s="104"/>
      <c r="CK14" s="104"/>
      <c r="CL14" s="104"/>
      <c r="CM14" s="104"/>
    </row>
    <row r="15" spans="1:91" ht="24" collapsed="1">
      <c r="A15" s="330" t="s">
        <v>952</v>
      </c>
      <c r="B15" s="331"/>
      <c r="C15" s="88"/>
      <c r="D15" s="294" t="s">
        <v>98</v>
      </c>
      <c r="E15" s="295">
        <v>0</v>
      </c>
      <c r="F15" s="429" t="s">
        <v>940</v>
      </c>
      <c r="G15" s="430" t="s">
        <v>340</v>
      </c>
      <c r="H15" s="431" t="s">
        <v>98</v>
      </c>
      <c r="I15" s="431" t="s">
        <v>98</v>
      </c>
      <c r="J15" s="89">
        <v>0</v>
      </c>
      <c r="K15" s="430" t="s">
        <v>679</v>
      </c>
      <c r="L15" s="90">
        <f t="shared" si="0"/>
        <v>0</v>
      </c>
      <c r="M15" s="91"/>
      <c r="N15" s="92"/>
      <c r="O15" s="93"/>
      <c r="P15" s="90">
        <f t="shared" si="1"/>
        <v>0</v>
      </c>
      <c r="Q15" s="91"/>
      <c r="R15" s="92"/>
      <c r="S15" s="93"/>
      <c r="T15" s="90">
        <f t="shared" si="2"/>
        <v>0</v>
      </c>
      <c r="U15" s="91"/>
      <c r="V15" s="92"/>
      <c r="W15" s="206"/>
      <c r="X15" s="90">
        <f t="shared" si="3"/>
        <v>0</v>
      </c>
      <c r="Y15" s="91"/>
      <c r="Z15" s="92"/>
      <c r="AA15" s="93"/>
      <c r="AB15" s="90">
        <f t="shared" si="4"/>
        <v>0</v>
      </c>
      <c r="AC15" s="91"/>
      <c r="AD15" s="92"/>
      <c r="AE15" s="93"/>
      <c r="AF15" s="90">
        <f t="shared" si="5"/>
        <v>0</v>
      </c>
      <c r="AG15" s="91"/>
      <c r="AH15" s="92"/>
      <c r="AI15" s="93"/>
      <c r="AJ15" s="90">
        <f t="shared" si="6"/>
        <v>0</v>
      </c>
      <c r="AK15" s="91"/>
      <c r="AL15" s="92"/>
      <c r="AM15" s="93"/>
      <c r="AN15" s="90">
        <f t="shared" si="7"/>
        <v>0</v>
      </c>
      <c r="AO15" s="91"/>
      <c r="AP15" s="92"/>
      <c r="AQ15" s="93"/>
      <c r="AR15" s="90">
        <f t="shared" si="8"/>
        <v>1</v>
      </c>
      <c r="AS15" s="91"/>
      <c r="AT15" s="92"/>
      <c r="AU15" s="93"/>
      <c r="AV15" s="90">
        <f t="shared" si="9"/>
        <v>0</v>
      </c>
      <c r="AW15" s="91"/>
      <c r="AX15" s="92"/>
      <c r="AY15" s="93"/>
      <c r="AZ15" s="112"/>
      <c r="BA15" s="90"/>
      <c r="BB15" s="90"/>
      <c r="BC15" s="101"/>
      <c r="BD15" s="97"/>
      <c r="BE15" s="97"/>
      <c r="BF15" s="97"/>
      <c r="BG15" s="97"/>
      <c r="BH15" s="97"/>
      <c r="BI15" s="97"/>
      <c r="BJ15" s="104"/>
      <c r="BK15" s="104"/>
      <c r="BL15" s="104"/>
      <c r="BM15" s="104"/>
      <c r="BN15" s="104"/>
      <c r="BO15" s="104"/>
      <c r="BP15" s="104"/>
      <c r="BQ15" s="104"/>
      <c r="BR15" s="104"/>
      <c r="BS15" s="104"/>
      <c r="BT15" s="104"/>
      <c r="BV15" s="101"/>
      <c r="BW15" s="97"/>
      <c r="BX15" s="97"/>
      <c r="BY15" s="97"/>
      <c r="BZ15" s="97"/>
      <c r="CA15" s="97"/>
      <c r="CB15" s="97"/>
      <c r="CC15" s="104"/>
      <c r="CD15" s="104"/>
      <c r="CE15" s="104"/>
      <c r="CF15" s="104"/>
      <c r="CG15" s="104"/>
      <c r="CH15" s="104"/>
      <c r="CI15" s="104"/>
      <c r="CJ15" s="104"/>
      <c r="CK15" s="104"/>
      <c r="CL15" s="104"/>
      <c r="CM15" s="104"/>
    </row>
    <row r="16" spans="1:91" ht="24">
      <c r="A16" s="330" t="s">
        <v>953</v>
      </c>
      <c r="B16" s="331"/>
      <c r="C16" s="88"/>
      <c r="D16" s="294" t="s">
        <v>98</v>
      </c>
      <c r="E16" s="295">
        <v>0</v>
      </c>
      <c r="F16" s="429" t="s">
        <v>941</v>
      </c>
      <c r="G16" s="430" t="s">
        <v>372</v>
      </c>
      <c r="H16" s="431" t="s">
        <v>98</v>
      </c>
      <c r="I16" s="431" t="s">
        <v>98</v>
      </c>
      <c r="J16" s="89">
        <v>0</v>
      </c>
      <c r="K16" s="430" t="s">
        <v>679</v>
      </c>
      <c r="L16" s="90">
        <f t="shared" si="0"/>
        <v>0</v>
      </c>
      <c r="M16" s="91"/>
      <c r="N16" s="92"/>
      <c r="O16" s="93"/>
      <c r="P16" s="90">
        <f t="shared" si="1"/>
        <v>0</v>
      </c>
      <c r="Q16" s="91"/>
      <c r="R16" s="92"/>
      <c r="S16" s="93"/>
      <c r="T16" s="90">
        <f t="shared" si="2"/>
        <v>0</v>
      </c>
      <c r="U16" s="91"/>
      <c r="V16" s="92"/>
      <c r="W16" s="206"/>
      <c r="X16" s="90">
        <f t="shared" si="3"/>
        <v>0</v>
      </c>
      <c r="Y16" s="91"/>
      <c r="Z16" s="92"/>
      <c r="AA16" s="93"/>
      <c r="AB16" s="90">
        <f t="shared" si="4"/>
        <v>0</v>
      </c>
      <c r="AC16" s="91"/>
      <c r="AD16" s="92"/>
      <c r="AE16" s="93"/>
      <c r="AF16" s="90">
        <f t="shared" si="5"/>
        <v>0</v>
      </c>
      <c r="AG16" s="91"/>
      <c r="AH16" s="92"/>
      <c r="AI16" s="93"/>
      <c r="AJ16" s="90">
        <f t="shared" si="6"/>
        <v>0</v>
      </c>
      <c r="AK16" s="91"/>
      <c r="AL16" s="92"/>
      <c r="AM16" s="93"/>
      <c r="AN16" s="90">
        <f t="shared" si="7"/>
        <v>0</v>
      </c>
      <c r="AO16" s="91"/>
      <c r="AP16" s="92"/>
      <c r="AQ16" s="93"/>
      <c r="AR16" s="90">
        <f t="shared" si="8"/>
        <v>0</v>
      </c>
      <c r="AS16" s="91"/>
      <c r="AT16" s="92"/>
      <c r="AU16" s="93"/>
      <c r="AV16" s="90">
        <f t="shared" si="9"/>
        <v>1</v>
      </c>
      <c r="AW16" s="91"/>
      <c r="AX16" s="92"/>
      <c r="AY16" s="93"/>
      <c r="AZ16" s="112"/>
      <c r="BA16" s="90"/>
      <c r="BB16" s="90"/>
      <c r="BC16" s="101"/>
      <c r="BD16" s="97"/>
      <c r="BE16" s="97"/>
      <c r="BF16" s="97"/>
      <c r="BG16" s="97"/>
      <c r="BH16" s="97"/>
      <c r="BI16" s="97"/>
      <c r="BJ16" s="104"/>
      <c r="BK16" s="104"/>
      <c r="BL16" s="104"/>
      <c r="BM16" s="104"/>
      <c r="BN16" s="104"/>
      <c r="BO16" s="104"/>
      <c r="BP16" s="104"/>
      <c r="BQ16" s="104"/>
      <c r="BR16" s="104"/>
      <c r="BS16" s="104"/>
      <c r="BT16" s="104"/>
      <c r="BV16" s="101"/>
      <c r="BW16" s="97"/>
      <c r="BX16" s="97"/>
      <c r="BY16" s="97"/>
      <c r="BZ16" s="97"/>
      <c r="CA16" s="97"/>
      <c r="CB16" s="97"/>
      <c r="CC16" s="104"/>
      <c r="CD16" s="104"/>
      <c r="CE16" s="104"/>
      <c r="CF16" s="104"/>
      <c r="CG16" s="104"/>
      <c r="CH16" s="104"/>
      <c r="CI16" s="104"/>
      <c r="CJ16" s="104"/>
      <c r="CK16" s="104"/>
      <c r="CL16" s="104"/>
      <c r="CM16" s="104"/>
    </row>
    <row r="17" spans="1:91" s="171" customFormat="1" hidden="1" outlineLevel="1" collapsed="1">
      <c r="A17" s="333" t="s">
        <v>807</v>
      </c>
      <c r="B17" s="216"/>
      <c r="C17" s="334"/>
      <c r="D17" s="342">
        <v>5</v>
      </c>
      <c r="E17" s="343" t="s">
        <v>98</v>
      </c>
      <c r="F17" s="437" t="s">
        <v>795</v>
      </c>
      <c r="G17" s="438" t="s">
        <v>372</v>
      </c>
      <c r="H17" s="439" t="s">
        <v>98</v>
      </c>
      <c r="I17" s="439" t="s">
        <v>98</v>
      </c>
      <c r="J17" s="335">
        <v>0</v>
      </c>
      <c r="K17" s="438" t="s">
        <v>679</v>
      </c>
      <c r="L17" s="440">
        <f>$BA$20</f>
        <v>1.08</v>
      </c>
      <c r="M17" s="336">
        <v>1</v>
      </c>
      <c r="N17" s="337">
        <f t="shared" ref="N17:N48" si="10">$BM17</f>
        <v>1.0722009304576894</v>
      </c>
      <c r="O17" s="455" t="str">
        <f t="shared" ref="O17:O48" si="11">$BN17&amp;"; "&amp;$BC17</f>
        <v>(2,1,1,2,1,1); Industry data (French tender)</v>
      </c>
      <c r="P17" s="440">
        <f>$BB$20</f>
        <v>1.1000000000000001</v>
      </c>
      <c r="Q17" s="336">
        <v>1</v>
      </c>
      <c r="R17" s="337">
        <f t="shared" ref="R17:R48" si="12">$BM17</f>
        <v>1.0722009304576894</v>
      </c>
      <c r="S17" s="455" t="str">
        <f t="shared" ref="S17:S48" si="13">$BN17&amp;"; "&amp;$BC17</f>
        <v>(2,1,1,2,1,1); Industry data (French tender)</v>
      </c>
      <c r="T17" s="440">
        <v>0</v>
      </c>
      <c r="U17" s="336">
        <v>1</v>
      </c>
      <c r="V17" s="337">
        <f t="shared" ref="V17:V48" si="14">$BM17</f>
        <v>1.0722009304576894</v>
      </c>
      <c r="W17" s="437" t="str">
        <f t="shared" ref="W17:W48" si="15">$BN17&amp;"; "&amp;$BC17</f>
        <v>(2,1,1,2,1,1); Industry data (French tender)</v>
      </c>
      <c r="X17" s="440">
        <v>0</v>
      </c>
      <c r="Y17" s="336">
        <v>1</v>
      </c>
      <c r="Z17" s="337">
        <f t="shared" ref="Z17:Z48" si="16">$BM17</f>
        <v>1.0722009304576894</v>
      </c>
      <c r="AA17" s="437" t="str">
        <f t="shared" ref="AA17:AA48" si="17">$BN17&amp;"; "&amp;$BC17</f>
        <v>(2,1,1,2,1,1); Industry data (French tender)</v>
      </c>
      <c r="AB17" s="440">
        <v>0</v>
      </c>
      <c r="AC17" s="336">
        <v>1</v>
      </c>
      <c r="AD17" s="337">
        <f t="shared" ref="AD17:AD48" si="18">$BM17</f>
        <v>1.0722009304576894</v>
      </c>
      <c r="AE17" s="455" t="str">
        <f t="shared" ref="AE17:AE48" si="19">$BN17&amp;"; "&amp;$BC17</f>
        <v>(2,1,1,2,1,1); Industry data (French tender)</v>
      </c>
      <c r="AF17" s="440">
        <v>0</v>
      </c>
      <c r="AG17" s="336">
        <v>1</v>
      </c>
      <c r="AH17" s="337">
        <f t="shared" ref="AH17:AH48" si="20">$BM17</f>
        <v>1.0722009304576894</v>
      </c>
      <c r="AI17" s="455" t="str">
        <f t="shared" ref="AI17:AI48" si="21">$BN17&amp;"; "&amp;$BC17</f>
        <v>(2,1,1,2,1,1); Industry data (French tender)</v>
      </c>
      <c r="AJ17" s="440">
        <v>0</v>
      </c>
      <c r="AK17" s="336">
        <v>1</v>
      </c>
      <c r="AL17" s="337">
        <f t="shared" ref="AL17:AL48" si="22">$BM17</f>
        <v>1.0722009304576894</v>
      </c>
      <c r="AM17" s="455" t="str">
        <f t="shared" ref="AM17:AM48" si="23">$BN17&amp;"; "&amp;$BC17</f>
        <v>(2,1,1,2,1,1); Industry data (French tender)</v>
      </c>
      <c r="AN17" s="440">
        <v>0</v>
      </c>
      <c r="AO17" s="336">
        <v>1</v>
      </c>
      <c r="AP17" s="337">
        <f t="shared" ref="AP17:AP48" si="24">$BM17</f>
        <v>1.0722009304576894</v>
      </c>
      <c r="AQ17" s="437" t="str">
        <f t="shared" ref="AQ17:AQ48" si="25">$BN17&amp;"; "&amp;$BC17</f>
        <v>(2,1,1,2,1,1); Industry data (French tender)</v>
      </c>
      <c r="AR17" s="440">
        <v>0</v>
      </c>
      <c r="AS17" s="336">
        <v>1</v>
      </c>
      <c r="AT17" s="337">
        <f t="shared" ref="AT17:AT48" si="26">$CF17</f>
        <v>1.05</v>
      </c>
      <c r="AU17" s="455" t="str">
        <f t="shared" ref="AU17:AU48" si="27">$CG17&amp;"; "&amp;$BV17</f>
        <v xml:space="preserve">(na,na,na,na,na,na); </v>
      </c>
      <c r="AV17" s="440">
        <v>0</v>
      </c>
      <c r="AW17" s="336">
        <v>1</v>
      </c>
      <c r="AX17" s="337">
        <f t="shared" ref="AX17:AX48" si="28">$CF17</f>
        <v>1.05</v>
      </c>
      <c r="AY17" s="455" t="str">
        <f t="shared" ref="AY17:AY48" si="29">$CG17&amp;"; "&amp;$BV17</f>
        <v xml:space="preserve">(na,na,na,na,na,na); </v>
      </c>
      <c r="AZ17" s="338"/>
      <c r="BA17" s="440">
        <v>0</v>
      </c>
      <c r="BB17" s="440"/>
      <c r="BC17" s="216" t="s">
        <v>462</v>
      </c>
      <c r="BD17" s="83">
        <v>2</v>
      </c>
      <c r="BE17" s="83">
        <v>1</v>
      </c>
      <c r="BF17" s="83">
        <v>1</v>
      </c>
      <c r="BG17" s="83">
        <v>2</v>
      </c>
      <c r="BH17" s="83">
        <v>1</v>
      </c>
      <c r="BI17" s="83">
        <v>1</v>
      </c>
      <c r="BJ17" s="104">
        <v>3</v>
      </c>
      <c r="BK17" s="104">
        <v>1.05</v>
      </c>
      <c r="BL17" s="107">
        <f t="shared" ref="BL17:BL47" si="30">EXP(SQRT((LN(BO17)^2)+(LN(BP17)^2)+(LN(BQ17)^2)+(LN(BR17)^2)+(LN(BS17)^2)+(LN(BT17)^2)))</f>
        <v>1.0510550504206344</v>
      </c>
      <c r="BM17" s="107">
        <f t="shared" ref="BM17:BM47" si="31">EXP(SQRT((LN(BO17)^2)+(LN(BP17)^2)+(LN(BQ17)^2)+(LN(BR17)^2)+(LN(BS17)^2)+(LN(BT17)^2)+LN(BK17)^2))</f>
        <v>1.0722009304576894</v>
      </c>
      <c r="BN17" s="107" t="str">
        <f t="shared" ref="BN17:BN47" si="32">CONCATENATE("(",BD17,",",BE17,",",BF17,",",BG17,",",BH17,",",BI17,")")</f>
        <v>(2,1,1,2,1,1)</v>
      </c>
      <c r="BO17" s="108">
        <v>1.05</v>
      </c>
      <c r="BP17" s="108">
        <v>1</v>
      </c>
      <c r="BQ17" s="108">
        <v>1</v>
      </c>
      <c r="BR17" s="108">
        <v>1.01</v>
      </c>
      <c r="BS17" s="108">
        <v>1</v>
      </c>
      <c r="BT17" s="108">
        <v>1</v>
      </c>
      <c r="BV17" s="160"/>
      <c r="BW17" s="83" t="s">
        <v>106</v>
      </c>
      <c r="BX17" s="83" t="s">
        <v>106</v>
      </c>
      <c r="BY17" s="83" t="s">
        <v>106</v>
      </c>
      <c r="BZ17" s="83" t="s">
        <v>106</v>
      </c>
      <c r="CA17" s="83" t="s">
        <v>106</v>
      </c>
      <c r="CB17" s="83" t="s">
        <v>106</v>
      </c>
      <c r="CC17" s="104">
        <v>3</v>
      </c>
      <c r="CD17" s="104">
        <v>1.05</v>
      </c>
      <c r="CE17" s="107">
        <f t="shared" ref="CE17:CE48" si="33">EXP(SQRT((LN(CH17)^2)+(LN(CI17)^2)+(LN(CJ17)^2)+(LN(CK17)^2)+(LN(CL17)^2)+(LN(CM17)^2)))</f>
        <v>1</v>
      </c>
      <c r="CF17" s="107">
        <f t="shared" ref="CF17:CF48" si="34">EXP(SQRT((LN(CH17)^2)+(LN(CI17)^2)+(LN(CJ17)^2)+(LN(CK17)^2)+(LN(CL17)^2)+(LN(CM17)^2)+LN(CD17)^2))</f>
        <v>1.05</v>
      </c>
      <c r="CG17" s="107" t="str">
        <f t="shared" ref="CG17:CG48" si="35">CONCATENATE("(",BW17,",",BX17,",",BY17,",",BZ17,",",CA17,",",CB17,")")</f>
        <v>(na,na,na,na,na,na)</v>
      </c>
      <c r="CH17" s="108">
        <v>1</v>
      </c>
      <c r="CI17" s="108">
        <v>1</v>
      </c>
      <c r="CJ17" s="108">
        <v>1</v>
      </c>
      <c r="CK17" s="108">
        <v>1</v>
      </c>
      <c r="CL17" s="108">
        <v>1</v>
      </c>
      <c r="CM17" s="108">
        <v>1</v>
      </c>
    </row>
    <row r="18" spans="1:91" s="171" customFormat="1" ht="24" hidden="1" outlineLevel="1">
      <c r="A18" s="333" t="s">
        <v>893</v>
      </c>
      <c r="B18" s="216"/>
      <c r="C18" s="334"/>
      <c r="D18" s="342">
        <v>5</v>
      </c>
      <c r="E18" s="343" t="s">
        <v>98</v>
      </c>
      <c r="F18" s="437" t="s">
        <v>887</v>
      </c>
      <c r="G18" s="438" t="s">
        <v>215</v>
      </c>
      <c r="H18" s="439" t="s">
        <v>98</v>
      </c>
      <c r="I18" s="439" t="s">
        <v>98</v>
      </c>
      <c r="J18" s="335">
        <v>0</v>
      </c>
      <c r="K18" s="438" t="s">
        <v>679</v>
      </c>
      <c r="L18" s="440">
        <v>0</v>
      </c>
      <c r="M18" s="336">
        <v>1</v>
      </c>
      <c r="N18" s="337">
        <f t="shared" si="10"/>
        <v>1.0722009304576894</v>
      </c>
      <c r="O18" s="455" t="str">
        <f t="shared" si="11"/>
        <v>(2,1,1,2,1,1); Industry data (French tender)</v>
      </c>
      <c r="P18" s="440">
        <v>0</v>
      </c>
      <c r="Q18" s="336">
        <v>1</v>
      </c>
      <c r="R18" s="337">
        <f t="shared" si="12"/>
        <v>1.0722009304576894</v>
      </c>
      <c r="S18" s="455" t="str">
        <f t="shared" si="13"/>
        <v>(2,1,1,2,1,1); Industry data (French tender)</v>
      </c>
      <c r="T18" s="440">
        <f>$BA$20</f>
        <v>1.08</v>
      </c>
      <c r="U18" s="336">
        <v>1</v>
      </c>
      <c r="V18" s="337">
        <f t="shared" si="14"/>
        <v>1.0722009304576894</v>
      </c>
      <c r="W18" s="437" t="str">
        <f t="shared" si="15"/>
        <v>(2,1,1,2,1,1); Industry data (French tender)</v>
      </c>
      <c r="X18" s="440">
        <f>$BB$20</f>
        <v>1.1000000000000001</v>
      </c>
      <c r="Y18" s="336">
        <v>1</v>
      </c>
      <c r="Z18" s="337">
        <f t="shared" si="16"/>
        <v>1.0722009304576894</v>
      </c>
      <c r="AA18" s="437" t="str">
        <f t="shared" si="17"/>
        <v>(2,1,1,2,1,1); Industry data (French tender)</v>
      </c>
      <c r="AB18" s="440">
        <v>0</v>
      </c>
      <c r="AC18" s="336">
        <v>1</v>
      </c>
      <c r="AD18" s="337">
        <f t="shared" si="18"/>
        <v>1.0722009304576894</v>
      </c>
      <c r="AE18" s="455" t="str">
        <f t="shared" si="19"/>
        <v>(2,1,1,2,1,1); Industry data (French tender)</v>
      </c>
      <c r="AF18" s="440">
        <f>AB18</f>
        <v>0</v>
      </c>
      <c r="AG18" s="336">
        <v>1</v>
      </c>
      <c r="AH18" s="337">
        <f t="shared" si="20"/>
        <v>1.0722009304576894</v>
      </c>
      <c r="AI18" s="455" t="str">
        <f t="shared" si="21"/>
        <v>(2,1,1,2,1,1); Industry data (French tender)</v>
      </c>
      <c r="AJ18" s="440">
        <v>0</v>
      </c>
      <c r="AK18" s="336">
        <v>1</v>
      </c>
      <c r="AL18" s="337">
        <f t="shared" si="22"/>
        <v>1.0722009304576894</v>
      </c>
      <c r="AM18" s="455" t="str">
        <f t="shared" si="23"/>
        <v>(2,1,1,2,1,1); Industry data (French tender)</v>
      </c>
      <c r="AN18" s="440">
        <f>AJ18</f>
        <v>0</v>
      </c>
      <c r="AO18" s="336">
        <v>1</v>
      </c>
      <c r="AP18" s="337">
        <f t="shared" si="24"/>
        <v>1.0722009304576894</v>
      </c>
      <c r="AQ18" s="437" t="str">
        <f t="shared" si="25"/>
        <v>(2,1,1,2,1,1); Industry data (French tender)</v>
      </c>
      <c r="AR18" s="440">
        <v>0</v>
      </c>
      <c r="AS18" s="336">
        <v>1</v>
      </c>
      <c r="AT18" s="337">
        <f t="shared" si="26"/>
        <v>1.05</v>
      </c>
      <c r="AU18" s="455" t="str">
        <f t="shared" si="27"/>
        <v xml:space="preserve">(na,na,na,na,na,na); </v>
      </c>
      <c r="AV18" s="440">
        <v>0</v>
      </c>
      <c r="AW18" s="336">
        <v>1</v>
      </c>
      <c r="AX18" s="337">
        <f t="shared" si="28"/>
        <v>1.05</v>
      </c>
      <c r="AY18" s="455" t="str">
        <f t="shared" si="29"/>
        <v xml:space="preserve">(na,na,na,na,na,na); </v>
      </c>
      <c r="AZ18" s="338"/>
      <c r="BA18" s="440">
        <v>0</v>
      </c>
      <c r="BB18" s="440"/>
      <c r="BC18" s="216" t="s">
        <v>462</v>
      </c>
      <c r="BD18" s="83">
        <v>2</v>
      </c>
      <c r="BE18" s="83">
        <v>1</v>
      </c>
      <c r="BF18" s="83">
        <v>1</v>
      </c>
      <c r="BG18" s="83">
        <v>2</v>
      </c>
      <c r="BH18" s="83">
        <v>1</v>
      </c>
      <c r="BI18" s="83">
        <v>1</v>
      </c>
      <c r="BJ18" s="104">
        <v>3</v>
      </c>
      <c r="BK18" s="104">
        <v>1.05</v>
      </c>
      <c r="BL18" s="107">
        <f t="shared" si="30"/>
        <v>1.0510550504206344</v>
      </c>
      <c r="BM18" s="107">
        <f t="shared" si="31"/>
        <v>1.0722009304576894</v>
      </c>
      <c r="BN18" s="107" t="str">
        <f t="shared" si="32"/>
        <v>(2,1,1,2,1,1)</v>
      </c>
      <c r="BO18" s="108">
        <v>1.05</v>
      </c>
      <c r="BP18" s="108">
        <v>1</v>
      </c>
      <c r="BQ18" s="108">
        <v>1</v>
      </c>
      <c r="BR18" s="108">
        <v>1.01</v>
      </c>
      <c r="BS18" s="108">
        <v>1</v>
      </c>
      <c r="BT18" s="108">
        <v>1</v>
      </c>
      <c r="BV18" s="160"/>
      <c r="BW18" s="83" t="s">
        <v>106</v>
      </c>
      <c r="BX18" s="83" t="s">
        <v>106</v>
      </c>
      <c r="BY18" s="83" t="s">
        <v>106</v>
      </c>
      <c r="BZ18" s="83" t="s">
        <v>106</v>
      </c>
      <c r="CA18" s="83" t="s">
        <v>106</v>
      </c>
      <c r="CB18" s="83" t="s">
        <v>106</v>
      </c>
      <c r="CC18" s="104">
        <v>3</v>
      </c>
      <c r="CD18" s="104">
        <v>1.05</v>
      </c>
      <c r="CE18" s="107">
        <f t="shared" si="33"/>
        <v>1</v>
      </c>
      <c r="CF18" s="107">
        <f t="shared" si="34"/>
        <v>1.05</v>
      </c>
      <c r="CG18" s="107" t="str">
        <f t="shared" si="35"/>
        <v>(na,na,na,na,na,na)</v>
      </c>
      <c r="CH18" s="108">
        <v>1</v>
      </c>
      <c r="CI18" s="108">
        <v>1</v>
      </c>
      <c r="CJ18" s="108">
        <v>1</v>
      </c>
      <c r="CK18" s="108">
        <v>1</v>
      </c>
      <c r="CL18" s="108">
        <v>1</v>
      </c>
      <c r="CM18" s="108">
        <v>1</v>
      </c>
    </row>
    <row r="19" spans="1:91" s="171" customFormat="1" ht="24" hidden="1" outlineLevel="1" collapsed="1">
      <c r="A19" s="333" t="s">
        <v>895</v>
      </c>
      <c r="B19" s="216"/>
      <c r="C19" s="334"/>
      <c r="D19" s="342">
        <v>5</v>
      </c>
      <c r="E19" s="343" t="s">
        <v>98</v>
      </c>
      <c r="F19" s="437" t="s">
        <v>889</v>
      </c>
      <c r="G19" s="438" t="s">
        <v>373</v>
      </c>
      <c r="H19" s="439" t="s">
        <v>98</v>
      </c>
      <c r="I19" s="439" t="s">
        <v>98</v>
      </c>
      <c r="J19" s="335">
        <v>0</v>
      </c>
      <c r="K19" s="438" t="s">
        <v>679</v>
      </c>
      <c r="L19" s="440">
        <v>0</v>
      </c>
      <c r="M19" s="336">
        <v>1</v>
      </c>
      <c r="N19" s="337">
        <f t="shared" si="10"/>
        <v>1.0722009304576894</v>
      </c>
      <c r="O19" s="455" t="str">
        <f t="shared" si="11"/>
        <v>(2,1,1,2,1,1); Industry data (French tender)</v>
      </c>
      <c r="P19" s="440">
        <v>0</v>
      </c>
      <c r="Q19" s="336">
        <v>1</v>
      </c>
      <c r="R19" s="337">
        <f t="shared" si="12"/>
        <v>1.0722009304576894</v>
      </c>
      <c r="S19" s="455" t="str">
        <f t="shared" si="13"/>
        <v>(2,1,1,2,1,1); Industry data (French tender)</v>
      </c>
      <c r="T19" s="440">
        <v>0</v>
      </c>
      <c r="U19" s="336">
        <v>1</v>
      </c>
      <c r="V19" s="337">
        <f t="shared" si="14"/>
        <v>1.0722009304576894</v>
      </c>
      <c r="W19" s="437" t="str">
        <f t="shared" si="15"/>
        <v>(2,1,1,2,1,1); Industry data (French tender)</v>
      </c>
      <c r="X19" s="440">
        <v>0</v>
      </c>
      <c r="Y19" s="336">
        <v>1</v>
      </c>
      <c r="Z19" s="337">
        <f t="shared" si="16"/>
        <v>1.0722009304576894</v>
      </c>
      <c r="AA19" s="437" t="str">
        <f t="shared" si="17"/>
        <v>(2,1,1,2,1,1); Industry data (French tender)</v>
      </c>
      <c r="AB19" s="440">
        <f>$BA$20</f>
        <v>1.08</v>
      </c>
      <c r="AC19" s="336">
        <v>1</v>
      </c>
      <c r="AD19" s="337">
        <f t="shared" si="18"/>
        <v>1.0722009304576894</v>
      </c>
      <c r="AE19" s="455" t="str">
        <f t="shared" si="19"/>
        <v>(2,1,1,2,1,1); Industry data (French tender)</v>
      </c>
      <c r="AF19" s="440">
        <f>$BB$20</f>
        <v>1.1000000000000001</v>
      </c>
      <c r="AG19" s="336">
        <v>1</v>
      </c>
      <c r="AH19" s="337">
        <f t="shared" si="20"/>
        <v>1.0722009304576894</v>
      </c>
      <c r="AI19" s="455" t="str">
        <f t="shared" si="21"/>
        <v>(2,1,1,2,1,1); Industry data (French tender)</v>
      </c>
      <c r="AJ19" s="440">
        <v>0</v>
      </c>
      <c r="AK19" s="336">
        <v>1</v>
      </c>
      <c r="AL19" s="337">
        <f t="shared" si="22"/>
        <v>1.0722009304576894</v>
      </c>
      <c r="AM19" s="455" t="str">
        <f t="shared" si="23"/>
        <v>(2,1,1,2,1,1); Industry data (French tender)</v>
      </c>
      <c r="AN19" s="440">
        <f>AJ19</f>
        <v>0</v>
      </c>
      <c r="AO19" s="336">
        <v>1</v>
      </c>
      <c r="AP19" s="337">
        <f t="shared" si="24"/>
        <v>1.0722009304576894</v>
      </c>
      <c r="AQ19" s="437" t="str">
        <f t="shared" si="25"/>
        <v>(2,1,1,2,1,1); Industry data (French tender)</v>
      </c>
      <c r="AR19" s="440">
        <v>0</v>
      </c>
      <c r="AS19" s="336">
        <v>1</v>
      </c>
      <c r="AT19" s="337">
        <f t="shared" si="26"/>
        <v>1.05</v>
      </c>
      <c r="AU19" s="455" t="str">
        <f t="shared" si="27"/>
        <v xml:space="preserve">(na,na,na,na,na,na); </v>
      </c>
      <c r="AV19" s="440">
        <v>0</v>
      </c>
      <c r="AW19" s="336">
        <v>1</v>
      </c>
      <c r="AX19" s="337">
        <f t="shared" si="28"/>
        <v>1.05</v>
      </c>
      <c r="AY19" s="455" t="str">
        <f t="shared" si="29"/>
        <v xml:space="preserve">(na,na,na,na,na,na); </v>
      </c>
      <c r="AZ19" s="338"/>
      <c r="BA19" s="440">
        <v>0</v>
      </c>
      <c r="BB19" s="440"/>
      <c r="BC19" s="216" t="s">
        <v>462</v>
      </c>
      <c r="BD19" s="83">
        <v>2</v>
      </c>
      <c r="BE19" s="83">
        <v>1</v>
      </c>
      <c r="BF19" s="83">
        <v>1</v>
      </c>
      <c r="BG19" s="83">
        <v>2</v>
      </c>
      <c r="BH19" s="83">
        <v>1</v>
      </c>
      <c r="BI19" s="83">
        <v>1</v>
      </c>
      <c r="BJ19" s="104">
        <v>3</v>
      </c>
      <c r="BK19" s="104">
        <v>1.05</v>
      </c>
      <c r="BL19" s="107">
        <f t="shared" si="30"/>
        <v>1.0510550504206344</v>
      </c>
      <c r="BM19" s="107">
        <f t="shared" si="31"/>
        <v>1.0722009304576894</v>
      </c>
      <c r="BN19" s="107" t="str">
        <f t="shared" si="32"/>
        <v>(2,1,1,2,1,1)</v>
      </c>
      <c r="BO19" s="108">
        <v>1.05</v>
      </c>
      <c r="BP19" s="108">
        <v>1</v>
      </c>
      <c r="BQ19" s="108">
        <v>1</v>
      </c>
      <c r="BR19" s="108">
        <v>1.01</v>
      </c>
      <c r="BS19" s="108">
        <v>1</v>
      </c>
      <c r="BT19" s="108">
        <v>1</v>
      </c>
      <c r="BV19" s="160"/>
      <c r="BW19" s="83" t="s">
        <v>106</v>
      </c>
      <c r="BX19" s="83" t="s">
        <v>106</v>
      </c>
      <c r="BY19" s="83" t="s">
        <v>106</v>
      </c>
      <c r="BZ19" s="83" t="s">
        <v>106</v>
      </c>
      <c r="CA19" s="83" t="s">
        <v>106</v>
      </c>
      <c r="CB19" s="83" t="s">
        <v>106</v>
      </c>
      <c r="CC19" s="104">
        <v>3</v>
      </c>
      <c r="CD19" s="104">
        <v>1.05</v>
      </c>
      <c r="CE19" s="107">
        <f t="shared" si="33"/>
        <v>1</v>
      </c>
      <c r="CF19" s="107">
        <f t="shared" si="34"/>
        <v>1.05</v>
      </c>
      <c r="CG19" s="107" t="str">
        <f t="shared" si="35"/>
        <v>(na,na,na,na,na,na)</v>
      </c>
      <c r="CH19" s="108">
        <v>1</v>
      </c>
      <c r="CI19" s="108">
        <v>1</v>
      </c>
      <c r="CJ19" s="108">
        <v>1</v>
      </c>
      <c r="CK19" s="108">
        <v>1</v>
      </c>
      <c r="CL19" s="108">
        <v>1</v>
      </c>
      <c r="CM19" s="108">
        <v>1</v>
      </c>
    </row>
    <row r="20" spans="1:91" s="171" customFormat="1" ht="24" hidden="1" outlineLevel="1">
      <c r="A20" s="333" t="s">
        <v>891</v>
      </c>
      <c r="B20" s="216"/>
      <c r="C20" s="334"/>
      <c r="D20" s="342">
        <v>5</v>
      </c>
      <c r="E20" s="343" t="s">
        <v>98</v>
      </c>
      <c r="F20" s="437" t="s">
        <v>885</v>
      </c>
      <c r="G20" s="438" t="s">
        <v>93</v>
      </c>
      <c r="H20" s="439" t="s">
        <v>98</v>
      </c>
      <c r="I20" s="439" t="s">
        <v>98</v>
      </c>
      <c r="J20" s="335">
        <v>0</v>
      </c>
      <c r="K20" s="438" t="s">
        <v>679</v>
      </c>
      <c r="L20" s="440">
        <v>0</v>
      </c>
      <c r="M20" s="336">
        <v>1</v>
      </c>
      <c r="N20" s="337">
        <f t="shared" si="10"/>
        <v>1.0722009304576894</v>
      </c>
      <c r="O20" s="455" t="str">
        <f t="shared" si="11"/>
        <v>(2,1,1,2,1,1); Industry data (French tender)</v>
      </c>
      <c r="P20" s="440">
        <v>0</v>
      </c>
      <c r="Q20" s="336">
        <v>1</v>
      </c>
      <c r="R20" s="337">
        <f t="shared" si="12"/>
        <v>1.0722009304576894</v>
      </c>
      <c r="S20" s="455" t="str">
        <f t="shared" si="13"/>
        <v>(2,1,1,2,1,1); Industry data (French tender)</v>
      </c>
      <c r="T20" s="440">
        <v>0</v>
      </c>
      <c r="U20" s="336">
        <v>1</v>
      </c>
      <c r="V20" s="337">
        <f t="shared" si="14"/>
        <v>1.0722009304576894</v>
      </c>
      <c r="W20" s="437" t="str">
        <f t="shared" si="15"/>
        <v>(2,1,1,2,1,1); Industry data (French tender)</v>
      </c>
      <c r="X20" s="440">
        <v>0</v>
      </c>
      <c r="Y20" s="336">
        <v>1</v>
      </c>
      <c r="Z20" s="337">
        <f t="shared" si="16"/>
        <v>1.0722009304576894</v>
      </c>
      <c r="AA20" s="437" t="str">
        <f t="shared" si="17"/>
        <v>(2,1,1,2,1,1); Industry data (French tender)</v>
      </c>
      <c r="AB20" s="440">
        <v>0</v>
      </c>
      <c r="AC20" s="336">
        <v>1</v>
      </c>
      <c r="AD20" s="337">
        <f t="shared" si="18"/>
        <v>1.0722009304576894</v>
      </c>
      <c r="AE20" s="455" t="str">
        <f t="shared" si="19"/>
        <v>(2,1,1,2,1,1); Industry data (French tender)</v>
      </c>
      <c r="AF20" s="440">
        <v>0</v>
      </c>
      <c r="AG20" s="336">
        <v>1</v>
      </c>
      <c r="AH20" s="337">
        <f t="shared" si="20"/>
        <v>1.0722009304576894</v>
      </c>
      <c r="AI20" s="455" t="str">
        <f t="shared" si="21"/>
        <v>(2,1,1,2,1,1); Industry data (French tender)</v>
      </c>
      <c r="AJ20" s="440">
        <f>$BA$20</f>
        <v>1.08</v>
      </c>
      <c r="AK20" s="336">
        <v>1</v>
      </c>
      <c r="AL20" s="337">
        <f t="shared" si="22"/>
        <v>1.0722009304576894</v>
      </c>
      <c r="AM20" s="455" t="str">
        <f t="shared" si="23"/>
        <v>(2,1,1,2,1,1); Industry data (French tender)</v>
      </c>
      <c r="AN20" s="440">
        <f>$BB$20</f>
        <v>1.1000000000000001</v>
      </c>
      <c r="AO20" s="336">
        <v>1</v>
      </c>
      <c r="AP20" s="337">
        <f t="shared" si="24"/>
        <v>1.0722009304576894</v>
      </c>
      <c r="AQ20" s="437" t="str">
        <f t="shared" si="25"/>
        <v>(2,1,1,2,1,1); Industry data (French tender)</v>
      </c>
      <c r="AR20" s="440">
        <v>0</v>
      </c>
      <c r="AS20" s="336">
        <v>1</v>
      </c>
      <c r="AT20" s="337">
        <f t="shared" si="26"/>
        <v>1.05</v>
      </c>
      <c r="AU20" s="455" t="str">
        <f t="shared" si="27"/>
        <v xml:space="preserve">(na,na,na,na,na,na); </v>
      </c>
      <c r="AV20" s="440">
        <v>0</v>
      </c>
      <c r="AW20" s="336">
        <v>1</v>
      </c>
      <c r="AX20" s="337">
        <f t="shared" si="28"/>
        <v>1.05</v>
      </c>
      <c r="AY20" s="455" t="str">
        <f t="shared" si="29"/>
        <v xml:space="preserve">(na,na,na,na,na,na); </v>
      </c>
      <c r="AZ20" s="338"/>
      <c r="BA20" s="440">
        <v>1.08</v>
      </c>
      <c r="BB20" s="440">
        <v>1.1000000000000001</v>
      </c>
      <c r="BC20" s="216" t="s">
        <v>462</v>
      </c>
      <c r="BD20" s="83">
        <v>2</v>
      </c>
      <c r="BE20" s="83">
        <v>1</v>
      </c>
      <c r="BF20" s="83">
        <v>1</v>
      </c>
      <c r="BG20" s="83">
        <v>2</v>
      </c>
      <c r="BH20" s="83">
        <v>1</v>
      </c>
      <c r="BI20" s="83">
        <v>1</v>
      </c>
      <c r="BJ20" s="104">
        <v>3</v>
      </c>
      <c r="BK20" s="104">
        <v>1.05</v>
      </c>
      <c r="BL20" s="107">
        <f t="shared" si="30"/>
        <v>1.0510550504206344</v>
      </c>
      <c r="BM20" s="107">
        <f t="shared" si="31"/>
        <v>1.0722009304576894</v>
      </c>
      <c r="BN20" s="107" t="str">
        <f t="shared" si="32"/>
        <v>(2,1,1,2,1,1)</v>
      </c>
      <c r="BO20" s="108">
        <v>1.05</v>
      </c>
      <c r="BP20" s="108">
        <v>1</v>
      </c>
      <c r="BQ20" s="108">
        <v>1</v>
      </c>
      <c r="BR20" s="108">
        <v>1.01</v>
      </c>
      <c r="BS20" s="108">
        <v>1</v>
      </c>
      <c r="BT20" s="108">
        <v>1</v>
      </c>
      <c r="BV20" s="160"/>
      <c r="BW20" s="83" t="s">
        <v>106</v>
      </c>
      <c r="BX20" s="83" t="s">
        <v>106</v>
      </c>
      <c r="BY20" s="83" t="s">
        <v>106</v>
      </c>
      <c r="BZ20" s="83" t="s">
        <v>106</v>
      </c>
      <c r="CA20" s="83" t="s">
        <v>106</v>
      </c>
      <c r="CB20" s="83" t="s">
        <v>106</v>
      </c>
      <c r="CC20" s="104">
        <v>3</v>
      </c>
      <c r="CD20" s="104">
        <v>1.05</v>
      </c>
      <c r="CE20" s="107">
        <f t="shared" si="33"/>
        <v>1</v>
      </c>
      <c r="CF20" s="107">
        <f t="shared" si="34"/>
        <v>1.05</v>
      </c>
      <c r="CG20" s="107" t="str">
        <f t="shared" si="35"/>
        <v>(na,na,na,na,na,na)</v>
      </c>
      <c r="CH20" s="108">
        <v>1</v>
      </c>
      <c r="CI20" s="108">
        <v>1</v>
      </c>
      <c r="CJ20" s="108">
        <v>1</v>
      </c>
      <c r="CK20" s="108">
        <v>1</v>
      </c>
      <c r="CL20" s="108">
        <v>1</v>
      </c>
      <c r="CM20" s="108">
        <v>1</v>
      </c>
    </row>
    <row r="21" spans="1:91" s="171" customFormat="1" ht="24" collapsed="1">
      <c r="A21" s="333" t="s">
        <v>814</v>
      </c>
      <c r="B21" s="216"/>
      <c r="C21" s="334"/>
      <c r="D21" s="342">
        <v>5</v>
      </c>
      <c r="E21" s="343" t="s">
        <v>98</v>
      </c>
      <c r="F21" s="437" t="s">
        <v>802</v>
      </c>
      <c r="G21" s="438" t="s">
        <v>340</v>
      </c>
      <c r="H21" s="439" t="s">
        <v>98</v>
      </c>
      <c r="I21" s="439" t="s">
        <v>98</v>
      </c>
      <c r="J21" s="335">
        <v>0</v>
      </c>
      <c r="K21" s="438" t="s">
        <v>679</v>
      </c>
      <c r="L21" s="440">
        <v>0</v>
      </c>
      <c r="M21" s="336">
        <v>1</v>
      </c>
      <c r="N21" s="337">
        <f t="shared" si="10"/>
        <v>1.05</v>
      </c>
      <c r="O21" s="455" t="str">
        <f t="shared" si="11"/>
        <v xml:space="preserve">(na,na,na,na,na,na); </v>
      </c>
      <c r="P21" s="440">
        <v>0</v>
      </c>
      <c r="Q21" s="336">
        <v>1</v>
      </c>
      <c r="R21" s="337">
        <f t="shared" si="12"/>
        <v>1.05</v>
      </c>
      <c r="S21" s="455" t="str">
        <f t="shared" si="13"/>
        <v xml:space="preserve">(na,na,na,na,na,na); </v>
      </c>
      <c r="T21" s="440">
        <v>0</v>
      </c>
      <c r="U21" s="336">
        <v>1</v>
      </c>
      <c r="V21" s="337">
        <f t="shared" si="14"/>
        <v>1.05</v>
      </c>
      <c r="W21" s="437" t="str">
        <f t="shared" si="15"/>
        <v xml:space="preserve">(na,na,na,na,na,na); </v>
      </c>
      <c r="X21" s="440">
        <v>0</v>
      </c>
      <c r="Y21" s="336">
        <v>1</v>
      </c>
      <c r="Z21" s="337">
        <f t="shared" si="16"/>
        <v>1.05</v>
      </c>
      <c r="AA21" s="437" t="str">
        <f t="shared" si="17"/>
        <v xml:space="preserve">(na,na,na,na,na,na); </v>
      </c>
      <c r="AB21" s="440">
        <v>0</v>
      </c>
      <c r="AC21" s="336">
        <v>1</v>
      </c>
      <c r="AD21" s="337">
        <f t="shared" si="18"/>
        <v>1.05</v>
      </c>
      <c r="AE21" s="455" t="str">
        <f t="shared" si="19"/>
        <v xml:space="preserve">(na,na,na,na,na,na); </v>
      </c>
      <c r="AF21" s="440">
        <v>0</v>
      </c>
      <c r="AG21" s="336">
        <v>1</v>
      </c>
      <c r="AH21" s="337">
        <f t="shared" si="20"/>
        <v>1.05</v>
      </c>
      <c r="AI21" s="455" t="str">
        <f t="shared" si="21"/>
        <v xml:space="preserve">(na,na,na,na,na,na); </v>
      </c>
      <c r="AJ21" s="440">
        <v>0</v>
      </c>
      <c r="AK21" s="336">
        <v>1</v>
      </c>
      <c r="AL21" s="337">
        <f t="shared" si="22"/>
        <v>1.05</v>
      </c>
      <c r="AM21" s="455" t="str">
        <f t="shared" si="23"/>
        <v xml:space="preserve">(na,na,na,na,na,na); </v>
      </c>
      <c r="AN21" s="440">
        <v>0</v>
      </c>
      <c r="AO21" s="336">
        <v>1</v>
      </c>
      <c r="AP21" s="337">
        <f t="shared" si="24"/>
        <v>1.05</v>
      </c>
      <c r="AQ21" s="437" t="str">
        <f t="shared" si="25"/>
        <v xml:space="preserve">(na,na,na,na,na,na); </v>
      </c>
      <c r="AR21" s="440">
        <v>1.04</v>
      </c>
      <c r="AS21" s="336">
        <v>1</v>
      </c>
      <c r="AT21" s="337">
        <f t="shared" si="26"/>
        <v>1.2167665867084276</v>
      </c>
      <c r="AU21" s="455" t="str">
        <f t="shared" si="27"/>
        <v>(2,2,1,2,1,5); Brailovsky (2026) GP 05</v>
      </c>
      <c r="AV21" s="440">
        <v>0</v>
      </c>
      <c r="AW21" s="336">
        <v>1</v>
      </c>
      <c r="AX21" s="337">
        <f t="shared" si="28"/>
        <v>1.2167665867084276</v>
      </c>
      <c r="AY21" s="437" t="str">
        <f t="shared" si="29"/>
        <v>(2,2,1,2,1,5); Brailovsky (2026) GP 05</v>
      </c>
      <c r="AZ21" s="338"/>
      <c r="BA21" s="440"/>
      <c r="BB21" s="440"/>
      <c r="BC21" s="216"/>
      <c r="BD21" s="83" t="s">
        <v>106</v>
      </c>
      <c r="BE21" s="83" t="s">
        <v>106</v>
      </c>
      <c r="BF21" s="83" t="s">
        <v>106</v>
      </c>
      <c r="BG21" s="83" t="s">
        <v>106</v>
      </c>
      <c r="BH21" s="83" t="s">
        <v>106</v>
      </c>
      <c r="BI21" s="83" t="s">
        <v>106</v>
      </c>
      <c r="BJ21" s="104">
        <v>3</v>
      </c>
      <c r="BK21" s="104">
        <v>1.05</v>
      </c>
      <c r="BL21" s="107">
        <f t="shared" si="30"/>
        <v>1</v>
      </c>
      <c r="BM21" s="107">
        <f t="shared" si="31"/>
        <v>1.05</v>
      </c>
      <c r="BN21" s="107" t="str">
        <f t="shared" si="32"/>
        <v>(na,na,na,na,na,na)</v>
      </c>
      <c r="BO21" s="108">
        <v>1</v>
      </c>
      <c r="BP21" s="108">
        <v>1</v>
      </c>
      <c r="BQ21" s="108">
        <v>1</v>
      </c>
      <c r="BR21" s="108">
        <v>1</v>
      </c>
      <c r="BS21" s="108">
        <v>1</v>
      </c>
      <c r="BT21" s="108">
        <v>1</v>
      </c>
      <c r="BV21" s="160" t="s">
        <v>954</v>
      </c>
      <c r="BW21" s="83">
        <v>2</v>
      </c>
      <c r="BX21" s="83">
        <v>2</v>
      </c>
      <c r="BY21" s="83">
        <v>1</v>
      </c>
      <c r="BZ21" s="83">
        <v>2</v>
      </c>
      <c r="CA21" s="83">
        <v>1</v>
      </c>
      <c r="CB21" s="83">
        <v>5</v>
      </c>
      <c r="CC21" s="104">
        <v>3</v>
      </c>
      <c r="CD21" s="104">
        <v>1.05</v>
      </c>
      <c r="CE21" s="107">
        <f t="shared" si="33"/>
        <v>1.2092902742898253</v>
      </c>
      <c r="CF21" s="107">
        <f t="shared" si="34"/>
        <v>1.2167665867084276</v>
      </c>
      <c r="CG21" s="107" t="str">
        <f t="shared" si="35"/>
        <v>(2,2,1,2,1,5)</v>
      </c>
      <c r="CH21" s="108">
        <v>1.05</v>
      </c>
      <c r="CI21" s="108">
        <v>1.02</v>
      </c>
      <c r="CJ21" s="108">
        <v>1</v>
      </c>
      <c r="CK21" s="108">
        <v>1.01</v>
      </c>
      <c r="CL21" s="108">
        <v>1</v>
      </c>
      <c r="CM21" s="108">
        <v>1.2</v>
      </c>
    </row>
    <row r="22" spans="1:91" s="171" customFormat="1" ht="24">
      <c r="A22" s="333" t="s">
        <v>792</v>
      </c>
      <c r="B22" s="216"/>
      <c r="C22" s="334"/>
      <c r="D22" s="342">
        <v>5</v>
      </c>
      <c r="E22" s="343" t="s">
        <v>98</v>
      </c>
      <c r="F22" s="437" t="s">
        <v>803</v>
      </c>
      <c r="G22" s="438" t="s">
        <v>372</v>
      </c>
      <c r="H22" s="439" t="s">
        <v>98</v>
      </c>
      <c r="I22" s="439" t="s">
        <v>98</v>
      </c>
      <c r="J22" s="335">
        <v>0</v>
      </c>
      <c r="K22" s="438" t="s">
        <v>679</v>
      </c>
      <c r="L22" s="440">
        <v>0</v>
      </c>
      <c r="M22" s="336">
        <v>1</v>
      </c>
      <c r="N22" s="337">
        <f t="shared" si="10"/>
        <v>1.05</v>
      </c>
      <c r="O22" s="455" t="str">
        <f t="shared" si="11"/>
        <v xml:space="preserve">(na,na,na,na,na,na); </v>
      </c>
      <c r="P22" s="440">
        <v>0</v>
      </c>
      <c r="Q22" s="336">
        <v>1</v>
      </c>
      <c r="R22" s="337">
        <f t="shared" si="12"/>
        <v>1.05</v>
      </c>
      <c r="S22" s="455" t="str">
        <f t="shared" si="13"/>
        <v xml:space="preserve">(na,na,na,na,na,na); </v>
      </c>
      <c r="T22" s="440">
        <v>0</v>
      </c>
      <c r="U22" s="336">
        <v>1</v>
      </c>
      <c r="V22" s="337">
        <f t="shared" si="14"/>
        <v>1.05</v>
      </c>
      <c r="W22" s="437" t="str">
        <f t="shared" si="15"/>
        <v xml:space="preserve">(na,na,na,na,na,na); </v>
      </c>
      <c r="X22" s="440">
        <v>0</v>
      </c>
      <c r="Y22" s="336">
        <v>1</v>
      </c>
      <c r="Z22" s="337">
        <f t="shared" si="16"/>
        <v>1.05</v>
      </c>
      <c r="AA22" s="437" t="str">
        <f t="shared" si="17"/>
        <v xml:space="preserve">(na,na,na,na,na,na); </v>
      </c>
      <c r="AB22" s="440">
        <v>0</v>
      </c>
      <c r="AC22" s="336">
        <v>1</v>
      </c>
      <c r="AD22" s="337">
        <f t="shared" si="18"/>
        <v>1.05</v>
      </c>
      <c r="AE22" s="455" t="str">
        <f t="shared" si="19"/>
        <v xml:space="preserve">(na,na,na,na,na,na); </v>
      </c>
      <c r="AF22" s="440">
        <v>0</v>
      </c>
      <c r="AG22" s="336">
        <v>1</v>
      </c>
      <c r="AH22" s="337">
        <f t="shared" si="20"/>
        <v>1.05</v>
      </c>
      <c r="AI22" s="455" t="str">
        <f t="shared" si="21"/>
        <v xml:space="preserve">(na,na,na,na,na,na); </v>
      </c>
      <c r="AJ22" s="440">
        <v>0</v>
      </c>
      <c r="AK22" s="336">
        <v>1</v>
      </c>
      <c r="AL22" s="337">
        <f t="shared" si="22"/>
        <v>1.05</v>
      </c>
      <c r="AM22" s="455" t="str">
        <f t="shared" si="23"/>
        <v xml:space="preserve">(na,na,na,na,na,na); </v>
      </c>
      <c r="AN22" s="440">
        <v>0</v>
      </c>
      <c r="AO22" s="336">
        <v>1</v>
      </c>
      <c r="AP22" s="337">
        <f t="shared" si="24"/>
        <v>1.05</v>
      </c>
      <c r="AQ22" s="437" t="str">
        <f t="shared" si="25"/>
        <v xml:space="preserve">(na,na,na,na,na,na); </v>
      </c>
      <c r="AR22" s="440">
        <v>0</v>
      </c>
      <c r="AS22" s="336">
        <v>1</v>
      </c>
      <c r="AT22" s="337">
        <f t="shared" si="26"/>
        <v>1.2167665867084276</v>
      </c>
      <c r="AU22" s="455" t="str">
        <f t="shared" si="27"/>
        <v>(2,2,1,2,1,5); Brailovsky (2026) GP 05</v>
      </c>
      <c r="AV22" s="440">
        <v>1.04</v>
      </c>
      <c r="AW22" s="336">
        <v>1</v>
      </c>
      <c r="AX22" s="337">
        <f t="shared" si="28"/>
        <v>1.2167665867084276</v>
      </c>
      <c r="AY22" s="437" t="str">
        <f t="shared" si="29"/>
        <v>(2,2,1,2,1,5); Brailovsky (2026) GP 05</v>
      </c>
      <c r="AZ22" s="338"/>
      <c r="BA22" s="440"/>
      <c r="BB22" s="440"/>
      <c r="BC22" s="216"/>
      <c r="BD22" s="83" t="s">
        <v>106</v>
      </c>
      <c r="BE22" s="83" t="s">
        <v>106</v>
      </c>
      <c r="BF22" s="83" t="s">
        <v>106</v>
      </c>
      <c r="BG22" s="83" t="s">
        <v>106</v>
      </c>
      <c r="BH22" s="83" t="s">
        <v>106</v>
      </c>
      <c r="BI22" s="83" t="s">
        <v>106</v>
      </c>
      <c r="BJ22" s="104">
        <v>3</v>
      </c>
      <c r="BK22" s="104">
        <v>1.05</v>
      </c>
      <c r="BL22" s="107">
        <f t="shared" si="30"/>
        <v>1</v>
      </c>
      <c r="BM22" s="107">
        <f t="shared" si="31"/>
        <v>1.05</v>
      </c>
      <c r="BN22" s="107" t="str">
        <f t="shared" si="32"/>
        <v>(na,na,na,na,na,na)</v>
      </c>
      <c r="BO22" s="108">
        <v>1</v>
      </c>
      <c r="BP22" s="108">
        <v>1</v>
      </c>
      <c r="BQ22" s="108">
        <v>1</v>
      </c>
      <c r="BR22" s="108">
        <v>1</v>
      </c>
      <c r="BS22" s="108">
        <v>1</v>
      </c>
      <c r="BT22" s="108">
        <v>1</v>
      </c>
      <c r="BV22" s="160" t="s">
        <v>954</v>
      </c>
      <c r="BW22" s="83">
        <v>2</v>
      </c>
      <c r="BX22" s="83">
        <v>2</v>
      </c>
      <c r="BY22" s="83">
        <v>1</v>
      </c>
      <c r="BZ22" s="83">
        <v>2</v>
      </c>
      <c r="CA22" s="83">
        <v>1</v>
      </c>
      <c r="CB22" s="83">
        <v>5</v>
      </c>
      <c r="CC22" s="104">
        <v>3</v>
      </c>
      <c r="CD22" s="104">
        <v>1.05</v>
      </c>
      <c r="CE22" s="107">
        <f t="shared" si="33"/>
        <v>1.2092902742898253</v>
      </c>
      <c r="CF22" s="107">
        <f t="shared" si="34"/>
        <v>1.2167665867084276</v>
      </c>
      <c r="CG22" s="107" t="str">
        <f t="shared" si="35"/>
        <v>(2,2,1,2,1,5)</v>
      </c>
      <c r="CH22" s="108">
        <v>1.05</v>
      </c>
      <c r="CI22" s="108">
        <v>1.02</v>
      </c>
      <c r="CJ22" s="108">
        <v>1</v>
      </c>
      <c r="CK22" s="108">
        <v>1.01</v>
      </c>
      <c r="CL22" s="108">
        <v>1</v>
      </c>
      <c r="CM22" s="108">
        <v>1.2</v>
      </c>
    </row>
    <row r="23" spans="1:91" s="171" customFormat="1" ht="24" collapsed="1">
      <c r="A23" s="333">
        <v>266181</v>
      </c>
      <c r="B23" s="216" t="s">
        <v>582</v>
      </c>
      <c r="C23" s="334"/>
      <c r="D23" s="342">
        <v>5</v>
      </c>
      <c r="E23" s="343" t="s">
        <v>98</v>
      </c>
      <c r="F23" s="437" t="s">
        <v>903</v>
      </c>
      <c r="G23" s="438" t="s">
        <v>93</v>
      </c>
      <c r="H23" s="439" t="s">
        <v>98</v>
      </c>
      <c r="I23" s="439" t="s">
        <v>98</v>
      </c>
      <c r="J23" s="335">
        <v>0</v>
      </c>
      <c r="K23" s="438" t="s">
        <v>96</v>
      </c>
      <c r="L23" s="440">
        <f>AJ23</f>
        <v>1.50425161812298E-3</v>
      </c>
      <c r="M23" s="336">
        <v>1</v>
      </c>
      <c r="N23" s="337">
        <f t="shared" si="10"/>
        <v>1.0722009304576894</v>
      </c>
      <c r="O23" s="455" t="str">
        <f t="shared" si="11"/>
        <v>(2,1,1,2,1,1); Industry data (French tender)</v>
      </c>
      <c r="P23" s="440">
        <v>1.87232472324723E-3</v>
      </c>
      <c r="Q23" s="336">
        <v>1</v>
      </c>
      <c r="R23" s="337">
        <f t="shared" si="12"/>
        <v>1.0722009304576894</v>
      </c>
      <c r="S23" s="455" t="str">
        <f t="shared" si="13"/>
        <v>(2,1,1,2,1,1); Industry data (French tender)</v>
      </c>
      <c r="T23" s="440">
        <f>L23</f>
        <v>1.50425161812298E-3</v>
      </c>
      <c r="U23" s="336">
        <v>1</v>
      </c>
      <c r="V23" s="337">
        <f t="shared" si="14"/>
        <v>1.0722009304576894</v>
      </c>
      <c r="W23" s="455" t="str">
        <f t="shared" si="15"/>
        <v>(2,1,1,2,1,1); Industry data (French tender)</v>
      </c>
      <c r="X23" s="440">
        <v>1.87232472324723E-3</v>
      </c>
      <c r="Y23" s="336">
        <v>1</v>
      </c>
      <c r="Z23" s="337">
        <f t="shared" si="16"/>
        <v>1.0722009304576894</v>
      </c>
      <c r="AA23" s="437" t="str">
        <f t="shared" si="17"/>
        <v>(2,1,1,2,1,1); Industry data (French tender)</v>
      </c>
      <c r="AB23" s="440">
        <f>L23</f>
        <v>1.50425161812298E-3</v>
      </c>
      <c r="AC23" s="336">
        <v>1</v>
      </c>
      <c r="AD23" s="337">
        <f t="shared" si="18"/>
        <v>1.0722009304576894</v>
      </c>
      <c r="AE23" s="455" t="str">
        <f t="shared" si="19"/>
        <v>(2,1,1,2,1,1); Industry data (French tender)</v>
      </c>
      <c r="AF23" s="440">
        <v>1.87232472324723E-3</v>
      </c>
      <c r="AG23" s="336">
        <v>1</v>
      </c>
      <c r="AH23" s="337">
        <f t="shared" si="20"/>
        <v>1.0722009304576894</v>
      </c>
      <c r="AI23" s="455" t="str">
        <f t="shared" si="21"/>
        <v>(2,1,1,2,1,1); Industry data (French tender)</v>
      </c>
      <c r="AJ23" s="438">
        <f>BA23</f>
        <v>1.50425161812298E-3</v>
      </c>
      <c r="AK23" s="336">
        <v>1</v>
      </c>
      <c r="AL23" s="337">
        <f t="shared" si="22"/>
        <v>1.0722009304576894</v>
      </c>
      <c r="AM23" s="455" t="str">
        <f t="shared" si="23"/>
        <v>(2,1,1,2,1,1); Industry data (French tender)</v>
      </c>
      <c r="AN23" s="440">
        <v>1.87232472324723E-3</v>
      </c>
      <c r="AO23" s="336">
        <v>1</v>
      </c>
      <c r="AP23" s="337">
        <f t="shared" si="24"/>
        <v>1.0722009304576894</v>
      </c>
      <c r="AQ23" s="437" t="str">
        <f t="shared" si="25"/>
        <v>(2,1,1,2,1,1); Industry data (French tender)</v>
      </c>
      <c r="AR23" s="438">
        <f>0.00305/2</f>
        <v>1.5250000000000001E-3</v>
      </c>
      <c r="AS23" s="336">
        <v>1</v>
      </c>
      <c r="AT23" s="337">
        <f t="shared" si="26"/>
        <v>1.2434566510799234</v>
      </c>
      <c r="AU23" s="455" t="str">
        <f t="shared" si="27"/>
        <v>(2,4,1,3,1,5); Brailovsky (2026) GP 05 iso TOPCon Metallization paste Ag90%</v>
      </c>
      <c r="AV23" s="440">
        <v>1.5250000000000001E-3</v>
      </c>
      <c r="AW23" s="336">
        <v>1</v>
      </c>
      <c r="AX23" s="337">
        <f t="shared" si="28"/>
        <v>1.2434566510799234</v>
      </c>
      <c r="AY23" s="437" t="str">
        <f t="shared" si="29"/>
        <v>(2,4,1,3,1,5); Brailovsky (2026) GP 05 iso TOPCon Metallization paste Ag90%</v>
      </c>
      <c r="AZ23" s="338"/>
      <c r="BA23" s="440">
        <v>1.50425161812298E-3</v>
      </c>
      <c r="BB23" s="440"/>
      <c r="BC23" s="216" t="s">
        <v>462</v>
      </c>
      <c r="BD23" s="83">
        <v>2</v>
      </c>
      <c r="BE23" s="83">
        <v>1</v>
      </c>
      <c r="BF23" s="83">
        <v>1</v>
      </c>
      <c r="BG23" s="83">
        <v>2</v>
      </c>
      <c r="BH23" s="83">
        <v>1</v>
      </c>
      <c r="BI23" s="83">
        <v>1</v>
      </c>
      <c r="BJ23" s="104">
        <v>3</v>
      </c>
      <c r="BK23" s="104">
        <v>1.05</v>
      </c>
      <c r="BL23" s="107">
        <f t="shared" si="30"/>
        <v>1.0510550504206344</v>
      </c>
      <c r="BM23" s="107">
        <f t="shared" si="31"/>
        <v>1.0722009304576894</v>
      </c>
      <c r="BN23" s="107" t="str">
        <f t="shared" si="32"/>
        <v>(2,1,1,2,1,1)</v>
      </c>
      <c r="BO23" s="108">
        <v>1.05</v>
      </c>
      <c r="BP23" s="108">
        <v>1</v>
      </c>
      <c r="BQ23" s="108">
        <v>1</v>
      </c>
      <c r="BR23" s="108">
        <v>1.01</v>
      </c>
      <c r="BS23" s="108">
        <v>1</v>
      </c>
      <c r="BT23" s="108">
        <v>1</v>
      </c>
      <c r="BV23" s="160" t="s">
        <v>955</v>
      </c>
      <c r="BW23" s="83">
        <v>2</v>
      </c>
      <c r="BX23" s="83">
        <v>4</v>
      </c>
      <c r="BY23" s="83">
        <v>1</v>
      </c>
      <c r="BZ23" s="83">
        <v>3</v>
      </c>
      <c r="CA23" s="83">
        <v>1</v>
      </c>
      <c r="CB23" s="83">
        <v>5</v>
      </c>
      <c r="CC23" s="104">
        <v>3</v>
      </c>
      <c r="CD23" s="104">
        <v>1.05</v>
      </c>
      <c r="CE23" s="107">
        <f t="shared" si="33"/>
        <v>1.2365959919080913</v>
      </c>
      <c r="CF23" s="107">
        <f t="shared" si="34"/>
        <v>1.2434566510799234</v>
      </c>
      <c r="CG23" s="107" t="str">
        <f t="shared" si="35"/>
        <v>(2,4,1,3,1,5)</v>
      </c>
      <c r="CH23" s="108">
        <v>1.05</v>
      </c>
      <c r="CI23" s="108">
        <v>1.1000000000000001</v>
      </c>
      <c r="CJ23" s="108">
        <v>1</v>
      </c>
      <c r="CK23" s="108">
        <v>1.02</v>
      </c>
      <c r="CL23" s="108">
        <v>1</v>
      </c>
      <c r="CM23" s="108">
        <v>1.2</v>
      </c>
    </row>
    <row r="24" spans="1:91" s="171" customFormat="1" ht="24">
      <c r="A24" s="333">
        <v>266185</v>
      </c>
      <c r="B24" s="216"/>
      <c r="C24" s="334"/>
      <c r="D24" s="342">
        <v>5</v>
      </c>
      <c r="E24" s="343" t="s">
        <v>98</v>
      </c>
      <c r="F24" s="437" t="s">
        <v>904</v>
      </c>
      <c r="G24" s="438" t="s">
        <v>93</v>
      </c>
      <c r="H24" s="439" t="s">
        <v>98</v>
      </c>
      <c r="I24" s="439" t="s">
        <v>98</v>
      </c>
      <c r="J24" s="335">
        <v>0</v>
      </c>
      <c r="K24" s="438" t="s">
        <v>96</v>
      </c>
      <c r="L24" s="440">
        <f>AJ24</f>
        <v>1.4329611650485399E-3</v>
      </c>
      <c r="M24" s="336">
        <v>1</v>
      </c>
      <c r="N24" s="337">
        <f t="shared" si="10"/>
        <v>1.0722009304576894</v>
      </c>
      <c r="O24" s="455" t="str">
        <f t="shared" si="11"/>
        <v>(2,1,1,2,1,1); Industry data (French tender)</v>
      </c>
      <c r="P24" s="440">
        <v>1.4743542435424401E-3</v>
      </c>
      <c r="Q24" s="336">
        <v>1</v>
      </c>
      <c r="R24" s="337">
        <f t="shared" si="12"/>
        <v>1.0722009304576894</v>
      </c>
      <c r="S24" s="455" t="str">
        <f t="shared" si="13"/>
        <v>(2,1,1,2,1,1); Industry data (French tender)</v>
      </c>
      <c r="T24" s="440">
        <f>L24</f>
        <v>1.4329611650485399E-3</v>
      </c>
      <c r="U24" s="336">
        <v>1</v>
      </c>
      <c r="V24" s="337">
        <f t="shared" si="14"/>
        <v>1.0722009304576894</v>
      </c>
      <c r="W24" s="455" t="str">
        <f t="shared" si="15"/>
        <v>(2,1,1,2,1,1); Industry data (French tender)</v>
      </c>
      <c r="X24" s="440">
        <v>1.4743542435424401E-3</v>
      </c>
      <c r="Y24" s="336">
        <v>1</v>
      </c>
      <c r="Z24" s="337">
        <f t="shared" si="16"/>
        <v>1.0722009304576894</v>
      </c>
      <c r="AA24" s="437" t="str">
        <f t="shared" si="17"/>
        <v>(2,1,1,2,1,1); Industry data (French tender)</v>
      </c>
      <c r="AB24" s="440">
        <f>L24</f>
        <v>1.4329611650485399E-3</v>
      </c>
      <c r="AC24" s="336">
        <v>1</v>
      </c>
      <c r="AD24" s="337">
        <f t="shared" si="18"/>
        <v>1.0722009304576894</v>
      </c>
      <c r="AE24" s="455" t="str">
        <f t="shared" si="19"/>
        <v>(2,1,1,2,1,1); Industry data (French tender)</v>
      </c>
      <c r="AF24" s="440">
        <v>1.4743542435424401E-3</v>
      </c>
      <c r="AG24" s="336">
        <v>1</v>
      </c>
      <c r="AH24" s="337">
        <f t="shared" si="20"/>
        <v>1.0722009304576894</v>
      </c>
      <c r="AI24" s="455" t="str">
        <f t="shared" si="21"/>
        <v>(2,1,1,2,1,1); Industry data (French tender)</v>
      </c>
      <c r="AJ24" s="438">
        <f>BA24</f>
        <v>1.4329611650485399E-3</v>
      </c>
      <c r="AK24" s="336">
        <v>1</v>
      </c>
      <c r="AL24" s="337">
        <f t="shared" si="22"/>
        <v>1.0722009304576894</v>
      </c>
      <c r="AM24" s="455" t="str">
        <f t="shared" si="23"/>
        <v>(2,1,1,2,1,1); Industry data (French tender)</v>
      </c>
      <c r="AN24" s="440">
        <v>1.4743542435424401E-3</v>
      </c>
      <c r="AO24" s="336">
        <v>1</v>
      </c>
      <c r="AP24" s="337">
        <f t="shared" si="24"/>
        <v>1.0722009304576894</v>
      </c>
      <c r="AQ24" s="437" t="str">
        <f t="shared" si="25"/>
        <v>(2,1,1,2,1,1); Industry data (French tender)</v>
      </c>
      <c r="AR24" s="438">
        <v>1.5250000000000001E-3</v>
      </c>
      <c r="AS24" s="336">
        <v>1</v>
      </c>
      <c r="AT24" s="337">
        <f t="shared" si="26"/>
        <v>1.2434566510799234</v>
      </c>
      <c r="AU24" s="455" t="str">
        <f t="shared" si="27"/>
        <v>(2,4,1,3,1,5); Brailovsky (2026) GP 05 iso TOPCon Metallization paste Ag90%</v>
      </c>
      <c r="AV24" s="440">
        <v>1.5250000000000001E-3</v>
      </c>
      <c r="AW24" s="336">
        <v>1</v>
      </c>
      <c r="AX24" s="337">
        <f t="shared" si="28"/>
        <v>1.2434566510799234</v>
      </c>
      <c r="AY24" s="437" t="str">
        <f t="shared" si="29"/>
        <v>(2,4,1,3,1,5); Brailovsky (2026) GP 05 iso TOPCon Metallization paste Ag90%</v>
      </c>
      <c r="AZ24" s="338"/>
      <c r="BA24" s="440">
        <v>1.4329611650485399E-3</v>
      </c>
      <c r="BB24" s="440"/>
      <c r="BC24" s="216" t="s">
        <v>462</v>
      </c>
      <c r="BD24" s="83">
        <v>2</v>
      </c>
      <c r="BE24" s="83">
        <v>1</v>
      </c>
      <c r="BF24" s="83">
        <v>1</v>
      </c>
      <c r="BG24" s="83">
        <v>2</v>
      </c>
      <c r="BH24" s="83">
        <v>1</v>
      </c>
      <c r="BI24" s="83">
        <v>1</v>
      </c>
      <c r="BJ24" s="104">
        <v>3</v>
      </c>
      <c r="BK24" s="104">
        <v>1.05</v>
      </c>
      <c r="BL24" s="107">
        <f t="shared" si="30"/>
        <v>1.0510550504206344</v>
      </c>
      <c r="BM24" s="107">
        <f t="shared" si="31"/>
        <v>1.0722009304576894</v>
      </c>
      <c r="BN24" s="107" t="str">
        <f t="shared" si="32"/>
        <v>(2,1,1,2,1,1)</v>
      </c>
      <c r="BO24" s="108">
        <v>1.05</v>
      </c>
      <c r="BP24" s="108">
        <v>1</v>
      </c>
      <c r="BQ24" s="108">
        <v>1</v>
      </c>
      <c r="BR24" s="108">
        <v>1.01</v>
      </c>
      <c r="BS24" s="108">
        <v>1</v>
      </c>
      <c r="BT24" s="108">
        <v>1</v>
      </c>
      <c r="BV24" s="160" t="s">
        <v>955</v>
      </c>
      <c r="BW24" s="83">
        <v>2</v>
      </c>
      <c r="BX24" s="83">
        <v>4</v>
      </c>
      <c r="BY24" s="83">
        <v>1</v>
      </c>
      <c r="BZ24" s="83">
        <v>3</v>
      </c>
      <c r="CA24" s="83">
        <v>1</v>
      </c>
      <c r="CB24" s="83">
        <v>5</v>
      </c>
      <c r="CC24" s="104">
        <v>3</v>
      </c>
      <c r="CD24" s="104">
        <v>1.05</v>
      </c>
      <c r="CE24" s="107">
        <f t="shared" si="33"/>
        <v>1.2365959919080913</v>
      </c>
      <c r="CF24" s="107">
        <f t="shared" si="34"/>
        <v>1.2434566510799234</v>
      </c>
      <c r="CG24" s="107" t="str">
        <f t="shared" si="35"/>
        <v>(2,4,1,3,1,5)</v>
      </c>
      <c r="CH24" s="108">
        <v>1.05</v>
      </c>
      <c r="CI24" s="108">
        <v>1.1000000000000001</v>
      </c>
      <c r="CJ24" s="108">
        <v>1</v>
      </c>
      <c r="CK24" s="108">
        <v>1.02</v>
      </c>
      <c r="CL24" s="108">
        <v>1</v>
      </c>
      <c r="CM24" s="108">
        <v>1.2</v>
      </c>
    </row>
    <row r="25" spans="1:91" s="171" customFormat="1" ht="24">
      <c r="A25" s="333">
        <v>264183</v>
      </c>
      <c r="B25" s="216"/>
      <c r="C25" s="334"/>
      <c r="D25" s="342">
        <v>5</v>
      </c>
      <c r="E25" s="343" t="s">
        <v>98</v>
      </c>
      <c r="F25" s="437" t="s">
        <v>387</v>
      </c>
      <c r="G25" s="438" t="s">
        <v>93</v>
      </c>
      <c r="H25" s="439" t="s">
        <v>98</v>
      </c>
      <c r="I25" s="439" t="s">
        <v>98</v>
      </c>
      <c r="J25" s="335">
        <v>0</v>
      </c>
      <c r="K25" s="438" t="s">
        <v>96</v>
      </c>
      <c r="L25" s="440">
        <v>0</v>
      </c>
      <c r="M25" s="336">
        <v>1</v>
      </c>
      <c r="N25" s="337">
        <f t="shared" si="10"/>
        <v>1.05</v>
      </c>
      <c r="O25" s="455" t="str">
        <f t="shared" si="11"/>
        <v xml:space="preserve">(na,na,na,na,na,na); </v>
      </c>
      <c r="P25" s="440">
        <v>0</v>
      </c>
      <c r="Q25" s="336">
        <v>1</v>
      </c>
      <c r="R25" s="337">
        <f t="shared" si="12"/>
        <v>1.05</v>
      </c>
      <c r="S25" s="455" t="str">
        <f t="shared" si="13"/>
        <v xml:space="preserve">(na,na,na,na,na,na); </v>
      </c>
      <c r="T25" s="440">
        <v>0</v>
      </c>
      <c r="U25" s="336">
        <v>1</v>
      </c>
      <c r="V25" s="337">
        <f t="shared" si="14"/>
        <v>1.05</v>
      </c>
      <c r="W25" s="455" t="str">
        <f t="shared" si="15"/>
        <v xml:space="preserve">(na,na,na,na,na,na); </v>
      </c>
      <c r="X25" s="440">
        <v>0</v>
      </c>
      <c r="Y25" s="336">
        <v>1</v>
      </c>
      <c r="Z25" s="337">
        <f t="shared" si="16"/>
        <v>1.05</v>
      </c>
      <c r="AA25" s="437" t="str">
        <f t="shared" si="17"/>
        <v xml:space="preserve">(na,na,na,na,na,na); </v>
      </c>
      <c r="AB25" s="440">
        <v>0</v>
      </c>
      <c r="AC25" s="336">
        <v>1</v>
      </c>
      <c r="AD25" s="337">
        <f t="shared" si="18"/>
        <v>1.05</v>
      </c>
      <c r="AE25" s="455" t="str">
        <f t="shared" si="19"/>
        <v xml:space="preserve">(na,na,na,na,na,na); </v>
      </c>
      <c r="AF25" s="440">
        <v>0</v>
      </c>
      <c r="AG25" s="336">
        <v>1</v>
      </c>
      <c r="AH25" s="337">
        <f t="shared" si="20"/>
        <v>1.05</v>
      </c>
      <c r="AI25" s="455" t="str">
        <f t="shared" si="21"/>
        <v xml:space="preserve">(na,na,na,na,na,na); </v>
      </c>
      <c r="AJ25" s="440">
        <v>0</v>
      </c>
      <c r="AK25" s="336">
        <v>1</v>
      </c>
      <c r="AL25" s="337">
        <f t="shared" si="22"/>
        <v>1.05</v>
      </c>
      <c r="AM25" s="455" t="str">
        <f t="shared" si="23"/>
        <v xml:space="preserve">(na,na,na,na,na,na); </v>
      </c>
      <c r="AN25" s="440">
        <v>0</v>
      </c>
      <c r="AO25" s="336">
        <v>1</v>
      </c>
      <c r="AP25" s="337">
        <f t="shared" si="24"/>
        <v>1.05</v>
      </c>
      <c r="AQ25" s="437" t="str">
        <f t="shared" si="25"/>
        <v xml:space="preserve">(na,na,na,na,na,na); </v>
      </c>
      <c r="AR25" s="440">
        <v>2.2399999999999998E-3</v>
      </c>
      <c r="AS25" s="336">
        <v>1</v>
      </c>
      <c r="AT25" s="337">
        <f t="shared" si="26"/>
        <v>1.2434566510799234</v>
      </c>
      <c r="AU25" s="455" t="str">
        <f t="shared" si="27"/>
        <v>(2,4,1,3,1,5); Brailovsky (2026) GP 05 iso activated carbon</v>
      </c>
      <c r="AV25" s="440">
        <v>2.2399999999999998E-3</v>
      </c>
      <c r="AW25" s="336">
        <v>1</v>
      </c>
      <c r="AX25" s="337">
        <f t="shared" si="28"/>
        <v>1.2434566510799234</v>
      </c>
      <c r="AY25" s="437" t="str">
        <f t="shared" si="29"/>
        <v>(2,4,1,3,1,5); Brailovsky (2026) GP 05 iso activated carbon</v>
      </c>
      <c r="AZ25" s="338"/>
      <c r="BA25" s="440"/>
      <c r="BB25" s="440"/>
      <c r="BC25" s="216"/>
      <c r="BD25" s="83" t="s">
        <v>106</v>
      </c>
      <c r="BE25" s="83" t="s">
        <v>106</v>
      </c>
      <c r="BF25" s="83" t="s">
        <v>106</v>
      </c>
      <c r="BG25" s="83" t="s">
        <v>106</v>
      </c>
      <c r="BH25" s="83" t="s">
        <v>106</v>
      </c>
      <c r="BI25" s="83" t="s">
        <v>106</v>
      </c>
      <c r="BJ25" s="104">
        <v>3</v>
      </c>
      <c r="BK25" s="104">
        <v>1.05</v>
      </c>
      <c r="BL25" s="107">
        <f t="shared" si="30"/>
        <v>1</v>
      </c>
      <c r="BM25" s="107">
        <f t="shared" si="31"/>
        <v>1.05</v>
      </c>
      <c r="BN25" s="107" t="str">
        <f t="shared" si="32"/>
        <v>(na,na,na,na,na,na)</v>
      </c>
      <c r="BO25" s="108">
        <v>1</v>
      </c>
      <c r="BP25" s="108">
        <v>1</v>
      </c>
      <c r="BQ25" s="108">
        <v>1</v>
      </c>
      <c r="BR25" s="108">
        <v>1</v>
      </c>
      <c r="BS25" s="108">
        <v>1</v>
      </c>
      <c r="BT25" s="108">
        <v>1</v>
      </c>
      <c r="BV25" s="160" t="s">
        <v>956</v>
      </c>
      <c r="BW25" s="83">
        <v>2</v>
      </c>
      <c r="BX25" s="83">
        <v>4</v>
      </c>
      <c r="BY25" s="83">
        <v>1</v>
      </c>
      <c r="BZ25" s="83">
        <v>3</v>
      </c>
      <c r="CA25" s="83">
        <v>1</v>
      </c>
      <c r="CB25" s="83">
        <v>5</v>
      </c>
      <c r="CC25" s="104">
        <v>3</v>
      </c>
      <c r="CD25" s="104">
        <v>1.05</v>
      </c>
      <c r="CE25" s="107">
        <f t="shared" si="33"/>
        <v>1.2365959919080913</v>
      </c>
      <c r="CF25" s="107">
        <f t="shared" si="34"/>
        <v>1.2434566510799234</v>
      </c>
      <c r="CG25" s="107" t="str">
        <f t="shared" si="35"/>
        <v>(2,4,1,3,1,5)</v>
      </c>
      <c r="CH25" s="108">
        <v>1.05</v>
      </c>
      <c r="CI25" s="108">
        <v>1.1000000000000001</v>
      </c>
      <c r="CJ25" s="108">
        <v>1</v>
      </c>
      <c r="CK25" s="108">
        <v>1.02</v>
      </c>
      <c r="CL25" s="108">
        <v>1</v>
      </c>
      <c r="CM25" s="108">
        <v>1.2</v>
      </c>
    </row>
    <row r="26" spans="1:91" s="171" customFormat="1">
      <c r="A26" s="333">
        <v>268959</v>
      </c>
      <c r="B26" s="216"/>
      <c r="C26" s="334"/>
      <c r="D26" s="342">
        <v>5</v>
      </c>
      <c r="E26" s="343" t="s">
        <v>98</v>
      </c>
      <c r="F26" s="437" t="s">
        <v>636</v>
      </c>
      <c r="G26" s="438" t="s">
        <v>93</v>
      </c>
      <c r="H26" s="439" t="s">
        <v>98</v>
      </c>
      <c r="I26" s="439" t="s">
        <v>98</v>
      </c>
      <c r="J26" s="335">
        <v>0</v>
      </c>
      <c r="K26" s="438" t="s">
        <v>96</v>
      </c>
      <c r="L26" s="440">
        <v>0</v>
      </c>
      <c r="M26" s="336">
        <v>1</v>
      </c>
      <c r="N26" s="337">
        <f t="shared" si="10"/>
        <v>1.05</v>
      </c>
      <c r="O26" s="455" t="str">
        <f t="shared" si="11"/>
        <v xml:space="preserve">(na,na,na,na,na,na); </v>
      </c>
      <c r="P26" s="440">
        <v>0</v>
      </c>
      <c r="Q26" s="336">
        <v>1</v>
      </c>
      <c r="R26" s="337">
        <f t="shared" si="12"/>
        <v>1.05</v>
      </c>
      <c r="S26" s="455" t="str">
        <f t="shared" si="13"/>
        <v xml:space="preserve">(na,na,na,na,na,na); </v>
      </c>
      <c r="T26" s="440">
        <v>0</v>
      </c>
      <c r="U26" s="336">
        <v>1</v>
      </c>
      <c r="V26" s="337">
        <f t="shared" si="14"/>
        <v>1.05</v>
      </c>
      <c r="W26" s="455" t="str">
        <f t="shared" si="15"/>
        <v xml:space="preserve">(na,na,na,na,na,na); </v>
      </c>
      <c r="X26" s="440">
        <v>0</v>
      </c>
      <c r="Y26" s="336">
        <v>1</v>
      </c>
      <c r="Z26" s="337">
        <f t="shared" si="16"/>
        <v>1.05</v>
      </c>
      <c r="AA26" s="437" t="str">
        <f t="shared" si="17"/>
        <v xml:space="preserve">(na,na,na,na,na,na); </v>
      </c>
      <c r="AB26" s="440">
        <v>0</v>
      </c>
      <c r="AC26" s="336">
        <v>1</v>
      </c>
      <c r="AD26" s="337">
        <f t="shared" si="18"/>
        <v>1.05</v>
      </c>
      <c r="AE26" s="455" t="str">
        <f t="shared" si="19"/>
        <v xml:space="preserve">(na,na,na,na,na,na); </v>
      </c>
      <c r="AF26" s="440">
        <v>0</v>
      </c>
      <c r="AG26" s="336">
        <v>1</v>
      </c>
      <c r="AH26" s="337">
        <f t="shared" si="20"/>
        <v>1.05</v>
      </c>
      <c r="AI26" s="455" t="str">
        <f t="shared" si="21"/>
        <v xml:space="preserve">(na,na,na,na,na,na); </v>
      </c>
      <c r="AJ26" s="440">
        <v>0</v>
      </c>
      <c r="AK26" s="336">
        <v>1</v>
      </c>
      <c r="AL26" s="337">
        <f t="shared" si="22"/>
        <v>1.05</v>
      </c>
      <c r="AM26" s="455" t="str">
        <f t="shared" si="23"/>
        <v xml:space="preserve">(na,na,na,na,na,na); </v>
      </c>
      <c r="AN26" s="440">
        <v>0</v>
      </c>
      <c r="AO26" s="336">
        <v>1</v>
      </c>
      <c r="AP26" s="337">
        <f t="shared" si="24"/>
        <v>1.05</v>
      </c>
      <c r="AQ26" s="437" t="str">
        <f t="shared" si="25"/>
        <v xml:space="preserve">(na,na,na,na,na,na); </v>
      </c>
      <c r="AR26" s="440">
        <v>3.3099999999999998E-5</v>
      </c>
      <c r="AS26" s="336">
        <v>1</v>
      </c>
      <c r="AT26" s="337">
        <f t="shared" si="26"/>
        <v>1.2434566510799234</v>
      </c>
      <c r="AU26" s="455" t="str">
        <f t="shared" si="27"/>
        <v>(2,4,1,3,1,5); Brailovsky (2026) GP 05</v>
      </c>
      <c r="AV26" s="440">
        <v>3.3099999999999998E-5</v>
      </c>
      <c r="AW26" s="336">
        <v>1</v>
      </c>
      <c r="AX26" s="337">
        <f t="shared" si="28"/>
        <v>1.2434566510799234</v>
      </c>
      <c r="AY26" s="437" t="str">
        <f t="shared" si="29"/>
        <v>(2,4,1,3,1,5); Brailovsky (2026) GP 05</v>
      </c>
      <c r="AZ26" s="338"/>
      <c r="BA26" s="440"/>
      <c r="BB26" s="440"/>
      <c r="BC26" s="216"/>
      <c r="BD26" s="83" t="s">
        <v>106</v>
      </c>
      <c r="BE26" s="83" t="s">
        <v>106</v>
      </c>
      <c r="BF26" s="83" t="s">
        <v>106</v>
      </c>
      <c r="BG26" s="83" t="s">
        <v>106</v>
      </c>
      <c r="BH26" s="83" t="s">
        <v>106</v>
      </c>
      <c r="BI26" s="83" t="s">
        <v>106</v>
      </c>
      <c r="BJ26" s="104">
        <v>3</v>
      </c>
      <c r="BK26" s="104">
        <v>1.05</v>
      </c>
      <c r="BL26" s="107">
        <f t="shared" si="30"/>
        <v>1</v>
      </c>
      <c r="BM26" s="107">
        <f t="shared" si="31"/>
        <v>1.05</v>
      </c>
      <c r="BN26" s="107" t="str">
        <f t="shared" si="32"/>
        <v>(na,na,na,na,na,na)</v>
      </c>
      <c r="BO26" s="108">
        <v>1</v>
      </c>
      <c r="BP26" s="108">
        <v>1</v>
      </c>
      <c r="BQ26" s="108">
        <v>1</v>
      </c>
      <c r="BR26" s="108">
        <v>1</v>
      </c>
      <c r="BS26" s="108">
        <v>1</v>
      </c>
      <c r="BT26" s="108">
        <v>1</v>
      </c>
      <c r="BV26" s="160" t="s">
        <v>954</v>
      </c>
      <c r="BW26" s="83">
        <v>2</v>
      </c>
      <c r="BX26" s="83">
        <v>4</v>
      </c>
      <c r="BY26" s="83">
        <v>1</v>
      </c>
      <c r="BZ26" s="83">
        <v>3</v>
      </c>
      <c r="CA26" s="83">
        <v>1</v>
      </c>
      <c r="CB26" s="83">
        <v>5</v>
      </c>
      <c r="CC26" s="104">
        <v>3</v>
      </c>
      <c r="CD26" s="104">
        <v>1.05</v>
      </c>
      <c r="CE26" s="107">
        <f t="shared" si="33"/>
        <v>1.2365959919080913</v>
      </c>
      <c r="CF26" s="107">
        <f t="shared" si="34"/>
        <v>1.2434566510799234</v>
      </c>
      <c r="CG26" s="107" t="str">
        <f t="shared" si="35"/>
        <v>(2,4,1,3,1,5)</v>
      </c>
      <c r="CH26" s="108">
        <v>1.05</v>
      </c>
      <c r="CI26" s="108">
        <v>1.1000000000000001</v>
      </c>
      <c r="CJ26" s="108">
        <v>1</v>
      </c>
      <c r="CK26" s="108">
        <v>1.02</v>
      </c>
      <c r="CL26" s="108">
        <v>1</v>
      </c>
      <c r="CM26" s="108">
        <v>1.2</v>
      </c>
    </row>
    <row r="27" spans="1:91" s="171" customFormat="1">
      <c r="A27" s="333">
        <v>267239</v>
      </c>
      <c r="B27" s="216"/>
      <c r="C27" s="334"/>
      <c r="D27" s="342">
        <v>5</v>
      </c>
      <c r="E27" s="343" t="s">
        <v>98</v>
      </c>
      <c r="F27" s="437" t="s">
        <v>210</v>
      </c>
      <c r="G27" s="438" t="s">
        <v>215</v>
      </c>
      <c r="H27" s="439" t="s">
        <v>98</v>
      </c>
      <c r="I27" s="439" t="s">
        <v>98</v>
      </c>
      <c r="J27" s="335">
        <v>0</v>
      </c>
      <c r="K27" s="438" t="s">
        <v>96</v>
      </c>
      <c r="L27" s="440">
        <v>0</v>
      </c>
      <c r="M27" s="336">
        <v>1</v>
      </c>
      <c r="N27" s="337">
        <f t="shared" si="10"/>
        <v>1.05</v>
      </c>
      <c r="O27" s="455" t="str">
        <f t="shared" si="11"/>
        <v xml:space="preserve">(na,na,na,na,na,na); </v>
      </c>
      <c r="P27" s="440">
        <v>0</v>
      </c>
      <c r="Q27" s="336">
        <v>1</v>
      </c>
      <c r="R27" s="337">
        <f t="shared" si="12"/>
        <v>1.05</v>
      </c>
      <c r="S27" s="455" t="str">
        <f t="shared" si="13"/>
        <v xml:space="preserve">(na,na,na,na,na,na); </v>
      </c>
      <c r="T27" s="440">
        <v>0</v>
      </c>
      <c r="U27" s="336">
        <v>1</v>
      </c>
      <c r="V27" s="337">
        <f t="shared" si="14"/>
        <v>1.05</v>
      </c>
      <c r="W27" s="455" t="str">
        <f t="shared" si="15"/>
        <v xml:space="preserve">(na,na,na,na,na,na); </v>
      </c>
      <c r="X27" s="440">
        <v>0</v>
      </c>
      <c r="Y27" s="336">
        <v>1</v>
      </c>
      <c r="Z27" s="337">
        <f t="shared" si="16"/>
        <v>1.05</v>
      </c>
      <c r="AA27" s="437" t="str">
        <f t="shared" si="17"/>
        <v xml:space="preserve">(na,na,na,na,na,na); </v>
      </c>
      <c r="AB27" s="440">
        <v>0</v>
      </c>
      <c r="AC27" s="336">
        <v>1</v>
      </c>
      <c r="AD27" s="337">
        <f t="shared" si="18"/>
        <v>1.05</v>
      </c>
      <c r="AE27" s="455" t="str">
        <f t="shared" si="19"/>
        <v xml:space="preserve">(na,na,na,na,na,na); </v>
      </c>
      <c r="AF27" s="440">
        <v>0</v>
      </c>
      <c r="AG27" s="336">
        <v>1</v>
      </c>
      <c r="AH27" s="337">
        <f t="shared" si="20"/>
        <v>1.05</v>
      </c>
      <c r="AI27" s="455" t="str">
        <f t="shared" si="21"/>
        <v xml:space="preserve">(na,na,na,na,na,na); </v>
      </c>
      <c r="AJ27" s="440">
        <v>0</v>
      </c>
      <c r="AK27" s="336">
        <v>1</v>
      </c>
      <c r="AL27" s="337">
        <f t="shared" si="22"/>
        <v>1.05</v>
      </c>
      <c r="AM27" s="455" t="str">
        <f t="shared" si="23"/>
        <v xml:space="preserve">(na,na,na,na,na,na); </v>
      </c>
      <c r="AN27" s="440">
        <v>0</v>
      </c>
      <c r="AO27" s="336">
        <v>1</v>
      </c>
      <c r="AP27" s="337">
        <f t="shared" si="24"/>
        <v>1.05</v>
      </c>
      <c r="AQ27" s="437" t="str">
        <f t="shared" si="25"/>
        <v xml:space="preserve">(na,na,na,na,na,na); </v>
      </c>
      <c r="AR27" s="440">
        <v>3.1E-4</v>
      </c>
      <c r="AS27" s="336">
        <v>1</v>
      </c>
      <c r="AT27" s="337">
        <f t="shared" si="26"/>
        <v>1.2434566510799234</v>
      </c>
      <c r="AU27" s="455" t="str">
        <f t="shared" si="27"/>
        <v>(2,4,1,3,1,5); Brailovsky (2026) GP 05</v>
      </c>
      <c r="AV27" s="440">
        <v>3.1E-4</v>
      </c>
      <c r="AW27" s="336">
        <v>1</v>
      </c>
      <c r="AX27" s="337">
        <f t="shared" si="28"/>
        <v>1.2434566510799234</v>
      </c>
      <c r="AY27" s="437" t="str">
        <f t="shared" si="29"/>
        <v>(2,4,1,3,1,5); Brailovsky (2026) GP 05</v>
      </c>
      <c r="AZ27" s="338"/>
      <c r="BA27" s="440"/>
      <c r="BB27" s="440"/>
      <c r="BC27" s="216"/>
      <c r="BD27" s="83" t="s">
        <v>106</v>
      </c>
      <c r="BE27" s="83" t="s">
        <v>106</v>
      </c>
      <c r="BF27" s="83" t="s">
        <v>106</v>
      </c>
      <c r="BG27" s="83" t="s">
        <v>106</v>
      </c>
      <c r="BH27" s="83" t="s">
        <v>106</v>
      </c>
      <c r="BI27" s="83" t="s">
        <v>106</v>
      </c>
      <c r="BJ27" s="104">
        <v>3</v>
      </c>
      <c r="BK27" s="104">
        <v>1.05</v>
      </c>
      <c r="BL27" s="107">
        <f t="shared" si="30"/>
        <v>1</v>
      </c>
      <c r="BM27" s="107">
        <f t="shared" si="31"/>
        <v>1.05</v>
      </c>
      <c r="BN27" s="107" t="str">
        <f t="shared" si="32"/>
        <v>(na,na,na,na,na,na)</v>
      </c>
      <c r="BO27" s="108">
        <v>1</v>
      </c>
      <c r="BP27" s="108">
        <v>1</v>
      </c>
      <c r="BQ27" s="108">
        <v>1</v>
      </c>
      <c r="BR27" s="108">
        <v>1</v>
      </c>
      <c r="BS27" s="108">
        <v>1</v>
      </c>
      <c r="BT27" s="108">
        <v>1</v>
      </c>
      <c r="BV27" s="160" t="s">
        <v>954</v>
      </c>
      <c r="BW27" s="83">
        <v>2</v>
      </c>
      <c r="BX27" s="83">
        <v>4</v>
      </c>
      <c r="BY27" s="83">
        <v>1</v>
      </c>
      <c r="BZ27" s="83">
        <v>3</v>
      </c>
      <c r="CA27" s="83">
        <v>1</v>
      </c>
      <c r="CB27" s="83">
        <v>5</v>
      </c>
      <c r="CC27" s="104">
        <v>3</v>
      </c>
      <c r="CD27" s="104">
        <v>1.05</v>
      </c>
      <c r="CE27" s="107">
        <f t="shared" si="33"/>
        <v>1.2365959919080913</v>
      </c>
      <c r="CF27" s="107">
        <f t="shared" si="34"/>
        <v>1.2434566510799234</v>
      </c>
      <c r="CG27" s="107" t="str">
        <f t="shared" si="35"/>
        <v>(2,4,1,3,1,5)</v>
      </c>
      <c r="CH27" s="108">
        <v>1.05</v>
      </c>
      <c r="CI27" s="108">
        <v>1.1000000000000001</v>
      </c>
      <c r="CJ27" s="108">
        <v>1</v>
      </c>
      <c r="CK27" s="108">
        <v>1.02</v>
      </c>
      <c r="CL27" s="108">
        <v>1</v>
      </c>
      <c r="CM27" s="108">
        <v>1.2</v>
      </c>
    </row>
    <row r="28" spans="1:91" s="171" customFormat="1">
      <c r="A28" s="333">
        <v>268999</v>
      </c>
      <c r="B28" s="216"/>
      <c r="C28" s="334"/>
      <c r="D28" s="342">
        <v>5</v>
      </c>
      <c r="E28" s="343" t="s">
        <v>98</v>
      </c>
      <c r="F28" s="437" t="s">
        <v>957</v>
      </c>
      <c r="G28" s="438" t="s">
        <v>93</v>
      </c>
      <c r="H28" s="439" t="s">
        <v>98</v>
      </c>
      <c r="I28" s="439" t="s">
        <v>98</v>
      </c>
      <c r="J28" s="335">
        <v>0</v>
      </c>
      <c r="K28" s="438" t="s">
        <v>96</v>
      </c>
      <c r="L28" s="440">
        <v>0</v>
      </c>
      <c r="M28" s="336">
        <v>1</v>
      </c>
      <c r="N28" s="337">
        <f t="shared" si="10"/>
        <v>1.05</v>
      </c>
      <c r="O28" s="455" t="str">
        <f t="shared" si="11"/>
        <v xml:space="preserve">(na,na,na,na,na,na); </v>
      </c>
      <c r="P28" s="440">
        <v>0</v>
      </c>
      <c r="Q28" s="336">
        <v>1</v>
      </c>
      <c r="R28" s="337">
        <f t="shared" si="12"/>
        <v>1.05</v>
      </c>
      <c r="S28" s="455" t="str">
        <f t="shared" si="13"/>
        <v xml:space="preserve">(na,na,na,na,na,na); </v>
      </c>
      <c r="T28" s="440">
        <v>0</v>
      </c>
      <c r="U28" s="336">
        <v>1</v>
      </c>
      <c r="V28" s="337">
        <f t="shared" si="14"/>
        <v>1.05</v>
      </c>
      <c r="W28" s="455" t="str">
        <f t="shared" si="15"/>
        <v xml:space="preserve">(na,na,na,na,na,na); </v>
      </c>
      <c r="X28" s="440">
        <v>0</v>
      </c>
      <c r="Y28" s="336">
        <v>1</v>
      </c>
      <c r="Z28" s="337">
        <f t="shared" si="16"/>
        <v>1.05</v>
      </c>
      <c r="AA28" s="437" t="str">
        <f t="shared" si="17"/>
        <v xml:space="preserve">(na,na,na,na,na,na); </v>
      </c>
      <c r="AB28" s="440">
        <v>0</v>
      </c>
      <c r="AC28" s="336">
        <v>1</v>
      </c>
      <c r="AD28" s="337">
        <f t="shared" si="18"/>
        <v>1.05</v>
      </c>
      <c r="AE28" s="455" t="str">
        <f t="shared" si="19"/>
        <v xml:space="preserve">(na,na,na,na,na,na); </v>
      </c>
      <c r="AF28" s="440">
        <v>0</v>
      </c>
      <c r="AG28" s="336">
        <v>1</v>
      </c>
      <c r="AH28" s="337">
        <f t="shared" si="20"/>
        <v>1.05</v>
      </c>
      <c r="AI28" s="455" t="str">
        <f t="shared" si="21"/>
        <v xml:space="preserve">(na,na,na,na,na,na); </v>
      </c>
      <c r="AJ28" s="440">
        <v>0</v>
      </c>
      <c r="AK28" s="336">
        <v>1</v>
      </c>
      <c r="AL28" s="337">
        <f t="shared" si="22"/>
        <v>1.05</v>
      </c>
      <c r="AM28" s="455" t="str">
        <f t="shared" si="23"/>
        <v xml:space="preserve">(na,na,na,na,na,na); </v>
      </c>
      <c r="AN28" s="440">
        <v>0</v>
      </c>
      <c r="AO28" s="336">
        <v>1</v>
      </c>
      <c r="AP28" s="337">
        <f t="shared" si="24"/>
        <v>1.05</v>
      </c>
      <c r="AQ28" s="437" t="str">
        <f t="shared" si="25"/>
        <v xml:space="preserve">(na,na,na,na,na,na); </v>
      </c>
      <c r="AR28" s="440">
        <v>3.1E-4</v>
      </c>
      <c r="AS28" s="336">
        <v>1</v>
      </c>
      <c r="AT28" s="337">
        <f t="shared" si="26"/>
        <v>1.2434566510799234</v>
      </c>
      <c r="AU28" s="455" t="str">
        <f t="shared" si="27"/>
        <v>(2,4,1,3,1,5); Brailovsky (2026) GP 05</v>
      </c>
      <c r="AV28" s="440">
        <v>3.1E-4</v>
      </c>
      <c r="AW28" s="336">
        <v>1</v>
      </c>
      <c r="AX28" s="337">
        <f t="shared" si="28"/>
        <v>1.2434566510799234</v>
      </c>
      <c r="AY28" s="437" t="str">
        <f t="shared" si="29"/>
        <v>(2,4,1,3,1,5); Brailovsky (2026) GP 05</v>
      </c>
      <c r="AZ28" s="338"/>
      <c r="BA28" s="440"/>
      <c r="BB28" s="440"/>
      <c r="BC28" s="216"/>
      <c r="BD28" s="83" t="s">
        <v>106</v>
      </c>
      <c r="BE28" s="83" t="s">
        <v>106</v>
      </c>
      <c r="BF28" s="83" t="s">
        <v>106</v>
      </c>
      <c r="BG28" s="83" t="s">
        <v>106</v>
      </c>
      <c r="BH28" s="83" t="s">
        <v>106</v>
      </c>
      <c r="BI28" s="83" t="s">
        <v>106</v>
      </c>
      <c r="BJ28" s="104">
        <v>3</v>
      </c>
      <c r="BK28" s="104">
        <v>1.05</v>
      </c>
      <c r="BL28" s="107">
        <f t="shared" si="30"/>
        <v>1</v>
      </c>
      <c r="BM28" s="107">
        <f t="shared" si="31"/>
        <v>1.05</v>
      </c>
      <c r="BN28" s="107" t="str">
        <f t="shared" si="32"/>
        <v>(na,na,na,na,na,na)</v>
      </c>
      <c r="BO28" s="108">
        <v>1</v>
      </c>
      <c r="BP28" s="108">
        <v>1</v>
      </c>
      <c r="BQ28" s="108">
        <v>1</v>
      </c>
      <c r="BR28" s="108">
        <v>1</v>
      </c>
      <c r="BS28" s="108">
        <v>1</v>
      </c>
      <c r="BT28" s="108">
        <v>1</v>
      </c>
      <c r="BV28" s="160" t="s">
        <v>954</v>
      </c>
      <c r="BW28" s="83">
        <v>2</v>
      </c>
      <c r="BX28" s="83">
        <v>4</v>
      </c>
      <c r="BY28" s="83">
        <v>1</v>
      </c>
      <c r="BZ28" s="83">
        <v>3</v>
      </c>
      <c r="CA28" s="83">
        <v>1</v>
      </c>
      <c r="CB28" s="83">
        <v>5</v>
      </c>
      <c r="CC28" s="104">
        <v>3</v>
      </c>
      <c r="CD28" s="104">
        <v>1.05</v>
      </c>
      <c r="CE28" s="107">
        <f t="shared" si="33"/>
        <v>1.2365959919080913</v>
      </c>
      <c r="CF28" s="107">
        <f t="shared" si="34"/>
        <v>1.2434566510799234</v>
      </c>
      <c r="CG28" s="107" t="str">
        <f t="shared" si="35"/>
        <v>(2,4,1,3,1,5)</v>
      </c>
      <c r="CH28" s="108">
        <v>1.05</v>
      </c>
      <c r="CI28" s="108">
        <v>1.1000000000000001</v>
      </c>
      <c r="CJ28" s="108">
        <v>1</v>
      </c>
      <c r="CK28" s="108">
        <v>1.02</v>
      </c>
      <c r="CL28" s="108">
        <v>1</v>
      </c>
      <c r="CM28" s="108">
        <v>1.2</v>
      </c>
    </row>
    <row r="29" spans="1:91" s="171" customFormat="1">
      <c r="A29" s="333">
        <v>268953</v>
      </c>
      <c r="B29" s="216"/>
      <c r="C29" s="334"/>
      <c r="D29" s="342">
        <v>5</v>
      </c>
      <c r="E29" s="343" t="s">
        <v>98</v>
      </c>
      <c r="F29" s="437" t="s">
        <v>958</v>
      </c>
      <c r="G29" s="438" t="s">
        <v>93</v>
      </c>
      <c r="H29" s="439" t="s">
        <v>98</v>
      </c>
      <c r="I29" s="439" t="s">
        <v>98</v>
      </c>
      <c r="J29" s="335">
        <v>0</v>
      </c>
      <c r="K29" s="438" t="s">
        <v>96</v>
      </c>
      <c r="L29" s="440">
        <v>0</v>
      </c>
      <c r="M29" s="336">
        <v>1</v>
      </c>
      <c r="N29" s="337">
        <f t="shared" si="10"/>
        <v>1.05</v>
      </c>
      <c r="O29" s="455" t="str">
        <f t="shared" si="11"/>
        <v xml:space="preserve">(na,na,na,na,na,na); </v>
      </c>
      <c r="P29" s="440">
        <v>0</v>
      </c>
      <c r="Q29" s="336">
        <v>1</v>
      </c>
      <c r="R29" s="337">
        <f t="shared" si="12"/>
        <v>1.05</v>
      </c>
      <c r="S29" s="455" t="str">
        <f t="shared" si="13"/>
        <v xml:space="preserve">(na,na,na,na,na,na); </v>
      </c>
      <c r="T29" s="440">
        <v>0</v>
      </c>
      <c r="U29" s="336">
        <v>1</v>
      </c>
      <c r="V29" s="337">
        <f t="shared" si="14"/>
        <v>1.05</v>
      </c>
      <c r="W29" s="455" t="str">
        <f t="shared" si="15"/>
        <v xml:space="preserve">(na,na,na,na,na,na); </v>
      </c>
      <c r="X29" s="440">
        <v>0</v>
      </c>
      <c r="Y29" s="336">
        <v>1</v>
      </c>
      <c r="Z29" s="337">
        <f t="shared" si="16"/>
        <v>1.05</v>
      </c>
      <c r="AA29" s="437" t="str">
        <f t="shared" si="17"/>
        <v xml:space="preserve">(na,na,na,na,na,na); </v>
      </c>
      <c r="AB29" s="440">
        <v>0</v>
      </c>
      <c r="AC29" s="336">
        <v>1</v>
      </c>
      <c r="AD29" s="337">
        <f t="shared" si="18"/>
        <v>1.05</v>
      </c>
      <c r="AE29" s="455" t="str">
        <f t="shared" si="19"/>
        <v xml:space="preserve">(na,na,na,na,na,na); </v>
      </c>
      <c r="AF29" s="440">
        <v>0</v>
      </c>
      <c r="AG29" s="336">
        <v>1</v>
      </c>
      <c r="AH29" s="337">
        <f t="shared" si="20"/>
        <v>1.05</v>
      </c>
      <c r="AI29" s="455" t="str">
        <f t="shared" si="21"/>
        <v xml:space="preserve">(na,na,na,na,na,na); </v>
      </c>
      <c r="AJ29" s="440">
        <v>0</v>
      </c>
      <c r="AK29" s="336">
        <v>1</v>
      </c>
      <c r="AL29" s="337">
        <f t="shared" si="22"/>
        <v>1.05</v>
      </c>
      <c r="AM29" s="455" t="str">
        <f t="shared" si="23"/>
        <v xml:space="preserve">(na,na,na,na,na,na); </v>
      </c>
      <c r="AN29" s="440">
        <v>0</v>
      </c>
      <c r="AO29" s="336">
        <v>1</v>
      </c>
      <c r="AP29" s="337">
        <f t="shared" si="24"/>
        <v>1.05</v>
      </c>
      <c r="AQ29" s="437" t="str">
        <f t="shared" si="25"/>
        <v xml:space="preserve">(na,na,na,na,na,na); </v>
      </c>
      <c r="AR29" s="440">
        <v>1.04E-2</v>
      </c>
      <c r="AS29" s="336">
        <v>1</v>
      </c>
      <c r="AT29" s="337">
        <f t="shared" si="26"/>
        <v>1.2434566510799234</v>
      </c>
      <c r="AU29" s="455" t="str">
        <f t="shared" si="27"/>
        <v>(2,4,1,3,1,5); Brailovsky (2026) GP 05</v>
      </c>
      <c r="AV29" s="440">
        <v>1.04E-2</v>
      </c>
      <c r="AW29" s="336">
        <v>1</v>
      </c>
      <c r="AX29" s="337">
        <f t="shared" si="28"/>
        <v>1.2434566510799234</v>
      </c>
      <c r="AY29" s="437" t="str">
        <f t="shared" si="29"/>
        <v>(2,4,1,3,1,5); Brailovsky (2026) GP 05</v>
      </c>
      <c r="AZ29" s="338"/>
      <c r="BA29" s="440"/>
      <c r="BB29" s="440"/>
      <c r="BC29" s="216"/>
      <c r="BD29" s="83" t="s">
        <v>106</v>
      </c>
      <c r="BE29" s="83" t="s">
        <v>106</v>
      </c>
      <c r="BF29" s="83" t="s">
        <v>106</v>
      </c>
      <c r="BG29" s="83" t="s">
        <v>106</v>
      </c>
      <c r="BH29" s="83" t="s">
        <v>106</v>
      </c>
      <c r="BI29" s="83" t="s">
        <v>106</v>
      </c>
      <c r="BJ29" s="104">
        <v>3</v>
      </c>
      <c r="BK29" s="104">
        <v>1.05</v>
      </c>
      <c r="BL29" s="107">
        <f t="shared" si="30"/>
        <v>1</v>
      </c>
      <c r="BM29" s="107">
        <f t="shared" si="31"/>
        <v>1.05</v>
      </c>
      <c r="BN29" s="107" t="str">
        <f t="shared" si="32"/>
        <v>(na,na,na,na,na,na)</v>
      </c>
      <c r="BO29" s="108">
        <v>1</v>
      </c>
      <c r="BP29" s="108">
        <v>1</v>
      </c>
      <c r="BQ29" s="108">
        <v>1</v>
      </c>
      <c r="BR29" s="108">
        <v>1</v>
      </c>
      <c r="BS29" s="108">
        <v>1</v>
      </c>
      <c r="BT29" s="108">
        <v>1</v>
      </c>
      <c r="BV29" s="160" t="s">
        <v>954</v>
      </c>
      <c r="BW29" s="83">
        <v>2</v>
      </c>
      <c r="BX29" s="83">
        <v>4</v>
      </c>
      <c r="BY29" s="83">
        <v>1</v>
      </c>
      <c r="BZ29" s="83">
        <v>3</v>
      </c>
      <c r="CA29" s="83">
        <v>1</v>
      </c>
      <c r="CB29" s="83">
        <v>5</v>
      </c>
      <c r="CC29" s="104">
        <v>3</v>
      </c>
      <c r="CD29" s="104">
        <v>1.05</v>
      </c>
      <c r="CE29" s="107">
        <f t="shared" si="33"/>
        <v>1.2365959919080913</v>
      </c>
      <c r="CF29" s="107">
        <f t="shared" si="34"/>
        <v>1.2434566510799234</v>
      </c>
      <c r="CG29" s="107" t="str">
        <f t="shared" si="35"/>
        <v>(2,4,1,3,1,5)</v>
      </c>
      <c r="CH29" s="108">
        <v>1.05</v>
      </c>
      <c r="CI29" s="108">
        <v>1.1000000000000001</v>
      </c>
      <c r="CJ29" s="108">
        <v>1</v>
      </c>
      <c r="CK29" s="108">
        <v>1.02</v>
      </c>
      <c r="CL29" s="108">
        <v>1</v>
      </c>
      <c r="CM29" s="108">
        <v>1.2</v>
      </c>
    </row>
    <row r="30" spans="1:91" s="171" customFormat="1" collapsed="1">
      <c r="A30" s="333">
        <v>160377</v>
      </c>
      <c r="B30" s="216"/>
      <c r="C30" s="334"/>
      <c r="D30" s="342">
        <v>5</v>
      </c>
      <c r="E30" s="343" t="s">
        <v>98</v>
      </c>
      <c r="F30" s="437" t="s">
        <v>819</v>
      </c>
      <c r="G30" s="438" t="s">
        <v>93</v>
      </c>
      <c r="H30" s="439" t="s">
        <v>98</v>
      </c>
      <c r="I30" s="439" t="s">
        <v>98</v>
      </c>
      <c r="J30" s="335">
        <v>0</v>
      </c>
      <c r="K30" s="438" t="s">
        <v>96</v>
      </c>
      <c r="L30" s="440">
        <f>BA30</f>
        <v>4.9799999999999996E-4</v>
      </c>
      <c r="M30" s="336">
        <v>1</v>
      </c>
      <c r="N30" s="337">
        <f t="shared" si="10"/>
        <v>1.0722009304576894</v>
      </c>
      <c r="O30" s="455" t="str">
        <f t="shared" si="11"/>
        <v>(2,1,1,2,1,1); Industry data (French tender)</v>
      </c>
      <c r="P30" s="440">
        <v>4.9799999999999996E-4</v>
      </c>
      <c r="Q30" s="336">
        <v>1</v>
      </c>
      <c r="R30" s="337">
        <f t="shared" si="12"/>
        <v>1.0722009304576894</v>
      </c>
      <c r="S30" s="455" t="str">
        <f t="shared" si="13"/>
        <v>(2,1,1,2,1,1); Industry data (French tender)</v>
      </c>
      <c r="T30" s="440">
        <f>BA30</f>
        <v>4.9799999999999996E-4</v>
      </c>
      <c r="U30" s="336">
        <v>1</v>
      </c>
      <c r="V30" s="337">
        <f t="shared" si="14"/>
        <v>1.0722009304576894</v>
      </c>
      <c r="W30" s="455" t="str">
        <f t="shared" si="15"/>
        <v>(2,1,1,2,1,1); Industry data (French tender)</v>
      </c>
      <c r="X30" s="440">
        <v>4.9799999999999996E-4</v>
      </c>
      <c r="Y30" s="336">
        <v>1</v>
      </c>
      <c r="Z30" s="337">
        <f t="shared" si="16"/>
        <v>1.0722009304576894</v>
      </c>
      <c r="AA30" s="437" t="str">
        <f t="shared" si="17"/>
        <v>(2,1,1,2,1,1); Industry data (French tender)</v>
      </c>
      <c r="AB30" s="440">
        <f>BA30</f>
        <v>4.9799999999999996E-4</v>
      </c>
      <c r="AC30" s="336">
        <v>1</v>
      </c>
      <c r="AD30" s="337">
        <f t="shared" si="18"/>
        <v>1.0722009304576894</v>
      </c>
      <c r="AE30" s="455" t="str">
        <f t="shared" si="19"/>
        <v>(2,1,1,2,1,1); Industry data (French tender)</v>
      </c>
      <c r="AF30" s="440">
        <v>4.9799999999999996E-4</v>
      </c>
      <c r="AG30" s="336">
        <v>1</v>
      </c>
      <c r="AH30" s="337">
        <f t="shared" si="20"/>
        <v>1.0722009304576894</v>
      </c>
      <c r="AI30" s="455" t="str">
        <f t="shared" si="21"/>
        <v>(2,1,1,2,1,1); Industry data (French tender)</v>
      </c>
      <c r="AJ30" s="440">
        <f>BA30</f>
        <v>4.9799999999999996E-4</v>
      </c>
      <c r="AK30" s="336">
        <v>1</v>
      </c>
      <c r="AL30" s="337">
        <f t="shared" si="22"/>
        <v>1.0722009304576894</v>
      </c>
      <c r="AM30" s="455" t="str">
        <f t="shared" si="23"/>
        <v>(2,1,1,2,1,1); Industry data (French tender)</v>
      </c>
      <c r="AN30" s="440">
        <v>4.9799999999999996E-4</v>
      </c>
      <c r="AO30" s="336">
        <v>1</v>
      </c>
      <c r="AP30" s="337">
        <f t="shared" si="24"/>
        <v>1.0722009304576894</v>
      </c>
      <c r="AQ30" s="437" t="str">
        <f t="shared" si="25"/>
        <v>(2,1,1,2,1,1); Industry data (French tender)</v>
      </c>
      <c r="AR30" s="440">
        <f>0.00000603+0.000012</f>
        <v>1.8030000000000002E-5</v>
      </c>
      <c r="AS30" s="336">
        <v>1</v>
      </c>
      <c r="AT30" s="337">
        <f t="shared" si="26"/>
        <v>1.2434566510799234</v>
      </c>
      <c r="AU30" s="455" t="str">
        <f t="shared" si="27"/>
        <v>(2,4,1,3,1,5); Brailovsky (2026) GP 05</v>
      </c>
      <c r="AV30" s="440">
        <f>0.00000603+0.000012</f>
        <v>1.8030000000000002E-5</v>
      </c>
      <c r="AW30" s="336">
        <v>1</v>
      </c>
      <c r="AX30" s="337">
        <f t="shared" si="28"/>
        <v>1.2434566510799234</v>
      </c>
      <c r="AY30" s="437" t="str">
        <f t="shared" si="29"/>
        <v>(2,4,1,3,1,5); Brailovsky (2026) GP 05</v>
      </c>
      <c r="AZ30" s="338"/>
      <c r="BA30" s="440">
        <v>4.9799999999999996E-4</v>
      </c>
      <c r="BB30" s="440"/>
      <c r="BC30" s="216" t="s">
        <v>462</v>
      </c>
      <c r="BD30" s="83">
        <v>2</v>
      </c>
      <c r="BE30" s="83">
        <v>1</v>
      </c>
      <c r="BF30" s="83">
        <v>1</v>
      </c>
      <c r="BG30" s="83">
        <v>2</v>
      </c>
      <c r="BH30" s="83">
        <v>1</v>
      </c>
      <c r="BI30" s="83">
        <v>1</v>
      </c>
      <c r="BJ30" s="104">
        <v>3</v>
      </c>
      <c r="BK30" s="104">
        <v>1.05</v>
      </c>
      <c r="BL30" s="107">
        <f t="shared" si="30"/>
        <v>1.0510550504206344</v>
      </c>
      <c r="BM30" s="107">
        <f t="shared" si="31"/>
        <v>1.0722009304576894</v>
      </c>
      <c r="BN30" s="107" t="str">
        <f t="shared" si="32"/>
        <v>(2,1,1,2,1,1)</v>
      </c>
      <c r="BO30" s="108">
        <v>1.05</v>
      </c>
      <c r="BP30" s="108">
        <v>1</v>
      </c>
      <c r="BQ30" s="108">
        <v>1</v>
      </c>
      <c r="BR30" s="108">
        <v>1.01</v>
      </c>
      <c r="BS30" s="108">
        <v>1</v>
      </c>
      <c r="BT30" s="108">
        <v>1</v>
      </c>
      <c r="BV30" s="160" t="s">
        <v>954</v>
      </c>
      <c r="BW30" s="83">
        <v>2</v>
      </c>
      <c r="BX30" s="83">
        <v>4</v>
      </c>
      <c r="BY30" s="83">
        <v>1</v>
      </c>
      <c r="BZ30" s="83">
        <v>3</v>
      </c>
      <c r="CA30" s="83">
        <v>1</v>
      </c>
      <c r="CB30" s="83">
        <v>5</v>
      </c>
      <c r="CC30" s="104">
        <v>3</v>
      </c>
      <c r="CD30" s="104">
        <v>1.05</v>
      </c>
      <c r="CE30" s="107">
        <f t="shared" si="33"/>
        <v>1.2365959919080913</v>
      </c>
      <c r="CF30" s="107">
        <f t="shared" si="34"/>
        <v>1.2434566510799234</v>
      </c>
      <c r="CG30" s="107" t="str">
        <f t="shared" si="35"/>
        <v>(2,4,1,3,1,5)</v>
      </c>
      <c r="CH30" s="108">
        <v>1.05</v>
      </c>
      <c r="CI30" s="108">
        <v>1.1000000000000001</v>
      </c>
      <c r="CJ30" s="108">
        <v>1</v>
      </c>
      <c r="CK30" s="108">
        <v>1.02</v>
      </c>
      <c r="CL30" s="108">
        <v>1</v>
      </c>
      <c r="CM30" s="108">
        <v>1.2</v>
      </c>
    </row>
    <row r="31" spans="1:91" s="171" customFormat="1" ht="24">
      <c r="A31" s="333">
        <v>256482</v>
      </c>
      <c r="B31" s="216"/>
      <c r="C31" s="334"/>
      <c r="D31" s="342">
        <v>5</v>
      </c>
      <c r="E31" s="343" t="s">
        <v>98</v>
      </c>
      <c r="F31" s="437" t="s">
        <v>959</v>
      </c>
      <c r="G31" s="438" t="s">
        <v>93</v>
      </c>
      <c r="H31" s="439" t="s">
        <v>98</v>
      </c>
      <c r="I31" s="439" t="s">
        <v>98</v>
      </c>
      <c r="J31" s="335">
        <v>0</v>
      </c>
      <c r="K31" s="438" t="s">
        <v>96</v>
      </c>
      <c r="L31" s="440">
        <v>0</v>
      </c>
      <c r="M31" s="336">
        <v>1</v>
      </c>
      <c r="N31" s="337">
        <f t="shared" si="10"/>
        <v>1.0722009304576894</v>
      </c>
      <c r="O31" s="455" t="str">
        <f t="shared" si="11"/>
        <v xml:space="preserve">(2,1,1,2,1,1); </v>
      </c>
      <c r="P31" s="440">
        <v>0</v>
      </c>
      <c r="Q31" s="336">
        <v>1</v>
      </c>
      <c r="R31" s="337">
        <f t="shared" si="12"/>
        <v>1.0722009304576894</v>
      </c>
      <c r="S31" s="455" t="str">
        <f t="shared" si="13"/>
        <v xml:space="preserve">(2,1,1,2,1,1); </v>
      </c>
      <c r="T31" s="440">
        <v>0</v>
      </c>
      <c r="U31" s="336">
        <v>1</v>
      </c>
      <c r="V31" s="337">
        <f t="shared" si="14"/>
        <v>1.0722009304576894</v>
      </c>
      <c r="W31" s="455" t="str">
        <f t="shared" si="15"/>
        <v xml:space="preserve">(2,1,1,2,1,1); </v>
      </c>
      <c r="X31" s="440">
        <v>0</v>
      </c>
      <c r="Y31" s="336">
        <v>1</v>
      </c>
      <c r="Z31" s="337">
        <f t="shared" si="16"/>
        <v>1.0722009304576894</v>
      </c>
      <c r="AA31" s="437" t="str">
        <f t="shared" si="17"/>
        <v xml:space="preserve">(2,1,1,2,1,1); </v>
      </c>
      <c r="AB31" s="440">
        <v>0</v>
      </c>
      <c r="AC31" s="336">
        <v>1</v>
      </c>
      <c r="AD31" s="337">
        <f t="shared" si="18"/>
        <v>1.0722009304576894</v>
      </c>
      <c r="AE31" s="455" t="str">
        <f t="shared" si="19"/>
        <v xml:space="preserve">(2,1,1,2,1,1); </v>
      </c>
      <c r="AF31" s="440">
        <v>0</v>
      </c>
      <c r="AG31" s="336">
        <v>1</v>
      </c>
      <c r="AH31" s="337">
        <f t="shared" si="20"/>
        <v>1.0722009304576894</v>
      </c>
      <c r="AI31" s="455" t="str">
        <f t="shared" si="21"/>
        <v xml:space="preserve">(2,1,1,2,1,1); </v>
      </c>
      <c r="AJ31" s="440">
        <v>0</v>
      </c>
      <c r="AK31" s="336">
        <v>1</v>
      </c>
      <c r="AL31" s="337">
        <f t="shared" si="22"/>
        <v>1.0722009304576894</v>
      </c>
      <c r="AM31" s="455" t="str">
        <f t="shared" si="23"/>
        <v xml:space="preserve">(2,1,1,2,1,1); </v>
      </c>
      <c r="AN31" s="440">
        <v>0</v>
      </c>
      <c r="AO31" s="336">
        <v>1</v>
      </c>
      <c r="AP31" s="337">
        <f t="shared" si="24"/>
        <v>1.0722009304576894</v>
      </c>
      <c r="AQ31" s="437" t="str">
        <f t="shared" si="25"/>
        <v xml:space="preserve">(2,1,1,2,1,1); </v>
      </c>
      <c r="AR31" s="440">
        <v>6.8499999999999995E-4</v>
      </c>
      <c r="AS31" s="336">
        <v>1</v>
      </c>
      <c r="AT31" s="337">
        <f t="shared" si="26"/>
        <v>1.2434566510799234</v>
      </c>
      <c r="AU31" s="455" t="str">
        <f t="shared" si="27"/>
        <v>(2,4,1,3,1,5); Brailovsky (2026) GP 05 proxy for tissue paper</v>
      </c>
      <c r="AV31" s="440">
        <v>6.8499999999999995E-4</v>
      </c>
      <c r="AW31" s="336">
        <v>1</v>
      </c>
      <c r="AX31" s="337">
        <f t="shared" si="28"/>
        <v>1.2434566510799234</v>
      </c>
      <c r="AY31" s="437" t="str">
        <f t="shared" si="29"/>
        <v>(2,4,1,3,1,5); Brailovsky (2026) GP 05 proxy for tissue paper</v>
      </c>
      <c r="AZ31" s="338"/>
      <c r="BA31" s="440">
        <v>4.9799999999999996E-4</v>
      </c>
      <c r="BB31" s="440"/>
      <c r="BC31" s="216"/>
      <c r="BD31" s="83">
        <v>2</v>
      </c>
      <c r="BE31" s="83">
        <v>1</v>
      </c>
      <c r="BF31" s="83">
        <v>1</v>
      </c>
      <c r="BG31" s="83">
        <v>2</v>
      </c>
      <c r="BH31" s="83">
        <v>1</v>
      </c>
      <c r="BI31" s="83">
        <v>1</v>
      </c>
      <c r="BJ31" s="104">
        <v>3</v>
      </c>
      <c r="BK31" s="104">
        <v>1.05</v>
      </c>
      <c r="BL31" s="107">
        <f t="shared" si="30"/>
        <v>1.0510550504206344</v>
      </c>
      <c r="BM31" s="107">
        <f t="shared" si="31"/>
        <v>1.0722009304576894</v>
      </c>
      <c r="BN31" s="107" t="str">
        <f t="shared" si="32"/>
        <v>(2,1,1,2,1,1)</v>
      </c>
      <c r="BO31" s="108">
        <v>1.05</v>
      </c>
      <c r="BP31" s="108">
        <v>1</v>
      </c>
      <c r="BQ31" s="108">
        <v>1</v>
      </c>
      <c r="BR31" s="108">
        <v>1.01</v>
      </c>
      <c r="BS31" s="108">
        <v>1</v>
      </c>
      <c r="BT31" s="108">
        <v>1</v>
      </c>
      <c r="BV31" s="160" t="s">
        <v>960</v>
      </c>
      <c r="BW31" s="83">
        <v>2</v>
      </c>
      <c r="BX31" s="83">
        <v>4</v>
      </c>
      <c r="BY31" s="83">
        <v>1</v>
      </c>
      <c r="BZ31" s="83">
        <v>3</v>
      </c>
      <c r="CA31" s="83">
        <v>1</v>
      </c>
      <c r="CB31" s="83">
        <v>5</v>
      </c>
      <c r="CC31" s="104">
        <v>3</v>
      </c>
      <c r="CD31" s="104">
        <v>1.05</v>
      </c>
      <c r="CE31" s="107">
        <f t="shared" si="33"/>
        <v>1.2365959919080913</v>
      </c>
      <c r="CF31" s="107">
        <f t="shared" si="34"/>
        <v>1.2434566510799234</v>
      </c>
      <c r="CG31" s="107" t="str">
        <f t="shared" si="35"/>
        <v>(2,4,1,3,1,5)</v>
      </c>
      <c r="CH31" s="108">
        <v>1.05</v>
      </c>
      <c r="CI31" s="108">
        <v>1.1000000000000001</v>
      </c>
      <c r="CJ31" s="108">
        <v>1</v>
      </c>
      <c r="CK31" s="108">
        <v>1.02</v>
      </c>
      <c r="CL31" s="108">
        <v>1</v>
      </c>
      <c r="CM31" s="108">
        <v>1.2</v>
      </c>
    </row>
    <row r="32" spans="1:91" s="171" customFormat="1" hidden="1" outlineLevel="1" collapsed="1">
      <c r="A32" s="333">
        <v>263267</v>
      </c>
      <c r="B32" s="216"/>
      <c r="C32" s="334"/>
      <c r="D32" s="342">
        <v>5</v>
      </c>
      <c r="E32" s="343" t="s">
        <v>98</v>
      </c>
      <c r="F32" s="437" t="s">
        <v>474</v>
      </c>
      <c r="G32" s="438" t="s">
        <v>93</v>
      </c>
      <c r="H32" s="439" t="s">
        <v>98</v>
      </c>
      <c r="I32" s="439" t="s">
        <v>98</v>
      </c>
      <c r="J32" s="335">
        <v>0</v>
      </c>
      <c r="K32" s="438" t="s">
        <v>96</v>
      </c>
      <c r="L32" s="440">
        <f>AJ32</f>
        <v>3.7871359223300998E-5</v>
      </c>
      <c r="M32" s="336">
        <v>1</v>
      </c>
      <c r="N32" s="337">
        <f t="shared" si="10"/>
        <v>1.0722009304576894</v>
      </c>
      <c r="O32" s="455" t="str">
        <f t="shared" si="11"/>
        <v>(2,1,1,2,1,1); Industry data (French tender)</v>
      </c>
      <c r="P32" s="440">
        <v>1.1830867158671599E-3</v>
      </c>
      <c r="Q32" s="336">
        <v>1</v>
      </c>
      <c r="R32" s="337">
        <f t="shared" si="12"/>
        <v>1.0722009304576894</v>
      </c>
      <c r="S32" s="455" t="str">
        <f t="shared" si="13"/>
        <v>(2,1,1,2,1,1); Industry data (French tender)</v>
      </c>
      <c r="T32" s="440">
        <f>L32</f>
        <v>3.7871359223300998E-5</v>
      </c>
      <c r="U32" s="336">
        <v>1</v>
      </c>
      <c r="V32" s="337">
        <f t="shared" si="14"/>
        <v>1.0722009304576894</v>
      </c>
      <c r="W32" s="437" t="str">
        <f t="shared" si="15"/>
        <v>(2,1,1,2,1,1); Industry data (French tender)</v>
      </c>
      <c r="X32" s="440">
        <v>1.1830867158671599E-3</v>
      </c>
      <c r="Y32" s="336">
        <v>1</v>
      </c>
      <c r="Z32" s="337">
        <f t="shared" si="16"/>
        <v>1.0722009304576894</v>
      </c>
      <c r="AA32" s="437" t="str">
        <f t="shared" si="17"/>
        <v>(2,1,1,2,1,1); Industry data (French tender)</v>
      </c>
      <c r="AB32" s="440">
        <f>L32</f>
        <v>3.7871359223300998E-5</v>
      </c>
      <c r="AC32" s="336">
        <v>1</v>
      </c>
      <c r="AD32" s="337">
        <f t="shared" si="18"/>
        <v>1.0722009304576894</v>
      </c>
      <c r="AE32" s="455" t="str">
        <f t="shared" si="19"/>
        <v>(2,1,1,2,1,1); Industry data (French tender)</v>
      </c>
      <c r="AF32" s="440">
        <v>1.1830867158671599E-3</v>
      </c>
      <c r="AG32" s="336">
        <v>1</v>
      </c>
      <c r="AH32" s="337">
        <f t="shared" si="20"/>
        <v>1.0722009304576894</v>
      </c>
      <c r="AI32" s="455" t="str">
        <f t="shared" si="21"/>
        <v>(2,1,1,2,1,1); Industry data (French tender)</v>
      </c>
      <c r="AJ32" s="440">
        <f>BA32</f>
        <v>3.7871359223300998E-5</v>
      </c>
      <c r="AK32" s="336">
        <v>1</v>
      </c>
      <c r="AL32" s="337">
        <f t="shared" si="22"/>
        <v>1.0722009304576894</v>
      </c>
      <c r="AM32" s="455" t="str">
        <f t="shared" si="23"/>
        <v>(2,1,1,2,1,1); Industry data (French tender)</v>
      </c>
      <c r="AN32" s="440">
        <v>1.1830867158671599E-3</v>
      </c>
      <c r="AO32" s="336">
        <v>1</v>
      </c>
      <c r="AP32" s="337">
        <f t="shared" si="24"/>
        <v>1.0722009304576894</v>
      </c>
      <c r="AQ32" s="437" t="str">
        <f t="shared" si="25"/>
        <v>(2,1,1,2,1,1); Industry data (French tender)</v>
      </c>
      <c r="AR32" s="440">
        <v>0</v>
      </c>
      <c r="AS32" s="336">
        <v>1</v>
      </c>
      <c r="AT32" s="337">
        <f t="shared" si="26"/>
        <v>1.05</v>
      </c>
      <c r="AU32" s="455" t="str">
        <f t="shared" si="27"/>
        <v xml:space="preserve">(na,na,na,na,na,na); </v>
      </c>
      <c r="AV32" s="440">
        <v>0</v>
      </c>
      <c r="AW32" s="336">
        <v>1</v>
      </c>
      <c r="AX32" s="337">
        <f t="shared" si="28"/>
        <v>1.05</v>
      </c>
      <c r="AY32" s="437" t="str">
        <f t="shared" si="29"/>
        <v xml:space="preserve">(na,na,na,na,na,na); </v>
      </c>
      <c r="AZ32" s="338"/>
      <c r="BA32" s="440">
        <v>3.7871359223300998E-5</v>
      </c>
      <c r="BB32" s="440"/>
      <c r="BC32" s="216" t="s">
        <v>462</v>
      </c>
      <c r="BD32" s="83">
        <v>2</v>
      </c>
      <c r="BE32" s="83">
        <v>1</v>
      </c>
      <c r="BF32" s="83">
        <v>1</v>
      </c>
      <c r="BG32" s="83">
        <v>2</v>
      </c>
      <c r="BH32" s="83">
        <v>1</v>
      </c>
      <c r="BI32" s="83">
        <v>1</v>
      </c>
      <c r="BJ32" s="104">
        <v>3</v>
      </c>
      <c r="BK32" s="104">
        <v>1.05</v>
      </c>
      <c r="BL32" s="107">
        <f t="shared" si="30"/>
        <v>1.0510550504206344</v>
      </c>
      <c r="BM32" s="107">
        <f t="shared" si="31"/>
        <v>1.0722009304576894</v>
      </c>
      <c r="BN32" s="107" t="str">
        <f t="shared" si="32"/>
        <v>(2,1,1,2,1,1)</v>
      </c>
      <c r="BO32" s="108">
        <v>1.05</v>
      </c>
      <c r="BP32" s="108">
        <v>1</v>
      </c>
      <c r="BQ32" s="108">
        <v>1</v>
      </c>
      <c r="BR32" s="108">
        <v>1.01</v>
      </c>
      <c r="BS32" s="108">
        <v>1</v>
      </c>
      <c r="BT32" s="108">
        <v>1</v>
      </c>
      <c r="BV32" s="160"/>
      <c r="BW32" s="83" t="s">
        <v>106</v>
      </c>
      <c r="BX32" s="83" t="s">
        <v>106</v>
      </c>
      <c r="BY32" s="83" t="s">
        <v>106</v>
      </c>
      <c r="BZ32" s="83" t="s">
        <v>106</v>
      </c>
      <c r="CA32" s="83" t="s">
        <v>106</v>
      </c>
      <c r="CB32" s="83" t="s">
        <v>106</v>
      </c>
      <c r="CC32" s="104">
        <v>3</v>
      </c>
      <c r="CD32" s="104">
        <v>1.05</v>
      </c>
      <c r="CE32" s="107">
        <f t="shared" si="33"/>
        <v>1</v>
      </c>
      <c r="CF32" s="107">
        <f t="shared" si="34"/>
        <v>1.05</v>
      </c>
      <c r="CG32" s="107" t="str">
        <f t="shared" si="35"/>
        <v>(na,na,na,na,na,na)</v>
      </c>
      <c r="CH32" s="108">
        <v>1</v>
      </c>
      <c r="CI32" s="108">
        <v>1</v>
      </c>
      <c r="CJ32" s="108">
        <v>1</v>
      </c>
      <c r="CK32" s="108">
        <v>1</v>
      </c>
      <c r="CL32" s="108">
        <v>1</v>
      </c>
      <c r="CM32" s="108">
        <v>1</v>
      </c>
    </row>
    <row r="33" spans="1:91" s="171" customFormat="1" ht="24" collapsed="1">
      <c r="A33" s="333">
        <v>265171</v>
      </c>
      <c r="B33" s="216" t="s">
        <v>961</v>
      </c>
      <c r="C33" s="334"/>
      <c r="D33" s="342">
        <v>5</v>
      </c>
      <c r="E33" s="343" t="s">
        <v>98</v>
      </c>
      <c r="F33" s="437" t="s">
        <v>962</v>
      </c>
      <c r="G33" s="438" t="s">
        <v>93</v>
      </c>
      <c r="H33" s="439" t="s">
        <v>98</v>
      </c>
      <c r="I33" s="439" t="s">
        <v>98</v>
      </c>
      <c r="J33" s="335">
        <v>0</v>
      </c>
      <c r="K33" s="438" t="s">
        <v>96</v>
      </c>
      <c r="L33" s="440">
        <f>L31</f>
        <v>0</v>
      </c>
      <c r="M33" s="336">
        <v>1</v>
      </c>
      <c r="N33" s="337">
        <f t="shared" si="10"/>
        <v>1.05</v>
      </c>
      <c r="O33" s="455" t="str">
        <f t="shared" si="11"/>
        <v>(na,na,na,na,na,na); Manufacturing of steel screen for front- and backside printing</v>
      </c>
      <c r="P33" s="440">
        <f>P31</f>
        <v>0</v>
      </c>
      <c r="Q33" s="336">
        <v>1</v>
      </c>
      <c r="R33" s="337">
        <f t="shared" si="12"/>
        <v>1.05</v>
      </c>
      <c r="S33" s="455" t="str">
        <f t="shared" si="13"/>
        <v>(na,na,na,na,na,na); Manufacturing of steel screen for front- and backside printing</v>
      </c>
      <c r="T33" s="440">
        <f>T31</f>
        <v>0</v>
      </c>
      <c r="U33" s="336">
        <v>1</v>
      </c>
      <c r="V33" s="337">
        <f t="shared" si="14"/>
        <v>1.05</v>
      </c>
      <c r="W33" s="455" t="str">
        <f t="shared" si="15"/>
        <v>(na,na,na,na,na,na); Manufacturing of steel screen for front- and backside printing</v>
      </c>
      <c r="X33" s="440">
        <f>X31</f>
        <v>0</v>
      </c>
      <c r="Y33" s="336">
        <v>1</v>
      </c>
      <c r="Z33" s="337">
        <f t="shared" si="16"/>
        <v>1.05</v>
      </c>
      <c r="AA33" s="437" t="str">
        <f t="shared" si="17"/>
        <v>(na,na,na,na,na,na); Manufacturing of steel screen for front- and backside printing</v>
      </c>
      <c r="AB33" s="440">
        <f>AB31</f>
        <v>0</v>
      </c>
      <c r="AC33" s="336">
        <v>1</v>
      </c>
      <c r="AD33" s="337">
        <f t="shared" si="18"/>
        <v>1.05</v>
      </c>
      <c r="AE33" s="455" t="str">
        <f t="shared" si="19"/>
        <v>(na,na,na,na,na,na); Manufacturing of steel screen for front- and backside printing</v>
      </c>
      <c r="AF33" s="440">
        <f>AF31</f>
        <v>0</v>
      </c>
      <c r="AG33" s="336">
        <v>1</v>
      </c>
      <c r="AH33" s="337">
        <f t="shared" si="20"/>
        <v>1.05</v>
      </c>
      <c r="AI33" s="455" t="str">
        <f t="shared" si="21"/>
        <v>(na,na,na,na,na,na); Manufacturing of steel screen for front- and backside printing</v>
      </c>
      <c r="AJ33" s="440">
        <f>AJ31</f>
        <v>0</v>
      </c>
      <c r="AK33" s="336">
        <v>1</v>
      </c>
      <c r="AL33" s="337">
        <f t="shared" si="22"/>
        <v>1.05</v>
      </c>
      <c r="AM33" s="455" t="str">
        <f t="shared" si="23"/>
        <v>(na,na,na,na,na,na); Manufacturing of steel screen for front- and backside printing</v>
      </c>
      <c r="AN33" s="440">
        <f>AN31</f>
        <v>0</v>
      </c>
      <c r="AO33" s="336">
        <v>1</v>
      </c>
      <c r="AP33" s="337">
        <f t="shared" si="24"/>
        <v>1.05</v>
      </c>
      <c r="AQ33" s="437" t="str">
        <f t="shared" si="25"/>
        <v>(na,na,na,na,na,na); Manufacturing of steel screen for front- and backside printing</v>
      </c>
      <c r="AR33" s="440">
        <f>AR31</f>
        <v>6.8499999999999995E-4</v>
      </c>
      <c r="AS33" s="336">
        <v>1</v>
      </c>
      <c r="AT33" s="337">
        <f t="shared" si="26"/>
        <v>1.2434566510799234</v>
      </c>
      <c r="AU33" s="455" t="str">
        <f t="shared" si="27"/>
        <v>(2,4,1,3,1,5); Brailovsky (2026) GP 05 iso wire drawing; manufacturing of screen for grid printing</v>
      </c>
      <c r="AV33" s="440">
        <f>AV31</f>
        <v>6.8499999999999995E-4</v>
      </c>
      <c r="AW33" s="336">
        <v>1</v>
      </c>
      <c r="AX33" s="337">
        <f t="shared" si="28"/>
        <v>1.2434566510799234</v>
      </c>
      <c r="AY33" s="437" t="str">
        <f t="shared" si="29"/>
        <v>(2,4,1,3,1,5); Brailovsky (2026) GP 05 iso wire drawing; manufacturing of screen for grid printing</v>
      </c>
      <c r="AZ33" s="338"/>
      <c r="BA33" s="440">
        <f>BA31</f>
        <v>4.9799999999999996E-4</v>
      </c>
      <c r="BB33" s="440"/>
      <c r="BC33" s="216" t="s">
        <v>963</v>
      </c>
      <c r="BD33" s="83" t="s">
        <v>106</v>
      </c>
      <c r="BE33" s="83" t="s">
        <v>106</v>
      </c>
      <c r="BF33" s="83" t="s">
        <v>106</v>
      </c>
      <c r="BG33" s="83" t="s">
        <v>106</v>
      </c>
      <c r="BH33" s="83" t="s">
        <v>106</v>
      </c>
      <c r="BI33" s="83" t="s">
        <v>106</v>
      </c>
      <c r="BJ33" s="104">
        <v>3</v>
      </c>
      <c r="BK33" s="104">
        <v>1.05</v>
      </c>
      <c r="BL33" s="107">
        <f t="shared" si="30"/>
        <v>1</v>
      </c>
      <c r="BM33" s="107">
        <f t="shared" si="31"/>
        <v>1.05</v>
      </c>
      <c r="BN33" s="107" t="str">
        <f t="shared" si="32"/>
        <v>(na,na,na,na,na,na)</v>
      </c>
      <c r="BO33" s="108">
        <v>1</v>
      </c>
      <c r="BP33" s="108">
        <v>1</v>
      </c>
      <c r="BQ33" s="108">
        <v>1</v>
      </c>
      <c r="BR33" s="108">
        <v>1</v>
      </c>
      <c r="BS33" s="108">
        <v>1</v>
      </c>
      <c r="BT33" s="108">
        <v>1</v>
      </c>
      <c r="BV33" s="160" t="s">
        <v>964</v>
      </c>
      <c r="BW33" s="83">
        <v>2</v>
      </c>
      <c r="BX33" s="83">
        <v>4</v>
      </c>
      <c r="BY33" s="83">
        <v>1</v>
      </c>
      <c r="BZ33" s="83">
        <v>3</v>
      </c>
      <c r="CA33" s="83">
        <v>1</v>
      </c>
      <c r="CB33" s="83">
        <v>5</v>
      </c>
      <c r="CC33" s="104">
        <v>3</v>
      </c>
      <c r="CD33" s="104">
        <v>1.05</v>
      </c>
      <c r="CE33" s="107">
        <f t="shared" si="33"/>
        <v>1.2365959919080913</v>
      </c>
      <c r="CF33" s="107">
        <f t="shared" si="34"/>
        <v>1.2434566510799234</v>
      </c>
      <c r="CG33" s="107" t="str">
        <f t="shared" si="35"/>
        <v>(2,4,1,3,1,5)</v>
      </c>
      <c r="CH33" s="108">
        <v>1.05</v>
      </c>
      <c r="CI33" s="108">
        <v>1.1000000000000001</v>
      </c>
      <c r="CJ33" s="108">
        <v>1</v>
      </c>
      <c r="CK33" s="108">
        <v>1.02</v>
      </c>
      <c r="CL33" s="108">
        <v>1</v>
      </c>
      <c r="CM33" s="108">
        <v>1.2</v>
      </c>
    </row>
    <row r="34" spans="1:91" s="171" customFormat="1" ht="24" collapsed="1">
      <c r="A34" s="333">
        <v>260534</v>
      </c>
      <c r="B34" s="216" t="s">
        <v>491</v>
      </c>
      <c r="C34" s="334"/>
      <c r="D34" s="342">
        <v>5</v>
      </c>
      <c r="E34" s="343" t="s">
        <v>98</v>
      </c>
      <c r="F34" s="437" t="s">
        <v>495</v>
      </c>
      <c r="G34" s="438" t="s">
        <v>93</v>
      </c>
      <c r="H34" s="439" t="s">
        <v>98</v>
      </c>
      <c r="I34" s="439" t="s">
        <v>98</v>
      </c>
      <c r="J34" s="335">
        <v>0</v>
      </c>
      <c r="K34" s="438" t="s">
        <v>96</v>
      </c>
      <c r="L34" s="440">
        <f>AJ34</f>
        <v>2.7817075404530701E-2</v>
      </c>
      <c r="M34" s="336">
        <v>1</v>
      </c>
      <c r="N34" s="337">
        <f t="shared" si="10"/>
        <v>1.0722009304576894</v>
      </c>
      <c r="O34" s="455" t="str">
        <f t="shared" si="11"/>
        <v>(2,1,1,2,1,1); Industry data (French tender)</v>
      </c>
      <c r="P34" s="440">
        <v>1.95730479704797E-2</v>
      </c>
      <c r="Q34" s="336">
        <v>1</v>
      </c>
      <c r="R34" s="337">
        <f t="shared" si="12"/>
        <v>1.0722009304576894</v>
      </c>
      <c r="S34" s="455" t="str">
        <f t="shared" si="13"/>
        <v>(2,1,1,2,1,1); Industry data (French tender)</v>
      </c>
      <c r="T34" s="440">
        <f>L34</f>
        <v>2.7817075404530701E-2</v>
      </c>
      <c r="U34" s="336">
        <v>1</v>
      </c>
      <c r="V34" s="337">
        <f t="shared" si="14"/>
        <v>1.0722009304576894</v>
      </c>
      <c r="W34" s="437" t="str">
        <f t="shared" si="15"/>
        <v>(2,1,1,2,1,1); Industry data (French tender)</v>
      </c>
      <c r="X34" s="440">
        <v>1.95730479704797E-2</v>
      </c>
      <c r="Y34" s="336">
        <v>1</v>
      </c>
      <c r="Z34" s="337">
        <f t="shared" si="16"/>
        <v>1.0722009304576894</v>
      </c>
      <c r="AA34" s="437" t="str">
        <f t="shared" si="17"/>
        <v>(2,1,1,2,1,1); Industry data (French tender)</v>
      </c>
      <c r="AB34" s="440">
        <f>L34</f>
        <v>2.7817075404530701E-2</v>
      </c>
      <c r="AC34" s="336">
        <v>1</v>
      </c>
      <c r="AD34" s="337">
        <f t="shared" si="18"/>
        <v>1.0722009304576894</v>
      </c>
      <c r="AE34" s="455" t="str">
        <f t="shared" si="19"/>
        <v>(2,1,1,2,1,1); Industry data (French tender)</v>
      </c>
      <c r="AF34" s="440">
        <v>1.95730479704797E-2</v>
      </c>
      <c r="AG34" s="336">
        <v>1</v>
      </c>
      <c r="AH34" s="337">
        <f t="shared" si="20"/>
        <v>1.0722009304576894</v>
      </c>
      <c r="AI34" s="455" t="str">
        <f t="shared" si="21"/>
        <v>(2,1,1,2,1,1); Industry data (French tender)</v>
      </c>
      <c r="AJ34" s="440">
        <f>BA34</f>
        <v>2.7817075404530701E-2</v>
      </c>
      <c r="AK34" s="336">
        <v>1</v>
      </c>
      <c r="AL34" s="337">
        <f t="shared" si="22"/>
        <v>1.0722009304576894</v>
      </c>
      <c r="AM34" s="455" t="str">
        <f t="shared" si="23"/>
        <v>(2,1,1,2,1,1); Industry data (French tender)</v>
      </c>
      <c r="AN34" s="440">
        <v>1.95730479704797E-2</v>
      </c>
      <c r="AO34" s="336">
        <v>1</v>
      </c>
      <c r="AP34" s="337">
        <f t="shared" si="24"/>
        <v>1.0722009304576894</v>
      </c>
      <c r="AQ34" s="437" t="str">
        <f t="shared" si="25"/>
        <v>(2,1,1,2,1,1); Industry data (French tender)</v>
      </c>
      <c r="AR34" s="440">
        <v>7.0800000000000004E-3</v>
      </c>
      <c r="AS34" s="336">
        <v>1</v>
      </c>
      <c r="AT34" s="337">
        <f t="shared" si="26"/>
        <v>1.2434566510799234</v>
      </c>
      <c r="AU34" s="455" t="str">
        <f t="shared" si="27"/>
        <v>(2,4,1,3,1,5); Brailovsky (2026) GP 05</v>
      </c>
      <c r="AV34" s="440">
        <v>7.0800000000000004E-3</v>
      </c>
      <c r="AW34" s="336">
        <v>1</v>
      </c>
      <c r="AX34" s="337">
        <f t="shared" si="28"/>
        <v>1.2434566510799234</v>
      </c>
      <c r="AY34" s="437" t="str">
        <f t="shared" si="29"/>
        <v>(2,4,1,3,1,5); Brailovsky (2026) GP 05</v>
      </c>
      <c r="AZ34" s="338"/>
      <c r="BA34" s="440">
        <v>2.7817075404530701E-2</v>
      </c>
      <c r="BB34" s="440"/>
      <c r="BC34" s="216" t="s">
        <v>462</v>
      </c>
      <c r="BD34" s="83">
        <v>2</v>
      </c>
      <c r="BE34" s="83">
        <v>1</v>
      </c>
      <c r="BF34" s="83">
        <v>1</v>
      </c>
      <c r="BG34" s="83">
        <v>2</v>
      </c>
      <c r="BH34" s="83">
        <v>1</v>
      </c>
      <c r="BI34" s="83">
        <v>1</v>
      </c>
      <c r="BJ34" s="104">
        <v>3</v>
      </c>
      <c r="BK34" s="104">
        <v>1.05</v>
      </c>
      <c r="BL34" s="107">
        <f t="shared" si="30"/>
        <v>1.0510550504206344</v>
      </c>
      <c r="BM34" s="107">
        <f t="shared" si="31"/>
        <v>1.0722009304576894</v>
      </c>
      <c r="BN34" s="107" t="str">
        <f t="shared" si="32"/>
        <v>(2,1,1,2,1,1)</v>
      </c>
      <c r="BO34" s="108">
        <v>1.05</v>
      </c>
      <c r="BP34" s="108">
        <v>1</v>
      </c>
      <c r="BQ34" s="108">
        <v>1</v>
      </c>
      <c r="BR34" s="108">
        <v>1.01</v>
      </c>
      <c r="BS34" s="108">
        <v>1</v>
      </c>
      <c r="BT34" s="108">
        <v>1</v>
      </c>
      <c r="BV34" s="160" t="s">
        <v>954</v>
      </c>
      <c r="BW34" s="83">
        <v>2</v>
      </c>
      <c r="BX34" s="83">
        <v>4</v>
      </c>
      <c r="BY34" s="83">
        <v>1</v>
      </c>
      <c r="BZ34" s="83">
        <v>3</v>
      </c>
      <c r="CA34" s="83">
        <v>1</v>
      </c>
      <c r="CB34" s="83">
        <v>5</v>
      </c>
      <c r="CC34" s="104">
        <v>3</v>
      </c>
      <c r="CD34" s="104">
        <v>1.05</v>
      </c>
      <c r="CE34" s="107">
        <f t="shared" si="33"/>
        <v>1.2365959919080913</v>
      </c>
      <c r="CF34" s="107">
        <f t="shared" si="34"/>
        <v>1.2434566510799234</v>
      </c>
      <c r="CG34" s="107" t="str">
        <f t="shared" si="35"/>
        <v>(2,4,1,3,1,5)</v>
      </c>
      <c r="CH34" s="108">
        <v>1.05</v>
      </c>
      <c r="CI34" s="108">
        <v>1.1000000000000001</v>
      </c>
      <c r="CJ34" s="108">
        <v>1</v>
      </c>
      <c r="CK34" s="108">
        <v>1.02</v>
      </c>
      <c r="CL34" s="108">
        <v>1</v>
      </c>
      <c r="CM34" s="108">
        <v>1.2</v>
      </c>
    </row>
    <row r="35" spans="1:91" s="171" customFormat="1">
      <c r="A35" s="333">
        <v>269327</v>
      </c>
      <c r="B35" s="216"/>
      <c r="C35" s="334"/>
      <c r="D35" s="342">
        <v>5</v>
      </c>
      <c r="E35" s="343" t="s">
        <v>98</v>
      </c>
      <c r="F35" s="437" t="s">
        <v>492</v>
      </c>
      <c r="G35" s="438" t="s">
        <v>93</v>
      </c>
      <c r="H35" s="439" t="s">
        <v>98</v>
      </c>
      <c r="I35" s="439" t="s">
        <v>98</v>
      </c>
      <c r="J35" s="335">
        <v>0</v>
      </c>
      <c r="K35" s="438" t="s">
        <v>96</v>
      </c>
      <c r="L35" s="440">
        <f>AJ35</f>
        <v>4.8547117799352821E-2</v>
      </c>
      <c r="M35" s="336">
        <v>1</v>
      </c>
      <c r="N35" s="337">
        <f t="shared" si="10"/>
        <v>1.0722009304576894</v>
      </c>
      <c r="O35" s="455" t="str">
        <f t="shared" si="11"/>
        <v>(2,1,1,2,1,1); Industry data (French tender) plastic pallet + plastic total</v>
      </c>
      <c r="P35" s="440">
        <v>1.7253874538745401E-2</v>
      </c>
      <c r="Q35" s="336">
        <v>1</v>
      </c>
      <c r="R35" s="337">
        <f t="shared" si="12"/>
        <v>1.0722009304576894</v>
      </c>
      <c r="S35" s="455" t="str">
        <f t="shared" si="13"/>
        <v>(2,1,1,2,1,1); Industry data (French tender) plastic pallet + plastic total</v>
      </c>
      <c r="T35" s="440">
        <f>L35</f>
        <v>4.8547117799352821E-2</v>
      </c>
      <c r="U35" s="336">
        <v>1</v>
      </c>
      <c r="V35" s="337">
        <f t="shared" si="14"/>
        <v>1.0722009304576894</v>
      </c>
      <c r="W35" s="437" t="str">
        <f t="shared" si="15"/>
        <v>(2,1,1,2,1,1); Industry data (French tender) plastic pallet + plastic total</v>
      </c>
      <c r="X35" s="440">
        <v>1.7253874538745401E-2</v>
      </c>
      <c r="Y35" s="336">
        <v>1</v>
      </c>
      <c r="Z35" s="337">
        <f t="shared" si="16"/>
        <v>1.0722009304576894</v>
      </c>
      <c r="AA35" s="437" t="str">
        <f t="shared" si="17"/>
        <v>(2,1,1,2,1,1); Industry data (French tender) plastic pallet + plastic total</v>
      </c>
      <c r="AB35" s="440">
        <f>L35</f>
        <v>4.8547117799352821E-2</v>
      </c>
      <c r="AC35" s="336">
        <v>1</v>
      </c>
      <c r="AD35" s="337">
        <f t="shared" si="18"/>
        <v>1.0722009304576894</v>
      </c>
      <c r="AE35" s="455" t="str">
        <f t="shared" si="19"/>
        <v>(2,1,1,2,1,1); Industry data (French tender) plastic pallet + plastic total</v>
      </c>
      <c r="AF35" s="440">
        <v>1.7253874538745401E-2</v>
      </c>
      <c r="AG35" s="336">
        <v>1</v>
      </c>
      <c r="AH35" s="337">
        <f t="shared" si="20"/>
        <v>1.0722009304576894</v>
      </c>
      <c r="AI35" s="455" t="str">
        <f t="shared" si="21"/>
        <v>(2,1,1,2,1,1); Industry data (French tender) plastic pallet + plastic total</v>
      </c>
      <c r="AJ35" s="440">
        <f>BA35</f>
        <v>4.8547117799352821E-2</v>
      </c>
      <c r="AK35" s="336">
        <v>1</v>
      </c>
      <c r="AL35" s="337">
        <f t="shared" si="22"/>
        <v>1.0722009304576894</v>
      </c>
      <c r="AM35" s="455" t="str">
        <f t="shared" si="23"/>
        <v>(2,1,1,2,1,1); Industry data (French tender) plastic pallet + plastic total</v>
      </c>
      <c r="AN35" s="440">
        <v>1.7253874538745401E-2</v>
      </c>
      <c r="AO35" s="336">
        <v>1</v>
      </c>
      <c r="AP35" s="337">
        <f t="shared" si="24"/>
        <v>1.0722009304576894</v>
      </c>
      <c r="AQ35" s="437" t="str">
        <f t="shared" si="25"/>
        <v>(2,1,1,2,1,1); Industry data (French tender) plastic pallet + plastic total</v>
      </c>
      <c r="AR35" s="440">
        <v>0</v>
      </c>
      <c r="AS35" s="336">
        <v>1</v>
      </c>
      <c r="AT35" s="337">
        <f t="shared" si="26"/>
        <v>1.05</v>
      </c>
      <c r="AU35" s="455" t="str">
        <f t="shared" si="27"/>
        <v xml:space="preserve">(na,na,na,na,na,na); </v>
      </c>
      <c r="AV35" s="440">
        <v>0</v>
      </c>
      <c r="AW35" s="336">
        <v>1</v>
      </c>
      <c r="AX35" s="337">
        <f t="shared" si="28"/>
        <v>1.05</v>
      </c>
      <c r="AY35" s="437" t="str">
        <f t="shared" si="29"/>
        <v xml:space="preserve">(na,na,na,na,na,na); </v>
      </c>
      <c r="AZ35" s="338"/>
      <c r="BA35" s="440">
        <f>0.00793139158576052+0.0406157262135923</f>
        <v>4.8547117799352821E-2</v>
      </c>
      <c r="BB35" s="440"/>
      <c r="BC35" s="216" t="s">
        <v>965</v>
      </c>
      <c r="BD35" s="83">
        <v>2</v>
      </c>
      <c r="BE35" s="83">
        <v>1</v>
      </c>
      <c r="BF35" s="83">
        <v>1</v>
      </c>
      <c r="BG35" s="83">
        <v>2</v>
      </c>
      <c r="BH35" s="83">
        <v>1</v>
      </c>
      <c r="BI35" s="83">
        <v>1</v>
      </c>
      <c r="BJ35" s="104">
        <v>3</v>
      </c>
      <c r="BK35" s="104">
        <v>1.05</v>
      </c>
      <c r="BL35" s="107">
        <f t="shared" si="30"/>
        <v>1.0510550504206344</v>
      </c>
      <c r="BM35" s="107">
        <f t="shared" si="31"/>
        <v>1.0722009304576894</v>
      </c>
      <c r="BN35" s="107" t="str">
        <f t="shared" si="32"/>
        <v>(2,1,1,2,1,1)</v>
      </c>
      <c r="BO35" s="108">
        <v>1.05</v>
      </c>
      <c r="BP35" s="108">
        <v>1</v>
      </c>
      <c r="BQ35" s="108">
        <v>1</v>
      </c>
      <c r="BR35" s="108">
        <v>1.01</v>
      </c>
      <c r="BS35" s="108">
        <v>1</v>
      </c>
      <c r="BT35" s="108">
        <v>1</v>
      </c>
      <c r="BV35" s="160"/>
      <c r="BW35" s="83" t="s">
        <v>106</v>
      </c>
      <c r="BX35" s="83" t="s">
        <v>106</v>
      </c>
      <c r="BY35" s="83" t="s">
        <v>106</v>
      </c>
      <c r="BZ35" s="83" t="s">
        <v>106</v>
      </c>
      <c r="CA35" s="83" t="s">
        <v>106</v>
      </c>
      <c r="CB35" s="83" t="s">
        <v>106</v>
      </c>
      <c r="CC35" s="104">
        <v>3</v>
      </c>
      <c r="CD35" s="104">
        <v>1.05</v>
      </c>
      <c r="CE35" s="107">
        <f t="shared" si="33"/>
        <v>1</v>
      </c>
      <c r="CF35" s="107">
        <f t="shared" si="34"/>
        <v>1.05</v>
      </c>
      <c r="CG35" s="107" t="str">
        <f t="shared" si="35"/>
        <v>(na,na,na,na,na,na)</v>
      </c>
      <c r="CH35" s="108">
        <v>1</v>
      </c>
      <c r="CI35" s="108">
        <v>1</v>
      </c>
      <c r="CJ35" s="108">
        <v>1</v>
      </c>
      <c r="CK35" s="108">
        <v>1</v>
      </c>
      <c r="CL35" s="108">
        <v>1</v>
      </c>
      <c r="CM35" s="108">
        <v>1</v>
      </c>
    </row>
    <row r="36" spans="1:91" s="171" customFormat="1">
      <c r="A36" s="333">
        <v>269451</v>
      </c>
      <c r="B36" s="216"/>
      <c r="C36" s="334"/>
      <c r="D36" s="342">
        <v>5</v>
      </c>
      <c r="E36" s="343" t="s">
        <v>98</v>
      </c>
      <c r="F36" s="437" t="s">
        <v>966</v>
      </c>
      <c r="G36" s="438" t="s">
        <v>93</v>
      </c>
      <c r="H36" s="439" t="s">
        <v>98</v>
      </c>
      <c r="I36" s="439" t="s">
        <v>98</v>
      </c>
      <c r="J36" s="335">
        <v>0</v>
      </c>
      <c r="K36" s="438" t="s">
        <v>96</v>
      </c>
      <c r="L36" s="440">
        <v>0</v>
      </c>
      <c r="M36" s="336">
        <v>1</v>
      </c>
      <c r="N36" s="337">
        <f t="shared" si="10"/>
        <v>1.0722009304576894</v>
      </c>
      <c r="O36" s="455" t="str">
        <f t="shared" si="11"/>
        <v xml:space="preserve">(2,1,1,2,1,1); </v>
      </c>
      <c r="P36" s="440">
        <v>0</v>
      </c>
      <c r="Q36" s="336">
        <v>1</v>
      </c>
      <c r="R36" s="337">
        <f t="shared" si="12"/>
        <v>1.0722009304576894</v>
      </c>
      <c r="S36" s="455" t="str">
        <f t="shared" si="13"/>
        <v xml:space="preserve">(2,1,1,2,1,1); </v>
      </c>
      <c r="T36" s="440">
        <v>0</v>
      </c>
      <c r="U36" s="336">
        <v>1</v>
      </c>
      <c r="V36" s="337">
        <f t="shared" si="14"/>
        <v>1.0722009304576894</v>
      </c>
      <c r="W36" s="437" t="str">
        <f t="shared" si="15"/>
        <v xml:space="preserve">(2,1,1,2,1,1); </v>
      </c>
      <c r="X36" s="440">
        <v>0</v>
      </c>
      <c r="Y36" s="336">
        <v>1</v>
      </c>
      <c r="Z36" s="337">
        <f t="shared" si="16"/>
        <v>1.0722009304576894</v>
      </c>
      <c r="AA36" s="437" t="str">
        <f t="shared" si="17"/>
        <v xml:space="preserve">(2,1,1,2,1,1); </v>
      </c>
      <c r="AB36" s="440">
        <v>0</v>
      </c>
      <c r="AC36" s="336">
        <v>1</v>
      </c>
      <c r="AD36" s="337">
        <f t="shared" si="18"/>
        <v>1.0722009304576894</v>
      </c>
      <c r="AE36" s="455" t="str">
        <f t="shared" si="19"/>
        <v xml:space="preserve">(2,1,1,2,1,1); </v>
      </c>
      <c r="AF36" s="440">
        <v>0</v>
      </c>
      <c r="AG36" s="336">
        <v>1</v>
      </c>
      <c r="AH36" s="337">
        <f t="shared" si="20"/>
        <v>1.0722009304576894</v>
      </c>
      <c r="AI36" s="455" t="str">
        <f t="shared" si="21"/>
        <v xml:space="preserve">(2,1,1,2,1,1); </v>
      </c>
      <c r="AJ36" s="440">
        <v>0</v>
      </c>
      <c r="AK36" s="336">
        <v>1</v>
      </c>
      <c r="AL36" s="337">
        <f t="shared" si="22"/>
        <v>1.0722009304576894</v>
      </c>
      <c r="AM36" s="455" t="str">
        <f t="shared" si="23"/>
        <v xml:space="preserve">(2,1,1,2,1,1); </v>
      </c>
      <c r="AN36" s="440">
        <v>0</v>
      </c>
      <c r="AO36" s="336">
        <v>1</v>
      </c>
      <c r="AP36" s="337">
        <f t="shared" si="24"/>
        <v>1.0722009304576894</v>
      </c>
      <c r="AQ36" s="437" t="str">
        <f t="shared" si="25"/>
        <v xml:space="preserve">(2,1,1,2,1,1); </v>
      </c>
      <c r="AR36" s="440">
        <v>8.8499999999999996E-5</v>
      </c>
      <c r="AS36" s="336">
        <v>1</v>
      </c>
      <c r="AT36" s="337">
        <f t="shared" si="26"/>
        <v>1.2434566510799234</v>
      </c>
      <c r="AU36" s="455" t="str">
        <f t="shared" si="27"/>
        <v>(2,4,1,3,1,5); Brailovsky (2026) GP 05</v>
      </c>
      <c r="AV36" s="440">
        <v>8.8499999999999996E-5</v>
      </c>
      <c r="AW36" s="336">
        <v>1</v>
      </c>
      <c r="AX36" s="337">
        <f t="shared" si="28"/>
        <v>1.2434566510799234</v>
      </c>
      <c r="AY36" s="437" t="str">
        <f t="shared" si="29"/>
        <v>(2,4,1,3,1,5); Brailovsky (2026) GP 05</v>
      </c>
      <c r="AZ36" s="338"/>
      <c r="BA36" s="440">
        <f>0.00793139158576052+0.0406157262135923</f>
        <v>4.8547117799352821E-2</v>
      </c>
      <c r="BB36" s="440"/>
      <c r="BC36" s="216"/>
      <c r="BD36" s="83">
        <v>2</v>
      </c>
      <c r="BE36" s="83">
        <v>1</v>
      </c>
      <c r="BF36" s="83">
        <v>1</v>
      </c>
      <c r="BG36" s="83">
        <v>2</v>
      </c>
      <c r="BH36" s="83">
        <v>1</v>
      </c>
      <c r="BI36" s="83">
        <v>1</v>
      </c>
      <c r="BJ36" s="104">
        <v>3</v>
      </c>
      <c r="BK36" s="104">
        <v>1.05</v>
      </c>
      <c r="BL36" s="107">
        <f t="shared" si="30"/>
        <v>1.0510550504206344</v>
      </c>
      <c r="BM36" s="107">
        <f t="shared" si="31"/>
        <v>1.0722009304576894</v>
      </c>
      <c r="BN36" s="107" t="str">
        <f t="shared" si="32"/>
        <v>(2,1,1,2,1,1)</v>
      </c>
      <c r="BO36" s="108">
        <v>1.05</v>
      </c>
      <c r="BP36" s="108">
        <v>1</v>
      </c>
      <c r="BQ36" s="108">
        <v>1</v>
      </c>
      <c r="BR36" s="108">
        <v>1.01</v>
      </c>
      <c r="BS36" s="108">
        <v>1</v>
      </c>
      <c r="BT36" s="108">
        <v>1</v>
      </c>
      <c r="BV36" s="160" t="s">
        <v>954</v>
      </c>
      <c r="BW36" s="83">
        <v>2</v>
      </c>
      <c r="BX36" s="83">
        <v>4</v>
      </c>
      <c r="BY36" s="83">
        <v>1</v>
      </c>
      <c r="BZ36" s="83">
        <v>3</v>
      </c>
      <c r="CA36" s="83">
        <v>1</v>
      </c>
      <c r="CB36" s="83">
        <v>5</v>
      </c>
      <c r="CC36" s="104">
        <v>3</v>
      </c>
      <c r="CD36" s="104">
        <v>1.05</v>
      </c>
      <c r="CE36" s="107">
        <f t="shared" si="33"/>
        <v>1.2365959919080913</v>
      </c>
      <c r="CF36" s="107">
        <f t="shared" si="34"/>
        <v>1.2434566510799234</v>
      </c>
      <c r="CG36" s="107" t="str">
        <f t="shared" si="35"/>
        <v>(2,4,1,3,1,5)</v>
      </c>
      <c r="CH36" s="108">
        <v>1.05</v>
      </c>
      <c r="CI36" s="108">
        <v>1.1000000000000001</v>
      </c>
      <c r="CJ36" s="108">
        <v>1</v>
      </c>
      <c r="CK36" s="108">
        <v>1.02</v>
      </c>
      <c r="CL36" s="108">
        <v>1</v>
      </c>
      <c r="CM36" s="108">
        <v>1.2</v>
      </c>
    </row>
    <row r="37" spans="1:91" s="171" customFormat="1" collapsed="1">
      <c r="A37" s="333">
        <v>269335</v>
      </c>
      <c r="B37" s="216"/>
      <c r="C37" s="334"/>
      <c r="D37" s="342">
        <v>5</v>
      </c>
      <c r="E37" s="343" t="s">
        <v>98</v>
      </c>
      <c r="F37" s="437" t="s">
        <v>493</v>
      </c>
      <c r="G37" s="438" t="s">
        <v>93</v>
      </c>
      <c r="H37" s="439" t="s">
        <v>98</v>
      </c>
      <c r="I37" s="439" t="s">
        <v>98</v>
      </c>
      <c r="J37" s="335">
        <v>0</v>
      </c>
      <c r="K37" s="438" t="s">
        <v>144</v>
      </c>
      <c r="L37" s="440">
        <f>AJ37</f>
        <v>4.1937432578209198E-4</v>
      </c>
      <c r="M37" s="336">
        <v>1</v>
      </c>
      <c r="N37" s="337">
        <f t="shared" si="10"/>
        <v>1.0722009304576894</v>
      </c>
      <c r="O37" s="455" t="str">
        <f t="shared" si="11"/>
        <v>(2,1,1,2,1,1); Industry data (French tender) 1p pallet = 25kg</v>
      </c>
      <c r="P37" s="440">
        <f>0.0102113726937269/25</f>
        <v>4.0845490774907604E-4</v>
      </c>
      <c r="Q37" s="336">
        <v>1</v>
      </c>
      <c r="R37" s="337">
        <f t="shared" si="12"/>
        <v>1.0722009304576894</v>
      </c>
      <c r="S37" s="455" t="str">
        <f t="shared" si="13"/>
        <v>(2,1,1,2,1,1); Industry data (French tender) 1p pallet = 25kg</v>
      </c>
      <c r="T37" s="440">
        <f>L37</f>
        <v>4.1937432578209198E-4</v>
      </c>
      <c r="U37" s="336">
        <v>1</v>
      </c>
      <c r="V37" s="337">
        <f t="shared" si="14"/>
        <v>1.0722009304576894</v>
      </c>
      <c r="W37" s="437" t="str">
        <f t="shared" si="15"/>
        <v>(2,1,1,2,1,1); Industry data (French tender) 1p pallet = 25kg</v>
      </c>
      <c r="X37" s="440">
        <f>0.0102113726937269/25</f>
        <v>4.0845490774907604E-4</v>
      </c>
      <c r="Y37" s="336">
        <v>1</v>
      </c>
      <c r="Z37" s="337">
        <f t="shared" si="16"/>
        <v>1.0722009304576894</v>
      </c>
      <c r="AA37" s="437" t="str">
        <f t="shared" si="17"/>
        <v>(2,1,1,2,1,1); Industry data (French tender) 1p pallet = 25kg</v>
      </c>
      <c r="AB37" s="440">
        <f>L37</f>
        <v>4.1937432578209198E-4</v>
      </c>
      <c r="AC37" s="336">
        <v>1</v>
      </c>
      <c r="AD37" s="337">
        <f t="shared" si="18"/>
        <v>1.0722009304576894</v>
      </c>
      <c r="AE37" s="455" t="str">
        <f t="shared" si="19"/>
        <v>(2,1,1,2,1,1); Industry data (French tender) 1p pallet = 25kg</v>
      </c>
      <c r="AF37" s="440">
        <f>0.0102113726937269/25</f>
        <v>4.0845490774907604E-4</v>
      </c>
      <c r="AG37" s="336">
        <v>1</v>
      </c>
      <c r="AH37" s="337">
        <f t="shared" si="20"/>
        <v>1.0722009304576894</v>
      </c>
      <c r="AI37" s="455" t="str">
        <f t="shared" si="21"/>
        <v>(2,1,1,2,1,1); Industry data (French tender) 1p pallet = 25kg</v>
      </c>
      <c r="AJ37" s="440">
        <f>BA37</f>
        <v>4.1937432578209198E-4</v>
      </c>
      <c r="AK37" s="336">
        <v>1</v>
      </c>
      <c r="AL37" s="337">
        <f t="shared" si="22"/>
        <v>1.0722009304576894</v>
      </c>
      <c r="AM37" s="455" t="str">
        <f t="shared" si="23"/>
        <v>(2,1,1,2,1,1); Industry data (French tender) 1p pallet = 25kg</v>
      </c>
      <c r="AN37" s="440">
        <f>0.0102113726937269/25</f>
        <v>4.0845490774907604E-4</v>
      </c>
      <c r="AO37" s="336">
        <v>1</v>
      </c>
      <c r="AP37" s="337">
        <f t="shared" si="24"/>
        <v>1.0722009304576894</v>
      </c>
      <c r="AQ37" s="437" t="str">
        <f t="shared" si="25"/>
        <v>(2,1,1,2,1,1); Industry data (French tender) 1p pallet = 25kg</v>
      </c>
      <c r="AR37" s="440">
        <v>9.8366042999999993E-4</v>
      </c>
      <c r="AS37" s="336">
        <v>1</v>
      </c>
      <c r="AT37" s="337">
        <f t="shared" si="26"/>
        <v>1.2434566510799234</v>
      </c>
      <c r="AU37" s="455" t="str">
        <f t="shared" si="27"/>
        <v>(2,4,1,3,1,5); Brailovsky (2026) GP 05</v>
      </c>
      <c r="AV37" s="440">
        <v>9.8366042999999993E-4</v>
      </c>
      <c r="AW37" s="336">
        <v>1</v>
      </c>
      <c r="AX37" s="337">
        <f t="shared" si="28"/>
        <v>1.2434566510799234</v>
      </c>
      <c r="AY37" s="437" t="str">
        <f t="shared" si="29"/>
        <v>(2,4,1,3,1,5); Brailovsky (2026) GP 05</v>
      </c>
      <c r="AZ37" s="338"/>
      <c r="BA37" s="440">
        <f>0.0104843581445523/25</f>
        <v>4.1937432578209198E-4</v>
      </c>
      <c r="BB37" s="440"/>
      <c r="BC37" s="216" t="s">
        <v>967</v>
      </c>
      <c r="BD37" s="83">
        <v>2</v>
      </c>
      <c r="BE37" s="83">
        <v>1</v>
      </c>
      <c r="BF37" s="83">
        <v>1</v>
      </c>
      <c r="BG37" s="83">
        <v>2</v>
      </c>
      <c r="BH37" s="83">
        <v>1</v>
      </c>
      <c r="BI37" s="83">
        <v>1</v>
      </c>
      <c r="BJ37" s="104">
        <v>3</v>
      </c>
      <c r="BK37" s="104">
        <v>1.05</v>
      </c>
      <c r="BL37" s="107">
        <f t="shared" si="30"/>
        <v>1.0510550504206344</v>
      </c>
      <c r="BM37" s="107">
        <f t="shared" si="31"/>
        <v>1.0722009304576894</v>
      </c>
      <c r="BN37" s="107" t="str">
        <f t="shared" si="32"/>
        <v>(2,1,1,2,1,1)</v>
      </c>
      <c r="BO37" s="108">
        <v>1.05</v>
      </c>
      <c r="BP37" s="108">
        <v>1</v>
      </c>
      <c r="BQ37" s="108">
        <v>1</v>
      </c>
      <c r="BR37" s="108">
        <v>1.01</v>
      </c>
      <c r="BS37" s="108">
        <v>1</v>
      </c>
      <c r="BT37" s="108">
        <v>1</v>
      </c>
      <c r="BV37" s="160" t="s">
        <v>954</v>
      </c>
      <c r="BW37" s="83">
        <v>2</v>
      </c>
      <c r="BX37" s="83">
        <v>4</v>
      </c>
      <c r="BY37" s="83">
        <v>1</v>
      </c>
      <c r="BZ37" s="83">
        <v>3</v>
      </c>
      <c r="CA37" s="83">
        <v>1</v>
      </c>
      <c r="CB37" s="83">
        <v>5</v>
      </c>
      <c r="CC37" s="104">
        <v>3</v>
      </c>
      <c r="CD37" s="104">
        <v>1.05</v>
      </c>
      <c r="CE37" s="107">
        <f t="shared" si="33"/>
        <v>1.2365959919080913</v>
      </c>
      <c r="CF37" s="107">
        <f t="shared" si="34"/>
        <v>1.2434566510799234</v>
      </c>
      <c r="CG37" s="107" t="str">
        <f t="shared" si="35"/>
        <v>(2,4,1,3,1,5)</v>
      </c>
      <c r="CH37" s="108">
        <v>1.05</v>
      </c>
      <c r="CI37" s="108">
        <v>1.1000000000000001</v>
      </c>
      <c r="CJ37" s="108">
        <v>1</v>
      </c>
      <c r="CK37" s="108">
        <v>1.02</v>
      </c>
      <c r="CL37" s="108">
        <v>1</v>
      </c>
      <c r="CM37" s="108">
        <v>1.2</v>
      </c>
    </row>
    <row r="38" spans="1:91" s="171" customFormat="1" ht="24">
      <c r="A38" s="333">
        <v>157699</v>
      </c>
      <c r="B38" s="216" t="s">
        <v>968</v>
      </c>
      <c r="C38" s="334"/>
      <c r="D38" s="342">
        <v>5</v>
      </c>
      <c r="E38" s="343" t="s">
        <v>98</v>
      </c>
      <c r="F38" s="437" t="s">
        <v>316</v>
      </c>
      <c r="G38" s="438" t="s">
        <v>154</v>
      </c>
      <c r="H38" s="439" t="s">
        <v>98</v>
      </c>
      <c r="I38" s="439" t="s">
        <v>98</v>
      </c>
      <c r="J38" s="335">
        <v>0</v>
      </c>
      <c r="K38" s="438" t="s">
        <v>96</v>
      </c>
      <c r="L38" s="440">
        <v>0</v>
      </c>
      <c r="M38" s="336">
        <v>1</v>
      </c>
      <c r="N38" s="337">
        <f t="shared" si="10"/>
        <v>1.0722009304576894</v>
      </c>
      <c r="O38" s="455" t="str">
        <f t="shared" si="11"/>
        <v xml:space="preserve">(2,1,1,2,1,1); </v>
      </c>
      <c r="P38" s="440">
        <v>0</v>
      </c>
      <c r="Q38" s="336">
        <v>1</v>
      </c>
      <c r="R38" s="337">
        <f t="shared" si="12"/>
        <v>1.0722009304576894</v>
      </c>
      <c r="S38" s="455" t="str">
        <f t="shared" si="13"/>
        <v xml:space="preserve">(2,1,1,2,1,1); </v>
      </c>
      <c r="T38" s="440">
        <v>0</v>
      </c>
      <c r="U38" s="336">
        <v>1</v>
      </c>
      <c r="V38" s="337">
        <f t="shared" si="14"/>
        <v>1.0722009304576894</v>
      </c>
      <c r="W38" s="455" t="str">
        <f t="shared" si="15"/>
        <v xml:space="preserve">(2,1,1,2,1,1); </v>
      </c>
      <c r="X38" s="440">
        <v>0</v>
      </c>
      <c r="Y38" s="336">
        <v>1</v>
      </c>
      <c r="Z38" s="337">
        <f t="shared" si="16"/>
        <v>1.0722009304576894</v>
      </c>
      <c r="AA38" s="437" t="str">
        <f t="shared" si="17"/>
        <v xml:space="preserve">(2,1,1,2,1,1); </v>
      </c>
      <c r="AB38" s="440">
        <v>0</v>
      </c>
      <c r="AC38" s="336">
        <v>1</v>
      </c>
      <c r="AD38" s="337">
        <f t="shared" si="18"/>
        <v>1.0722009304576894</v>
      </c>
      <c r="AE38" s="455" t="str">
        <f t="shared" si="19"/>
        <v xml:space="preserve">(2,1,1,2,1,1); </v>
      </c>
      <c r="AF38" s="440">
        <v>0</v>
      </c>
      <c r="AG38" s="336">
        <v>1</v>
      </c>
      <c r="AH38" s="337">
        <f t="shared" si="20"/>
        <v>1.0722009304576894</v>
      </c>
      <c r="AI38" s="455" t="str">
        <f t="shared" si="21"/>
        <v xml:space="preserve">(2,1,1,2,1,1); </v>
      </c>
      <c r="AJ38" s="440">
        <v>0</v>
      </c>
      <c r="AK38" s="336">
        <v>1</v>
      </c>
      <c r="AL38" s="337">
        <f t="shared" si="22"/>
        <v>1.0722009304576894</v>
      </c>
      <c r="AM38" s="455" t="str">
        <f t="shared" si="23"/>
        <v xml:space="preserve">(2,1,1,2,1,1); </v>
      </c>
      <c r="AN38" s="440">
        <v>0</v>
      </c>
      <c r="AO38" s="336">
        <v>1</v>
      </c>
      <c r="AP38" s="337">
        <f t="shared" si="24"/>
        <v>1.0722009304576894</v>
      </c>
      <c r="AQ38" s="437" t="str">
        <f t="shared" si="25"/>
        <v xml:space="preserve">(2,1,1,2,1,1); </v>
      </c>
      <c r="AR38" s="440">
        <v>3.47383533632652E-4</v>
      </c>
      <c r="AS38" s="336">
        <v>1</v>
      </c>
      <c r="AT38" s="337">
        <f t="shared" si="26"/>
        <v>1.2434566510799234</v>
      </c>
      <c r="AU38" s="455" t="str">
        <f t="shared" si="27"/>
        <v>(2,4,1,3,1,5); Brailovsky (2026) GP 05 Proxy for trimethylaluminium</v>
      </c>
      <c r="AV38" s="440">
        <v>3.47383533632652E-4</v>
      </c>
      <c r="AW38" s="336">
        <v>1</v>
      </c>
      <c r="AX38" s="337">
        <f t="shared" si="28"/>
        <v>1.2434566510799234</v>
      </c>
      <c r="AY38" s="437" t="str">
        <f t="shared" si="29"/>
        <v>(2,4,1,3,1,5); Brailovsky (2026) GP 05 Proxy for trimethylaluminium</v>
      </c>
      <c r="AZ38" s="338"/>
      <c r="BA38" s="440"/>
      <c r="BB38" s="440"/>
      <c r="BC38" s="216"/>
      <c r="BD38" s="83">
        <v>2</v>
      </c>
      <c r="BE38" s="83">
        <v>1</v>
      </c>
      <c r="BF38" s="83">
        <v>1</v>
      </c>
      <c r="BG38" s="83">
        <v>2</v>
      </c>
      <c r="BH38" s="83">
        <v>1</v>
      </c>
      <c r="BI38" s="83">
        <v>1</v>
      </c>
      <c r="BJ38" s="104">
        <v>3</v>
      </c>
      <c r="BK38" s="104">
        <v>1.05</v>
      </c>
      <c r="BL38" s="107">
        <f t="shared" si="30"/>
        <v>1.0510550504206344</v>
      </c>
      <c r="BM38" s="107">
        <f t="shared" si="31"/>
        <v>1.0722009304576894</v>
      </c>
      <c r="BN38" s="107" t="str">
        <f t="shared" si="32"/>
        <v>(2,1,1,2,1,1)</v>
      </c>
      <c r="BO38" s="108">
        <v>1.05</v>
      </c>
      <c r="BP38" s="108">
        <v>1</v>
      </c>
      <c r="BQ38" s="108">
        <v>1</v>
      </c>
      <c r="BR38" s="108">
        <v>1.01</v>
      </c>
      <c r="BS38" s="108">
        <v>1</v>
      </c>
      <c r="BT38" s="108">
        <v>1</v>
      </c>
      <c r="BV38" s="160" t="s">
        <v>969</v>
      </c>
      <c r="BW38" s="83">
        <v>2</v>
      </c>
      <c r="BX38" s="83">
        <v>4</v>
      </c>
      <c r="BY38" s="83">
        <v>1</v>
      </c>
      <c r="BZ38" s="83">
        <v>3</v>
      </c>
      <c r="CA38" s="83">
        <v>1</v>
      </c>
      <c r="CB38" s="83">
        <v>5</v>
      </c>
      <c r="CC38" s="104">
        <v>3</v>
      </c>
      <c r="CD38" s="104">
        <v>1.05</v>
      </c>
      <c r="CE38" s="107">
        <f t="shared" si="33"/>
        <v>1.2365959919080913</v>
      </c>
      <c r="CF38" s="107">
        <f t="shared" si="34"/>
        <v>1.2434566510799234</v>
      </c>
      <c r="CG38" s="107" t="str">
        <f t="shared" si="35"/>
        <v>(2,4,1,3,1,5)</v>
      </c>
      <c r="CH38" s="108">
        <v>1.05</v>
      </c>
      <c r="CI38" s="108">
        <v>1.1000000000000001</v>
      </c>
      <c r="CJ38" s="108">
        <v>1</v>
      </c>
      <c r="CK38" s="108">
        <v>1.02</v>
      </c>
      <c r="CL38" s="108">
        <v>1</v>
      </c>
      <c r="CM38" s="108">
        <v>1.2</v>
      </c>
    </row>
    <row r="39" spans="1:91" s="171" customFormat="1" ht="24" collapsed="1">
      <c r="A39" s="333">
        <v>157715</v>
      </c>
      <c r="B39" s="216"/>
      <c r="C39" s="334"/>
      <c r="D39" s="342">
        <v>5</v>
      </c>
      <c r="E39" s="343" t="s">
        <v>98</v>
      </c>
      <c r="F39" s="437" t="s">
        <v>473</v>
      </c>
      <c r="G39" s="438" t="s">
        <v>154</v>
      </c>
      <c r="H39" s="439" t="s">
        <v>98</v>
      </c>
      <c r="I39" s="439" t="s">
        <v>98</v>
      </c>
      <c r="J39" s="335">
        <v>0</v>
      </c>
      <c r="K39" s="438" t="s">
        <v>96</v>
      </c>
      <c r="L39" s="440">
        <f>AJ39</f>
        <v>1.2209061488673099E-4</v>
      </c>
      <c r="M39" s="336">
        <v>1</v>
      </c>
      <c r="N39" s="337">
        <f t="shared" si="10"/>
        <v>1.0722009304576894</v>
      </c>
      <c r="O39" s="455" t="str">
        <f t="shared" si="11"/>
        <v>(2,1,1,2,1,1); Industry data (French tender) TMA</v>
      </c>
      <c r="P39" s="440">
        <v>2.6354243542435398E-4</v>
      </c>
      <c r="Q39" s="336">
        <v>1</v>
      </c>
      <c r="R39" s="337">
        <f t="shared" si="12"/>
        <v>1.0722009304576894</v>
      </c>
      <c r="S39" s="455" t="str">
        <f t="shared" si="13"/>
        <v>(2,1,1,2,1,1); Industry data (French tender) TMA</v>
      </c>
      <c r="T39" s="440">
        <f>L39</f>
        <v>1.2209061488673099E-4</v>
      </c>
      <c r="U39" s="336">
        <v>1</v>
      </c>
      <c r="V39" s="337">
        <f t="shared" si="14"/>
        <v>1.0722009304576894</v>
      </c>
      <c r="W39" s="437" t="str">
        <f t="shared" si="15"/>
        <v>(2,1,1,2,1,1); Industry data (French tender) TMA</v>
      </c>
      <c r="X39" s="440">
        <v>2.6354243542435398E-4</v>
      </c>
      <c r="Y39" s="336">
        <v>1</v>
      </c>
      <c r="Z39" s="337">
        <f t="shared" si="16"/>
        <v>1.0722009304576894</v>
      </c>
      <c r="AA39" s="437" t="str">
        <f t="shared" si="17"/>
        <v>(2,1,1,2,1,1); Industry data (French tender) TMA</v>
      </c>
      <c r="AB39" s="440">
        <f>L39</f>
        <v>1.2209061488673099E-4</v>
      </c>
      <c r="AC39" s="336">
        <v>1</v>
      </c>
      <c r="AD39" s="337">
        <f t="shared" si="18"/>
        <v>1.0722009304576894</v>
      </c>
      <c r="AE39" s="455" t="str">
        <f t="shared" si="19"/>
        <v>(2,1,1,2,1,1); Industry data (French tender) TMA</v>
      </c>
      <c r="AF39" s="440">
        <v>2.6354243542435398E-4</v>
      </c>
      <c r="AG39" s="336">
        <v>1</v>
      </c>
      <c r="AH39" s="337">
        <f t="shared" si="20"/>
        <v>1.0722009304576894</v>
      </c>
      <c r="AI39" s="455" t="str">
        <f t="shared" si="21"/>
        <v>(2,1,1,2,1,1); Industry data (French tender) TMA</v>
      </c>
      <c r="AJ39" s="440">
        <f>BA39</f>
        <v>1.2209061488673099E-4</v>
      </c>
      <c r="AK39" s="336">
        <v>1</v>
      </c>
      <c r="AL39" s="337">
        <f t="shared" si="22"/>
        <v>1.0722009304576894</v>
      </c>
      <c r="AM39" s="455" t="str">
        <f t="shared" si="23"/>
        <v>(2,1,1,2,1,1); Industry data (French tender) TMA</v>
      </c>
      <c r="AN39" s="440">
        <v>2.6354243542435398E-4</v>
      </c>
      <c r="AO39" s="336">
        <v>1</v>
      </c>
      <c r="AP39" s="337">
        <f t="shared" si="24"/>
        <v>1.0722009304576894</v>
      </c>
      <c r="AQ39" s="437" t="str">
        <f t="shared" si="25"/>
        <v>(2,1,1,2,1,1); Industry data (French tender) TMA</v>
      </c>
      <c r="AR39" s="440">
        <v>5.3227543068088603E-3</v>
      </c>
      <c r="AS39" s="336">
        <v>1</v>
      </c>
      <c r="AT39" s="337">
        <f t="shared" si="26"/>
        <v>1.2434566510799234</v>
      </c>
      <c r="AU39" s="455" t="str">
        <f t="shared" si="27"/>
        <v>(2,4,1,3,1,5); Brailovsky (2026) GP 06b Texturing additive</v>
      </c>
      <c r="AV39" s="440">
        <v>5.3227543068088603E-3</v>
      </c>
      <c r="AW39" s="336">
        <v>1</v>
      </c>
      <c r="AX39" s="337">
        <f t="shared" si="28"/>
        <v>1.2434566510799234</v>
      </c>
      <c r="AY39" s="437" t="str">
        <f t="shared" si="29"/>
        <v>(2,4,1,3,1,5); Brailovsky (2026) GP 06b Texturing additive</v>
      </c>
      <c r="AZ39" s="338"/>
      <c r="BA39" s="440">
        <v>1.2209061488673099E-4</v>
      </c>
      <c r="BB39" s="440"/>
      <c r="BC39" s="216" t="s">
        <v>970</v>
      </c>
      <c r="BD39" s="83">
        <v>2</v>
      </c>
      <c r="BE39" s="83">
        <v>1</v>
      </c>
      <c r="BF39" s="83">
        <v>1</v>
      </c>
      <c r="BG39" s="83">
        <v>2</v>
      </c>
      <c r="BH39" s="83">
        <v>1</v>
      </c>
      <c r="BI39" s="83">
        <v>1</v>
      </c>
      <c r="BJ39" s="104">
        <v>3</v>
      </c>
      <c r="BK39" s="104">
        <v>1.05</v>
      </c>
      <c r="BL39" s="107">
        <f t="shared" si="30"/>
        <v>1.0510550504206344</v>
      </c>
      <c r="BM39" s="107">
        <f t="shared" si="31"/>
        <v>1.0722009304576894</v>
      </c>
      <c r="BN39" s="107" t="str">
        <f t="shared" si="32"/>
        <v>(2,1,1,2,1,1)</v>
      </c>
      <c r="BO39" s="108">
        <v>1.05</v>
      </c>
      <c r="BP39" s="108">
        <v>1</v>
      </c>
      <c r="BQ39" s="108">
        <v>1</v>
      </c>
      <c r="BR39" s="108">
        <v>1.01</v>
      </c>
      <c r="BS39" s="108">
        <v>1</v>
      </c>
      <c r="BT39" s="108">
        <v>1</v>
      </c>
      <c r="BV39" s="160" t="s">
        <v>971</v>
      </c>
      <c r="BW39" s="83">
        <v>2</v>
      </c>
      <c r="BX39" s="83">
        <v>4</v>
      </c>
      <c r="BY39" s="83">
        <v>1</v>
      </c>
      <c r="BZ39" s="83">
        <v>3</v>
      </c>
      <c r="CA39" s="83">
        <v>1</v>
      </c>
      <c r="CB39" s="83">
        <v>5</v>
      </c>
      <c r="CC39" s="104">
        <v>3</v>
      </c>
      <c r="CD39" s="104">
        <v>1.05</v>
      </c>
      <c r="CE39" s="107">
        <f t="shared" si="33"/>
        <v>1.2365959919080913</v>
      </c>
      <c r="CF39" s="107">
        <f t="shared" si="34"/>
        <v>1.2434566510799234</v>
      </c>
      <c r="CG39" s="107" t="str">
        <f t="shared" si="35"/>
        <v>(2,4,1,3,1,5)</v>
      </c>
      <c r="CH39" s="108">
        <v>1.05</v>
      </c>
      <c r="CI39" s="108">
        <v>1.1000000000000001</v>
      </c>
      <c r="CJ39" s="108">
        <v>1</v>
      </c>
      <c r="CK39" s="108">
        <v>1.02</v>
      </c>
      <c r="CL39" s="108">
        <v>1</v>
      </c>
      <c r="CM39" s="108">
        <v>1.2</v>
      </c>
    </row>
    <row r="40" spans="1:91" s="171" customFormat="1" ht="24">
      <c r="A40" s="333">
        <v>157715</v>
      </c>
      <c r="B40" s="216"/>
      <c r="C40" s="334"/>
      <c r="D40" s="342">
        <v>5</v>
      </c>
      <c r="E40" s="343" t="s">
        <v>98</v>
      </c>
      <c r="F40" s="437" t="s">
        <v>473</v>
      </c>
      <c r="G40" s="438" t="s">
        <v>154</v>
      </c>
      <c r="H40" s="439" t="s">
        <v>98</v>
      </c>
      <c r="I40" s="439" t="s">
        <v>98</v>
      </c>
      <c r="J40" s="335">
        <v>0</v>
      </c>
      <c r="K40" s="438" t="s">
        <v>96</v>
      </c>
      <c r="L40" s="440">
        <f>AJ40</f>
        <v>3.0072276159654798E-2</v>
      </c>
      <c r="M40" s="336">
        <v>1</v>
      </c>
      <c r="N40" s="337">
        <f t="shared" si="10"/>
        <v>1.0722009304576894</v>
      </c>
      <c r="O40" s="455" t="str">
        <f t="shared" si="11"/>
        <v>(2,1,1,2,1,1); Industry data (French tender) Additive</v>
      </c>
      <c r="P40" s="440">
        <v>8.0906356088560893E-2</v>
      </c>
      <c r="Q40" s="336">
        <v>1</v>
      </c>
      <c r="R40" s="337">
        <f t="shared" si="12"/>
        <v>1.0722009304576894</v>
      </c>
      <c r="S40" s="455" t="str">
        <f t="shared" si="13"/>
        <v>(2,1,1,2,1,1); Industry data (French tender) Additive</v>
      </c>
      <c r="T40" s="440">
        <f>L40</f>
        <v>3.0072276159654798E-2</v>
      </c>
      <c r="U40" s="336">
        <v>1</v>
      </c>
      <c r="V40" s="337">
        <f t="shared" si="14"/>
        <v>1.0722009304576894</v>
      </c>
      <c r="W40" s="437" t="str">
        <f t="shared" si="15"/>
        <v>(2,1,1,2,1,1); Industry data (French tender) Additive</v>
      </c>
      <c r="X40" s="440">
        <v>8.0906356088560893E-2</v>
      </c>
      <c r="Y40" s="336">
        <v>1</v>
      </c>
      <c r="Z40" s="337">
        <f t="shared" si="16"/>
        <v>1.0722009304576894</v>
      </c>
      <c r="AA40" s="437" t="str">
        <f t="shared" si="17"/>
        <v>(2,1,1,2,1,1); Industry data (French tender) Additive</v>
      </c>
      <c r="AB40" s="440">
        <f>L40</f>
        <v>3.0072276159654798E-2</v>
      </c>
      <c r="AC40" s="336">
        <v>1</v>
      </c>
      <c r="AD40" s="337">
        <f t="shared" si="18"/>
        <v>1.0722009304576894</v>
      </c>
      <c r="AE40" s="455" t="str">
        <f t="shared" si="19"/>
        <v>(2,1,1,2,1,1); Industry data (French tender) Additive</v>
      </c>
      <c r="AF40" s="440">
        <v>8.0906356088560893E-2</v>
      </c>
      <c r="AG40" s="336">
        <v>1</v>
      </c>
      <c r="AH40" s="337">
        <f t="shared" si="20"/>
        <v>1.0722009304576894</v>
      </c>
      <c r="AI40" s="455" t="str">
        <f t="shared" si="21"/>
        <v>(2,1,1,2,1,1); Industry data (French tender) Additive</v>
      </c>
      <c r="AJ40" s="440">
        <f>BA40</f>
        <v>3.0072276159654798E-2</v>
      </c>
      <c r="AK40" s="336">
        <v>1</v>
      </c>
      <c r="AL40" s="337">
        <f t="shared" si="22"/>
        <v>1.0722009304576894</v>
      </c>
      <c r="AM40" s="455" t="str">
        <f t="shared" si="23"/>
        <v>(2,1,1,2,1,1); Industry data (French tender) Additive</v>
      </c>
      <c r="AN40" s="440">
        <v>8.0906356088560893E-2</v>
      </c>
      <c r="AO40" s="336">
        <v>1</v>
      </c>
      <c r="AP40" s="337">
        <f t="shared" si="24"/>
        <v>1.0722009304576894</v>
      </c>
      <c r="AQ40" s="437" t="str">
        <f t="shared" si="25"/>
        <v>(2,1,1,2,1,1); Industry data (French tender) Additive</v>
      </c>
      <c r="AR40" s="440">
        <v>1.0830779388026599E-2</v>
      </c>
      <c r="AS40" s="336">
        <v>1</v>
      </c>
      <c r="AT40" s="337">
        <f t="shared" si="26"/>
        <v>1.2434566510799234</v>
      </c>
      <c r="AU40" s="455" t="str">
        <f t="shared" si="27"/>
        <v>(2,4,1,3,1,5); Brailovsky (2026) GP 06b Polishing additive</v>
      </c>
      <c r="AV40" s="440">
        <v>1.0830779388026599E-2</v>
      </c>
      <c r="AW40" s="336">
        <v>1</v>
      </c>
      <c r="AX40" s="337">
        <f t="shared" si="28"/>
        <v>1.2434566510799234</v>
      </c>
      <c r="AY40" s="437" t="str">
        <f t="shared" si="29"/>
        <v>(2,4,1,3,1,5); Brailovsky (2026) GP 06b Polishing additive</v>
      </c>
      <c r="AZ40" s="338"/>
      <c r="BA40" s="440">
        <v>3.0072276159654798E-2</v>
      </c>
      <c r="BB40" s="440"/>
      <c r="BC40" s="216" t="s">
        <v>972</v>
      </c>
      <c r="BD40" s="83">
        <v>2</v>
      </c>
      <c r="BE40" s="83">
        <v>1</v>
      </c>
      <c r="BF40" s="83">
        <v>1</v>
      </c>
      <c r="BG40" s="83">
        <v>2</v>
      </c>
      <c r="BH40" s="83">
        <v>1</v>
      </c>
      <c r="BI40" s="83">
        <v>1</v>
      </c>
      <c r="BJ40" s="104">
        <v>3</v>
      </c>
      <c r="BK40" s="104">
        <v>1.05</v>
      </c>
      <c r="BL40" s="107">
        <f t="shared" si="30"/>
        <v>1.0510550504206344</v>
      </c>
      <c r="BM40" s="107">
        <f t="shared" si="31"/>
        <v>1.0722009304576894</v>
      </c>
      <c r="BN40" s="107" t="str">
        <f t="shared" si="32"/>
        <v>(2,1,1,2,1,1)</v>
      </c>
      <c r="BO40" s="108">
        <v>1.05</v>
      </c>
      <c r="BP40" s="108">
        <v>1</v>
      </c>
      <c r="BQ40" s="108">
        <v>1</v>
      </c>
      <c r="BR40" s="108">
        <v>1.01</v>
      </c>
      <c r="BS40" s="108">
        <v>1</v>
      </c>
      <c r="BT40" s="108">
        <v>1</v>
      </c>
      <c r="BV40" s="160" t="s">
        <v>973</v>
      </c>
      <c r="BW40" s="83">
        <v>2</v>
      </c>
      <c r="BX40" s="83">
        <v>4</v>
      </c>
      <c r="BY40" s="83">
        <v>1</v>
      </c>
      <c r="BZ40" s="83">
        <v>3</v>
      </c>
      <c r="CA40" s="83">
        <v>1</v>
      </c>
      <c r="CB40" s="83">
        <v>5</v>
      </c>
      <c r="CC40" s="104">
        <v>3</v>
      </c>
      <c r="CD40" s="104">
        <v>1.05</v>
      </c>
      <c r="CE40" s="107">
        <f t="shared" si="33"/>
        <v>1.2365959919080913</v>
      </c>
      <c r="CF40" s="107">
        <f t="shared" si="34"/>
        <v>1.2434566510799234</v>
      </c>
      <c r="CG40" s="107" t="str">
        <f t="shared" si="35"/>
        <v>(2,4,1,3,1,5)</v>
      </c>
      <c r="CH40" s="108">
        <v>1.05</v>
      </c>
      <c r="CI40" s="108">
        <v>1.1000000000000001</v>
      </c>
      <c r="CJ40" s="108">
        <v>1</v>
      </c>
      <c r="CK40" s="108">
        <v>1.02</v>
      </c>
      <c r="CL40" s="108">
        <v>1</v>
      </c>
      <c r="CM40" s="108">
        <v>1.2</v>
      </c>
    </row>
    <row r="41" spans="1:91" s="171" customFormat="1" hidden="1" outlineLevel="1">
      <c r="A41" s="333">
        <v>259319</v>
      </c>
      <c r="B41" s="216"/>
      <c r="C41" s="334"/>
      <c r="D41" s="342">
        <v>5</v>
      </c>
      <c r="E41" s="343" t="s">
        <v>98</v>
      </c>
      <c r="F41" s="437" t="s">
        <v>974</v>
      </c>
      <c r="G41" s="438" t="s">
        <v>154</v>
      </c>
      <c r="H41" s="439" t="s">
        <v>98</v>
      </c>
      <c r="I41" s="439" t="s">
        <v>98</v>
      </c>
      <c r="J41" s="335">
        <v>0</v>
      </c>
      <c r="K41" s="438" t="s">
        <v>96</v>
      </c>
      <c r="L41" s="440">
        <f>AJ41</f>
        <v>7.86464401294499E-5</v>
      </c>
      <c r="M41" s="336">
        <v>1</v>
      </c>
      <c r="N41" s="337">
        <f t="shared" si="10"/>
        <v>1.0722009304576894</v>
      </c>
      <c r="O41" s="455" t="str">
        <f t="shared" si="11"/>
        <v>(2,1,1,2,1,1); Industry data (French tender)</v>
      </c>
      <c r="P41" s="440">
        <v>6.3747988929889303E-3</v>
      </c>
      <c r="Q41" s="336">
        <v>1</v>
      </c>
      <c r="R41" s="337">
        <f t="shared" si="12"/>
        <v>1.0722009304576894</v>
      </c>
      <c r="S41" s="455" t="str">
        <f t="shared" si="13"/>
        <v>(2,1,1,2,1,1); Industry data (French tender)</v>
      </c>
      <c r="T41" s="440">
        <f>L41</f>
        <v>7.86464401294499E-5</v>
      </c>
      <c r="U41" s="336">
        <v>1</v>
      </c>
      <c r="V41" s="337">
        <f t="shared" si="14"/>
        <v>1.0722009304576894</v>
      </c>
      <c r="W41" s="437" t="str">
        <f t="shared" si="15"/>
        <v>(2,1,1,2,1,1); Industry data (French tender)</v>
      </c>
      <c r="X41" s="440">
        <v>6.3747988929889303E-3</v>
      </c>
      <c r="Y41" s="336">
        <v>1</v>
      </c>
      <c r="Z41" s="337">
        <f t="shared" si="16"/>
        <v>1.0722009304576894</v>
      </c>
      <c r="AA41" s="437" t="str">
        <f t="shared" si="17"/>
        <v>(2,1,1,2,1,1); Industry data (French tender)</v>
      </c>
      <c r="AB41" s="440">
        <f>L41</f>
        <v>7.86464401294499E-5</v>
      </c>
      <c r="AC41" s="336">
        <v>1</v>
      </c>
      <c r="AD41" s="337">
        <f t="shared" si="18"/>
        <v>1.0722009304576894</v>
      </c>
      <c r="AE41" s="455" t="str">
        <f t="shared" si="19"/>
        <v>(2,1,1,2,1,1); Industry data (French tender)</v>
      </c>
      <c r="AF41" s="440">
        <v>6.3747988929889303E-3</v>
      </c>
      <c r="AG41" s="336">
        <v>1</v>
      </c>
      <c r="AH41" s="337">
        <f t="shared" si="20"/>
        <v>1.0722009304576894</v>
      </c>
      <c r="AI41" s="455" t="str">
        <f t="shared" si="21"/>
        <v>(2,1,1,2,1,1); Industry data (French tender)</v>
      </c>
      <c r="AJ41" s="440">
        <f>BA41</f>
        <v>7.86464401294499E-5</v>
      </c>
      <c r="AK41" s="336">
        <v>1</v>
      </c>
      <c r="AL41" s="337">
        <f t="shared" si="22"/>
        <v>1.0722009304576894</v>
      </c>
      <c r="AM41" s="455" t="str">
        <f t="shared" si="23"/>
        <v>(2,1,1,2,1,1); Industry data (French tender)</v>
      </c>
      <c r="AN41" s="440">
        <v>6.3747988929889303E-3</v>
      </c>
      <c r="AO41" s="336">
        <v>1</v>
      </c>
      <c r="AP41" s="337">
        <f t="shared" si="24"/>
        <v>1.0722009304576894</v>
      </c>
      <c r="AQ41" s="437" t="str">
        <f t="shared" si="25"/>
        <v>(2,1,1,2,1,1); Industry data (French tender)</v>
      </c>
      <c r="AR41" s="440">
        <v>0</v>
      </c>
      <c r="AS41" s="336">
        <v>1</v>
      </c>
      <c r="AT41" s="337">
        <f t="shared" si="26"/>
        <v>1.05</v>
      </c>
      <c r="AU41" s="455" t="str">
        <f t="shared" si="27"/>
        <v xml:space="preserve">(na,na,na,na,na,na); </v>
      </c>
      <c r="AV41" s="440">
        <v>0</v>
      </c>
      <c r="AW41" s="336">
        <v>1</v>
      </c>
      <c r="AX41" s="337">
        <f t="shared" si="28"/>
        <v>1.05</v>
      </c>
      <c r="AY41" s="437" t="str">
        <f t="shared" si="29"/>
        <v xml:space="preserve">(na,na,na,na,na,na); </v>
      </c>
      <c r="AZ41" s="338"/>
      <c r="BA41" s="440">
        <v>7.86464401294499E-5</v>
      </c>
      <c r="BB41" s="440"/>
      <c r="BC41" s="216" t="s">
        <v>462</v>
      </c>
      <c r="BD41" s="83">
        <v>2</v>
      </c>
      <c r="BE41" s="83">
        <v>1</v>
      </c>
      <c r="BF41" s="83">
        <v>1</v>
      </c>
      <c r="BG41" s="83">
        <v>2</v>
      </c>
      <c r="BH41" s="83">
        <v>1</v>
      </c>
      <c r="BI41" s="83">
        <v>1</v>
      </c>
      <c r="BJ41" s="104">
        <v>3</v>
      </c>
      <c r="BK41" s="104">
        <v>1.05</v>
      </c>
      <c r="BL41" s="107">
        <f t="shared" si="30"/>
        <v>1.0510550504206344</v>
      </c>
      <c r="BM41" s="107">
        <f t="shared" si="31"/>
        <v>1.0722009304576894</v>
      </c>
      <c r="BN41" s="107" t="str">
        <f t="shared" si="32"/>
        <v>(2,1,1,2,1,1)</v>
      </c>
      <c r="BO41" s="108">
        <v>1.05</v>
      </c>
      <c r="BP41" s="108">
        <v>1</v>
      </c>
      <c r="BQ41" s="108">
        <v>1</v>
      </c>
      <c r="BR41" s="108">
        <v>1.01</v>
      </c>
      <c r="BS41" s="108">
        <v>1</v>
      </c>
      <c r="BT41" s="108">
        <v>1</v>
      </c>
      <c r="BV41" s="160"/>
      <c r="BW41" s="83" t="s">
        <v>106</v>
      </c>
      <c r="BX41" s="83" t="s">
        <v>106</v>
      </c>
      <c r="BY41" s="83" t="s">
        <v>106</v>
      </c>
      <c r="BZ41" s="83" t="s">
        <v>106</v>
      </c>
      <c r="CA41" s="83" t="s">
        <v>106</v>
      </c>
      <c r="CB41" s="83" t="s">
        <v>106</v>
      </c>
      <c r="CC41" s="104">
        <v>3</v>
      </c>
      <c r="CD41" s="104">
        <v>1.05</v>
      </c>
      <c r="CE41" s="107">
        <f t="shared" si="33"/>
        <v>1</v>
      </c>
      <c r="CF41" s="107">
        <f t="shared" si="34"/>
        <v>1.05</v>
      </c>
      <c r="CG41" s="107" t="str">
        <f t="shared" si="35"/>
        <v>(na,na,na,na,na,na)</v>
      </c>
      <c r="CH41" s="108">
        <v>1</v>
      </c>
      <c r="CI41" s="108">
        <v>1</v>
      </c>
      <c r="CJ41" s="108">
        <v>1</v>
      </c>
      <c r="CK41" s="108">
        <v>1</v>
      </c>
      <c r="CL41" s="108">
        <v>1</v>
      </c>
      <c r="CM41" s="108">
        <v>1</v>
      </c>
    </row>
    <row r="42" spans="1:91" s="171" customFormat="1" collapsed="1">
      <c r="A42" s="333">
        <v>269257</v>
      </c>
      <c r="B42" s="216"/>
      <c r="C42" s="334"/>
      <c r="D42" s="342">
        <v>5</v>
      </c>
      <c r="E42" s="343" t="s">
        <v>98</v>
      </c>
      <c r="F42" s="437" t="s">
        <v>463</v>
      </c>
      <c r="G42" s="438" t="s">
        <v>93</v>
      </c>
      <c r="H42" s="439" t="s">
        <v>98</v>
      </c>
      <c r="I42" s="439" t="s">
        <v>98</v>
      </c>
      <c r="J42" s="335">
        <v>0</v>
      </c>
      <c r="K42" s="438" t="s">
        <v>96</v>
      </c>
      <c r="L42" s="440">
        <f>AJ42</f>
        <v>1.3100970873786401E-2</v>
      </c>
      <c r="M42" s="336">
        <v>1</v>
      </c>
      <c r="N42" s="337">
        <f t="shared" si="10"/>
        <v>1.0722009304576894</v>
      </c>
      <c r="O42" s="455" t="str">
        <f t="shared" si="11"/>
        <v>(2,1,1,2,1,1); Industry data (French tender)</v>
      </c>
      <c r="P42" s="440">
        <v>1.2850184501845E-2</v>
      </c>
      <c r="Q42" s="336">
        <v>1</v>
      </c>
      <c r="R42" s="337">
        <f t="shared" si="12"/>
        <v>1.0722009304576894</v>
      </c>
      <c r="S42" s="455" t="str">
        <f t="shared" si="13"/>
        <v>(2,1,1,2,1,1); Industry data (French tender)</v>
      </c>
      <c r="T42" s="440">
        <f>L42</f>
        <v>1.3100970873786401E-2</v>
      </c>
      <c r="U42" s="336">
        <v>1</v>
      </c>
      <c r="V42" s="337">
        <f t="shared" si="14"/>
        <v>1.0722009304576894</v>
      </c>
      <c r="W42" s="437" t="str">
        <f t="shared" si="15"/>
        <v>(2,1,1,2,1,1); Industry data (French tender)</v>
      </c>
      <c r="X42" s="440">
        <v>1.2850184501845E-2</v>
      </c>
      <c r="Y42" s="336">
        <v>1</v>
      </c>
      <c r="Z42" s="337">
        <f t="shared" si="16"/>
        <v>1.0722009304576894</v>
      </c>
      <c r="AA42" s="437" t="str">
        <f t="shared" si="17"/>
        <v>(2,1,1,2,1,1); Industry data (French tender)</v>
      </c>
      <c r="AB42" s="440">
        <f>L42</f>
        <v>1.3100970873786401E-2</v>
      </c>
      <c r="AC42" s="336">
        <v>1</v>
      </c>
      <c r="AD42" s="337">
        <f t="shared" si="18"/>
        <v>1.0722009304576894</v>
      </c>
      <c r="AE42" s="455" t="str">
        <f t="shared" si="19"/>
        <v>(2,1,1,2,1,1); Industry data (French tender)</v>
      </c>
      <c r="AF42" s="440">
        <v>1.2850184501845E-2</v>
      </c>
      <c r="AG42" s="336">
        <v>1</v>
      </c>
      <c r="AH42" s="337">
        <f t="shared" si="20"/>
        <v>1.0722009304576894</v>
      </c>
      <c r="AI42" s="455" t="str">
        <f t="shared" si="21"/>
        <v>(2,1,1,2,1,1); Industry data (French tender)</v>
      </c>
      <c r="AJ42" s="440">
        <f>BA42</f>
        <v>1.3100970873786401E-2</v>
      </c>
      <c r="AK42" s="336">
        <v>1</v>
      </c>
      <c r="AL42" s="337">
        <f t="shared" si="22"/>
        <v>1.0722009304576894</v>
      </c>
      <c r="AM42" s="455" t="str">
        <f t="shared" si="23"/>
        <v>(2,1,1,2,1,1); Industry data (French tender)</v>
      </c>
      <c r="AN42" s="440">
        <v>1.2850184501845E-2</v>
      </c>
      <c r="AO42" s="336">
        <v>1</v>
      </c>
      <c r="AP42" s="337">
        <f t="shared" si="24"/>
        <v>1.0722009304576894</v>
      </c>
      <c r="AQ42" s="437" t="str">
        <f t="shared" si="25"/>
        <v>(2,1,1,2,1,1); Industry data (French tender)</v>
      </c>
      <c r="AR42" s="440">
        <v>2.2100000000000002E-2</v>
      </c>
      <c r="AS42" s="336">
        <v>1</v>
      </c>
      <c r="AT42" s="337">
        <f t="shared" si="26"/>
        <v>1.2434566510799234</v>
      </c>
      <c r="AU42" s="455" t="str">
        <f t="shared" si="27"/>
        <v>(2,4,1,3,1,5); Brailovsky (2026) GP 05</v>
      </c>
      <c r="AV42" s="440">
        <v>2.2100000000000002E-2</v>
      </c>
      <c r="AW42" s="336">
        <v>1</v>
      </c>
      <c r="AX42" s="337">
        <f t="shared" si="28"/>
        <v>1.2434566510799234</v>
      </c>
      <c r="AY42" s="437" t="str">
        <f t="shared" si="29"/>
        <v>(2,4,1,3,1,5); Brailovsky (2026) GP 05</v>
      </c>
      <c r="AZ42" s="338"/>
      <c r="BA42" s="440">
        <v>1.3100970873786401E-2</v>
      </c>
      <c r="BB42" s="440"/>
      <c r="BC42" s="216" t="s">
        <v>462</v>
      </c>
      <c r="BD42" s="83">
        <v>2</v>
      </c>
      <c r="BE42" s="83">
        <v>1</v>
      </c>
      <c r="BF42" s="83">
        <v>1</v>
      </c>
      <c r="BG42" s="83">
        <v>2</v>
      </c>
      <c r="BH42" s="83">
        <v>1</v>
      </c>
      <c r="BI42" s="83">
        <v>1</v>
      </c>
      <c r="BJ42" s="104">
        <v>3</v>
      </c>
      <c r="BK42" s="104">
        <v>1.05</v>
      </c>
      <c r="BL42" s="107">
        <f t="shared" si="30"/>
        <v>1.0510550504206344</v>
      </c>
      <c r="BM42" s="107">
        <f t="shared" si="31"/>
        <v>1.0722009304576894</v>
      </c>
      <c r="BN42" s="107" t="str">
        <f t="shared" si="32"/>
        <v>(2,1,1,2,1,1)</v>
      </c>
      <c r="BO42" s="108">
        <v>1.05</v>
      </c>
      <c r="BP42" s="108">
        <v>1</v>
      </c>
      <c r="BQ42" s="108">
        <v>1</v>
      </c>
      <c r="BR42" s="108">
        <v>1.01</v>
      </c>
      <c r="BS42" s="108">
        <v>1</v>
      </c>
      <c r="BT42" s="108">
        <v>1</v>
      </c>
      <c r="BV42" s="160" t="s">
        <v>954</v>
      </c>
      <c r="BW42" s="83">
        <v>2</v>
      </c>
      <c r="BX42" s="83">
        <v>4</v>
      </c>
      <c r="BY42" s="83">
        <v>1</v>
      </c>
      <c r="BZ42" s="83">
        <v>3</v>
      </c>
      <c r="CA42" s="83">
        <v>1</v>
      </c>
      <c r="CB42" s="83">
        <v>5</v>
      </c>
      <c r="CC42" s="104">
        <v>3</v>
      </c>
      <c r="CD42" s="104">
        <v>1.05</v>
      </c>
      <c r="CE42" s="107">
        <f t="shared" si="33"/>
        <v>1.2365959919080913</v>
      </c>
      <c r="CF42" s="107">
        <f t="shared" si="34"/>
        <v>1.2434566510799234</v>
      </c>
      <c r="CG42" s="107" t="str">
        <f t="shared" si="35"/>
        <v>(2,4,1,3,1,5)</v>
      </c>
      <c r="CH42" s="108">
        <v>1.05</v>
      </c>
      <c r="CI42" s="108">
        <v>1.1000000000000001</v>
      </c>
      <c r="CJ42" s="108">
        <v>1</v>
      </c>
      <c r="CK42" s="108">
        <v>1.02</v>
      </c>
      <c r="CL42" s="108">
        <v>1</v>
      </c>
      <c r="CM42" s="108">
        <v>1.2</v>
      </c>
    </row>
    <row r="43" spans="1:91" s="171" customFormat="1">
      <c r="A43" s="333">
        <v>266179</v>
      </c>
      <c r="B43" s="216"/>
      <c r="C43" s="334"/>
      <c r="D43" s="342">
        <v>5</v>
      </c>
      <c r="E43" s="343" t="s">
        <v>98</v>
      </c>
      <c r="F43" s="437" t="s">
        <v>975</v>
      </c>
      <c r="G43" s="438" t="s">
        <v>93</v>
      </c>
      <c r="H43" s="439" t="s">
        <v>98</v>
      </c>
      <c r="I43" s="439" t="s">
        <v>98</v>
      </c>
      <c r="J43" s="335">
        <v>0</v>
      </c>
      <c r="K43" s="438" t="s">
        <v>96</v>
      </c>
      <c r="L43" s="440">
        <f>AJ43</f>
        <v>6.2379288025890003E-4</v>
      </c>
      <c r="M43" s="336">
        <v>1</v>
      </c>
      <c r="N43" s="337">
        <f t="shared" si="10"/>
        <v>1.0722009304576894</v>
      </c>
      <c r="O43" s="455" t="str">
        <f t="shared" si="11"/>
        <v>(2,1,1,2,1,1); Industry data (French tender)</v>
      </c>
      <c r="P43" s="440">
        <v>0</v>
      </c>
      <c r="Q43" s="336">
        <v>1</v>
      </c>
      <c r="R43" s="337">
        <f t="shared" si="12"/>
        <v>1.0722009304576894</v>
      </c>
      <c r="S43" s="455" t="str">
        <f t="shared" si="13"/>
        <v>(2,1,1,2,1,1); Industry data (French tender)</v>
      </c>
      <c r="T43" s="440">
        <f>L43</f>
        <v>6.2379288025890003E-4</v>
      </c>
      <c r="U43" s="336">
        <v>1</v>
      </c>
      <c r="V43" s="337">
        <f t="shared" si="14"/>
        <v>1.0722009304576894</v>
      </c>
      <c r="W43" s="437" t="str">
        <f t="shared" si="15"/>
        <v>(2,1,1,2,1,1); Industry data (French tender)</v>
      </c>
      <c r="X43" s="440">
        <v>0</v>
      </c>
      <c r="Y43" s="336">
        <v>1</v>
      </c>
      <c r="Z43" s="337">
        <f t="shared" si="16"/>
        <v>1.0722009304576894</v>
      </c>
      <c r="AA43" s="437" t="str">
        <f t="shared" si="17"/>
        <v>(2,1,1,2,1,1); Industry data (French tender)</v>
      </c>
      <c r="AB43" s="440">
        <f>L43</f>
        <v>6.2379288025890003E-4</v>
      </c>
      <c r="AC43" s="336">
        <v>1</v>
      </c>
      <c r="AD43" s="337">
        <f t="shared" si="18"/>
        <v>1.0722009304576894</v>
      </c>
      <c r="AE43" s="455" t="str">
        <f t="shared" si="19"/>
        <v>(2,1,1,2,1,1); Industry data (French tender)</v>
      </c>
      <c r="AF43" s="440">
        <v>0</v>
      </c>
      <c r="AG43" s="336">
        <v>1</v>
      </c>
      <c r="AH43" s="337">
        <f t="shared" si="20"/>
        <v>1.0722009304576894</v>
      </c>
      <c r="AI43" s="455" t="str">
        <f t="shared" si="21"/>
        <v>(2,1,1,2,1,1); Industry data (French tender)</v>
      </c>
      <c r="AJ43" s="440">
        <f>BA43</f>
        <v>6.2379288025890003E-4</v>
      </c>
      <c r="AK43" s="336">
        <v>1</v>
      </c>
      <c r="AL43" s="337">
        <f t="shared" si="22"/>
        <v>1.0722009304576894</v>
      </c>
      <c r="AM43" s="455" t="str">
        <f t="shared" si="23"/>
        <v>(2,1,1,2,1,1); Industry data (French tender)</v>
      </c>
      <c r="AN43" s="440">
        <v>0</v>
      </c>
      <c r="AO43" s="336">
        <v>1</v>
      </c>
      <c r="AP43" s="337">
        <f t="shared" si="24"/>
        <v>1.0722009304576894</v>
      </c>
      <c r="AQ43" s="437" t="str">
        <f t="shared" si="25"/>
        <v>(2,1,1,2,1,1); Industry data (French tender)</v>
      </c>
      <c r="AR43" s="440">
        <v>0</v>
      </c>
      <c r="AS43" s="336">
        <v>1</v>
      </c>
      <c r="AT43" s="337">
        <f t="shared" si="26"/>
        <v>1.05</v>
      </c>
      <c r="AU43" s="455" t="str">
        <f t="shared" si="27"/>
        <v xml:space="preserve">(na,na,na,na,na,na); </v>
      </c>
      <c r="AV43" s="440">
        <v>0</v>
      </c>
      <c r="AW43" s="336">
        <v>1</v>
      </c>
      <c r="AX43" s="337">
        <f t="shared" si="28"/>
        <v>1.05</v>
      </c>
      <c r="AY43" s="437" t="str">
        <f t="shared" si="29"/>
        <v xml:space="preserve">(na,na,na,na,na,na); </v>
      </c>
      <c r="AZ43" s="338"/>
      <c r="BA43" s="440">
        <v>6.2379288025890003E-4</v>
      </c>
      <c r="BB43" s="440"/>
      <c r="BC43" s="216" t="s">
        <v>462</v>
      </c>
      <c r="BD43" s="83">
        <v>2</v>
      </c>
      <c r="BE43" s="83">
        <v>1</v>
      </c>
      <c r="BF43" s="83">
        <v>1</v>
      </c>
      <c r="BG43" s="83">
        <v>2</v>
      </c>
      <c r="BH43" s="83">
        <v>1</v>
      </c>
      <c r="BI43" s="83">
        <v>1</v>
      </c>
      <c r="BJ43" s="104">
        <v>3</v>
      </c>
      <c r="BK43" s="104">
        <v>1.05</v>
      </c>
      <c r="BL43" s="107">
        <f t="shared" si="30"/>
        <v>1.0510550504206344</v>
      </c>
      <c r="BM43" s="107">
        <f t="shared" si="31"/>
        <v>1.0722009304576894</v>
      </c>
      <c r="BN43" s="107" t="str">
        <f t="shared" si="32"/>
        <v>(2,1,1,2,1,1)</v>
      </c>
      <c r="BO43" s="108">
        <v>1.05</v>
      </c>
      <c r="BP43" s="108">
        <v>1</v>
      </c>
      <c r="BQ43" s="108">
        <v>1</v>
      </c>
      <c r="BR43" s="108">
        <v>1.01</v>
      </c>
      <c r="BS43" s="108">
        <v>1</v>
      </c>
      <c r="BT43" s="108">
        <v>1</v>
      </c>
      <c r="BV43" s="160"/>
      <c r="BW43" s="83" t="s">
        <v>106</v>
      </c>
      <c r="BX43" s="83" t="s">
        <v>106</v>
      </c>
      <c r="BY43" s="83" t="s">
        <v>106</v>
      </c>
      <c r="BZ43" s="83" t="s">
        <v>106</v>
      </c>
      <c r="CA43" s="83" t="s">
        <v>106</v>
      </c>
      <c r="CB43" s="83" t="s">
        <v>106</v>
      </c>
      <c r="CC43" s="104">
        <v>3</v>
      </c>
      <c r="CD43" s="104">
        <v>1.05</v>
      </c>
      <c r="CE43" s="107">
        <f t="shared" si="33"/>
        <v>1</v>
      </c>
      <c r="CF43" s="107">
        <f t="shared" si="34"/>
        <v>1.05</v>
      </c>
      <c r="CG43" s="107" t="str">
        <f t="shared" si="35"/>
        <v>(na,na,na,na,na,na)</v>
      </c>
      <c r="CH43" s="108">
        <v>1</v>
      </c>
      <c r="CI43" s="108">
        <v>1</v>
      </c>
      <c r="CJ43" s="108">
        <v>1</v>
      </c>
      <c r="CK43" s="108">
        <v>1</v>
      </c>
      <c r="CL43" s="108">
        <v>1</v>
      </c>
      <c r="CM43" s="108">
        <v>1</v>
      </c>
    </row>
    <row r="44" spans="1:91" s="171" customFormat="1">
      <c r="A44" s="333">
        <v>268239</v>
      </c>
      <c r="B44" s="216"/>
      <c r="C44" s="334"/>
      <c r="D44" s="342">
        <v>5</v>
      </c>
      <c r="E44" s="343" t="s">
        <v>98</v>
      </c>
      <c r="F44" s="437" t="s">
        <v>976</v>
      </c>
      <c r="G44" s="438" t="s">
        <v>93</v>
      </c>
      <c r="H44" s="439" t="s">
        <v>98</v>
      </c>
      <c r="I44" s="439" t="s">
        <v>98</v>
      </c>
      <c r="J44" s="335">
        <v>0</v>
      </c>
      <c r="K44" s="438" t="s">
        <v>96</v>
      </c>
      <c r="L44" s="440">
        <v>0</v>
      </c>
      <c r="M44" s="336">
        <v>1</v>
      </c>
      <c r="N44" s="337">
        <f t="shared" si="10"/>
        <v>1.05</v>
      </c>
      <c r="O44" s="455" t="str">
        <f t="shared" si="11"/>
        <v xml:space="preserve">(1,1,1,1,1,1); </v>
      </c>
      <c r="P44" s="440">
        <v>0</v>
      </c>
      <c r="Q44" s="336">
        <v>1</v>
      </c>
      <c r="R44" s="337">
        <f t="shared" si="12"/>
        <v>1.05</v>
      </c>
      <c r="S44" s="455" t="str">
        <f t="shared" si="13"/>
        <v xml:space="preserve">(1,1,1,1,1,1); </v>
      </c>
      <c r="T44" s="440">
        <v>0</v>
      </c>
      <c r="U44" s="336">
        <v>1</v>
      </c>
      <c r="V44" s="337">
        <f t="shared" si="14"/>
        <v>1.05</v>
      </c>
      <c r="W44" s="437" t="str">
        <f t="shared" si="15"/>
        <v xml:space="preserve">(1,1,1,1,1,1); </v>
      </c>
      <c r="X44" s="440">
        <v>0</v>
      </c>
      <c r="Y44" s="336">
        <v>1</v>
      </c>
      <c r="Z44" s="337">
        <f t="shared" si="16"/>
        <v>1.05</v>
      </c>
      <c r="AA44" s="437" t="str">
        <f t="shared" si="17"/>
        <v xml:space="preserve">(1,1,1,1,1,1); </v>
      </c>
      <c r="AB44" s="440">
        <v>0</v>
      </c>
      <c r="AC44" s="336">
        <v>1</v>
      </c>
      <c r="AD44" s="337">
        <f t="shared" si="18"/>
        <v>1.05</v>
      </c>
      <c r="AE44" s="455" t="str">
        <f t="shared" si="19"/>
        <v xml:space="preserve">(1,1,1,1,1,1); </v>
      </c>
      <c r="AF44" s="440">
        <v>0</v>
      </c>
      <c r="AG44" s="336">
        <v>1</v>
      </c>
      <c r="AH44" s="337">
        <f t="shared" si="20"/>
        <v>1.05</v>
      </c>
      <c r="AI44" s="455" t="str">
        <f t="shared" si="21"/>
        <v xml:space="preserve">(1,1,1,1,1,1); </v>
      </c>
      <c r="AJ44" s="440">
        <v>0</v>
      </c>
      <c r="AK44" s="336">
        <v>1</v>
      </c>
      <c r="AL44" s="337">
        <f t="shared" si="22"/>
        <v>1.05</v>
      </c>
      <c r="AM44" s="455" t="str">
        <f t="shared" si="23"/>
        <v xml:space="preserve">(1,1,1,1,1,1); </v>
      </c>
      <c r="AN44" s="440">
        <v>0</v>
      </c>
      <c r="AO44" s="336">
        <v>1</v>
      </c>
      <c r="AP44" s="337">
        <f t="shared" si="24"/>
        <v>1.05</v>
      </c>
      <c r="AQ44" s="437" t="str">
        <f t="shared" si="25"/>
        <v xml:space="preserve">(1,1,1,1,1,1); </v>
      </c>
      <c r="AR44" s="440">
        <v>8.5769213813870795E-5</v>
      </c>
      <c r="AS44" s="336">
        <v>1</v>
      </c>
      <c r="AT44" s="337">
        <f t="shared" si="26"/>
        <v>1.2434566510799234</v>
      </c>
      <c r="AU44" s="455" t="str">
        <f t="shared" si="27"/>
        <v>(2,4,1,3,1,5); Brailovsky (2026) GP 05</v>
      </c>
      <c r="AV44" s="440">
        <v>8.5769213813870795E-5</v>
      </c>
      <c r="AW44" s="336">
        <v>1</v>
      </c>
      <c r="AX44" s="337">
        <f t="shared" si="28"/>
        <v>1.2434566510799234</v>
      </c>
      <c r="AY44" s="437" t="str">
        <f t="shared" si="29"/>
        <v>(2,4,1,3,1,5); Brailovsky (2026) GP 05</v>
      </c>
      <c r="AZ44" s="338"/>
      <c r="BA44" s="440"/>
      <c r="BB44" s="440"/>
      <c r="BC44" s="216"/>
      <c r="BD44" s="83">
        <v>1</v>
      </c>
      <c r="BE44" s="83">
        <v>1</v>
      </c>
      <c r="BF44" s="83">
        <v>1</v>
      </c>
      <c r="BG44" s="83">
        <v>1</v>
      </c>
      <c r="BH44" s="83">
        <v>1</v>
      </c>
      <c r="BI44" s="83">
        <v>1</v>
      </c>
      <c r="BJ44" s="104">
        <v>3</v>
      </c>
      <c r="BK44" s="104">
        <v>1.05</v>
      </c>
      <c r="BL44" s="107">
        <f t="shared" si="30"/>
        <v>1</v>
      </c>
      <c r="BM44" s="107">
        <f t="shared" si="31"/>
        <v>1.05</v>
      </c>
      <c r="BN44" s="107" t="str">
        <f t="shared" si="32"/>
        <v>(1,1,1,1,1,1)</v>
      </c>
      <c r="BO44" s="108">
        <v>1</v>
      </c>
      <c r="BP44" s="108">
        <v>1</v>
      </c>
      <c r="BQ44" s="108">
        <v>1</v>
      </c>
      <c r="BR44" s="108">
        <v>1</v>
      </c>
      <c r="BS44" s="108">
        <v>1</v>
      </c>
      <c r="BT44" s="108">
        <v>1</v>
      </c>
      <c r="BV44" s="160" t="s">
        <v>954</v>
      </c>
      <c r="BW44" s="83">
        <v>2</v>
      </c>
      <c r="BX44" s="83">
        <v>4</v>
      </c>
      <c r="BY44" s="83">
        <v>1</v>
      </c>
      <c r="BZ44" s="83">
        <v>3</v>
      </c>
      <c r="CA44" s="83">
        <v>1</v>
      </c>
      <c r="CB44" s="83">
        <v>5</v>
      </c>
      <c r="CC44" s="104">
        <v>3</v>
      </c>
      <c r="CD44" s="104">
        <v>1.05</v>
      </c>
      <c r="CE44" s="107">
        <f t="shared" si="33"/>
        <v>1.2365959919080913</v>
      </c>
      <c r="CF44" s="107">
        <f t="shared" si="34"/>
        <v>1.2434566510799234</v>
      </c>
      <c r="CG44" s="107" t="str">
        <f t="shared" si="35"/>
        <v>(2,4,1,3,1,5)</v>
      </c>
      <c r="CH44" s="108">
        <v>1.05</v>
      </c>
      <c r="CI44" s="108">
        <v>1.1000000000000001</v>
      </c>
      <c r="CJ44" s="108">
        <v>1</v>
      </c>
      <c r="CK44" s="108">
        <v>1.02</v>
      </c>
      <c r="CL44" s="108">
        <v>1</v>
      </c>
      <c r="CM44" s="108">
        <v>1.2</v>
      </c>
    </row>
    <row r="45" spans="1:91" s="171" customFormat="1" collapsed="1">
      <c r="A45" s="333">
        <v>269509</v>
      </c>
      <c r="B45" s="216"/>
      <c r="C45" s="334"/>
      <c r="D45" s="342">
        <v>5</v>
      </c>
      <c r="E45" s="343" t="s">
        <v>98</v>
      </c>
      <c r="F45" s="437" t="s">
        <v>461</v>
      </c>
      <c r="G45" s="438" t="s">
        <v>93</v>
      </c>
      <c r="H45" s="439" t="s">
        <v>98</v>
      </c>
      <c r="I45" s="439" t="s">
        <v>98</v>
      </c>
      <c r="J45" s="335">
        <v>0</v>
      </c>
      <c r="K45" s="438" t="s">
        <v>96</v>
      </c>
      <c r="L45" s="440">
        <f t="shared" ref="L45:L55" si="36">AJ45</f>
        <v>3.0932491909385101E-2</v>
      </c>
      <c r="M45" s="336">
        <v>1</v>
      </c>
      <c r="N45" s="337">
        <f t="shared" si="10"/>
        <v>1.0722009304576894</v>
      </c>
      <c r="O45" s="455" t="str">
        <f t="shared" si="11"/>
        <v>(2,1,1,2,1,1); Industry data (French tender) in H2O iso without water</v>
      </c>
      <c r="P45" s="440">
        <v>5.61033210332103E-2</v>
      </c>
      <c r="Q45" s="336">
        <v>1</v>
      </c>
      <c r="R45" s="337">
        <f t="shared" si="12"/>
        <v>1.0722009304576894</v>
      </c>
      <c r="S45" s="455" t="str">
        <f t="shared" si="13"/>
        <v>(2,1,1,2,1,1); Industry data (French tender) in H2O iso without water</v>
      </c>
      <c r="T45" s="440">
        <f t="shared" ref="T45:T61" si="37">L45</f>
        <v>3.0932491909385101E-2</v>
      </c>
      <c r="U45" s="336">
        <v>1</v>
      </c>
      <c r="V45" s="337">
        <f t="shared" si="14"/>
        <v>1.0722009304576894</v>
      </c>
      <c r="W45" s="437" t="str">
        <f t="shared" si="15"/>
        <v>(2,1,1,2,1,1); Industry data (French tender) in H2O iso without water</v>
      </c>
      <c r="X45" s="440">
        <v>5.61033210332103E-2</v>
      </c>
      <c r="Y45" s="336">
        <v>1</v>
      </c>
      <c r="Z45" s="337">
        <f t="shared" si="16"/>
        <v>1.0722009304576894</v>
      </c>
      <c r="AA45" s="437" t="str">
        <f t="shared" si="17"/>
        <v>(2,1,1,2,1,1); Industry data (French tender) in H2O iso without water</v>
      </c>
      <c r="AB45" s="440">
        <f t="shared" ref="AB45:AB61" si="38">L45</f>
        <v>3.0932491909385101E-2</v>
      </c>
      <c r="AC45" s="336">
        <v>1</v>
      </c>
      <c r="AD45" s="337">
        <f t="shared" si="18"/>
        <v>1.0722009304576894</v>
      </c>
      <c r="AE45" s="455" t="str">
        <f t="shared" si="19"/>
        <v>(2,1,1,2,1,1); Industry data (French tender) in H2O iso without water</v>
      </c>
      <c r="AF45" s="440">
        <v>5.61033210332103E-2</v>
      </c>
      <c r="AG45" s="336">
        <v>1</v>
      </c>
      <c r="AH45" s="337">
        <f t="shared" si="20"/>
        <v>1.0722009304576894</v>
      </c>
      <c r="AI45" s="455" t="str">
        <f t="shared" si="21"/>
        <v>(2,1,1,2,1,1); Industry data (French tender) in H2O iso without water</v>
      </c>
      <c r="AJ45" s="440">
        <f t="shared" ref="AJ45:AJ55" si="39">BA45</f>
        <v>3.0932491909385101E-2</v>
      </c>
      <c r="AK45" s="336">
        <v>1</v>
      </c>
      <c r="AL45" s="337">
        <f t="shared" si="22"/>
        <v>1.0722009304576894</v>
      </c>
      <c r="AM45" s="455" t="str">
        <f t="shared" si="23"/>
        <v>(2,1,1,2,1,1); Industry data (French tender) in H2O iso without water</v>
      </c>
      <c r="AN45" s="440">
        <v>5.61033210332103E-2</v>
      </c>
      <c r="AO45" s="336">
        <v>1</v>
      </c>
      <c r="AP45" s="337">
        <f t="shared" si="24"/>
        <v>1.0722009304576894</v>
      </c>
      <c r="AQ45" s="437" t="str">
        <f t="shared" si="25"/>
        <v>(2,1,1,2,1,1); Industry data (French tender) in H2O iso without water</v>
      </c>
      <c r="AR45" s="440">
        <v>2.45184433962264E-2</v>
      </c>
      <c r="AS45" s="336">
        <v>1</v>
      </c>
      <c r="AT45" s="337">
        <f t="shared" si="26"/>
        <v>1.2434566510799234</v>
      </c>
      <c r="AU45" s="455" t="str">
        <f t="shared" si="27"/>
        <v>(2,4,1,3,1,5); Brailovsky (2026) GP 06b</v>
      </c>
      <c r="AV45" s="440">
        <v>2.45184433962264E-2</v>
      </c>
      <c r="AW45" s="336">
        <v>1</v>
      </c>
      <c r="AX45" s="337">
        <f t="shared" si="28"/>
        <v>1.2434566510799234</v>
      </c>
      <c r="AY45" s="437" t="str">
        <f t="shared" si="29"/>
        <v>(2,4,1,3,1,5); Brailovsky (2026) GP 06b</v>
      </c>
      <c r="AZ45" s="338"/>
      <c r="BA45" s="440">
        <v>3.0932491909385101E-2</v>
      </c>
      <c r="BB45" s="440"/>
      <c r="BC45" s="216" t="s">
        <v>977</v>
      </c>
      <c r="BD45" s="83">
        <v>2</v>
      </c>
      <c r="BE45" s="83">
        <v>1</v>
      </c>
      <c r="BF45" s="83">
        <v>1</v>
      </c>
      <c r="BG45" s="83">
        <v>2</v>
      </c>
      <c r="BH45" s="83">
        <v>1</v>
      </c>
      <c r="BI45" s="83">
        <v>1</v>
      </c>
      <c r="BJ45" s="104">
        <v>3</v>
      </c>
      <c r="BK45" s="104">
        <v>1.05</v>
      </c>
      <c r="BL45" s="107">
        <f t="shared" si="30"/>
        <v>1.0510550504206344</v>
      </c>
      <c r="BM45" s="107">
        <f t="shared" si="31"/>
        <v>1.0722009304576894</v>
      </c>
      <c r="BN45" s="107" t="str">
        <f t="shared" si="32"/>
        <v>(2,1,1,2,1,1)</v>
      </c>
      <c r="BO45" s="108">
        <v>1.05</v>
      </c>
      <c r="BP45" s="108">
        <v>1</v>
      </c>
      <c r="BQ45" s="108">
        <v>1</v>
      </c>
      <c r="BR45" s="108">
        <v>1.01</v>
      </c>
      <c r="BS45" s="108">
        <v>1</v>
      </c>
      <c r="BT45" s="108">
        <v>1</v>
      </c>
      <c r="BV45" s="160" t="s">
        <v>978</v>
      </c>
      <c r="BW45" s="83">
        <v>2</v>
      </c>
      <c r="BX45" s="83">
        <v>4</v>
      </c>
      <c r="BY45" s="83">
        <v>1</v>
      </c>
      <c r="BZ45" s="83">
        <v>3</v>
      </c>
      <c r="CA45" s="83">
        <v>1</v>
      </c>
      <c r="CB45" s="83">
        <v>5</v>
      </c>
      <c r="CC45" s="104">
        <v>3</v>
      </c>
      <c r="CD45" s="104">
        <v>1.05</v>
      </c>
      <c r="CE45" s="107">
        <f t="shared" si="33"/>
        <v>1.2365959919080913</v>
      </c>
      <c r="CF45" s="107">
        <f t="shared" si="34"/>
        <v>1.2434566510799234</v>
      </c>
      <c r="CG45" s="107" t="str">
        <f t="shared" si="35"/>
        <v>(2,4,1,3,1,5)</v>
      </c>
      <c r="CH45" s="108">
        <v>1.05</v>
      </c>
      <c r="CI45" s="108">
        <v>1.1000000000000001</v>
      </c>
      <c r="CJ45" s="108">
        <v>1</v>
      </c>
      <c r="CK45" s="108">
        <v>1.02</v>
      </c>
      <c r="CL45" s="108">
        <v>1</v>
      </c>
      <c r="CM45" s="108">
        <v>1.2</v>
      </c>
    </row>
    <row r="46" spans="1:91" s="171" customFormat="1">
      <c r="A46" s="333">
        <v>269249</v>
      </c>
      <c r="B46" s="216"/>
      <c r="C46" s="334"/>
      <c r="D46" s="342">
        <v>5</v>
      </c>
      <c r="E46" s="343" t="s">
        <v>98</v>
      </c>
      <c r="F46" s="437" t="s">
        <v>584</v>
      </c>
      <c r="G46" s="438" t="s">
        <v>93</v>
      </c>
      <c r="H46" s="439" t="s">
        <v>98</v>
      </c>
      <c r="I46" s="439" t="s">
        <v>98</v>
      </c>
      <c r="J46" s="335">
        <v>0</v>
      </c>
      <c r="K46" s="438" t="s">
        <v>96</v>
      </c>
      <c r="L46" s="440">
        <f t="shared" si="36"/>
        <v>0</v>
      </c>
      <c r="M46" s="336">
        <v>1</v>
      </c>
      <c r="N46" s="337">
        <f t="shared" si="10"/>
        <v>1.0722009304576894</v>
      </c>
      <c r="O46" s="455" t="str">
        <f t="shared" si="11"/>
        <v>(2,1,1,2,1,1); Industry data (French tender)</v>
      </c>
      <c r="P46" s="440">
        <v>1.1176291512915101E-2</v>
      </c>
      <c r="Q46" s="336">
        <v>1</v>
      </c>
      <c r="R46" s="337">
        <f t="shared" si="12"/>
        <v>1.0722009304576894</v>
      </c>
      <c r="S46" s="455" t="str">
        <f t="shared" si="13"/>
        <v>(2,1,1,2,1,1); Industry data (French tender)</v>
      </c>
      <c r="T46" s="440">
        <f t="shared" si="37"/>
        <v>0</v>
      </c>
      <c r="U46" s="336">
        <v>1</v>
      </c>
      <c r="V46" s="337">
        <f t="shared" si="14"/>
        <v>1.0722009304576894</v>
      </c>
      <c r="W46" s="437" t="str">
        <f t="shared" si="15"/>
        <v>(2,1,1,2,1,1); Industry data (French tender)</v>
      </c>
      <c r="X46" s="440">
        <v>1.1176291512915101E-2</v>
      </c>
      <c r="Y46" s="336">
        <v>1</v>
      </c>
      <c r="Z46" s="337">
        <f t="shared" si="16"/>
        <v>1.0722009304576894</v>
      </c>
      <c r="AA46" s="437" t="str">
        <f t="shared" si="17"/>
        <v>(2,1,1,2,1,1); Industry data (French tender)</v>
      </c>
      <c r="AB46" s="440">
        <f t="shared" si="38"/>
        <v>0</v>
      </c>
      <c r="AC46" s="336">
        <v>1</v>
      </c>
      <c r="AD46" s="337">
        <f t="shared" si="18"/>
        <v>1.0722009304576894</v>
      </c>
      <c r="AE46" s="455" t="str">
        <f t="shared" si="19"/>
        <v>(2,1,1,2,1,1); Industry data (French tender)</v>
      </c>
      <c r="AF46" s="440">
        <v>1.1176291512915101E-2</v>
      </c>
      <c r="AG46" s="336">
        <v>1</v>
      </c>
      <c r="AH46" s="337">
        <f t="shared" si="20"/>
        <v>1.0722009304576894</v>
      </c>
      <c r="AI46" s="455" t="str">
        <f t="shared" si="21"/>
        <v>(2,1,1,2,1,1); Industry data (French tender)</v>
      </c>
      <c r="AJ46" s="440">
        <f t="shared" si="39"/>
        <v>0</v>
      </c>
      <c r="AK46" s="336">
        <v>1</v>
      </c>
      <c r="AL46" s="337">
        <f t="shared" si="22"/>
        <v>1.0722009304576894</v>
      </c>
      <c r="AM46" s="455" t="str">
        <f t="shared" si="23"/>
        <v>(2,1,1,2,1,1); Industry data (French tender)</v>
      </c>
      <c r="AN46" s="440">
        <v>1.1176291512915101E-2</v>
      </c>
      <c r="AO46" s="336">
        <v>1</v>
      </c>
      <c r="AP46" s="337">
        <f t="shared" si="24"/>
        <v>1.0722009304576894</v>
      </c>
      <c r="AQ46" s="437" t="str">
        <f t="shared" si="25"/>
        <v>(2,1,1,2,1,1); Industry data (French tender)</v>
      </c>
      <c r="AR46" s="440">
        <v>0</v>
      </c>
      <c r="AS46" s="336">
        <v>1</v>
      </c>
      <c r="AT46" s="337">
        <f t="shared" si="26"/>
        <v>1.05</v>
      </c>
      <c r="AU46" s="455" t="str">
        <f t="shared" si="27"/>
        <v xml:space="preserve">(na,na,na,na,na,na); </v>
      </c>
      <c r="AV46" s="440">
        <v>0</v>
      </c>
      <c r="AW46" s="336">
        <v>1</v>
      </c>
      <c r="AX46" s="337">
        <f t="shared" si="28"/>
        <v>1.05</v>
      </c>
      <c r="AY46" s="437" t="str">
        <f t="shared" si="29"/>
        <v xml:space="preserve">(na,na,na,na,na,na); </v>
      </c>
      <c r="AZ46" s="338"/>
      <c r="BA46" s="440">
        <v>0</v>
      </c>
      <c r="BB46" s="440"/>
      <c r="BC46" s="216" t="s">
        <v>462</v>
      </c>
      <c r="BD46" s="83">
        <v>2</v>
      </c>
      <c r="BE46" s="83">
        <v>1</v>
      </c>
      <c r="BF46" s="83">
        <v>1</v>
      </c>
      <c r="BG46" s="83">
        <v>2</v>
      </c>
      <c r="BH46" s="83">
        <v>1</v>
      </c>
      <c r="BI46" s="83">
        <v>1</v>
      </c>
      <c r="BJ46" s="104">
        <v>3</v>
      </c>
      <c r="BK46" s="104">
        <v>1.05</v>
      </c>
      <c r="BL46" s="107">
        <f t="shared" si="30"/>
        <v>1.0510550504206344</v>
      </c>
      <c r="BM46" s="107">
        <f t="shared" si="31"/>
        <v>1.0722009304576894</v>
      </c>
      <c r="BN46" s="107" t="str">
        <f t="shared" si="32"/>
        <v>(2,1,1,2,1,1)</v>
      </c>
      <c r="BO46" s="108">
        <v>1.05</v>
      </c>
      <c r="BP46" s="108">
        <v>1</v>
      </c>
      <c r="BQ46" s="108">
        <v>1</v>
      </c>
      <c r="BR46" s="108">
        <v>1.01</v>
      </c>
      <c r="BS46" s="108">
        <v>1</v>
      </c>
      <c r="BT46" s="108">
        <v>1</v>
      </c>
      <c r="BV46" s="160"/>
      <c r="BW46" s="83" t="s">
        <v>106</v>
      </c>
      <c r="BX46" s="83" t="s">
        <v>106</v>
      </c>
      <c r="BY46" s="83" t="s">
        <v>106</v>
      </c>
      <c r="BZ46" s="83" t="s">
        <v>106</v>
      </c>
      <c r="CA46" s="83" t="s">
        <v>106</v>
      </c>
      <c r="CB46" s="83" t="s">
        <v>106</v>
      </c>
      <c r="CC46" s="104">
        <v>3</v>
      </c>
      <c r="CD46" s="104">
        <v>1.05</v>
      </c>
      <c r="CE46" s="107">
        <f t="shared" si="33"/>
        <v>1</v>
      </c>
      <c r="CF46" s="107">
        <f t="shared" si="34"/>
        <v>1.05</v>
      </c>
      <c r="CG46" s="107" t="str">
        <f t="shared" si="35"/>
        <v>(na,na,na,na,na,na)</v>
      </c>
      <c r="CH46" s="108">
        <v>1</v>
      </c>
      <c r="CI46" s="108">
        <v>1</v>
      </c>
      <c r="CJ46" s="108">
        <v>1</v>
      </c>
      <c r="CK46" s="108">
        <v>1</v>
      </c>
      <c r="CL46" s="108">
        <v>1</v>
      </c>
      <c r="CM46" s="108">
        <v>1</v>
      </c>
    </row>
    <row r="47" spans="1:91" s="171" customFormat="1">
      <c r="A47" s="333">
        <v>269261</v>
      </c>
      <c r="B47" s="216"/>
      <c r="C47" s="334"/>
      <c r="D47" s="342">
        <v>5</v>
      </c>
      <c r="E47" s="343" t="s">
        <v>98</v>
      </c>
      <c r="F47" s="437" t="s">
        <v>207</v>
      </c>
      <c r="G47" s="438" t="s">
        <v>154</v>
      </c>
      <c r="H47" s="439" t="s">
        <v>98</v>
      </c>
      <c r="I47" s="439" t="s">
        <v>98</v>
      </c>
      <c r="J47" s="335">
        <v>0</v>
      </c>
      <c r="K47" s="438" t="s">
        <v>96</v>
      </c>
      <c r="L47" s="440">
        <f t="shared" si="36"/>
        <v>0.243133009708738</v>
      </c>
      <c r="M47" s="336">
        <v>1</v>
      </c>
      <c r="N47" s="337">
        <f t="shared" si="10"/>
        <v>1.0722009304576894</v>
      </c>
      <c r="O47" s="455" t="str">
        <f t="shared" si="11"/>
        <v>(2,1,1,2,1,1); Industry data (French tender) in H2O iso without water</v>
      </c>
      <c r="P47" s="440">
        <v>0.23304981549815501</v>
      </c>
      <c r="Q47" s="336">
        <v>1</v>
      </c>
      <c r="R47" s="337">
        <f t="shared" si="12"/>
        <v>1.0722009304576894</v>
      </c>
      <c r="S47" s="455" t="str">
        <f t="shared" si="13"/>
        <v>(2,1,1,2,1,1); Industry data (French tender) in H2O iso without water</v>
      </c>
      <c r="T47" s="440">
        <f t="shared" si="37"/>
        <v>0.243133009708738</v>
      </c>
      <c r="U47" s="336">
        <v>1</v>
      </c>
      <c r="V47" s="337">
        <f t="shared" si="14"/>
        <v>1.0722009304576894</v>
      </c>
      <c r="W47" s="437" t="str">
        <f t="shared" si="15"/>
        <v>(2,1,1,2,1,1); Industry data (French tender) in H2O iso without water</v>
      </c>
      <c r="X47" s="440">
        <v>0.23304981549815501</v>
      </c>
      <c r="Y47" s="336">
        <v>1</v>
      </c>
      <c r="Z47" s="337">
        <f t="shared" si="16"/>
        <v>1.0722009304576894</v>
      </c>
      <c r="AA47" s="437" t="str">
        <f t="shared" si="17"/>
        <v>(2,1,1,2,1,1); Industry data (French tender) in H2O iso without water</v>
      </c>
      <c r="AB47" s="440">
        <f t="shared" si="38"/>
        <v>0.243133009708738</v>
      </c>
      <c r="AC47" s="336">
        <v>1</v>
      </c>
      <c r="AD47" s="337">
        <f t="shared" si="18"/>
        <v>1.0722009304576894</v>
      </c>
      <c r="AE47" s="455" t="str">
        <f t="shared" si="19"/>
        <v>(2,1,1,2,1,1); Industry data (French tender) in H2O iso without water</v>
      </c>
      <c r="AF47" s="440">
        <v>0.23304981549815501</v>
      </c>
      <c r="AG47" s="336">
        <v>1</v>
      </c>
      <c r="AH47" s="337">
        <f t="shared" si="20"/>
        <v>1.0722009304576894</v>
      </c>
      <c r="AI47" s="455" t="str">
        <f t="shared" si="21"/>
        <v>(2,1,1,2,1,1); Industry data (French tender) in H2O iso without water</v>
      </c>
      <c r="AJ47" s="440">
        <f t="shared" si="39"/>
        <v>0.243133009708738</v>
      </c>
      <c r="AK47" s="336">
        <v>1</v>
      </c>
      <c r="AL47" s="337">
        <f t="shared" si="22"/>
        <v>1.0722009304576894</v>
      </c>
      <c r="AM47" s="455" t="str">
        <f t="shared" si="23"/>
        <v>(2,1,1,2,1,1); Industry data (French tender) in H2O iso without water</v>
      </c>
      <c r="AN47" s="440">
        <v>0.23304981549815501</v>
      </c>
      <c r="AO47" s="336">
        <v>1</v>
      </c>
      <c r="AP47" s="337">
        <f t="shared" si="24"/>
        <v>1.0722009304576894</v>
      </c>
      <c r="AQ47" s="437" t="str">
        <f t="shared" si="25"/>
        <v>(2,1,1,2,1,1); Industry data (French tender) in H2O iso without water</v>
      </c>
      <c r="AR47" s="440">
        <v>8.9724142310439306E-2</v>
      </c>
      <c r="AS47" s="336">
        <v>1</v>
      </c>
      <c r="AT47" s="337">
        <f t="shared" si="26"/>
        <v>1.2434566510799234</v>
      </c>
      <c r="AU47" s="455" t="str">
        <f t="shared" si="27"/>
        <v>(2,4,1,3,1,5); Brailovsky (2026) GP 06b</v>
      </c>
      <c r="AV47" s="440">
        <v>8.9724142310439306E-2</v>
      </c>
      <c r="AW47" s="336">
        <v>1</v>
      </c>
      <c r="AX47" s="337">
        <f t="shared" si="28"/>
        <v>1.2434566510799234</v>
      </c>
      <c r="AY47" s="437" t="str">
        <f t="shared" si="29"/>
        <v>(2,4,1,3,1,5); Brailovsky (2026) GP 06b</v>
      </c>
      <c r="AZ47" s="338"/>
      <c r="BA47" s="440">
        <v>0.243133009708738</v>
      </c>
      <c r="BB47" s="440"/>
      <c r="BC47" s="216" t="s">
        <v>977</v>
      </c>
      <c r="BD47" s="83">
        <v>2</v>
      </c>
      <c r="BE47" s="83">
        <v>1</v>
      </c>
      <c r="BF47" s="83">
        <v>1</v>
      </c>
      <c r="BG47" s="83">
        <v>2</v>
      </c>
      <c r="BH47" s="83">
        <v>1</v>
      </c>
      <c r="BI47" s="83">
        <v>1</v>
      </c>
      <c r="BJ47" s="104">
        <v>3</v>
      </c>
      <c r="BK47" s="104">
        <v>1.05</v>
      </c>
      <c r="BL47" s="107">
        <f t="shared" si="30"/>
        <v>1.0510550504206344</v>
      </c>
      <c r="BM47" s="107">
        <f t="shared" si="31"/>
        <v>1.0722009304576894</v>
      </c>
      <c r="BN47" s="107" t="str">
        <f t="shared" si="32"/>
        <v>(2,1,1,2,1,1)</v>
      </c>
      <c r="BO47" s="108">
        <v>1.05</v>
      </c>
      <c r="BP47" s="108">
        <v>1</v>
      </c>
      <c r="BQ47" s="108">
        <v>1</v>
      </c>
      <c r="BR47" s="108">
        <v>1.01</v>
      </c>
      <c r="BS47" s="108">
        <v>1</v>
      </c>
      <c r="BT47" s="108">
        <v>1</v>
      </c>
      <c r="BV47" s="160" t="s">
        <v>978</v>
      </c>
      <c r="BW47" s="83">
        <v>2</v>
      </c>
      <c r="BX47" s="83">
        <v>4</v>
      </c>
      <c r="BY47" s="83">
        <v>1</v>
      </c>
      <c r="BZ47" s="83">
        <v>3</v>
      </c>
      <c r="CA47" s="83">
        <v>1</v>
      </c>
      <c r="CB47" s="83">
        <v>5</v>
      </c>
      <c r="CC47" s="104">
        <v>3</v>
      </c>
      <c r="CD47" s="104">
        <v>1.05</v>
      </c>
      <c r="CE47" s="107">
        <f t="shared" si="33"/>
        <v>1.2365959919080913</v>
      </c>
      <c r="CF47" s="107">
        <f t="shared" si="34"/>
        <v>1.2434566510799234</v>
      </c>
      <c r="CG47" s="107" t="str">
        <f t="shared" si="35"/>
        <v>(2,4,1,3,1,5)</v>
      </c>
      <c r="CH47" s="108">
        <v>1.05</v>
      </c>
      <c r="CI47" s="108">
        <v>1.1000000000000001</v>
      </c>
      <c r="CJ47" s="108">
        <v>1</v>
      </c>
      <c r="CK47" s="108">
        <v>1.02</v>
      </c>
      <c r="CL47" s="108">
        <v>1</v>
      </c>
      <c r="CM47" s="108">
        <v>1.2</v>
      </c>
    </row>
    <row r="48" spans="1:91" s="171" customFormat="1">
      <c r="A48" s="333">
        <v>266203</v>
      </c>
      <c r="B48" s="216"/>
      <c r="C48" s="334"/>
      <c r="D48" s="342">
        <v>5</v>
      </c>
      <c r="E48" s="343" t="s">
        <v>98</v>
      </c>
      <c r="F48" s="437" t="s">
        <v>979</v>
      </c>
      <c r="G48" s="438" t="s">
        <v>103</v>
      </c>
      <c r="H48" s="439" t="s">
        <v>98</v>
      </c>
      <c r="I48" s="439" t="s">
        <v>98</v>
      </c>
      <c r="J48" s="335">
        <v>0</v>
      </c>
      <c r="K48" s="438" t="s">
        <v>96</v>
      </c>
      <c r="L48" s="440">
        <f t="shared" si="36"/>
        <v>0</v>
      </c>
      <c r="M48" s="336">
        <v>1</v>
      </c>
      <c r="N48" s="337">
        <f t="shared" si="10"/>
        <v>0</v>
      </c>
      <c r="O48" s="455" t="str">
        <f t="shared" si="11"/>
        <v xml:space="preserve">; </v>
      </c>
      <c r="P48" s="440">
        <v>0</v>
      </c>
      <c r="Q48" s="336">
        <v>1</v>
      </c>
      <c r="R48" s="337">
        <f t="shared" si="12"/>
        <v>0</v>
      </c>
      <c r="S48" s="455" t="str">
        <f t="shared" si="13"/>
        <v xml:space="preserve">; </v>
      </c>
      <c r="T48" s="440">
        <f t="shared" si="37"/>
        <v>0</v>
      </c>
      <c r="U48" s="336">
        <v>1</v>
      </c>
      <c r="V48" s="337">
        <f t="shared" si="14"/>
        <v>0</v>
      </c>
      <c r="W48" s="437" t="str">
        <f t="shared" si="15"/>
        <v xml:space="preserve">; </v>
      </c>
      <c r="X48" s="440">
        <v>0</v>
      </c>
      <c r="Y48" s="336">
        <v>1</v>
      </c>
      <c r="Z48" s="337">
        <f t="shared" si="16"/>
        <v>0</v>
      </c>
      <c r="AA48" s="437" t="str">
        <f t="shared" si="17"/>
        <v xml:space="preserve">; </v>
      </c>
      <c r="AB48" s="440">
        <f t="shared" si="38"/>
        <v>0</v>
      </c>
      <c r="AC48" s="336">
        <v>1</v>
      </c>
      <c r="AD48" s="337">
        <f t="shared" si="18"/>
        <v>0</v>
      </c>
      <c r="AE48" s="455" t="str">
        <f t="shared" si="19"/>
        <v xml:space="preserve">; </v>
      </c>
      <c r="AF48" s="440">
        <v>0</v>
      </c>
      <c r="AG48" s="336">
        <v>1</v>
      </c>
      <c r="AH48" s="337">
        <f t="shared" si="20"/>
        <v>0</v>
      </c>
      <c r="AI48" s="455" t="str">
        <f t="shared" si="21"/>
        <v xml:space="preserve">; </v>
      </c>
      <c r="AJ48" s="440">
        <f t="shared" si="39"/>
        <v>0</v>
      </c>
      <c r="AK48" s="336">
        <v>1</v>
      </c>
      <c r="AL48" s="337">
        <f t="shared" si="22"/>
        <v>0</v>
      </c>
      <c r="AM48" s="455" t="str">
        <f t="shared" si="23"/>
        <v xml:space="preserve">; </v>
      </c>
      <c r="AN48" s="440">
        <v>0</v>
      </c>
      <c r="AO48" s="336">
        <v>1</v>
      </c>
      <c r="AP48" s="337">
        <f t="shared" si="24"/>
        <v>0</v>
      </c>
      <c r="AQ48" s="437" t="str">
        <f t="shared" si="25"/>
        <v xml:space="preserve">; </v>
      </c>
      <c r="AR48" s="440">
        <v>0.297086495077933</v>
      </c>
      <c r="AS48" s="336">
        <v>1</v>
      </c>
      <c r="AT48" s="337">
        <f t="shared" si="26"/>
        <v>1.2434566510799234</v>
      </c>
      <c r="AU48" s="455" t="str">
        <f t="shared" si="27"/>
        <v>(2,4,1,3,1,5); Brailovsky (2026) GP 06b</v>
      </c>
      <c r="AV48" s="440">
        <f>AR48</f>
        <v>0.297086495077933</v>
      </c>
      <c r="AW48" s="336">
        <v>1</v>
      </c>
      <c r="AX48" s="337">
        <f t="shared" si="28"/>
        <v>1.2434566510799234</v>
      </c>
      <c r="AY48" s="437" t="str">
        <f t="shared" si="29"/>
        <v>(2,4,1,3,1,5); Brailovsky (2026) GP 06b</v>
      </c>
      <c r="AZ48" s="338"/>
      <c r="BA48" s="440"/>
      <c r="BB48" s="440"/>
      <c r="BC48" s="216"/>
      <c r="BD48" s="83"/>
      <c r="BE48" s="83"/>
      <c r="BF48" s="83"/>
      <c r="BG48" s="83"/>
      <c r="BH48" s="83"/>
      <c r="BI48" s="83"/>
      <c r="BJ48" s="104"/>
      <c r="BK48" s="104"/>
      <c r="BL48" s="107"/>
      <c r="BM48" s="107"/>
      <c r="BN48" s="107"/>
      <c r="BO48" s="108"/>
      <c r="BP48" s="108"/>
      <c r="BQ48" s="108"/>
      <c r="BR48" s="108"/>
      <c r="BS48" s="108"/>
      <c r="BT48" s="108"/>
      <c r="BV48" s="160" t="s">
        <v>978</v>
      </c>
      <c r="BW48" s="83">
        <v>2</v>
      </c>
      <c r="BX48" s="83">
        <v>4</v>
      </c>
      <c r="BY48" s="83">
        <v>1</v>
      </c>
      <c r="BZ48" s="83">
        <v>3</v>
      </c>
      <c r="CA48" s="83">
        <v>1</v>
      </c>
      <c r="CB48" s="83">
        <v>5</v>
      </c>
      <c r="CC48" s="104">
        <v>3</v>
      </c>
      <c r="CD48" s="104">
        <v>1.05</v>
      </c>
      <c r="CE48" s="107">
        <f t="shared" si="33"/>
        <v>1.2365959919080913</v>
      </c>
      <c r="CF48" s="107">
        <f t="shared" si="34"/>
        <v>1.2434566510799234</v>
      </c>
      <c r="CG48" s="107" t="str">
        <f t="shared" si="35"/>
        <v>(2,4,1,3,1,5)</v>
      </c>
      <c r="CH48" s="108">
        <v>1.05</v>
      </c>
      <c r="CI48" s="108">
        <v>1.1000000000000001</v>
      </c>
      <c r="CJ48" s="108">
        <v>1</v>
      </c>
      <c r="CK48" s="108">
        <v>1.02</v>
      </c>
      <c r="CL48" s="108">
        <v>1</v>
      </c>
      <c r="CM48" s="108">
        <v>1.2</v>
      </c>
    </row>
    <row r="49" spans="1:91" s="171" customFormat="1">
      <c r="A49" s="333">
        <v>262387</v>
      </c>
      <c r="B49" s="216"/>
      <c r="C49" s="334"/>
      <c r="D49" s="342">
        <v>5</v>
      </c>
      <c r="E49" s="343" t="s">
        <v>98</v>
      </c>
      <c r="F49" s="437" t="s">
        <v>980</v>
      </c>
      <c r="G49" s="438" t="s">
        <v>93</v>
      </c>
      <c r="H49" s="439" t="s">
        <v>98</v>
      </c>
      <c r="I49" s="439" t="s">
        <v>98</v>
      </c>
      <c r="J49" s="335">
        <v>0</v>
      </c>
      <c r="K49" s="438" t="s">
        <v>96</v>
      </c>
      <c r="L49" s="440">
        <f t="shared" si="36"/>
        <v>9.4661088996763801E-2</v>
      </c>
      <c r="M49" s="336">
        <v>1</v>
      </c>
      <c r="N49" s="337">
        <f t="shared" ref="N49:N80" si="40">$BM49</f>
        <v>1.0722009304576894</v>
      </c>
      <c r="O49" s="455" t="str">
        <f t="shared" ref="O49:O70" si="41">$BN49&amp;"; "&amp;$BC49</f>
        <v>(2,1,1,2,1,1); Industry data (French tender)</v>
      </c>
      <c r="P49" s="440">
        <v>0.18607712177121799</v>
      </c>
      <c r="Q49" s="336">
        <v>1</v>
      </c>
      <c r="R49" s="337">
        <f t="shared" ref="R49:R80" si="42">$BM49</f>
        <v>1.0722009304576894</v>
      </c>
      <c r="S49" s="455" t="str">
        <f t="shared" ref="S49:S70" si="43">$BN49&amp;"; "&amp;$BC49</f>
        <v>(2,1,1,2,1,1); Industry data (French tender)</v>
      </c>
      <c r="T49" s="440">
        <f t="shared" si="37"/>
        <v>9.4661088996763801E-2</v>
      </c>
      <c r="U49" s="336">
        <v>1</v>
      </c>
      <c r="V49" s="337">
        <f t="shared" ref="V49:V80" si="44">$BM49</f>
        <v>1.0722009304576894</v>
      </c>
      <c r="W49" s="437" t="str">
        <f t="shared" ref="W49:W70" si="45">$BN49&amp;"; "&amp;$BC49</f>
        <v>(2,1,1,2,1,1); Industry data (French tender)</v>
      </c>
      <c r="X49" s="440">
        <v>0.18607712177121799</v>
      </c>
      <c r="Y49" s="336">
        <v>1</v>
      </c>
      <c r="Z49" s="337">
        <f t="shared" ref="Z49:Z80" si="46">$BM49</f>
        <v>1.0722009304576894</v>
      </c>
      <c r="AA49" s="437" t="str">
        <f t="shared" ref="AA49:AA70" si="47">$BN49&amp;"; "&amp;$BC49</f>
        <v>(2,1,1,2,1,1); Industry data (French tender)</v>
      </c>
      <c r="AB49" s="440">
        <f t="shared" si="38"/>
        <v>9.4661088996763801E-2</v>
      </c>
      <c r="AC49" s="336">
        <v>1</v>
      </c>
      <c r="AD49" s="337">
        <f t="shared" ref="AD49:AD80" si="48">$BM49</f>
        <v>1.0722009304576894</v>
      </c>
      <c r="AE49" s="455" t="str">
        <f t="shared" ref="AE49:AE70" si="49">$BN49&amp;"; "&amp;$BC49</f>
        <v>(2,1,1,2,1,1); Industry data (French tender)</v>
      </c>
      <c r="AF49" s="440">
        <v>0.18607712177121799</v>
      </c>
      <c r="AG49" s="336">
        <v>1</v>
      </c>
      <c r="AH49" s="337">
        <f t="shared" ref="AH49:AH80" si="50">$BM49</f>
        <v>1.0722009304576894</v>
      </c>
      <c r="AI49" s="455" t="str">
        <f t="shared" ref="AI49:AI70" si="51">$BN49&amp;"; "&amp;$BC49</f>
        <v>(2,1,1,2,1,1); Industry data (French tender)</v>
      </c>
      <c r="AJ49" s="440">
        <f t="shared" si="39"/>
        <v>9.4661088996763801E-2</v>
      </c>
      <c r="AK49" s="336">
        <v>1</v>
      </c>
      <c r="AL49" s="337">
        <f t="shared" ref="AL49:AL80" si="52">$BM49</f>
        <v>1.0722009304576894</v>
      </c>
      <c r="AM49" s="455" t="str">
        <f t="shared" ref="AM49:AM80" si="53">$BN49&amp;"; "&amp;$BC49</f>
        <v>(2,1,1,2,1,1); Industry data (French tender)</v>
      </c>
      <c r="AN49" s="440">
        <v>0.18607712177121799</v>
      </c>
      <c r="AO49" s="336">
        <v>1</v>
      </c>
      <c r="AP49" s="337">
        <f t="shared" ref="AP49:AP80" si="54">$BM49</f>
        <v>1.0722009304576894</v>
      </c>
      <c r="AQ49" s="437" t="str">
        <f t="shared" ref="AQ49:AQ70" si="55">$BN49&amp;"; "&amp;$BC49</f>
        <v>(2,1,1,2,1,1); Industry data (French tender)</v>
      </c>
      <c r="AR49" s="440">
        <v>6.6290889048400302E-3</v>
      </c>
      <c r="AS49" s="336">
        <v>1</v>
      </c>
      <c r="AT49" s="337">
        <f t="shared" ref="AT49:AT80" si="56">$CF49</f>
        <v>1.2434566510799234</v>
      </c>
      <c r="AU49" s="455" t="str">
        <f t="shared" ref="AU49:AU80" si="57">$CG49&amp;"; "&amp;$BV49</f>
        <v>(2,4,1,3,1,5); Brailovsky (2026) GP 06b</v>
      </c>
      <c r="AV49" s="440">
        <v>6.6290889048400302E-3</v>
      </c>
      <c r="AW49" s="336">
        <v>1</v>
      </c>
      <c r="AX49" s="337">
        <f t="shared" ref="AX49:AX80" si="58">$CF49</f>
        <v>1.2434566510799234</v>
      </c>
      <c r="AY49" s="437" t="str">
        <f t="shared" ref="AY49:AY80" si="59">$CG49&amp;"; "&amp;$BV49</f>
        <v>(2,4,1,3,1,5); Brailovsky (2026) GP 06b</v>
      </c>
      <c r="AZ49" s="338"/>
      <c r="BA49" s="440">
        <v>9.4661088996763801E-2</v>
      </c>
      <c r="BB49" s="440"/>
      <c r="BC49" s="216" t="s">
        <v>462</v>
      </c>
      <c r="BD49" s="83">
        <v>2</v>
      </c>
      <c r="BE49" s="83">
        <v>1</v>
      </c>
      <c r="BF49" s="83">
        <v>1</v>
      </c>
      <c r="BG49" s="83">
        <v>2</v>
      </c>
      <c r="BH49" s="83">
        <v>1</v>
      </c>
      <c r="BI49" s="83">
        <v>1</v>
      </c>
      <c r="BJ49" s="104">
        <v>3</v>
      </c>
      <c r="BK49" s="104">
        <v>1.05</v>
      </c>
      <c r="BL49" s="107">
        <f t="shared" ref="BL49:BL80" si="60">EXP(SQRT((LN(BO49)^2)+(LN(BP49)^2)+(LN(BQ49)^2)+(LN(BR49)^2)+(LN(BS49)^2)+(LN(BT49)^2)))</f>
        <v>1.0510550504206344</v>
      </c>
      <c r="BM49" s="107">
        <f t="shared" ref="BM49:BM80" si="61">EXP(SQRT((LN(BO49)^2)+(LN(BP49)^2)+(LN(BQ49)^2)+(LN(BR49)^2)+(LN(BS49)^2)+(LN(BT49)^2)+LN(BK49)^2))</f>
        <v>1.0722009304576894</v>
      </c>
      <c r="BN49" s="107" t="str">
        <f t="shared" ref="BN49:BN80" si="62">CONCATENATE("(",BD49,",",BE49,",",BF49,",",BG49,",",BH49,",",BI49,")")</f>
        <v>(2,1,1,2,1,1)</v>
      </c>
      <c r="BO49" s="108">
        <v>1.05</v>
      </c>
      <c r="BP49" s="108">
        <v>1</v>
      </c>
      <c r="BQ49" s="108">
        <v>1</v>
      </c>
      <c r="BR49" s="108">
        <v>1.01</v>
      </c>
      <c r="BS49" s="108">
        <v>1</v>
      </c>
      <c r="BT49" s="108">
        <v>1</v>
      </c>
      <c r="BV49" s="160" t="s">
        <v>978</v>
      </c>
      <c r="BW49" s="83">
        <v>2</v>
      </c>
      <c r="BX49" s="83">
        <v>4</v>
      </c>
      <c r="BY49" s="83">
        <v>1</v>
      </c>
      <c r="BZ49" s="83">
        <v>3</v>
      </c>
      <c r="CA49" s="83">
        <v>1</v>
      </c>
      <c r="CB49" s="83">
        <v>5</v>
      </c>
      <c r="CC49" s="104">
        <v>3</v>
      </c>
      <c r="CD49" s="104">
        <v>1.05</v>
      </c>
      <c r="CE49" s="107">
        <f t="shared" ref="CE49:CE80" si="63">EXP(SQRT((LN(CH49)^2)+(LN(CI49)^2)+(LN(CJ49)^2)+(LN(CK49)^2)+(LN(CL49)^2)+(LN(CM49)^2)))</f>
        <v>1.2365959919080913</v>
      </c>
      <c r="CF49" s="107">
        <f t="shared" ref="CF49:CF80" si="64">EXP(SQRT((LN(CH49)^2)+(LN(CI49)^2)+(LN(CJ49)^2)+(LN(CK49)^2)+(LN(CL49)^2)+(LN(CM49)^2)+LN(CD49)^2))</f>
        <v>1.2434566510799234</v>
      </c>
      <c r="CG49" s="107" t="str">
        <f t="shared" ref="CG49:CG80" si="65">CONCATENATE("(",BW49,",",BX49,",",BY49,",",BZ49,",",CA49,",",CB49,")")</f>
        <v>(2,4,1,3,1,5)</v>
      </c>
      <c r="CH49" s="108">
        <v>1.05</v>
      </c>
      <c r="CI49" s="108">
        <v>1.1000000000000001</v>
      </c>
      <c r="CJ49" s="108">
        <v>1</v>
      </c>
      <c r="CK49" s="108">
        <v>1.02</v>
      </c>
      <c r="CL49" s="108">
        <v>1</v>
      </c>
      <c r="CM49" s="108">
        <v>1.2</v>
      </c>
    </row>
    <row r="50" spans="1:91" s="171" customFormat="1" hidden="1" outlineLevel="1">
      <c r="A50" s="333">
        <v>269211</v>
      </c>
      <c r="B50" s="216"/>
      <c r="C50" s="334"/>
      <c r="D50" s="342">
        <v>5</v>
      </c>
      <c r="E50" s="343" t="s">
        <v>98</v>
      </c>
      <c r="F50" s="437" t="s">
        <v>838</v>
      </c>
      <c r="G50" s="438" t="s">
        <v>93</v>
      </c>
      <c r="H50" s="439" t="s">
        <v>98</v>
      </c>
      <c r="I50" s="439" t="s">
        <v>98</v>
      </c>
      <c r="J50" s="335">
        <v>0</v>
      </c>
      <c r="K50" s="438" t="s">
        <v>96</v>
      </c>
      <c r="L50" s="440">
        <f t="shared" si="36"/>
        <v>0.37291100323624599</v>
      </c>
      <c r="M50" s="336">
        <v>1</v>
      </c>
      <c r="N50" s="337">
        <f t="shared" si="40"/>
        <v>1.0722009304576894</v>
      </c>
      <c r="O50" s="455" t="str">
        <f t="shared" si="41"/>
        <v>(2,1,1,2,1,1); Industry data (French tender) in H2O iso without water</v>
      </c>
      <c r="P50" s="440">
        <v>0.29822140221402199</v>
      </c>
      <c r="Q50" s="336">
        <v>1</v>
      </c>
      <c r="R50" s="337">
        <f t="shared" si="42"/>
        <v>1.0722009304576894</v>
      </c>
      <c r="S50" s="455" t="str">
        <f t="shared" si="43"/>
        <v>(2,1,1,2,1,1); Industry data (French tender) in H2O iso without water</v>
      </c>
      <c r="T50" s="440">
        <f t="shared" si="37"/>
        <v>0.37291100323624599</v>
      </c>
      <c r="U50" s="336">
        <v>1</v>
      </c>
      <c r="V50" s="337">
        <f t="shared" si="44"/>
        <v>1.0722009304576894</v>
      </c>
      <c r="W50" s="437" t="str">
        <f t="shared" si="45"/>
        <v>(2,1,1,2,1,1); Industry data (French tender) in H2O iso without water</v>
      </c>
      <c r="X50" s="440">
        <v>0.29822140221402199</v>
      </c>
      <c r="Y50" s="336">
        <v>1</v>
      </c>
      <c r="Z50" s="337">
        <f t="shared" si="46"/>
        <v>1.0722009304576894</v>
      </c>
      <c r="AA50" s="437" t="str">
        <f t="shared" si="47"/>
        <v>(2,1,1,2,1,1); Industry data (French tender) in H2O iso without water</v>
      </c>
      <c r="AB50" s="440">
        <f t="shared" si="38"/>
        <v>0.37291100323624599</v>
      </c>
      <c r="AC50" s="336">
        <v>1</v>
      </c>
      <c r="AD50" s="337">
        <f t="shared" si="48"/>
        <v>1.0722009304576894</v>
      </c>
      <c r="AE50" s="455" t="str">
        <f t="shared" si="49"/>
        <v>(2,1,1,2,1,1); Industry data (French tender) in H2O iso without water</v>
      </c>
      <c r="AF50" s="440">
        <v>0.29822140221402199</v>
      </c>
      <c r="AG50" s="336">
        <v>1</v>
      </c>
      <c r="AH50" s="337">
        <f t="shared" si="50"/>
        <v>1.0722009304576894</v>
      </c>
      <c r="AI50" s="455" t="str">
        <f t="shared" si="51"/>
        <v>(2,1,1,2,1,1); Industry data (French tender) in H2O iso without water</v>
      </c>
      <c r="AJ50" s="440">
        <f t="shared" si="39"/>
        <v>0.37291100323624599</v>
      </c>
      <c r="AK50" s="336">
        <v>1</v>
      </c>
      <c r="AL50" s="337">
        <f t="shared" si="52"/>
        <v>1.0722009304576894</v>
      </c>
      <c r="AM50" s="455" t="str">
        <f t="shared" si="53"/>
        <v>(2,1,1,2,1,1); Industry data (French tender) in H2O iso without water</v>
      </c>
      <c r="AN50" s="440">
        <v>0.29822140221402199</v>
      </c>
      <c r="AO50" s="336">
        <v>1</v>
      </c>
      <c r="AP50" s="337">
        <f t="shared" si="54"/>
        <v>1.0722009304576894</v>
      </c>
      <c r="AQ50" s="437" t="str">
        <f t="shared" si="55"/>
        <v>(2,1,1,2,1,1); Industry data (French tender) in H2O iso without water</v>
      </c>
      <c r="AR50" s="440">
        <v>0</v>
      </c>
      <c r="AS50" s="336">
        <v>1</v>
      </c>
      <c r="AT50" s="337">
        <f t="shared" si="56"/>
        <v>1.05</v>
      </c>
      <c r="AU50" s="455" t="str">
        <f t="shared" si="57"/>
        <v xml:space="preserve">(na,na,na,na,na,na); </v>
      </c>
      <c r="AV50" s="440">
        <v>0</v>
      </c>
      <c r="AW50" s="336">
        <v>1</v>
      </c>
      <c r="AX50" s="337">
        <f t="shared" si="58"/>
        <v>1.05</v>
      </c>
      <c r="AY50" s="437" t="str">
        <f t="shared" si="59"/>
        <v xml:space="preserve">(na,na,na,na,na,na); </v>
      </c>
      <c r="AZ50" s="338"/>
      <c r="BA50" s="440">
        <v>0.37291100323624599</v>
      </c>
      <c r="BB50" s="440"/>
      <c r="BC50" s="216" t="s">
        <v>977</v>
      </c>
      <c r="BD50" s="83">
        <v>2</v>
      </c>
      <c r="BE50" s="83">
        <v>1</v>
      </c>
      <c r="BF50" s="83">
        <v>1</v>
      </c>
      <c r="BG50" s="83">
        <v>2</v>
      </c>
      <c r="BH50" s="83">
        <v>1</v>
      </c>
      <c r="BI50" s="83">
        <v>1</v>
      </c>
      <c r="BJ50" s="104">
        <v>3</v>
      </c>
      <c r="BK50" s="104">
        <v>1.05</v>
      </c>
      <c r="BL50" s="107">
        <f t="shared" si="60"/>
        <v>1.0510550504206344</v>
      </c>
      <c r="BM50" s="107">
        <f t="shared" si="61"/>
        <v>1.0722009304576894</v>
      </c>
      <c r="BN50" s="107" t="str">
        <f t="shared" si="62"/>
        <v>(2,1,1,2,1,1)</v>
      </c>
      <c r="BO50" s="108">
        <v>1.05</v>
      </c>
      <c r="BP50" s="108">
        <v>1</v>
      </c>
      <c r="BQ50" s="108">
        <v>1</v>
      </c>
      <c r="BR50" s="108">
        <v>1.01</v>
      </c>
      <c r="BS50" s="108">
        <v>1</v>
      </c>
      <c r="BT50" s="108">
        <v>1</v>
      </c>
      <c r="BV50" s="160"/>
      <c r="BW50" s="83" t="s">
        <v>106</v>
      </c>
      <c r="BX50" s="83" t="s">
        <v>106</v>
      </c>
      <c r="BY50" s="83" t="s">
        <v>106</v>
      </c>
      <c r="BZ50" s="83" t="s">
        <v>106</v>
      </c>
      <c r="CA50" s="83" t="s">
        <v>106</v>
      </c>
      <c r="CB50" s="83" t="s">
        <v>106</v>
      </c>
      <c r="CC50" s="104">
        <v>3</v>
      </c>
      <c r="CD50" s="104">
        <v>1.05</v>
      </c>
      <c r="CE50" s="107">
        <f t="shared" si="63"/>
        <v>1</v>
      </c>
      <c r="CF50" s="107">
        <f t="shared" si="64"/>
        <v>1.05</v>
      </c>
      <c r="CG50" s="107" t="str">
        <f t="shared" si="65"/>
        <v>(na,na,na,na,na,na)</v>
      </c>
      <c r="CH50" s="108">
        <v>1</v>
      </c>
      <c r="CI50" s="108">
        <v>1</v>
      </c>
      <c r="CJ50" s="108">
        <v>1</v>
      </c>
      <c r="CK50" s="108">
        <v>1</v>
      </c>
      <c r="CL50" s="108">
        <v>1</v>
      </c>
      <c r="CM50" s="108">
        <v>1</v>
      </c>
    </row>
    <row r="51" spans="1:91" s="171" customFormat="1" hidden="1" outlineLevel="1">
      <c r="A51" s="333">
        <v>269245</v>
      </c>
      <c r="B51" s="216"/>
      <c r="C51" s="334"/>
      <c r="D51" s="342">
        <v>5</v>
      </c>
      <c r="E51" s="343" t="s">
        <v>98</v>
      </c>
      <c r="F51" s="437" t="s">
        <v>981</v>
      </c>
      <c r="G51" s="438" t="s">
        <v>154</v>
      </c>
      <c r="H51" s="439" t="s">
        <v>98</v>
      </c>
      <c r="I51" s="439" t="s">
        <v>98</v>
      </c>
      <c r="J51" s="335">
        <v>0</v>
      </c>
      <c r="K51" s="438" t="s">
        <v>96</v>
      </c>
      <c r="L51" s="440">
        <f t="shared" si="36"/>
        <v>0</v>
      </c>
      <c r="M51" s="336">
        <v>1</v>
      </c>
      <c r="N51" s="337">
        <f t="shared" si="40"/>
        <v>1.0722009304576894</v>
      </c>
      <c r="O51" s="455" t="str">
        <f t="shared" si="41"/>
        <v>(2,1,1,2,1,1); Industry data (French tender)</v>
      </c>
      <c r="P51" s="440">
        <v>2.2433025830258301E-4</v>
      </c>
      <c r="Q51" s="336">
        <v>1</v>
      </c>
      <c r="R51" s="337">
        <f t="shared" si="42"/>
        <v>1.0722009304576894</v>
      </c>
      <c r="S51" s="455" t="str">
        <f t="shared" si="43"/>
        <v>(2,1,1,2,1,1); Industry data (French tender)</v>
      </c>
      <c r="T51" s="440">
        <f t="shared" si="37"/>
        <v>0</v>
      </c>
      <c r="U51" s="336">
        <v>1</v>
      </c>
      <c r="V51" s="337">
        <f t="shared" si="44"/>
        <v>1.0722009304576894</v>
      </c>
      <c r="W51" s="437" t="str">
        <f t="shared" si="45"/>
        <v>(2,1,1,2,1,1); Industry data (French tender)</v>
      </c>
      <c r="X51" s="440">
        <v>2.2433025830258301E-4</v>
      </c>
      <c r="Y51" s="336">
        <v>1</v>
      </c>
      <c r="Z51" s="337">
        <f t="shared" si="46"/>
        <v>1.0722009304576894</v>
      </c>
      <c r="AA51" s="437" t="str">
        <f t="shared" si="47"/>
        <v>(2,1,1,2,1,1); Industry data (French tender)</v>
      </c>
      <c r="AB51" s="440">
        <f t="shared" si="38"/>
        <v>0</v>
      </c>
      <c r="AC51" s="336">
        <v>1</v>
      </c>
      <c r="AD51" s="337">
        <f t="shared" si="48"/>
        <v>1.0722009304576894</v>
      </c>
      <c r="AE51" s="455" t="str">
        <f t="shared" si="49"/>
        <v>(2,1,1,2,1,1); Industry data (French tender)</v>
      </c>
      <c r="AF51" s="440">
        <v>2.2433025830258301E-4</v>
      </c>
      <c r="AG51" s="336">
        <v>1</v>
      </c>
      <c r="AH51" s="337">
        <f t="shared" si="50"/>
        <v>1.0722009304576894</v>
      </c>
      <c r="AI51" s="455" t="str">
        <f t="shared" si="51"/>
        <v>(2,1,1,2,1,1); Industry data (French tender)</v>
      </c>
      <c r="AJ51" s="440">
        <f t="shared" si="39"/>
        <v>0</v>
      </c>
      <c r="AK51" s="336">
        <v>1</v>
      </c>
      <c r="AL51" s="337">
        <f t="shared" si="52"/>
        <v>1.0722009304576894</v>
      </c>
      <c r="AM51" s="455" t="str">
        <f t="shared" si="53"/>
        <v>(2,1,1,2,1,1); Industry data (French tender)</v>
      </c>
      <c r="AN51" s="440">
        <v>2.2433025830258301E-4</v>
      </c>
      <c r="AO51" s="336">
        <v>1</v>
      </c>
      <c r="AP51" s="337">
        <f t="shared" si="54"/>
        <v>1.0722009304576894</v>
      </c>
      <c r="AQ51" s="437" t="str">
        <f t="shared" si="55"/>
        <v>(2,1,1,2,1,1); Industry data (French tender)</v>
      </c>
      <c r="AR51" s="440">
        <v>0</v>
      </c>
      <c r="AS51" s="336">
        <v>1</v>
      </c>
      <c r="AT51" s="337">
        <f t="shared" si="56"/>
        <v>1.05</v>
      </c>
      <c r="AU51" s="455" t="str">
        <f t="shared" si="57"/>
        <v xml:space="preserve">(na,na,na,na,na,na); </v>
      </c>
      <c r="AV51" s="440">
        <v>0</v>
      </c>
      <c r="AW51" s="336">
        <v>1</v>
      </c>
      <c r="AX51" s="337">
        <f t="shared" si="58"/>
        <v>1.05</v>
      </c>
      <c r="AY51" s="437" t="str">
        <f t="shared" si="59"/>
        <v xml:space="preserve">(na,na,na,na,na,na); </v>
      </c>
      <c r="AZ51" s="338"/>
      <c r="BA51" s="440">
        <v>0</v>
      </c>
      <c r="BB51" s="440"/>
      <c r="BC51" s="216" t="s">
        <v>462</v>
      </c>
      <c r="BD51" s="83">
        <v>2</v>
      </c>
      <c r="BE51" s="83">
        <v>1</v>
      </c>
      <c r="BF51" s="83">
        <v>1</v>
      </c>
      <c r="BG51" s="83">
        <v>2</v>
      </c>
      <c r="BH51" s="83">
        <v>1</v>
      </c>
      <c r="BI51" s="83">
        <v>1</v>
      </c>
      <c r="BJ51" s="104">
        <v>3</v>
      </c>
      <c r="BK51" s="104">
        <v>1.05</v>
      </c>
      <c r="BL51" s="107">
        <f t="shared" si="60"/>
        <v>1.0510550504206344</v>
      </c>
      <c r="BM51" s="107">
        <f t="shared" si="61"/>
        <v>1.0722009304576894</v>
      </c>
      <c r="BN51" s="107" t="str">
        <f t="shared" si="62"/>
        <v>(2,1,1,2,1,1)</v>
      </c>
      <c r="BO51" s="108">
        <v>1.05</v>
      </c>
      <c r="BP51" s="108">
        <v>1</v>
      </c>
      <c r="BQ51" s="108">
        <v>1</v>
      </c>
      <c r="BR51" s="108">
        <v>1.01</v>
      </c>
      <c r="BS51" s="108">
        <v>1</v>
      </c>
      <c r="BT51" s="108">
        <v>1</v>
      </c>
      <c r="BV51" s="160"/>
      <c r="BW51" s="83" t="s">
        <v>106</v>
      </c>
      <c r="BX51" s="83" t="s">
        <v>106</v>
      </c>
      <c r="BY51" s="83" t="s">
        <v>106</v>
      </c>
      <c r="BZ51" s="83" t="s">
        <v>106</v>
      </c>
      <c r="CA51" s="83" t="s">
        <v>106</v>
      </c>
      <c r="CB51" s="83" t="s">
        <v>106</v>
      </c>
      <c r="CC51" s="104">
        <v>3</v>
      </c>
      <c r="CD51" s="104">
        <v>1.05</v>
      </c>
      <c r="CE51" s="107">
        <f t="shared" si="63"/>
        <v>1</v>
      </c>
      <c r="CF51" s="107">
        <f t="shared" si="64"/>
        <v>1.05</v>
      </c>
      <c r="CG51" s="107" t="str">
        <f t="shared" si="65"/>
        <v>(na,na,na,na,na,na)</v>
      </c>
      <c r="CH51" s="108">
        <v>1</v>
      </c>
      <c r="CI51" s="108">
        <v>1</v>
      </c>
      <c r="CJ51" s="108">
        <v>1</v>
      </c>
      <c r="CK51" s="108">
        <v>1</v>
      </c>
      <c r="CL51" s="108">
        <v>1</v>
      </c>
      <c r="CM51" s="108">
        <v>1</v>
      </c>
    </row>
    <row r="52" spans="1:91" s="171" customFormat="1" collapsed="1">
      <c r="A52" s="333">
        <v>266953</v>
      </c>
      <c r="B52" s="216"/>
      <c r="C52" s="334"/>
      <c r="D52" s="342">
        <v>5</v>
      </c>
      <c r="E52" s="343" t="s">
        <v>98</v>
      </c>
      <c r="F52" s="437" t="s">
        <v>982</v>
      </c>
      <c r="G52" s="438" t="s">
        <v>93</v>
      </c>
      <c r="H52" s="439" t="s">
        <v>98</v>
      </c>
      <c r="I52" s="439" t="s">
        <v>98</v>
      </c>
      <c r="J52" s="335">
        <v>0</v>
      </c>
      <c r="K52" s="438" t="s">
        <v>96</v>
      </c>
      <c r="L52" s="440">
        <f t="shared" si="36"/>
        <v>0</v>
      </c>
      <c r="M52" s="336">
        <v>1</v>
      </c>
      <c r="N52" s="337">
        <f t="shared" si="40"/>
        <v>1.05</v>
      </c>
      <c r="O52" s="455" t="str">
        <f t="shared" si="41"/>
        <v xml:space="preserve">(na,na,na,na,na,na); </v>
      </c>
      <c r="P52" s="440">
        <f>AZ52</f>
        <v>0</v>
      </c>
      <c r="Q52" s="336">
        <v>1</v>
      </c>
      <c r="R52" s="337">
        <f t="shared" si="42"/>
        <v>1.05</v>
      </c>
      <c r="S52" s="455" t="str">
        <f t="shared" si="43"/>
        <v xml:space="preserve">(na,na,na,na,na,na); </v>
      </c>
      <c r="T52" s="440">
        <f t="shared" si="37"/>
        <v>0</v>
      </c>
      <c r="U52" s="336">
        <v>1</v>
      </c>
      <c r="V52" s="337">
        <f t="shared" si="44"/>
        <v>1.05</v>
      </c>
      <c r="W52" s="437" t="str">
        <f t="shared" si="45"/>
        <v xml:space="preserve">(na,na,na,na,na,na); </v>
      </c>
      <c r="X52" s="440" t="str">
        <f>BI52</f>
        <v>na</v>
      </c>
      <c r="Y52" s="336">
        <v>1</v>
      </c>
      <c r="Z52" s="337">
        <f t="shared" si="46"/>
        <v>1.05</v>
      </c>
      <c r="AA52" s="437" t="str">
        <f t="shared" si="47"/>
        <v xml:space="preserve">(na,na,na,na,na,na); </v>
      </c>
      <c r="AB52" s="440">
        <f t="shared" si="38"/>
        <v>0</v>
      </c>
      <c r="AC52" s="336">
        <v>1</v>
      </c>
      <c r="AD52" s="337">
        <f t="shared" si="48"/>
        <v>1.05</v>
      </c>
      <c r="AE52" s="455" t="str">
        <f t="shared" si="49"/>
        <v xml:space="preserve">(na,na,na,na,na,na); </v>
      </c>
      <c r="AF52" s="440">
        <v>0</v>
      </c>
      <c r="AG52" s="336">
        <v>1</v>
      </c>
      <c r="AH52" s="337">
        <f t="shared" si="50"/>
        <v>1.05</v>
      </c>
      <c r="AI52" s="455" t="str">
        <f t="shared" si="51"/>
        <v xml:space="preserve">(na,na,na,na,na,na); </v>
      </c>
      <c r="AJ52" s="440">
        <f t="shared" si="39"/>
        <v>0</v>
      </c>
      <c r="AK52" s="336">
        <v>1</v>
      </c>
      <c r="AL52" s="337">
        <f t="shared" si="52"/>
        <v>1.05</v>
      </c>
      <c r="AM52" s="455" t="str">
        <f t="shared" si="53"/>
        <v xml:space="preserve">(na,na,na,na,na,na); </v>
      </c>
      <c r="AN52" s="440">
        <v>0</v>
      </c>
      <c r="AO52" s="336">
        <v>1</v>
      </c>
      <c r="AP52" s="337">
        <f t="shared" si="54"/>
        <v>1.05</v>
      </c>
      <c r="AQ52" s="437" t="str">
        <f t="shared" si="55"/>
        <v xml:space="preserve">(na,na,na,na,na,na); </v>
      </c>
      <c r="AR52" s="440">
        <v>0.13590350697292899</v>
      </c>
      <c r="AS52" s="336">
        <v>1</v>
      </c>
      <c r="AT52" s="337">
        <f t="shared" si="56"/>
        <v>1.2434566510799234</v>
      </c>
      <c r="AU52" s="455" t="str">
        <f t="shared" si="57"/>
        <v>(2,4,1,3,1,5); Brailovsky (2026) GP 06b</v>
      </c>
      <c r="AV52" s="440">
        <v>0.13590350697292899</v>
      </c>
      <c r="AW52" s="336">
        <v>1</v>
      </c>
      <c r="AX52" s="337">
        <f t="shared" si="58"/>
        <v>1.2434566510799234</v>
      </c>
      <c r="AY52" s="437" t="str">
        <f t="shared" si="59"/>
        <v>(2,4,1,3,1,5); Brailovsky (2026) GP 06b</v>
      </c>
      <c r="AZ52" s="338"/>
      <c r="BA52" s="440">
        <v>0</v>
      </c>
      <c r="BB52" s="440"/>
      <c r="BC52" s="216"/>
      <c r="BD52" s="83" t="s">
        <v>106</v>
      </c>
      <c r="BE52" s="83" t="s">
        <v>106</v>
      </c>
      <c r="BF52" s="83" t="s">
        <v>106</v>
      </c>
      <c r="BG52" s="83" t="s">
        <v>106</v>
      </c>
      <c r="BH52" s="83" t="s">
        <v>106</v>
      </c>
      <c r="BI52" s="83" t="s">
        <v>106</v>
      </c>
      <c r="BJ52" s="104">
        <v>3</v>
      </c>
      <c r="BK52" s="104">
        <v>1.05</v>
      </c>
      <c r="BL52" s="107">
        <f t="shared" si="60"/>
        <v>1</v>
      </c>
      <c r="BM52" s="107">
        <f t="shared" si="61"/>
        <v>1.05</v>
      </c>
      <c r="BN52" s="107" t="str">
        <f t="shared" si="62"/>
        <v>(na,na,na,na,na,na)</v>
      </c>
      <c r="BO52" s="108">
        <v>1</v>
      </c>
      <c r="BP52" s="108">
        <v>1</v>
      </c>
      <c r="BQ52" s="108">
        <v>1</v>
      </c>
      <c r="BR52" s="108">
        <v>1</v>
      </c>
      <c r="BS52" s="108">
        <v>1</v>
      </c>
      <c r="BT52" s="108">
        <v>1</v>
      </c>
      <c r="BV52" s="160" t="s">
        <v>978</v>
      </c>
      <c r="BW52" s="83">
        <v>2</v>
      </c>
      <c r="BX52" s="83">
        <v>4</v>
      </c>
      <c r="BY52" s="83">
        <v>1</v>
      </c>
      <c r="BZ52" s="83">
        <v>3</v>
      </c>
      <c r="CA52" s="83">
        <v>1</v>
      </c>
      <c r="CB52" s="83">
        <v>5</v>
      </c>
      <c r="CC52" s="104">
        <v>3</v>
      </c>
      <c r="CD52" s="104">
        <v>1.05</v>
      </c>
      <c r="CE52" s="107">
        <f t="shared" si="63"/>
        <v>1.2365959919080913</v>
      </c>
      <c r="CF52" s="107">
        <f t="shared" si="64"/>
        <v>1.2434566510799234</v>
      </c>
      <c r="CG52" s="107" t="str">
        <f t="shared" si="65"/>
        <v>(2,4,1,3,1,5)</v>
      </c>
      <c r="CH52" s="108">
        <v>1.05</v>
      </c>
      <c r="CI52" s="108">
        <v>1.1000000000000001</v>
      </c>
      <c r="CJ52" s="108">
        <v>1</v>
      </c>
      <c r="CK52" s="108">
        <v>1.02</v>
      </c>
      <c r="CL52" s="108">
        <v>1</v>
      </c>
      <c r="CM52" s="108">
        <v>1.2</v>
      </c>
    </row>
    <row r="53" spans="1:91" s="171" customFormat="1">
      <c r="A53" s="333">
        <v>269129</v>
      </c>
      <c r="B53" s="216"/>
      <c r="C53" s="334"/>
      <c r="D53" s="342">
        <v>5</v>
      </c>
      <c r="E53" s="343" t="s">
        <v>98</v>
      </c>
      <c r="F53" s="437" t="s">
        <v>831</v>
      </c>
      <c r="G53" s="438" t="s">
        <v>93</v>
      </c>
      <c r="H53" s="439" t="s">
        <v>98</v>
      </c>
      <c r="I53" s="439" t="s">
        <v>98</v>
      </c>
      <c r="J53" s="335">
        <v>0</v>
      </c>
      <c r="K53" s="438" t="s">
        <v>96</v>
      </c>
      <c r="L53" s="440">
        <f t="shared" si="36"/>
        <v>0</v>
      </c>
      <c r="M53" s="336">
        <v>1</v>
      </c>
      <c r="N53" s="337">
        <f t="shared" si="40"/>
        <v>1.05</v>
      </c>
      <c r="O53" s="455" t="str">
        <f t="shared" si="41"/>
        <v xml:space="preserve">(na,na,na,na,na,na); </v>
      </c>
      <c r="P53" s="440">
        <f>AZ53</f>
        <v>0</v>
      </c>
      <c r="Q53" s="336">
        <v>1</v>
      </c>
      <c r="R53" s="337">
        <f t="shared" si="42"/>
        <v>1.05</v>
      </c>
      <c r="S53" s="455" t="str">
        <f t="shared" si="43"/>
        <v xml:space="preserve">(na,na,na,na,na,na); </v>
      </c>
      <c r="T53" s="440">
        <f t="shared" si="37"/>
        <v>0</v>
      </c>
      <c r="U53" s="336">
        <v>1</v>
      </c>
      <c r="V53" s="337">
        <f t="shared" si="44"/>
        <v>1.05</v>
      </c>
      <c r="W53" s="437" t="str">
        <f t="shared" si="45"/>
        <v xml:space="preserve">(na,na,na,na,na,na); </v>
      </c>
      <c r="X53" s="440">
        <v>0</v>
      </c>
      <c r="Y53" s="336">
        <v>1</v>
      </c>
      <c r="Z53" s="337">
        <f t="shared" si="46"/>
        <v>1.05</v>
      </c>
      <c r="AA53" s="437" t="str">
        <f t="shared" si="47"/>
        <v xml:space="preserve">(na,na,na,na,na,na); </v>
      </c>
      <c r="AB53" s="440">
        <f t="shared" si="38"/>
        <v>0</v>
      </c>
      <c r="AC53" s="336">
        <v>1</v>
      </c>
      <c r="AD53" s="337">
        <f t="shared" si="48"/>
        <v>1.05</v>
      </c>
      <c r="AE53" s="455" t="str">
        <f t="shared" si="49"/>
        <v xml:space="preserve">(na,na,na,na,na,na); </v>
      </c>
      <c r="AF53" s="440">
        <v>0</v>
      </c>
      <c r="AG53" s="336">
        <v>1</v>
      </c>
      <c r="AH53" s="337">
        <f t="shared" si="50"/>
        <v>1.05</v>
      </c>
      <c r="AI53" s="455" t="str">
        <f t="shared" si="51"/>
        <v xml:space="preserve">(na,na,na,na,na,na); </v>
      </c>
      <c r="AJ53" s="440">
        <f t="shared" si="39"/>
        <v>0</v>
      </c>
      <c r="AK53" s="336">
        <v>1</v>
      </c>
      <c r="AL53" s="337">
        <f t="shared" si="52"/>
        <v>1.05</v>
      </c>
      <c r="AM53" s="455" t="str">
        <f t="shared" si="53"/>
        <v xml:space="preserve">(na,na,na,na,na,na); </v>
      </c>
      <c r="AN53" s="440">
        <v>0</v>
      </c>
      <c r="AO53" s="336">
        <v>1</v>
      </c>
      <c r="AP53" s="337">
        <f t="shared" si="54"/>
        <v>1.05</v>
      </c>
      <c r="AQ53" s="437" t="str">
        <f t="shared" si="55"/>
        <v xml:space="preserve">(na,na,na,na,na,na); </v>
      </c>
      <c r="AR53" s="440">
        <v>0.105707566872139</v>
      </c>
      <c r="AS53" s="336">
        <v>1</v>
      </c>
      <c r="AT53" s="337">
        <f t="shared" si="56"/>
        <v>1.2434566510799234</v>
      </c>
      <c r="AU53" s="455" t="str">
        <f t="shared" si="57"/>
        <v>(2,4,1,3,1,5); Brailovsky (2026) GP 06b</v>
      </c>
      <c r="AV53" s="440">
        <v>0.105707566872139</v>
      </c>
      <c r="AW53" s="336">
        <v>1</v>
      </c>
      <c r="AX53" s="337">
        <f t="shared" si="58"/>
        <v>1.2434566510799234</v>
      </c>
      <c r="AY53" s="437" t="str">
        <f t="shared" si="59"/>
        <v>(2,4,1,3,1,5); Brailovsky (2026) GP 06b</v>
      </c>
      <c r="AZ53" s="338"/>
      <c r="BA53" s="440"/>
      <c r="BB53" s="440"/>
      <c r="BC53" s="216"/>
      <c r="BD53" s="83" t="s">
        <v>106</v>
      </c>
      <c r="BE53" s="83" t="s">
        <v>106</v>
      </c>
      <c r="BF53" s="83" t="s">
        <v>106</v>
      </c>
      <c r="BG53" s="83" t="s">
        <v>106</v>
      </c>
      <c r="BH53" s="83" t="s">
        <v>106</v>
      </c>
      <c r="BI53" s="83" t="s">
        <v>106</v>
      </c>
      <c r="BJ53" s="104">
        <v>3</v>
      </c>
      <c r="BK53" s="104">
        <v>1.05</v>
      </c>
      <c r="BL53" s="107">
        <f t="shared" si="60"/>
        <v>1</v>
      </c>
      <c r="BM53" s="107">
        <f t="shared" si="61"/>
        <v>1.05</v>
      </c>
      <c r="BN53" s="107" t="str">
        <f t="shared" si="62"/>
        <v>(na,na,na,na,na,na)</v>
      </c>
      <c r="BO53" s="108">
        <v>1</v>
      </c>
      <c r="BP53" s="108">
        <v>1</v>
      </c>
      <c r="BQ53" s="108">
        <v>1</v>
      </c>
      <c r="BR53" s="108">
        <v>1</v>
      </c>
      <c r="BS53" s="108">
        <v>1</v>
      </c>
      <c r="BT53" s="108">
        <v>1</v>
      </c>
      <c r="BV53" s="160" t="s">
        <v>978</v>
      </c>
      <c r="BW53" s="83">
        <v>2</v>
      </c>
      <c r="BX53" s="83">
        <v>4</v>
      </c>
      <c r="BY53" s="83">
        <v>1</v>
      </c>
      <c r="BZ53" s="83">
        <v>3</v>
      </c>
      <c r="CA53" s="83">
        <v>1</v>
      </c>
      <c r="CB53" s="83">
        <v>5</v>
      </c>
      <c r="CC53" s="104">
        <v>3</v>
      </c>
      <c r="CD53" s="104">
        <v>1.05</v>
      </c>
      <c r="CE53" s="107">
        <f t="shared" si="63"/>
        <v>1.2365959919080913</v>
      </c>
      <c r="CF53" s="107">
        <f t="shared" si="64"/>
        <v>1.2434566510799234</v>
      </c>
      <c r="CG53" s="107" t="str">
        <f t="shared" si="65"/>
        <v>(2,4,1,3,1,5)</v>
      </c>
      <c r="CH53" s="108">
        <v>1.05</v>
      </c>
      <c r="CI53" s="108">
        <v>1.1000000000000001</v>
      </c>
      <c r="CJ53" s="108">
        <v>1</v>
      </c>
      <c r="CK53" s="108">
        <v>1.02</v>
      </c>
      <c r="CL53" s="108">
        <v>1</v>
      </c>
      <c r="CM53" s="108">
        <v>1.2</v>
      </c>
    </row>
    <row r="54" spans="1:91" s="171" customFormat="1" collapsed="1">
      <c r="A54" s="333">
        <v>269231</v>
      </c>
      <c r="B54" s="216" t="s">
        <v>983</v>
      </c>
      <c r="C54" s="334"/>
      <c r="D54" s="342">
        <v>5</v>
      </c>
      <c r="E54" s="343" t="s">
        <v>98</v>
      </c>
      <c r="F54" s="437" t="s">
        <v>395</v>
      </c>
      <c r="G54" s="438" t="s">
        <v>93</v>
      </c>
      <c r="H54" s="439" t="s">
        <v>98</v>
      </c>
      <c r="I54" s="439" t="s">
        <v>98</v>
      </c>
      <c r="J54" s="335">
        <v>0</v>
      </c>
      <c r="K54" s="438" t="s">
        <v>96</v>
      </c>
      <c r="L54" s="440">
        <f t="shared" si="36"/>
        <v>3.08349514563107E-2</v>
      </c>
      <c r="M54" s="336">
        <v>1</v>
      </c>
      <c r="N54" s="337">
        <f t="shared" si="40"/>
        <v>1.0722009304576894</v>
      </c>
      <c r="O54" s="455" t="str">
        <f t="shared" si="41"/>
        <v>(2,1,1,2,1,1); Industry data (French tender)</v>
      </c>
      <c r="P54" s="440">
        <v>3.7311992619926203E-2</v>
      </c>
      <c r="Q54" s="336">
        <v>1</v>
      </c>
      <c r="R54" s="337">
        <f t="shared" si="42"/>
        <v>1.0722009304576894</v>
      </c>
      <c r="S54" s="455" t="str">
        <f t="shared" si="43"/>
        <v>(2,1,1,2,1,1); Industry data (French tender)</v>
      </c>
      <c r="T54" s="440">
        <f t="shared" si="37"/>
        <v>3.08349514563107E-2</v>
      </c>
      <c r="U54" s="336">
        <v>1</v>
      </c>
      <c r="V54" s="337">
        <f t="shared" si="44"/>
        <v>1.0722009304576894</v>
      </c>
      <c r="W54" s="437" t="str">
        <f t="shared" si="45"/>
        <v>(2,1,1,2,1,1); Industry data (French tender)</v>
      </c>
      <c r="X54" s="440">
        <v>3.7311992619926203E-2</v>
      </c>
      <c r="Y54" s="336">
        <v>1</v>
      </c>
      <c r="Z54" s="337">
        <f t="shared" si="46"/>
        <v>1.0722009304576894</v>
      </c>
      <c r="AA54" s="437" t="str">
        <f t="shared" si="47"/>
        <v>(2,1,1,2,1,1); Industry data (French tender)</v>
      </c>
      <c r="AB54" s="440">
        <f t="shared" si="38"/>
        <v>3.08349514563107E-2</v>
      </c>
      <c r="AC54" s="336">
        <v>1</v>
      </c>
      <c r="AD54" s="337">
        <f t="shared" si="48"/>
        <v>1.0722009304576894</v>
      </c>
      <c r="AE54" s="455" t="str">
        <f t="shared" si="49"/>
        <v>(2,1,1,2,1,1); Industry data (French tender)</v>
      </c>
      <c r="AF54" s="440">
        <v>3.7311992619926203E-2</v>
      </c>
      <c r="AG54" s="336">
        <v>1</v>
      </c>
      <c r="AH54" s="337">
        <f t="shared" si="50"/>
        <v>1.0722009304576894</v>
      </c>
      <c r="AI54" s="455" t="str">
        <f t="shared" si="51"/>
        <v>(2,1,1,2,1,1); Industry data (French tender)</v>
      </c>
      <c r="AJ54" s="440">
        <f t="shared" si="39"/>
        <v>3.08349514563107E-2</v>
      </c>
      <c r="AK54" s="336">
        <v>1</v>
      </c>
      <c r="AL54" s="337">
        <f t="shared" si="52"/>
        <v>1.0722009304576894</v>
      </c>
      <c r="AM54" s="455" t="str">
        <f t="shared" si="53"/>
        <v>(2,1,1,2,1,1); Industry data (French tender)</v>
      </c>
      <c r="AN54" s="440">
        <v>3.7311992619926203E-2</v>
      </c>
      <c r="AO54" s="336">
        <v>1</v>
      </c>
      <c r="AP54" s="337">
        <f t="shared" si="54"/>
        <v>1.0722009304576894</v>
      </c>
      <c r="AQ54" s="437" t="str">
        <f t="shared" si="55"/>
        <v>(2,1,1,2,1,1); Industry data (French tender)</v>
      </c>
      <c r="AR54" s="440">
        <v>0.251</v>
      </c>
      <c r="AS54" s="336">
        <v>1</v>
      </c>
      <c r="AT54" s="337">
        <f t="shared" si="56"/>
        <v>1.2434566510799234</v>
      </c>
      <c r="AU54" s="455" t="str">
        <f t="shared" si="57"/>
        <v>(2,4,1,3,1,5); Brailovsky (2026) GP 05</v>
      </c>
      <c r="AV54" s="440">
        <v>0.251</v>
      </c>
      <c r="AW54" s="336">
        <v>1</v>
      </c>
      <c r="AX54" s="337">
        <f t="shared" si="58"/>
        <v>1.2434566510799234</v>
      </c>
      <c r="AY54" s="437" t="str">
        <f t="shared" si="59"/>
        <v>(2,4,1,3,1,5); Brailovsky (2026) GP 05</v>
      </c>
      <c r="AZ54" s="338"/>
      <c r="BA54" s="440">
        <v>3.08349514563107E-2</v>
      </c>
      <c r="BB54" s="440"/>
      <c r="BC54" s="216" t="s">
        <v>462</v>
      </c>
      <c r="BD54" s="83">
        <v>2</v>
      </c>
      <c r="BE54" s="83">
        <v>1</v>
      </c>
      <c r="BF54" s="83">
        <v>1</v>
      </c>
      <c r="BG54" s="83">
        <v>2</v>
      </c>
      <c r="BH54" s="83">
        <v>1</v>
      </c>
      <c r="BI54" s="83">
        <v>1</v>
      </c>
      <c r="BJ54" s="104">
        <v>3</v>
      </c>
      <c r="BK54" s="104">
        <v>1.05</v>
      </c>
      <c r="BL54" s="107">
        <f t="shared" si="60"/>
        <v>1.0510550504206344</v>
      </c>
      <c r="BM54" s="107">
        <f t="shared" si="61"/>
        <v>1.0722009304576894</v>
      </c>
      <c r="BN54" s="107" t="str">
        <f t="shared" si="62"/>
        <v>(2,1,1,2,1,1)</v>
      </c>
      <c r="BO54" s="108">
        <v>1.05</v>
      </c>
      <c r="BP54" s="108">
        <v>1</v>
      </c>
      <c r="BQ54" s="108">
        <v>1</v>
      </c>
      <c r="BR54" s="108">
        <v>1.01</v>
      </c>
      <c r="BS54" s="108">
        <v>1</v>
      </c>
      <c r="BT54" s="108">
        <v>1</v>
      </c>
      <c r="BV54" s="160" t="s">
        <v>954</v>
      </c>
      <c r="BW54" s="83">
        <v>2</v>
      </c>
      <c r="BX54" s="83">
        <v>4</v>
      </c>
      <c r="BY54" s="83">
        <v>1</v>
      </c>
      <c r="BZ54" s="83">
        <v>3</v>
      </c>
      <c r="CA54" s="83">
        <v>1</v>
      </c>
      <c r="CB54" s="83">
        <v>5</v>
      </c>
      <c r="CC54" s="104">
        <v>3</v>
      </c>
      <c r="CD54" s="104">
        <v>1.05</v>
      </c>
      <c r="CE54" s="107">
        <f t="shared" si="63"/>
        <v>1.2365959919080913</v>
      </c>
      <c r="CF54" s="107">
        <f t="shared" si="64"/>
        <v>1.2434566510799234</v>
      </c>
      <c r="CG54" s="107" t="str">
        <f t="shared" si="65"/>
        <v>(2,4,1,3,1,5)</v>
      </c>
      <c r="CH54" s="108">
        <v>1.05</v>
      </c>
      <c r="CI54" s="108">
        <v>1.1000000000000001</v>
      </c>
      <c r="CJ54" s="108">
        <v>1</v>
      </c>
      <c r="CK54" s="108">
        <v>1.02</v>
      </c>
      <c r="CL54" s="108">
        <v>1</v>
      </c>
      <c r="CM54" s="108">
        <v>1.2</v>
      </c>
    </row>
    <row r="55" spans="1:91" s="171" customFormat="1">
      <c r="A55" s="333">
        <v>269253</v>
      </c>
      <c r="B55" s="216"/>
      <c r="C55" s="334"/>
      <c r="D55" s="342">
        <v>5</v>
      </c>
      <c r="E55" s="343" t="s">
        <v>98</v>
      </c>
      <c r="F55" s="437" t="s">
        <v>583</v>
      </c>
      <c r="G55" s="438" t="s">
        <v>93</v>
      </c>
      <c r="H55" s="439" t="s">
        <v>98</v>
      </c>
      <c r="I55" s="439" t="s">
        <v>98</v>
      </c>
      <c r="J55" s="335">
        <v>0</v>
      </c>
      <c r="K55" s="438" t="s">
        <v>96</v>
      </c>
      <c r="L55" s="440">
        <f t="shared" si="36"/>
        <v>1.19705501618123E-4</v>
      </c>
      <c r="M55" s="336">
        <v>1</v>
      </c>
      <c r="N55" s="337">
        <f t="shared" si="40"/>
        <v>1.0722009304576894</v>
      </c>
      <c r="O55" s="455" t="str">
        <f t="shared" si="41"/>
        <v>(2,1,1,2,1,1); Industry data (French tender)</v>
      </c>
      <c r="P55" s="440">
        <v>1.67026217712177E-3</v>
      </c>
      <c r="Q55" s="336">
        <v>1</v>
      </c>
      <c r="R55" s="337">
        <f t="shared" si="42"/>
        <v>1.0722009304576894</v>
      </c>
      <c r="S55" s="455" t="str">
        <f t="shared" si="43"/>
        <v>(2,1,1,2,1,1); Industry data (French tender)</v>
      </c>
      <c r="T55" s="440">
        <f t="shared" si="37"/>
        <v>1.19705501618123E-4</v>
      </c>
      <c r="U55" s="336">
        <v>1</v>
      </c>
      <c r="V55" s="337">
        <f t="shared" si="44"/>
        <v>1.0722009304576894</v>
      </c>
      <c r="W55" s="437" t="str">
        <f t="shared" si="45"/>
        <v>(2,1,1,2,1,1); Industry data (French tender)</v>
      </c>
      <c r="X55" s="440">
        <v>1.67026217712177E-3</v>
      </c>
      <c r="Y55" s="336">
        <v>1</v>
      </c>
      <c r="Z55" s="337">
        <f t="shared" si="46"/>
        <v>1.0722009304576894</v>
      </c>
      <c r="AA55" s="437" t="str">
        <f t="shared" si="47"/>
        <v>(2,1,1,2,1,1); Industry data (French tender)</v>
      </c>
      <c r="AB55" s="440">
        <f t="shared" si="38"/>
        <v>1.19705501618123E-4</v>
      </c>
      <c r="AC55" s="336">
        <v>1</v>
      </c>
      <c r="AD55" s="337">
        <f t="shared" si="48"/>
        <v>1.0722009304576894</v>
      </c>
      <c r="AE55" s="455" t="str">
        <f t="shared" si="49"/>
        <v>(2,1,1,2,1,1); Industry data (French tender)</v>
      </c>
      <c r="AF55" s="440">
        <v>1.67026217712177E-3</v>
      </c>
      <c r="AG55" s="336">
        <v>1</v>
      </c>
      <c r="AH55" s="337">
        <f t="shared" si="50"/>
        <v>1.0722009304576894</v>
      </c>
      <c r="AI55" s="455" t="str">
        <f t="shared" si="51"/>
        <v>(2,1,1,2,1,1); Industry data (French tender)</v>
      </c>
      <c r="AJ55" s="440">
        <f t="shared" si="39"/>
        <v>1.19705501618123E-4</v>
      </c>
      <c r="AK55" s="336">
        <v>1</v>
      </c>
      <c r="AL55" s="337">
        <f t="shared" si="52"/>
        <v>1.0722009304576894</v>
      </c>
      <c r="AM55" s="455" t="str">
        <f t="shared" si="53"/>
        <v>(2,1,1,2,1,1); Industry data (French tender)</v>
      </c>
      <c r="AN55" s="440">
        <v>1.67026217712177E-3</v>
      </c>
      <c r="AO55" s="336">
        <v>1</v>
      </c>
      <c r="AP55" s="337">
        <f t="shared" si="54"/>
        <v>1.0722009304576894</v>
      </c>
      <c r="AQ55" s="437" t="str">
        <f t="shared" si="55"/>
        <v>(2,1,1,2,1,1); Industry data (French tender)</v>
      </c>
      <c r="AR55" s="440">
        <v>1.4E-3</v>
      </c>
      <c r="AS55" s="336">
        <v>1</v>
      </c>
      <c r="AT55" s="337">
        <f t="shared" si="56"/>
        <v>1.2434566510799234</v>
      </c>
      <c r="AU55" s="455" t="str">
        <f t="shared" si="57"/>
        <v>(2,4,1,3,1,5); Brailovsky (2026) GP 05</v>
      </c>
      <c r="AV55" s="440">
        <v>1.4E-3</v>
      </c>
      <c r="AW55" s="336">
        <v>1</v>
      </c>
      <c r="AX55" s="337">
        <f t="shared" si="58"/>
        <v>1.2434566510799234</v>
      </c>
      <c r="AY55" s="437" t="str">
        <f t="shared" si="59"/>
        <v>(2,4,1,3,1,5); Brailovsky (2026) GP 05</v>
      </c>
      <c r="AZ55" s="338"/>
      <c r="BA55" s="440">
        <v>1.19705501618123E-4</v>
      </c>
      <c r="BB55" s="440"/>
      <c r="BC55" s="216" t="s">
        <v>462</v>
      </c>
      <c r="BD55" s="83">
        <v>2</v>
      </c>
      <c r="BE55" s="83">
        <v>1</v>
      </c>
      <c r="BF55" s="83">
        <v>1</v>
      </c>
      <c r="BG55" s="83">
        <v>2</v>
      </c>
      <c r="BH55" s="83">
        <v>1</v>
      </c>
      <c r="BI55" s="83">
        <v>1</v>
      </c>
      <c r="BJ55" s="104">
        <v>3</v>
      </c>
      <c r="BK55" s="104">
        <v>1.05</v>
      </c>
      <c r="BL55" s="107">
        <f t="shared" si="60"/>
        <v>1.0510550504206344</v>
      </c>
      <c r="BM55" s="107">
        <f t="shared" si="61"/>
        <v>1.0722009304576894</v>
      </c>
      <c r="BN55" s="107" t="str">
        <f t="shared" si="62"/>
        <v>(2,1,1,2,1,1)</v>
      </c>
      <c r="BO55" s="108">
        <v>1.05</v>
      </c>
      <c r="BP55" s="108">
        <v>1</v>
      </c>
      <c r="BQ55" s="108">
        <v>1</v>
      </c>
      <c r="BR55" s="108">
        <v>1.01</v>
      </c>
      <c r="BS55" s="108">
        <v>1</v>
      </c>
      <c r="BT55" s="108">
        <v>1</v>
      </c>
      <c r="BV55" s="160" t="s">
        <v>954</v>
      </c>
      <c r="BW55" s="83">
        <v>2</v>
      </c>
      <c r="BX55" s="83">
        <v>4</v>
      </c>
      <c r="BY55" s="83">
        <v>1</v>
      </c>
      <c r="BZ55" s="83">
        <v>3</v>
      </c>
      <c r="CA55" s="83">
        <v>1</v>
      </c>
      <c r="CB55" s="83">
        <v>5</v>
      </c>
      <c r="CC55" s="104">
        <v>3</v>
      </c>
      <c r="CD55" s="104">
        <v>1.05</v>
      </c>
      <c r="CE55" s="107">
        <f t="shared" si="63"/>
        <v>1.2365959919080913</v>
      </c>
      <c r="CF55" s="107">
        <f t="shared" si="64"/>
        <v>1.2434566510799234</v>
      </c>
      <c r="CG55" s="107" t="str">
        <f t="shared" si="65"/>
        <v>(2,4,1,3,1,5)</v>
      </c>
      <c r="CH55" s="108">
        <v>1.05</v>
      </c>
      <c r="CI55" s="108">
        <v>1.1000000000000001</v>
      </c>
      <c r="CJ55" s="108">
        <v>1</v>
      </c>
      <c r="CK55" s="108">
        <v>1.02</v>
      </c>
      <c r="CL55" s="108">
        <v>1</v>
      </c>
      <c r="CM55" s="108">
        <v>1.2</v>
      </c>
    </row>
    <row r="56" spans="1:91" s="171" customFormat="1" ht="24">
      <c r="A56" s="333">
        <v>268167</v>
      </c>
      <c r="B56" s="216"/>
      <c r="C56" s="334"/>
      <c r="D56" s="342">
        <v>5</v>
      </c>
      <c r="E56" s="343" t="s">
        <v>98</v>
      </c>
      <c r="F56" s="437" t="s">
        <v>984</v>
      </c>
      <c r="G56" s="438" t="s">
        <v>103</v>
      </c>
      <c r="H56" s="439" t="s">
        <v>98</v>
      </c>
      <c r="I56" s="439" t="s">
        <v>98</v>
      </c>
      <c r="J56" s="335">
        <v>0</v>
      </c>
      <c r="K56" s="438" t="s">
        <v>104</v>
      </c>
      <c r="L56" s="440">
        <v>0</v>
      </c>
      <c r="M56" s="336">
        <v>1</v>
      </c>
      <c r="N56" s="337">
        <f t="shared" si="40"/>
        <v>1.0722009304576894</v>
      </c>
      <c r="O56" s="455" t="str">
        <f t="shared" si="41"/>
        <v xml:space="preserve">(2,1,1,2,1,1); </v>
      </c>
      <c r="P56" s="440">
        <v>0</v>
      </c>
      <c r="Q56" s="336">
        <v>1</v>
      </c>
      <c r="R56" s="337">
        <f t="shared" si="42"/>
        <v>1.0722009304576894</v>
      </c>
      <c r="S56" s="455" t="str">
        <f t="shared" si="43"/>
        <v xml:space="preserve">(2,1,1,2,1,1); </v>
      </c>
      <c r="T56" s="440">
        <f t="shared" si="37"/>
        <v>0</v>
      </c>
      <c r="U56" s="336">
        <v>1</v>
      </c>
      <c r="V56" s="337">
        <f t="shared" si="44"/>
        <v>1.0722009304576894</v>
      </c>
      <c r="W56" s="437" t="str">
        <f t="shared" si="45"/>
        <v xml:space="preserve">(2,1,1,2,1,1); </v>
      </c>
      <c r="X56" s="440">
        <v>0</v>
      </c>
      <c r="Y56" s="336">
        <v>1</v>
      </c>
      <c r="Z56" s="337">
        <f t="shared" si="46"/>
        <v>1.0722009304576894</v>
      </c>
      <c r="AA56" s="437" t="str">
        <f t="shared" si="47"/>
        <v xml:space="preserve">(2,1,1,2,1,1); </v>
      </c>
      <c r="AB56" s="440">
        <f t="shared" si="38"/>
        <v>0</v>
      </c>
      <c r="AC56" s="336">
        <v>1</v>
      </c>
      <c r="AD56" s="337">
        <f t="shared" si="48"/>
        <v>1.0722009304576894</v>
      </c>
      <c r="AE56" s="455" t="str">
        <f t="shared" si="49"/>
        <v xml:space="preserve">(2,1,1,2,1,1); </v>
      </c>
      <c r="AF56" s="440">
        <v>0</v>
      </c>
      <c r="AG56" s="336">
        <v>1</v>
      </c>
      <c r="AH56" s="337">
        <f t="shared" si="50"/>
        <v>1.0722009304576894</v>
      </c>
      <c r="AI56" s="455" t="str">
        <f t="shared" si="51"/>
        <v xml:space="preserve">(2,1,1,2,1,1); </v>
      </c>
      <c r="AJ56" s="440">
        <v>0</v>
      </c>
      <c r="AK56" s="336">
        <v>1</v>
      </c>
      <c r="AL56" s="337">
        <f t="shared" si="52"/>
        <v>1.0722009304576894</v>
      </c>
      <c r="AM56" s="455" t="str">
        <f t="shared" si="53"/>
        <v xml:space="preserve">(2,1,1,2,1,1); </v>
      </c>
      <c r="AN56" s="440">
        <v>0</v>
      </c>
      <c r="AO56" s="336">
        <v>1</v>
      </c>
      <c r="AP56" s="337">
        <f t="shared" si="54"/>
        <v>1.0722009304576894</v>
      </c>
      <c r="AQ56" s="437" t="str">
        <f t="shared" si="55"/>
        <v xml:space="preserve">(2,1,1,2,1,1); </v>
      </c>
      <c r="AR56" s="440">
        <v>2.9700000000000001E-2</v>
      </c>
      <c r="AS56" s="336">
        <v>1</v>
      </c>
      <c r="AT56" s="337">
        <f t="shared" si="56"/>
        <v>1.2434566510799234</v>
      </c>
      <c r="AU56" s="455" t="str">
        <f t="shared" si="57"/>
        <v>(2,4,1,3,1,5); Brailovsky (2026) GP 05</v>
      </c>
      <c r="AV56" s="440">
        <v>2.9700000000000001E-2</v>
      </c>
      <c r="AW56" s="336">
        <v>1</v>
      </c>
      <c r="AX56" s="337">
        <f t="shared" si="58"/>
        <v>1.2434566510799234</v>
      </c>
      <c r="AY56" s="437" t="str">
        <f t="shared" si="59"/>
        <v>(2,4,1,3,1,5); Brailovsky (2026) GP 05</v>
      </c>
      <c r="AZ56" s="338"/>
      <c r="BA56" s="440">
        <v>1.19705501618123E-4</v>
      </c>
      <c r="BB56" s="440"/>
      <c r="BC56" s="216"/>
      <c r="BD56" s="83">
        <v>2</v>
      </c>
      <c r="BE56" s="83">
        <v>1</v>
      </c>
      <c r="BF56" s="83">
        <v>1</v>
      </c>
      <c r="BG56" s="83">
        <v>2</v>
      </c>
      <c r="BH56" s="83">
        <v>1</v>
      </c>
      <c r="BI56" s="83">
        <v>1</v>
      </c>
      <c r="BJ56" s="104">
        <v>3</v>
      </c>
      <c r="BK56" s="104">
        <v>1.05</v>
      </c>
      <c r="BL56" s="107">
        <f t="shared" si="60"/>
        <v>1.0510550504206344</v>
      </c>
      <c r="BM56" s="107">
        <f t="shared" si="61"/>
        <v>1.0722009304576894</v>
      </c>
      <c r="BN56" s="107" t="str">
        <f t="shared" si="62"/>
        <v>(2,1,1,2,1,1)</v>
      </c>
      <c r="BO56" s="108">
        <v>1.05</v>
      </c>
      <c r="BP56" s="108">
        <v>1</v>
      </c>
      <c r="BQ56" s="108">
        <v>1</v>
      </c>
      <c r="BR56" s="108">
        <v>1.01</v>
      </c>
      <c r="BS56" s="108">
        <v>1</v>
      </c>
      <c r="BT56" s="108">
        <v>1</v>
      </c>
      <c r="BV56" s="160" t="s">
        <v>954</v>
      </c>
      <c r="BW56" s="83">
        <v>2</v>
      </c>
      <c r="BX56" s="83">
        <v>4</v>
      </c>
      <c r="BY56" s="83">
        <v>1</v>
      </c>
      <c r="BZ56" s="83">
        <v>3</v>
      </c>
      <c r="CA56" s="83">
        <v>1</v>
      </c>
      <c r="CB56" s="83">
        <v>5</v>
      </c>
      <c r="CC56" s="104">
        <v>3</v>
      </c>
      <c r="CD56" s="104">
        <v>1.05</v>
      </c>
      <c r="CE56" s="107">
        <f t="shared" si="63"/>
        <v>1.2365959919080913</v>
      </c>
      <c r="CF56" s="107">
        <f t="shared" si="64"/>
        <v>1.2434566510799234</v>
      </c>
      <c r="CG56" s="107" t="str">
        <f t="shared" si="65"/>
        <v>(2,4,1,3,1,5)</v>
      </c>
      <c r="CH56" s="108">
        <v>1.05</v>
      </c>
      <c r="CI56" s="108">
        <v>1.1000000000000001</v>
      </c>
      <c r="CJ56" s="108">
        <v>1</v>
      </c>
      <c r="CK56" s="108">
        <v>1.02</v>
      </c>
      <c r="CL56" s="108">
        <v>1</v>
      </c>
      <c r="CM56" s="108">
        <v>1.2</v>
      </c>
    </row>
    <row r="57" spans="1:91" s="171" customFormat="1" ht="24">
      <c r="A57" s="333">
        <v>139753</v>
      </c>
      <c r="B57" s="216"/>
      <c r="C57" s="334"/>
      <c r="D57" s="342">
        <v>5</v>
      </c>
      <c r="E57" s="343" t="s">
        <v>98</v>
      </c>
      <c r="F57" s="437" t="s">
        <v>471</v>
      </c>
      <c r="G57" s="438" t="s">
        <v>103</v>
      </c>
      <c r="H57" s="439" t="s">
        <v>98</v>
      </c>
      <c r="I57" s="439" t="s">
        <v>98</v>
      </c>
      <c r="J57" s="335">
        <v>0</v>
      </c>
      <c r="K57" s="438" t="s">
        <v>96</v>
      </c>
      <c r="L57" s="440">
        <v>0</v>
      </c>
      <c r="M57" s="336">
        <v>1</v>
      </c>
      <c r="N57" s="337">
        <f t="shared" si="40"/>
        <v>1.0722009304576894</v>
      </c>
      <c r="O57" s="455" t="str">
        <f t="shared" si="41"/>
        <v xml:space="preserve">(2,1,1,2,1,1); </v>
      </c>
      <c r="P57" s="440">
        <v>0</v>
      </c>
      <c r="Q57" s="336">
        <v>1</v>
      </c>
      <c r="R57" s="337">
        <f t="shared" si="42"/>
        <v>1.0722009304576894</v>
      </c>
      <c r="S57" s="455" t="str">
        <f t="shared" si="43"/>
        <v xml:space="preserve">(2,1,1,2,1,1); </v>
      </c>
      <c r="T57" s="440">
        <f t="shared" si="37"/>
        <v>0</v>
      </c>
      <c r="U57" s="336">
        <v>1</v>
      </c>
      <c r="V57" s="337">
        <f t="shared" si="44"/>
        <v>1.0722009304576894</v>
      </c>
      <c r="W57" s="437" t="str">
        <f t="shared" si="45"/>
        <v xml:space="preserve">(2,1,1,2,1,1); </v>
      </c>
      <c r="X57" s="440">
        <v>0</v>
      </c>
      <c r="Y57" s="336">
        <v>1</v>
      </c>
      <c r="Z57" s="337">
        <f t="shared" si="46"/>
        <v>1.0722009304576894</v>
      </c>
      <c r="AA57" s="437" t="str">
        <f t="shared" si="47"/>
        <v xml:space="preserve">(2,1,1,2,1,1); </v>
      </c>
      <c r="AB57" s="440">
        <f t="shared" si="38"/>
        <v>0</v>
      </c>
      <c r="AC57" s="336">
        <v>1</v>
      </c>
      <c r="AD57" s="337">
        <f t="shared" si="48"/>
        <v>1.0722009304576894</v>
      </c>
      <c r="AE57" s="455" t="str">
        <f t="shared" si="49"/>
        <v xml:space="preserve">(2,1,1,2,1,1); </v>
      </c>
      <c r="AF57" s="440">
        <v>0</v>
      </c>
      <c r="AG57" s="336">
        <v>1</v>
      </c>
      <c r="AH57" s="337">
        <f t="shared" si="50"/>
        <v>1.0722009304576894</v>
      </c>
      <c r="AI57" s="455" t="str">
        <f t="shared" si="51"/>
        <v xml:space="preserve">(2,1,1,2,1,1); </v>
      </c>
      <c r="AJ57" s="440">
        <v>0</v>
      </c>
      <c r="AK57" s="336">
        <v>1</v>
      </c>
      <c r="AL57" s="337">
        <f t="shared" si="52"/>
        <v>1.0722009304576894</v>
      </c>
      <c r="AM57" s="455" t="str">
        <f t="shared" si="53"/>
        <v xml:space="preserve">(2,1,1,2,1,1); </v>
      </c>
      <c r="AN57" s="440">
        <v>0</v>
      </c>
      <c r="AO57" s="336">
        <v>1</v>
      </c>
      <c r="AP57" s="337">
        <f t="shared" si="54"/>
        <v>1.0722009304576894</v>
      </c>
      <c r="AQ57" s="437" t="str">
        <f t="shared" si="55"/>
        <v xml:space="preserve">(2,1,1,2,1,1); </v>
      </c>
      <c r="AR57" s="440">
        <v>1.4999999999999999E-4</v>
      </c>
      <c r="AS57" s="336">
        <v>1</v>
      </c>
      <c r="AT57" s="337">
        <f t="shared" si="56"/>
        <v>1.2434566510799234</v>
      </c>
      <c r="AU57" s="455" t="str">
        <f t="shared" si="57"/>
        <v>(2,4,1,3,1,5); Brailovsky (2026) GP 05  H2-5.0 and proxy of PH3/H2 (1% PH3 4.0 in H2 5.0)</v>
      </c>
      <c r="AV57" s="440">
        <v>1.4999999999999999E-4</v>
      </c>
      <c r="AW57" s="336">
        <v>1</v>
      </c>
      <c r="AX57" s="337">
        <f t="shared" si="58"/>
        <v>1.2434566510799234</v>
      </c>
      <c r="AY57" s="437" t="str">
        <f t="shared" si="59"/>
        <v>(2,4,1,3,1,5); Brailovsky (2026) GP 05  H2-5.0 and proxy of PH3/H2 (1% PH3 4.0 in H2 5.0)</v>
      </c>
      <c r="AZ57" s="338"/>
      <c r="BA57" s="440">
        <v>1.19705501618123E-4</v>
      </c>
      <c r="BB57" s="440"/>
      <c r="BC57" s="216"/>
      <c r="BD57" s="83">
        <v>2</v>
      </c>
      <c r="BE57" s="83">
        <v>1</v>
      </c>
      <c r="BF57" s="83">
        <v>1</v>
      </c>
      <c r="BG57" s="83">
        <v>2</v>
      </c>
      <c r="BH57" s="83">
        <v>1</v>
      </c>
      <c r="BI57" s="83">
        <v>1</v>
      </c>
      <c r="BJ57" s="104">
        <v>3</v>
      </c>
      <c r="BK57" s="104">
        <v>1.05</v>
      </c>
      <c r="BL57" s="107">
        <f t="shared" si="60"/>
        <v>1.0510550504206344</v>
      </c>
      <c r="BM57" s="107">
        <f t="shared" si="61"/>
        <v>1.0722009304576894</v>
      </c>
      <c r="BN57" s="107" t="str">
        <f t="shared" si="62"/>
        <v>(2,1,1,2,1,1)</v>
      </c>
      <c r="BO57" s="108">
        <v>1.05</v>
      </c>
      <c r="BP57" s="108">
        <v>1</v>
      </c>
      <c r="BQ57" s="108">
        <v>1</v>
      </c>
      <c r="BR57" s="108">
        <v>1.01</v>
      </c>
      <c r="BS57" s="108">
        <v>1</v>
      </c>
      <c r="BT57" s="108">
        <v>1</v>
      </c>
      <c r="BV57" s="160" t="s">
        <v>985</v>
      </c>
      <c r="BW57" s="83">
        <v>2</v>
      </c>
      <c r="BX57" s="83">
        <v>4</v>
      </c>
      <c r="BY57" s="83">
        <v>1</v>
      </c>
      <c r="BZ57" s="83">
        <v>3</v>
      </c>
      <c r="CA57" s="83">
        <v>1</v>
      </c>
      <c r="CB57" s="83">
        <v>5</v>
      </c>
      <c r="CC57" s="104">
        <v>3</v>
      </c>
      <c r="CD57" s="104">
        <v>1.05</v>
      </c>
      <c r="CE57" s="107">
        <f t="shared" si="63"/>
        <v>1.2365959919080913</v>
      </c>
      <c r="CF57" s="107">
        <f t="shared" si="64"/>
        <v>1.2434566510799234</v>
      </c>
      <c r="CG57" s="107" t="str">
        <f t="shared" si="65"/>
        <v>(2,4,1,3,1,5)</v>
      </c>
      <c r="CH57" s="108">
        <v>1.05</v>
      </c>
      <c r="CI57" s="108">
        <v>1.1000000000000001</v>
      </c>
      <c r="CJ57" s="108">
        <v>1</v>
      </c>
      <c r="CK57" s="108">
        <v>1.02</v>
      </c>
      <c r="CL57" s="108">
        <v>1</v>
      </c>
      <c r="CM57" s="108">
        <v>1.2</v>
      </c>
    </row>
    <row r="58" spans="1:91" s="171" customFormat="1" collapsed="1">
      <c r="A58" s="333">
        <v>269239</v>
      </c>
      <c r="B58" s="216"/>
      <c r="C58" s="334"/>
      <c r="D58" s="342">
        <v>5</v>
      </c>
      <c r="E58" s="343" t="s">
        <v>98</v>
      </c>
      <c r="F58" s="437" t="s">
        <v>612</v>
      </c>
      <c r="G58" s="438" t="s">
        <v>154</v>
      </c>
      <c r="H58" s="439" t="s">
        <v>98</v>
      </c>
      <c r="I58" s="439" t="s">
        <v>98</v>
      </c>
      <c r="J58" s="335">
        <v>0</v>
      </c>
      <c r="K58" s="438" t="s">
        <v>96</v>
      </c>
      <c r="L58" s="440">
        <f>AJ58</f>
        <v>0</v>
      </c>
      <c r="M58" s="336">
        <v>1</v>
      </c>
      <c r="N58" s="337">
        <f t="shared" si="40"/>
        <v>1.0722009304576894</v>
      </c>
      <c r="O58" s="455" t="str">
        <f t="shared" si="41"/>
        <v>(2,1,1,2,1,1); Industry data (French tender)</v>
      </c>
      <c r="P58" s="440">
        <v>1.6113653136531399E-6</v>
      </c>
      <c r="Q58" s="336">
        <v>1</v>
      </c>
      <c r="R58" s="337">
        <f t="shared" si="42"/>
        <v>1.0722009304576894</v>
      </c>
      <c r="S58" s="455" t="str">
        <f t="shared" si="43"/>
        <v>(2,1,1,2,1,1); Industry data (French tender)</v>
      </c>
      <c r="T58" s="440">
        <f t="shared" si="37"/>
        <v>0</v>
      </c>
      <c r="U58" s="336">
        <v>1</v>
      </c>
      <c r="V58" s="337">
        <f t="shared" si="44"/>
        <v>1.0722009304576894</v>
      </c>
      <c r="W58" s="437" t="str">
        <f t="shared" si="45"/>
        <v>(2,1,1,2,1,1); Industry data (French tender)</v>
      </c>
      <c r="X58" s="440">
        <v>1.6113653136531399E-6</v>
      </c>
      <c r="Y58" s="336">
        <v>1</v>
      </c>
      <c r="Z58" s="337">
        <f t="shared" si="46"/>
        <v>1.0722009304576894</v>
      </c>
      <c r="AA58" s="437" t="str">
        <f t="shared" si="47"/>
        <v>(2,1,1,2,1,1); Industry data (French tender)</v>
      </c>
      <c r="AB58" s="440">
        <f t="shared" si="38"/>
        <v>0</v>
      </c>
      <c r="AC58" s="336">
        <v>1</v>
      </c>
      <c r="AD58" s="337">
        <f t="shared" si="48"/>
        <v>1.0722009304576894</v>
      </c>
      <c r="AE58" s="455" t="str">
        <f t="shared" si="49"/>
        <v>(2,1,1,2,1,1); Industry data (French tender)</v>
      </c>
      <c r="AF58" s="440">
        <v>1.6113653136531399E-6</v>
      </c>
      <c r="AG58" s="336">
        <v>1</v>
      </c>
      <c r="AH58" s="337">
        <f t="shared" si="50"/>
        <v>1.0722009304576894</v>
      </c>
      <c r="AI58" s="455" t="str">
        <f t="shared" si="51"/>
        <v>(2,1,1,2,1,1); Industry data (French tender)</v>
      </c>
      <c r="AJ58" s="440">
        <f>BA58</f>
        <v>0</v>
      </c>
      <c r="AK58" s="336">
        <v>1</v>
      </c>
      <c r="AL58" s="337">
        <f t="shared" si="52"/>
        <v>1.0722009304576894</v>
      </c>
      <c r="AM58" s="455" t="str">
        <f t="shared" si="53"/>
        <v>(2,1,1,2,1,1); Industry data (French tender)</v>
      </c>
      <c r="AN58" s="440">
        <v>1.6113653136531399E-6</v>
      </c>
      <c r="AO58" s="336">
        <v>1</v>
      </c>
      <c r="AP58" s="337">
        <f t="shared" si="54"/>
        <v>1.0722009304576894</v>
      </c>
      <c r="AQ58" s="437" t="str">
        <f t="shared" si="55"/>
        <v>(2,1,1,2,1,1); Industry data (French tender)</v>
      </c>
      <c r="AR58" s="440">
        <v>0</v>
      </c>
      <c r="AS58" s="336">
        <v>1</v>
      </c>
      <c r="AT58" s="337">
        <f t="shared" si="56"/>
        <v>1.05</v>
      </c>
      <c r="AU58" s="455" t="str">
        <f t="shared" si="57"/>
        <v xml:space="preserve">(na,na,na,na,na,na); </v>
      </c>
      <c r="AV58" s="440">
        <v>0</v>
      </c>
      <c r="AW58" s="336">
        <v>1</v>
      </c>
      <c r="AX58" s="337">
        <f t="shared" si="58"/>
        <v>1.05</v>
      </c>
      <c r="AY58" s="437" t="str">
        <f t="shared" si="59"/>
        <v xml:space="preserve">(na,na,na,na,na,na); </v>
      </c>
      <c r="AZ58" s="338"/>
      <c r="BA58" s="440">
        <v>0</v>
      </c>
      <c r="BB58" s="440"/>
      <c r="BC58" s="216" t="s">
        <v>462</v>
      </c>
      <c r="BD58" s="83">
        <v>2</v>
      </c>
      <c r="BE58" s="83">
        <v>1</v>
      </c>
      <c r="BF58" s="83">
        <v>1</v>
      </c>
      <c r="BG58" s="83">
        <v>2</v>
      </c>
      <c r="BH58" s="83">
        <v>1</v>
      </c>
      <c r="BI58" s="83">
        <v>1</v>
      </c>
      <c r="BJ58" s="104">
        <v>3</v>
      </c>
      <c r="BK58" s="104">
        <v>1.05</v>
      </c>
      <c r="BL58" s="107">
        <f t="shared" si="60"/>
        <v>1.0510550504206344</v>
      </c>
      <c r="BM58" s="107">
        <f t="shared" si="61"/>
        <v>1.0722009304576894</v>
      </c>
      <c r="BN58" s="107" t="str">
        <f t="shared" si="62"/>
        <v>(2,1,1,2,1,1)</v>
      </c>
      <c r="BO58" s="108">
        <v>1.05</v>
      </c>
      <c r="BP58" s="108">
        <v>1</v>
      </c>
      <c r="BQ58" s="108">
        <v>1</v>
      </c>
      <c r="BR58" s="108">
        <v>1.01</v>
      </c>
      <c r="BS58" s="108">
        <v>1</v>
      </c>
      <c r="BT58" s="108">
        <v>1</v>
      </c>
      <c r="BV58" s="160"/>
      <c r="BW58" s="83" t="s">
        <v>106</v>
      </c>
      <c r="BX58" s="83" t="s">
        <v>106</v>
      </c>
      <c r="BY58" s="83" t="s">
        <v>106</v>
      </c>
      <c r="BZ58" s="83" t="s">
        <v>106</v>
      </c>
      <c r="CA58" s="83" t="s">
        <v>106</v>
      </c>
      <c r="CB58" s="83" t="s">
        <v>106</v>
      </c>
      <c r="CC58" s="104">
        <v>3</v>
      </c>
      <c r="CD58" s="104">
        <v>1.05</v>
      </c>
      <c r="CE58" s="107">
        <f t="shared" si="63"/>
        <v>1</v>
      </c>
      <c r="CF58" s="107">
        <f t="shared" si="64"/>
        <v>1.05</v>
      </c>
      <c r="CG58" s="107" t="str">
        <f t="shared" si="65"/>
        <v>(na,na,na,na,na,na)</v>
      </c>
      <c r="CH58" s="108">
        <v>1</v>
      </c>
      <c r="CI58" s="108">
        <v>1</v>
      </c>
      <c r="CJ58" s="108">
        <v>1</v>
      </c>
      <c r="CK58" s="108">
        <v>1</v>
      </c>
      <c r="CL58" s="108">
        <v>1</v>
      </c>
      <c r="CM58" s="108">
        <v>1</v>
      </c>
    </row>
    <row r="59" spans="1:91" s="171" customFormat="1">
      <c r="A59" s="333">
        <v>269223</v>
      </c>
      <c r="B59" s="216"/>
      <c r="C59" s="334"/>
      <c r="D59" s="342">
        <v>5</v>
      </c>
      <c r="E59" s="343" t="s">
        <v>98</v>
      </c>
      <c r="F59" s="437" t="s">
        <v>318</v>
      </c>
      <c r="G59" s="438" t="s">
        <v>93</v>
      </c>
      <c r="H59" s="439" t="s">
        <v>98</v>
      </c>
      <c r="I59" s="439" t="s">
        <v>98</v>
      </c>
      <c r="J59" s="335">
        <v>0</v>
      </c>
      <c r="K59" s="438" t="s">
        <v>96</v>
      </c>
      <c r="L59" s="440">
        <f>AJ59</f>
        <v>0.71103656957928796</v>
      </c>
      <c r="M59" s="336">
        <v>1</v>
      </c>
      <c r="N59" s="337">
        <f t="shared" si="40"/>
        <v>1.0722009304576894</v>
      </c>
      <c r="O59" s="455" t="str">
        <f t="shared" si="41"/>
        <v>(2,1,1,2,1,1); Industry data (French tender)</v>
      </c>
      <c r="P59" s="440">
        <v>0.77745166051660497</v>
      </c>
      <c r="Q59" s="336">
        <v>1</v>
      </c>
      <c r="R59" s="337">
        <f t="shared" si="42"/>
        <v>1.0722009304576894</v>
      </c>
      <c r="S59" s="455" t="str">
        <f t="shared" si="43"/>
        <v>(2,1,1,2,1,1); Industry data (French tender)</v>
      </c>
      <c r="T59" s="440">
        <f t="shared" si="37"/>
        <v>0.71103656957928796</v>
      </c>
      <c r="U59" s="336">
        <v>1</v>
      </c>
      <c r="V59" s="337">
        <f t="shared" si="44"/>
        <v>1.0722009304576894</v>
      </c>
      <c r="W59" s="437" t="str">
        <f t="shared" si="45"/>
        <v>(2,1,1,2,1,1); Industry data (French tender)</v>
      </c>
      <c r="X59" s="440">
        <v>0.77745166051660497</v>
      </c>
      <c r="Y59" s="336">
        <v>1</v>
      </c>
      <c r="Z59" s="337">
        <f t="shared" si="46"/>
        <v>1.0722009304576894</v>
      </c>
      <c r="AA59" s="437" t="str">
        <f t="shared" si="47"/>
        <v>(2,1,1,2,1,1); Industry data (French tender)</v>
      </c>
      <c r="AB59" s="440">
        <f t="shared" si="38"/>
        <v>0.71103656957928796</v>
      </c>
      <c r="AC59" s="336">
        <v>1</v>
      </c>
      <c r="AD59" s="337">
        <f t="shared" si="48"/>
        <v>1.0722009304576894</v>
      </c>
      <c r="AE59" s="455" t="str">
        <f t="shared" si="49"/>
        <v>(2,1,1,2,1,1); Industry data (French tender)</v>
      </c>
      <c r="AF59" s="440">
        <v>0.77745166051660497</v>
      </c>
      <c r="AG59" s="336">
        <v>1</v>
      </c>
      <c r="AH59" s="337">
        <f t="shared" si="50"/>
        <v>1.0722009304576894</v>
      </c>
      <c r="AI59" s="455" t="str">
        <f t="shared" si="51"/>
        <v>(2,1,1,2,1,1); Industry data (French tender)</v>
      </c>
      <c r="AJ59" s="440">
        <f>BA59</f>
        <v>0.71103656957928796</v>
      </c>
      <c r="AK59" s="336">
        <v>1</v>
      </c>
      <c r="AL59" s="337">
        <f t="shared" si="52"/>
        <v>1.0722009304576894</v>
      </c>
      <c r="AM59" s="455" t="str">
        <f t="shared" si="53"/>
        <v>(2,1,1,2,1,1); Industry data (French tender)</v>
      </c>
      <c r="AN59" s="440">
        <v>0.77745166051660497</v>
      </c>
      <c r="AO59" s="336">
        <v>1</v>
      </c>
      <c r="AP59" s="337">
        <f t="shared" si="54"/>
        <v>1.0722009304576894</v>
      </c>
      <c r="AQ59" s="437" t="str">
        <f t="shared" si="55"/>
        <v>(2,1,1,2,1,1); Industry data (French tender)</v>
      </c>
      <c r="AR59" s="440">
        <v>2.2200000000000002</v>
      </c>
      <c r="AS59" s="336">
        <v>1</v>
      </c>
      <c r="AT59" s="337">
        <f t="shared" si="56"/>
        <v>1.2434566510799234</v>
      </c>
      <c r="AU59" s="455" t="str">
        <f t="shared" si="57"/>
        <v>(2,4,1,3,1,5); Brailovsky (2026) GP 05</v>
      </c>
      <c r="AV59" s="440">
        <v>2.2200000000000002</v>
      </c>
      <c r="AW59" s="336">
        <v>1</v>
      </c>
      <c r="AX59" s="337">
        <f t="shared" si="58"/>
        <v>1.2434566510799234</v>
      </c>
      <c r="AY59" s="437" t="str">
        <f t="shared" si="59"/>
        <v>(2,4,1,3,1,5); Brailovsky (2026) GP 05</v>
      </c>
      <c r="AZ59" s="338"/>
      <c r="BA59" s="440">
        <v>0.71103656957928796</v>
      </c>
      <c r="BB59" s="440"/>
      <c r="BC59" s="216" t="s">
        <v>462</v>
      </c>
      <c r="BD59" s="83">
        <v>2</v>
      </c>
      <c r="BE59" s="83">
        <v>1</v>
      </c>
      <c r="BF59" s="83">
        <v>1</v>
      </c>
      <c r="BG59" s="83">
        <v>2</v>
      </c>
      <c r="BH59" s="83">
        <v>1</v>
      </c>
      <c r="BI59" s="83">
        <v>1</v>
      </c>
      <c r="BJ59" s="104">
        <v>3</v>
      </c>
      <c r="BK59" s="104">
        <v>1.05</v>
      </c>
      <c r="BL59" s="107">
        <f t="shared" si="60"/>
        <v>1.0510550504206344</v>
      </c>
      <c r="BM59" s="107">
        <f t="shared" si="61"/>
        <v>1.0722009304576894</v>
      </c>
      <c r="BN59" s="107" t="str">
        <f t="shared" si="62"/>
        <v>(2,1,1,2,1,1)</v>
      </c>
      <c r="BO59" s="108">
        <v>1.05</v>
      </c>
      <c r="BP59" s="108">
        <v>1</v>
      </c>
      <c r="BQ59" s="108">
        <v>1</v>
      </c>
      <c r="BR59" s="108">
        <v>1.01</v>
      </c>
      <c r="BS59" s="108">
        <v>1</v>
      </c>
      <c r="BT59" s="108">
        <v>1</v>
      </c>
      <c r="BV59" s="160" t="s">
        <v>954</v>
      </c>
      <c r="BW59" s="83">
        <v>2</v>
      </c>
      <c r="BX59" s="83">
        <v>4</v>
      </c>
      <c r="BY59" s="83">
        <v>1</v>
      </c>
      <c r="BZ59" s="83">
        <v>3</v>
      </c>
      <c r="CA59" s="83">
        <v>1</v>
      </c>
      <c r="CB59" s="83">
        <v>5</v>
      </c>
      <c r="CC59" s="104">
        <v>3</v>
      </c>
      <c r="CD59" s="104">
        <v>1.05</v>
      </c>
      <c r="CE59" s="107">
        <f t="shared" si="63"/>
        <v>1.2365959919080913</v>
      </c>
      <c r="CF59" s="107">
        <f t="shared" si="64"/>
        <v>1.2434566510799234</v>
      </c>
      <c r="CG59" s="107" t="str">
        <f t="shared" si="65"/>
        <v>(2,4,1,3,1,5)</v>
      </c>
      <c r="CH59" s="108">
        <v>1.05</v>
      </c>
      <c r="CI59" s="108">
        <v>1.1000000000000001</v>
      </c>
      <c r="CJ59" s="108">
        <v>1</v>
      </c>
      <c r="CK59" s="108">
        <v>1.02</v>
      </c>
      <c r="CL59" s="108">
        <v>1</v>
      </c>
      <c r="CM59" s="108">
        <v>1.2</v>
      </c>
    </row>
    <row r="60" spans="1:91" s="171" customFormat="1">
      <c r="A60" s="333">
        <v>261889</v>
      </c>
      <c r="B60" s="216"/>
      <c r="C60" s="334"/>
      <c r="D60" s="342">
        <v>5</v>
      </c>
      <c r="E60" s="343" t="s">
        <v>98</v>
      </c>
      <c r="F60" s="437" t="s">
        <v>986</v>
      </c>
      <c r="G60" s="438" t="s">
        <v>93</v>
      </c>
      <c r="H60" s="439" t="s">
        <v>98</v>
      </c>
      <c r="I60" s="439" t="s">
        <v>98</v>
      </c>
      <c r="J60" s="335">
        <v>0</v>
      </c>
      <c r="K60" s="438" t="s">
        <v>96</v>
      </c>
      <c r="L60" s="440">
        <f>AJ60</f>
        <v>4.8911165048543702E-3</v>
      </c>
      <c r="M60" s="336">
        <v>1</v>
      </c>
      <c r="N60" s="337">
        <f t="shared" si="40"/>
        <v>1.0722009304576894</v>
      </c>
      <c r="O60" s="455" t="str">
        <f t="shared" si="41"/>
        <v>(2,1,1,2,1,1); Industry data (French tender)</v>
      </c>
      <c r="P60" s="440">
        <v>7.1084870848708501E-3</v>
      </c>
      <c r="Q60" s="336">
        <v>1</v>
      </c>
      <c r="R60" s="337">
        <f t="shared" si="42"/>
        <v>1.0722009304576894</v>
      </c>
      <c r="S60" s="455" t="str">
        <f t="shared" si="43"/>
        <v>(2,1,1,2,1,1); Industry data (French tender)</v>
      </c>
      <c r="T60" s="440">
        <f t="shared" si="37"/>
        <v>4.8911165048543702E-3</v>
      </c>
      <c r="U60" s="336">
        <v>1</v>
      </c>
      <c r="V60" s="337">
        <f t="shared" si="44"/>
        <v>1.0722009304576894</v>
      </c>
      <c r="W60" s="437" t="str">
        <f t="shared" si="45"/>
        <v>(2,1,1,2,1,1); Industry data (French tender)</v>
      </c>
      <c r="X60" s="440">
        <v>7.1084870848708501E-3</v>
      </c>
      <c r="Y60" s="336">
        <v>1</v>
      </c>
      <c r="Z60" s="337">
        <f t="shared" si="46"/>
        <v>1.0722009304576894</v>
      </c>
      <c r="AA60" s="437" t="str">
        <f t="shared" si="47"/>
        <v>(2,1,1,2,1,1); Industry data (French tender)</v>
      </c>
      <c r="AB60" s="440">
        <f t="shared" si="38"/>
        <v>4.8911165048543702E-3</v>
      </c>
      <c r="AC60" s="336">
        <v>1</v>
      </c>
      <c r="AD60" s="337">
        <f t="shared" si="48"/>
        <v>1.0722009304576894</v>
      </c>
      <c r="AE60" s="455" t="str">
        <f t="shared" si="49"/>
        <v>(2,1,1,2,1,1); Industry data (French tender)</v>
      </c>
      <c r="AF60" s="440">
        <v>7.1084870848708501E-3</v>
      </c>
      <c r="AG60" s="336">
        <v>1</v>
      </c>
      <c r="AH60" s="337">
        <f t="shared" si="50"/>
        <v>1.0722009304576894</v>
      </c>
      <c r="AI60" s="455" t="str">
        <f t="shared" si="51"/>
        <v>(2,1,1,2,1,1); Industry data (French tender)</v>
      </c>
      <c r="AJ60" s="440">
        <f>BA60</f>
        <v>4.8911165048543702E-3</v>
      </c>
      <c r="AK60" s="336">
        <v>1</v>
      </c>
      <c r="AL60" s="337">
        <f t="shared" si="52"/>
        <v>1.0722009304576894</v>
      </c>
      <c r="AM60" s="455" t="str">
        <f t="shared" si="53"/>
        <v>(2,1,1,2,1,1); Industry data (French tender)</v>
      </c>
      <c r="AN60" s="440">
        <v>7.1084870848708501E-3</v>
      </c>
      <c r="AO60" s="336">
        <v>1</v>
      </c>
      <c r="AP60" s="337">
        <f t="shared" si="54"/>
        <v>1.0722009304576894</v>
      </c>
      <c r="AQ60" s="437" t="str">
        <f t="shared" si="55"/>
        <v>(2,1,1,2,1,1); Industry data (French tender)</v>
      </c>
      <c r="AR60" s="440">
        <v>0.01</v>
      </c>
      <c r="AS60" s="336">
        <v>1</v>
      </c>
      <c r="AT60" s="337">
        <f t="shared" si="56"/>
        <v>1.2434566510799234</v>
      </c>
      <c r="AU60" s="455" t="str">
        <f t="shared" si="57"/>
        <v>(2,4,1,3,1,5); Brailovsky (2026) GP 05</v>
      </c>
      <c r="AV60" s="440">
        <v>0.01</v>
      </c>
      <c r="AW60" s="336">
        <v>1</v>
      </c>
      <c r="AX60" s="337">
        <f t="shared" si="58"/>
        <v>1.2434566510799234</v>
      </c>
      <c r="AY60" s="437" t="str">
        <f t="shared" si="59"/>
        <v>(2,4,1,3,1,5); Brailovsky (2026) GP 05</v>
      </c>
      <c r="AZ60" s="338"/>
      <c r="BA60" s="440">
        <v>4.8911165048543702E-3</v>
      </c>
      <c r="BB60" s="440"/>
      <c r="BC60" s="216" t="s">
        <v>462</v>
      </c>
      <c r="BD60" s="83">
        <v>2</v>
      </c>
      <c r="BE60" s="83">
        <v>1</v>
      </c>
      <c r="BF60" s="83">
        <v>1</v>
      </c>
      <c r="BG60" s="83">
        <v>2</v>
      </c>
      <c r="BH60" s="83">
        <v>1</v>
      </c>
      <c r="BI60" s="83">
        <v>1</v>
      </c>
      <c r="BJ60" s="104">
        <v>3</v>
      </c>
      <c r="BK60" s="104">
        <v>1.05</v>
      </c>
      <c r="BL60" s="107">
        <f t="shared" si="60"/>
        <v>1.0510550504206344</v>
      </c>
      <c r="BM60" s="107">
        <f t="shared" si="61"/>
        <v>1.0722009304576894</v>
      </c>
      <c r="BN60" s="107" t="str">
        <f t="shared" si="62"/>
        <v>(2,1,1,2,1,1)</v>
      </c>
      <c r="BO60" s="108">
        <v>1.05</v>
      </c>
      <c r="BP60" s="108">
        <v>1</v>
      </c>
      <c r="BQ60" s="108">
        <v>1</v>
      </c>
      <c r="BR60" s="108">
        <v>1.01</v>
      </c>
      <c r="BS60" s="108">
        <v>1</v>
      </c>
      <c r="BT60" s="108">
        <v>1</v>
      </c>
      <c r="BV60" s="160" t="s">
        <v>954</v>
      </c>
      <c r="BW60" s="83">
        <v>2</v>
      </c>
      <c r="BX60" s="83">
        <v>4</v>
      </c>
      <c r="BY60" s="83">
        <v>1</v>
      </c>
      <c r="BZ60" s="83">
        <v>3</v>
      </c>
      <c r="CA60" s="83">
        <v>1</v>
      </c>
      <c r="CB60" s="83">
        <v>5</v>
      </c>
      <c r="CC60" s="104">
        <v>3</v>
      </c>
      <c r="CD60" s="104">
        <v>1.05</v>
      </c>
      <c r="CE60" s="107">
        <f t="shared" si="63"/>
        <v>1.2365959919080913</v>
      </c>
      <c r="CF60" s="107">
        <f t="shared" si="64"/>
        <v>1.2434566510799234</v>
      </c>
      <c r="CG60" s="107" t="str">
        <f t="shared" si="65"/>
        <v>(2,4,1,3,1,5)</v>
      </c>
      <c r="CH60" s="108">
        <v>1.05</v>
      </c>
      <c r="CI60" s="108">
        <v>1.1000000000000001</v>
      </c>
      <c r="CJ60" s="108">
        <v>1</v>
      </c>
      <c r="CK60" s="108">
        <v>1.02</v>
      </c>
      <c r="CL60" s="108">
        <v>1</v>
      </c>
      <c r="CM60" s="108">
        <v>1.2</v>
      </c>
    </row>
    <row r="61" spans="1:91" s="171" customFormat="1" ht="24">
      <c r="A61" s="333">
        <v>269257</v>
      </c>
      <c r="B61" s="216"/>
      <c r="C61" s="334"/>
      <c r="D61" s="342">
        <v>5</v>
      </c>
      <c r="E61" s="343" t="s">
        <v>98</v>
      </c>
      <c r="F61" s="437" t="s">
        <v>463</v>
      </c>
      <c r="G61" s="438" t="s">
        <v>93</v>
      </c>
      <c r="H61" s="439" t="s">
        <v>98</v>
      </c>
      <c r="I61" s="439" t="s">
        <v>98</v>
      </c>
      <c r="J61" s="335">
        <v>0</v>
      </c>
      <c r="K61" s="438" t="s">
        <v>96</v>
      </c>
      <c r="L61" s="440">
        <f>AJ61</f>
        <v>6.5585436893203898E-3</v>
      </c>
      <c r="M61" s="336">
        <v>1</v>
      </c>
      <c r="N61" s="337">
        <f t="shared" si="40"/>
        <v>1.0722009304576894</v>
      </c>
      <c r="O61" s="455" t="str">
        <f t="shared" si="41"/>
        <v>(2,1,1,2,1,1); Industry data (French tender) proxy for nitrous oxide</v>
      </c>
      <c r="P61" s="440">
        <v>9.0273062730627292E-3</v>
      </c>
      <c r="Q61" s="336">
        <v>1</v>
      </c>
      <c r="R61" s="337">
        <f t="shared" si="42"/>
        <v>1.0722009304576894</v>
      </c>
      <c r="S61" s="455" t="str">
        <f t="shared" si="43"/>
        <v>(2,1,1,2,1,1); Industry data (French tender) proxy for nitrous oxide</v>
      </c>
      <c r="T61" s="440">
        <f t="shared" si="37"/>
        <v>6.5585436893203898E-3</v>
      </c>
      <c r="U61" s="336">
        <v>1</v>
      </c>
      <c r="V61" s="337">
        <f t="shared" si="44"/>
        <v>1.0722009304576894</v>
      </c>
      <c r="W61" s="437" t="str">
        <f t="shared" si="45"/>
        <v>(2,1,1,2,1,1); Industry data (French tender) proxy for nitrous oxide</v>
      </c>
      <c r="X61" s="440">
        <v>9.0273062730627292E-3</v>
      </c>
      <c r="Y61" s="336">
        <v>1</v>
      </c>
      <c r="Z61" s="337">
        <f t="shared" si="46"/>
        <v>1.0722009304576894</v>
      </c>
      <c r="AA61" s="437" t="str">
        <f t="shared" si="47"/>
        <v>(2,1,1,2,1,1); Industry data (French tender) proxy for nitrous oxide</v>
      </c>
      <c r="AB61" s="440">
        <f t="shared" si="38"/>
        <v>6.5585436893203898E-3</v>
      </c>
      <c r="AC61" s="336">
        <v>1</v>
      </c>
      <c r="AD61" s="337">
        <f t="shared" si="48"/>
        <v>1.0722009304576894</v>
      </c>
      <c r="AE61" s="455" t="str">
        <f t="shared" si="49"/>
        <v>(2,1,1,2,1,1); Industry data (French tender) proxy for nitrous oxide</v>
      </c>
      <c r="AF61" s="440">
        <v>9.0273062730627292E-3</v>
      </c>
      <c r="AG61" s="336">
        <v>1</v>
      </c>
      <c r="AH61" s="337">
        <f t="shared" si="50"/>
        <v>1.0722009304576894</v>
      </c>
      <c r="AI61" s="455" t="str">
        <f t="shared" si="51"/>
        <v>(2,1,1,2,1,1); Industry data (French tender) proxy for nitrous oxide</v>
      </c>
      <c r="AJ61" s="440">
        <f>BA61</f>
        <v>6.5585436893203898E-3</v>
      </c>
      <c r="AK61" s="336">
        <v>1</v>
      </c>
      <c r="AL61" s="337">
        <f t="shared" si="52"/>
        <v>1.0722009304576894</v>
      </c>
      <c r="AM61" s="455" t="str">
        <f t="shared" si="53"/>
        <v>(2,1,1,2,1,1); Industry data (French tender) proxy for nitrous oxide</v>
      </c>
      <c r="AN61" s="440">
        <v>9.0273062730627292E-3</v>
      </c>
      <c r="AO61" s="336">
        <v>1</v>
      </c>
      <c r="AP61" s="337">
        <f t="shared" si="54"/>
        <v>1.0722009304576894</v>
      </c>
      <c r="AQ61" s="437" t="str">
        <f t="shared" si="55"/>
        <v>(2,1,1,2,1,1); Industry data (French tender) proxy for nitrous oxide</v>
      </c>
      <c r="AR61" s="440">
        <v>1.74E-3</v>
      </c>
      <c r="AS61" s="336">
        <v>1</v>
      </c>
      <c r="AT61" s="337">
        <f t="shared" si="56"/>
        <v>1.2434566510799234</v>
      </c>
      <c r="AU61" s="455" t="str">
        <f t="shared" si="57"/>
        <v>(2,4,1,3,1,5); Brailovsky (2026) GP 05 Proxy for nitrous oxide</v>
      </c>
      <c r="AV61" s="440">
        <v>1.74E-3</v>
      </c>
      <c r="AW61" s="336">
        <v>1</v>
      </c>
      <c r="AX61" s="337">
        <f t="shared" si="58"/>
        <v>1.2434566510799234</v>
      </c>
      <c r="AY61" s="437" t="str">
        <f t="shared" si="59"/>
        <v>(2,4,1,3,1,5); Brailovsky (2026) GP 05 Proxy for nitrous oxide</v>
      </c>
      <c r="AZ61" s="338"/>
      <c r="BA61" s="440">
        <v>6.5585436893203898E-3</v>
      </c>
      <c r="BB61" s="440"/>
      <c r="BC61" s="216" t="s">
        <v>987</v>
      </c>
      <c r="BD61" s="83">
        <v>2</v>
      </c>
      <c r="BE61" s="83">
        <v>1</v>
      </c>
      <c r="BF61" s="83">
        <v>1</v>
      </c>
      <c r="BG61" s="83">
        <v>2</v>
      </c>
      <c r="BH61" s="83">
        <v>1</v>
      </c>
      <c r="BI61" s="83">
        <v>1</v>
      </c>
      <c r="BJ61" s="104">
        <v>3</v>
      </c>
      <c r="BK61" s="104">
        <v>1.05</v>
      </c>
      <c r="BL61" s="107">
        <f t="shared" si="60"/>
        <v>1.0510550504206344</v>
      </c>
      <c r="BM61" s="107">
        <f t="shared" si="61"/>
        <v>1.0722009304576894</v>
      </c>
      <c r="BN61" s="107" t="str">
        <f t="shared" si="62"/>
        <v>(2,1,1,2,1,1)</v>
      </c>
      <c r="BO61" s="108">
        <v>1.05</v>
      </c>
      <c r="BP61" s="108">
        <v>1</v>
      </c>
      <c r="BQ61" s="108">
        <v>1</v>
      </c>
      <c r="BR61" s="108">
        <v>1.01</v>
      </c>
      <c r="BS61" s="108">
        <v>1</v>
      </c>
      <c r="BT61" s="108">
        <v>1</v>
      </c>
      <c r="BV61" s="160" t="s">
        <v>988</v>
      </c>
      <c r="BW61" s="83">
        <v>2</v>
      </c>
      <c r="BX61" s="83">
        <v>4</v>
      </c>
      <c r="BY61" s="83">
        <v>1</v>
      </c>
      <c r="BZ61" s="83">
        <v>3</v>
      </c>
      <c r="CA61" s="83">
        <v>1</v>
      </c>
      <c r="CB61" s="83">
        <v>5</v>
      </c>
      <c r="CC61" s="104">
        <v>3</v>
      </c>
      <c r="CD61" s="104">
        <v>1.05</v>
      </c>
      <c r="CE61" s="107">
        <f t="shared" si="63"/>
        <v>1.2365959919080913</v>
      </c>
      <c r="CF61" s="107">
        <f t="shared" si="64"/>
        <v>1.2434566510799234</v>
      </c>
      <c r="CG61" s="107" t="str">
        <f t="shared" si="65"/>
        <v>(2,4,1,3,1,5)</v>
      </c>
      <c r="CH61" s="108">
        <v>1.05</v>
      </c>
      <c r="CI61" s="108">
        <v>1.1000000000000001</v>
      </c>
      <c r="CJ61" s="108">
        <v>1</v>
      </c>
      <c r="CK61" s="108">
        <v>1.02</v>
      </c>
      <c r="CL61" s="108">
        <v>1</v>
      </c>
      <c r="CM61" s="108">
        <v>1.2</v>
      </c>
    </row>
    <row r="62" spans="1:91" s="171" customFormat="1" ht="24">
      <c r="A62" s="333">
        <v>265763</v>
      </c>
      <c r="B62" s="216" t="s">
        <v>191</v>
      </c>
      <c r="C62" s="334"/>
      <c r="D62" s="342">
        <v>5</v>
      </c>
      <c r="E62" s="343" t="s">
        <v>98</v>
      </c>
      <c r="F62" s="437" t="s">
        <v>488</v>
      </c>
      <c r="G62" s="438" t="s">
        <v>372</v>
      </c>
      <c r="H62" s="439" t="s">
        <v>98</v>
      </c>
      <c r="I62" s="439" t="s">
        <v>98</v>
      </c>
      <c r="J62" s="335">
        <v>0</v>
      </c>
      <c r="K62" s="438" t="s">
        <v>96</v>
      </c>
      <c r="L62" s="440">
        <f>$AJ$69</f>
        <v>121.37783171520999</v>
      </c>
      <c r="M62" s="336">
        <v>1</v>
      </c>
      <c r="N62" s="337">
        <f t="shared" si="40"/>
        <v>1.0722009304576894</v>
      </c>
      <c r="O62" s="455" t="str">
        <f t="shared" si="41"/>
        <v>(2,1,1,2,1,1); Industry data (French tender)</v>
      </c>
      <c r="P62" s="440">
        <v>119.061992619926</v>
      </c>
      <c r="Q62" s="336">
        <v>1</v>
      </c>
      <c r="R62" s="337">
        <f t="shared" si="42"/>
        <v>1.0722009304576894</v>
      </c>
      <c r="S62" s="455" t="str">
        <f t="shared" si="43"/>
        <v>(2,1,1,2,1,1); Industry data (French tender)</v>
      </c>
      <c r="T62" s="440">
        <v>0</v>
      </c>
      <c r="U62" s="336">
        <v>1</v>
      </c>
      <c r="V62" s="337">
        <f t="shared" si="44"/>
        <v>1.0722009304576894</v>
      </c>
      <c r="W62" s="437" t="str">
        <f t="shared" si="45"/>
        <v>(2,1,1,2,1,1); Industry data (French tender)</v>
      </c>
      <c r="X62" s="440">
        <v>0</v>
      </c>
      <c r="Y62" s="336">
        <v>1</v>
      </c>
      <c r="Z62" s="337">
        <f t="shared" si="46"/>
        <v>1.0722009304576894</v>
      </c>
      <c r="AA62" s="437" t="str">
        <f t="shared" si="47"/>
        <v>(2,1,1,2,1,1); Industry data (French tender)</v>
      </c>
      <c r="AB62" s="440">
        <v>0</v>
      </c>
      <c r="AC62" s="336">
        <v>1</v>
      </c>
      <c r="AD62" s="337">
        <f t="shared" si="48"/>
        <v>1.0722009304576894</v>
      </c>
      <c r="AE62" s="455" t="str">
        <f t="shared" si="49"/>
        <v>(2,1,1,2,1,1); Industry data (French tender)</v>
      </c>
      <c r="AF62" s="440">
        <v>0</v>
      </c>
      <c r="AG62" s="336">
        <v>1</v>
      </c>
      <c r="AH62" s="337">
        <f t="shared" si="50"/>
        <v>1.0722009304576894</v>
      </c>
      <c r="AI62" s="455" t="str">
        <f t="shared" si="51"/>
        <v>(2,1,1,2,1,1); Industry data (French tender)</v>
      </c>
      <c r="AJ62" s="440">
        <v>0</v>
      </c>
      <c r="AK62" s="336">
        <v>1</v>
      </c>
      <c r="AL62" s="337">
        <f t="shared" si="52"/>
        <v>1.0722009304576894</v>
      </c>
      <c r="AM62" s="455" t="str">
        <f t="shared" si="53"/>
        <v>(2,1,1,2,1,1); Industry data (French tender)</v>
      </c>
      <c r="AN62" s="440">
        <v>0</v>
      </c>
      <c r="AO62" s="336">
        <v>1</v>
      </c>
      <c r="AP62" s="337">
        <f t="shared" si="54"/>
        <v>1.0722009304576894</v>
      </c>
      <c r="AQ62" s="437" t="str">
        <f t="shared" si="55"/>
        <v>(2,1,1,2,1,1); Industry data (French tender)</v>
      </c>
      <c r="AR62" s="440">
        <v>0</v>
      </c>
      <c r="AS62" s="336">
        <v>1</v>
      </c>
      <c r="AT62" s="337">
        <f t="shared" si="56"/>
        <v>1.2434566510799234</v>
      </c>
      <c r="AU62" s="455" t="str">
        <f t="shared" si="57"/>
        <v>(2,4,1,3,1,5); Brailovsky (2026) GP 06b diluting water, CN iso GLO</v>
      </c>
      <c r="AV62" s="440">
        <f>AR70</f>
        <v>26.8</v>
      </c>
      <c r="AW62" s="336">
        <v>1</v>
      </c>
      <c r="AX62" s="337">
        <f t="shared" si="58"/>
        <v>1.2434566510799234</v>
      </c>
      <c r="AY62" s="437" t="str">
        <f t="shared" si="59"/>
        <v>(2,4,1,3,1,5); Brailovsky (2026) GP 06b diluting water, CN iso GLO</v>
      </c>
      <c r="AZ62" s="338"/>
      <c r="BA62" s="440">
        <v>121.37783171520999</v>
      </c>
      <c r="BB62" s="440"/>
      <c r="BC62" s="216" t="s">
        <v>462</v>
      </c>
      <c r="BD62" s="83">
        <v>2</v>
      </c>
      <c r="BE62" s="83">
        <v>1</v>
      </c>
      <c r="BF62" s="83">
        <v>1</v>
      </c>
      <c r="BG62" s="83">
        <v>2</v>
      </c>
      <c r="BH62" s="83">
        <v>1</v>
      </c>
      <c r="BI62" s="83">
        <v>1</v>
      </c>
      <c r="BJ62" s="104">
        <v>3</v>
      </c>
      <c r="BK62" s="104">
        <v>1.05</v>
      </c>
      <c r="BL62" s="107">
        <f t="shared" si="60"/>
        <v>1.0510550504206344</v>
      </c>
      <c r="BM62" s="107">
        <f t="shared" si="61"/>
        <v>1.0722009304576894</v>
      </c>
      <c r="BN62" s="107" t="str">
        <f t="shared" si="62"/>
        <v>(2,1,1,2,1,1)</v>
      </c>
      <c r="BO62" s="108">
        <v>1.05</v>
      </c>
      <c r="BP62" s="108">
        <v>1</v>
      </c>
      <c r="BQ62" s="108">
        <v>1</v>
      </c>
      <c r="BR62" s="108">
        <v>1.01</v>
      </c>
      <c r="BS62" s="108">
        <v>1</v>
      </c>
      <c r="BT62" s="108">
        <v>1</v>
      </c>
      <c r="BV62" s="160" t="s">
        <v>989</v>
      </c>
      <c r="BW62" s="83">
        <v>2</v>
      </c>
      <c r="BX62" s="83">
        <v>4</v>
      </c>
      <c r="BY62" s="83">
        <v>1</v>
      </c>
      <c r="BZ62" s="83">
        <v>3</v>
      </c>
      <c r="CA62" s="83">
        <v>1</v>
      </c>
      <c r="CB62" s="83">
        <v>5</v>
      </c>
      <c r="CC62" s="104">
        <v>3</v>
      </c>
      <c r="CD62" s="104">
        <v>1.05</v>
      </c>
      <c r="CE62" s="107">
        <f t="shared" si="63"/>
        <v>1.2365959919080913</v>
      </c>
      <c r="CF62" s="107">
        <f t="shared" si="64"/>
        <v>1.2434566510799234</v>
      </c>
      <c r="CG62" s="107" t="str">
        <f t="shared" si="65"/>
        <v>(2,4,1,3,1,5)</v>
      </c>
      <c r="CH62" s="108">
        <v>1.05</v>
      </c>
      <c r="CI62" s="108">
        <v>1.1000000000000001</v>
      </c>
      <c r="CJ62" s="108">
        <v>1</v>
      </c>
      <c r="CK62" s="108">
        <v>1.02</v>
      </c>
      <c r="CL62" s="108">
        <v>1</v>
      </c>
      <c r="CM62" s="108">
        <v>1.2</v>
      </c>
    </row>
    <row r="63" spans="1:91" s="171" customFormat="1" hidden="1" outlineLevel="1">
      <c r="A63" s="333">
        <v>265931</v>
      </c>
      <c r="B63" s="216"/>
      <c r="C63" s="334"/>
      <c r="D63" s="342">
        <v>5</v>
      </c>
      <c r="E63" s="343" t="s">
        <v>98</v>
      </c>
      <c r="F63" s="437" t="s">
        <v>489</v>
      </c>
      <c r="G63" s="438" t="s">
        <v>215</v>
      </c>
      <c r="H63" s="439" t="s">
        <v>98</v>
      </c>
      <c r="I63" s="439" t="s">
        <v>98</v>
      </c>
      <c r="J63" s="335">
        <v>0</v>
      </c>
      <c r="K63" s="438" t="s">
        <v>96</v>
      </c>
      <c r="L63" s="440">
        <v>0</v>
      </c>
      <c r="M63" s="336">
        <v>1</v>
      </c>
      <c r="N63" s="337">
        <f t="shared" si="40"/>
        <v>1.0722009304576894</v>
      </c>
      <c r="O63" s="455" t="str">
        <f t="shared" si="41"/>
        <v>(2,1,1,2,1,1); Industry data (French tender)</v>
      </c>
      <c r="P63" s="440">
        <v>0</v>
      </c>
      <c r="Q63" s="336">
        <v>1</v>
      </c>
      <c r="R63" s="337">
        <f t="shared" si="42"/>
        <v>1.0722009304576894</v>
      </c>
      <c r="S63" s="455" t="str">
        <f t="shared" si="43"/>
        <v>(2,1,1,2,1,1); Industry data (French tender)</v>
      </c>
      <c r="T63" s="440">
        <f>$AJ$69</f>
        <v>121.37783171520999</v>
      </c>
      <c r="U63" s="336">
        <v>1</v>
      </c>
      <c r="V63" s="337">
        <f t="shared" si="44"/>
        <v>1.0722009304576894</v>
      </c>
      <c r="W63" s="437" t="str">
        <f t="shared" si="45"/>
        <v>(2,1,1,2,1,1); Industry data (French tender)</v>
      </c>
      <c r="X63" s="440">
        <v>119.061992619926</v>
      </c>
      <c r="Y63" s="336">
        <v>1</v>
      </c>
      <c r="Z63" s="337">
        <f t="shared" si="46"/>
        <v>1.0722009304576894</v>
      </c>
      <c r="AA63" s="437" t="str">
        <f t="shared" si="47"/>
        <v>(2,1,1,2,1,1); Industry data (French tender)</v>
      </c>
      <c r="AB63" s="440">
        <v>0</v>
      </c>
      <c r="AC63" s="336">
        <v>1</v>
      </c>
      <c r="AD63" s="337">
        <f t="shared" si="48"/>
        <v>1.0722009304576894</v>
      </c>
      <c r="AE63" s="455" t="str">
        <f t="shared" si="49"/>
        <v>(2,1,1,2,1,1); Industry data (French tender)</v>
      </c>
      <c r="AF63" s="440">
        <v>0</v>
      </c>
      <c r="AG63" s="336">
        <v>1</v>
      </c>
      <c r="AH63" s="337">
        <f t="shared" si="50"/>
        <v>1.0722009304576894</v>
      </c>
      <c r="AI63" s="455" t="str">
        <f t="shared" si="51"/>
        <v>(2,1,1,2,1,1); Industry data (French tender)</v>
      </c>
      <c r="AJ63" s="440">
        <v>0</v>
      </c>
      <c r="AK63" s="336">
        <v>1</v>
      </c>
      <c r="AL63" s="337">
        <f t="shared" si="52"/>
        <v>1.0722009304576894</v>
      </c>
      <c r="AM63" s="455" t="str">
        <f t="shared" si="53"/>
        <v>(2,1,1,2,1,1); Industry data (French tender)</v>
      </c>
      <c r="AN63" s="440">
        <v>0</v>
      </c>
      <c r="AO63" s="336">
        <v>1</v>
      </c>
      <c r="AP63" s="337">
        <f t="shared" si="54"/>
        <v>1.0722009304576894</v>
      </c>
      <c r="AQ63" s="437" t="str">
        <f t="shared" si="55"/>
        <v>(2,1,1,2,1,1); Industry data (French tender)</v>
      </c>
      <c r="AR63" s="440">
        <v>0</v>
      </c>
      <c r="AS63" s="336">
        <v>1</v>
      </c>
      <c r="AT63" s="337">
        <f t="shared" si="56"/>
        <v>1.05</v>
      </c>
      <c r="AU63" s="455" t="str">
        <f t="shared" si="57"/>
        <v xml:space="preserve">(na,na,na,na,na,na); </v>
      </c>
      <c r="AV63" s="440">
        <v>0</v>
      </c>
      <c r="AW63" s="336">
        <v>1</v>
      </c>
      <c r="AX63" s="337">
        <f t="shared" si="58"/>
        <v>1.05</v>
      </c>
      <c r="AY63" s="437" t="str">
        <f t="shared" si="59"/>
        <v xml:space="preserve">(na,na,na,na,na,na); </v>
      </c>
      <c r="AZ63" s="338"/>
      <c r="BA63" s="440">
        <v>0</v>
      </c>
      <c r="BB63" s="440"/>
      <c r="BC63" s="216" t="s">
        <v>462</v>
      </c>
      <c r="BD63" s="83">
        <v>2</v>
      </c>
      <c r="BE63" s="83">
        <v>1</v>
      </c>
      <c r="BF63" s="83">
        <v>1</v>
      </c>
      <c r="BG63" s="83">
        <v>2</v>
      </c>
      <c r="BH63" s="83">
        <v>1</v>
      </c>
      <c r="BI63" s="83">
        <v>1</v>
      </c>
      <c r="BJ63" s="104">
        <v>3</v>
      </c>
      <c r="BK63" s="104">
        <v>1.05</v>
      </c>
      <c r="BL63" s="107">
        <f t="shared" si="60"/>
        <v>1.0510550504206344</v>
      </c>
      <c r="BM63" s="107">
        <f t="shared" si="61"/>
        <v>1.0722009304576894</v>
      </c>
      <c r="BN63" s="107" t="str">
        <f t="shared" si="62"/>
        <v>(2,1,1,2,1,1)</v>
      </c>
      <c r="BO63" s="108">
        <v>1.05</v>
      </c>
      <c r="BP63" s="108">
        <v>1</v>
      </c>
      <c r="BQ63" s="108">
        <v>1</v>
      </c>
      <c r="BR63" s="108">
        <v>1.01</v>
      </c>
      <c r="BS63" s="108">
        <v>1</v>
      </c>
      <c r="BT63" s="108">
        <v>1</v>
      </c>
      <c r="BV63" s="160"/>
      <c r="BW63" s="83" t="s">
        <v>106</v>
      </c>
      <c r="BX63" s="83" t="s">
        <v>106</v>
      </c>
      <c r="BY63" s="83" t="s">
        <v>106</v>
      </c>
      <c r="BZ63" s="83" t="s">
        <v>106</v>
      </c>
      <c r="CA63" s="83" t="s">
        <v>106</v>
      </c>
      <c r="CB63" s="83" t="s">
        <v>106</v>
      </c>
      <c r="CC63" s="104">
        <v>3</v>
      </c>
      <c r="CD63" s="104">
        <v>1.05</v>
      </c>
      <c r="CE63" s="107">
        <f t="shared" si="63"/>
        <v>1</v>
      </c>
      <c r="CF63" s="107">
        <f t="shared" si="64"/>
        <v>1.05</v>
      </c>
      <c r="CG63" s="107" t="str">
        <f t="shared" si="65"/>
        <v>(na,na,na,na,na,na)</v>
      </c>
      <c r="CH63" s="108">
        <v>1</v>
      </c>
      <c r="CI63" s="108">
        <v>1</v>
      </c>
      <c r="CJ63" s="108">
        <v>1</v>
      </c>
      <c r="CK63" s="108">
        <v>1</v>
      </c>
      <c r="CL63" s="108">
        <v>1</v>
      </c>
      <c r="CM63" s="108">
        <v>1</v>
      </c>
    </row>
    <row r="64" spans="1:91" s="171" customFormat="1" hidden="1" outlineLevel="1" collapsed="1">
      <c r="A64" s="333">
        <v>257458</v>
      </c>
      <c r="B64" s="216"/>
      <c r="C64" s="334"/>
      <c r="D64" s="342">
        <v>5</v>
      </c>
      <c r="E64" s="343" t="s">
        <v>98</v>
      </c>
      <c r="F64" s="437" t="s">
        <v>490</v>
      </c>
      <c r="G64" s="438" t="s">
        <v>382</v>
      </c>
      <c r="H64" s="439" t="s">
        <v>98</v>
      </c>
      <c r="I64" s="439" t="s">
        <v>98</v>
      </c>
      <c r="J64" s="335">
        <v>0</v>
      </c>
      <c r="K64" s="438" t="s">
        <v>96</v>
      </c>
      <c r="L64" s="440">
        <v>0</v>
      </c>
      <c r="M64" s="336">
        <v>1</v>
      </c>
      <c r="N64" s="337">
        <f t="shared" si="40"/>
        <v>1.0722009304576894</v>
      </c>
      <c r="O64" s="455" t="str">
        <f t="shared" si="41"/>
        <v>(2,1,1,2,1,1); Industry data (French tender)</v>
      </c>
      <c r="P64" s="440">
        <v>0</v>
      </c>
      <c r="Q64" s="336">
        <v>1</v>
      </c>
      <c r="R64" s="337">
        <f t="shared" si="42"/>
        <v>1.0722009304576894</v>
      </c>
      <c r="S64" s="455" t="str">
        <f t="shared" si="43"/>
        <v>(2,1,1,2,1,1); Industry data (French tender)</v>
      </c>
      <c r="T64" s="440">
        <v>0</v>
      </c>
      <c r="U64" s="336">
        <v>1</v>
      </c>
      <c r="V64" s="337">
        <f t="shared" si="44"/>
        <v>1.0722009304576894</v>
      </c>
      <c r="W64" s="437" t="str">
        <f t="shared" si="45"/>
        <v>(2,1,1,2,1,1); Industry data (French tender)</v>
      </c>
      <c r="X64" s="440">
        <v>0</v>
      </c>
      <c r="Y64" s="336">
        <v>1</v>
      </c>
      <c r="Z64" s="337">
        <f t="shared" si="46"/>
        <v>1.0722009304576894</v>
      </c>
      <c r="AA64" s="437" t="str">
        <f t="shared" si="47"/>
        <v>(2,1,1,2,1,1); Industry data (French tender)</v>
      </c>
      <c r="AB64" s="440">
        <f>$AJ$69*($J$137+$J$141)</f>
        <v>43.34922561257499</v>
      </c>
      <c r="AC64" s="336">
        <v>1</v>
      </c>
      <c r="AD64" s="337">
        <f t="shared" si="48"/>
        <v>1.0722009304576894</v>
      </c>
      <c r="AE64" s="455" t="str">
        <f t="shared" si="49"/>
        <v>(2,1,1,2,1,1); Industry data (French tender)</v>
      </c>
      <c r="AF64" s="440">
        <f>X63*($J$137+$J$141)</f>
        <v>42.52214022140214</v>
      </c>
      <c r="AG64" s="336">
        <v>1</v>
      </c>
      <c r="AH64" s="337">
        <f t="shared" si="50"/>
        <v>1.0722009304576894</v>
      </c>
      <c r="AI64" s="455" t="str">
        <f t="shared" si="51"/>
        <v>(2,1,1,2,1,1); Industry data (French tender)</v>
      </c>
      <c r="AJ64" s="440">
        <v>0</v>
      </c>
      <c r="AK64" s="336">
        <v>1</v>
      </c>
      <c r="AL64" s="337">
        <f t="shared" si="52"/>
        <v>1.0722009304576894</v>
      </c>
      <c r="AM64" s="455" t="str">
        <f t="shared" si="53"/>
        <v>(2,1,1,2,1,1); Industry data (French tender)</v>
      </c>
      <c r="AN64" s="440">
        <v>0</v>
      </c>
      <c r="AO64" s="336">
        <v>1</v>
      </c>
      <c r="AP64" s="337">
        <f t="shared" si="54"/>
        <v>1.0722009304576894</v>
      </c>
      <c r="AQ64" s="437" t="str">
        <f t="shared" si="55"/>
        <v>(2,1,1,2,1,1); Industry data (French tender)</v>
      </c>
      <c r="AR64" s="440">
        <v>0</v>
      </c>
      <c r="AS64" s="336">
        <v>1</v>
      </c>
      <c r="AT64" s="337">
        <f t="shared" si="56"/>
        <v>1.05</v>
      </c>
      <c r="AU64" s="455" t="str">
        <f t="shared" si="57"/>
        <v xml:space="preserve">(na,na,na,na,na,na); </v>
      </c>
      <c r="AV64" s="440">
        <v>0</v>
      </c>
      <c r="AW64" s="336">
        <v>1</v>
      </c>
      <c r="AX64" s="337">
        <f t="shared" si="58"/>
        <v>1.05</v>
      </c>
      <c r="AY64" s="437" t="str">
        <f t="shared" si="59"/>
        <v xml:space="preserve">(na,na,na,na,na,na); </v>
      </c>
      <c r="AZ64" s="338"/>
      <c r="BA64" s="440">
        <v>0</v>
      </c>
      <c r="BB64" s="440"/>
      <c r="BC64" s="216" t="s">
        <v>462</v>
      </c>
      <c r="BD64" s="83">
        <v>2</v>
      </c>
      <c r="BE64" s="83">
        <v>1</v>
      </c>
      <c r="BF64" s="83">
        <v>1</v>
      </c>
      <c r="BG64" s="83">
        <v>2</v>
      </c>
      <c r="BH64" s="83">
        <v>1</v>
      </c>
      <c r="BI64" s="83">
        <v>1</v>
      </c>
      <c r="BJ64" s="104">
        <v>3</v>
      </c>
      <c r="BK64" s="104">
        <v>1.05</v>
      </c>
      <c r="BL64" s="107">
        <f t="shared" si="60"/>
        <v>1.0510550504206344</v>
      </c>
      <c r="BM64" s="107">
        <f t="shared" si="61"/>
        <v>1.0722009304576894</v>
      </c>
      <c r="BN64" s="107" t="str">
        <f t="shared" si="62"/>
        <v>(2,1,1,2,1,1)</v>
      </c>
      <c r="BO64" s="108">
        <v>1.05</v>
      </c>
      <c r="BP64" s="108">
        <v>1</v>
      </c>
      <c r="BQ64" s="108">
        <v>1</v>
      </c>
      <c r="BR64" s="108">
        <v>1.01</v>
      </c>
      <c r="BS64" s="108">
        <v>1</v>
      </c>
      <c r="BT64" s="108">
        <v>1</v>
      </c>
      <c r="BV64" s="160"/>
      <c r="BW64" s="83" t="s">
        <v>106</v>
      </c>
      <c r="BX64" s="83" t="s">
        <v>106</v>
      </c>
      <c r="BY64" s="83" t="s">
        <v>106</v>
      </c>
      <c r="BZ64" s="83" t="s">
        <v>106</v>
      </c>
      <c r="CA64" s="83" t="s">
        <v>106</v>
      </c>
      <c r="CB64" s="83" t="s">
        <v>106</v>
      </c>
      <c r="CC64" s="104">
        <v>3</v>
      </c>
      <c r="CD64" s="104">
        <v>1.05</v>
      </c>
      <c r="CE64" s="107">
        <f t="shared" si="63"/>
        <v>1</v>
      </c>
      <c r="CF64" s="107">
        <f t="shared" si="64"/>
        <v>1.05</v>
      </c>
      <c r="CG64" s="107" t="str">
        <f t="shared" si="65"/>
        <v>(na,na,na,na,na,na)</v>
      </c>
      <c r="CH64" s="108">
        <v>1</v>
      </c>
      <c r="CI64" s="108">
        <v>1</v>
      </c>
      <c r="CJ64" s="108">
        <v>1</v>
      </c>
      <c r="CK64" s="108">
        <v>1</v>
      </c>
      <c r="CL64" s="108">
        <v>1</v>
      </c>
      <c r="CM64" s="108">
        <v>1</v>
      </c>
    </row>
    <row r="65" spans="1:91" s="171" customFormat="1" hidden="1" outlineLevel="1">
      <c r="A65" s="333">
        <v>255813</v>
      </c>
      <c r="B65" s="216"/>
      <c r="C65" s="334"/>
      <c r="D65" s="342">
        <v>5</v>
      </c>
      <c r="E65" s="343" t="s">
        <v>98</v>
      </c>
      <c r="F65" s="437" t="s">
        <v>649</v>
      </c>
      <c r="G65" s="438" t="s">
        <v>643</v>
      </c>
      <c r="H65" s="439" t="s">
        <v>98</v>
      </c>
      <c r="I65" s="439" t="s">
        <v>98</v>
      </c>
      <c r="J65" s="335">
        <v>0</v>
      </c>
      <c r="K65" s="438" t="s">
        <v>96</v>
      </c>
      <c r="L65" s="440">
        <v>0</v>
      </c>
      <c r="M65" s="336">
        <v>1</v>
      </c>
      <c r="N65" s="337">
        <f t="shared" si="40"/>
        <v>1.0722009304576894</v>
      </c>
      <c r="O65" s="455" t="str">
        <f t="shared" si="41"/>
        <v>(2,1,1,2,1,1); Industry data (French tender)</v>
      </c>
      <c r="P65" s="440">
        <v>0</v>
      </c>
      <c r="Q65" s="336">
        <v>1</v>
      </c>
      <c r="R65" s="337">
        <f t="shared" si="42"/>
        <v>1.0722009304576894</v>
      </c>
      <c r="S65" s="455" t="str">
        <f t="shared" si="43"/>
        <v>(2,1,1,2,1,1); Industry data (French tender)</v>
      </c>
      <c r="T65" s="440">
        <v>0</v>
      </c>
      <c r="U65" s="336">
        <v>1</v>
      </c>
      <c r="V65" s="337">
        <f t="shared" si="44"/>
        <v>1.0722009304576894</v>
      </c>
      <c r="W65" s="437" t="str">
        <f t="shared" si="45"/>
        <v>(2,1,1,2,1,1); Industry data (French tender)</v>
      </c>
      <c r="X65" s="440">
        <v>0</v>
      </c>
      <c r="Y65" s="336">
        <v>1</v>
      </c>
      <c r="Z65" s="337">
        <f t="shared" si="46"/>
        <v>1.0722009304576894</v>
      </c>
      <c r="AA65" s="437" t="str">
        <f t="shared" si="47"/>
        <v>(2,1,1,2,1,1); Industry data (French tender)</v>
      </c>
      <c r="AB65" s="440">
        <f>$AJ$69*$J$138</f>
        <v>28.899483741716661</v>
      </c>
      <c r="AC65" s="336">
        <v>1</v>
      </c>
      <c r="AD65" s="337">
        <f t="shared" si="48"/>
        <v>1.0722009304576894</v>
      </c>
      <c r="AE65" s="455" t="str">
        <f t="shared" si="49"/>
        <v>(2,1,1,2,1,1); Industry data (French tender)</v>
      </c>
      <c r="AF65" s="440">
        <f>X63*$J$138</f>
        <v>28.348093480934757</v>
      </c>
      <c r="AG65" s="336">
        <v>1</v>
      </c>
      <c r="AH65" s="337">
        <f t="shared" si="50"/>
        <v>1.0722009304576894</v>
      </c>
      <c r="AI65" s="455" t="str">
        <f t="shared" si="51"/>
        <v>(2,1,1,2,1,1); Industry data (French tender)</v>
      </c>
      <c r="AJ65" s="440">
        <v>0</v>
      </c>
      <c r="AK65" s="336">
        <v>1</v>
      </c>
      <c r="AL65" s="337">
        <f t="shared" si="52"/>
        <v>1.0722009304576894</v>
      </c>
      <c r="AM65" s="455" t="str">
        <f t="shared" si="53"/>
        <v>(2,1,1,2,1,1); Industry data (French tender)</v>
      </c>
      <c r="AN65" s="440">
        <v>0</v>
      </c>
      <c r="AO65" s="336">
        <v>1</v>
      </c>
      <c r="AP65" s="337">
        <f t="shared" si="54"/>
        <v>1.0722009304576894</v>
      </c>
      <c r="AQ65" s="437" t="str">
        <f t="shared" si="55"/>
        <v>(2,1,1,2,1,1); Industry data (French tender)</v>
      </c>
      <c r="AR65" s="440">
        <v>0</v>
      </c>
      <c r="AS65" s="336">
        <v>1</v>
      </c>
      <c r="AT65" s="337">
        <f t="shared" si="56"/>
        <v>1.05</v>
      </c>
      <c r="AU65" s="455" t="str">
        <f t="shared" si="57"/>
        <v xml:space="preserve">(na,na,na,na,na,na); </v>
      </c>
      <c r="AV65" s="440">
        <v>0</v>
      </c>
      <c r="AW65" s="336">
        <v>1</v>
      </c>
      <c r="AX65" s="337">
        <f t="shared" si="58"/>
        <v>1.05</v>
      </c>
      <c r="AY65" s="437" t="str">
        <f t="shared" si="59"/>
        <v xml:space="preserve">(na,na,na,na,na,na); </v>
      </c>
      <c r="AZ65" s="338"/>
      <c r="BA65" s="440">
        <v>0</v>
      </c>
      <c r="BB65" s="440"/>
      <c r="BC65" s="216" t="s">
        <v>462</v>
      </c>
      <c r="BD65" s="83">
        <v>2</v>
      </c>
      <c r="BE65" s="83">
        <v>1</v>
      </c>
      <c r="BF65" s="83">
        <v>1</v>
      </c>
      <c r="BG65" s="83">
        <v>2</v>
      </c>
      <c r="BH65" s="83">
        <v>1</v>
      </c>
      <c r="BI65" s="83">
        <v>1</v>
      </c>
      <c r="BJ65" s="104">
        <v>3</v>
      </c>
      <c r="BK65" s="104">
        <v>1.05</v>
      </c>
      <c r="BL65" s="107">
        <f t="shared" si="60"/>
        <v>1.0510550504206344</v>
      </c>
      <c r="BM65" s="107">
        <f t="shared" si="61"/>
        <v>1.0722009304576894</v>
      </c>
      <c r="BN65" s="107" t="str">
        <f t="shared" si="62"/>
        <v>(2,1,1,2,1,1)</v>
      </c>
      <c r="BO65" s="108">
        <v>1.05</v>
      </c>
      <c r="BP65" s="108">
        <v>1</v>
      </c>
      <c r="BQ65" s="108">
        <v>1</v>
      </c>
      <c r="BR65" s="108">
        <v>1.01</v>
      </c>
      <c r="BS65" s="108">
        <v>1</v>
      </c>
      <c r="BT65" s="108">
        <v>1</v>
      </c>
      <c r="BV65" s="160"/>
      <c r="BW65" s="83" t="s">
        <v>106</v>
      </c>
      <c r="BX65" s="83" t="s">
        <v>106</v>
      </c>
      <c r="BY65" s="83" t="s">
        <v>106</v>
      </c>
      <c r="BZ65" s="83" t="s">
        <v>106</v>
      </c>
      <c r="CA65" s="83" t="s">
        <v>106</v>
      </c>
      <c r="CB65" s="83" t="s">
        <v>106</v>
      </c>
      <c r="CC65" s="104">
        <v>3</v>
      </c>
      <c r="CD65" s="104">
        <v>1.05</v>
      </c>
      <c r="CE65" s="107">
        <f t="shared" si="63"/>
        <v>1</v>
      </c>
      <c r="CF65" s="107">
        <f t="shared" si="64"/>
        <v>1.05</v>
      </c>
      <c r="CG65" s="107" t="str">
        <f t="shared" si="65"/>
        <v>(na,na,na,na,na,na)</v>
      </c>
      <c r="CH65" s="108">
        <v>1</v>
      </c>
      <c r="CI65" s="108">
        <v>1</v>
      </c>
      <c r="CJ65" s="108">
        <v>1</v>
      </c>
      <c r="CK65" s="108">
        <v>1</v>
      </c>
      <c r="CL65" s="108">
        <v>1</v>
      </c>
      <c r="CM65" s="108">
        <v>1</v>
      </c>
    </row>
    <row r="66" spans="1:91" s="171" customFormat="1" hidden="1" outlineLevel="1">
      <c r="A66" s="333" t="s">
        <v>650</v>
      </c>
      <c r="B66" s="216"/>
      <c r="C66" s="334"/>
      <c r="D66" s="342">
        <v>5</v>
      </c>
      <c r="E66" s="343" t="s">
        <v>98</v>
      </c>
      <c r="F66" s="437" t="s">
        <v>651</v>
      </c>
      <c r="G66" s="438" t="s">
        <v>647</v>
      </c>
      <c r="H66" s="439" t="s">
        <v>98</v>
      </c>
      <c r="I66" s="439" t="s">
        <v>98</v>
      </c>
      <c r="J66" s="335">
        <v>0</v>
      </c>
      <c r="K66" s="438" t="s">
        <v>96</v>
      </c>
      <c r="L66" s="440">
        <v>0</v>
      </c>
      <c r="M66" s="336">
        <v>1</v>
      </c>
      <c r="N66" s="337">
        <f t="shared" si="40"/>
        <v>3.0033855645008969</v>
      </c>
      <c r="O66" s="455" t="str">
        <f t="shared" si="41"/>
        <v>(2,1,1,2,1,1); Industry data (French tender)</v>
      </c>
      <c r="P66" s="440">
        <v>0</v>
      </c>
      <c r="Q66" s="336">
        <v>1</v>
      </c>
      <c r="R66" s="337">
        <f t="shared" si="42"/>
        <v>3.0033855645008969</v>
      </c>
      <c r="S66" s="455" t="str">
        <f t="shared" si="43"/>
        <v>(2,1,1,2,1,1); Industry data (French tender)</v>
      </c>
      <c r="T66" s="440">
        <v>0</v>
      </c>
      <c r="U66" s="336">
        <v>1</v>
      </c>
      <c r="V66" s="337">
        <f t="shared" si="44"/>
        <v>3.0033855645008969</v>
      </c>
      <c r="W66" s="437" t="str">
        <f t="shared" si="45"/>
        <v>(2,1,1,2,1,1); Industry data (French tender)</v>
      </c>
      <c r="X66" s="440">
        <v>0</v>
      </c>
      <c r="Y66" s="336">
        <v>1</v>
      </c>
      <c r="Z66" s="337">
        <f t="shared" si="46"/>
        <v>3.0033855645008969</v>
      </c>
      <c r="AA66" s="437" t="str">
        <f t="shared" si="47"/>
        <v>(2,1,1,2,1,1); Industry data (French tender)</v>
      </c>
      <c r="AB66" s="440">
        <f>$AJ$69*J139</f>
        <v>30.344457928802495</v>
      </c>
      <c r="AC66" s="336">
        <v>1</v>
      </c>
      <c r="AD66" s="337">
        <f t="shared" si="48"/>
        <v>3.0033855645008969</v>
      </c>
      <c r="AE66" s="455" t="str">
        <f t="shared" si="49"/>
        <v>(2,1,1,2,1,1); Industry data (French tender)</v>
      </c>
      <c r="AF66" s="440">
        <f>X63*$J$139</f>
        <v>29.765498154981497</v>
      </c>
      <c r="AG66" s="336">
        <v>1</v>
      </c>
      <c r="AH66" s="337">
        <f t="shared" si="50"/>
        <v>3.0033855645008969</v>
      </c>
      <c r="AI66" s="455" t="str">
        <f t="shared" si="51"/>
        <v>(2,1,1,2,1,1); Industry data (French tender)</v>
      </c>
      <c r="AJ66" s="440">
        <v>0</v>
      </c>
      <c r="AK66" s="336">
        <v>1</v>
      </c>
      <c r="AL66" s="337">
        <f t="shared" si="52"/>
        <v>3.0033855645008969</v>
      </c>
      <c r="AM66" s="455" t="str">
        <f t="shared" si="53"/>
        <v>(2,1,1,2,1,1); Industry data (French tender)</v>
      </c>
      <c r="AN66" s="440">
        <v>0</v>
      </c>
      <c r="AO66" s="336">
        <v>1</v>
      </c>
      <c r="AP66" s="337">
        <f t="shared" si="54"/>
        <v>3.0033855645008969</v>
      </c>
      <c r="AQ66" s="437" t="str">
        <f t="shared" si="55"/>
        <v>(2,1,1,2,1,1); Industry data (French tender)</v>
      </c>
      <c r="AR66" s="440">
        <v>0</v>
      </c>
      <c r="AS66" s="336">
        <v>1</v>
      </c>
      <c r="AT66" s="337">
        <f t="shared" si="56"/>
        <v>3.0000000000000004</v>
      </c>
      <c r="AU66" s="455" t="str">
        <f t="shared" si="57"/>
        <v xml:space="preserve">(na,na,na,na,na,na); </v>
      </c>
      <c r="AV66" s="440">
        <v>0</v>
      </c>
      <c r="AW66" s="336">
        <v>1</v>
      </c>
      <c r="AX66" s="337">
        <f t="shared" si="58"/>
        <v>3.0000000000000004</v>
      </c>
      <c r="AY66" s="437" t="str">
        <f t="shared" si="59"/>
        <v xml:space="preserve">(na,na,na,na,na,na); </v>
      </c>
      <c r="AZ66" s="338"/>
      <c r="BA66" s="440">
        <v>0</v>
      </c>
      <c r="BB66" s="440"/>
      <c r="BC66" s="216" t="s">
        <v>462</v>
      </c>
      <c r="BD66" s="83">
        <v>2</v>
      </c>
      <c r="BE66" s="83">
        <v>1</v>
      </c>
      <c r="BF66" s="83">
        <v>1</v>
      </c>
      <c r="BG66" s="83">
        <v>2</v>
      </c>
      <c r="BH66" s="83">
        <v>1</v>
      </c>
      <c r="BI66" s="83">
        <v>1</v>
      </c>
      <c r="BJ66" s="104">
        <v>9</v>
      </c>
      <c r="BK66" s="104">
        <v>3</v>
      </c>
      <c r="BL66" s="107">
        <f t="shared" si="60"/>
        <v>1.0510550504206344</v>
      </c>
      <c r="BM66" s="107">
        <f t="shared" si="61"/>
        <v>3.0033855645008969</v>
      </c>
      <c r="BN66" s="107" t="str">
        <f t="shared" si="62"/>
        <v>(2,1,1,2,1,1)</v>
      </c>
      <c r="BO66" s="108">
        <v>1.05</v>
      </c>
      <c r="BP66" s="108">
        <v>1</v>
      </c>
      <c r="BQ66" s="108">
        <v>1</v>
      </c>
      <c r="BR66" s="108">
        <v>1.01</v>
      </c>
      <c r="BS66" s="108">
        <v>1</v>
      </c>
      <c r="BT66" s="108">
        <v>1</v>
      </c>
      <c r="BV66" s="160"/>
      <c r="BW66" s="83" t="s">
        <v>106</v>
      </c>
      <c r="BX66" s="83" t="s">
        <v>106</v>
      </c>
      <c r="BY66" s="83" t="s">
        <v>106</v>
      </c>
      <c r="BZ66" s="83" t="s">
        <v>106</v>
      </c>
      <c r="CA66" s="83" t="s">
        <v>106</v>
      </c>
      <c r="CB66" s="83" t="s">
        <v>106</v>
      </c>
      <c r="CC66" s="104">
        <v>9</v>
      </c>
      <c r="CD66" s="104">
        <v>3</v>
      </c>
      <c r="CE66" s="107">
        <f t="shared" si="63"/>
        <v>1</v>
      </c>
      <c r="CF66" s="107">
        <f t="shared" si="64"/>
        <v>3.0000000000000004</v>
      </c>
      <c r="CG66" s="107" t="str">
        <f t="shared" si="65"/>
        <v>(na,na,na,na,na,na)</v>
      </c>
      <c r="CH66" s="108">
        <v>1</v>
      </c>
      <c r="CI66" s="108">
        <v>1</v>
      </c>
      <c r="CJ66" s="108">
        <v>1</v>
      </c>
      <c r="CK66" s="108">
        <v>1</v>
      </c>
      <c r="CL66" s="108">
        <v>1</v>
      </c>
      <c r="CM66" s="108">
        <v>1</v>
      </c>
    </row>
    <row r="67" spans="1:91" s="171" customFormat="1" hidden="1" outlineLevel="1">
      <c r="A67" s="333">
        <v>267117</v>
      </c>
      <c r="B67" s="216"/>
      <c r="C67" s="334"/>
      <c r="D67" s="342">
        <v>5</v>
      </c>
      <c r="E67" s="343" t="s">
        <v>98</v>
      </c>
      <c r="F67" s="437" t="s">
        <v>990</v>
      </c>
      <c r="G67" s="438" t="s">
        <v>485</v>
      </c>
      <c r="H67" s="439" t="s">
        <v>98</v>
      </c>
      <c r="I67" s="439" t="s">
        <v>98</v>
      </c>
      <c r="J67" s="335">
        <v>0</v>
      </c>
      <c r="K67" s="438" t="s">
        <v>96</v>
      </c>
      <c r="L67" s="440">
        <v>0</v>
      </c>
      <c r="M67" s="336">
        <v>1</v>
      </c>
      <c r="N67" s="337">
        <f t="shared" si="40"/>
        <v>1.0722009304576894</v>
      </c>
      <c r="O67" s="455" t="str">
        <f t="shared" si="41"/>
        <v>(2,1,1,2,1,1); Industry data (French tender)</v>
      </c>
      <c r="P67" s="440">
        <v>0</v>
      </c>
      <c r="Q67" s="336">
        <v>1</v>
      </c>
      <c r="R67" s="337">
        <f t="shared" si="42"/>
        <v>1.0722009304576894</v>
      </c>
      <c r="S67" s="455" t="str">
        <f t="shared" si="43"/>
        <v>(2,1,1,2,1,1); Industry data (French tender)</v>
      </c>
      <c r="T67" s="440">
        <v>0</v>
      </c>
      <c r="U67" s="336">
        <v>1</v>
      </c>
      <c r="V67" s="337">
        <f t="shared" si="44"/>
        <v>1.0722009304576894</v>
      </c>
      <c r="W67" s="437" t="str">
        <f t="shared" si="45"/>
        <v>(2,1,1,2,1,1); Industry data (French tender)</v>
      </c>
      <c r="X67" s="440">
        <v>0</v>
      </c>
      <c r="Y67" s="336">
        <v>1</v>
      </c>
      <c r="Z67" s="337">
        <f t="shared" si="46"/>
        <v>1.0722009304576894</v>
      </c>
      <c r="AA67" s="437" t="str">
        <f t="shared" si="47"/>
        <v>(2,1,1,2,1,1); Industry data (French tender)</v>
      </c>
      <c r="AB67" s="440">
        <f>$AJ$69*J140</f>
        <v>8.6698451225149977</v>
      </c>
      <c r="AC67" s="336">
        <v>1</v>
      </c>
      <c r="AD67" s="337">
        <f t="shared" si="48"/>
        <v>1.0722009304576894</v>
      </c>
      <c r="AE67" s="455" t="str">
        <f t="shared" si="49"/>
        <v>(2,1,1,2,1,1); Industry data (French tender)</v>
      </c>
      <c r="AF67" s="440">
        <f>X63*$J$140</f>
        <v>8.5044280442804272</v>
      </c>
      <c r="AG67" s="336">
        <v>1</v>
      </c>
      <c r="AH67" s="337">
        <f t="shared" si="50"/>
        <v>1.0722009304576894</v>
      </c>
      <c r="AI67" s="455" t="str">
        <f t="shared" si="51"/>
        <v>(2,1,1,2,1,1); Industry data (French tender)</v>
      </c>
      <c r="AJ67" s="440">
        <v>0</v>
      </c>
      <c r="AK67" s="336">
        <v>1</v>
      </c>
      <c r="AL67" s="337">
        <f t="shared" si="52"/>
        <v>1.0722009304576894</v>
      </c>
      <c r="AM67" s="455" t="str">
        <f t="shared" si="53"/>
        <v>(2,1,1,2,1,1); Industry data (French tender)</v>
      </c>
      <c r="AN67" s="440">
        <v>0</v>
      </c>
      <c r="AO67" s="336">
        <v>1</v>
      </c>
      <c r="AP67" s="337">
        <f t="shared" si="54"/>
        <v>1.0722009304576894</v>
      </c>
      <c r="AQ67" s="437" t="str">
        <f t="shared" si="55"/>
        <v>(2,1,1,2,1,1); Industry data (French tender)</v>
      </c>
      <c r="AR67" s="440">
        <v>0</v>
      </c>
      <c r="AS67" s="336">
        <v>1</v>
      </c>
      <c r="AT67" s="337">
        <f t="shared" si="56"/>
        <v>1.05</v>
      </c>
      <c r="AU67" s="455" t="str">
        <f t="shared" si="57"/>
        <v xml:space="preserve">(na,na,na,na,na,na); </v>
      </c>
      <c r="AV67" s="440">
        <v>0</v>
      </c>
      <c r="AW67" s="336">
        <v>1</v>
      </c>
      <c r="AX67" s="337">
        <f t="shared" si="58"/>
        <v>1.05</v>
      </c>
      <c r="AY67" s="437" t="str">
        <f t="shared" si="59"/>
        <v xml:space="preserve">(na,na,na,na,na,na); </v>
      </c>
      <c r="AZ67" s="338"/>
      <c r="BA67" s="440">
        <v>0</v>
      </c>
      <c r="BB67" s="440"/>
      <c r="BC67" s="216" t="s">
        <v>462</v>
      </c>
      <c r="BD67" s="83">
        <v>2</v>
      </c>
      <c r="BE67" s="83">
        <v>1</v>
      </c>
      <c r="BF67" s="83">
        <v>1</v>
      </c>
      <c r="BG67" s="83">
        <v>2</v>
      </c>
      <c r="BH67" s="83">
        <v>1</v>
      </c>
      <c r="BI67" s="83">
        <v>1</v>
      </c>
      <c r="BJ67" s="104">
        <v>3</v>
      </c>
      <c r="BK67" s="104">
        <v>1.05</v>
      </c>
      <c r="BL67" s="107">
        <f t="shared" si="60"/>
        <v>1.0510550504206344</v>
      </c>
      <c r="BM67" s="107">
        <f t="shared" si="61"/>
        <v>1.0722009304576894</v>
      </c>
      <c r="BN67" s="107" t="str">
        <f t="shared" si="62"/>
        <v>(2,1,1,2,1,1)</v>
      </c>
      <c r="BO67" s="108">
        <v>1.05</v>
      </c>
      <c r="BP67" s="108">
        <v>1</v>
      </c>
      <c r="BQ67" s="108">
        <v>1</v>
      </c>
      <c r="BR67" s="108">
        <v>1.01</v>
      </c>
      <c r="BS67" s="108">
        <v>1</v>
      </c>
      <c r="BT67" s="108">
        <v>1</v>
      </c>
      <c r="BV67" s="160"/>
      <c r="BW67" s="83" t="s">
        <v>106</v>
      </c>
      <c r="BX67" s="83" t="s">
        <v>106</v>
      </c>
      <c r="BY67" s="83" t="s">
        <v>106</v>
      </c>
      <c r="BZ67" s="83" t="s">
        <v>106</v>
      </c>
      <c r="CA67" s="83" t="s">
        <v>106</v>
      </c>
      <c r="CB67" s="83" t="s">
        <v>106</v>
      </c>
      <c r="CC67" s="104">
        <v>3</v>
      </c>
      <c r="CD67" s="104">
        <v>1.05</v>
      </c>
      <c r="CE67" s="107">
        <f t="shared" si="63"/>
        <v>1</v>
      </c>
      <c r="CF67" s="107">
        <f t="shared" si="64"/>
        <v>1.05</v>
      </c>
      <c r="CG67" s="107" t="str">
        <f t="shared" si="65"/>
        <v>(na,na,na,na,na,na)</v>
      </c>
      <c r="CH67" s="108">
        <v>1</v>
      </c>
      <c r="CI67" s="108">
        <v>1</v>
      </c>
      <c r="CJ67" s="108">
        <v>1</v>
      </c>
      <c r="CK67" s="108">
        <v>1</v>
      </c>
      <c r="CL67" s="108">
        <v>1</v>
      </c>
      <c r="CM67" s="108">
        <v>1</v>
      </c>
    </row>
    <row r="68" spans="1:91" s="171" customFormat="1" hidden="1" outlineLevel="1">
      <c r="A68" s="333">
        <v>256060</v>
      </c>
      <c r="B68" s="216"/>
      <c r="C68" s="334"/>
      <c r="D68" s="342">
        <v>5</v>
      </c>
      <c r="E68" s="343" t="s">
        <v>98</v>
      </c>
      <c r="F68" s="437" t="s">
        <v>991</v>
      </c>
      <c r="G68" s="438" t="s">
        <v>992</v>
      </c>
      <c r="H68" s="439" t="s">
        <v>98</v>
      </c>
      <c r="I68" s="439" t="s">
        <v>98</v>
      </c>
      <c r="J68" s="335">
        <v>0</v>
      </c>
      <c r="K68" s="438" t="s">
        <v>96</v>
      </c>
      <c r="L68" s="440">
        <v>0</v>
      </c>
      <c r="M68" s="336">
        <v>1</v>
      </c>
      <c r="N68" s="337">
        <f t="shared" si="40"/>
        <v>1.0722009304576894</v>
      </c>
      <c r="O68" s="455" t="str">
        <f t="shared" si="41"/>
        <v>(2,1,1,2,1,1); Industry data (French tender)</v>
      </c>
      <c r="P68" s="440">
        <v>0</v>
      </c>
      <c r="Q68" s="336">
        <v>1</v>
      </c>
      <c r="R68" s="337">
        <f t="shared" si="42"/>
        <v>1.0722009304576894</v>
      </c>
      <c r="S68" s="455" t="str">
        <f t="shared" si="43"/>
        <v>(2,1,1,2,1,1); Industry data (French tender)</v>
      </c>
      <c r="T68" s="440">
        <v>0</v>
      </c>
      <c r="U68" s="336">
        <v>1</v>
      </c>
      <c r="V68" s="337">
        <f t="shared" si="44"/>
        <v>1.0722009304576894</v>
      </c>
      <c r="W68" s="437" t="str">
        <f t="shared" si="45"/>
        <v>(2,1,1,2,1,1); Industry data (French tender)</v>
      </c>
      <c r="X68" s="440">
        <v>0</v>
      </c>
      <c r="Y68" s="336">
        <v>1</v>
      </c>
      <c r="Z68" s="337">
        <f t="shared" si="46"/>
        <v>1.0722009304576894</v>
      </c>
      <c r="AA68" s="437" t="str">
        <f t="shared" si="47"/>
        <v>(2,1,1,2,1,1); Industry data (French tender)</v>
      </c>
      <c r="AB68" s="440">
        <f>$AJ$69*J142</f>
        <v>10.114819309600831</v>
      </c>
      <c r="AC68" s="336">
        <v>1</v>
      </c>
      <c r="AD68" s="337">
        <f t="shared" si="48"/>
        <v>1.0722009304576894</v>
      </c>
      <c r="AE68" s="455" t="str">
        <f t="shared" si="49"/>
        <v>(2,1,1,2,1,1); Industry data (French tender)</v>
      </c>
      <c r="AF68" s="440">
        <v>119.061992619926</v>
      </c>
      <c r="AG68" s="336">
        <v>1</v>
      </c>
      <c r="AH68" s="337">
        <f t="shared" si="50"/>
        <v>1.0722009304576894</v>
      </c>
      <c r="AI68" s="455" t="str">
        <f t="shared" si="51"/>
        <v>(2,1,1,2,1,1); Industry data (French tender)</v>
      </c>
      <c r="AJ68" s="440">
        <v>0</v>
      </c>
      <c r="AK68" s="336">
        <v>1</v>
      </c>
      <c r="AL68" s="337">
        <f t="shared" si="52"/>
        <v>1.0722009304576894</v>
      </c>
      <c r="AM68" s="455" t="str">
        <f t="shared" si="53"/>
        <v>(2,1,1,2,1,1); Industry data (French tender)</v>
      </c>
      <c r="AN68" s="440">
        <v>0</v>
      </c>
      <c r="AO68" s="336">
        <v>1</v>
      </c>
      <c r="AP68" s="337">
        <f t="shared" si="54"/>
        <v>1.0722009304576894</v>
      </c>
      <c r="AQ68" s="437" t="str">
        <f t="shared" si="55"/>
        <v>(2,1,1,2,1,1); Industry data (French tender)</v>
      </c>
      <c r="AR68" s="440">
        <v>0</v>
      </c>
      <c r="AS68" s="336">
        <v>1</v>
      </c>
      <c r="AT68" s="337">
        <f t="shared" si="56"/>
        <v>1.05</v>
      </c>
      <c r="AU68" s="455" t="str">
        <f t="shared" si="57"/>
        <v xml:space="preserve">(na,na,na,na,na,na); </v>
      </c>
      <c r="AV68" s="440">
        <v>0</v>
      </c>
      <c r="AW68" s="336">
        <v>1</v>
      </c>
      <c r="AX68" s="337">
        <f t="shared" si="58"/>
        <v>1.05</v>
      </c>
      <c r="AY68" s="437" t="str">
        <f t="shared" si="59"/>
        <v xml:space="preserve">(na,na,na,na,na,na); </v>
      </c>
      <c r="AZ68" s="338"/>
      <c r="BA68" s="440">
        <v>0</v>
      </c>
      <c r="BB68" s="440"/>
      <c r="BC68" s="216" t="s">
        <v>462</v>
      </c>
      <c r="BD68" s="83">
        <v>2</v>
      </c>
      <c r="BE68" s="83">
        <v>1</v>
      </c>
      <c r="BF68" s="83">
        <v>1</v>
      </c>
      <c r="BG68" s="83">
        <v>2</v>
      </c>
      <c r="BH68" s="83">
        <v>1</v>
      </c>
      <c r="BI68" s="83">
        <v>1</v>
      </c>
      <c r="BJ68" s="104">
        <v>3</v>
      </c>
      <c r="BK68" s="104">
        <v>1.05</v>
      </c>
      <c r="BL68" s="107">
        <f t="shared" si="60"/>
        <v>1.0510550504206344</v>
      </c>
      <c r="BM68" s="107">
        <f t="shared" si="61"/>
        <v>1.0722009304576894</v>
      </c>
      <c r="BN68" s="107" t="str">
        <f t="shared" si="62"/>
        <v>(2,1,1,2,1,1)</v>
      </c>
      <c r="BO68" s="108">
        <v>1.05</v>
      </c>
      <c r="BP68" s="108">
        <v>1</v>
      </c>
      <c r="BQ68" s="108">
        <v>1</v>
      </c>
      <c r="BR68" s="108">
        <v>1.01</v>
      </c>
      <c r="BS68" s="108">
        <v>1</v>
      </c>
      <c r="BT68" s="108">
        <v>1</v>
      </c>
      <c r="BV68" s="160"/>
      <c r="BW68" s="83" t="s">
        <v>106</v>
      </c>
      <c r="BX68" s="83" t="s">
        <v>106</v>
      </c>
      <c r="BY68" s="83" t="s">
        <v>106</v>
      </c>
      <c r="BZ68" s="83" t="s">
        <v>106</v>
      </c>
      <c r="CA68" s="83" t="s">
        <v>106</v>
      </c>
      <c r="CB68" s="83" t="s">
        <v>106</v>
      </c>
      <c r="CC68" s="104">
        <v>3</v>
      </c>
      <c r="CD68" s="104">
        <v>1.05</v>
      </c>
      <c r="CE68" s="107">
        <f t="shared" si="63"/>
        <v>1</v>
      </c>
      <c r="CF68" s="107">
        <f t="shared" si="64"/>
        <v>1.05</v>
      </c>
      <c r="CG68" s="107" t="str">
        <f t="shared" si="65"/>
        <v>(na,na,na,na,na,na)</v>
      </c>
      <c r="CH68" s="108">
        <v>1</v>
      </c>
      <c r="CI68" s="108">
        <v>1</v>
      </c>
      <c r="CJ68" s="108">
        <v>1</v>
      </c>
      <c r="CK68" s="108">
        <v>1</v>
      </c>
      <c r="CL68" s="108">
        <v>1</v>
      </c>
      <c r="CM68" s="108">
        <v>1</v>
      </c>
    </row>
    <row r="69" spans="1:91" s="171" customFormat="1" ht="24" hidden="1" outlineLevel="1">
      <c r="A69" s="333">
        <v>265573</v>
      </c>
      <c r="B69" s="216"/>
      <c r="C69" s="334"/>
      <c r="D69" s="342">
        <v>5</v>
      </c>
      <c r="E69" s="343" t="s">
        <v>98</v>
      </c>
      <c r="F69" s="437" t="s">
        <v>487</v>
      </c>
      <c r="G69" s="438" t="s">
        <v>93</v>
      </c>
      <c r="H69" s="439" t="s">
        <v>98</v>
      </c>
      <c r="I69" s="439" t="s">
        <v>98</v>
      </c>
      <c r="J69" s="335">
        <v>0</v>
      </c>
      <c r="K69" s="438" t="s">
        <v>96</v>
      </c>
      <c r="L69" s="440">
        <v>0</v>
      </c>
      <c r="M69" s="336">
        <v>1</v>
      </c>
      <c r="N69" s="337">
        <f t="shared" si="40"/>
        <v>1.0722009304576894</v>
      </c>
      <c r="O69" s="455" t="str">
        <f t="shared" si="41"/>
        <v>(2,1,1,2,1,1); Industry data (French tender)</v>
      </c>
      <c r="P69" s="440">
        <v>0</v>
      </c>
      <c r="Q69" s="336">
        <v>1</v>
      </c>
      <c r="R69" s="337">
        <f t="shared" si="42"/>
        <v>1.0722009304576894</v>
      </c>
      <c r="S69" s="455" t="str">
        <f t="shared" si="43"/>
        <v>(2,1,1,2,1,1); Industry data (French tender)</v>
      </c>
      <c r="T69" s="440">
        <v>0</v>
      </c>
      <c r="U69" s="336">
        <v>1</v>
      </c>
      <c r="V69" s="337">
        <f t="shared" si="44"/>
        <v>1.0722009304576894</v>
      </c>
      <c r="W69" s="437" t="str">
        <f t="shared" si="45"/>
        <v>(2,1,1,2,1,1); Industry data (French tender)</v>
      </c>
      <c r="X69" s="440">
        <v>0</v>
      </c>
      <c r="Y69" s="336">
        <v>1</v>
      </c>
      <c r="Z69" s="337">
        <f t="shared" si="46"/>
        <v>1.0722009304576894</v>
      </c>
      <c r="AA69" s="437" t="str">
        <f t="shared" si="47"/>
        <v>(2,1,1,2,1,1); Industry data (French tender)</v>
      </c>
      <c r="AB69" s="440">
        <v>0</v>
      </c>
      <c r="AC69" s="336">
        <v>1</v>
      </c>
      <c r="AD69" s="337">
        <f t="shared" si="48"/>
        <v>1.0722009304576894</v>
      </c>
      <c r="AE69" s="455" t="str">
        <f t="shared" si="49"/>
        <v>(2,1,1,2,1,1); Industry data (French tender)</v>
      </c>
      <c r="AF69" s="440">
        <v>0</v>
      </c>
      <c r="AG69" s="336">
        <v>1</v>
      </c>
      <c r="AH69" s="337">
        <f t="shared" si="50"/>
        <v>1.0722009304576894</v>
      </c>
      <c r="AI69" s="455" t="str">
        <f t="shared" si="51"/>
        <v>(2,1,1,2,1,1); Industry data (French tender)</v>
      </c>
      <c r="AJ69" s="440">
        <f>BA69</f>
        <v>121.37783171520999</v>
      </c>
      <c r="AK69" s="336">
        <v>1</v>
      </c>
      <c r="AL69" s="337">
        <f t="shared" si="52"/>
        <v>1.0722009304576894</v>
      </c>
      <c r="AM69" s="455" t="str">
        <f t="shared" si="53"/>
        <v>(2,1,1,2,1,1); Industry data (French tender)</v>
      </c>
      <c r="AN69" s="440">
        <v>119.061992619926</v>
      </c>
      <c r="AO69" s="336">
        <v>1</v>
      </c>
      <c r="AP69" s="337">
        <f t="shared" si="54"/>
        <v>1.0722009304576894</v>
      </c>
      <c r="AQ69" s="437" t="str">
        <f t="shared" si="55"/>
        <v>(2,1,1,2,1,1); Industry data (French tender)</v>
      </c>
      <c r="AR69" s="440">
        <v>0</v>
      </c>
      <c r="AS69" s="336">
        <v>1</v>
      </c>
      <c r="AT69" s="337">
        <f t="shared" si="56"/>
        <v>1.05</v>
      </c>
      <c r="AU69" s="455" t="str">
        <f t="shared" si="57"/>
        <v xml:space="preserve">(na,na,na,na,na,na); </v>
      </c>
      <c r="AV69" s="440">
        <v>0</v>
      </c>
      <c r="AW69" s="336">
        <v>1</v>
      </c>
      <c r="AX69" s="337">
        <f t="shared" si="58"/>
        <v>1.05</v>
      </c>
      <c r="AY69" s="437" t="str">
        <f t="shared" si="59"/>
        <v xml:space="preserve">(na,na,na,na,na,na); </v>
      </c>
      <c r="AZ69" s="338"/>
      <c r="BA69" s="440">
        <v>121.37783171520999</v>
      </c>
      <c r="BB69" s="440"/>
      <c r="BC69" s="216" t="s">
        <v>462</v>
      </c>
      <c r="BD69" s="83">
        <v>2</v>
      </c>
      <c r="BE69" s="83">
        <v>1</v>
      </c>
      <c r="BF69" s="83">
        <v>1</v>
      </c>
      <c r="BG69" s="83">
        <v>2</v>
      </c>
      <c r="BH69" s="83">
        <v>1</v>
      </c>
      <c r="BI69" s="83">
        <v>1</v>
      </c>
      <c r="BJ69" s="104">
        <v>3</v>
      </c>
      <c r="BK69" s="104">
        <v>1.05</v>
      </c>
      <c r="BL69" s="107">
        <f t="shared" si="60"/>
        <v>1.0510550504206344</v>
      </c>
      <c r="BM69" s="107">
        <f t="shared" si="61"/>
        <v>1.0722009304576894</v>
      </c>
      <c r="BN69" s="107" t="str">
        <f t="shared" si="62"/>
        <v>(2,1,1,2,1,1)</v>
      </c>
      <c r="BO69" s="108">
        <v>1.05</v>
      </c>
      <c r="BP69" s="108">
        <v>1</v>
      </c>
      <c r="BQ69" s="108">
        <v>1</v>
      </c>
      <c r="BR69" s="108">
        <v>1.01</v>
      </c>
      <c r="BS69" s="108">
        <v>1</v>
      </c>
      <c r="BT69" s="108">
        <v>1</v>
      </c>
      <c r="BV69" s="160"/>
      <c r="BW69" s="83" t="s">
        <v>106</v>
      </c>
      <c r="BX69" s="83" t="s">
        <v>106</v>
      </c>
      <c r="BY69" s="83" t="s">
        <v>106</v>
      </c>
      <c r="BZ69" s="83" t="s">
        <v>106</v>
      </c>
      <c r="CA69" s="83" t="s">
        <v>106</v>
      </c>
      <c r="CB69" s="83" t="s">
        <v>106</v>
      </c>
      <c r="CC69" s="104">
        <v>3</v>
      </c>
      <c r="CD69" s="104">
        <v>1.05</v>
      </c>
      <c r="CE69" s="107">
        <f t="shared" si="63"/>
        <v>1</v>
      </c>
      <c r="CF69" s="107">
        <f t="shared" si="64"/>
        <v>1.05</v>
      </c>
      <c r="CG69" s="107" t="str">
        <f t="shared" si="65"/>
        <v>(na,na,na,na,na,na)</v>
      </c>
      <c r="CH69" s="108">
        <v>1</v>
      </c>
      <c r="CI69" s="108">
        <v>1</v>
      </c>
      <c r="CJ69" s="108">
        <v>1</v>
      </c>
      <c r="CK69" s="108">
        <v>1</v>
      </c>
      <c r="CL69" s="108">
        <v>1</v>
      </c>
      <c r="CM69" s="108">
        <v>1</v>
      </c>
    </row>
    <row r="70" spans="1:91" s="171" customFormat="1" ht="24" collapsed="1">
      <c r="A70" s="333">
        <v>259545</v>
      </c>
      <c r="B70" s="216"/>
      <c r="C70" s="334"/>
      <c r="D70" s="342">
        <v>5</v>
      </c>
      <c r="E70" s="343" t="s">
        <v>98</v>
      </c>
      <c r="F70" s="437" t="s">
        <v>993</v>
      </c>
      <c r="G70" s="438" t="s">
        <v>340</v>
      </c>
      <c r="H70" s="439" t="s">
        <v>98</v>
      </c>
      <c r="I70" s="439" t="s">
        <v>98</v>
      </c>
      <c r="J70" s="335">
        <v>0</v>
      </c>
      <c r="K70" s="438" t="s">
        <v>96</v>
      </c>
      <c r="L70" s="440">
        <v>0</v>
      </c>
      <c r="M70" s="336">
        <v>1</v>
      </c>
      <c r="N70" s="337">
        <f t="shared" si="40"/>
        <v>1.05</v>
      </c>
      <c r="O70" s="455" t="str">
        <f t="shared" si="41"/>
        <v xml:space="preserve">(na,na,na,na,na,na); </v>
      </c>
      <c r="P70" s="440">
        <v>0</v>
      </c>
      <c r="Q70" s="336">
        <v>1</v>
      </c>
      <c r="R70" s="337">
        <f t="shared" si="42"/>
        <v>1.05</v>
      </c>
      <c r="S70" s="455" t="str">
        <f t="shared" si="43"/>
        <v xml:space="preserve">(na,na,na,na,na,na); </v>
      </c>
      <c r="T70" s="440">
        <v>0</v>
      </c>
      <c r="U70" s="336">
        <v>1</v>
      </c>
      <c r="V70" s="337">
        <f t="shared" si="44"/>
        <v>1.05</v>
      </c>
      <c r="W70" s="437" t="str">
        <f t="shared" si="45"/>
        <v xml:space="preserve">(na,na,na,na,na,na); </v>
      </c>
      <c r="X70" s="440">
        <v>0</v>
      </c>
      <c r="Y70" s="336">
        <v>1</v>
      </c>
      <c r="Z70" s="337">
        <f t="shared" si="46"/>
        <v>1.05</v>
      </c>
      <c r="AA70" s="437" t="str">
        <f t="shared" si="47"/>
        <v xml:space="preserve">(na,na,na,na,na,na); </v>
      </c>
      <c r="AB70" s="440">
        <v>0</v>
      </c>
      <c r="AC70" s="336">
        <v>1</v>
      </c>
      <c r="AD70" s="337">
        <f t="shared" si="48"/>
        <v>1.05</v>
      </c>
      <c r="AE70" s="455" t="str">
        <f t="shared" si="49"/>
        <v xml:space="preserve">(na,na,na,na,na,na); </v>
      </c>
      <c r="AF70" s="440">
        <v>0</v>
      </c>
      <c r="AG70" s="336">
        <v>1</v>
      </c>
      <c r="AH70" s="337">
        <f t="shared" si="50"/>
        <v>1.05</v>
      </c>
      <c r="AI70" s="455" t="str">
        <f t="shared" si="51"/>
        <v xml:space="preserve">(na,na,na,na,na,na); </v>
      </c>
      <c r="AJ70" s="440">
        <v>0</v>
      </c>
      <c r="AK70" s="336">
        <v>1</v>
      </c>
      <c r="AL70" s="337">
        <f t="shared" si="52"/>
        <v>1.05</v>
      </c>
      <c r="AM70" s="455" t="str">
        <f t="shared" si="53"/>
        <v xml:space="preserve">(na,na,na,na,na,na); </v>
      </c>
      <c r="AN70" s="440">
        <v>0</v>
      </c>
      <c r="AO70" s="336">
        <v>1</v>
      </c>
      <c r="AP70" s="337">
        <f t="shared" si="54"/>
        <v>1.05</v>
      </c>
      <c r="AQ70" s="437" t="str">
        <f t="shared" si="55"/>
        <v xml:space="preserve">(na,na,na,na,na,na); </v>
      </c>
      <c r="AR70" s="440">
        <f>26.8</f>
        <v>26.8</v>
      </c>
      <c r="AS70" s="336">
        <v>1</v>
      </c>
      <c r="AT70" s="337">
        <f t="shared" si="56"/>
        <v>1.2434566510799234</v>
      </c>
      <c r="AU70" s="455" t="str">
        <f t="shared" si="57"/>
        <v>(2,4,1,3,1,5); Brailovsky (2026) GP 06b diluting water, DE iso GLO</v>
      </c>
      <c r="AV70" s="440">
        <v>0</v>
      </c>
      <c r="AW70" s="336">
        <v>1</v>
      </c>
      <c r="AX70" s="337">
        <f t="shared" si="58"/>
        <v>1.2434566510799234</v>
      </c>
      <c r="AY70" s="437" t="str">
        <f t="shared" si="59"/>
        <v>(2,4,1,3,1,5); Brailovsky (2026) GP 06b diluting water, DE iso GLO</v>
      </c>
      <c r="AZ70" s="338"/>
      <c r="BA70" s="440"/>
      <c r="BB70" s="440"/>
      <c r="BC70" s="216"/>
      <c r="BD70" s="83" t="s">
        <v>106</v>
      </c>
      <c r="BE70" s="83" t="s">
        <v>106</v>
      </c>
      <c r="BF70" s="83" t="s">
        <v>106</v>
      </c>
      <c r="BG70" s="83" t="s">
        <v>106</v>
      </c>
      <c r="BH70" s="83" t="s">
        <v>106</v>
      </c>
      <c r="BI70" s="83" t="s">
        <v>106</v>
      </c>
      <c r="BJ70" s="104">
        <v>3</v>
      </c>
      <c r="BK70" s="104">
        <v>1.05</v>
      </c>
      <c r="BL70" s="107">
        <f t="shared" si="60"/>
        <v>1</v>
      </c>
      <c r="BM70" s="107">
        <f t="shared" si="61"/>
        <v>1.05</v>
      </c>
      <c r="BN70" s="107" t="str">
        <f t="shared" si="62"/>
        <v>(na,na,na,na,na,na)</v>
      </c>
      <c r="BO70" s="108">
        <v>1</v>
      </c>
      <c r="BP70" s="108">
        <v>1</v>
      </c>
      <c r="BQ70" s="108">
        <v>1</v>
      </c>
      <c r="BR70" s="108">
        <v>1</v>
      </c>
      <c r="BS70" s="108">
        <v>1</v>
      </c>
      <c r="BT70" s="108">
        <v>1</v>
      </c>
      <c r="BV70" s="160" t="s">
        <v>994</v>
      </c>
      <c r="BW70" s="83">
        <v>2</v>
      </c>
      <c r="BX70" s="83">
        <v>4</v>
      </c>
      <c r="BY70" s="83">
        <v>1</v>
      </c>
      <c r="BZ70" s="83">
        <v>3</v>
      </c>
      <c r="CA70" s="83">
        <v>1</v>
      </c>
      <c r="CB70" s="83">
        <v>5</v>
      </c>
      <c r="CC70" s="104">
        <v>3</v>
      </c>
      <c r="CD70" s="104">
        <v>1.05</v>
      </c>
      <c r="CE70" s="107">
        <f t="shared" si="63"/>
        <v>1.2365959919080913</v>
      </c>
      <c r="CF70" s="107">
        <f t="shared" si="64"/>
        <v>1.2434566510799234</v>
      </c>
      <c r="CG70" s="107" t="str">
        <f t="shared" si="65"/>
        <v>(2,4,1,3,1,5)</v>
      </c>
      <c r="CH70" s="108">
        <v>1.05</v>
      </c>
      <c r="CI70" s="108">
        <v>1.1000000000000001</v>
      </c>
      <c r="CJ70" s="108">
        <v>1</v>
      </c>
      <c r="CK70" s="108">
        <v>1.02</v>
      </c>
      <c r="CL70" s="108">
        <v>1</v>
      </c>
      <c r="CM70" s="108">
        <v>1.2</v>
      </c>
    </row>
    <row r="71" spans="1:91" s="171" customFormat="1" ht="24">
      <c r="A71" s="333">
        <v>267914</v>
      </c>
      <c r="B71" s="216" t="s">
        <v>500</v>
      </c>
      <c r="C71" s="334"/>
      <c r="D71" s="342">
        <v>5</v>
      </c>
      <c r="E71" s="343" t="s">
        <v>98</v>
      </c>
      <c r="F71" s="437" t="s">
        <v>380</v>
      </c>
      <c r="G71" s="438" t="s">
        <v>372</v>
      </c>
      <c r="H71" s="439" t="s">
        <v>98</v>
      </c>
      <c r="I71" s="439" t="s">
        <v>98</v>
      </c>
      <c r="J71" s="335">
        <v>0</v>
      </c>
      <c r="K71" s="438" t="s">
        <v>109</v>
      </c>
      <c r="L71" s="440">
        <f>BA79</f>
        <v>16.587378640776699</v>
      </c>
      <c r="M71" s="336">
        <v>1</v>
      </c>
      <c r="N71" s="337">
        <f t="shared" si="40"/>
        <v>1.0722009304576894</v>
      </c>
      <c r="O71" s="440" t="s">
        <v>995</v>
      </c>
      <c r="P71" s="440">
        <v>19.894280442804401</v>
      </c>
      <c r="Q71" s="336">
        <v>1</v>
      </c>
      <c r="R71" s="337">
        <f t="shared" si="42"/>
        <v>1.0722009304576894</v>
      </c>
      <c r="S71" s="440" t="s">
        <v>995</v>
      </c>
      <c r="T71" s="440">
        <v>0</v>
      </c>
      <c r="U71" s="336">
        <v>1</v>
      </c>
      <c r="V71" s="337">
        <f t="shared" si="44"/>
        <v>1.0722009304576894</v>
      </c>
      <c r="W71" s="440" t="s">
        <v>995</v>
      </c>
      <c r="X71" s="440">
        <v>0</v>
      </c>
      <c r="Y71" s="336">
        <v>1</v>
      </c>
      <c r="Z71" s="337">
        <f t="shared" si="46"/>
        <v>1.0722009304576894</v>
      </c>
      <c r="AA71" s="437" t="s">
        <v>995</v>
      </c>
      <c r="AB71" s="440">
        <v>0</v>
      </c>
      <c r="AC71" s="336">
        <v>1</v>
      </c>
      <c r="AD71" s="337">
        <f t="shared" si="48"/>
        <v>1.0722009304576894</v>
      </c>
      <c r="AE71" s="440" t="s">
        <v>995</v>
      </c>
      <c r="AF71" s="440">
        <v>0</v>
      </c>
      <c r="AG71" s="336">
        <v>1</v>
      </c>
      <c r="AH71" s="337">
        <f t="shared" si="50"/>
        <v>1.0722009304576894</v>
      </c>
      <c r="AI71" s="440" t="s">
        <v>995</v>
      </c>
      <c r="AJ71" s="440">
        <v>0</v>
      </c>
      <c r="AK71" s="336">
        <v>1</v>
      </c>
      <c r="AL71" s="337">
        <f t="shared" si="52"/>
        <v>1.0722009304576894</v>
      </c>
      <c r="AM71" s="455" t="str">
        <f t="shared" si="53"/>
        <v>(2,1,1,2,1,1); Industry data (French tender)</v>
      </c>
      <c r="AN71" s="440">
        <v>0</v>
      </c>
      <c r="AO71" s="336">
        <v>1</v>
      </c>
      <c r="AP71" s="337">
        <f t="shared" si="54"/>
        <v>1.0722009304576894</v>
      </c>
      <c r="AQ71" s="437" t="s">
        <v>995</v>
      </c>
      <c r="AR71" s="440">
        <v>0</v>
      </c>
      <c r="AS71" s="336">
        <v>1</v>
      </c>
      <c r="AT71" s="337">
        <f t="shared" si="56"/>
        <v>1.2434566510799234</v>
      </c>
      <c r="AU71" s="455" t="str">
        <f t="shared" si="57"/>
        <v>(2,4,1,3,1,5); Brailovsky (2026) GP 05 / GP 06b CN iso DE</v>
      </c>
      <c r="AV71" s="440">
        <f>AR80</f>
        <v>11.012528626606509</v>
      </c>
      <c r="AW71" s="336">
        <v>1</v>
      </c>
      <c r="AX71" s="337">
        <f t="shared" si="58"/>
        <v>1.2434566510799234</v>
      </c>
      <c r="AY71" s="437" t="str">
        <f t="shared" si="59"/>
        <v>(2,4,1,3,1,5); Brailovsky (2026) GP 05 / GP 06b CN iso DE</v>
      </c>
      <c r="AZ71" s="338"/>
      <c r="BA71" s="440">
        <v>0</v>
      </c>
      <c r="BB71" s="440"/>
      <c r="BC71" s="216" t="s">
        <v>462</v>
      </c>
      <c r="BD71" s="83">
        <v>2</v>
      </c>
      <c r="BE71" s="83">
        <v>1</v>
      </c>
      <c r="BF71" s="83">
        <v>1</v>
      </c>
      <c r="BG71" s="83">
        <v>2</v>
      </c>
      <c r="BH71" s="83">
        <v>1</v>
      </c>
      <c r="BI71" s="83">
        <v>1</v>
      </c>
      <c r="BJ71" s="104">
        <v>3</v>
      </c>
      <c r="BK71" s="104">
        <v>1.05</v>
      </c>
      <c r="BL71" s="107">
        <f t="shared" si="60"/>
        <v>1.0510550504206344</v>
      </c>
      <c r="BM71" s="107">
        <f t="shared" si="61"/>
        <v>1.0722009304576894</v>
      </c>
      <c r="BN71" s="107" t="str">
        <f t="shared" si="62"/>
        <v>(2,1,1,2,1,1)</v>
      </c>
      <c r="BO71" s="108">
        <v>1.05</v>
      </c>
      <c r="BP71" s="108">
        <v>1</v>
      </c>
      <c r="BQ71" s="108">
        <v>1</v>
      </c>
      <c r="BR71" s="108">
        <v>1.01</v>
      </c>
      <c r="BS71" s="108">
        <v>1</v>
      </c>
      <c r="BT71" s="108">
        <v>1</v>
      </c>
      <c r="BV71" s="160" t="s">
        <v>996</v>
      </c>
      <c r="BW71" s="83">
        <v>2</v>
      </c>
      <c r="BX71" s="83">
        <v>4</v>
      </c>
      <c r="BY71" s="83">
        <v>1</v>
      </c>
      <c r="BZ71" s="83">
        <v>3</v>
      </c>
      <c r="CA71" s="83">
        <v>1</v>
      </c>
      <c r="CB71" s="83">
        <v>5</v>
      </c>
      <c r="CC71" s="104">
        <v>3</v>
      </c>
      <c r="CD71" s="104">
        <v>1.05</v>
      </c>
      <c r="CE71" s="107">
        <f t="shared" si="63"/>
        <v>1.2365959919080913</v>
      </c>
      <c r="CF71" s="107">
        <f t="shared" si="64"/>
        <v>1.2434566510799234</v>
      </c>
      <c r="CG71" s="107" t="str">
        <f t="shared" si="65"/>
        <v>(2,4,1,3,1,5)</v>
      </c>
      <c r="CH71" s="108">
        <v>1.05</v>
      </c>
      <c r="CI71" s="108">
        <v>1.1000000000000001</v>
      </c>
      <c r="CJ71" s="108">
        <v>1</v>
      </c>
      <c r="CK71" s="108">
        <v>1.02</v>
      </c>
      <c r="CL71" s="108">
        <v>1</v>
      </c>
      <c r="CM71" s="108">
        <v>1.2</v>
      </c>
    </row>
    <row r="72" spans="1:91" s="171" customFormat="1" hidden="1" outlineLevel="1">
      <c r="A72" s="333">
        <v>19772</v>
      </c>
      <c r="B72" s="216"/>
      <c r="C72" s="334"/>
      <c r="D72" s="342">
        <v>5</v>
      </c>
      <c r="E72" s="343" t="s">
        <v>98</v>
      </c>
      <c r="F72" s="437" t="s">
        <v>225</v>
      </c>
      <c r="G72" s="438" t="s">
        <v>215</v>
      </c>
      <c r="H72" s="439" t="s">
        <v>98</v>
      </c>
      <c r="I72" s="439" t="s">
        <v>98</v>
      </c>
      <c r="J72" s="335">
        <v>0</v>
      </c>
      <c r="K72" s="438" t="s">
        <v>109</v>
      </c>
      <c r="L72" s="440">
        <v>0</v>
      </c>
      <c r="M72" s="336">
        <v>1</v>
      </c>
      <c r="N72" s="337">
        <f t="shared" si="40"/>
        <v>1.0722009304576894</v>
      </c>
      <c r="O72" s="440" t="s">
        <v>995</v>
      </c>
      <c r="P72" s="440">
        <v>0</v>
      </c>
      <c r="Q72" s="336">
        <v>1</v>
      </c>
      <c r="R72" s="337">
        <f t="shared" si="42"/>
        <v>1.0722009304576894</v>
      </c>
      <c r="S72" s="440" t="s">
        <v>995</v>
      </c>
      <c r="T72" s="440">
        <f>$AJ$79</f>
        <v>16.587378640776699</v>
      </c>
      <c r="U72" s="336">
        <v>1</v>
      </c>
      <c r="V72" s="337">
        <f t="shared" si="44"/>
        <v>1.0722009304576894</v>
      </c>
      <c r="W72" s="440" t="s">
        <v>995</v>
      </c>
      <c r="X72" s="440">
        <v>19.894280442804401</v>
      </c>
      <c r="Y72" s="336">
        <v>1</v>
      </c>
      <c r="Z72" s="337">
        <f t="shared" si="46"/>
        <v>1.0722009304576894</v>
      </c>
      <c r="AA72" s="437" t="s">
        <v>995</v>
      </c>
      <c r="AB72" s="440">
        <v>0</v>
      </c>
      <c r="AC72" s="336">
        <v>1</v>
      </c>
      <c r="AD72" s="337">
        <f t="shared" si="48"/>
        <v>1.0722009304576894</v>
      </c>
      <c r="AE72" s="440" t="s">
        <v>995</v>
      </c>
      <c r="AF72" s="440">
        <v>0</v>
      </c>
      <c r="AG72" s="336">
        <v>1</v>
      </c>
      <c r="AH72" s="337">
        <f t="shared" si="50"/>
        <v>1.0722009304576894</v>
      </c>
      <c r="AI72" s="440" t="s">
        <v>995</v>
      </c>
      <c r="AJ72" s="440">
        <v>0</v>
      </c>
      <c r="AK72" s="336">
        <v>1</v>
      </c>
      <c r="AL72" s="337">
        <f t="shared" si="52"/>
        <v>1.0722009304576894</v>
      </c>
      <c r="AM72" s="455" t="str">
        <f t="shared" si="53"/>
        <v>(2,1,1,2,1,1); Industry data (French tender)</v>
      </c>
      <c r="AN72" s="440">
        <v>0</v>
      </c>
      <c r="AO72" s="336">
        <v>1</v>
      </c>
      <c r="AP72" s="337">
        <f t="shared" si="54"/>
        <v>1.0722009304576894</v>
      </c>
      <c r="AQ72" s="437" t="s">
        <v>995</v>
      </c>
      <c r="AR72" s="440">
        <v>0</v>
      </c>
      <c r="AS72" s="336">
        <v>1</v>
      </c>
      <c r="AT72" s="337">
        <f t="shared" si="56"/>
        <v>1.05</v>
      </c>
      <c r="AU72" s="455" t="str">
        <f t="shared" si="57"/>
        <v xml:space="preserve">(na,na,na,na,na,na); </v>
      </c>
      <c r="AV72" s="440">
        <v>0</v>
      </c>
      <c r="AW72" s="336">
        <v>1</v>
      </c>
      <c r="AX72" s="337">
        <f t="shared" si="58"/>
        <v>1.05</v>
      </c>
      <c r="AY72" s="437" t="str">
        <f t="shared" si="59"/>
        <v xml:space="preserve">(na,na,na,na,na,na); </v>
      </c>
      <c r="AZ72" s="338"/>
      <c r="BA72" s="440">
        <v>0</v>
      </c>
      <c r="BB72" s="440"/>
      <c r="BC72" s="216" t="s">
        <v>462</v>
      </c>
      <c r="BD72" s="83">
        <v>2</v>
      </c>
      <c r="BE72" s="83">
        <v>1</v>
      </c>
      <c r="BF72" s="83">
        <v>1</v>
      </c>
      <c r="BG72" s="83">
        <v>2</v>
      </c>
      <c r="BH72" s="83">
        <v>1</v>
      </c>
      <c r="BI72" s="83">
        <v>1</v>
      </c>
      <c r="BJ72" s="104">
        <v>3</v>
      </c>
      <c r="BK72" s="104">
        <v>1.05</v>
      </c>
      <c r="BL72" s="107">
        <f t="shared" si="60"/>
        <v>1.0510550504206344</v>
      </c>
      <c r="BM72" s="107">
        <f t="shared" si="61"/>
        <v>1.0722009304576894</v>
      </c>
      <c r="BN72" s="107" t="str">
        <f t="shared" si="62"/>
        <v>(2,1,1,2,1,1)</v>
      </c>
      <c r="BO72" s="108">
        <v>1.05</v>
      </c>
      <c r="BP72" s="108">
        <v>1</v>
      </c>
      <c r="BQ72" s="108">
        <v>1</v>
      </c>
      <c r="BR72" s="108">
        <v>1.01</v>
      </c>
      <c r="BS72" s="108">
        <v>1</v>
      </c>
      <c r="BT72" s="108">
        <v>1</v>
      </c>
      <c r="BV72" s="160"/>
      <c r="BW72" s="83" t="s">
        <v>106</v>
      </c>
      <c r="BX72" s="83" t="s">
        <v>106</v>
      </c>
      <c r="BY72" s="83" t="s">
        <v>106</v>
      </c>
      <c r="BZ72" s="83" t="s">
        <v>106</v>
      </c>
      <c r="CA72" s="83" t="s">
        <v>106</v>
      </c>
      <c r="CB72" s="83" t="s">
        <v>106</v>
      </c>
      <c r="CC72" s="104">
        <v>3</v>
      </c>
      <c r="CD72" s="104">
        <v>1.05</v>
      </c>
      <c r="CE72" s="107">
        <f t="shared" si="63"/>
        <v>1</v>
      </c>
      <c r="CF72" s="107">
        <f t="shared" si="64"/>
        <v>1.05</v>
      </c>
      <c r="CG72" s="107" t="str">
        <f t="shared" si="65"/>
        <v>(na,na,na,na,na,na)</v>
      </c>
      <c r="CH72" s="108">
        <v>1</v>
      </c>
      <c r="CI72" s="108">
        <v>1</v>
      </c>
      <c r="CJ72" s="108">
        <v>1</v>
      </c>
      <c r="CK72" s="108">
        <v>1</v>
      </c>
      <c r="CL72" s="108">
        <v>1</v>
      </c>
      <c r="CM72" s="108">
        <v>1</v>
      </c>
    </row>
    <row r="73" spans="1:91" s="171" customFormat="1" hidden="1" outlineLevel="1" collapsed="1">
      <c r="A73" s="333">
        <v>259809</v>
      </c>
      <c r="B73" s="216"/>
      <c r="C73" s="334"/>
      <c r="D73" s="342">
        <v>5</v>
      </c>
      <c r="E73" s="343" t="s">
        <v>98</v>
      </c>
      <c r="F73" s="437" t="s">
        <v>381</v>
      </c>
      <c r="G73" s="438" t="s">
        <v>382</v>
      </c>
      <c r="H73" s="439" t="s">
        <v>98</v>
      </c>
      <c r="I73" s="439" t="s">
        <v>98</v>
      </c>
      <c r="J73" s="335">
        <v>0</v>
      </c>
      <c r="K73" s="438" t="s">
        <v>109</v>
      </c>
      <c r="L73" s="440">
        <v>0</v>
      </c>
      <c r="M73" s="336">
        <v>1</v>
      </c>
      <c r="N73" s="337">
        <f t="shared" si="40"/>
        <v>1.0722009304576894</v>
      </c>
      <c r="O73" s="440" t="s">
        <v>995</v>
      </c>
      <c r="P73" s="440">
        <v>0</v>
      </c>
      <c r="Q73" s="336">
        <v>1</v>
      </c>
      <c r="R73" s="337">
        <f t="shared" si="42"/>
        <v>1.0722009304576894</v>
      </c>
      <c r="S73" s="440" t="s">
        <v>995</v>
      </c>
      <c r="T73" s="440">
        <v>0</v>
      </c>
      <c r="U73" s="336">
        <v>1</v>
      </c>
      <c r="V73" s="337">
        <f t="shared" si="44"/>
        <v>1.0722009304576894</v>
      </c>
      <c r="W73" s="440" t="s">
        <v>995</v>
      </c>
      <c r="X73" s="440">
        <v>0</v>
      </c>
      <c r="Y73" s="336">
        <v>1</v>
      </c>
      <c r="Z73" s="337">
        <f t="shared" si="46"/>
        <v>1.0722009304576894</v>
      </c>
      <c r="AA73" s="437" t="s">
        <v>995</v>
      </c>
      <c r="AB73" s="440">
        <f>$AJ$79*$J$137</f>
        <v>4.9367198335644931</v>
      </c>
      <c r="AC73" s="336">
        <v>1</v>
      </c>
      <c r="AD73" s="337">
        <f t="shared" si="48"/>
        <v>1.0722009304576894</v>
      </c>
      <c r="AE73" s="440" t="s">
        <v>995</v>
      </c>
      <c r="AF73" s="440">
        <f t="shared" ref="AF73:AF78" si="66">$X$72*J137</f>
        <v>5.9209167984536899</v>
      </c>
      <c r="AG73" s="336">
        <v>1</v>
      </c>
      <c r="AH73" s="337">
        <f t="shared" si="50"/>
        <v>1.0722009304576894</v>
      </c>
      <c r="AI73" s="440" t="s">
        <v>995</v>
      </c>
      <c r="AJ73" s="440">
        <v>0</v>
      </c>
      <c r="AK73" s="336">
        <v>1</v>
      </c>
      <c r="AL73" s="337">
        <f t="shared" si="52"/>
        <v>1.0722009304576894</v>
      </c>
      <c r="AM73" s="455" t="str">
        <f t="shared" si="53"/>
        <v>(2,1,1,2,1,1); Industry data (French tender)</v>
      </c>
      <c r="AN73" s="440">
        <v>0</v>
      </c>
      <c r="AO73" s="336">
        <v>1</v>
      </c>
      <c r="AP73" s="337">
        <f t="shared" si="54"/>
        <v>1.0722009304576894</v>
      </c>
      <c r="AQ73" s="437" t="s">
        <v>995</v>
      </c>
      <c r="AR73" s="440">
        <v>0</v>
      </c>
      <c r="AS73" s="336">
        <v>1</v>
      </c>
      <c r="AT73" s="337">
        <f t="shared" si="56"/>
        <v>1.05</v>
      </c>
      <c r="AU73" s="455" t="str">
        <f t="shared" si="57"/>
        <v xml:space="preserve">(na,na,na,na,na,na); </v>
      </c>
      <c r="AV73" s="440">
        <v>0</v>
      </c>
      <c r="AW73" s="336">
        <v>1</v>
      </c>
      <c r="AX73" s="337">
        <f t="shared" si="58"/>
        <v>1.05</v>
      </c>
      <c r="AY73" s="437" t="str">
        <f t="shared" si="59"/>
        <v xml:space="preserve">(na,na,na,na,na,na); </v>
      </c>
      <c r="AZ73" s="338"/>
      <c r="BA73" s="440">
        <v>0</v>
      </c>
      <c r="BB73" s="440"/>
      <c r="BC73" s="216" t="s">
        <v>462</v>
      </c>
      <c r="BD73" s="83">
        <v>2</v>
      </c>
      <c r="BE73" s="83">
        <v>1</v>
      </c>
      <c r="BF73" s="83">
        <v>1</v>
      </c>
      <c r="BG73" s="83">
        <v>2</v>
      </c>
      <c r="BH73" s="83">
        <v>1</v>
      </c>
      <c r="BI73" s="83">
        <v>1</v>
      </c>
      <c r="BJ73" s="104">
        <v>3</v>
      </c>
      <c r="BK73" s="104">
        <v>1.05</v>
      </c>
      <c r="BL73" s="107">
        <f t="shared" si="60"/>
        <v>1.0510550504206344</v>
      </c>
      <c r="BM73" s="107">
        <f t="shared" si="61"/>
        <v>1.0722009304576894</v>
      </c>
      <c r="BN73" s="107" t="str">
        <f t="shared" si="62"/>
        <v>(2,1,1,2,1,1)</v>
      </c>
      <c r="BO73" s="108">
        <v>1.05</v>
      </c>
      <c r="BP73" s="108">
        <v>1</v>
      </c>
      <c r="BQ73" s="108">
        <v>1</v>
      </c>
      <c r="BR73" s="108">
        <v>1.01</v>
      </c>
      <c r="BS73" s="108">
        <v>1</v>
      </c>
      <c r="BT73" s="108">
        <v>1</v>
      </c>
      <c r="BV73" s="160"/>
      <c r="BW73" s="83" t="s">
        <v>106</v>
      </c>
      <c r="BX73" s="83" t="s">
        <v>106</v>
      </c>
      <c r="BY73" s="83" t="s">
        <v>106</v>
      </c>
      <c r="BZ73" s="83" t="s">
        <v>106</v>
      </c>
      <c r="CA73" s="83" t="s">
        <v>106</v>
      </c>
      <c r="CB73" s="83" t="s">
        <v>106</v>
      </c>
      <c r="CC73" s="104">
        <v>3</v>
      </c>
      <c r="CD73" s="104">
        <v>1.05</v>
      </c>
      <c r="CE73" s="107">
        <f t="shared" si="63"/>
        <v>1</v>
      </c>
      <c r="CF73" s="107">
        <f t="shared" si="64"/>
        <v>1.05</v>
      </c>
      <c r="CG73" s="107" t="str">
        <f t="shared" si="65"/>
        <v>(na,na,na,na,na,na)</v>
      </c>
      <c r="CH73" s="108">
        <v>1</v>
      </c>
      <c r="CI73" s="108">
        <v>1</v>
      </c>
      <c r="CJ73" s="108">
        <v>1</v>
      </c>
      <c r="CK73" s="108">
        <v>1</v>
      </c>
      <c r="CL73" s="108">
        <v>1</v>
      </c>
      <c r="CM73" s="108">
        <v>1</v>
      </c>
    </row>
    <row r="74" spans="1:91" s="171" customFormat="1" hidden="1" outlineLevel="1">
      <c r="A74" s="333">
        <v>266385</v>
      </c>
      <c r="B74" s="216"/>
      <c r="C74" s="334"/>
      <c r="D74" s="342">
        <v>5</v>
      </c>
      <c r="E74" s="343" t="s">
        <v>98</v>
      </c>
      <c r="F74" s="437" t="s">
        <v>642</v>
      </c>
      <c r="G74" s="438" t="s">
        <v>643</v>
      </c>
      <c r="H74" s="439" t="s">
        <v>98</v>
      </c>
      <c r="I74" s="439" t="s">
        <v>98</v>
      </c>
      <c r="J74" s="335">
        <v>0</v>
      </c>
      <c r="K74" s="438" t="s">
        <v>109</v>
      </c>
      <c r="L74" s="440">
        <v>0</v>
      </c>
      <c r="M74" s="336">
        <v>1</v>
      </c>
      <c r="N74" s="337">
        <f t="shared" si="40"/>
        <v>1.0722009304576894</v>
      </c>
      <c r="O74" s="440" t="s">
        <v>995</v>
      </c>
      <c r="P74" s="440">
        <v>0</v>
      </c>
      <c r="Q74" s="336">
        <v>1</v>
      </c>
      <c r="R74" s="337">
        <f t="shared" si="42"/>
        <v>1.0722009304576894</v>
      </c>
      <c r="S74" s="440" t="s">
        <v>995</v>
      </c>
      <c r="T74" s="440">
        <v>0</v>
      </c>
      <c r="U74" s="336">
        <v>1</v>
      </c>
      <c r="V74" s="337">
        <f t="shared" si="44"/>
        <v>1.0722009304576894</v>
      </c>
      <c r="W74" s="440" t="s">
        <v>995</v>
      </c>
      <c r="X74" s="440">
        <v>0</v>
      </c>
      <c r="Y74" s="336">
        <v>1</v>
      </c>
      <c r="Z74" s="337">
        <f t="shared" si="46"/>
        <v>1.0722009304576894</v>
      </c>
      <c r="AA74" s="437" t="s">
        <v>995</v>
      </c>
      <c r="AB74" s="440">
        <f>$AJ$79*$J$138</f>
        <v>3.9493758668515944</v>
      </c>
      <c r="AC74" s="336">
        <v>1</v>
      </c>
      <c r="AD74" s="337">
        <f t="shared" si="48"/>
        <v>1.0722009304576894</v>
      </c>
      <c r="AE74" s="440" t="s">
        <v>995</v>
      </c>
      <c r="AF74" s="440">
        <f t="shared" si="66"/>
        <v>4.7367334387629523</v>
      </c>
      <c r="AG74" s="336">
        <v>1</v>
      </c>
      <c r="AH74" s="337">
        <f t="shared" si="50"/>
        <v>1.0722009304576894</v>
      </c>
      <c r="AI74" s="440" t="s">
        <v>995</v>
      </c>
      <c r="AJ74" s="440">
        <v>0</v>
      </c>
      <c r="AK74" s="336">
        <v>1</v>
      </c>
      <c r="AL74" s="337">
        <f t="shared" si="52"/>
        <v>1.0722009304576894</v>
      </c>
      <c r="AM74" s="455" t="str">
        <f t="shared" si="53"/>
        <v>(2,1,1,2,1,1); Industry data (French tender)</v>
      </c>
      <c r="AN74" s="440">
        <v>0</v>
      </c>
      <c r="AO74" s="336">
        <v>1</v>
      </c>
      <c r="AP74" s="337">
        <f t="shared" si="54"/>
        <v>1.0722009304576894</v>
      </c>
      <c r="AQ74" s="437" t="s">
        <v>995</v>
      </c>
      <c r="AR74" s="440">
        <v>0</v>
      </c>
      <c r="AS74" s="336">
        <v>1</v>
      </c>
      <c r="AT74" s="337">
        <f t="shared" si="56"/>
        <v>1.05</v>
      </c>
      <c r="AU74" s="455" t="str">
        <f t="shared" si="57"/>
        <v xml:space="preserve">(na,na,na,na,na,na); </v>
      </c>
      <c r="AV74" s="440">
        <v>0</v>
      </c>
      <c r="AW74" s="336">
        <v>1</v>
      </c>
      <c r="AX74" s="337">
        <f t="shared" si="58"/>
        <v>1.05</v>
      </c>
      <c r="AY74" s="437" t="str">
        <f t="shared" si="59"/>
        <v xml:space="preserve">(na,na,na,na,na,na); </v>
      </c>
      <c r="AZ74" s="338"/>
      <c r="BA74" s="440">
        <v>0</v>
      </c>
      <c r="BB74" s="440"/>
      <c r="BC74" s="216" t="s">
        <v>462</v>
      </c>
      <c r="BD74" s="83">
        <v>2</v>
      </c>
      <c r="BE74" s="83">
        <v>1</v>
      </c>
      <c r="BF74" s="83">
        <v>1</v>
      </c>
      <c r="BG74" s="83">
        <v>2</v>
      </c>
      <c r="BH74" s="83">
        <v>1</v>
      </c>
      <c r="BI74" s="83">
        <v>1</v>
      </c>
      <c r="BJ74" s="104">
        <v>3</v>
      </c>
      <c r="BK74" s="104">
        <v>1.05</v>
      </c>
      <c r="BL74" s="107">
        <f t="shared" si="60"/>
        <v>1.0510550504206344</v>
      </c>
      <c r="BM74" s="107">
        <f t="shared" si="61"/>
        <v>1.0722009304576894</v>
      </c>
      <c r="BN74" s="107" t="str">
        <f t="shared" si="62"/>
        <v>(2,1,1,2,1,1)</v>
      </c>
      <c r="BO74" s="108">
        <v>1.05</v>
      </c>
      <c r="BP74" s="108">
        <v>1</v>
      </c>
      <c r="BQ74" s="108">
        <v>1</v>
      </c>
      <c r="BR74" s="108">
        <v>1.01</v>
      </c>
      <c r="BS74" s="108">
        <v>1</v>
      </c>
      <c r="BT74" s="108">
        <v>1</v>
      </c>
      <c r="BV74" s="160"/>
      <c r="BW74" s="83" t="s">
        <v>106</v>
      </c>
      <c r="BX74" s="83" t="s">
        <v>106</v>
      </c>
      <c r="BY74" s="83" t="s">
        <v>106</v>
      </c>
      <c r="BZ74" s="83" t="s">
        <v>106</v>
      </c>
      <c r="CA74" s="83" t="s">
        <v>106</v>
      </c>
      <c r="CB74" s="83" t="s">
        <v>106</v>
      </c>
      <c r="CC74" s="104">
        <v>3</v>
      </c>
      <c r="CD74" s="104">
        <v>1.05</v>
      </c>
      <c r="CE74" s="107">
        <f t="shared" si="63"/>
        <v>1</v>
      </c>
      <c r="CF74" s="107">
        <f t="shared" si="64"/>
        <v>1.05</v>
      </c>
      <c r="CG74" s="107" t="str">
        <f t="shared" si="65"/>
        <v>(na,na,na,na,na,na)</v>
      </c>
      <c r="CH74" s="108">
        <v>1</v>
      </c>
      <c r="CI74" s="108">
        <v>1</v>
      </c>
      <c r="CJ74" s="108">
        <v>1</v>
      </c>
      <c r="CK74" s="108">
        <v>1</v>
      </c>
      <c r="CL74" s="108">
        <v>1</v>
      </c>
      <c r="CM74" s="108">
        <v>1</v>
      </c>
    </row>
    <row r="75" spans="1:91" s="171" customFormat="1" hidden="1" outlineLevel="1">
      <c r="A75" s="333" t="s">
        <v>645</v>
      </c>
      <c r="B75" s="216"/>
      <c r="C75" s="334"/>
      <c r="D75" s="342">
        <v>5</v>
      </c>
      <c r="E75" s="343" t="s">
        <v>98</v>
      </c>
      <c r="F75" s="437" t="s">
        <v>646</v>
      </c>
      <c r="G75" s="438" t="s">
        <v>647</v>
      </c>
      <c r="H75" s="439" t="s">
        <v>98</v>
      </c>
      <c r="I75" s="439" t="s">
        <v>98</v>
      </c>
      <c r="J75" s="335">
        <v>0</v>
      </c>
      <c r="K75" s="438" t="s">
        <v>109</v>
      </c>
      <c r="L75" s="440">
        <v>0</v>
      </c>
      <c r="M75" s="336">
        <v>1</v>
      </c>
      <c r="N75" s="337">
        <f t="shared" si="40"/>
        <v>1.0722009304576894</v>
      </c>
      <c r="O75" s="440" t="s">
        <v>995</v>
      </c>
      <c r="P75" s="440">
        <v>0</v>
      </c>
      <c r="Q75" s="336">
        <v>1</v>
      </c>
      <c r="R75" s="337">
        <f t="shared" si="42"/>
        <v>1.0722009304576894</v>
      </c>
      <c r="S75" s="440" t="s">
        <v>995</v>
      </c>
      <c r="T75" s="440">
        <v>0</v>
      </c>
      <c r="U75" s="336">
        <v>1</v>
      </c>
      <c r="V75" s="337">
        <f t="shared" si="44"/>
        <v>1.0722009304576894</v>
      </c>
      <c r="W75" s="440" t="s">
        <v>995</v>
      </c>
      <c r="X75" s="440">
        <v>0</v>
      </c>
      <c r="Y75" s="336">
        <v>1</v>
      </c>
      <c r="Z75" s="337">
        <f t="shared" si="46"/>
        <v>1.0722009304576894</v>
      </c>
      <c r="AA75" s="437" t="s">
        <v>995</v>
      </c>
      <c r="AB75" s="440">
        <f>$AJ$79*$J$139</f>
        <v>4.1468446601941737</v>
      </c>
      <c r="AC75" s="336">
        <v>1</v>
      </c>
      <c r="AD75" s="337">
        <f t="shared" si="48"/>
        <v>1.0722009304576894</v>
      </c>
      <c r="AE75" s="440" t="s">
        <v>995</v>
      </c>
      <c r="AF75" s="440">
        <f t="shared" si="66"/>
        <v>4.9735701107010994</v>
      </c>
      <c r="AG75" s="336">
        <v>1</v>
      </c>
      <c r="AH75" s="337">
        <f t="shared" si="50"/>
        <v>1.0722009304576894</v>
      </c>
      <c r="AI75" s="440" t="s">
        <v>995</v>
      </c>
      <c r="AJ75" s="440">
        <v>0</v>
      </c>
      <c r="AK75" s="336">
        <v>1</v>
      </c>
      <c r="AL75" s="337">
        <f t="shared" si="52"/>
        <v>1.0722009304576894</v>
      </c>
      <c r="AM75" s="455" t="str">
        <f t="shared" si="53"/>
        <v>(2,1,1,2,1,1); Industry data (French tender)</v>
      </c>
      <c r="AN75" s="440">
        <v>0</v>
      </c>
      <c r="AO75" s="336">
        <v>1</v>
      </c>
      <c r="AP75" s="337">
        <f t="shared" si="54"/>
        <v>1.0722009304576894</v>
      </c>
      <c r="AQ75" s="437" t="s">
        <v>995</v>
      </c>
      <c r="AR75" s="440">
        <v>0</v>
      </c>
      <c r="AS75" s="336">
        <v>1</v>
      </c>
      <c r="AT75" s="337">
        <f t="shared" si="56"/>
        <v>1.05</v>
      </c>
      <c r="AU75" s="455" t="str">
        <f t="shared" si="57"/>
        <v xml:space="preserve">(na,na,na,na,na,na); </v>
      </c>
      <c r="AV75" s="440">
        <v>0</v>
      </c>
      <c r="AW75" s="336">
        <v>1</v>
      </c>
      <c r="AX75" s="337">
        <f t="shared" si="58"/>
        <v>1.05</v>
      </c>
      <c r="AY75" s="437" t="str">
        <f t="shared" si="59"/>
        <v xml:space="preserve">(na,na,na,na,na,na); </v>
      </c>
      <c r="AZ75" s="338"/>
      <c r="BA75" s="440">
        <v>0</v>
      </c>
      <c r="BB75" s="440"/>
      <c r="BC75" s="216" t="s">
        <v>462</v>
      </c>
      <c r="BD75" s="83">
        <v>2</v>
      </c>
      <c r="BE75" s="83">
        <v>1</v>
      </c>
      <c r="BF75" s="83">
        <v>1</v>
      </c>
      <c r="BG75" s="83">
        <v>2</v>
      </c>
      <c r="BH75" s="83">
        <v>1</v>
      </c>
      <c r="BI75" s="83">
        <v>1</v>
      </c>
      <c r="BJ75" s="104">
        <v>2</v>
      </c>
      <c r="BK75" s="104">
        <v>1.05</v>
      </c>
      <c r="BL75" s="107">
        <f t="shared" si="60"/>
        <v>1.0510550504206344</v>
      </c>
      <c r="BM75" s="107">
        <f t="shared" si="61"/>
        <v>1.0722009304576894</v>
      </c>
      <c r="BN75" s="107" t="str">
        <f t="shared" si="62"/>
        <v>(2,1,1,2,1,1)</v>
      </c>
      <c r="BO75" s="108">
        <v>1.05</v>
      </c>
      <c r="BP75" s="108">
        <v>1</v>
      </c>
      <c r="BQ75" s="108">
        <v>1</v>
      </c>
      <c r="BR75" s="108">
        <v>1.01</v>
      </c>
      <c r="BS75" s="108">
        <v>1</v>
      </c>
      <c r="BT75" s="108">
        <v>1</v>
      </c>
      <c r="BV75" s="160"/>
      <c r="BW75" s="83" t="s">
        <v>106</v>
      </c>
      <c r="BX75" s="83" t="s">
        <v>106</v>
      </c>
      <c r="BY75" s="83" t="s">
        <v>106</v>
      </c>
      <c r="BZ75" s="83" t="s">
        <v>106</v>
      </c>
      <c r="CA75" s="83" t="s">
        <v>106</v>
      </c>
      <c r="CB75" s="83" t="s">
        <v>106</v>
      </c>
      <c r="CC75" s="104">
        <v>2</v>
      </c>
      <c r="CD75" s="104">
        <v>1.05</v>
      </c>
      <c r="CE75" s="107">
        <f t="shared" si="63"/>
        <v>1</v>
      </c>
      <c r="CF75" s="107">
        <f t="shared" si="64"/>
        <v>1.05</v>
      </c>
      <c r="CG75" s="107" t="str">
        <f t="shared" si="65"/>
        <v>(na,na,na,na,na,na)</v>
      </c>
      <c r="CH75" s="108">
        <v>1</v>
      </c>
      <c r="CI75" s="108">
        <v>1</v>
      </c>
      <c r="CJ75" s="108">
        <v>1</v>
      </c>
      <c r="CK75" s="108">
        <v>1</v>
      </c>
      <c r="CL75" s="108">
        <v>1</v>
      </c>
      <c r="CM75" s="108">
        <v>1</v>
      </c>
    </row>
    <row r="76" spans="1:91" s="171" customFormat="1" hidden="1" outlineLevel="1">
      <c r="A76" s="333">
        <v>267119</v>
      </c>
      <c r="B76" s="216"/>
      <c r="C76" s="334"/>
      <c r="D76" s="342">
        <v>5</v>
      </c>
      <c r="E76" s="343" t="s">
        <v>98</v>
      </c>
      <c r="F76" s="437" t="s">
        <v>614</v>
      </c>
      <c r="G76" s="438" t="s">
        <v>485</v>
      </c>
      <c r="H76" s="439" t="s">
        <v>98</v>
      </c>
      <c r="I76" s="439" t="s">
        <v>98</v>
      </c>
      <c r="J76" s="335">
        <v>0</v>
      </c>
      <c r="K76" s="438" t="s">
        <v>109</v>
      </c>
      <c r="L76" s="440">
        <v>0</v>
      </c>
      <c r="M76" s="336">
        <v>1</v>
      </c>
      <c r="N76" s="337">
        <f t="shared" si="40"/>
        <v>1.0722009304576894</v>
      </c>
      <c r="O76" s="440" t="s">
        <v>995</v>
      </c>
      <c r="P76" s="440">
        <v>0</v>
      </c>
      <c r="Q76" s="336">
        <v>1</v>
      </c>
      <c r="R76" s="337">
        <f t="shared" si="42"/>
        <v>1.0722009304576894</v>
      </c>
      <c r="S76" s="440" t="s">
        <v>995</v>
      </c>
      <c r="T76" s="440">
        <v>0</v>
      </c>
      <c r="U76" s="336">
        <v>1</v>
      </c>
      <c r="V76" s="337">
        <f t="shared" si="44"/>
        <v>1.0722009304576894</v>
      </c>
      <c r="W76" s="440" t="s">
        <v>995</v>
      </c>
      <c r="X76" s="440">
        <v>0</v>
      </c>
      <c r="Y76" s="336">
        <v>1</v>
      </c>
      <c r="Z76" s="337">
        <f t="shared" si="46"/>
        <v>1.0722009304576894</v>
      </c>
      <c r="AA76" s="437" t="s">
        <v>995</v>
      </c>
      <c r="AB76" s="440">
        <f>$AJ$79*$J$140</f>
        <v>1.1848127600554781</v>
      </c>
      <c r="AC76" s="336">
        <v>1</v>
      </c>
      <c r="AD76" s="337">
        <f t="shared" si="48"/>
        <v>1.0722009304576894</v>
      </c>
      <c r="AE76" s="440" t="s">
        <v>995</v>
      </c>
      <c r="AF76" s="440">
        <f t="shared" si="66"/>
        <v>1.4210200316288855</v>
      </c>
      <c r="AG76" s="336">
        <v>1</v>
      </c>
      <c r="AH76" s="337">
        <f t="shared" si="50"/>
        <v>1.0722009304576894</v>
      </c>
      <c r="AI76" s="440" t="s">
        <v>995</v>
      </c>
      <c r="AJ76" s="440">
        <v>0</v>
      </c>
      <c r="AK76" s="336">
        <v>1</v>
      </c>
      <c r="AL76" s="337">
        <f t="shared" si="52"/>
        <v>1.0722009304576894</v>
      </c>
      <c r="AM76" s="455" t="str">
        <f t="shared" si="53"/>
        <v>(2,1,1,2,1,1); Industry data (French tender)</v>
      </c>
      <c r="AN76" s="440">
        <v>0</v>
      </c>
      <c r="AO76" s="336">
        <v>1</v>
      </c>
      <c r="AP76" s="337">
        <f t="shared" si="54"/>
        <v>1.0722009304576894</v>
      </c>
      <c r="AQ76" s="437" t="s">
        <v>995</v>
      </c>
      <c r="AR76" s="440">
        <v>0</v>
      </c>
      <c r="AS76" s="336">
        <v>1</v>
      </c>
      <c r="AT76" s="337">
        <f t="shared" si="56"/>
        <v>1.05</v>
      </c>
      <c r="AU76" s="455" t="str">
        <f t="shared" si="57"/>
        <v xml:space="preserve">(na,na,na,na,na,na); </v>
      </c>
      <c r="AV76" s="440">
        <v>0</v>
      </c>
      <c r="AW76" s="336">
        <v>1</v>
      </c>
      <c r="AX76" s="337">
        <f t="shared" si="58"/>
        <v>1.05</v>
      </c>
      <c r="AY76" s="437" t="str">
        <f t="shared" si="59"/>
        <v xml:space="preserve">(na,na,na,na,na,na); </v>
      </c>
      <c r="AZ76" s="338"/>
      <c r="BA76" s="440">
        <v>0</v>
      </c>
      <c r="BB76" s="440"/>
      <c r="BC76" s="216" t="s">
        <v>462</v>
      </c>
      <c r="BD76" s="83">
        <v>2</v>
      </c>
      <c r="BE76" s="83">
        <v>1</v>
      </c>
      <c r="BF76" s="83">
        <v>1</v>
      </c>
      <c r="BG76" s="83">
        <v>2</v>
      </c>
      <c r="BH76" s="83">
        <v>1</v>
      </c>
      <c r="BI76" s="83">
        <v>1</v>
      </c>
      <c r="BJ76" s="104">
        <v>3</v>
      </c>
      <c r="BK76" s="104">
        <v>1.05</v>
      </c>
      <c r="BL76" s="107">
        <f t="shared" si="60"/>
        <v>1.0510550504206344</v>
      </c>
      <c r="BM76" s="107">
        <f t="shared" si="61"/>
        <v>1.0722009304576894</v>
      </c>
      <c r="BN76" s="107" t="str">
        <f t="shared" si="62"/>
        <v>(2,1,1,2,1,1)</v>
      </c>
      <c r="BO76" s="108">
        <v>1.05</v>
      </c>
      <c r="BP76" s="108">
        <v>1</v>
      </c>
      <c r="BQ76" s="108">
        <v>1</v>
      </c>
      <c r="BR76" s="108">
        <v>1.01</v>
      </c>
      <c r="BS76" s="108">
        <v>1</v>
      </c>
      <c r="BT76" s="108">
        <v>1</v>
      </c>
      <c r="BV76" s="160"/>
      <c r="BW76" s="83" t="s">
        <v>106</v>
      </c>
      <c r="BX76" s="83" t="s">
        <v>106</v>
      </c>
      <c r="BY76" s="83" t="s">
        <v>106</v>
      </c>
      <c r="BZ76" s="83" t="s">
        <v>106</v>
      </c>
      <c r="CA76" s="83" t="s">
        <v>106</v>
      </c>
      <c r="CB76" s="83" t="s">
        <v>106</v>
      </c>
      <c r="CC76" s="104">
        <v>3</v>
      </c>
      <c r="CD76" s="104">
        <v>1.05</v>
      </c>
      <c r="CE76" s="107">
        <f t="shared" si="63"/>
        <v>1</v>
      </c>
      <c r="CF76" s="107">
        <f t="shared" si="64"/>
        <v>1.05</v>
      </c>
      <c r="CG76" s="107" t="str">
        <f t="shared" si="65"/>
        <v>(na,na,na,na,na,na)</v>
      </c>
      <c r="CH76" s="108">
        <v>1</v>
      </c>
      <c r="CI76" s="108">
        <v>1</v>
      </c>
      <c r="CJ76" s="108">
        <v>1</v>
      </c>
      <c r="CK76" s="108">
        <v>1</v>
      </c>
      <c r="CL76" s="108">
        <v>1</v>
      </c>
      <c r="CM76" s="108">
        <v>1</v>
      </c>
    </row>
    <row r="77" spans="1:91" s="171" customFormat="1" hidden="1" outlineLevel="1">
      <c r="A77" s="333">
        <v>265999</v>
      </c>
      <c r="B77" s="216"/>
      <c r="C77" s="334"/>
      <c r="D77" s="342">
        <v>5</v>
      </c>
      <c r="E77" s="343" t="s">
        <v>98</v>
      </c>
      <c r="F77" s="437" t="s">
        <v>997</v>
      </c>
      <c r="G77" s="438" t="s">
        <v>998</v>
      </c>
      <c r="H77" s="439" t="s">
        <v>98</v>
      </c>
      <c r="I77" s="439" t="s">
        <v>98</v>
      </c>
      <c r="J77" s="335">
        <v>0</v>
      </c>
      <c r="K77" s="438" t="s">
        <v>109</v>
      </c>
      <c r="L77" s="440">
        <v>0</v>
      </c>
      <c r="M77" s="336">
        <v>1</v>
      </c>
      <c r="N77" s="337">
        <f t="shared" si="40"/>
        <v>1.0722009304576894</v>
      </c>
      <c r="O77" s="440" t="s">
        <v>995</v>
      </c>
      <c r="P77" s="440">
        <v>0</v>
      </c>
      <c r="Q77" s="336">
        <v>1</v>
      </c>
      <c r="R77" s="337">
        <f t="shared" si="42"/>
        <v>1.0722009304576894</v>
      </c>
      <c r="S77" s="440" t="s">
        <v>995</v>
      </c>
      <c r="T77" s="440">
        <v>0</v>
      </c>
      <c r="U77" s="336">
        <v>1</v>
      </c>
      <c r="V77" s="337">
        <f t="shared" si="44"/>
        <v>1.0722009304576894</v>
      </c>
      <c r="W77" s="440" t="s">
        <v>995</v>
      </c>
      <c r="X77" s="440">
        <v>0</v>
      </c>
      <c r="Y77" s="336">
        <v>1</v>
      </c>
      <c r="Z77" s="337">
        <f t="shared" si="46"/>
        <v>1.0722009304576894</v>
      </c>
      <c r="AA77" s="437" t="s">
        <v>995</v>
      </c>
      <c r="AB77" s="440">
        <f>$AJ$79*$J$141</f>
        <v>0.98734396671289859</v>
      </c>
      <c r="AC77" s="336">
        <v>1</v>
      </c>
      <c r="AD77" s="337">
        <f t="shared" si="48"/>
        <v>1.0722009304576894</v>
      </c>
      <c r="AE77" s="440" t="s">
        <v>995</v>
      </c>
      <c r="AF77" s="440">
        <f t="shared" si="66"/>
        <v>1.1841833596907381</v>
      </c>
      <c r="AG77" s="336">
        <v>1</v>
      </c>
      <c r="AH77" s="337">
        <f t="shared" si="50"/>
        <v>1.0722009304576894</v>
      </c>
      <c r="AI77" s="440" t="s">
        <v>995</v>
      </c>
      <c r="AJ77" s="440">
        <v>0</v>
      </c>
      <c r="AK77" s="336">
        <v>1</v>
      </c>
      <c r="AL77" s="337">
        <f t="shared" si="52"/>
        <v>1.0722009304576894</v>
      </c>
      <c r="AM77" s="455" t="str">
        <f t="shared" si="53"/>
        <v>(2,1,1,2,1,1); Industry data (French tender)</v>
      </c>
      <c r="AN77" s="440">
        <v>0</v>
      </c>
      <c r="AO77" s="336">
        <v>1</v>
      </c>
      <c r="AP77" s="337">
        <f t="shared" si="54"/>
        <v>1.0722009304576894</v>
      </c>
      <c r="AQ77" s="437" t="s">
        <v>995</v>
      </c>
      <c r="AR77" s="440">
        <v>0</v>
      </c>
      <c r="AS77" s="336">
        <v>1</v>
      </c>
      <c r="AT77" s="337">
        <f t="shared" si="56"/>
        <v>1.05</v>
      </c>
      <c r="AU77" s="455" t="str">
        <f t="shared" si="57"/>
        <v xml:space="preserve">(na,na,na,na,na,na); </v>
      </c>
      <c r="AV77" s="440">
        <v>0</v>
      </c>
      <c r="AW77" s="336">
        <v>1</v>
      </c>
      <c r="AX77" s="337">
        <f t="shared" si="58"/>
        <v>1.05</v>
      </c>
      <c r="AY77" s="437" t="str">
        <f t="shared" si="59"/>
        <v xml:space="preserve">(na,na,na,na,na,na); </v>
      </c>
      <c r="AZ77" s="338"/>
      <c r="BA77" s="440">
        <v>0</v>
      </c>
      <c r="BB77" s="440"/>
      <c r="BC77" s="216" t="s">
        <v>462</v>
      </c>
      <c r="BD77" s="83">
        <v>2</v>
      </c>
      <c r="BE77" s="83">
        <v>1</v>
      </c>
      <c r="BF77" s="83">
        <v>1</v>
      </c>
      <c r="BG77" s="83">
        <v>2</v>
      </c>
      <c r="BH77" s="83">
        <v>1</v>
      </c>
      <c r="BI77" s="83">
        <v>1</v>
      </c>
      <c r="BJ77" s="104">
        <v>3</v>
      </c>
      <c r="BK77" s="104">
        <v>1.05</v>
      </c>
      <c r="BL77" s="107">
        <f t="shared" si="60"/>
        <v>1.0510550504206344</v>
      </c>
      <c r="BM77" s="107">
        <f t="shared" si="61"/>
        <v>1.0722009304576894</v>
      </c>
      <c r="BN77" s="107" t="str">
        <f t="shared" si="62"/>
        <v>(2,1,1,2,1,1)</v>
      </c>
      <c r="BO77" s="108">
        <v>1.05</v>
      </c>
      <c r="BP77" s="108">
        <v>1</v>
      </c>
      <c r="BQ77" s="108">
        <v>1</v>
      </c>
      <c r="BR77" s="108">
        <v>1.01</v>
      </c>
      <c r="BS77" s="108">
        <v>1</v>
      </c>
      <c r="BT77" s="108">
        <v>1</v>
      </c>
      <c r="BV77" s="160"/>
      <c r="BW77" s="83" t="s">
        <v>106</v>
      </c>
      <c r="BX77" s="83" t="s">
        <v>106</v>
      </c>
      <c r="BY77" s="83" t="s">
        <v>106</v>
      </c>
      <c r="BZ77" s="83" t="s">
        <v>106</v>
      </c>
      <c r="CA77" s="83" t="s">
        <v>106</v>
      </c>
      <c r="CB77" s="83" t="s">
        <v>106</v>
      </c>
      <c r="CC77" s="104">
        <v>3</v>
      </c>
      <c r="CD77" s="104">
        <v>1.05</v>
      </c>
      <c r="CE77" s="107">
        <f t="shared" si="63"/>
        <v>1</v>
      </c>
      <c r="CF77" s="107">
        <f t="shared" si="64"/>
        <v>1.05</v>
      </c>
      <c r="CG77" s="107" t="str">
        <f t="shared" si="65"/>
        <v>(na,na,na,na,na,na)</v>
      </c>
      <c r="CH77" s="108">
        <v>1</v>
      </c>
      <c r="CI77" s="108">
        <v>1</v>
      </c>
      <c r="CJ77" s="108">
        <v>1</v>
      </c>
      <c r="CK77" s="108">
        <v>1</v>
      </c>
      <c r="CL77" s="108">
        <v>1</v>
      </c>
      <c r="CM77" s="108">
        <v>1</v>
      </c>
    </row>
    <row r="78" spans="1:91" s="171" customFormat="1" hidden="1" outlineLevel="1">
      <c r="A78" s="333">
        <v>257738</v>
      </c>
      <c r="B78" s="216"/>
      <c r="C78" s="334"/>
      <c r="D78" s="342">
        <v>5</v>
      </c>
      <c r="E78" s="343" t="s">
        <v>98</v>
      </c>
      <c r="F78" s="437" t="s">
        <v>999</v>
      </c>
      <c r="G78" s="438" t="s">
        <v>992</v>
      </c>
      <c r="H78" s="439" t="s">
        <v>98</v>
      </c>
      <c r="I78" s="439" t="s">
        <v>98</v>
      </c>
      <c r="J78" s="335">
        <v>0</v>
      </c>
      <c r="K78" s="438" t="s">
        <v>109</v>
      </c>
      <c r="L78" s="440">
        <v>0</v>
      </c>
      <c r="M78" s="336">
        <v>1</v>
      </c>
      <c r="N78" s="337">
        <f t="shared" si="40"/>
        <v>1.0722009304576894</v>
      </c>
      <c r="O78" s="440" t="s">
        <v>995</v>
      </c>
      <c r="P78" s="440">
        <v>0</v>
      </c>
      <c r="Q78" s="336">
        <v>1</v>
      </c>
      <c r="R78" s="337">
        <f t="shared" si="42"/>
        <v>1.0722009304576894</v>
      </c>
      <c r="S78" s="440" t="s">
        <v>995</v>
      </c>
      <c r="T78" s="440">
        <v>0</v>
      </c>
      <c r="U78" s="336">
        <v>1</v>
      </c>
      <c r="V78" s="337">
        <f t="shared" si="44"/>
        <v>1.0722009304576894</v>
      </c>
      <c r="W78" s="440" t="s">
        <v>995</v>
      </c>
      <c r="X78" s="440">
        <v>0</v>
      </c>
      <c r="Y78" s="336">
        <v>1</v>
      </c>
      <c r="Z78" s="337">
        <f t="shared" si="46"/>
        <v>1.0722009304576894</v>
      </c>
      <c r="AA78" s="437" t="s">
        <v>995</v>
      </c>
      <c r="AB78" s="440">
        <f>$AJ$79*$J$142</f>
        <v>1.3822815533980579</v>
      </c>
      <c r="AC78" s="336">
        <v>1</v>
      </c>
      <c r="AD78" s="337">
        <f t="shared" si="48"/>
        <v>1.0722009304576894</v>
      </c>
      <c r="AE78" s="440" t="s">
        <v>995</v>
      </c>
      <c r="AF78" s="440">
        <f t="shared" si="66"/>
        <v>1.6578567035670331</v>
      </c>
      <c r="AG78" s="336">
        <v>1</v>
      </c>
      <c r="AH78" s="337">
        <f t="shared" si="50"/>
        <v>1.0722009304576894</v>
      </c>
      <c r="AI78" s="440" t="s">
        <v>995</v>
      </c>
      <c r="AJ78" s="440">
        <v>0</v>
      </c>
      <c r="AK78" s="336">
        <v>1</v>
      </c>
      <c r="AL78" s="337">
        <f t="shared" si="52"/>
        <v>1.0722009304576894</v>
      </c>
      <c r="AM78" s="455" t="str">
        <f t="shared" si="53"/>
        <v>(2,1,1,2,1,1); Industry data (French tender)</v>
      </c>
      <c r="AN78" s="440">
        <v>0</v>
      </c>
      <c r="AO78" s="336">
        <v>1</v>
      </c>
      <c r="AP78" s="337">
        <f t="shared" si="54"/>
        <v>1.0722009304576894</v>
      </c>
      <c r="AQ78" s="437" t="s">
        <v>995</v>
      </c>
      <c r="AR78" s="440">
        <v>0</v>
      </c>
      <c r="AS78" s="336">
        <v>1</v>
      </c>
      <c r="AT78" s="337">
        <f t="shared" si="56"/>
        <v>1.05</v>
      </c>
      <c r="AU78" s="455" t="str">
        <f t="shared" si="57"/>
        <v xml:space="preserve">(na,na,na,na,na,na); </v>
      </c>
      <c r="AV78" s="440">
        <v>0</v>
      </c>
      <c r="AW78" s="336">
        <v>1</v>
      </c>
      <c r="AX78" s="337">
        <f t="shared" si="58"/>
        <v>1.05</v>
      </c>
      <c r="AY78" s="437" t="str">
        <f t="shared" si="59"/>
        <v xml:space="preserve">(na,na,na,na,na,na); </v>
      </c>
      <c r="AZ78" s="338"/>
      <c r="BA78" s="440">
        <v>0</v>
      </c>
      <c r="BB78" s="440"/>
      <c r="BC78" s="216" t="s">
        <v>462</v>
      </c>
      <c r="BD78" s="83">
        <v>2</v>
      </c>
      <c r="BE78" s="83">
        <v>1</v>
      </c>
      <c r="BF78" s="83">
        <v>1</v>
      </c>
      <c r="BG78" s="83">
        <v>2</v>
      </c>
      <c r="BH78" s="83">
        <v>1</v>
      </c>
      <c r="BI78" s="83">
        <v>1</v>
      </c>
      <c r="BJ78" s="104">
        <v>3</v>
      </c>
      <c r="BK78" s="104">
        <v>1.05</v>
      </c>
      <c r="BL78" s="107">
        <f t="shared" si="60"/>
        <v>1.0510550504206344</v>
      </c>
      <c r="BM78" s="107">
        <f t="shared" si="61"/>
        <v>1.0722009304576894</v>
      </c>
      <c r="BN78" s="107" t="str">
        <f t="shared" si="62"/>
        <v>(2,1,1,2,1,1)</v>
      </c>
      <c r="BO78" s="108">
        <v>1.05</v>
      </c>
      <c r="BP78" s="108">
        <v>1</v>
      </c>
      <c r="BQ78" s="108">
        <v>1</v>
      </c>
      <c r="BR78" s="108">
        <v>1.01</v>
      </c>
      <c r="BS78" s="108">
        <v>1</v>
      </c>
      <c r="BT78" s="108">
        <v>1</v>
      </c>
      <c r="BV78" s="160"/>
      <c r="BW78" s="83" t="s">
        <v>106</v>
      </c>
      <c r="BX78" s="83" t="s">
        <v>106</v>
      </c>
      <c r="BY78" s="83" t="s">
        <v>106</v>
      </c>
      <c r="BZ78" s="83" t="s">
        <v>106</v>
      </c>
      <c r="CA78" s="83" t="s">
        <v>106</v>
      </c>
      <c r="CB78" s="83" t="s">
        <v>106</v>
      </c>
      <c r="CC78" s="104">
        <v>3</v>
      </c>
      <c r="CD78" s="104">
        <v>1.05</v>
      </c>
      <c r="CE78" s="107">
        <f t="shared" si="63"/>
        <v>1</v>
      </c>
      <c r="CF78" s="107">
        <f t="shared" si="64"/>
        <v>1.05</v>
      </c>
      <c r="CG78" s="107" t="str">
        <f t="shared" si="65"/>
        <v>(na,na,na,na,na,na)</v>
      </c>
      <c r="CH78" s="108">
        <v>1</v>
      </c>
      <c r="CI78" s="108">
        <v>1</v>
      </c>
      <c r="CJ78" s="108">
        <v>1</v>
      </c>
      <c r="CK78" s="108">
        <v>1</v>
      </c>
      <c r="CL78" s="108">
        <v>1</v>
      </c>
      <c r="CM78" s="108">
        <v>1</v>
      </c>
    </row>
    <row r="79" spans="1:91" s="171" customFormat="1" ht="24" hidden="1" outlineLevel="1">
      <c r="A79" s="333">
        <v>269603</v>
      </c>
      <c r="B79" s="216"/>
      <c r="C79" s="334"/>
      <c r="D79" s="342">
        <v>5</v>
      </c>
      <c r="E79" s="343" t="s">
        <v>98</v>
      </c>
      <c r="F79" s="437" t="s">
        <v>222</v>
      </c>
      <c r="G79" s="438" t="s">
        <v>223</v>
      </c>
      <c r="H79" s="439" t="s">
        <v>98</v>
      </c>
      <c r="I79" s="439" t="s">
        <v>98</v>
      </c>
      <c r="J79" s="335">
        <v>0</v>
      </c>
      <c r="K79" s="438" t="s">
        <v>109</v>
      </c>
      <c r="L79" s="440">
        <v>0</v>
      </c>
      <c r="M79" s="336">
        <v>1</v>
      </c>
      <c r="N79" s="337">
        <f t="shared" si="40"/>
        <v>1.0722009304576894</v>
      </c>
      <c r="O79" s="440" t="s">
        <v>995</v>
      </c>
      <c r="P79" s="440">
        <v>0</v>
      </c>
      <c r="Q79" s="336">
        <v>1</v>
      </c>
      <c r="R79" s="337">
        <f t="shared" si="42"/>
        <v>1.0722009304576894</v>
      </c>
      <c r="S79" s="440" t="s">
        <v>995</v>
      </c>
      <c r="T79" s="440">
        <v>0</v>
      </c>
      <c r="U79" s="336">
        <v>1</v>
      </c>
      <c r="V79" s="337">
        <f t="shared" si="44"/>
        <v>1.0722009304576894</v>
      </c>
      <c r="W79" s="440" t="s">
        <v>995</v>
      </c>
      <c r="X79" s="440">
        <v>0</v>
      </c>
      <c r="Y79" s="336">
        <v>1</v>
      </c>
      <c r="Z79" s="337">
        <f t="shared" si="46"/>
        <v>1.0722009304576894</v>
      </c>
      <c r="AA79" s="437" t="s">
        <v>995</v>
      </c>
      <c r="AB79" s="440">
        <v>0</v>
      </c>
      <c r="AC79" s="336">
        <v>1</v>
      </c>
      <c r="AD79" s="337">
        <f t="shared" si="48"/>
        <v>1.0722009304576894</v>
      </c>
      <c r="AE79" s="440" t="s">
        <v>995</v>
      </c>
      <c r="AF79" s="440">
        <v>0</v>
      </c>
      <c r="AG79" s="336">
        <v>1</v>
      </c>
      <c r="AH79" s="337">
        <f t="shared" si="50"/>
        <v>1.0722009304576894</v>
      </c>
      <c r="AI79" s="440" t="s">
        <v>995</v>
      </c>
      <c r="AJ79" s="440">
        <f>BA79</f>
        <v>16.587378640776699</v>
      </c>
      <c r="AK79" s="336">
        <v>1</v>
      </c>
      <c r="AL79" s="337">
        <f t="shared" si="52"/>
        <v>1.0722009304576894</v>
      </c>
      <c r="AM79" s="455" t="str">
        <f t="shared" si="53"/>
        <v>(2,1,1,2,1,1); Industry data (French tender)</v>
      </c>
      <c r="AN79" s="440">
        <v>19.894280442804401</v>
      </c>
      <c r="AO79" s="336">
        <v>1</v>
      </c>
      <c r="AP79" s="337">
        <f t="shared" si="54"/>
        <v>1.0722009304576894</v>
      </c>
      <c r="AQ79" s="437" t="s">
        <v>995</v>
      </c>
      <c r="AR79" s="440">
        <v>0</v>
      </c>
      <c r="AS79" s="336">
        <v>1</v>
      </c>
      <c r="AT79" s="337">
        <f t="shared" si="56"/>
        <v>1.05</v>
      </c>
      <c r="AU79" s="455" t="str">
        <f t="shared" si="57"/>
        <v xml:space="preserve">(na,na,na,na,na,na); </v>
      </c>
      <c r="AV79" s="440">
        <v>0</v>
      </c>
      <c r="AW79" s="336">
        <v>1</v>
      </c>
      <c r="AX79" s="337">
        <f t="shared" si="58"/>
        <v>1.05</v>
      </c>
      <c r="AY79" s="437" t="str">
        <f t="shared" si="59"/>
        <v xml:space="preserve">(na,na,na,na,na,na); </v>
      </c>
      <c r="AZ79" s="338"/>
      <c r="BA79" s="440">
        <v>16.587378640776699</v>
      </c>
      <c r="BB79" s="440"/>
      <c r="BC79" s="216" t="s">
        <v>462</v>
      </c>
      <c r="BD79" s="83">
        <v>2</v>
      </c>
      <c r="BE79" s="83">
        <v>1</v>
      </c>
      <c r="BF79" s="83">
        <v>1</v>
      </c>
      <c r="BG79" s="83">
        <v>2</v>
      </c>
      <c r="BH79" s="83">
        <v>1</v>
      </c>
      <c r="BI79" s="83">
        <v>1</v>
      </c>
      <c r="BJ79" s="104">
        <v>2</v>
      </c>
      <c r="BK79" s="104">
        <v>1.05</v>
      </c>
      <c r="BL79" s="107">
        <f t="shared" si="60"/>
        <v>1.0510550504206344</v>
      </c>
      <c r="BM79" s="107">
        <f t="shared" si="61"/>
        <v>1.0722009304576894</v>
      </c>
      <c r="BN79" s="107" t="str">
        <f t="shared" si="62"/>
        <v>(2,1,1,2,1,1)</v>
      </c>
      <c r="BO79" s="108">
        <v>1.05</v>
      </c>
      <c r="BP79" s="108">
        <v>1</v>
      </c>
      <c r="BQ79" s="108">
        <v>1</v>
      </c>
      <c r="BR79" s="108">
        <v>1.01</v>
      </c>
      <c r="BS79" s="108">
        <v>1</v>
      </c>
      <c r="BT79" s="108">
        <v>1</v>
      </c>
      <c r="BV79" s="160"/>
      <c r="BW79" s="83" t="s">
        <v>106</v>
      </c>
      <c r="BX79" s="83" t="s">
        <v>106</v>
      </c>
      <c r="BY79" s="83" t="s">
        <v>106</v>
      </c>
      <c r="BZ79" s="83" t="s">
        <v>106</v>
      </c>
      <c r="CA79" s="83" t="s">
        <v>106</v>
      </c>
      <c r="CB79" s="83" t="s">
        <v>106</v>
      </c>
      <c r="CC79" s="104">
        <v>2</v>
      </c>
      <c r="CD79" s="104">
        <v>1.05</v>
      </c>
      <c r="CE79" s="107">
        <f t="shared" si="63"/>
        <v>1</v>
      </c>
      <c r="CF79" s="107">
        <f t="shared" si="64"/>
        <v>1.05</v>
      </c>
      <c r="CG79" s="107" t="str">
        <f t="shared" si="65"/>
        <v>(na,na,na,na,na,na)</v>
      </c>
      <c r="CH79" s="108">
        <v>1</v>
      </c>
      <c r="CI79" s="108">
        <v>1</v>
      </c>
      <c r="CJ79" s="108">
        <v>1</v>
      </c>
      <c r="CK79" s="108">
        <v>1</v>
      </c>
      <c r="CL79" s="108">
        <v>1</v>
      </c>
      <c r="CM79" s="108">
        <v>1</v>
      </c>
    </row>
    <row r="80" spans="1:91" s="171" customFormat="1" collapsed="1">
      <c r="A80" s="333">
        <v>79235</v>
      </c>
      <c r="B80" s="216"/>
      <c r="C80" s="334"/>
      <c r="D80" s="342">
        <v>5</v>
      </c>
      <c r="E80" s="343" t="s">
        <v>98</v>
      </c>
      <c r="F80" s="437" t="s">
        <v>688</v>
      </c>
      <c r="G80" s="438" t="s">
        <v>340</v>
      </c>
      <c r="H80" s="439" t="s">
        <v>98</v>
      </c>
      <c r="I80" s="439" t="s">
        <v>98</v>
      </c>
      <c r="J80" s="335">
        <v>0</v>
      </c>
      <c r="K80" s="438" t="s">
        <v>109</v>
      </c>
      <c r="L80" s="440">
        <v>0</v>
      </c>
      <c r="M80" s="336">
        <v>1</v>
      </c>
      <c r="N80" s="337">
        <f t="shared" si="40"/>
        <v>1.05</v>
      </c>
      <c r="O80" s="455" t="str">
        <f t="shared" ref="O80:O117" si="67">$BN80&amp;"; "&amp;$BC80</f>
        <v xml:space="preserve">(na,na,na,na,na,na); </v>
      </c>
      <c r="P80" s="440">
        <v>0</v>
      </c>
      <c r="Q80" s="336">
        <v>1</v>
      </c>
      <c r="R80" s="337">
        <f t="shared" si="42"/>
        <v>1.05</v>
      </c>
      <c r="S80" s="455" t="str">
        <f t="shared" ref="S80:S117" si="68">$BN80&amp;"; "&amp;$BC80</f>
        <v xml:space="preserve">(na,na,na,na,na,na); </v>
      </c>
      <c r="T80" s="440">
        <v>0</v>
      </c>
      <c r="U80" s="336">
        <v>1</v>
      </c>
      <c r="V80" s="337">
        <f t="shared" si="44"/>
        <v>1.05</v>
      </c>
      <c r="W80" s="437" t="str">
        <f t="shared" ref="W80:W117" si="69">$BN80&amp;"; "&amp;$BC80</f>
        <v xml:space="preserve">(na,na,na,na,na,na); </v>
      </c>
      <c r="X80" s="440">
        <v>0</v>
      </c>
      <c r="Y80" s="336">
        <v>1</v>
      </c>
      <c r="Z80" s="337">
        <f t="shared" si="46"/>
        <v>1.05</v>
      </c>
      <c r="AA80" s="437" t="str">
        <f t="shared" ref="AA80:AA117" si="70">$BN80&amp;"; "&amp;$BC80</f>
        <v xml:space="preserve">(na,na,na,na,na,na); </v>
      </c>
      <c r="AB80" s="440">
        <v>0</v>
      </c>
      <c r="AC80" s="336">
        <v>1</v>
      </c>
      <c r="AD80" s="337">
        <f t="shared" si="48"/>
        <v>1.05</v>
      </c>
      <c r="AE80" s="455" t="str">
        <f t="shared" ref="AE80:AE117" si="71">$BN80&amp;"; "&amp;$BC80</f>
        <v xml:space="preserve">(na,na,na,na,na,na); </v>
      </c>
      <c r="AF80" s="440">
        <v>0</v>
      </c>
      <c r="AG80" s="336">
        <v>1</v>
      </c>
      <c r="AH80" s="337">
        <f t="shared" si="50"/>
        <v>1.05</v>
      </c>
      <c r="AI80" s="455" t="str">
        <f t="shared" ref="AI80:AI117" si="72">$BN80&amp;"; "&amp;$BC80</f>
        <v xml:space="preserve">(na,na,na,na,na,na); </v>
      </c>
      <c r="AJ80" s="440">
        <v>0</v>
      </c>
      <c r="AK80" s="336">
        <v>1</v>
      </c>
      <c r="AL80" s="337">
        <f t="shared" si="52"/>
        <v>1.05</v>
      </c>
      <c r="AM80" s="455" t="str">
        <f t="shared" si="53"/>
        <v xml:space="preserve">(na,na,na,na,na,na); </v>
      </c>
      <c r="AN80" s="440">
        <v>0</v>
      </c>
      <c r="AO80" s="336">
        <v>1</v>
      </c>
      <c r="AP80" s="337">
        <f t="shared" si="54"/>
        <v>1.05</v>
      </c>
      <c r="AQ80" s="437" t="str">
        <f t="shared" ref="AQ80:AQ117" si="73">$BN80&amp;"; "&amp;$BC80</f>
        <v xml:space="preserve">(na,na,na,na,na,na); </v>
      </c>
      <c r="AR80" s="440">
        <f>11+0.0125286266065081</f>
        <v>11.012528626606509</v>
      </c>
      <c r="AS80" s="336">
        <v>1</v>
      </c>
      <c r="AT80" s="337">
        <f t="shared" si="56"/>
        <v>1.2434566510799234</v>
      </c>
      <c r="AU80" s="455" t="str">
        <f t="shared" si="57"/>
        <v>(2,4,1,3,1,5); Brailovsky (2026) GP 05 / GP 06b</v>
      </c>
      <c r="AV80" s="440">
        <v>0</v>
      </c>
      <c r="AW80" s="336">
        <v>1</v>
      </c>
      <c r="AX80" s="337">
        <f t="shared" si="58"/>
        <v>1.2434566510799234</v>
      </c>
      <c r="AY80" s="437" t="str">
        <f t="shared" si="59"/>
        <v>(2,4,1,3,1,5); Brailovsky (2026) GP 05 / GP 06b</v>
      </c>
      <c r="AZ80" s="338"/>
      <c r="BA80" s="440"/>
      <c r="BB80" s="440"/>
      <c r="BC80" s="216"/>
      <c r="BD80" s="83" t="s">
        <v>106</v>
      </c>
      <c r="BE80" s="83" t="s">
        <v>106</v>
      </c>
      <c r="BF80" s="83" t="s">
        <v>106</v>
      </c>
      <c r="BG80" s="83" t="s">
        <v>106</v>
      </c>
      <c r="BH80" s="83" t="s">
        <v>106</v>
      </c>
      <c r="BI80" s="83" t="s">
        <v>106</v>
      </c>
      <c r="BJ80" s="104">
        <v>3</v>
      </c>
      <c r="BK80" s="104">
        <v>1.05</v>
      </c>
      <c r="BL80" s="107">
        <f t="shared" si="60"/>
        <v>1</v>
      </c>
      <c r="BM80" s="107">
        <f t="shared" si="61"/>
        <v>1.05</v>
      </c>
      <c r="BN80" s="107" t="str">
        <f t="shared" si="62"/>
        <v>(na,na,na,na,na,na)</v>
      </c>
      <c r="BO80" s="108">
        <v>1</v>
      </c>
      <c r="BP80" s="108">
        <v>1</v>
      </c>
      <c r="BQ80" s="108">
        <v>1</v>
      </c>
      <c r="BR80" s="108">
        <v>1</v>
      </c>
      <c r="BS80" s="108">
        <v>1</v>
      </c>
      <c r="BT80" s="108">
        <v>1</v>
      </c>
      <c r="BV80" s="160" t="s">
        <v>1000</v>
      </c>
      <c r="BW80" s="83">
        <v>2</v>
      </c>
      <c r="BX80" s="83">
        <v>4</v>
      </c>
      <c r="BY80" s="83">
        <v>1</v>
      </c>
      <c r="BZ80" s="83">
        <v>3</v>
      </c>
      <c r="CA80" s="83">
        <v>1</v>
      </c>
      <c r="CB80" s="83">
        <v>5</v>
      </c>
      <c r="CC80" s="104">
        <v>3</v>
      </c>
      <c r="CD80" s="104">
        <v>1.05</v>
      </c>
      <c r="CE80" s="107">
        <f t="shared" si="63"/>
        <v>1.2365959919080913</v>
      </c>
      <c r="CF80" s="107">
        <f t="shared" si="64"/>
        <v>1.2434566510799234</v>
      </c>
      <c r="CG80" s="107" t="str">
        <f t="shared" si="65"/>
        <v>(2,4,1,3,1,5)</v>
      </c>
      <c r="CH80" s="108">
        <v>1.05</v>
      </c>
      <c r="CI80" s="108">
        <v>1.1000000000000001</v>
      </c>
      <c r="CJ80" s="108">
        <v>1</v>
      </c>
      <c r="CK80" s="108">
        <v>1.02</v>
      </c>
      <c r="CL80" s="108">
        <v>1</v>
      </c>
      <c r="CM80" s="108">
        <v>1.2</v>
      </c>
    </row>
    <row r="81" spans="1:91" s="171" customFormat="1" ht="24">
      <c r="A81" s="333">
        <v>254021</v>
      </c>
      <c r="B81" s="216"/>
      <c r="C81" s="334"/>
      <c r="D81" s="342">
        <v>5</v>
      </c>
      <c r="E81" s="343" t="s">
        <v>98</v>
      </c>
      <c r="F81" s="437" t="s">
        <v>1001</v>
      </c>
      <c r="G81" s="438" t="s">
        <v>103</v>
      </c>
      <c r="H81" s="439" t="s">
        <v>98</v>
      </c>
      <c r="I81" s="439" t="s">
        <v>98</v>
      </c>
      <c r="J81" s="335">
        <v>0</v>
      </c>
      <c r="K81" s="438" t="s">
        <v>104</v>
      </c>
      <c r="L81" s="440">
        <f t="shared" ref="L81:L86" si="74">AJ81</f>
        <v>0</v>
      </c>
      <c r="M81" s="336">
        <v>1</v>
      </c>
      <c r="N81" s="337">
        <f t="shared" ref="N81:N117" si="75">$BM81</f>
        <v>1.2237593405947058</v>
      </c>
      <c r="O81" s="455" t="str">
        <f t="shared" si="67"/>
        <v xml:space="preserve">(2,2,4,1,1,3); </v>
      </c>
      <c r="P81" s="440">
        <f>AZ81</f>
        <v>0</v>
      </c>
      <c r="Q81" s="336">
        <v>1</v>
      </c>
      <c r="R81" s="337">
        <f t="shared" ref="R81:R117" si="76">$BM81</f>
        <v>1.2237593405947058</v>
      </c>
      <c r="S81" s="455" t="str">
        <f t="shared" si="68"/>
        <v xml:space="preserve">(2,2,4,1,1,3); </v>
      </c>
      <c r="T81" s="440">
        <f t="shared" ref="T81:T86" si="77">L81</f>
        <v>0</v>
      </c>
      <c r="U81" s="336">
        <v>1</v>
      </c>
      <c r="V81" s="337">
        <f t="shared" ref="V81:V117" si="78">$BM81</f>
        <v>1.2237593405947058</v>
      </c>
      <c r="W81" s="437" t="str">
        <f t="shared" si="69"/>
        <v xml:space="preserve">(2,2,4,1,1,3); </v>
      </c>
      <c r="X81" s="440">
        <v>0</v>
      </c>
      <c r="Y81" s="336">
        <v>1</v>
      </c>
      <c r="Z81" s="337">
        <f t="shared" ref="Z81:Z117" si="79">$BM81</f>
        <v>1.2237593405947058</v>
      </c>
      <c r="AA81" s="437" t="str">
        <f t="shared" si="70"/>
        <v xml:space="preserve">(2,2,4,1,1,3); </v>
      </c>
      <c r="AB81" s="440">
        <f t="shared" ref="AB81:AB86" si="80">L81</f>
        <v>0</v>
      </c>
      <c r="AC81" s="336">
        <v>1</v>
      </c>
      <c r="AD81" s="337">
        <f t="shared" ref="AD81:AD117" si="81">$BM81</f>
        <v>1.2237593405947058</v>
      </c>
      <c r="AE81" s="455" t="str">
        <f t="shared" si="71"/>
        <v xml:space="preserve">(2,2,4,1,1,3); </v>
      </c>
      <c r="AF81" s="440">
        <v>0</v>
      </c>
      <c r="AG81" s="336">
        <v>1</v>
      </c>
      <c r="AH81" s="337">
        <f t="shared" ref="AH81:AH117" si="82">$BM81</f>
        <v>1.2237593405947058</v>
      </c>
      <c r="AI81" s="455" t="str">
        <f t="shared" si="72"/>
        <v xml:space="preserve">(2,2,4,1,1,3); </v>
      </c>
      <c r="AJ81" s="440">
        <f>BA81</f>
        <v>0</v>
      </c>
      <c r="AK81" s="336">
        <v>1</v>
      </c>
      <c r="AL81" s="337">
        <f t="shared" ref="AL81:AL117" si="83">$BM81</f>
        <v>1.2237593405947058</v>
      </c>
      <c r="AM81" s="455" t="str">
        <f t="shared" ref="AM81:AM117" si="84">$BN81&amp;"; "&amp;$BC81</f>
        <v xml:space="preserve">(2,2,4,1,1,3); </v>
      </c>
      <c r="AN81" s="440">
        <v>0</v>
      </c>
      <c r="AO81" s="336">
        <v>1</v>
      </c>
      <c r="AP81" s="337">
        <f t="shared" ref="AP81:AP117" si="85">$BM81</f>
        <v>1.2237593405947058</v>
      </c>
      <c r="AQ81" s="437" t="str">
        <f t="shared" si="73"/>
        <v xml:space="preserve">(2,2,4,1,1,3); </v>
      </c>
      <c r="AR81" s="440">
        <v>2.5099999999999998</v>
      </c>
      <c r="AS81" s="336">
        <v>1</v>
      </c>
      <c r="AT81" s="337">
        <f t="shared" ref="AT81:AT117" si="86">$CF81</f>
        <v>1.2434566510799234</v>
      </c>
      <c r="AU81" s="455" t="str">
        <f t="shared" ref="AU81:AU117" si="87">$CG81&amp;"; "&amp;$BV81</f>
        <v>(2,4,1,3,1,5); Brailovsky (2026) GP 05</v>
      </c>
      <c r="AV81" s="440">
        <v>2.5099999999999998</v>
      </c>
      <c r="AW81" s="336">
        <v>1</v>
      </c>
      <c r="AX81" s="337">
        <f t="shared" ref="AX81:AX117" si="88">$CF81</f>
        <v>1.2434566510799234</v>
      </c>
      <c r="AY81" s="437" t="str">
        <f t="shared" ref="AY81:AY117" si="89">$CG81&amp;"; "&amp;$BV81</f>
        <v>(2,4,1,3,1,5); Brailovsky (2026) GP 05</v>
      </c>
      <c r="AZ81" s="338"/>
      <c r="BA81" s="440">
        <v>0</v>
      </c>
      <c r="BB81" s="440"/>
      <c r="BC81" s="216"/>
      <c r="BD81" s="83">
        <v>2</v>
      </c>
      <c r="BE81" s="83">
        <v>2</v>
      </c>
      <c r="BF81" s="83">
        <v>4</v>
      </c>
      <c r="BG81" s="83">
        <v>1</v>
      </c>
      <c r="BH81" s="83">
        <v>1</v>
      </c>
      <c r="BI81" s="83">
        <v>3</v>
      </c>
      <c r="BJ81" s="104">
        <v>1</v>
      </c>
      <c r="BK81" s="104">
        <v>1.05</v>
      </c>
      <c r="BL81" s="107">
        <f t="shared" ref="BL81:BL117" si="90">EXP(SQRT((LN(BO81)^2)+(LN(BP81)^2)+(LN(BQ81)^2)+(LN(BR81)^2)+(LN(BS81)^2)+(LN(BT81)^2)))</f>
        <v>1.2164594125584303</v>
      </c>
      <c r="BM81" s="107">
        <f t="shared" ref="BM81:BM117" si="91">EXP(SQRT((LN(BO81)^2)+(LN(BP81)^2)+(LN(BQ81)^2)+(LN(BR81)^2)+(LN(BS81)^2)+(LN(BT81)^2)+LN(BK81)^2))</f>
        <v>1.2237593405947058</v>
      </c>
      <c r="BN81" s="107" t="str">
        <f t="shared" ref="BN81:BN117" si="92">CONCATENATE("(",BD81,",",BE81,",",BF81,",",BG81,",",BH81,",",BI81,")")</f>
        <v>(2,2,4,1,1,3)</v>
      </c>
      <c r="BO81" s="108">
        <v>1.05</v>
      </c>
      <c r="BP81" s="108">
        <v>1.02</v>
      </c>
      <c r="BQ81" s="108">
        <v>1.2</v>
      </c>
      <c r="BR81" s="108">
        <v>1</v>
      </c>
      <c r="BS81" s="108">
        <v>1</v>
      </c>
      <c r="BT81" s="108">
        <v>1.05</v>
      </c>
      <c r="BV81" s="160" t="s">
        <v>954</v>
      </c>
      <c r="BW81" s="83">
        <v>2</v>
      </c>
      <c r="BX81" s="83">
        <v>4</v>
      </c>
      <c r="BY81" s="83">
        <v>1</v>
      </c>
      <c r="BZ81" s="83">
        <v>3</v>
      </c>
      <c r="CA81" s="83">
        <v>1</v>
      </c>
      <c r="CB81" s="83">
        <v>5</v>
      </c>
      <c r="CC81" s="104">
        <v>1</v>
      </c>
      <c r="CD81" s="104">
        <v>1.05</v>
      </c>
      <c r="CE81" s="107">
        <f t="shared" ref="CE81:CE117" si="93">EXP(SQRT((LN(CH81)^2)+(LN(CI81)^2)+(LN(CJ81)^2)+(LN(CK81)^2)+(LN(CL81)^2)+(LN(CM81)^2)))</f>
        <v>1.2365959919080913</v>
      </c>
      <c r="CF81" s="107">
        <f t="shared" ref="CF81:CF117" si="94">EXP(SQRT((LN(CH81)^2)+(LN(CI81)^2)+(LN(CJ81)^2)+(LN(CK81)^2)+(LN(CL81)^2)+(LN(CM81)^2)+LN(CD81)^2))</f>
        <v>1.2434566510799234</v>
      </c>
      <c r="CG81" s="107" t="str">
        <f t="shared" ref="CG81:CG117" si="95">CONCATENATE("(",BW81,",",BX81,",",BY81,",",BZ81,",",CA81,",",CB81,")")</f>
        <v>(2,4,1,3,1,5)</v>
      </c>
      <c r="CH81" s="108">
        <v>1.05</v>
      </c>
      <c r="CI81" s="108">
        <v>1.1000000000000001</v>
      </c>
      <c r="CJ81" s="108">
        <v>1</v>
      </c>
      <c r="CK81" s="108">
        <v>1.02</v>
      </c>
      <c r="CL81" s="108">
        <v>1</v>
      </c>
      <c r="CM81" s="108">
        <v>1.2</v>
      </c>
    </row>
    <row r="82" spans="1:91" s="171" customFormat="1">
      <c r="A82" s="333">
        <v>264499</v>
      </c>
      <c r="B82" s="216" t="s">
        <v>592</v>
      </c>
      <c r="C82" s="334"/>
      <c r="D82" s="342">
        <v>5</v>
      </c>
      <c r="E82" s="343" t="s">
        <v>98</v>
      </c>
      <c r="F82" s="437" t="s">
        <v>510</v>
      </c>
      <c r="G82" s="438" t="s">
        <v>93</v>
      </c>
      <c r="H82" s="439" t="s">
        <v>98</v>
      </c>
      <c r="I82" s="439" t="s">
        <v>98</v>
      </c>
      <c r="J82" s="335">
        <v>1</v>
      </c>
      <c r="K82" s="438" t="s">
        <v>96</v>
      </c>
      <c r="L82" s="440">
        <f t="shared" si="74"/>
        <v>0</v>
      </c>
      <c r="M82" s="336">
        <v>1</v>
      </c>
      <c r="N82" s="337">
        <f t="shared" si="75"/>
        <v>3.0524650216521243</v>
      </c>
      <c r="O82" s="455" t="str">
        <f t="shared" si="67"/>
        <v xml:space="preserve">(2,2,4,1,1,3); </v>
      </c>
      <c r="P82" s="440">
        <f>AZ82</f>
        <v>0</v>
      </c>
      <c r="Q82" s="336">
        <v>1</v>
      </c>
      <c r="R82" s="337">
        <f t="shared" si="76"/>
        <v>3.0524650216521243</v>
      </c>
      <c r="S82" s="455" t="str">
        <f t="shared" si="68"/>
        <v xml:space="preserve">(2,2,4,1,1,3); </v>
      </c>
      <c r="T82" s="440">
        <f t="shared" si="77"/>
        <v>0</v>
      </c>
      <c r="U82" s="336">
        <v>1</v>
      </c>
      <c r="V82" s="337">
        <f t="shared" si="78"/>
        <v>3.0524650216521243</v>
      </c>
      <c r="W82" s="437" t="str">
        <f t="shared" si="69"/>
        <v xml:space="preserve">(2,2,4,1,1,3); </v>
      </c>
      <c r="X82" s="440">
        <v>0</v>
      </c>
      <c r="Y82" s="336">
        <v>1</v>
      </c>
      <c r="Z82" s="337">
        <f t="shared" si="79"/>
        <v>3.0524650216521243</v>
      </c>
      <c r="AA82" s="437" t="str">
        <f t="shared" si="70"/>
        <v xml:space="preserve">(2,2,4,1,1,3); </v>
      </c>
      <c r="AB82" s="440">
        <f t="shared" si="80"/>
        <v>0</v>
      </c>
      <c r="AC82" s="336">
        <v>1</v>
      </c>
      <c r="AD82" s="337">
        <f t="shared" si="81"/>
        <v>3.0524650216521243</v>
      </c>
      <c r="AE82" s="455" t="str">
        <f t="shared" si="71"/>
        <v xml:space="preserve">(2,2,4,1,1,3); </v>
      </c>
      <c r="AF82" s="440">
        <v>0</v>
      </c>
      <c r="AG82" s="336">
        <v>1</v>
      </c>
      <c r="AH82" s="337">
        <f t="shared" si="82"/>
        <v>3.0524650216521243</v>
      </c>
      <c r="AI82" s="455" t="str">
        <f t="shared" si="72"/>
        <v xml:space="preserve">(2,2,4,1,1,3); </v>
      </c>
      <c r="AJ82" s="440">
        <f>BA82</f>
        <v>0</v>
      </c>
      <c r="AK82" s="336">
        <v>1</v>
      </c>
      <c r="AL82" s="337">
        <f t="shared" si="83"/>
        <v>3.0524650216521243</v>
      </c>
      <c r="AM82" s="455" t="str">
        <f t="shared" si="84"/>
        <v xml:space="preserve">(2,2,4,1,1,3); </v>
      </c>
      <c r="AN82" s="440">
        <v>0</v>
      </c>
      <c r="AO82" s="336">
        <v>1</v>
      </c>
      <c r="AP82" s="337">
        <f t="shared" si="85"/>
        <v>3.0524650216521243</v>
      </c>
      <c r="AQ82" s="437" t="str">
        <f t="shared" si="73"/>
        <v xml:space="preserve">(2,2,4,1,1,3); </v>
      </c>
      <c r="AR82" s="440">
        <v>8.2900000000000005E-3</v>
      </c>
      <c r="AS82" s="336">
        <v>1</v>
      </c>
      <c r="AT82" s="337">
        <f t="shared" si="86"/>
        <v>3.0616345979734279</v>
      </c>
      <c r="AU82" s="455" t="str">
        <f t="shared" si="87"/>
        <v>(2,4,1,3,1,5); Brailovsky (2026) GP 06b</v>
      </c>
      <c r="AV82" s="440">
        <v>8.2900000000000005E-3</v>
      </c>
      <c r="AW82" s="336">
        <v>1</v>
      </c>
      <c r="AX82" s="337">
        <f t="shared" si="88"/>
        <v>3.0616345979734279</v>
      </c>
      <c r="AY82" s="437" t="str">
        <f t="shared" si="89"/>
        <v>(2,4,1,3,1,5); Brailovsky (2026) GP 06b</v>
      </c>
      <c r="AZ82" s="338"/>
      <c r="BA82" s="440">
        <v>0</v>
      </c>
      <c r="BB82" s="440"/>
      <c r="BC82" s="216"/>
      <c r="BD82" s="83">
        <v>2</v>
      </c>
      <c r="BE82" s="83">
        <v>2</v>
      </c>
      <c r="BF82" s="83">
        <v>4</v>
      </c>
      <c r="BG82" s="83">
        <v>1</v>
      </c>
      <c r="BH82" s="83">
        <v>1</v>
      </c>
      <c r="BI82" s="83">
        <v>3</v>
      </c>
      <c r="BJ82" s="104">
        <v>9</v>
      </c>
      <c r="BK82" s="104">
        <v>3</v>
      </c>
      <c r="BL82" s="107">
        <f t="shared" si="90"/>
        <v>1.2164594125584303</v>
      </c>
      <c r="BM82" s="107">
        <f t="shared" si="91"/>
        <v>3.0524650216521243</v>
      </c>
      <c r="BN82" s="107" t="str">
        <f t="shared" si="92"/>
        <v>(2,2,4,1,1,3)</v>
      </c>
      <c r="BO82" s="108">
        <v>1.05</v>
      </c>
      <c r="BP82" s="108">
        <v>1.02</v>
      </c>
      <c r="BQ82" s="108">
        <v>1.2</v>
      </c>
      <c r="BR82" s="108">
        <v>1</v>
      </c>
      <c r="BS82" s="108">
        <v>1</v>
      </c>
      <c r="BT82" s="108">
        <v>1.05</v>
      </c>
      <c r="BV82" s="160" t="s">
        <v>978</v>
      </c>
      <c r="BW82" s="83">
        <v>2</v>
      </c>
      <c r="BX82" s="83">
        <v>4</v>
      </c>
      <c r="BY82" s="83">
        <v>1</v>
      </c>
      <c r="BZ82" s="83">
        <v>3</v>
      </c>
      <c r="CA82" s="83">
        <v>1</v>
      </c>
      <c r="CB82" s="83">
        <v>5</v>
      </c>
      <c r="CC82" s="104">
        <v>9</v>
      </c>
      <c r="CD82" s="104">
        <v>3</v>
      </c>
      <c r="CE82" s="107">
        <f t="shared" si="93"/>
        <v>1.2365959919080913</v>
      </c>
      <c r="CF82" s="107">
        <f t="shared" si="94"/>
        <v>3.0616345979734279</v>
      </c>
      <c r="CG82" s="107" t="str">
        <f t="shared" si="95"/>
        <v>(2,4,1,3,1,5)</v>
      </c>
      <c r="CH82" s="108">
        <v>1.05</v>
      </c>
      <c r="CI82" s="108">
        <v>1.1000000000000001</v>
      </c>
      <c r="CJ82" s="108">
        <v>1</v>
      </c>
      <c r="CK82" s="108">
        <v>1.02</v>
      </c>
      <c r="CL82" s="108">
        <v>1</v>
      </c>
      <c r="CM82" s="108">
        <v>1.2</v>
      </c>
    </row>
    <row r="83" spans="1:91" s="171" customFormat="1" ht="24" collapsed="1">
      <c r="A83" s="333" t="s">
        <v>774</v>
      </c>
      <c r="B83" s="216"/>
      <c r="C83" s="334"/>
      <c r="D83" s="342">
        <v>5</v>
      </c>
      <c r="E83" s="343" t="s">
        <v>98</v>
      </c>
      <c r="F83" s="437" t="s">
        <v>775</v>
      </c>
      <c r="G83" s="438" t="s">
        <v>340</v>
      </c>
      <c r="H83" s="439" t="s">
        <v>98</v>
      </c>
      <c r="I83" s="439" t="s">
        <v>98</v>
      </c>
      <c r="J83" s="335">
        <v>1</v>
      </c>
      <c r="K83" s="438" t="s">
        <v>144</v>
      </c>
      <c r="L83" s="440">
        <f t="shared" si="74"/>
        <v>1.5739762024669351E-9</v>
      </c>
      <c r="M83" s="336">
        <v>1</v>
      </c>
      <c r="N83" s="337">
        <f t="shared" si="75"/>
        <v>3.0033855645008969</v>
      </c>
      <c r="O83" s="455" t="str">
        <f t="shared" si="67"/>
        <v>(2,1,1,2,1,1); Industry data (French tender) converted to ancillary building modelled by Brailovsky (2026); contains metal working machine</v>
      </c>
      <c r="P83" s="440">
        <f>P126</f>
        <v>7.0798105403841568E-10</v>
      </c>
      <c r="Q83" s="336">
        <v>1</v>
      </c>
      <c r="R83" s="337">
        <f t="shared" si="76"/>
        <v>3.0033855645008969</v>
      </c>
      <c r="S83" s="455" t="str">
        <f t="shared" si="68"/>
        <v>(2,1,1,2,1,1); Industry data (French tender) converted to ancillary building modelled by Brailovsky (2026); contains metal working machine</v>
      </c>
      <c r="T83" s="440">
        <f t="shared" si="77"/>
        <v>1.5739762024669351E-9</v>
      </c>
      <c r="U83" s="336">
        <v>1</v>
      </c>
      <c r="V83" s="337">
        <f t="shared" si="78"/>
        <v>3.0033855645008969</v>
      </c>
      <c r="W83" s="437" t="str">
        <f t="shared" si="69"/>
        <v>(2,1,1,2,1,1); Industry data (French tender) converted to ancillary building modelled by Brailovsky (2026); contains metal working machine</v>
      </c>
      <c r="X83" s="440">
        <f>P83</f>
        <v>7.0798105403841568E-10</v>
      </c>
      <c r="Y83" s="336">
        <v>1</v>
      </c>
      <c r="Z83" s="337">
        <f t="shared" si="79"/>
        <v>3.0033855645008969</v>
      </c>
      <c r="AA83" s="437" t="str">
        <f t="shared" si="70"/>
        <v>(2,1,1,2,1,1); Industry data (French tender) converted to ancillary building modelled by Brailovsky (2026); contains metal working machine</v>
      </c>
      <c r="AB83" s="440">
        <f t="shared" si="80"/>
        <v>1.5739762024669351E-9</v>
      </c>
      <c r="AC83" s="336">
        <v>1</v>
      </c>
      <c r="AD83" s="337">
        <f t="shared" si="81"/>
        <v>3.0033855645008969</v>
      </c>
      <c r="AE83" s="455" t="str">
        <f t="shared" si="71"/>
        <v>(2,1,1,2,1,1); Industry data (French tender) converted to ancillary building modelled by Brailovsky (2026); contains metal working machine</v>
      </c>
      <c r="AF83" s="440">
        <f>X83</f>
        <v>7.0798105403841568E-10</v>
      </c>
      <c r="AG83" s="336">
        <v>1</v>
      </c>
      <c r="AH83" s="337">
        <f t="shared" si="82"/>
        <v>3.0033855645008969</v>
      </c>
      <c r="AI83" s="455" t="str">
        <f t="shared" si="72"/>
        <v>(2,1,1,2,1,1); Industry data (French tender) converted to ancillary building modelled by Brailovsky (2026); contains metal working machine</v>
      </c>
      <c r="AJ83" s="440">
        <f>BA83</f>
        <v>1.5739762024669351E-9</v>
      </c>
      <c r="AK83" s="336">
        <v>1</v>
      </c>
      <c r="AL83" s="337">
        <f t="shared" si="83"/>
        <v>3.0033855645008969</v>
      </c>
      <c r="AM83" s="455" t="str">
        <f t="shared" si="84"/>
        <v>(2,1,1,2,1,1); Industry data (French tender) converted to ancillary building modelled by Brailovsky (2026); contains metal working machine</v>
      </c>
      <c r="AN83" s="440">
        <f>AF83</f>
        <v>7.0798105403841568E-10</v>
      </c>
      <c r="AO83" s="336">
        <v>1</v>
      </c>
      <c r="AP83" s="337">
        <f t="shared" si="85"/>
        <v>3.0033855645008969</v>
      </c>
      <c r="AQ83" s="437" t="str">
        <f t="shared" si="73"/>
        <v>(2,1,1,2,1,1); Industry data (French tender) converted to ancillary building modelled by Brailovsky (2026); contains metal working machine</v>
      </c>
      <c r="AR83" s="440">
        <v>3.5193780757780702E-10</v>
      </c>
      <c r="AS83" s="336">
        <v>1</v>
      </c>
      <c r="AT83" s="337">
        <f t="shared" si="86"/>
        <v>3.0616345979734279</v>
      </c>
      <c r="AU83" s="455" t="str">
        <f t="shared" si="87"/>
        <v>(2,4,1,3,1,5); Brailovsky (2026) GP 05</v>
      </c>
      <c r="AV83" s="440">
        <v>3.5193780757780702E-10</v>
      </c>
      <c r="AW83" s="336">
        <v>1</v>
      </c>
      <c r="AX83" s="337">
        <f t="shared" si="88"/>
        <v>3.0616345979734279</v>
      </c>
      <c r="AY83" s="437" t="str">
        <f t="shared" si="89"/>
        <v>(2,4,1,3,1,5); Brailovsky (2026) GP 05</v>
      </c>
      <c r="AZ83" s="338"/>
      <c r="BA83" s="440">
        <f>L126</f>
        <v>1.5739762024669351E-9</v>
      </c>
      <c r="BB83" s="440"/>
      <c r="BC83" s="216" t="s">
        <v>866</v>
      </c>
      <c r="BD83" s="83">
        <v>2</v>
      </c>
      <c r="BE83" s="83">
        <v>1</v>
      </c>
      <c r="BF83" s="83">
        <v>1</v>
      </c>
      <c r="BG83" s="83">
        <v>2</v>
      </c>
      <c r="BH83" s="83">
        <v>1</v>
      </c>
      <c r="BI83" s="83">
        <v>1</v>
      </c>
      <c r="BJ83" s="104">
        <v>9</v>
      </c>
      <c r="BK83" s="104">
        <v>3</v>
      </c>
      <c r="BL83" s="107">
        <f t="shared" si="90"/>
        <v>1.0510550504206344</v>
      </c>
      <c r="BM83" s="107">
        <f t="shared" si="91"/>
        <v>3.0033855645008969</v>
      </c>
      <c r="BN83" s="107" t="str">
        <f t="shared" si="92"/>
        <v>(2,1,1,2,1,1)</v>
      </c>
      <c r="BO83" s="108">
        <v>1.05</v>
      </c>
      <c r="BP83" s="108">
        <v>1</v>
      </c>
      <c r="BQ83" s="108">
        <v>1</v>
      </c>
      <c r="BR83" s="108">
        <v>1.01</v>
      </c>
      <c r="BS83" s="108">
        <v>1</v>
      </c>
      <c r="BT83" s="108">
        <v>1</v>
      </c>
      <c r="BV83" s="160" t="s">
        <v>954</v>
      </c>
      <c r="BW83" s="83">
        <v>2</v>
      </c>
      <c r="BX83" s="83">
        <v>4</v>
      </c>
      <c r="BY83" s="83">
        <v>1</v>
      </c>
      <c r="BZ83" s="83">
        <v>3</v>
      </c>
      <c r="CA83" s="83">
        <v>1</v>
      </c>
      <c r="CB83" s="83">
        <v>5</v>
      </c>
      <c r="CC83" s="104">
        <v>9</v>
      </c>
      <c r="CD83" s="104">
        <v>3</v>
      </c>
      <c r="CE83" s="107">
        <f t="shared" si="93"/>
        <v>1.2365959919080913</v>
      </c>
      <c r="CF83" s="107">
        <f t="shared" si="94"/>
        <v>3.0616345979734279</v>
      </c>
      <c r="CG83" s="107" t="str">
        <f t="shared" si="95"/>
        <v>(2,4,1,3,1,5)</v>
      </c>
      <c r="CH83" s="108">
        <v>1.05</v>
      </c>
      <c r="CI83" s="108">
        <v>1.1000000000000001</v>
      </c>
      <c r="CJ83" s="108">
        <v>1</v>
      </c>
      <c r="CK83" s="108">
        <v>1.02</v>
      </c>
      <c r="CL83" s="108">
        <v>1</v>
      </c>
      <c r="CM83" s="108">
        <v>1.2</v>
      </c>
    </row>
    <row r="84" spans="1:91" s="171" customFormat="1" ht="24">
      <c r="A84" s="333" t="s">
        <v>917</v>
      </c>
      <c r="B84" s="216"/>
      <c r="C84" s="334"/>
      <c r="D84" s="342">
        <v>5</v>
      </c>
      <c r="E84" s="343" t="s">
        <v>98</v>
      </c>
      <c r="F84" s="437" t="s">
        <v>919</v>
      </c>
      <c r="G84" s="438" t="s">
        <v>340</v>
      </c>
      <c r="H84" s="439" t="s">
        <v>98</v>
      </c>
      <c r="I84" s="439" t="s">
        <v>98</v>
      </c>
      <c r="J84" s="335">
        <v>1</v>
      </c>
      <c r="K84" s="438" t="s">
        <v>144</v>
      </c>
      <c r="L84" s="440">
        <f t="shared" si="74"/>
        <v>6.3048478564726638E-9</v>
      </c>
      <c r="M84" s="336">
        <v>1</v>
      </c>
      <c r="N84" s="337">
        <f t="shared" si="75"/>
        <v>3.0033855645008969</v>
      </c>
      <c r="O84" s="455" t="str">
        <f t="shared" si="67"/>
        <v>(2,1,1,2,1,1); Industry data (French tender) converted to cell factory modelled by Brailovsky (2026); contains metal working machine</v>
      </c>
      <c r="P84" s="440">
        <f>P131</f>
        <v>2.8359468357788803E-9</v>
      </c>
      <c r="Q84" s="336">
        <v>1</v>
      </c>
      <c r="R84" s="337">
        <f t="shared" si="76"/>
        <v>3.0033855645008969</v>
      </c>
      <c r="S84" s="455" t="str">
        <f t="shared" si="68"/>
        <v>(2,1,1,2,1,1); Industry data (French tender) converted to cell factory modelled by Brailovsky (2026); contains metal working machine</v>
      </c>
      <c r="T84" s="440">
        <f t="shared" si="77"/>
        <v>6.3048478564726638E-9</v>
      </c>
      <c r="U84" s="336">
        <v>1</v>
      </c>
      <c r="V84" s="337">
        <f t="shared" si="78"/>
        <v>3.0033855645008969</v>
      </c>
      <c r="W84" s="437" t="str">
        <f t="shared" si="69"/>
        <v>(2,1,1,2,1,1); Industry data (French tender) converted to cell factory modelled by Brailovsky (2026); contains metal working machine</v>
      </c>
      <c r="X84" s="440">
        <f>P84</f>
        <v>2.8359468357788803E-9</v>
      </c>
      <c r="Y84" s="336">
        <v>1</v>
      </c>
      <c r="Z84" s="337">
        <f t="shared" si="79"/>
        <v>3.0033855645008969</v>
      </c>
      <c r="AA84" s="437" t="str">
        <f t="shared" si="70"/>
        <v>(2,1,1,2,1,1); Industry data (French tender) converted to cell factory modelled by Brailovsky (2026); contains metal working machine</v>
      </c>
      <c r="AB84" s="440">
        <f t="shared" si="80"/>
        <v>6.3048478564726638E-9</v>
      </c>
      <c r="AC84" s="336">
        <v>1</v>
      </c>
      <c r="AD84" s="337">
        <f t="shared" si="81"/>
        <v>3.0033855645008969</v>
      </c>
      <c r="AE84" s="455" t="str">
        <f t="shared" si="71"/>
        <v>(2,1,1,2,1,1); Industry data (French tender) converted to cell factory modelled by Brailovsky (2026); contains metal working machine</v>
      </c>
      <c r="AF84" s="440">
        <f>X84</f>
        <v>2.8359468357788803E-9</v>
      </c>
      <c r="AG84" s="336">
        <v>1</v>
      </c>
      <c r="AH84" s="337">
        <f t="shared" si="82"/>
        <v>3.0033855645008969</v>
      </c>
      <c r="AI84" s="455" t="str">
        <f t="shared" si="72"/>
        <v>(2,1,1,2,1,1); Industry data (French tender) converted to cell factory modelled by Brailovsky (2026); contains metal working machine</v>
      </c>
      <c r="AJ84" s="440">
        <f>BA84</f>
        <v>6.3048478564726638E-9</v>
      </c>
      <c r="AK84" s="336">
        <v>1</v>
      </c>
      <c r="AL84" s="337">
        <f t="shared" si="83"/>
        <v>3.0033855645008969</v>
      </c>
      <c r="AM84" s="455" t="str">
        <f t="shared" si="84"/>
        <v>(2,1,1,2,1,1); Industry data (French tender) converted to cell factory modelled by Brailovsky (2026); contains metal working machine</v>
      </c>
      <c r="AN84" s="440">
        <f>AF84</f>
        <v>2.8359468357788803E-9</v>
      </c>
      <c r="AO84" s="336">
        <v>1</v>
      </c>
      <c r="AP84" s="337">
        <f t="shared" si="85"/>
        <v>3.0033855645008969</v>
      </c>
      <c r="AQ84" s="437" t="str">
        <f t="shared" si="73"/>
        <v>(2,1,1,2,1,1); Industry data (French tender) converted to cell factory modelled by Brailovsky (2026); contains metal working machine</v>
      </c>
      <c r="AR84" s="440">
        <v>1.4077512303112301E-9</v>
      </c>
      <c r="AS84" s="336">
        <v>1</v>
      </c>
      <c r="AT84" s="337">
        <f t="shared" si="86"/>
        <v>3.0616345979734279</v>
      </c>
      <c r="AU84" s="455" t="str">
        <f t="shared" si="87"/>
        <v>(2,4,1,3,1,5); Brailovsky (2026) GP 05</v>
      </c>
      <c r="AV84" s="440">
        <v>1.4077512303112301E-9</v>
      </c>
      <c r="AW84" s="336">
        <v>1</v>
      </c>
      <c r="AX84" s="337">
        <f t="shared" si="88"/>
        <v>3.0616345979734279</v>
      </c>
      <c r="AY84" s="437" t="str">
        <f t="shared" si="89"/>
        <v>(2,4,1,3,1,5); Brailovsky (2026) GP 05</v>
      </c>
      <c r="AZ84" s="338"/>
      <c r="BA84" s="440">
        <f>L131</f>
        <v>6.3048478564726638E-9</v>
      </c>
      <c r="BB84" s="440"/>
      <c r="BC84" s="216" t="s">
        <v>1002</v>
      </c>
      <c r="BD84" s="83">
        <v>2</v>
      </c>
      <c r="BE84" s="83">
        <v>1</v>
      </c>
      <c r="BF84" s="83">
        <v>1</v>
      </c>
      <c r="BG84" s="83">
        <v>2</v>
      </c>
      <c r="BH84" s="83">
        <v>1</v>
      </c>
      <c r="BI84" s="83">
        <v>1</v>
      </c>
      <c r="BJ84" s="104">
        <v>9</v>
      </c>
      <c r="BK84" s="104">
        <v>3</v>
      </c>
      <c r="BL84" s="107">
        <f t="shared" si="90"/>
        <v>1.0510550504206344</v>
      </c>
      <c r="BM84" s="107">
        <f t="shared" si="91"/>
        <v>3.0033855645008969</v>
      </c>
      <c r="BN84" s="107" t="str">
        <f t="shared" si="92"/>
        <v>(2,1,1,2,1,1)</v>
      </c>
      <c r="BO84" s="108">
        <v>1.05</v>
      </c>
      <c r="BP84" s="108">
        <v>1</v>
      </c>
      <c r="BQ84" s="108">
        <v>1</v>
      </c>
      <c r="BR84" s="108">
        <v>1.01</v>
      </c>
      <c r="BS84" s="108">
        <v>1</v>
      </c>
      <c r="BT84" s="108">
        <v>1</v>
      </c>
      <c r="BV84" s="160" t="s">
        <v>954</v>
      </c>
      <c r="BW84" s="83">
        <v>2</v>
      </c>
      <c r="BX84" s="83">
        <v>4</v>
      </c>
      <c r="BY84" s="83">
        <v>1</v>
      </c>
      <c r="BZ84" s="83">
        <v>3</v>
      </c>
      <c r="CA84" s="83">
        <v>1</v>
      </c>
      <c r="CB84" s="83">
        <v>5</v>
      </c>
      <c r="CC84" s="104">
        <v>9</v>
      </c>
      <c r="CD84" s="104">
        <v>3</v>
      </c>
      <c r="CE84" s="107">
        <f t="shared" si="93"/>
        <v>1.2365959919080913</v>
      </c>
      <c r="CF84" s="107">
        <f t="shared" si="94"/>
        <v>3.0616345979734279</v>
      </c>
      <c r="CG84" s="107" t="str">
        <f t="shared" si="95"/>
        <v>(2,4,1,3,1,5)</v>
      </c>
      <c r="CH84" s="108">
        <v>1.05</v>
      </c>
      <c r="CI84" s="108">
        <v>1.1000000000000001</v>
      </c>
      <c r="CJ84" s="108">
        <v>1</v>
      </c>
      <c r="CK84" s="108">
        <v>1.02</v>
      </c>
      <c r="CL84" s="108">
        <v>1</v>
      </c>
      <c r="CM84" s="108">
        <v>1.2</v>
      </c>
    </row>
    <row r="85" spans="1:91" s="171" customFormat="1" ht="36">
      <c r="A85" s="333">
        <v>269641</v>
      </c>
      <c r="B85" s="216" t="s">
        <v>322</v>
      </c>
      <c r="C85" s="334"/>
      <c r="D85" s="342">
        <v>5</v>
      </c>
      <c r="E85" s="343" t="s">
        <v>98</v>
      </c>
      <c r="F85" s="437" t="s">
        <v>240</v>
      </c>
      <c r="G85" s="438" t="s">
        <v>93</v>
      </c>
      <c r="H85" s="439" t="s">
        <v>98</v>
      </c>
      <c r="I85" s="439" t="s">
        <v>98</v>
      </c>
      <c r="J85" s="335">
        <v>0</v>
      </c>
      <c r="K85" s="438" t="s">
        <v>115</v>
      </c>
      <c r="L85" s="440">
        <f t="shared" si="74"/>
        <v>0.436749936622438</v>
      </c>
      <c r="M85" s="336">
        <v>1</v>
      </c>
      <c r="N85" s="337">
        <f t="shared" si="75"/>
        <v>2.0949941301068096</v>
      </c>
      <c r="O85" s="455" t="str">
        <f t="shared" si="67"/>
        <v>(4,5,na,na,na,na); Transport distance: 100km; wafer: 200km; disposal: 500km, weight EUR-flat pallet 25kg</v>
      </c>
      <c r="P85" s="440">
        <f>AN85</f>
        <v>0.41105490069790701</v>
      </c>
      <c r="Q85" s="336">
        <v>1</v>
      </c>
      <c r="R85" s="337">
        <f t="shared" si="76"/>
        <v>2.0949941301068096</v>
      </c>
      <c r="S85" s="455" t="str">
        <f t="shared" si="68"/>
        <v>(4,5,na,na,na,na); Transport distance: 100km; wafer: 200km; disposal: 500km, weight EUR-flat pallet 25kg</v>
      </c>
      <c r="T85" s="440">
        <f t="shared" si="77"/>
        <v>0.436749936622438</v>
      </c>
      <c r="U85" s="336">
        <v>1</v>
      </c>
      <c r="V85" s="337">
        <f t="shared" si="78"/>
        <v>2.0949941301068096</v>
      </c>
      <c r="W85" s="437" t="str">
        <f t="shared" si="69"/>
        <v>(4,5,na,na,na,na); Transport distance: 100km; wafer: 200km; disposal: 500km, weight EUR-flat pallet 25kg</v>
      </c>
      <c r="X85" s="440">
        <f>AN85</f>
        <v>0.41105490069790701</v>
      </c>
      <c r="Y85" s="336">
        <v>1</v>
      </c>
      <c r="Z85" s="337">
        <f t="shared" si="79"/>
        <v>2.0949941301068096</v>
      </c>
      <c r="AA85" s="437" t="str">
        <f t="shared" si="70"/>
        <v>(4,5,na,na,na,na); Transport distance: 100km; wafer: 200km; disposal: 500km, weight EUR-flat pallet 25kg</v>
      </c>
      <c r="AB85" s="440">
        <f t="shared" si="80"/>
        <v>0.436749936622438</v>
      </c>
      <c r="AC85" s="336">
        <v>1</v>
      </c>
      <c r="AD85" s="337">
        <f t="shared" si="81"/>
        <v>2.0949941301068096</v>
      </c>
      <c r="AE85" s="455" t="str">
        <f t="shared" si="71"/>
        <v>(4,5,na,na,na,na); Transport distance: 100km; wafer: 200km; disposal: 500km, weight EUR-flat pallet 25kg</v>
      </c>
      <c r="AF85" s="440">
        <f>AN85</f>
        <v>0.41105490069790701</v>
      </c>
      <c r="AG85" s="336">
        <v>1</v>
      </c>
      <c r="AH85" s="337">
        <f t="shared" si="82"/>
        <v>2.0949941301068096</v>
      </c>
      <c r="AI85" s="455" t="str">
        <f t="shared" si="72"/>
        <v>(4,5,na,na,na,na); Transport distance: 100km; wafer: 200km; disposal: 500km, weight EUR-flat pallet 25kg</v>
      </c>
      <c r="AJ85" s="440">
        <v>0.436749936622438</v>
      </c>
      <c r="AK85" s="336">
        <v>1</v>
      </c>
      <c r="AL85" s="337">
        <f t="shared" si="83"/>
        <v>2.0949941301068096</v>
      </c>
      <c r="AM85" s="455" t="str">
        <f t="shared" si="84"/>
        <v>(4,5,na,na,na,na); Transport distance: 100km; wafer: 200km; disposal: 500km, weight EUR-flat pallet 25kg</v>
      </c>
      <c r="AN85" s="440">
        <v>0.41105490069790701</v>
      </c>
      <c r="AO85" s="336">
        <v>1</v>
      </c>
      <c r="AP85" s="337">
        <f t="shared" si="85"/>
        <v>2.0949941301068096</v>
      </c>
      <c r="AQ85" s="437" t="str">
        <f t="shared" si="73"/>
        <v>(4,5,na,na,na,na); Transport distance: 100km; wafer: 200km; disposal: 500km, weight EUR-flat pallet 25kg</v>
      </c>
      <c r="AR85" s="440">
        <f>0.1*(SUM(AR23:AR36)+AR37*25+SUM(AR38:AR44)+AR45/0.3+AR46/0.5+AR47+AR49/0.5+AR50/0.5+SUM(AR51:AR61))+0.5*SUM(AR89:AR91)</f>
        <v>0.65614981930606675</v>
      </c>
      <c r="AS85" s="336">
        <v>1</v>
      </c>
      <c r="AT85" s="337">
        <f t="shared" si="86"/>
        <v>2.0949941301068096</v>
      </c>
      <c r="AU85" s="455" t="str">
        <f t="shared" si="87"/>
        <v>(4,5,na,na,na,na); Transport distance: 100km; weight EUR-flat pallet 25kg; no transport of wafer due to integrated production</v>
      </c>
      <c r="AV85" s="440">
        <f>0.1*(SUM(AV23:AV36)+AV37*25+SUM(AV38:AV44)+AV45/0.3+AV46/0.5+AV47+AV49/0.5+AV50/0.5+SUM(AV51:AV61))+0.5*SUM(AV89:AV91)</f>
        <v>0.65614981930606675</v>
      </c>
      <c r="AW85" s="336">
        <v>1</v>
      </c>
      <c r="AX85" s="337">
        <f t="shared" si="88"/>
        <v>2.0949941301068096</v>
      </c>
      <c r="AY85" s="437" t="str">
        <f t="shared" si="89"/>
        <v>(4,5,na,na,na,na); Transport distance: 100km; weight EUR-flat pallet 25kg; no transport of wafer due to integrated production</v>
      </c>
      <c r="AZ85" s="338"/>
      <c r="BA85" s="440">
        <v>2.2037297734627801</v>
      </c>
      <c r="BB85" s="440"/>
      <c r="BC85" s="216" t="s">
        <v>1003</v>
      </c>
      <c r="BD85" s="83">
        <v>4</v>
      </c>
      <c r="BE85" s="83">
        <v>5</v>
      </c>
      <c r="BF85" s="83" t="s">
        <v>106</v>
      </c>
      <c r="BG85" s="83" t="s">
        <v>106</v>
      </c>
      <c r="BH85" s="83" t="s">
        <v>106</v>
      </c>
      <c r="BI85" s="83" t="s">
        <v>106</v>
      </c>
      <c r="BJ85" s="104">
        <v>5</v>
      </c>
      <c r="BK85" s="104">
        <v>2</v>
      </c>
      <c r="BL85" s="107">
        <f t="shared" si="90"/>
        <v>1.2941338353151037</v>
      </c>
      <c r="BM85" s="107">
        <f t="shared" si="91"/>
        <v>2.0949941301068096</v>
      </c>
      <c r="BN85" s="107" t="str">
        <f t="shared" si="92"/>
        <v>(4,5,na,na,na,na)</v>
      </c>
      <c r="BO85" s="108">
        <v>1.2</v>
      </c>
      <c r="BP85" s="108">
        <v>1.2</v>
      </c>
      <c r="BQ85" s="108">
        <v>1</v>
      </c>
      <c r="BR85" s="108">
        <v>1</v>
      </c>
      <c r="BS85" s="108">
        <v>1</v>
      </c>
      <c r="BT85" s="108">
        <v>1</v>
      </c>
      <c r="BV85" s="160" t="s">
        <v>1004</v>
      </c>
      <c r="BW85" s="83">
        <v>4</v>
      </c>
      <c r="BX85" s="83">
        <v>5</v>
      </c>
      <c r="BY85" s="83" t="s">
        <v>106</v>
      </c>
      <c r="BZ85" s="83" t="s">
        <v>106</v>
      </c>
      <c r="CA85" s="83" t="s">
        <v>106</v>
      </c>
      <c r="CB85" s="83" t="s">
        <v>106</v>
      </c>
      <c r="CC85" s="104">
        <v>5</v>
      </c>
      <c r="CD85" s="104">
        <v>2</v>
      </c>
      <c r="CE85" s="107">
        <f t="shared" si="93"/>
        <v>1.2941338353151037</v>
      </c>
      <c r="CF85" s="107">
        <f t="shared" si="94"/>
        <v>2.0949941301068096</v>
      </c>
      <c r="CG85" s="107" t="str">
        <f t="shared" si="95"/>
        <v>(4,5,na,na,na,na)</v>
      </c>
      <c r="CH85" s="108">
        <v>1.2</v>
      </c>
      <c r="CI85" s="108">
        <v>1.2</v>
      </c>
      <c r="CJ85" s="108">
        <v>1</v>
      </c>
      <c r="CK85" s="108">
        <v>1</v>
      </c>
      <c r="CL85" s="108">
        <v>1</v>
      </c>
      <c r="CM85" s="108">
        <v>1</v>
      </c>
    </row>
    <row r="86" spans="1:91" s="171" customFormat="1">
      <c r="A86" s="333">
        <v>160371</v>
      </c>
      <c r="B86" s="216"/>
      <c r="C86" s="334"/>
      <c r="D86" s="342">
        <v>5</v>
      </c>
      <c r="E86" s="343" t="s">
        <v>98</v>
      </c>
      <c r="F86" s="437" t="s">
        <v>242</v>
      </c>
      <c r="G86" s="438" t="s">
        <v>93</v>
      </c>
      <c r="H86" s="439" t="s">
        <v>98</v>
      </c>
      <c r="I86" s="439" t="s">
        <v>98</v>
      </c>
      <c r="J86" s="335">
        <v>0</v>
      </c>
      <c r="K86" s="438" t="s">
        <v>115</v>
      </c>
      <c r="L86" s="440">
        <f t="shared" si="74"/>
        <v>0.43382915994606269</v>
      </c>
      <c r="M86" s="336">
        <v>1</v>
      </c>
      <c r="N86" s="337">
        <f t="shared" si="75"/>
        <v>2.0949941301068096</v>
      </c>
      <c r="O86" s="455" t="str">
        <f t="shared" si="67"/>
        <v>(4,5,na,na,na,na); Transport distance: 200km</v>
      </c>
      <c r="P86" s="440">
        <f>0.2*(SUM(P23:P35)+P37*25+SUM(P38:P44)+P45/0.3+P46/0.5+P47+P49/0.5+P50/0.5+SUM(P51:P61))</f>
        <v>0.47925342194095943</v>
      </c>
      <c r="Q86" s="336">
        <v>1</v>
      </c>
      <c r="R86" s="337">
        <f t="shared" si="76"/>
        <v>2.0949941301068096</v>
      </c>
      <c r="S86" s="455" t="str">
        <f t="shared" si="68"/>
        <v>(4,5,na,na,na,na); Transport distance: 200km</v>
      </c>
      <c r="T86" s="440">
        <f t="shared" si="77"/>
        <v>0.43382915994606269</v>
      </c>
      <c r="U86" s="336">
        <v>1</v>
      </c>
      <c r="V86" s="337">
        <f t="shared" si="78"/>
        <v>2.0949941301068096</v>
      </c>
      <c r="W86" s="437" t="str">
        <f t="shared" si="69"/>
        <v>(4,5,na,na,na,na); Transport distance: 200km</v>
      </c>
      <c r="X86" s="440">
        <f>0.2*(SUM(X23:X35)+X37*25+SUM(X38:X44)+X45/0.3+X46/0.5+X47+X49/0.5+X50/0.5+SUM(X51:X61))</f>
        <v>0.47925342194095943</v>
      </c>
      <c r="Y86" s="336">
        <v>1</v>
      </c>
      <c r="Z86" s="337">
        <f t="shared" si="79"/>
        <v>2.0949941301068096</v>
      </c>
      <c r="AA86" s="437" t="str">
        <f t="shared" si="70"/>
        <v>(4,5,na,na,na,na); Transport distance: 200km</v>
      </c>
      <c r="AB86" s="440">
        <f t="shared" si="80"/>
        <v>0.43382915994606269</v>
      </c>
      <c r="AC86" s="336">
        <v>1</v>
      </c>
      <c r="AD86" s="337">
        <f t="shared" si="81"/>
        <v>2.0949941301068096</v>
      </c>
      <c r="AE86" s="455" t="str">
        <f t="shared" si="71"/>
        <v>(4,5,na,na,na,na); Transport distance: 200km</v>
      </c>
      <c r="AF86" s="440">
        <f>0.2*(SUM(AF23:AF35)+AF37*25+SUM(AF38:AF44)+AF45/0.3+AF46/0.5+AF47+AF49/0.5+AF50/0.5+SUM(AF51:AF61))</f>
        <v>0.47925342194095943</v>
      </c>
      <c r="AG86" s="336">
        <v>1</v>
      </c>
      <c r="AH86" s="337">
        <f t="shared" si="82"/>
        <v>2.0949941301068096</v>
      </c>
      <c r="AI86" s="455" t="str">
        <f t="shared" si="72"/>
        <v>(4,5,na,na,na,na); Transport distance: 200km</v>
      </c>
      <c r="AJ86" s="440">
        <f>0.2*(SUM(AJ23:AJ35)+AJ37*25+SUM(AJ38:AJ44)+AJ45/0.3+AJ46/0.5+AJ47+AJ49/0.5+AJ50/0.5+SUM(AJ51:AJ61))</f>
        <v>0.43382915994606269</v>
      </c>
      <c r="AK86" s="336">
        <v>1</v>
      </c>
      <c r="AL86" s="337">
        <f t="shared" si="83"/>
        <v>2.0949941301068096</v>
      </c>
      <c r="AM86" s="455" t="str">
        <f t="shared" si="84"/>
        <v>(4,5,na,na,na,na); Transport distance: 200km</v>
      </c>
      <c r="AN86" s="440">
        <f>0.2*(SUM(AN23:AN35)+AN37*25+SUM(AN38:AN44)+AN45/0.3+AN46/0.5+AN47+AN49/0.5+AN50/0.5+SUM(AN51:AN61))</f>
        <v>0.47925342194095943</v>
      </c>
      <c r="AO86" s="336">
        <v>1</v>
      </c>
      <c r="AP86" s="337">
        <f t="shared" si="85"/>
        <v>2.0949941301068096</v>
      </c>
      <c r="AQ86" s="437" t="str">
        <f t="shared" si="73"/>
        <v>(4,5,na,na,na,na); Transport distance: 200km</v>
      </c>
      <c r="AR86" s="440">
        <f>0.2*(SUM(AR23:AR36)+AR37*25+SUM(AR38:AR44)+AR45/0.3+AR46/0.5+AR47+AR49/0.5+AR50/0.5+SUM(AR51:AR61))</f>
        <v>0.6056978731623115</v>
      </c>
      <c r="AS86" s="336">
        <v>1</v>
      </c>
      <c r="AT86" s="337">
        <f t="shared" si="86"/>
        <v>2.0949941301068096</v>
      </c>
      <c r="AU86" s="455" t="str">
        <f t="shared" si="87"/>
        <v>(4,5,na,na,na,na); Transport distance: 200km</v>
      </c>
      <c r="AV86" s="440">
        <f>0.2*(SUM(AV23:AV36)+AV37*25+SUM(AV38:AV44)+AV45/0.3+AV46/0.5+AV47+AV49/0.5+AV50/0.5+SUM(AV51:AV61))</f>
        <v>0.6056978731623115</v>
      </c>
      <c r="AW86" s="336">
        <v>1</v>
      </c>
      <c r="AX86" s="337">
        <f t="shared" si="88"/>
        <v>2.0949941301068096</v>
      </c>
      <c r="AY86" s="437" t="str">
        <f t="shared" si="89"/>
        <v>(4,5,na,na,na,na); Transport distance: 200km</v>
      </c>
      <c r="AZ86" s="338"/>
      <c r="BA86" s="440">
        <v>0</v>
      </c>
      <c r="BB86" s="440"/>
      <c r="BC86" s="216" t="s">
        <v>864</v>
      </c>
      <c r="BD86" s="83">
        <v>4</v>
      </c>
      <c r="BE86" s="83">
        <v>5</v>
      </c>
      <c r="BF86" s="83" t="s">
        <v>106</v>
      </c>
      <c r="BG86" s="83" t="s">
        <v>106</v>
      </c>
      <c r="BH86" s="83" t="s">
        <v>106</v>
      </c>
      <c r="BI86" s="83" t="s">
        <v>106</v>
      </c>
      <c r="BJ86" s="104">
        <v>5</v>
      </c>
      <c r="BK86" s="104">
        <v>2</v>
      </c>
      <c r="BL86" s="107">
        <f t="shared" si="90"/>
        <v>1.2941338353151037</v>
      </c>
      <c r="BM86" s="107">
        <f t="shared" si="91"/>
        <v>2.0949941301068096</v>
      </c>
      <c r="BN86" s="107" t="str">
        <f t="shared" si="92"/>
        <v>(4,5,na,na,na,na)</v>
      </c>
      <c r="BO86" s="108">
        <v>1.2</v>
      </c>
      <c r="BP86" s="108">
        <v>1.2</v>
      </c>
      <c r="BQ86" s="108">
        <v>1</v>
      </c>
      <c r="BR86" s="108">
        <v>1</v>
      </c>
      <c r="BS86" s="108">
        <v>1</v>
      </c>
      <c r="BT86" s="108">
        <v>1</v>
      </c>
      <c r="BV86" s="160" t="s">
        <v>864</v>
      </c>
      <c r="BW86" s="83">
        <v>4</v>
      </c>
      <c r="BX86" s="83">
        <v>5</v>
      </c>
      <c r="BY86" s="83" t="s">
        <v>106</v>
      </c>
      <c r="BZ86" s="83" t="s">
        <v>106</v>
      </c>
      <c r="CA86" s="83" t="s">
        <v>106</v>
      </c>
      <c r="CB86" s="83" t="s">
        <v>106</v>
      </c>
      <c r="CC86" s="104">
        <v>5</v>
      </c>
      <c r="CD86" s="104">
        <v>2</v>
      </c>
      <c r="CE86" s="107">
        <f t="shared" si="93"/>
        <v>1.2941338353151037</v>
      </c>
      <c r="CF86" s="107">
        <f t="shared" si="94"/>
        <v>2.0949941301068096</v>
      </c>
      <c r="CG86" s="107" t="str">
        <f t="shared" si="95"/>
        <v>(4,5,na,na,na,na)</v>
      </c>
      <c r="CH86" s="108">
        <v>1.2</v>
      </c>
      <c r="CI86" s="108">
        <v>1.2</v>
      </c>
      <c r="CJ86" s="108">
        <v>1</v>
      </c>
      <c r="CK86" s="108">
        <v>1</v>
      </c>
      <c r="CL86" s="108">
        <v>1</v>
      </c>
      <c r="CM86" s="108">
        <v>1</v>
      </c>
    </row>
    <row r="87" spans="1:91" s="171" customFormat="1" ht="24" hidden="1" outlineLevel="1">
      <c r="A87" s="333">
        <v>268983</v>
      </c>
      <c r="B87" s="216" t="s">
        <v>511</v>
      </c>
      <c r="C87" s="334"/>
      <c r="D87" s="342">
        <v>5</v>
      </c>
      <c r="E87" s="343" t="s">
        <v>98</v>
      </c>
      <c r="F87" s="437" t="s">
        <v>1005</v>
      </c>
      <c r="G87" s="438" t="s">
        <v>103</v>
      </c>
      <c r="H87" s="439" t="s">
        <v>98</v>
      </c>
      <c r="I87" s="439" t="s">
        <v>98</v>
      </c>
      <c r="J87" s="335">
        <v>0</v>
      </c>
      <c r="K87" s="438" t="s">
        <v>119</v>
      </c>
      <c r="L87" s="440">
        <f>L62*0.9/1000</f>
        <v>0.109240048543689</v>
      </c>
      <c r="M87" s="336">
        <v>1</v>
      </c>
      <c r="N87" s="337">
        <f t="shared" si="75"/>
        <v>1.3440316373092398</v>
      </c>
      <c r="O87" s="455" t="str">
        <f t="shared" si="67"/>
        <v>(3,4,4,3,1,5); Calculation: 90% of tap water</v>
      </c>
      <c r="P87" s="440">
        <f>P62*0.9/1000</f>
        <v>0.1071557933579334</v>
      </c>
      <c r="Q87" s="336">
        <v>1</v>
      </c>
      <c r="R87" s="337">
        <f t="shared" si="76"/>
        <v>1.3440316373092398</v>
      </c>
      <c r="S87" s="455" t="str">
        <f t="shared" si="68"/>
        <v>(3,4,4,3,1,5); Calculation: 90% of tap water</v>
      </c>
      <c r="T87" s="440">
        <f>T63*0.9/1000</f>
        <v>0.109240048543689</v>
      </c>
      <c r="U87" s="336">
        <v>1</v>
      </c>
      <c r="V87" s="337">
        <f t="shared" si="78"/>
        <v>1.3440316373092398</v>
      </c>
      <c r="W87" s="437" t="str">
        <f t="shared" si="69"/>
        <v>(3,4,4,3,1,5); Calculation: 90% of tap water</v>
      </c>
      <c r="X87" s="440">
        <f>X63*0.9/1000</f>
        <v>0.1071557933579334</v>
      </c>
      <c r="Y87" s="336">
        <v>1</v>
      </c>
      <c r="Z87" s="337">
        <f t="shared" si="79"/>
        <v>1.3440316373092398</v>
      </c>
      <c r="AA87" s="437" t="str">
        <f t="shared" si="70"/>
        <v>(3,4,4,3,1,5); Calculation: 90% of tap water</v>
      </c>
      <c r="AB87" s="440">
        <f>AB64*0.9/1000</f>
        <v>3.9014303051317492E-2</v>
      </c>
      <c r="AC87" s="336">
        <v>1</v>
      </c>
      <c r="AD87" s="337">
        <f t="shared" si="81"/>
        <v>1.3440316373092398</v>
      </c>
      <c r="AE87" s="455" t="str">
        <f t="shared" si="71"/>
        <v>(3,4,4,3,1,5); Calculation: 90% of tap water</v>
      </c>
      <c r="AF87" s="440">
        <f>AF64*0.9/1000</f>
        <v>3.8269926199261922E-2</v>
      </c>
      <c r="AG87" s="336">
        <v>1</v>
      </c>
      <c r="AH87" s="337">
        <f t="shared" si="82"/>
        <v>1.3440316373092398</v>
      </c>
      <c r="AI87" s="455" t="str">
        <f t="shared" si="72"/>
        <v>(3,4,4,3,1,5); Calculation: 90% of tap water</v>
      </c>
      <c r="AJ87" s="440">
        <f>AJ69*0.9/1000</f>
        <v>0.109240048543689</v>
      </c>
      <c r="AK87" s="336">
        <v>1</v>
      </c>
      <c r="AL87" s="337">
        <f t="shared" si="83"/>
        <v>1.3440316373092398</v>
      </c>
      <c r="AM87" s="455" t="str">
        <f t="shared" si="84"/>
        <v>(3,4,4,3,1,5); Calculation: 90% of tap water</v>
      </c>
      <c r="AN87" s="440">
        <f>AN69*0.9/1000</f>
        <v>0.1071557933579334</v>
      </c>
      <c r="AO87" s="336">
        <v>1</v>
      </c>
      <c r="AP87" s="337">
        <f t="shared" si="85"/>
        <v>1.3440316373092398</v>
      </c>
      <c r="AQ87" s="437" t="str">
        <f t="shared" si="73"/>
        <v>(3,4,4,3,1,5); Calculation: 90% of tap water</v>
      </c>
      <c r="AR87" s="440">
        <v>0</v>
      </c>
      <c r="AS87" s="336">
        <v>1</v>
      </c>
      <c r="AT87" s="337">
        <f t="shared" si="86"/>
        <v>1.05</v>
      </c>
      <c r="AU87" s="455" t="str">
        <f t="shared" si="87"/>
        <v xml:space="preserve">(na,na,na,na,na,na); </v>
      </c>
      <c r="AV87" s="440">
        <v>0</v>
      </c>
      <c r="AW87" s="336">
        <v>1</v>
      </c>
      <c r="AX87" s="337">
        <f t="shared" si="88"/>
        <v>1.05</v>
      </c>
      <c r="AY87" s="437" t="str">
        <f t="shared" si="89"/>
        <v xml:space="preserve">(na,na,na,na,na,na); </v>
      </c>
      <c r="AZ87" s="338"/>
      <c r="BA87" s="440">
        <f>BA69*0.9/1000</f>
        <v>0.109240048543689</v>
      </c>
      <c r="BB87" s="440"/>
      <c r="BC87" s="216" t="s">
        <v>1006</v>
      </c>
      <c r="BD87" s="83">
        <v>3</v>
      </c>
      <c r="BE87" s="83">
        <v>4</v>
      </c>
      <c r="BF87" s="83">
        <v>4</v>
      </c>
      <c r="BG87" s="83">
        <v>3</v>
      </c>
      <c r="BH87" s="83">
        <v>1</v>
      </c>
      <c r="BI87" s="83">
        <v>5</v>
      </c>
      <c r="BJ87" s="104">
        <v>6</v>
      </c>
      <c r="BK87" s="104">
        <v>1.05</v>
      </c>
      <c r="BL87" s="107">
        <f t="shared" si="90"/>
        <v>1.3385948990307144</v>
      </c>
      <c r="BM87" s="107">
        <f t="shared" si="91"/>
        <v>1.3440316373092398</v>
      </c>
      <c r="BN87" s="107" t="str">
        <f t="shared" si="92"/>
        <v>(3,4,4,3,1,5)</v>
      </c>
      <c r="BO87" s="108">
        <v>1.1000000000000001</v>
      </c>
      <c r="BP87" s="108">
        <v>1.1000000000000001</v>
      </c>
      <c r="BQ87" s="108">
        <v>1.2</v>
      </c>
      <c r="BR87" s="108">
        <v>1.02</v>
      </c>
      <c r="BS87" s="108">
        <v>1</v>
      </c>
      <c r="BT87" s="108">
        <v>1.2</v>
      </c>
      <c r="BV87" s="160"/>
      <c r="BW87" s="83" t="s">
        <v>106</v>
      </c>
      <c r="BX87" s="83" t="s">
        <v>106</v>
      </c>
      <c r="BY87" s="83" t="s">
        <v>106</v>
      </c>
      <c r="BZ87" s="83" t="s">
        <v>106</v>
      </c>
      <c r="CA87" s="83" t="s">
        <v>106</v>
      </c>
      <c r="CB87" s="83" t="s">
        <v>106</v>
      </c>
      <c r="CC87" s="104">
        <v>6</v>
      </c>
      <c r="CD87" s="104">
        <v>1.05</v>
      </c>
      <c r="CE87" s="107">
        <f t="shared" si="93"/>
        <v>1</v>
      </c>
      <c r="CF87" s="107">
        <f t="shared" si="94"/>
        <v>1.05</v>
      </c>
      <c r="CG87" s="107" t="str">
        <f t="shared" si="95"/>
        <v>(na,na,na,na,na,na)</v>
      </c>
      <c r="CH87" s="108">
        <v>1</v>
      </c>
      <c r="CI87" s="108">
        <v>1</v>
      </c>
      <c r="CJ87" s="108">
        <v>1</v>
      </c>
      <c r="CK87" s="108">
        <v>1</v>
      </c>
      <c r="CL87" s="108">
        <v>1</v>
      </c>
      <c r="CM87" s="108">
        <v>1</v>
      </c>
    </row>
    <row r="88" spans="1:91" s="171" customFormat="1" collapsed="1">
      <c r="A88" s="333">
        <v>265005</v>
      </c>
      <c r="B88" s="216"/>
      <c r="C88" s="334"/>
      <c r="D88" s="515">
        <v>5</v>
      </c>
      <c r="E88" s="343" t="s">
        <v>98</v>
      </c>
      <c r="F88" s="437" t="s">
        <v>1007</v>
      </c>
      <c r="G88" s="438" t="s">
        <v>103</v>
      </c>
      <c r="H88" s="455" t="s">
        <v>98</v>
      </c>
      <c r="I88" s="455" t="s">
        <v>98</v>
      </c>
      <c r="J88" s="336">
        <v>0</v>
      </c>
      <c r="K88" s="438" t="s">
        <v>119</v>
      </c>
      <c r="L88" s="440">
        <v>0</v>
      </c>
      <c r="M88" s="336">
        <v>1</v>
      </c>
      <c r="N88" s="337">
        <f t="shared" si="75"/>
        <v>1.05</v>
      </c>
      <c r="O88" s="455" t="str">
        <f t="shared" si="67"/>
        <v xml:space="preserve">(na,na,na,na,na,na); </v>
      </c>
      <c r="P88" s="440">
        <v>0</v>
      </c>
      <c r="Q88" s="336">
        <v>1</v>
      </c>
      <c r="R88" s="337">
        <f t="shared" si="76"/>
        <v>1.05</v>
      </c>
      <c r="S88" s="455" t="str">
        <f t="shared" si="68"/>
        <v xml:space="preserve">(na,na,na,na,na,na); </v>
      </c>
      <c r="T88" s="440">
        <v>0</v>
      </c>
      <c r="U88" s="336">
        <v>1</v>
      </c>
      <c r="V88" s="337">
        <f t="shared" si="78"/>
        <v>1.05</v>
      </c>
      <c r="W88" s="437" t="str">
        <f t="shared" si="69"/>
        <v xml:space="preserve">(na,na,na,na,na,na); </v>
      </c>
      <c r="X88" s="440">
        <v>0</v>
      </c>
      <c r="Y88" s="336">
        <v>1</v>
      </c>
      <c r="Z88" s="337">
        <f t="shared" si="79"/>
        <v>1.05</v>
      </c>
      <c r="AA88" s="437" t="str">
        <f t="shared" si="70"/>
        <v xml:space="preserve">(na,na,na,na,na,na); </v>
      </c>
      <c r="AB88" s="440">
        <v>0</v>
      </c>
      <c r="AC88" s="336">
        <v>1</v>
      </c>
      <c r="AD88" s="337">
        <f t="shared" si="81"/>
        <v>1.05</v>
      </c>
      <c r="AE88" s="455" t="str">
        <f t="shared" si="71"/>
        <v xml:space="preserve">(na,na,na,na,na,na); </v>
      </c>
      <c r="AF88" s="440">
        <v>0</v>
      </c>
      <c r="AG88" s="336">
        <v>1</v>
      </c>
      <c r="AH88" s="337">
        <f t="shared" si="82"/>
        <v>1.05</v>
      </c>
      <c r="AI88" s="455" t="str">
        <f t="shared" si="72"/>
        <v xml:space="preserve">(na,na,na,na,na,na); </v>
      </c>
      <c r="AJ88" s="440">
        <v>0</v>
      </c>
      <c r="AK88" s="336">
        <v>1</v>
      </c>
      <c r="AL88" s="337">
        <f t="shared" si="83"/>
        <v>1.05</v>
      </c>
      <c r="AM88" s="455" t="str">
        <f t="shared" si="84"/>
        <v xml:space="preserve">(na,na,na,na,na,na); </v>
      </c>
      <c r="AN88" s="440">
        <v>0</v>
      </c>
      <c r="AO88" s="336">
        <v>1</v>
      </c>
      <c r="AP88" s="337">
        <f t="shared" si="85"/>
        <v>1.05</v>
      </c>
      <c r="AQ88" s="437" t="str">
        <f t="shared" si="73"/>
        <v xml:space="preserve">(na,na,na,na,na,na); </v>
      </c>
      <c r="AR88" s="440">
        <v>2.58E-2</v>
      </c>
      <c r="AS88" s="336">
        <v>1</v>
      </c>
      <c r="AT88" s="337">
        <f t="shared" si="86"/>
        <v>1.2434566510799234</v>
      </c>
      <c r="AU88" s="455" t="str">
        <f t="shared" si="87"/>
        <v>(2,4,1,3,1,5); Brailovsky (2026) GP 06b</v>
      </c>
      <c r="AV88" s="440">
        <v>2.58E-2</v>
      </c>
      <c r="AW88" s="336">
        <v>1</v>
      </c>
      <c r="AX88" s="337">
        <f t="shared" si="88"/>
        <v>1.2434566510799234</v>
      </c>
      <c r="AY88" s="437" t="str">
        <f t="shared" si="89"/>
        <v>(2,4,1,3,1,5); Brailovsky (2026) GP 06b</v>
      </c>
      <c r="AZ88" s="338"/>
      <c r="BA88" s="440">
        <f>BA70*0.9/1000</f>
        <v>0</v>
      </c>
      <c r="BB88" s="440"/>
      <c r="BC88" s="216"/>
      <c r="BD88" s="83" t="s">
        <v>106</v>
      </c>
      <c r="BE88" s="83" t="s">
        <v>106</v>
      </c>
      <c r="BF88" s="83" t="s">
        <v>106</v>
      </c>
      <c r="BG88" s="83" t="s">
        <v>106</v>
      </c>
      <c r="BH88" s="83" t="s">
        <v>106</v>
      </c>
      <c r="BI88" s="83" t="s">
        <v>106</v>
      </c>
      <c r="BJ88" s="104">
        <v>6</v>
      </c>
      <c r="BK88" s="104">
        <v>1.05</v>
      </c>
      <c r="BL88" s="107">
        <f t="shared" si="90"/>
        <v>1</v>
      </c>
      <c r="BM88" s="107">
        <f t="shared" si="91"/>
        <v>1.05</v>
      </c>
      <c r="BN88" s="107" t="str">
        <f t="shared" si="92"/>
        <v>(na,na,na,na,na,na)</v>
      </c>
      <c r="BO88" s="108">
        <v>1</v>
      </c>
      <c r="BP88" s="108">
        <v>1</v>
      </c>
      <c r="BQ88" s="108">
        <v>1</v>
      </c>
      <c r="BR88" s="108">
        <v>1</v>
      </c>
      <c r="BS88" s="108">
        <v>1</v>
      </c>
      <c r="BT88" s="108">
        <v>1</v>
      </c>
      <c r="BV88" s="160" t="s">
        <v>978</v>
      </c>
      <c r="BW88" s="83">
        <v>2</v>
      </c>
      <c r="BX88" s="83">
        <v>4</v>
      </c>
      <c r="BY88" s="83">
        <v>1</v>
      </c>
      <c r="BZ88" s="83">
        <v>3</v>
      </c>
      <c r="CA88" s="83">
        <v>1</v>
      </c>
      <c r="CB88" s="83">
        <v>5</v>
      </c>
      <c r="CC88" s="104">
        <v>6</v>
      </c>
      <c r="CD88" s="104">
        <v>1.05</v>
      </c>
      <c r="CE88" s="107">
        <f t="shared" si="93"/>
        <v>1.2365959919080913</v>
      </c>
      <c r="CF88" s="107">
        <f t="shared" si="94"/>
        <v>1.2434566510799234</v>
      </c>
      <c r="CG88" s="107" t="str">
        <f t="shared" si="95"/>
        <v>(2,4,1,3,1,5)</v>
      </c>
      <c r="CH88" s="108">
        <v>1.05</v>
      </c>
      <c r="CI88" s="108">
        <v>1.1000000000000001</v>
      </c>
      <c r="CJ88" s="108">
        <v>1</v>
      </c>
      <c r="CK88" s="108">
        <v>1.02</v>
      </c>
      <c r="CL88" s="108">
        <v>1</v>
      </c>
      <c r="CM88" s="108">
        <v>1.2</v>
      </c>
    </row>
    <row r="89" spans="1:91" s="171" customFormat="1" ht="24" hidden="1" outlineLevel="1" collapsed="1">
      <c r="A89" s="333">
        <v>79239</v>
      </c>
      <c r="B89" s="216"/>
      <c r="C89" s="334"/>
      <c r="D89" s="342">
        <v>5</v>
      </c>
      <c r="E89" s="343" t="s">
        <v>98</v>
      </c>
      <c r="F89" s="437" t="s">
        <v>512</v>
      </c>
      <c r="G89" s="438" t="s">
        <v>103</v>
      </c>
      <c r="H89" s="439" t="s">
        <v>98</v>
      </c>
      <c r="I89" s="439" t="s">
        <v>98</v>
      </c>
      <c r="J89" s="335">
        <v>0</v>
      </c>
      <c r="K89" s="438" t="s">
        <v>96</v>
      </c>
      <c r="L89" s="440">
        <f>AJ89</f>
        <v>0.21703344120819901</v>
      </c>
      <c r="M89" s="336">
        <v>1</v>
      </c>
      <c r="N89" s="337">
        <f t="shared" si="75"/>
        <v>1.0722009304576894</v>
      </c>
      <c r="O89" s="455" t="str">
        <f t="shared" si="67"/>
        <v>(2,1,1,2,1,1); Industry data (French tender)</v>
      </c>
      <c r="P89" s="440">
        <v>0.17125046678966799</v>
      </c>
      <c r="Q89" s="336">
        <v>1</v>
      </c>
      <c r="R89" s="337">
        <f t="shared" si="76"/>
        <v>1.0722009304576894</v>
      </c>
      <c r="S89" s="455" t="str">
        <f t="shared" si="68"/>
        <v>(2,1,1,2,1,1); Industry data (French tender)</v>
      </c>
      <c r="T89" s="440">
        <f>L89</f>
        <v>0.21703344120819901</v>
      </c>
      <c r="U89" s="336">
        <v>1</v>
      </c>
      <c r="V89" s="337">
        <f t="shared" si="78"/>
        <v>1.0722009304576894</v>
      </c>
      <c r="W89" s="437" t="str">
        <f t="shared" si="69"/>
        <v>(2,1,1,2,1,1); Industry data (French tender)</v>
      </c>
      <c r="X89" s="440">
        <v>0.17125046678966799</v>
      </c>
      <c r="Y89" s="336">
        <v>1</v>
      </c>
      <c r="Z89" s="337">
        <f t="shared" si="79"/>
        <v>1.0722009304576894</v>
      </c>
      <c r="AA89" s="437" t="str">
        <f t="shared" si="70"/>
        <v>(2,1,1,2,1,1); Industry data (French tender)</v>
      </c>
      <c r="AB89" s="440">
        <f>L89</f>
        <v>0.21703344120819901</v>
      </c>
      <c r="AC89" s="336">
        <v>1</v>
      </c>
      <c r="AD89" s="337">
        <f t="shared" si="81"/>
        <v>1.0722009304576894</v>
      </c>
      <c r="AE89" s="455" t="str">
        <f t="shared" si="71"/>
        <v>(2,1,1,2,1,1); Industry data (French tender)</v>
      </c>
      <c r="AF89" s="440">
        <v>0.17125046678966799</v>
      </c>
      <c r="AG89" s="336">
        <v>1</v>
      </c>
      <c r="AH89" s="337">
        <f t="shared" si="82"/>
        <v>1.0722009304576894</v>
      </c>
      <c r="AI89" s="455" t="str">
        <f t="shared" si="72"/>
        <v>(2,1,1,2,1,1); Industry data (French tender)</v>
      </c>
      <c r="AJ89" s="440">
        <f>BA89</f>
        <v>0.21703344120819901</v>
      </c>
      <c r="AK89" s="336">
        <v>1</v>
      </c>
      <c r="AL89" s="337">
        <f t="shared" si="83"/>
        <v>1.0722009304576894</v>
      </c>
      <c r="AM89" s="455" t="str">
        <f t="shared" si="84"/>
        <v>(2,1,1,2,1,1); Industry data (French tender)</v>
      </c>
      <c r="AN89" s="440">
        <v>0.17125046678966799</v>
      </c>
      <c r="AO89" s="336">
        <v>1</v>
      </c>
      <c r="AP89" s="337">
        <f t="shared" si="85"/>
        <v>1.0722009304576894</v>
      </c>
      <c r="AQ89" s="437" t="str">
        <f t="shared" si="73"/>
        <v>(2,1,1,2,1,1); Industry data (French tender)</v>
      </c>
      <c r="AR89" s="440">
        <v>0</v>
      </c>
      <c r="AS89" s="336">
        <v>1</v>
      </c>
      <c r="AT89" s="337">
        <f t="shared" si="86"/>
        <v>1.05</v>
      </c>
      <c r="AU89" s="455" t="str">
        <f t="shared" si="87"/>
        <v xml:space="preserve">(na,na,na,na,na,na); </v>
      </c>
      <c r="AV89" s="440">
        <v>0</v>
      </c>
      <c r="AW89" s="336">
        <v>1</v>
      </c>
      <c r="AX89" s="337">
        <f t="shared" si="88"/>
        <v>1.05</v>
      </c>
      <c r="AY89" s="437" t="str">
        <f t="shared" si="89"/>
        <v xml:space="preserve">(na,na,na,na,na,na); </v>
      </c>
      <c r="AZ89" s="338"/>
      <c r="BA89" s="440">
        <v>0.21703344120819901</v>
      </c>
      <c r="BB89" s="440"/>
      <c r="BC89" s="216" t="s">
        <v>462</v>
      </c>
      <c r="BD89" s="83">
        <v>2</v>
      </c>
      <c r="BE89" s="83">
        <v>1</v>
      </c>
      <c r="BF89" s="83">
        <v>1</v>
      </c>
      <c r="BG89" s="83">
        <v>2</v>
      </c>
      <c r="BH89" s="83">
        <v>1</v>
      </c>
      <c r="BI89" s="83">
        <v>1</v>
      </c>
      <c r="BJ89" s="104">
        <v>6</v>
      </c>
      <c r="BK89" s="104">
        <v>1.05</v>
      </c>
      <c r="BL89" s="107">
        <f t="shared" si="90"/>
        <v>1.0510550504206344</v>
      </c>
      <c r="BM89" s="107">
        <f t="shared" si="91"/>
        <v>1.0722009304576894</v>
      </c>
      <c r="BN89" s="107" t="str">
        <f t="shared" si="92"/>
        <v>(2,1,1,2,1,1)</v>
      </c>
      <c r="BO89" s="108">
        <v>1.05</v>
      </c>
      <c r="BP89" s="108">
        <v>1</v>
      </c>
      <c r="BQ89" s="108">
        <v>1</v>
      </c>
      <c r="BR89" s="108">
        <v>1.01</v>
      </c>
      <c r="BS89" s="108">
        <v>1</v>
      </c>
      <c r="BT89" s="108">
        <v>1</v>
      </c>
      <c r="BV89" s="160"/>
      <c r="BW89" s="83" t="s">
        <v>106</v>
      </c>
      <c r="BX89" s="83" t="s">
        <v>106</v>
      </c>
      <c r="BY89" s="83" t="s">
        <v>106</v>
      </c>
      <c r="BZ89" s="83" t="s">
        <v>106</v>
      </c>
      <c r="CA89" s="83" t="s">
        <v>106</v>
      </c>
      <c r="CB89" s="83" t="s">
        <v>106</v>
      </c>
      <c r="CC89" s="104">
        <v>6</v>
      </c>
      <c r="CD89" s="104">
        <v>1.05</v>
      </c>
      <c r="CE89" s="107">
        <f t="shared" si="93"/>
        <v>1</v>
      </c>
      <c r="CF89" s="107">
        <f t="shared" si="94"/>
        <v>1.05</v>
      </c>
      <c r="CG89" s="107" t="str">
        <f t="shared" si="95"/>
        <v>(na,na,na,na,na,na)</v>
      </c>
      <c r="CH89" s="108">
        <v>1</v>
      </c>
      <c r="CI89" s="108">
        <v>1</v>
      </c>
      <c r="CJ89" s="108">
        <v>1</v>
      </c>
      <c r="CK89" s="108">
        <v>1</v>
      </c>
      <c r="CL89" s="108">
        <v>1</v>
      </c>
      <c r="CM89" s="108">
        <v>1</v>
      </c>
    </row>
    <row r="90" spans="1:91" s="171" customFormat="1" ht="24" hidden="1" outlineLevel="1">
      <c r="A90" s="333">
        <v>268853</v>
      </c>
      <c r="B90" s="216"/>
      <c r="C90" s="334"/>
      <c r="D90" s="342">
        <v>5</v>
      </c>
      <c r="E90" s="343" t="s">
        <v>98</v>
      </c>
      <c r="F90" s="437" t="s">
        <v>514</v>
      </c>
      <c r="G90" s="438" t="s">
        <v>103</v>
      </c>
      <c r="H90" s="439" t="s">
        <v>98</v>
      </c>
      <c r="I90" s="439" t="s">
        <v>98</v>
      </c>
      <c r="J90" s="335">
        <v>0</v>
      </c>
      <c r="K90" s="438" t="s">
        <v>96</v>
      </c>
      <c r="L90" s="440">
        <f>AJ90</f>
        <v>4.16048381877023E-3</v>
      </c>
      <c r="M90" s="336">
        <v>1</v>
      </c>
      <c r="N90" s="337">
        <f t="shared" si="75"/>
        <v>1.0722009304576894</v>
      </c>
      <c r="O90" s="455" t="str">
        <f t="shared" si="67"/>
        <v>(2,1,1,2,1,1); Industry data (French tender)</v>
      </c>
      <c r="P90" s="440">
        <v>4.23966789667897E-4</v>
      </c>
      <c r="Q90" s="336">
        <v>1</v>
      </c>
      <c r="R90" s="337">
        <f t="shared" si="76"/>
        <v>1.0722009304576894</v>
      </c>
      <c r="S90" s="455" t="str">
        <f t="shared" si="68"/>
        <v>(2,1,1,2,1,1); Industry data (French tender)</v>
      </c>
      <c r="T90" s="440">
        <f>L90</f>
        <v>4.16048381877023E-3</v>
      </c>
      <c r="U90" s="336">
        <v>1</v>
      </c>
      <c r="V90" s="337">
        <f t="shared" si="78"/>
        <v>1.0722009304576894</v>
      </c>
      <c r="W90" s="437" t="str">
        <f t="shared" si="69"/>
        <v>(2,1,1,2,1,1); Industry data (French tender)</v>
      </c>
      <c r="X90" s="440">
        <v>4.23966789667897E-4</v>
      </c>
      <c r="Y90" s="336">
        <v>1</v>
      </c>
      <c r="Z90" s="337">
        <f t="shared" si="79"/>
        <v>1.0722009304576894</v>
      </c>
      <c r="AA90" s="437" t="str">
        <f t="shared" si="70"/>
        <v>(2,1,1,2,1,1); Industry data (French tender)</v>
      </c>
      <c r="AB90" s="440">
        <f>L90</f>
        <v>4.16048381877023E-3</v>
      </c>
      <c r="AC90" s="336">
        <v>1</v>
      </c>
      <c r="AD90" s="337">
        <f t="shared" si="81"/>
        <v>1.0722009304576894</v>
      </c>
      <c r="AE90" s="455" t="str">
        <f t="shared" si="71"/>
        <v>(2,1,1,2,1,1); Industry data (French tender)</v>
      </c>
      <c r="AF90" s="440">
        <v>4.23966789667897E-4</v>
      </c>
      <c r="AG90" s="336">
        <v>1</v>
      </c>
      <c r="AH90" s="337">
        <f t="shared" si="82"/>
        <v>1.0722009304576894</v>
      </c>
      <c r="AI90" s="455" t="str">
        <f t="shared" si="72"/>
        <v>(2,1,1,2,1,1); Industry data (French tender)</v>
      </c>
      <c r="AJ90" s="440">
        <f>BA90</f>
        <v>4.16048381877023E-3</v>
      </c>
      <c r="AK90" s="336">
        <v>1</v>
      </c>
      <c r="AL90" s="337">
        <f t="shared" si="83"/>
        <v>1.0722009304576894</v>
      </c>
      <c r="AM90" s="455" t="str">
        <f t="shared" si="84"/>
        <v>(2,1,1,2,1,1); Industry data (French tender)</v>
      </c>
      <c r="AN90" s="440">
        <v>4.23966789667897E-4</v>
      </c>
      <c r="AO90" s="336">
        <v>1</v>
      </c>
      <c r="AP90" s="337">
        <f t="shared" si="85"/>
        <v>1.0722009304576894</v>
      </c>
      <c r="AQ90" s="437" t="str">
        <f t="shared" si="73"/>
        <v>(2,1,1,2,1,1); Industry data (French tender)</v>
      </c>
      <c r="AR90" s="440">
        <v>0</v>
      </c>
      <c r="AS90" s="336">
        <v>1</v>
      </c>
      <c r="AT90" s="337">
        <f t="shared" si="86"/>
        <v>1.05</v>
      </c>
      <c r="AU90" s="455" t="str">
        <f t="shared" si="87"/>
        <v xml:space="preserve">(na,na,na,na,na,na); </v>
      </c>
      <c r="AV90" s="440">
        <v>0</v>
      </c>
      <c r="AW90" s="336">
        <v>1</v>
      </c>
      <c r="AX90" s="337">
        <f t="shared" si="88"/>
        <v>1.05</v>
      </c>
      <c r="AY90" s="437" t="str">
        <f t="shared" si="89"/>
        <v xml:space="preserve">(na,na,na,na,na,na); </v>
      </c>
      <c r="AZ90" s="338"/>
      <c r="BA90" s="440">
        <v>4.16048381877023E-3</v>
      </c>
      <c r="BB90" s="440"/>
      <c r="BC90" s="216" t="s">
        <v>462</v>
      </c>
      <c r="BD90" s="83">
        <v>2</v>
      </c>
      <c r="BE90" s="83">
        <v>1</v>
      </c>
      <c r="BF90" s="83">
        <v>1</v>
      </c>
      <c r="BG90" s="83">
        <v>2</v>
      </c>
      <c r="BH90" s="83">
        <v>1</v>
      </c>
      <c r="BI90" s="83">
        <v>1</v>
      </c>
      <c r="BJ90" s="104">
        <v>6</v>
      </c>
      <c r="BK90" s="104">
        <v>1.05</v>
      </c>
      <c r="BL90" s="107">
        <f t="shared" si="90"/>
        <v>1.0510550504206344</v>
      </c>
      <c r="BM90" s="107">
        <f t="shared" si="91"/>
        <v>1.0722009304576894</v>
      </c>
      <c r="BN90" s="107" t="str">
        <f t="shared" si="92"/>
        <v>(2,1,1,2,1,1)</v>
      </c>
      <c r="BO90" s="108">
        <v>1.05</v>
      </c>
      <c r="BP90" s="108">
        <v>1</v>
      </c>
      <c r="BQ90" s="108">
        <v>1</v>
      </c>
      <c r="BR90" s="108">
        <v>1.01</v>
      </c>
      <c r="BS90" s="108">
        <v>1</v>
      </c>
      <c r="BT90" s="108">
        <v>1</v>
      </c>
      <c r="BV90" s="160"/>
      <c r="BW90" s="83" t="s">
        <v>106</v>
      </c>
      <c r="BX90" s="83" t="s">
        <v>106</v>
      </c>
      <c r="BY90" s="83" t="s">
        <v>106</v>
      </c>
      <c r="BZ90" s="83" t="s">
        <v>106</v>
      </c>
      <c r="CA90" s="83" t="s">
        <v>106</v>
      </c>
      <c r="CB90" s="83" t="s">
        <v>106</v>
      </c>
      <c r="CC90" s="104">
        <v>6</v>
      </c>
      <c r="CD90" s="104">
        <v>1.05</v>
      </c>
      <c r="CE90" s="107">
        <f t="shared" si="93"/>
        <v>1</v>
      </c>
      <c r="CF90" s="107">
        <f t="shared" si="94"/>
        <v>1.05</v>
      </c>
      <c r="CG90" s="107" t="str">
        <f t="shared" si="95"/>
        <v>(na,na,na,na,na,na)</v>
      </c>
      <c r="CH90" s="108">
        <v>1</v>
      </c>
      <c r="CI90" s="108">
        <v>1</v>
      </c>
      <c r="CJ90" s="108">
        <v>1</v>
      </c>
      <c r="CK90" s="108">
        <v>1</v>
      </c>
      <c r="CL90" s="108">
        <v>1</v>
      </c>
      <c r="CM90" s="108">
        <v>1</v>
      </c>
    </row>
    <row r="91" spans="1:91" s="171" customFormat="1" ht="24" collapsed="1">
      <c r="A91" s="333">
        <v>157753</v>
      </c>
      <c r="B91" s="216"/>
      <c r="C91" s="334"/>
      <c r="D91" s="342">
        <v>5</v>
      </c>
      <c r="E91" s="343" t="s">
        <v>98</v>
      </c>
      <c r="F91" s="437" t="s">
        <v>515</v>
      </c>
      <c r="G91" s="438" t="s">
        <v>103</v>
      </c>
      <c r="H91" s="439" t="s">
        <v>98</v>
      </c>
      <c r="I91" s="439" t="s">
        <v>98</v>
      </c>
      <c r="J91" s="335">
        <v>0</v>
      </c>
      <c r="K91" s="438" t="s">
        <v>96</v>
      </c>
      <c r="L91" s="440">
        <f>AJ91</f>
        <v>7.5886888349514597E-2</v>
      </c>
      <c r="M91" s="336">
        <v>1</v>
      </c>
      <c r="N91" s="337">
        <f t="shared" si="75"/>
        <v>1.0722009304576894</v>
      </c>
      <c r="O91" s="455" t="str">
        <f t="shared" si="67"/>
        <v>(2,1,1,2,1,1); Industry data (French tender)</v>
      </c>
      <c r="P91" s="440">
        <v>2.5951492250922501E-2</v>
      </c>
      <c r="Q91" s="336">
        <v>1</v>
      </c>
      <c r="R91" s="337">
        <f t="shared" si="76"/>
        <v>1.0722009304576894</v>
      </c>
      <c r="S91" s="455" t="str">
        <f t="shared" si="68"/>
        <v>(2,1,1,2,1,1); Industry data (French tender)</v>
      </c>
      <c r="T91" s="440">
        <f>L91</f>
        <v>7.5886888349514597E-2</v>
      </c>
      <c r="U91" s="336">
        <v>1</v>
      </c>
      <c r="V91" s="337">
        <f t="shared" si="78"/>
        <v>1.0722009304576894</v>
      </c>
      <c r="W91" s="437" t="str">
        <f t="shared" si="69"/>
        <v>(2,1,1,2,1,1); Industry data (French tender)</v>
      </c>
      <c r="X91" s="440">
        <v>2.5951492250922501E-2</v>
      </c>
      <c r="Y91" s="336">
        <v>1</v>
      </c>
      <c r="Z91" s="337">
        <f t="shared" si="79"/>
        <v>1.0722009304576894</v>
      </c>
      <c r="AA91" s="437" t="str">
        <f t="shared" si="70"/>
        <v>(2,1,1,2,1,1); Industry data (French tender)</v>
      </c>
      <c r="AB91" s="440">
        <f>L91</f>
        <v>7.5886888349514597E-2</v>
      </c>
      <c r="AC91" s="336">
        <v>1</v>
      </c>
      <c r="AD91" s="337">
        <f t="shared" si="81"/>
        <v>1.0722009304576894</v>
      </c>
      <c r="AE91" s="455" t="str">
        <f t="shared" si="71"/>
        <v>(2,1,1,2,1,1); Industry data (French tender)</v>
      </c>
      <c r="AF91" s="440">
        <v>2.5951492250922501E-2</v>
      </c>
      <c r="AG91" s="336">
        <v>1</v>
      </c>
      <c r="AH91" s="337">
        <f t="shared" si="82"/>
        <v>1.0722009304576894</v>
      </c>
      <c r="AI91" s="455" t="str">
        <f t="shared" si="72"/>
        <v>(2,1,1,2,1,1); Industry data (French tender)</v>
      </c>
      <c r="AJ91" s="440">
        <f>BA91</f>
        <v>7.5886888349514597E-2</v>
      </c>
      <c r="AK91" s="336">
        <v>1</v>
      </c>
      <c r="AL91" s="337">
        <f t="shared" si="83"/>
        <v>1.0722009304576894</v>
      </c>
      <c r="AM91" s="455" t="str">
        <f t="shared" si="84"/>
        <v>(2,1,1,2,1,1); Industry data (French tender)</v>
      </c>
      <c r="AN91" s="440">
        <v>2.5951492250922501E-2</v>
      </c>
      <c r="AO91" s="336">
        <v>1</v>
      </c>
      <c r="AP91" s="337">
        <f t="shared" si="85"/>
        <v>1.0722009304576894</v>
      </c>
      <c r="AQ91" s="437" t="str">
        <f t="shared" si="73"/>
        <v>(2,1,1,2,1,1); Industry data (French tender)</v>
      </c>
      <c r="AR91" s="440">
        <v>0.70660176544982201</v>
      </c>
      <c r="AS91" s="336">
        <v>1</v>
      </c>
      <c r="AT91" s="337">
        <f t="shared" si="86"/>
        <v>1.2434566510799234</v>
      </c>
      <c r="AU91" s="455" t="str">
        <f t="shared" si="87"/>
        <v>(2,4,1,3,1,5); Brailovsky (2026) GP 06b</v>
      </c>
      <c r="AV91" s="440">
        <v>0.70660176544982201</v>
      </c>
      <c r="AW91" s="336">
        <v>1</v>
      </c>
      <c r="AX91" s="337">
        <f t="shared" si="88"/>
        <v>1.2434566510799234</v>
      </c>
      <c r="AY91" s="437" t="str">
        <f t="shared" si="89"/>
        <v>(2,4,1,3,1,5); Brailovsky (2026) GP 06b</v>
      </c>
      <c r="AZ91" s="338"/>
      <c r="BA91" s="440">
        <v>7.5886888349514597E-2</v>
      </c>
      <c r="BB91" s="440"/>
      <c r="BC91" s="216" t="s">
        <v>462</v>
      </c>
      <c r="BD91" s="83">
        <v>2</v>
      </c>
      <c r="BE91" s="83">
        <v>1</v>
      </c>
      <c r="BF91" s="83">
        <v>1</v>
      </c>
      <c r="BG91" s="83">
        <v>2</v>
      </c>
      <c r="BH91" s="83">
        <v>1</v>
      </c>
      <c r="BI91" s="83">
        <v>1</v>
      </c>
      <c r="BJ91" s="104">
        <v>6</v>
      </c>
      <c r="BK91" s="104">
        <v>1.05</v>
      </c>
      <c r="BL91" s="107">
        <f t="shared" si="90"/>
        <v>1.0510550504206344</v>
      </c>
      <c r="BM91" s="107">
        <f t="shared" si="91"/>
        <v>1.0722009304576894</v>
      </c>
      <c r="BN91" s="107" t="str">
        <f t="shared" si="92"/>
        <v>(2,1,1,2,1,1)</v>
      </c>
      <c r="BO91" s="108">
        <v>1.05</v>
      </c>
      <c r="BP91" s="108">
        <v>1</v>
      </c>
      <c r="BQ91" s="108">
        <v>1</v>
      </c>
      <c r="BR91" s="108">
        <v>1.01</v>
      </c>
      <c r="BS91" s="108">
        <v>1</v>
      </c>
      <c r="BT91" s="108">
        <v>1</v>
      </c>
      <c r="BV91" s="160" t="s">
        <v>978</v>
      </c>
      <c r="BW91" s="83">
        <v>2</v>
      </c>
      <c r="BX91" s="83">
        <v>4</v>
      </c>
      <c r="BY91" s="83">
        <v>1</v>
      </c>
      <c r="BZ91" s="83">
        <v>3</v>
      </c>
      <c r="CA91" s="83">
        <v>1</v>
      </c>
      <c r="CB91" s="83">
        <v>5</v>
      </c>
      <c r="CC91" s="104">
        <v>6</v>
      </c>
      <c r="CD91" s="104">
        <v>1.05</v>
      </c>
      <c r="CE91" s="107">
        <f t="shared" si="93"/>
        <v>1.2365959919080913</v>
      </c>
      <c r="CF91" s="107">
        <f t="shared" si="94"/>
        <v>1.2434566510799234</v>
      </c>
      <c r="CG91" s="107" t="str">
        <f t="shared" si="95"/>
        <v>(2,4,1,3,1,5)</v>
      </c>
      <c r="CH91" s="108">
        <v>1.05</v>
      </c>
      <c r="CI91" s="108">
        <v>1.1000000000000001</v>
      </c>
      <c r="CJ91" s="108">
        <v>1</v>
      </c>
      <c r="CK91" s="108">
        <v>1.02</v>
      </c>
      <c r="CL91" s="108">
        <v>1</v>
      </c>
      <c r="CM91" s="108">
        <v>1.2</v>
      </c>
    </row>
    <row r="92" spans="1:91" s="171" customFormat="1" ht="48">
      <c r="A92" s="333">
        <v>21844</v>
      </c>
      <c r="B92" s="216" t="s">
        <v>287</v>
      </c>
      <c r="C92" s="334"/>
      <c r="D92" s="342" t="s">
        <v>98</v>
      </c>
      <c r="E92" s="343">
        <v>4</v>
      </c>
      <c r="F92" s="437" t="s">
        <v>121</v>
      </c>
      <c r="G92" s="438" t="s">
        <v>98</v>
      </c>
      <c r="H92" s="439" t="s">
        <v>247</v>
      </c>
      <c r="I92" s="439" t="s">
        <v>258</v>
      </c>
      <c r="J92" s="335" t="s">
        <v>98</v>
      </c>
      <c r="K92" s="438" t="s">
        <v>104</v>
      </c>
      <c r="L92" s="440">
        <f>AJ92</f>
        <v>59.714563106796113</v>
      </c>
      <c r="M92" s="336">
        <v>1</v>
      </c>
      <c r="N92" s="337">
        <f t="shared" si="75"/>
        <v>1.3965935359732646</v>
      </c>
      <c r="O92" s="455" t="str">
        <f t="shared" si="67"/>
        <v>(4,4,4,3,1,5); Calculation based on electricity use</v>
      </c>
      <c r="P92" s="440">
        <f>AN92</f>
        <v>71.619409594095842</v>
      </c>
      <c r="Q92" s="336">
        <v>1</v>
      </c>
      <c r="R92" s="337">
        <f t="shared" si="76"/>
        <v>1.3965935359732646</v>
      </c>
      <c r="S92" s="455" t="str">
        <f t="shared" si="68"/>
        <v>(4,4,4,3,1,5); Calculation based on electricity use</v>
      </c>
      <c r="T92" s="440">
        <f>L92</f>
        <v>59.714563106796113</v>
      </c>
      <c r="U92" s="336">
        <v>1</v>
      </c>
      <c r="V92" s="337">
        <f t="shared" si="78"/>
        <v>1.3965935359732646</v>
      </c>
      <c r="W92" s="437" t="str">
        <f t="shared" si="69"/>
        <v>(4,4,4,3,1,5); Calculation based on electricity use</v>
      </c>
      <c r="X92" s="440">
        <f>AN92</f>
        <v>71.619409594095842</v>
      </c>
      <c r="Y92" s="336">
        <v>1</v>
      </c>
      <c r="Z92" s="337">
        <f t="shared" si="79"/>
        <v>1.3965935359732646</v>
      </c>
      <c r="AA92" s="437" t="str">
        <f t="shared" si="70"/>
        <v>(4,4,4,3,1,5); Calculation based on electricity use</v>
      </c>
      <c r="AB92" s="440">
        <f>AJ92</f>
        <v>59.714563106796113</v>
      </c>
      <c r="AC92" s="336">
        <v>1</v>
      </c>
      <c r="AD92" s="337">
        <f t="shared" si="81"/>
        <v>1.3965935359732646</v>
      </c>
      <c r="AE92" s="455" t="str">
        <f t="shared" si="71"/>
        <v>(4,4,4,3,1,5); Calculation based on electricity use</v>
      </c>
      <c r="AF92" s="440">
        <f>AN92</f>
        <v>71.619409594095842</v>
      </c>
      <c r="AG92" s="336">
        <v>1</v>
      </c>
      <c r="AH92" s="337">
        <f t="shared" si="82"/>
        <v>1.3965935359732646</v>
      </c>
      <c r="AI92" s="455" t="str">
        <f t="shared" si="72"/>
        <v>(4,4,4,3,1,5); Calculation based on electricity use</v>
      </c>
      <c r="AJ92" s="440">
        <f>AJ79*3.6</f>
        <v>59.714563106796113</v>
      </c>
      <c r="AK92" s="336">
        <v>1</v>
      </c>
      <c r="AL92" s="337">
        <f t="shared" si="83"/>
        <v>1.3965935359732646</v>
      </c>
      <c r="AM92" s="455" t="str">
        <f t="shared" si="84"/>
        <v>(4,4,4,3,1,5); Calculation based on electricity use</v>
      </c>
      <c r="AN92" s="440">
        <f>AN79*3.6</f>
        <v>71.619409594095842</v>
      </c>
      <c r="AO92" s="336">
        <v>1</v>
      </c>
      <c r="AP92" s="337">
        <f t="shared" si="85"/>
        <v>1.3965935359732646</v>
      </c>
      <c r="AQ92" s="437" t="str">
        <f t="shared" si="73"/>
        <v>(4,4,4,3,1,5); Calculation based on electricity use</v>
      </c>
      <c r="AR92" s="440">
        <f>3.6*AR80+AR81</f>
        <v>42.155103055783428</v>
      </c>
      <c r="AS92" s="336">
        <v>1</v>
      </c>
      <c r="AT92" s="337">
        <f t="shared" si="86"/>
        <v>1.3440316373092398</v>
      </c>
      <c r="AU92" s="455" t="str">
        <f t="shared" si="87"/>
        <v>(3,4,4,3,1,5); Calculation based on electricity and heat use</v>
      </c>
      <c r="AV92" s="440">
        <f>3.6*AV71+AV81</f>
        <v>42.155103055783428</v>
      </c>
      <c r="AW92" s="336">
        <v>1</v>
      </c>
      <c r="AX92" s="337">
        <f t="shared" si="88"/>
        <v>1.3440316373092398</v>
      </c>
      <c r="AY92" s="437" t="str">
        <f t="shared" si="89"/>
        <v>(3,4,4,3,1,5); Calculation based on electricity and heat use</v>
      </c>
      <c r="AZ92" s="338"/>
      <c r="BA92" s="440">
        <v>0</v>
      </c>
      <c r="BB92" s="440"/>
      <c r="BC92" s="216" t="s">
        <v>1008</v>
      </c>
      <c r="BD92" s="83">
        <v>4</v>
      </c>
      <c r="BE92" s="83">
        <v>4</v>
      </c>
      <c r="BF92" s="83">
        <v>4</v>
      </c>
      <c r="BG92" s="83">
        <v>3</v>
      </c>
      <c r="BH92" s="83">
        <v>1</v>
      </c>
      <c r="BI92" s="83">
        <v>5</v>
      </c>
      <c r="BJ92" s="104">
        <v>13</v>
      </c>
      <c r="BK92" s="104">
        <v>1.05</v>
      </c>
      <c r="BL92" s="107">
        <f t="shared" si="90"/>
        <v>1.3915993050235766</v>
      </c>
      <c r="BM92" s="107">
        <f t="shared" si="91"/>
        <v>1.3965935359732646</v>
      </c>
      <c r="BN92" s="107" t="str">
        <f t="shared" si="92"/>
        <v>(4,4,4,3,1,5)</v>
      </c>
      <c r="BO92" s="108">
        <v>1.2</v>
      </c>
      <c r="BP92" s="108">
        <v>1.1000000000000001</v>
      </c>
      <c r="BQ92" s="108">
        <v>1.2</v>
      </c>
      <c r="BR92" s="108">
        <v>1.02</v>
      </c>
      <c r="BS92" s="108">
        <v>1</v>
      </c>
      <c r="BT92" s="108">
        <v>1.2</v>
      </c>
      <c r="BV92" s="160" t="s">
        <v>1009</v>
      </c>
      <c r="BW92" s="83">
        <v>3</v>
      </c>
      <c r="BX92" s="83">
        <v>4</v>
      </c>
      <c r="BY92" s="83">
        <v>4</v>
      </c>
      <c r="BZ92" s="83">
        <v>3</v>
      </c>
      <c r="CA92" s="83">
        <v>1</v>
      </c>
      <c r="CB92" s="83">
        <v>5</v>
      </c>
      <c r="CC92" s="104">
        <v>13</v>
      </c>
      <c r="CD92" s="104">
        <v>1.05</v>
      </c>
      <c r="CE92" s="107">
        <f t="shared" si="93"/>
        <v>1.3385948990307144</v>
      </c>
      <c r="CF92" s="107">
        <f t="shared" si="94"/>
        <v>1.3440316373092398</v>
      </c>
      <c r="CG92" s="107" t="str">
        <f t="shared" si="95"/>
        <v>(3,4,4,3,1,5)</v>
      </c>
      <c r="CH92" s="108">
        <v>1.1000000000000001</v>
      </c>
      <c r="CI92" s="108">
        <v>1.1000000000000001</v>
      </c>
      <c r="CJ92" s="108">
        <v>1.2</v>
      </c>
      <c r="CK92" s="108">
        <v>1.02</v>
      </c>
      <c r="CL92" s="108">
        <v>1</v>
      </c>
      <c r="CM92" s="108">
        <v>1.2</v>
      </c>
    </row>
    <row r="93" spans="1:91" s="171" customFormat="1" ht="24">
      <c r="A93" s="333">
        <v>50430</v>
      </c>
      <c r="B93" s="216"/>
      <c r="C93" s="334"/>
      <c r="D93" s="342" t="s">
        <v>98</v>
      </c>
      <c r="E93" s="343">
        <v>4</v>
      </c>
      <c r="F93" s="437" t="s">
        <v>523</v>
      </c>
      <c r="G93" s="438" t="s">
        <v>98</v>
      </c>
      <c r="H93" s="439" t="s">
        <v>247</v>
      </c>
      <c r="I93" s="439" t="s">
        <v>248</v>
      </c>
      <c r="J93" s="335" t="s">
        <v>98</v>
      </c>
      <c r="K93" s="438" t="s">
        <v>96</v>
      </c>
      <c r="L93" s="440">
        <f>0.1*L62</f>
        <v>12.137783171521001</v>
      </c>
      <c r="M93" s="336">
        <v>1</v>
      </c>
      <c r="N93" s="337">
        <f t="shared" si="75"/>
        <v>1.6871983667168997</v>
      </c>
      <c r="O93" s="455" t="str">
        <f t="shared" si="67"/>
        <v>(4,4,4,3,1,5); Assumption: 10% evaporation of process water; Frischknecht &amp; Büsser Knöpfel (2013)</v>
      </c>
      <c r="P93" s="440">
        <f>0.1*P62</f>
        <v>11.906199261992601</v>
      </c>
      <c r="Q93" s="336">
        <v>1</v>
      </c>
      <c r="R93" s="337">
        <f t="shared" si="76"/>
        <v>1.6871983667168997</v>
      </c>
      <c r="S93" s="455" t="str">
        <f t="shared" si="68"/>
        <v>(4,4,4,3,1,5); Assumption: 10% evaporation of process water; Frischknecht &amp; Büsser Knöpfel (2013)</v>
      </c>
      <c r="T93" s="440">
        <v>0</v>
      </c>
      <c r="U93" s="336">
        <v>1</v>
      </c>
      <c r="V93" s="337">
        <f t="shared" si="78"/>
        <v>1.6871983667168997</v>
      </c>
      <c r="W93" s="437" t="str">
        <f t="shared" si="69"/>
        <v>(4,4,4,3,1,5); Assumption: 10% evaporation of process water; Frischknecht &amp; Büsser Knöpfel (2013)</v>
      </c>
      <c r="X93" s="440">
        <f>0.1*X62</f>
        <v>0</v>
      </c>
      <c r="Y93" s="336">
        <v>1</v>
      </c>
      <c r="Z93" s="337">
        <f t="shared" si="79"/>
        <v>1.6871983667168997</v>
      </c>
      <c r="AA93" s="437" t="str">
        <f t="shared" si="70"/>
        <v>(4,4,4,3,1,5); Assumption: 10% evaporation of process water; Frischknecht &amp; Büsser Knöpfel (2013)</v>
      </c>
      <c r="AB93" s="440">
        <v>0</v>
      </c>
      <c r="AC93" s="336">
        <v>1</v>
      </c>
      <c r="AD93" s="337">
        <f t="shared" si="81"/>
        <v>1.6871983667168997</v>
      </c>
      <c r="AE93" s="455" t="str">
        <f t="shared" si="71"/>
        <v>(4,4,4,3,1,5); Assumption: 10% evaporation of process water; Frischknecht &amp; Büsser Knöpfel (2013)</v>
      </c>
      <c r="AF93" s="440">
        <f>0.1*AF62</f>
        <v>0</v>
      </c>
      <c r="AG93" s="336">
        <v>1</v>
      </c>
      <c r="AH93" s="337">
        <f t="shared" si="82"/>
        <v>1.6871983667168997</v>
      </c>
      <c r="AI93" s="455" t="str">
        <f t="shared" si="72"/>
        <v>(4,4,4,3,1,5); Assumption: 10% evaporation of process water; Frischknecht &amp; Büsser Knöpfel (2013)</v>
      </c>
      <c r="AJ93" s="440">
        <v>0</v>
      </c>
      <c r="AK93" s="336">
        <v>1</v>
      </c>
      <c r="AL93" s="337">
        <f t="shared" si="83"/>
        <v>1.6871983667168997</v>
      </c>
      <c r="AM93" s="455" t="str">
        <f t="shared" si="84"/>
        <v>(4,4,4,3,1,5); Assumption: 10% evaporation of process water; Frischknecht &amp; Büsser Knöpfel (2013)</v>
      </c>
      <c r="AN93" s="440">
        <f>0.1*AN62</f>
        <v>0</v>
      </c>
      <c r="AO93" s="336">
        <v>1</v>
      </c>
      <c r="AP93" s="337">
        <f t="shared" si="85"/>
        <v>1.6871983667168997</v>
      </c>
      <c r="AQ93" s="437" t="str">
        <f t="shared" si="73"/>
        <v>(4,4,4,3,1,5); Assumption: 10% evaporation of process water; Frischknecht &amp; Büsser Knöpfel (2013)</v>
      </c>
      <c r="AR93" s="440">
        <v>0</v>
      </c>
      <c r="AS93" s="336">
        <v>1</v>
      </c>
      <c r="AT93" s="337">
        <f t="shared" si="86"/>
        <v>1.6255346238806905</v>
      </c>
      <c r="AU93" s="455" t="str">
        <f t="shared" si="87"/>
        <v>(2,3,4,3,1,5); Brailovsky (2026) GP 06b CN iso DE</v>
      </c>
      <c r="AV93" s="440">
        <v>1.51</v>
      </c>
      <c r="AW93" s="336">
        <v>1</v>
      </c>
      <c r="AX93" s="337">
        <f t="shared" si="88"/>
        <v>1.6255346238806905</v>
      </c>
      <c r="AY93" s="437" t="str">
        <f t="shared" si="89"/>
        <v>(2,3,4,3,1,5); Brailovsky (2026) GP 06b CN iso DE</v>
      </c>
      <c r="AZ93" s="338"/>
      <c r="BA93" s="440">
        <v>0</v>
      </c>
      <c r="BB93" s="440"/>
      <c r="BC93" s="216" t="s">
        <v>656</v>
      </c>
      <c r="BD93" s="83">
        <v>4</v>
      </c>
      <c r="BE93" s="83">
        <v>4</v>
      </c>
      <c r="BF93" s="83">
        <v>4</v>
      </c>
      <c r="BG93" s="83">
        <v>3</v>
      </c>
      <c r="BH93" s="83">
        <v>1</v>
      </c>
      <c r="BI93" s="83">
        <v>5</v>
      </c>
      <c r="BJ93" s="104">
        <v>31</v>
      </c>
      <c r="BK93" s="104">
        <v>1.5</v>
      </c>
      <c r="BL93" s="107">
        <f t="shared" si="90"/>
        <v>1.3915993050235766</v>
      </c>
      <c r="BM93" s="107">
        <f t="shared" si="91"/>
        <v>1.6871983667168997</v>
      </c>
      <c r="BN93" s="107" t="str">
        <f t="shared" si="92"/>
        <v>(4,4,4,3,1,5)</v>
      </c>
      <c r="BO93" s="108">
        <v>1.2</v>
      </c>
      <c r="BP93" s="108">
        <v>1.1000000000000001</v>
      </c>
      <c r="BQ93" s="108">
        <v>1.2</v>
      </c>
      <c r="BR93" s="108">
        <v>1.02</v>
      </c>
      <c r="BS93" s="108">
        <v>1</v>
      </c>
      <c r="BT93" s="108">
        <v>1.2</v>
      </c>
      <c r="BV93" s="160" t="s">
        <v>1010</v>
      </c>
      <c r="BW93" s="83">
        <v>2</v>
      </c>
      <c r="BX93" s="83">
        <v>3</v>
      </c>
      <c r="BY93" s="83">
        <v>4</v>
      </c>
      <c r="BZ93" s="83">
        <v>3</v>
      </c>
      <c r="CA93" s="83">
        <v>1</v>
      </c>
      <c r="CB93" s="83">
        <v>5</v>
      </c>
      <c r="CC93" s="104">
        <v>31</v>
      </c>
      <c r="CD93" s="104">
        <v>1.5</v>
      </c>
      <c r="CE93" s="107">
        <f t="shared" si="93"/>
        <v>1.3068869189023089</v>
      </c>
      <c r="CF93" s="107">
        <f t="shared" si="94"/>
        <v>1.6255346238806905</v>
      </c>
      <c r="CG93" s="107" t="str">
        <f t="shared" si="95"/>
        <v>(2,3,4,3,1,5)</v>
      </c>
      <c r="CH93" s="108">
        <v>1.05</v>
      </c>
      <c r="CI93" s="108">
        <v>1.05</v>
      </c>
      <c r="CJ93" s="108">
        <v>1.2</v>
      </c>
      <c r="CK93" s="108">
        <v>1.02</v>
      </c>
      <c r="CL93" s="108">
        <v>1</v>
      </c>
      <c r="CM93" s="108">
        <v>1.2</v>
      </c>
    </row>
    <row r="94" spans="1:91" s="171" customFormat="1" ht="24" hidden="1" outlineLevel="1">
      <c r="A94" s="333">
        <v>156329</v>
      </c>
      <c r="B94" s="216"/>
      <c r="C94" s="334"/>
      <c r="D94" s="342" t="s">
        <v>98</v>
      </c>
      <c r="E94" s="343">
        <v>4</v>
      </c>
      <c r="F94" s="437" t="s">
        <v>524</v>
      </c>
      <c r="G94" s="438" t="s">
        <v>98</v>
      </c>
      <c r="H94" s="439" t="s">
        <v>247</v>
      </c>
      <c r="I94" s="439" t="s">
        <v>248</v>
      </c>
      <c r="J94" s="335" t="s">
        <v>98</v>
      </c>
      <c r="K94" s="438" t="s">
        <v>96</v>
      </c>
      <c r="L94" s="440">
        <v>0</v>
      </c>
      <c r="M94" s="336">
        <v>1</v>
      </c>
      <c r="N94" s="337">
        <f t="shared" si="75"/>
        <v>1.6871983667168997</v>
      </c>
      <c r="O94" s="455" t="str">
        <f t="shared" si="67"/>
        <v>(4,4,4,3,1,5); Assumption: 10% evaporation of process water; Frischknecht &amp; Büsser Knöpfel (2013)</v>
      </c>
      <c r="P94" s="440">
        <v>0</v>
      </c>
      <c r="Q94" s="336">
        <v>1</v>
      </c>
      <c r="R94" s="337">
        <f t="shared" si="76"/>
        <v>1.6871983667168997</v>
      </c>
      <c r="S94" s="455" t="str">
        <f t="shared" si="68"/>
        <v>(4,4,4,3,1,5); Assumption: 10% evaporation of process water; Frischknecht &amp; Büsser Knöpfel (2013)</v>
      </c>
      <c r="T94" s="440">
        <f>0.1*T63</f>
        <v>12.137783171521001</v>
      </c>
      <c r="U94" s="336">
        <v>1</v>
      </c>
      <c r="V94" s="337">
        <f t="shared" si="78"/>
        <v>1.6871983667168997</v>
      </c>
      <c r="W94" s="437" t="str">
        <f t="shared" si="69"/>
        <v>(4,4,4,3,1,5); Assumption: 10% evaporation of process water; Frischknecht &amp; Büsser Knöpfel (2013)</v>
      </c>
      <c r="X94" s="440">
        <f>0.1*X63</f>
        <v>11.906199261992601</v>
      </c>
      <c r="Y94" s="336">
        <v>1</v>
      </c>
      <c r="Z94" s="337">
        <f t="shared" si="79"/>
        <v>1.6871983667168997</v>
      </c>
      <c r="AA94" s="437" t="str">
        <f t="shared" si="70"/>
        <v>(4,4,4,3,1,5); Assumption: 10% evaporation of process water; Frischknecht &amp; Büsser Knöpfel (2013)</v>
      </c>
      <c r="AB94" s="440">
        <v>0</v>
      </c>
      <c r="AC94" s="336">
        <v>1</v>
      </c>
      <c r="AD94" s="337">
        <f t="shared" si="81"/>
        <v>1.6871983667168997</v>
      </c>
      <c r="AE94" s="455" t="str">
        <f t="shared" si="71"/>
        <v>(4,4,4,3,1,5); Assumption: 10% evaporation of process water; Frischknecht &amp; Büsser Knöpfel (2013)</v>
      </c>
      <c r="AF94" s="440">
        <v>0</v>
      </c>
      <c r="AG94" s="336">
        <v>1</v>
      </c>
      <c r="AH94" s="337">
        <f t="shared" si="82"/>
        <v>1.6871983667168997</v>
      </c>
      <c r="AI94" s="455" t="str">
        <f t="shared" si="72"/>
        <v>(4,4,4,3,1,5); Assumption: 10% evaporation of process water; Frischknecht &amp; Büsser Knöpfel (2013)</v>
      </c>
      <c r="AJ94" s="440">
        <v>0</v>
      </c>
      <c r="AK94" s="336">
        <v>1</v>
      </c>
      <c r="AL94" s="337">
        <f t="shared" si="83"/>
        <v>1.6871983667168997</v>
      </c>
      <c r="AM94" s="455" t="str">
        <f t="shared" si="84"/>
        <v>(4,4,4,3,1,5); Assumption: 10% evaporation of process water; Frischknecht &amp; Büsser Knöpfel (2013)</v>
      </c>
      <c r="AN94" s="440">
        <v>0</v>
      </c>
      <c r="AO94" s="336">
        <v>1</v>
      </c>
      <c r="AP94" s="337">
        <f t="shared" si="85"/>
        <v>1.6871983667168997</v>
      </c>
      <c r="AQ94" s="437" t="str">
        <f t="shared" si="73"/>
        <v>(4,4,4,3,1,5); Assumption: 10% evaporation of process water; Frischknecht &amp; Büsser Knöpfel (2013)</v>
      </c>
      <c r="AR94" s="440">
        <v>0</v>
      </c>
      <c r="AS94" s="336">
        <v>1</v>
      </c>
      <c r="AT94" s="337">
        <f t="shared" si="86"/>
        <v>1.5</v>
      </c>
      <c r="AU94" s="455" t="str">
        <f t="shared" si="87"/>
        <v xml:space="preserve">(na,na,na,na,na,na); </v>
      </c>
      <c r="AV94" s="440">
        <v>0</v>
      </c>
      <c r="AW94" s="336">
        <v>1</v>
      </c>
      <c r="AX94" s="337">
        <f t="shared" si="88"/>
        <v>1.5</v>
      </c>
      <c r="AY94" s="437" t="str">
        <f t="shared" si="89"/>
        <v xml:space="preserve">(na,na,na,na,na,na); </v>
      </c>
      <c r="AZ94" s="338"/>
      <c r="BA94" s="440">
        <v>0</v>
      </c>
      <c r="BB94" s="440"/>
      <c r="BC94" s="216" t="s">
        <v>656</v>
      </c>
      <c r="BD94" s="83">
        <v>4</v>
      </c>
      <c r="BE94" s="83">
        <v>4</v>
      </c>
      <c r="BF94" s="83">
        <v>4</v>
      </c>
      <c r="BG94" s="83">
        <v>3</v>
      </c>
      <c r="BH94" s="83">
        <v>1</v>
      </c>
      <c r="BI94" s="83">
        <v>5</v>
      </c>
      <c r="BJ94" s="104">
        <v>31</v>
      </c>
      <c r="BK94" s="104">
        <v>1.5</v>
      </c>
      <c r="BL94" s="107">
        <f t="shared" si="90"/>
        <v>1.3915993050235766</v>
      </c>
      <c r="BM94" s="107">
        <f t="shared" si="91"/>
        <v>1.6871983667168997</v>
      </c>
      <c r="BN94" s="107" t="str">
        <f t="shared" si="92"/>
        <v>(4,4,4,3,1,5)</v>
      </c>
      <c r="BO94" s="108">
        <v>1.2</v>
      </c>
      <c r="BP94" s="108">
        <v>1.1000000000000001</v>
      </c>
      <c r="BQ94" s="108">
        <v>1.2</v>
      </c>
      <c r="BR94" s="108">
        <v>1.02</v>
      </c>
      <c r="BS94" s="108">
        <v>1</v>
      </c>
      <c r="BT94" s="108">
        <v>1.2</v>
      </c>
      <c r="BV94" s="160"/>
      <c r="BW94" s="83" t="s">
        <v>106</v>
      </c>
      <c r="BX94" s="83" t="s">
        <v>106</v>
      </c>
      <c r="BY94" s="83" t="s">
        <v>106</v>
      </c>
      <c r="BZ94" s="83" t="s">
        <v>106</v>
      </c>
      <c r="CA94" s="83" t="s">
        <v>106</v>
      </c>
      <c r="CB94" s="83" t="s">
        <v>106</v>
      </c>
      <c r="CC94" s="104">
        <v>31</v>
      </c>
      <c r="CD94" s="104">
        <v>1.5</v>
      </c>
      <c r="CE94" s="107">
        <f t="shared" si="93"/>
        <v>1</v>
      </c>
      <c r="CF94" s="107">
        <f t="shared" si="94"/>
        <v>1.5</v>
      </c>
      <c r="CG94" s="107" t="str">
        <f t="shared" si="95"/>
        <v>(na,na,na,na,na,na)</v>
      </c>
      <c r="CH94" s="108">
        <v>1</v>
      </c>
      <c r="CI94" s="108">
        <v>1</v>
      </c>
      <c r="CJ94" s="108">
        <v>1</v>
      </c>
      <c r="CK94" s="108">
        <v>1</v>
      </c>
      <c r="CL94" s="108">
        <v>1</v>
      </c>
      <c r="CM94" s="108">
        <v>1</v>
      </c>
    </row>
    <row r="95" spans="1:91" s="171" customFormat="1" ht="24" hidden="1" outlineLevel="1" collapsed="1">
      <c r="A95" s="333">
        <v>51378</v>
      </c>
      <c r="B95" s="216"/>
      <c r="C95" s="334"/>
      <c r="D95" s="342" t="s">
        <v>98</v>
      </c>
      <c r="E95" s="343">
        <v>4</v>
      </c>
      <c r="F95" s="437" t="s">
        <v>525</v>
      </c>
      <c r="G95" s="438" t="s">
        <v>98</v>
      </c>
      <c r="H95" s="439" t="s">
        <v>247</v>
      </c>
      <c r="I95" s="439" t="s">
        <v>248</v>
      </c>
      <c r="J95" s="335" t="s">
        <v>98</v>
      </c>
      <c r="K95" s="438" t="s">
        <v>96</v>
      </c>
      <c r="L95" s="440">
        <v>0</v>
      </c>
      <c r="M95" s="336">
        <v>1</v>
      </c>
      <c r="N95" s="337">
        <f t="shared" si="75"/>
        <v>1.6871983667168997</v>
      </c>
      <c r="O95" s="455" t="str">
        <f t="shared" si="67"/>
        <v>(4,4,4,3,1,5); Assumption: 10% evaporation of process water; Frischknecht &amp; Büsser Knöpfel (2013)</v>
      </c>
      <c r="P95" s="440">
        <v>0</v>
      </c>
      <c r="Q95" s="336">
        <v>1</v>
      </c>
      <c r="R95" s="337">
        <f t="shared" si="76"/>
        <v>1.6871983667168997</v>
      </c>
      <c r="S95" s="455" t="str">
        <f t="shared" si="68"/>
        <v>(4,4,4,3,1,5); Assumption: 10% evaporation of process water; Frischknecht &amp; Büsser Knöpfel (2013)</v>
      </c>
      <c r="T95" s="440">
        <v>0</v>
      </c>
      <c r="U95" s="336">
        <v>1</v>
      </c>
      <c r="V95" s="337">
        <f t="shared" si="78"/>
        <v>1.6871983667168997</v>
      </c>
      <c r="W95" s="437" t="str">
        <f t="shared" si="69"/>
        <v>(4,4,4,3,1,5); Assumption: 10% evaporation of process water; Frischknecht &amp; Büsser Knöpfel (2013)</v>
      </c>
      <c r="X95" s="440">
        <v>0</v>
      </c>
      <c r="Y95" s="336">
        <v>1</v>
      </c>
      <c r="Z95" s="337">
        <f t="shared" si="79"/>
        <v>1.6871983667168997</v>
      </c>
      <c r="AA95" s="437" t="str">
        <f t="shared" si="70"/>
        <v>(4,4,4,3,1,5); Assumption: 10% evaporation of process water; Frischknecht &amp; Büsser Knöpfel (2013)</v>
      </c>
      <c r="AB95" s="440">
        <f>0.1*AB64</f>
        <v>4.3349225612574989</v>
      </c>
      <c r="AC95" s="336">
        <v>1</v>
      </c>
      <c r="AD95" s="337">
        <f t="shared" si="81"/>
        <v>1.6871983667168997</v>
      </c>
      <c r="AE95" s="455" t="str">
        <f t="shared" si="71"/>
        <v>(4,4,4,3,1,5); Assumption: 10% evaporation of process water; Frischknecht &amp; Büsser Knöpfel (2013)</v>
      </c>
      <c r="AF95" s="440">
        <f>0.1*AF64</f>
        <v>4.2522140221402145</v>
      </c>
      <c r="AG95" s="336">
        <v>1</v>
      </c>
      <c r="AH95" s="337">
        <f t="shared" si="82"/>
        <v>1.6871983667168997</v>
      </c>
      <c r="AI95" s="455" t="str">
        <f t="shared" si="72"/>
        <v>(4,4,4,3,1,5); Assumption: 10% evaporation of process water; Frischknecht &amp; Büsser Knöpfel (2013)</v>
      </c>
      <c r="AJ95" s="440">
        <v>0</v>
      </c>
      <c r="AK95" s="336">
        <v>1</v>
      </c>
      <c r="AL95" s="337">
        <f t="shared" si="83"/>
        <v>1.6871983667168997</v>
      </c>
      <c r="AM95" s="455" t="str">
        <f t="shared" si="84"/>
        <v>(4,4,4,3,1,5); Assumption: 10% evaporation of process water; Frischknecht &amp; Büsser Knöpfel (2013)</v>
      </c>
      <c r="AN95" s="440">
        <v>0</v>
      </c>
      <c r="AO95" s="336">
        <v>1</v>
      </c>
      <c r="AP95" s="337">
        <f t="shared" si="85"/>
        <v>1.6871983667168997</v>
      </c>
      <c r="AQ95" s="437" t="str">
        <f t="shared" si="73"/>
        <v>(4,4,4,3,1,5); Assumption: 10% evaporation of process water; Frischknecht &amp; Büsser Knöpfel (2013)</v>
      </c>
      <c r="AR95" s="440">
        <v>0</v>
      </c>
      <c r="AS95" s="336">
        <v>1</v>
      </c>
      <c r="AT95" s="337">
        <f t="shared" si="86"/>
        <v>1.5</v>
      </c>
      <c r="AU95" s="455" t="str">
        <f t="shared" si="87"/>
        <v xml:space="preserve">(na,na,na,na,na,na); </v>
      </c>
      <c r="AV95" s="440">
        <v>0</v>
      </c>
      <c r="AW95" s="336">
        <v>1</v>
      </c>
      <c r="AX95" s="337">
        <f t="shared" si="88"/>
        <v>1.5</v>
      </c>
      <c r="AY95" s="437" t="str">
        <f t="shared" si="89"/>
        <v xml:space="preserve">(na,na,na,na,na,na); </v>
      </c>
      <c r="AZ95" s="338"/>
      <c r="BA95" s="440">
        <v>0</v>
      </c>
      <c r="BB95" s="440"/>
      <c r="BC95" s="216" t="s">
        <v>656</v>
      </c>
      <c r="BD95" s="83">
        <v>4</v>
      </c>
      <c r="BE95" s="83">
        <v>4</v>
      </c>
      <c r="BF95" s="83">
        <v>4</v>
      </c>
      <c r="BG95" s="83">
        <v>3</v>
      </c>
      <c r="BH95" s="83">
        <v>1</v>
      </c>
      <c r="BI95" s="83">
        <v>5</v>
      </c>
      <c r="BJ95" s="104">
        <v>31</v>
      </c>
      <c r="BK95" s="104">
        <v>1.5</v>
      </c>
      <c r="BL95" s="107">
        <f t="shared" si="90"/>
        <v>1.3915993050235766</v>
      </c>
      <c r="BM95" s="107">
        <f t="shared" si="91"/>
        <v>1.6871983667168997</v>
      </c>
      <c r="BN95" s="107" t="str">
        <f t="shared" si="92"/>
        <v>(4,4,4,3,1,5)</v>
      </c>
      <c r="BO95" s="108">
        <v>1.2</v>
      </c>
      <c r="BP95" s="108">
        <v>1.1000000000000001</v>
      </c>
      <c r="BQ95" s="108">
        <v>1.2</v>
      </c>
      <c r="BR95" s="108">
        <v>1.02</v>
      </c>
      <c r="BS95" s="108">
        <v>1</v>
      </c>
      <c r="BT95" s="108">
        <v>1.2</v>
      </c>
      <c r="BV95" s="160"/>
      <c r="BW95" s="83" t="s">
        <v>106</v>
      </c>
      <c r="BX95" s="83" t="s">
        <v>106</v>
      </c>
      <c r="BY95" s="83" t="s">
        <v>106</v>
      </c>
      <c r="BZ95" s="83" t="s">
        <v>106</v>
      </c>
      <c r="CA95" s="83" t="s">
        <v>106</v>
      </c>
      <c r="CB95" s="83" t="s">
        <v>106</v>
      </c>
      <c r="CC95" s="104">
        <v>31</v>
      </c>
      <c r="CD95" s="104">
        <v>1.5</v>
      </c>
      <c r="CE95" s="107">
        <f t="shared" si="93"/>
        <v>1</v>
      </c>
      <c r="CF95" s="107">
        <f t="shared" si="94"/>
        <v>1.5</v>
      </c>
      <c r="CG95" s="107" t="str">
        <f t="shared" si="95"/>
        <v>(na,na,na,na,na,na)</v>
      </c>
      <c r="CH95" s="108">
        <v>1</v>
      </c>
      <c r="CI95" s="108">
        <v>1</v>
      </c>
      <c r="CJ95" s="108">
        <v>1</v>
      </c>
      <c r="CK95" s="108">
        <v>1</v>
      </c>
      <c r="CL95" s="108">
        <v>1</v>
      </c>
      <c r="CM95" s="108">
        <v>1</v>
      </c>
    </row>
    <row r="96" spans="1:91" s="171" customFormat="1" ht="24" hidden="1" outlineLevel="1">
      <c r="A96" s="333">
        <v>27191</v>
      </c>
      <c r="B96" s="216"/>
      <c r="C96" s="334"/>
      <c r="D96" s="342" t="s">
        <v>98</v>
      </c>
      <c r="E96" s="343">
        <v>4</v>
      </c>
      <c r="F96" s="437" t="s">
        <v>657</v>
      </c>
      <c r="G96" s="438" t="s">
        <v>98</v>
      </c>
      <c r="H96" s="439" t="s">
        <v>247</v>
      </c>
      <c r="I96" s="439" t="s">
        <v>248</v>
      </c>
      <c r="J96" s="335" t="s">
        <v>98</v>
      </c>
      <c r="K96" s="438" t="s">
        <v>96</v>
      </c>
      <c r="L96" s="440">
        <v>0</v>
      </c>
      <c r="M96" s="336">
        <v>1</v>
      </c>
      <c r="N96" s="337">
        <f t="shared" si="75"/>
        <v>1.6871983667168997</v>
      </c>
      <c r="O96" s="455" t="str">
        <f t="shared" si="67"/>
        <v>(4,4,4,3,1,5); Assumption: 10% evaporation of process water; Frischknecht &amp; Büsser Knöpfel (2013)</v>
      </c>
      <c r="P96" s="440">
        <v>0</v>
      </c>
      <c r="Q96" s="336">
        <v>1</v>
      </c>
      <c r="R96" s="337">
        <f t="shared" si="76"/>
        <v>1.6871983667168997</v>
      </c>
      <c r="S96" s="455" t="str">
        <f t="shared" si="68"/>
        <v>(4,4,4,3,1,5); Assumption: 10% evaporation of process water; Frischknecht &amp; Büsser Knöpfel (2013)</v>
      </c>
      <c r="T96" s="440">
        <v>0</v>
      </c>
      <c r="U96" s="336">
        <v>1</v>
      </c>
      <c r="V96" s="337">
        <f t="shared" si="78"/>
        <v>1.6871983667168997</v>
      </c>
      <c r="W96" s="437" t="str">
        <f t="shared" si="69"/>
        <v>(4,4,4,3,1,5); Assumption: 10% evaporation of process water; Frischknecht &amp; Büsser Knöpfel (2013)</v>
      </c>
      <c r="X96" s="440">
        <v>0</v>
      </c>
      <c r="Y96" s="336">
        <v>1</v>
      </c>
      <c r="Z96" s="337">
        <f t="shared" si="79"/>
        <v>1.6871983667168997</v>
      </c>
      <c r="AA96" s="437" t="str">
        <f t="shared" si="70"/>
        <v>(4,4,4,3,1,5); Assumption: 10% evaporation of process water; Frischknecht &amp; Büsser Knöpfel (2013)</v>
      </c>
      <c r="AB96" s="440">
        <f>0.1*AB65</f>
        <v>2.8899483741716665</v>
      </c>
      <c r="AC96" s="336">
        <v>1</v>
      </c>
      <c r="AD96" s="337">
        <f t="shared" si="81"/>
        <v>1.6871983667168997</v>
      </c>
      <c r="AE96" s="455" t="str">
        <f t="shared" si="71"/>
        <v>(4,4,4,3,1,5); Assumption: 10% evaporation of process water; Frischknecht &amp; Büsser Knöpfel (2013)</v>
      </c>
      <c r="AF96" s="440">
        <f>0.1*AF65</f>
        <v>2.8348093480934757</v>
      </c>
      <c r="AG96" s="336">
        <v>1</v>
      </c>
      <c r="AH96" s="337">
        <f t="shared" si="82"/>
        <v>1.6871983667168997</v>
      </c>
      <c r="AI96" s="455" t="str">
        <f t="shared" si="72"/>
        <v>(4,4,4,3,1,5); Assumption: 10% evaporation of process water; Frischknecht &amp; Büsser Knöpfel (2013)</v>
      </c>
      <c r="AJ96" s="440">
        <v>0</v>
      </c>
      <c r="AK96" s="336">
        <v>1</v>
      </c>
      <c r="AL96" s="337">
        <f t="shared" si="83"/>
        <v>1.6871983667168997</v>
      </c>
      <c r="AM96" s="455" t="str">
        <f t="shared" si="84"/>
        <v>(4,4,4,3,1,5); Assumption: 10% evaporation of process water; Frischknecht &amp; Büsser Knöpfel (2013)</v>
      </c>
      <c r="AN96" s="440">
        <v>0</v>
      </c>
      <c r="AO96" s="336">
        <v>1</v>
      </c>
      <c r="AP96" s="337">
        <f t="shared" si="85"/>
        <v>1.6871983667168997</v>
      </c>
      <c r="AQ96" s="437" t="str">
        <f t="shared" si="73"/>
        <v>(4,4,4,3,1,5); Assumption: 10% evaporation of process water; Frischknecht &amp; Büsser Knöpfel (2013)</v>
      </c>
      <c r="AR96" s="440">
        <v>0</v>
      </c>
      <c r="AS96" s="336">
        <v>1</v>
      </c>
      <c r="AT96" s="337">
        <f t="shared" si="86"/>
        <v>1.5</v>
      </c>
      <c r="AU96" s="455" t="str">
        <f t="shared" si="87"/>
        <v xml:space="preserve">(na,na,na,na,na,na); </v>
      </c>
      <c r="AV96" s="440">
        <v>0</v>
      </c>
      <c r="AW96" s="336">
        <v>1</v>
      </c>
      <c r="AX96" s="337">
        <f t="shared" si="88"/>
        <v>1.5</v>
      </c>
      <c r="AY96" s="437" t="str">
        <f t="shared" si="89"/>
        <v xml:space="preserve">(na,na,na,na,na,na); </v>
      </c>
      <c r="AZ96" s="338"/>
      <c r="BA96" s="440">
        <v>0</v>
      </c>
      <c r="BB96" s="440"/>
      <c r="BC96" s="216" t="s">
        <v>656</v>
      </c>
      <c r="BD96" s="83">
        <v>4</v>
      </c>
      <c r="BE96" s="83">
        <v>4</v>
      </c>
      <c r="BF96" s="83">
        <v>4</v>
      </c>
      <c r="BG96" s="83">
        <v>3</v>
      </c>
      <c r="BH96" s="83">
        <v>1</v>
      </c>
      <c r="BI96" s="83">
        <v>5</v>
      </c>
      <c r="BJ96" s="104">
        <v>31</v>
      </c>
      <c r="BK96" s="104">
        <v>1.5</v>
      </c>
      <c r="BL96" s="107">
        <f t="shared" si="90"/>
        <v>1.3915993050235766</v>
      </c>
      <c r="BM96" s="107">
        <f t="shared" si="91"/>
        <v>1.6871983667168997</v>
      </c>
      <c r="BN96" s="107" t="str">
        <f t="shared" si="92"/>
        <v>(4,4,4,3,1,5)</v>
      </c>
      <c r="BO96" s="108">
        <v>1.2</v>
      </c>
      <c r="BP96" s="108">
        <v>1.1000000000000001</v>
      </c>
      <c r="BQ96" s="108">
        <v>1.2</v>
      </c>
      <c r="BR96" s="108">
        <v>1.02</v>
      </c>
      <c r="BS96" s="108">
        <v>1</v>
      </c>
      <c r="BT96" s="108">
        <v>1.2</v>
      </c>
      <c r="BV96" s="160"/>
      <c r="BW96" s="83" t="s">
        <v>106</v>
      </c>
      <c r="BX96" s="83" t="s">
        <v>106</v>
      </c>
      <c r="BY96" s="83" t="s">
        <v>106</v>
      </c>
      <c r="BZ96" s="83" t="s">
        <v>106</v>
      </c>
      <c r="CA96" s="83" t="s">
        <v>106</v>
      </c>
      <c r="CB96" s="83" t="s">
        <v>106</v>
      </c>
      <c r="CC96" s="104">
        <v>31</v>
      </c>
      <c r="CD96" s="104">
        <v>1.5</v>
      </c>
      <c r="CE96" s="107">
        <f t="shared" si="93"/>
        <v>1</v>
      </c>
      <c r="CF96" s="107">
        <f t="shared" si="94"/>
        <v>1.5</v>
      </c>
      <c r="CG96" s="107" t="str">
        <f t="shared" si="95"/>
        <v>(na,na,na,na,na,na)</v>
      </c>
      <c r="CH96" s="108">
        <v>1</v>
      </c>
      <c r="CI96" s="108">
        <v>1</v>
      </c>
      <c r="CJ96" s="108">
        <v>1</v>
      </c>
      <c r="CK96" s="108">
        <v>1</v>
      </c>
      <c r="CL96" s="108">
        <v>1</v>
      </c>
      <c r="CM96" s="108">
        <v>1</v>
      </c>
    </row>
    <row r="97" spans="1:91" s="171" customFormat="1" ht="24" hidden="1" outlineLevel="1">
      <c r="A97" s="333" t="s">
        <v>658</v>
      </c>
      <c r="B97" s="216"/>
      <c r="C97" s="334"/>
      <c r="D97" s="342" t="s">
        <v>98</v>
      </c>
      <c r="E97" s="343">
        <v>4</v>
      </c>
      <c r="F97" s="437" t="s">
        <v>659</v>
      </c>
      <c r="G97" s="438" t="s">
        <v>98</v>
      </c>
      <c r="H97" s="439" t="s">
        <v>247</v>
      </c>
      <c r="I97" s="439" t="s">
        <v>248</v>
      </c>
      <c r="J97" s="335" t="s">
        <v>98</v>
      </c>
      <c r="K97" s="438" t="s">
        <v>96</v>
      </c>
      <c r="L97" s="440">
        <v>0</v>
      </c>
      <c r="M97" s="336">
        <v>1</v>
      </c>
      <c r="N97" s="337">
        <f t="shared" si="75"/>
        <v>1.6871983667168997</v>
      </c>
      <c r="O97" s="455" t="str">
        <f t="shared" si="67"/>
        <v>(4,4,4,3,1,5); Assumption: 10% evaporation of process water; Frischknecht &amp; Büsser Knöpfel (2013)</v>
      </c>
      <c r="P97" s="440">
        <v>0</v>
      </c>
      <c r="Q97" s="336">
        <v>1</v>
      </c>
      <c r="R97" s="337">
        <f t="shared" si="76"/>
        <v>1.6871983667168997</v>
      </c>
      <c r="S97" s="455" t="str">
        <f t="shared" si="68"/>
        <v>(4,4,4,3,1,5); Assumption: 10% evaporation of process water; Frischknecht &amp; Büsser Knöpfel (2013)</v>
      </c>
      <c r="T97" s="440">
        <v>0</v>
      </c>
      <c r="U97" s="336">
        <v>1</v>
      </c>
      <c r="V97" s="337">
        <f t="shared" si="78"/>
        <v>1.6871983667168997</v>
      </c>
      <c r="W97" s="437" t="str">
        <f t="shared" si="69"/>
        <v>(4,4,4,3,1,5); Assumption: 10% evaporation of process water; Frischknecht &amp; Büsser Knöpfel (2013)</v>
      </c>
      <c r="X97" s="440">
        <v>0</v>
      </c>
      <c r="Y97" s="336">
        <v>1</v>
      </c>
      <c r="Z97" s="337">
        <f t="shared" si="79"/>
        <v>1.6871983667168997</v>
      </c>
      <c r="AA97" s="437" t="str">
        <f t="shared" si="70"/>
        <v>(4,4,4,3,1,5); Assumption: 10% evaporation of process water; Frischknecht &amp; Büsser Knöpfel (2013)</v>
      </c>
      <c r="AB97" s="440">
        <f>0.1*AB66</f>
        <v>3.0344457928802497</v>
      </c>
      <c r="AC97" s="336">
        <v>1</v>
      </c>
      <c r="AD97" s="337">
        <f t="shared" si="81"/>
        <v>1.6871983667168997</v>
      </c>
      <c r="AE97" s="455" t="str">
        <f t="shared" si="71"/>
        <v>(4,4,4,3,1,5); Assumption: 10% evaporation of process water; Frischknecht &amp; Büsser Knöpfel (2013)</v>
      </c>
      <c r="AF97" s="440">
        <f>0.1*AF66</f>
        <v>2.9765498154981498</v>
      </c>
      <c r="AG97" s="336">
        <v>1</v>
      </c>
      <c r="AH97" s="337">
        <f t="shared" si="82"/>
        <v>1.6871983667168997</v>
      </c>
      <c r="AI97" s="455" t="str">
        <f t="shared" si="72"/>
        <v>(4,4,4,3,1,5); Assumption: 10% evaporation of process water; Frischknecht &amp; Büsser Knöpfel (2013)</v>
      </c>
      <c r="AJ97" s="440">
        <v>0</v>
      </c>
      <c r="AK97" s="336">
        <v>1</v>
      </c>
      <c r="AL97" s="337">
        <f t="shared" si="83"/>
        <v>1.6871983667168997</v>
      </c>
      <c r="AM97" s="455" t="str">
        <f t="shared" si="84"/>
        <v>(4,4,4,3,1,5); Assumption: 10% evaporation of process water; Frischknecht &amp; Büsser Knöpfel (2013)</v>
      </c>
      <c r="AN97" s="440">
        <v>0</v>
      </c>
      <c r="AO97" s="336">
        <v>1</v>
      </c>
      <c r="AP97" s="337">
        <f t="shared" si="85"/>
        <v>1.6871983667168997</v>
      </c>
      <c r="AQ97" s="437" t="str">
        <f t="shared" si="73"/>
        <v>(4,4,4,3,1,5); Assumption: 10% evaporation of process water; Frischknecht &amp; Büsser Knöpfel (2013)</v>
      </c>
      <c r="AR97" s="440">
        <v>0</v>
      </c>
      <c r="AS97" s="336">
        <v>1</v>
      </c>
      <c r="AT97" s="337">
        <f t="shared" si="86"/>
        <v>1.5</v>
      </c>
      <c r="AU97" s="455" t="str">
        <f t="shared" si="87"/>
        <v xml:space="preserve">(na,na,na,na,na,na); </v>
      </c>
      <c r="AV97" s="440">
        <v>0</v>
      </c>
      <c r="AW97" s="336">
        <v>1</v>
      </c>
      <c r="AX97" s="337">
        <f t="shared" si="88"/>
        <v>1.5</v>
      </c>
      <c r="AY97" s="437" t="str">
        <f t="shared" si="89"/>
        <v xml:space="preserve">(na,na,na,na,na,na); </v>
      </c>
      <c r="AZ97" s="338"/>
      <c r="BA97" s="440">
        <v>0</v>
      </c>
      <c r="BB97" s="440"/>
      <c r="BC97" s="216" t="s">
        <v>656</v>
      </c>
      <c r="BD97" s="83">
        <v>4</v>
      </c>
      <c r="BE97" s="83">
        <v>4</v>
      </c>
      <c r="BF97" s="83">
        <v>4</v>
      </c>
      <c r="BG97" s="83">
        <v>3</v>
      </c>
      <c r="BH97" s="83">
        <v>1</v>
      </c>
      <c r="BI97" s="83">
        <v>5</v>
      </c>
      <c r="BJ97" s="104">
        <v>31</v>
      </c>
      <c r="BK97" s="104">
        <v>1.5</v>
      </c>
      <c r="BL97" s="107">
        <f t="shared" si="90"/>
        <v>1.3915993050235766</v>
      </c>
      <c r="BM97" s="107">
        <f t="shared" si="91"/>
        <v>1.6871983667168997</v>
      </c>
      <c r="BN97" s="107" t="str">
        <f t="shared" si="92"/>
        <v>(4,4,4,3,1,5)</v>
      </c>
      <c r="BO97" s="108">
        <v>1.2</v>
      </c>
      <c r="BP97" s="108">
        <v>1.1000000000000001</v>
      </c>
      <c r="BQ97" s="108">
        <v>1.2</v>
      </c>
      <c r="BR97" s="108">
        <v>1.02</v>
      </c>
      <c r="BS97" s="108">
        <v>1</v>
      </c>
      <c r="BT97" s="108">
        <v>1.2</v>
      </c>
      <c r="BV97" s="160"/>
      <c r="BW97" s="83" t="s">
        <v>106</v>
      </c>
      <c r="BX97" s="83" t="s">
        <v>106</v>
      </c>
      <c r="BY97" s="83" t="s">
        <v>106</v>
      </c>
      <c r="BZ97" s="83" t="s">
        <v>106</v>
      </c>
      <c r="CA97" s="83" t="s">
        <v>106</v>
      </c>
      <c r="CB97" s="83" t="s">
        <v>106</v>
      </c>
      <c r="CC97" s="104">
        <v>31</v>
      </c>
      <c r="CD97" s="104">
        <v>1.5</v>
      </c>
      <c r="CE97" s="107">
        <f t="shared" si="93"/>
        <v>1</v>
      </c>
      <c r="CF97" s="107">
        <f t="shared" si="94"/>
        <v>1.5</v>
      </c>
      <c r="CG97" s="107" t="str">
        <f t="shared" si="95"/>
        <v>(na,na,na,na,na,na)</v>
      </c>
      <c r="CH97" s="108">
        <v>1</v>
      </c>
      <c r="CI97" s="108">
        <v>1</v>
      </c>
      <c r="CJ97" s="108">
        <v>1</v>
      </c>
      <c r="CK97" s="108">
        <v>1</v>
      </c>
      <c r="CL97" s="108">
        <v>1</v>
      </c>
      <c r="CM97" s="108">
        <v>1</v>
      </c>
    </row>
    <row r="98" spans="1:91" s="171" customFormat="1" ht="24" hidden="1" outlineLevel="1">
      <c r="A98" s="333">
        <v>46430</v>
      </c>
      <c r="B98" s="216"/>
      <c r="C98" s="334"/>
      <c r="D98" s="342" t="s">
        <v>98</v>
      </c>
      <c r="E98" s="343">
        <v>4</v>
      </c>
      <c r="F98" s="437" t="s">
        <v>623</v>
      </c>
      <c r="G98" s="438" t="s">
        <v>98</v>
      </c>
      <c r="H98" s="439" t="s">
        <v>247</v>
      </c>
      <c r="I98" s="439" t="s">
        <v>248</v>
      </c>
      <c r="J98" s="335" t="s">
        <v>98</v>
      </c>
      <c r="K98" s="438" t="s">
        <v>96</v>
      </c>
      <c r="L98" s="440">
        <v>0</v>
      </c>
      <c r="M98" s="336">
        <v>1</v>
      </c>
      <c r="N98" s="337">
        <f t="shared" si="75"/>
        <v>1.6871983667168997</v>
      </c>
      <c r="O98" s="455" t="str">
        <f t="shared" si="67"/>
        <v>(4,4,4,3,1,5); Assumption: 10% evaporation of process water; Frischknecht &amp; Büsser Knöpfel (2013)</v>
      </c>
      <c r="P98" s="440">
        <v>0</v>
      </c>
      <c r="Q98" s="336">
        <v>1</v>
      </c>
      <c r="R98" s="337">
        <f t="shared" si="76"/>
        <v>1.6871983667168997</v>
      </c>
      <c r="S98" s="455" t="str">
        <f t="shared" si="68"/>
        <v>(4,4,4,3,1,5); Assumption: 10% evaporation of process water; Frischknecht &amp; Büsser Knöpfel (2013)</v>
      </c>
      <c r="T98" s="440">
        <v>0</v>
      </c>
      <c r="U98" s="336">
        <v>1</v>
      </c>
      <c r="V98" s="337">
        <f t="shared" si="78"/>
        <v>1.6871983667168997</v>
      </c>
      <c r="W98" s="437" t="str">
        <f t="shared" si="69"/>
        <v>(4,4,4,3,1,5); Assumption: 10% evaporation of process water; Frischknecht &amp; Büsser Knöpfel (2013)</v>
      </c>
      <c r="X98" s="440">
        <v>0</v>
      </c>
      <c r="Y98" s="336">
        <v>1</v>
      </c>
      <c r="Z98" s="337">
        <f t="shared" si="79"/>
        <v>1.6871983667168997</v>
      </c>
      <c r="AA98" s="437" t="str">
        <f t="shared" si="70"/>
        <v>(4,4,4,3,1,5); Assumption: 10% evaporation of process water; Frischknecht &amp; Büsser Knöpfel (2013)</v>
      </c>
      <c r="AB98" s="440">
        <f>0.1*AB67</f>
        <v>0.86698451225149986</v>
      </c>
      <c r="AC98" s="336">
        <v>1</v>
      </c>
      <c r="AD98" s="337">
        <f t="shared" si="81"/>
        <v>1.6871983667168997</v>
      </c>
      <c r="AE98" s="455" t="str">
        <f t="shared" si="71"/>
        <v>(4,4,4,3,1,5); Assumption: 10% evaporation of process water; Frischknecht &amp; Büsser Knöpfel (2013)</v>
      </c>
      <c r="AF98" s="440">
        <f>0.1*AF67</f>
        <v>0.85044280442804276</v>
      </c>
      <c r="AG98" s="336">
        <v>1</v>
      </c>
      <c r="AH98" s="337">
        <f t="shared" si="82"/>
        <v>1.6871983667168997</v>
      </c>
      <c r="AI98" s="455" t="str">
        <f t="shared" si="72"/>
        <v>(4,4,4,3,1,5); Assumption: 10% evaporation of process water; Frischknecht &amp; Büsser Knöpfel (2013)</v>
      </c>
      <c r="AJ98" s="440">
        <v>0</v>
      </c>
      <c r="AK98" s="336">
        <v>1</v>
      </c>
      <c r="AL98" s="337">
        <f t="shared" si="83"/>
        <v>1.6871983667168997</v>
      </c>
      <c r="AM98" s="455" t="str">
        <f t="shared" si="84"/>
        <v>(4,4,4,3,1,5); Assumption: 10% evaporation of process water; Frischknecht &amp; Büsser Knöpfel (2013)</v>
      </c>
      <c r="AN98" s="440">
        <v>0</v>
      </c>
      <c r="AO98" s="336">
        <v>1</v>
      </c>
      <c r="AP98" s="337">
        <f t="shared" si="85"/>
        <v>1.6871983667168997</v>
      </c>
      <c r="AQ98" s="437" t="str">
        <f t="shared" si="73"/>
        <v>(4,4,4,3,1,5); Assumption: 10% evaporation of process water; Frischknecht &amp; Büsser Knöpfel (2013)</v>
      </c>
      <c r="AR98" s="440">
        <v>0</v>
      </c>
      <c r="AS98" s="336">
        <v>1</v>
      </c>
      <c r="AT98" s="337">
        <f t="shared" si="86"/>
        <v>1.5</v>
      </c>
      <c r="AU98" s="455" t="str">
        <f t="shared" si="87"/>
        <v xml:space="preserve">(na,na,na,na,na,na); </v>
      </c>
      <c r="AV98" s="440">
        <v>0</v>
      </c>
      <c r="AW98" s="336">
        <v>1</v>
      </c>
      <c r="AX98" s="337">
        <f t="shared" si="88"/>
        <v>1.5</v>
      </c>
      <c r="AY98" s="437" t="str">
        <f t="shared" si="89"/>
        <v xml:space="preserve">(na,na,na,na,na,na); </v>
      </c>
      <c r="AZ98" s="338"/>
      <c r="BA98" s="440">
        <v>0</v>
      </c>
      <c r="BB98" s="440"/>
      <c r="BC98" s="216" t="s">
        <v>656</v>
      </c>
      <c r="BD98" s="83">
        <v>4</v>
      </c>
      <c r="BE98" s="83">
        <v>4</v>
      </c>
      <c r="BF98" s="83">
        <v>4</v>
      </c>
      <c r="BG98" s="83">
        <v>3</v>
      </c>
      <c r="BH98" s="83">
        <v>1</v>
      </c>
      <c r="BI98" s="83">
        <v>5</v>
      </c>
      <c r="BJ98" s="104">
        <v>31</v>
      </c>
      <c r="BK98" s="104">
        <v>1.5</v>
      </c>
      <c r="BL98" s="107">
        <f t="shared" si="90"/>
        <v>1.3915993050235766</v>
      </c>
      <c r="BM98" s="107">
        <f t="shared" si="91"/>
        <v>1.6871983667168997</v>
      </c>
      <c r="BN98" s="107" t="str">
        <f t="shared" si="92"/>
        <v>(4,4,4,3,1,5)</v>
      </c>
      <c r="BO98" s="108">
        <v>1.2</v>
      </c>
      <c r="BP98" s="108">
        <v>1.1000000000000001</v>
      </c>
      <c r="BQ98" s="108">
        <v>1.2</v>
      </c>
      <c r="BR98" s="108">
        <v>1.02</v>
      </c>
      <c r="BS98" s="108">
        <v>1</v>
      </c>
      <c r="BT98" s="108">
        <v>1.2</v>
      </c>
      <c r="BV98" s="160"/>
      <c r="BW98" s="83" t="s">
        <v>106</v>
      </c>
      <c r="BX98" s="83" t="s">
        <v>106</v>
      </c>
      <c r="BY98" s="83" t="s">
        <v>106</v>
      </c>
      <c r="BZ98" s="83" t="s">
        <v>106</v>
      </c>
      <c r="CA98" s="83" t="s">
        <v>106</v>
      </c>
      <c r="CB98" s="83" t="s">
        <v>106</v>
      </c>
      <c r="CC98" s="104">
        <v>31</v>
      </c>
      <c r="CD98" s="104">
        <v>1.5</v>
      </c>
      <c r="CE98" s="107">
        <f t="shared" si="93"/>
        <v>1</v>
      </c>
      <c r="CF98" s="107">
        <f t="shared" si="94"/>
        <v>1.5</v>
      </c>
      <c r="CG98" s="107" t="str">
        <f t="shared" si="95"/>
        <v>(na,na,na,na,na,na)</v>
      </c>
      <c r="CH98" s="108">
        <v>1</v>
      </c>
      <c r="CI98" s="108">
        <v>1</v>
      </c>
      <c r="CJ98" s="108">
        <v>1</v>
      </c>
      <c r="CK98" s="108">
        <v>1</v>
      </c>
      <c r="CL98" s="108">
        <v>1</v>
      </c>
      <c r="CM98" s="108">
        <v>1</v>
      </c>
    </row>
    <row r="99" spans="1:91" s="171" customFormat="1" ht="24" hidden="1" outlineLevel="1">
      <c r="A99" s="333">
        <v>84449</v>
      </c>
      <c r="B99" s="216"/>
      <c r="C99" s="334"/>
      <c r="D99" s="342" t="s">
        <v>98</v>
      </c>
      <c r="E99" s="343">
        <v>4</v>
      </c>
      <c r="F99" s="437" t="s">
        <v>1011</v>
      </c>
      <c r="G99" s="438" t="s">
        <v>98</v>
      </c>
      <c r="H99" s="439" t="s">
        <v>247</v>
      </c>
      <c r="I99" s="439" t="s">
        <v>248</v>
      </c>
      <c r="J99" s="335" t="s">
        <v>98</v>
      </c>
      <c r="K99" s="438" t="s">
        <v>96</v>
      </c>
      <c r="L99" s="440">
        <v>0</v>
      </c>
      <c r="M99" s="336">
        <v>1</v>
      </c>
      <c r="N99" s="337">
        <f t="shared" si="75"/>
        <v>1.6871983667168997</v>
      </c>
      <c r="O99" s="455" t="str">
        <f t="shared" si="67"/>
        <v>(4,4,4,3,1,5); Assumption: 10% evaporation of process water; Frischknecht &amp; Büsser Knöpfel (2013)</v>
      </c>
      <c r="P99" s="440">
        <v>0</v>
      </c>
      <c r="Q99" s="336">
        <v>1</v>
      </c>
      <c r="R99" s="337">
        <f t="shared" si="76"/>
        <v>1.6871983667168997</v>
      </c>
      <c r="S99" s="455" t="str">
        <f t="shared" si="68"/>
        <v>(4,4,4,3,1,5); Assumption: 10% evaporation of process water; Frischknecht &amp; Büsser Knöpfel (2013)</v>
      </c>
      <c r="T99" s="440">
        <v>0</v>
      </c>
      <c r="U99" s="336">
        <v>1</v>
      </c>
      <c r="V99" s="337">
        <f t="shared" si="78"/>
        <v>1.6871983667168997</v>
      </c>
      <c r="W99" s="437" t="str">
        <f t="shared" si="69"/>
        <v>(4,4,4,3,1,5); Assumption: 10% evaporation of process water; Frischknecht &amp; Büsser Knöpfel (2013)</v>
      </c>
      <c r="X99" s="440">
        <v>0</v>
      </c>
      <c r="Y99" s="336">
        <v>1</v>
      </c>
      <c r="Z99" s="337">
        <f t="shared" si="79"/>
        <v>1.6871983667168997</v>
      </c>
      <c r="AA99" s="437" t="str">
        <f t="shared" si="70"/>
        <v>(4,4,4,3,1,5); Assumption: 10% evaporation of process water; Frischknecht &amp; Büsser Knöpfel (2013)</v>
      </c>
      <c r="AB99" s="440">
        <f>0.1*AB68</f>
        <v>1.0114819309600831</v>
      </c>
      <c r="AC99" s="336">
        <v>1</v>
      </c>
      <c r="AD99" s="337">
        <f t="shared" si="81"/>
        <v>1.6871983667168997</v>
      </c>
      <c r="AE99" s="455" t="str">
        <f t="shared" si="71"/>
        <v>(4,4,4,3,1,5); Assumption: 10% evaporation of process water; Frischknecht &amp; Büsser Knöpfel (2013)</v>
      </c>
      <c r="AF99" s="440">
        <f>0.1*AF68</f>
        <v>11.906199261992601</v>
      </c>
      <c r="AG99" s="336">
        <v>1</v>
      </c>
      <c r="AH99" s="337">
        <f t="shared" si="82"/>
        <v>1.6871983667168997</v>
      </c>
      <c r="AI99" s="455" t="str">
        <f t="shared" si="72"/>
        <v>(4,4,4,3,1,5); Assumption: 10% evaporation of process water; Frischknecht &amp; Büsser Knöpfel (2013)</v>
      </c>
      <c r="AJ99" s="440">
        <v>0</v>
      </c>
      <c r="AK99" s="336">
        <v>1</v>
      </c>
      <c r="AL99" s="337">
        <f t="shared" si="83"/>
        <v>1.6871983667168997</v>
      </c>
      <c r="AM99" s="455" t="str">
        <f t="shared" si="84"/>
        <v>(4,4,4,3,1,5); Assumption: 10% evaporation of process water; Frischknecht &amp; Büsser Knöpfel (2013)</v>
      </c>
      <c r="AN99" s="440">
        <v>0</v>
      </c>
      <c r="AO99" s="336">
        <v>1</v>
      </c>
      <c r="AP99" s="337">
        <f t="shared" si="85"/>
        <v>1.6871983667168997</v>
      </c>
      <c r="AQ99" s="437" t="str">
        <f t="shared" si="73"/>
        <v>(4,4,4,3,1,5); Assumption: 10% evaporation of process water; Frischknecht &amp; Büsser Knöpfel (2013)</v>
      </c>
      <c r="AR99" s="440">
        <v>0</v>
      </c>
      <c r="AS99" s="336">
        <v>1</v>
      </c>
      <c r="AT99" s="337">
        <f t="shared" si="86"/>
        <v>1.5</v>
      </c>
      <c r="AU99" s="455" t="str">
        <f t="shared" si="87"/>
        <v xml:space="preserve">(na,na,na,na,na,na); </v>
      </c>
      <c r="AV99" s="440">
        <v>0</v>
      </c>
      <c r="AW99" s="336">
        <v>1</v>
      </c>
      <c r="AX99" s="337">
        <f t="shared" si="88"/>
        <v>1.5</v>
      </c>
      <c r="AY99" s="437" t="str">
        <f t="shared" si="89"/>
        <v xml:space="preserve">(na,na,na,na,na,na); </v>
      </c>
      <c r="AZ99" s="338"/>
      <c r="BA99" s="440">
        <v>0</v>
      </c>
      <c r="BB99" s="440"/>
      <c r="BC99" s="216" t="s">
        <v>656</v>
      </c>
      <c r="BD99" s="83">
        <v>4</v>
      </c>
      <c r="BE99" s="83">
        <v>4</v>
      </c>
      <c r="BF99" s="83">
        <v>4</v>
      </c>
      <c r="BG99" s="83">
        <v>3</v>
      </c>
      <c r="BH99" s="83">
        <v>1</v>
      </c>
      <c r="BI99" s="83">
        <v>5</v>
      </c>
      <c r="BJ99" s="104">
        <v>31</v>
      </c>
      <c r="BK99" s="104">
        <v>1.5</v>
      </c>
      <c r="BL99" s="107">
        <f t="shared" si="90"/>
        <v>1.3915993050235766</v>
      </c>
      <c r="BM99" s="107">
        <f t="shared" si="91"/>
        <v>1.6871983667168997</v>
      </c>
      <c r="BN99" s="107" t="str">
        <f t="shared" si="92"/>
        <v>(4,4,4,3,1,5)</v>
      </c>
      <c r="BO99" s="108">
        <v>1.2</v>
      </c>
      <c r="BP99" s="108">
        <v>1.1000000000000001</v>
      </c>
      <c r="BQ99" s="108">
        <v>1.2</v>
      </c>
      <c r="BR99" s="108">
        <v>1.02</v>
      </c>
      <c r="BS99" s="108">
        <v>1</v>
      </c>
      <c r="BT99" s="108">
        <v>1.2</v>
      </c>
      <c r="BV99" s="160"/>
      <c r="BW99" s="83" t="s">
        <v>106</v>
      </c>
      <c r="BX99" s="83" t="s">
        <v>106</v>
      </c>
      <c r="BY99" s="83" t="s">
        <v>106</v>
      </c>
      <c r="BZ99" s="83" t="s">
        <v>106</v>
      </c>
      <c r="CA99" s="83" t="s">
        <v>106</v>
      </c>
      <c r="CB99" s="83" t="s">
        <v>106</v>
      </c>
      <c r="CC99" s="104">
        <v>31</v>
      </c>
      <c r="CD99" s="104">
        <v>1.5</v>
      </c>
      <c r="CE99" s="107">
        <f t="shared" si="93"/>
        <v>1</v>
      </c>
      <c r="CF99" s="107">
        <f t="shared" si="94"/>
        <v>1.5</v>
      </c>
      <c r="CG99" s="107" t="str">
        <f t="shared" si="95"/>
        <v>(na,na,na,na,na,na)</v>
      </c>
      <c r="CH99" s="108">
        <v>1</v>
      </c>
      <c r="CI99" s="108">
        <v>1</v>
      </c>
      <c r="CJ99" s="108">
        <v>1</v>
      </c>
      <c r="CK99" s="108">
        <v>1</v>
      </c>
      <c r="CL99" s="108">
        <v>1</v>
      </c>
      <c r="CM99" s="108">
        <v>1</v>
      </c>
    </row>
    <row r="100" spans="1:91" s="171" customFormat="1" ht="24" hidden="1" outlineLevel="1">
      <c r="A100" s="333">
        <v>75740</v>
      </c>
      <c r="B100" s="216"/>
      <c r="C100" s="334"/>
      <c r="D100" s="342" t="s">
        <v>98</v>
      </c>
      <c r="E100" s="343">
        <v>4</v>
      </c>
      <c r="F100" s="437" t="s">
        <v>521</v>
      </c>
      <c r="G100" s="438" t="s">
        <v>98</v>
      </c>
      <c r="H100" s="439" t="s">
        <v>247</v>
      </c>
      <c r="I100" s="439" t="s">
        <v>248</v>
      </c>
      <c r="J100" s="335" t="s">
        <v>98</v>
      </c>
      <c r="K100" s="438" t="s">
        <v>96</v>
      </c>
      <c r="L100" s="440">
        <v>0</v>
      </c>
      <c r="M100" s="336">
        <v>1</v>
      </c>
      <c r="N100" s="337">
        <f t="shared" si="75"/>
        <v>1.6871983667168997</v>
      </c>
      <c r="O100" s="455" t="str">
        <f t="shared" si="67"/>
        <v>(4,4,4,3,1,5); Assumption: 10% evaporation of process water; Frischknecht &amp; Büsser Knöpfel (2013)</v>
      </c>
      <c r="P100" s="440">
        <v>0</v>
      </c>
      <c r="Q100" s="336">
        <v>1</v>
      </c>
      <c r="R100" s="337">
        <f t="shared" si="76"/>
        <v>1.6871983667168997</v>
      </c>
      <c r="S100" s="455" t="str">
        <f t="shared" si="68"/>
        <v>(4,4,4,3,1,5); Assumption: 10% evaporation of process water; Frischknecht &amp; Büsser Knöpfel (2013)</v>
      </c>
      <c r="T100" s="440">
        <v>0</v>
      </c>
      <c r="U100" s="336">
        <v>1</v>
      </c>
      <c r="V100" s="337">
        <f t="shared" si="78"/>
        <v>1.6871983667168997</v>
      </c>
      <c r="W100" s="437" t="str">
        <f t="shared" si="69"/>
        <v>(4,4,4,3,1,5); Assumption: 10% evaporation of process water; Frischknecht &amp; Büsser Knöpfel (2013)</v>
      </c>
      <c r="X100" s="440">
        <v>0</v>
      </c>
      <c r="Y100" s="336">
        <v>1</v>
      </c>
      <c r="Z100" s="337">
        <f t="shared" si="79"/>
        <v>1.6871983667168997</v>
      </c>
      <c r="AA100" s="437" t="str">
        <f t="shared" si="70"/>
        <v>(4,4,4,3,1,5); Assumption: 10% evaporation of process water; Frischknecht &amp; Büsser Knöpfel (2013)</v>
      </c>
      <c r="AB100" s="440">
        <v>0</v>
      </c>
      <c r="AC100" s="336">
        <v>1</v>
      </c>
      <c r="AD100" s="337">
        <f t="shared" si="81"/>
        <v>1.6871983667168997</v>
      </c>
      <c r="AE100" s="455" t="str">
        <f t="shared" si="71"/>
        <v>(4,4,4,3,1,5); Assumption: 10% evaporation of process water; Frischknecht &amp; Büsser Knöpfel (2013)</v>
      </c>
      <c r="AF100" s="440">
        <v>0</v>
      </c>
      <c r="AG100" s="336">
        <v>1</v>
      </c>
      <c r="AH100" s="337">
        <f t="shared" si="82"/>
        <v>1.6871983667168997</v>
      </c>
      <c r="AI100" s="455" t="str">
        <f t="shared" si="72"/>
        <v>(4,4,4,3,1,5); Assumption: 10% evaporation of process water; Frischknecht &amp; Büsser Knöpfel (2013)</v>
      </c>
      <c r="AJ100" s="440">
        <f>0.1*AJ69</f>
        <v>12.137783171521001</v>
      </c>
      <c r="AK100" s="336">
        <v>1</v>
      </c>
      <c r="AL100" s="337">
        <f t="shared" si="83"/>
        <v>1.6871983667168997</v>
      </c>
      <c r="AM100" s="455" t="str">
        <f t="shared" si="84"/>
        <v>(4,4,4,3,1,5); Assumption: 10% evaporation of process water; Frischknecht &amp; Büsser Knöpfel (2013)</v>
      </c>
      <c r="AN100" s="440">
        <f>0.1*AN69</f>
        <v>11.906199261992601</v>
      </c>
      <c r="AO100" s="336">
        <v>1</v>
      </c>
      <c r="AP100" s="337">
        <f t="shared" si="85"/>
        <v>1.6871983667168997</v>
      </c>
      <c r="AQ100" s="437" t="str">
        <f t="shared" si="73"/>
        <v>(4,4,4,3,1,5); Assumption: 10% evaporation of process water; Frischknecht &amp; Büsser Knöpfel (2013)</v>
      </c>
      <c r="AR100" s="440">
        <v>0</v>
      </c>
      <c r="AS100" s="336">
        <v>1</v>
      </c>
      <c r="AT100" s="337">
        <f t="shared" si="86"/>
        <v>1.5</v>
      </c>
      <c r="AU100" s="455" t="str">
        <f t="shared" si="87"/>
        <v xml:space="preserve">(na,na,na,na,na,na); </v>
      </c>
      <c r="AV100" s="440">
        <v>0</v>
      </c>
      <c r="AW100" s="336">
        <v>1</v>
      </c>
      <c r="AX100" s="337">
        <f t="shared" si="88"/>
        <v>1.5</v>
      </c>
      <c r="AY100" s="437" t="str">
        <f t="shared" si="89"/>
        <v xml:space="preserve">(na,na,na,na,na,na); </v>
      </c>
      <c r="AZ100" s="338"/>
      <c r="BA100" s="440">
        <v>0</v>
      </c>
      <c r="BB100" s="440"/>
      <c r="BC100" s="216" t="s">
        <v>656</v>
      </c>
      <c r="BD100" s="83">
        <v>4</v>
      </c>
      <c r="BE100" s="83">
        <v>4</v>
      </c>
      <c r="BF100" s="83">
        <v>4</v>
      </c>
      <c r="BG100" s="83">
        <v>3</v>
      </c>
      <c r="BH100" s="83">
        <v>1</v>
      </c>
      <c r="BI100" s="83">
        <v>5</v>
      </c>
      <c r="BJ100" s="104">
        <v>31</v>
      </c>
      <c r="BK100" s="104">
        <v>1.5</v>
      </c>
      <c r="BL100" s="107">
        <f t="shared" si="90"/>
        <v>1.3915993050235766</v>
      </c>
      <c r="BM100" s="107">
        <f t="shared" si="91"/>
        <v>1.6871983667168997</v>
      </c>
      <c r="BN100" s="107" t="str">
        <f t="shared" si="92"/>
        <v>(4,4,4,3,1,5)</v>
      </c>
      <c r="BO100" s="108">
        <v>1.2</v>
      </c>
      <c r="BP100" s="108">
        <v>1.1000000000000001</v>
      </c>
      <c r="BQ100" s="108">
        <v>1.2</v>
      </c>
      <c r="BR100" s="108">
        <v>1.02</v>
      </c>
      <c r="BS100" s="108">
        <v>1</v>
      </c>
      <c r="BT100" s="108">
        <v>1.2</v>
      </c>
      <c r="BV100" s="160"/>
      <c r="BW100" s="83" t="s">
        <v>106</v>
      </c>
      <c r="BX100" s="83" t="s">
        <v>106</v>
      </c>
      <c r="BY100" s="83" t="s">
        <v>106</v>
      </c>
      <c r="BZ100" s="83" t="s">
        <v>106</v>
      </c>
      <c r="CA100" s="83" t="s">
        <v>106</v>
      </c>
      <c r="CB100" s="83" t="s">
        <v>106</v>
      </c>
      <c r="CC100" s="104">
        <v>31</v>
      </c>
      <c r="CD100" s="104">
        <v>1.5</v>
      </c>
      <c r="CE100" s="107">
        <f t="shared" si="93"/>
        <v>1</v>
      </c>
      <c r="CF100" s="107">
        <f t="shared" si="94"/>
        <v>1.5</v>
      </c>
      <c r="CG100" s="107" t="str">
        <f t="shared" si="95"/>
        <v>(na,na,na,na,na,na)</v>
      </c>
      <c r="CH100" s="108">
        <v>1</v>
      </c>
      <c r="CI100" s="108">
        <v>1</v>
      </c>
      <c r="CJ100" s="108">
        <v>1</v>
      </c>
      <c r="CK100" s="108">
        <v>1</v>
      </c>
      <c r="CL100" s="108">
        <v>1</v>
      </c>
      <c r="CM100" s="108">
        <v>1</v>
      </c>
    </row>
    <row r="101" spans="1:91" s="171" customFormat="1" collapsed="1">
      <c r="A101" s="333">
        <v>50312</v>
      </c>
      <c r="B101" s="216"/>
      <c r="C101" s="334"/>
      <c r="D101" s="342" t="s">
        <v>98</v>
      </c>
      <c r="E101" s="343">
        <v>4</v>
      </c>
      <c r="F101" s="437" t="s">
        <v>520</v>
      </c>
      <c r="G101" s="438" t="s">
        <v>98</v>
      </c>
      <c r="H101" s="439" t="s">
        <v>247</v>
      </c>
      <c r="I101" s="439" t="s">
        <v>248</v>
      </c>
      <c r="J101" s="335" t="s">
        <v>98</v>
      </c>
      <c r="K101" s="438" t="s">
        <v>96</v>
      </c>
      <c r="L101" s="440">
        <v>0</v>
      </c>
      <c r="M101" s="336">
        <v>1</v>
      </c>
      <c r="N101" s="337">
        <f t="shared" si="75"/>
        <v>1.5</v>
      </c>
      <c r="O101" s="455" t="str">
        <f t="shared" si="67"/>
        <v xml:space="preserve">(na,na,na,na,na,na); </v>
      </c>
      <c r="P101" s="440">
        <v>0</v>
      </c>
      <c r="Q101" s="336">
        <v>1</v>
      </c>
      <c r="R101" s="337">
        <f t="shared" si="76"/>
        <v>1.5</v>
      </c>
      <c r="S101" s="455" t="str">
        <f t="shared" si="68"/>
        <v xml:space="preserve">(na,na,na,na,na,na); </v>
      </c>
      <c r="T101" s="440">
        <v>0</v>
      </c>
      <c r="U101" s="336">
        <v>1</v>
      </c>
      <c r="V101" s="337">
        <f t="shared" si="78"/>
        <v>1.5</v>
      </c>
      <c r="W101" s="437" t="str">
        <f t="shared" si="69"/>
        <v xml:space="preserve">(na,na,na,na,na,na); </v>
      </c>
      <c r="X101" s="440">
        <v>0</v>
      </c>
      <c r="Y101" s="336">
        <v>1</v>
      </c>
      <c r="Z101" s="337">
        <f t="shared" si="79"/>
        <v>1.5</v>
      </c>
      <c r="AA101" s="437" t="str">
        <f t="shared" si="70"/>
        <v xml:space="preserve">(na,na,na,na,na,na); </v>
      </c>
      <c r="AB101" s="440">
        <v>0</v>
      </c>
      <c r="AC101" s="336">
        <v>1</v>
      </c>
      <c r="AD101" s="337">
        <f t="shared" si="81"/>
        <v>1.5</v>
      </c>
      <c r="AE101" s="455" t="str">
        <f t="shared" si="71"/>
        <v xml:space="preserve">(na,na,na,na,na,na); </v>
      </c>
      <c r="AF101" s="440">
        <v>0</v>
      </c>
      <c r="AG101" s="336">
        <v>1</v>
      </c>
      <c r="AH101" s="337">
        <f t="shared" si="82"/>
        <v>1.5</v>
      </c>
      <c r="AI101" s="455" t="str">
        <f t="shared" si="72"/>
        <v xml:space="preserve">(na,na,na,na,na,na); </v>
      </c>
      <c r="AJ101" s="440">
        <f>0.1*AJ70</f>
        <v>0</v>
      </c>
      <c r="AK101" s="336">
        <v>1</v>
      </c>
      <c r="AL101" s="337">
        <f t="shared" si="83"/>
        <v>1.5</v>
      </c>
      <c r="AM101" s="455" t="str">
        <f t="shared" si="84"/>
        <v xml:space="preserve">(na,na,na,na,na,na); </v>
      </c>
      <c r="AN101" s="440">
        <v>0</v>
      </c>
      <c r="AO101" s="336">
        <v>1</v>
      </c>
      <c r="AP101" s="337">
        <f t="shared" si="85"/>
        <v>1.5</v>
      </c>
      <c r="AQ101" s="437" t="str">
        <f t="shared" si="73"/>
        <v xml:space="preserve">(na,na,na,na,na,na); </v>
      </c>
      <c r="AR101" s="440">
        <v>1.51</v>
      </c>
      <c r="AS101" s="336">
        <v>1</v>
      </c>
      <c r="AT101" s="337">
        <f t="shared" si="86"/>
        <v>1.5804528752110836</v>
      </c>
      <c r="AU101" s="455" t="str">
        <f t="shared" si="87"/>
        <v>(2,4,1,3,1,5); Brailovsky (2026) GP 06b</v>
      </c>
      <c r="AV101" s="440">
        <v>0</v>
      </c>
      <c r="AW101" s="336">
        <v>1</v>
      </c>
      <c r="AX101" s="337">
        <f t="shared" si="88"/>
        <v>1.5804528752110836</v>
      </c>
      <c r="AY101" s="437" t="str">
        <f t="shared" si="89"/>
        <v>(2,4,1,3,1,5); Brailovsky (2026) GP 06b</v>
      </c>
      <c r="AZ101" s="338"/>
      <c r="BA101" s="440"/>
      <c r="BB101" s="440"/>
      <c r="BC101" s="216"/>
      <c r="BD101" s="83" t="s">
        <v>106</v>
      </c>
      <c r="BE101" s="83" t="s">
        <v>106</v>
      </c>
      <c r="BF101" s="83" t="s">
        <v>106</v>
      </c>
      <c r="BG101" s="83" t="s">
        <v>106</v>
      </c>
      <c r="BH101" s="83" t="s">
        <v>106</v>
      </c>
      <c r="BI101" s="83" t="s">
        <v>106</v>
      </c>
      <c r="BJ101" s="104">
        <v>31</v>
      </c>
      <c r="BK101" s="104">
        <v>1.5</v>
      </c>
      <c r="BL101" s="107">
        <f t="shared" si="90"/>
        <v>1</v>
      </c>
      <c r="BM101" s="107">
        <f t="shared" si="91"/>
        <v>1.5</v>
      </c>
      <c r="BN101" s="107" t="str">
        <f t="shared" si="92"/>
        <v>(na,na,na,na,na,na)</v>
      </c>
      <c r="BO101" s="108">
        <v>1</v>
      </c>
      <c r="BP101" s="108">
        <v>1</v>
      </c>
      <c r="BQ101" s="108">
        <v>1</v>
      </c>
      <c r="BR101" s="108">
        <v>1</v>
      </c>
      <c r="BS101" s="108">
        <v>1</v>
      </c>
      <c r="BT101" s="108">
        <v>1</v>
      </c>
      <c r="BV101" s="160" t="s">
        <v>978</v>
      </c>
      <c r="BW101" s="83">
        <v>2</v>
      </c>
      <c r="BX101" s="83">
        <v>4</v>
      </c>
      <c r="BY101" s="83">
        <v>1</v>
      </c>
      <c r="BZ101" s="83">
        <v>3</v>
      </c>
      <c r="CA101" s="83">
        <v>1</v>
      </c>
      <c r="CB101" s="83">
        <v>5</v>
      </c>
      <c r="CC101" s="104">
        <v>31</v>
      </c>
      <c r="CD101" s="104">
        <v>1.5</v>
      </c>
      <c r="CE101" s="107">
        <f t="shared" si="93"/>
        <v>1.2365959919080913</v>
      </c>
      <c r="CF101" s="107">
        <f t="shared" si="94"/>
        <v>1.5804528752110836</v>
      </c>
      <c r="CG101" s="107" t="str">
        <f t="shared" si="95"/>
        <v>(2,4,1,3,1,5)</v>
      </c>
      <c r="CH101" s="108">
        <v>1.05</v>
      </c>
      <c r="CI101" s="108">
        <v>1.1000000000000001</v>
      </c>
      <c r="CJ101" s="108">
        <v>1</v>
      </c>
      <c r="CK101" s="108">
        <v>1.02</v>
      </c>
      <c r="CL101" s="108">
        <v>1</v>
      </c>
      <c r="CM101" s="108">
        <v>1.2</v>
      </c>
    </row>
    <row r="102" spans="1:91" s="171" customFormat="1" ht="24" hidden="1" outlineLevel="1">
      <c r="A102" s="333">
        <v>46232</v>
      </c>
      <c r="B102" s="216"/>
      <c r="C102" s="334"/>
      <c r="D102" s="342" t="s">
        <v>98</v>
      </c>
      <c r="E102" s="343">
        <v>4</v>
      </c>
      <c r="F102" s="437" t="s">
        <v>250</v>
      </c>
      <c r="G102" s="438" t="s">
        <v>98</v>
      </c>
      <c r="H102" s="439" t="s">
        <v>247</v>
      </c>
      <c r="I102" s="439" t="s">
        <v>248</v>
      </c>
      <c r="J102" s="335" t="s">
        <v>98</v>
      </c>
      <c r="K102" s="438" t="s">
        <v>96</v>
      </c>
      <c r="L102" s="440">
        <v>1.3806706114398399E-4</v>
      </c>
      <c r="M102" s="336">
        <v>1</v>
      </c>
      <c r="N102" s="337">
        <f t="shared" si="75"/>
        <v>1.6255346238806905</v>
      </c>
      <c r="O102" s="455" t="str">
        <f t="shared" si="67"/>
        <v>(2,3,4,3,1,5); de Wild-Scholten (2014) Life Cycle Assessment of Photovoltaics Status 2011, Part 1 Data Collection (Table 30,31)</v>
      </c>
      <c r="P102" s="440">
        <v>1.3806706114398399E-4</v>
      </c>
      <c r="Q102" s="336">
        <v>1</v>
      </c>
      <c r="R102" s="337">
        <f t="shared" si="76"/>
        <v>1.6255346238806905</v>
      </c>
      <c r="S102" s="455" t="str">
        <f t="shared" si="68"/>
        <v>(2,3,4,3,1,5); de Wild-Scholten (2014) Life Cycle Assessment of Photovoltaics Status 2011, Part 1 Data Collection (Table 30,31)</v>
      </c>
      <c r="T102" s="440">
        <v>1.3806706114398399E-4</v>
      </c>
      <c r="U102" s="336">
        <v>1</v>
      </c>
      <c r="V102" s="337">
        <f t="shared" si="78"/>
        <v>1.6255346238806905</v>
      </c>
      <c r="W102" s="437" t="str">
        <f t="shared" si="69"/>
        <v>(2,3,4,3,1,5); de Wild-Scholten (2014) Life Cycle Assessment of Photovoltaics Status 2011, Part 1 Data Collection (Table 30,31)</v>
      </c>
      <c r="X102" s="440">
        <v>1.3806706114398399E-4</v>
      </c>
      <c r="Y102" s="336">
        <v>1</v>
      </c>
      <c r="Z102" s="337">
        <f t="shared" si="79"/>
        <v>1.6255346238806905</v>
      </c>
      <c r="AA102" s="437" t="str">
        <f t="shared" si="70"/>
        <v>(2,3,4,3,1,5); de Wild-Scholten (2014) Life Cycle Assessment of Photovoltaics Status 2011, Part 1 Data Collection (Table 30,31)</v>
      </c>
      <c r="AB102" s="440">
        <v>1.3806706114398399E-4</v>
      </c>
      <c r="AC102" s="336">
        <v>1</v>
      </c>
      <c r="AD102" s="337">
        <f t="shared" si="81"/>
        <v>1.6255346238806905</v>
      </c>
      <c r="AE102" s="455" t="str">
        <f t="shared" si="71"/>
        <v>(2,3,4,3,1,5); de Wild-Scholten (2014) Life Cycle Assessment of Photovoltaics Status 2011, Part 1 Data Collection (Table 30,31)</v>
      </c>
      <c r="AF102" s="440">
        <v>1.3806706114398399E-4</v>
      </c>
      <c r="AG102" s="336">
        <v>1</v>
      </c>
      <c r="AH102" s="337">
        <f t="shared" si="82"/>
        <v>1.6255346238806905</v>
      </c>
      <c r="AI102" s="455" t="str">
        <f t="shared" si="72"/>
        <v>(2,3,4,3,1,5); de Wild-Scholten (2014) Life Cycle Assessment of Photovoltaics Status 2011, Part 1 Data Collection (Table 30,31)</v>
      </c>
      <c r="AJ102" s="440">
        <v>1.3806706114398399E-4</v>
      </c>
      <c r="AK102" s="336">
        <v>1</v>
      </c>
      <c r="AL102" s="337">
        <f t="shared" si="83"/>
        <v>1.6255346238806905</v>
      </c>
      <c r="AM102" s="455" t="str">
        <f t="shared" si="84"/>
        <v>(2,3,4,3,1,5); de Wild-Scholten (2014) Life Cycle Assessment of Photovoltaics Status 2011, Part 1 Data Collection (Table 30,31)</v>
      </c>
      <c r="AN102" s="440">
        <v>1.3806706114398399E-4</v>
      </c>
      <c r="AO102" s="336">
        <v>1</v>
      </c>
      <c r="AP102" s="337">
        <f t="shared" si="85"/>
        <v>1.6255346238806905</v>
      </c>
      <c r="AQ102" s="437" t="str">
        <f t="shared" si="73"/>
        <v>(2,3,4,3,1,5); de Wild-Scholten (2014) Life Cycle Assessment of Photovoltaics Status 2011, Part 1 Data Collection (Table 30,31)</v>
      </c>
      <c r="AR102" s="440">
        <v>0</v>
      </c>
      <c r="AS102" s="336">
        <v>1</v>
      </c>
      <c r="AT102" s="337">
        <f t="shared" si="86"/>
        <v>1.5</v>
      </c>
      <c r="AU102" s="455" t="str">
        <f t="shared" si="87"/>
        <v xml:space="preserve">(na,na,na,na,na,na); </v>
      </c>
      <c r="AV102" s="440">
        <v>0</v>
      </c>
      <c r="AW102" s="336">
        <v>1</v>
      </c>
      <c r="AX102" s="337">
        <f t="shared" si="88"/>
        <v>1.5</v>
      </c>
      <c r="AY102" s="437" t="str">
        <f t="shared" si="89"/>
        <v xml:space="preserve">(na,na,na,na,na,na); </v>
      </c>
      <c r="AZ102" s="338"/>
      <c r="BA102" s="440">
        <v>0</v>
      </c>
      <c r="BB102" s="440"/>
      <c r="BC102" s="216" t="s">
        <v>1012</v>
      </c>
      <c r="BD102" s="339">
        <v>2</v>
      </c>
      <c r="BE102" s="339">
        <v>3</v>
      </c>
      <c r="BF102" s="339">
        <v>4</v>
      </c>
      <c r="BG102" s="339">
        <v>3</v>
      </c>
      <c r="BH102" s="339">
        <v>1</v>
      </c>
      <c r="BI102" s="339">
        <v>5</v>
      </c>
      <c r="BJ102" s="104">
        <v>31</v>
      </c>
      <c r="BK102" s="104">
        <v>1.5</v>
      </c>
      <c r="BL102" s="107">
        <f t="shared" si="90"/>
        <v>1.3068869189023089</v>
      </c>
      <c r="BM102" s="107">
        <f t="shared" si="91"/>
        <v>1.6255346238806905</v>
      </c>
      <c r="BN102" s="107" t="str">
        <f t="shared" si="92"/>
        <v>(2,3,4,3,1,5)</v>
      </c>
      <c r="BO102" s="108">
        <v>1.05</v>
      </c>
      <c r="BP102" s="108">
        <v>1.05</v>
      </c>
      <c r="BQ102" s="108">
        <v>1.2</v>
      </c>
      <c r="BR102" s="108">
        <v>1.02</v>
      </c>
      <c r="BS102" s="108">
        <v>1</v>
      </c>
      <c r="BT102" s="108">
        <v>1.2</v>
      </c>
      <c r="BV102" s="160"/>
      <c r="BW102" s="83" t="s">
        <v>106</v>
      </c>
      <c r="BX102" s="83" t="s">
        <v>106</v>
      </c>
      <c r="BY102" s="83" t="s">
        <v>106</v>
      </c>
      <c r="BZ102" s="83" t="s">
        <v>106</v>
      </c>
      <c r="CA102" s="83" t="s">
        <v>106</v>
      </c>
      <c r="CB102" s="83" t="s">
        <v>106</v>
      </c>
      <c r="CC102" s="104">
        <v>31</v>
      </c>
      <c r="CD102" s="104">
        <v>1.5</v>
      </c>
      <c r="CE102" s="107">
        <f t="shared" si="93"/>
        <v>1</v>
      </c>
      <c r="CF102" s="107">
        <f t="shared" si="94"/>
        <v>1.5</v>
      </c>
      <c r="CG102" s="107" t="str">
        <f t="shared" si="95"/>
        <v>(na,na,na,na,na,na)</v>
      </c>
      <c r="CH102" s="108">
        <v>1</v>
      </c>
      <c r="CI102" s="108">
        <v>1</v>
      </c>
      <c r="CJ102" s="108">
        <v>1</v>
      </c>
      <c r="CK102" s="108">
        <v>1</v>
      </c>
      <c r="CL102" s="108">
        <v>1</v>
      </c>
      <c r="CM102" s="108">
        <v>1</v>
      </c>
    </row>
    <row r="103" spans="1:91" s="171" customFormat="1" ht="24" hidden="1" outlineLevel="1">
      <c r="A103" s="333">
        <v>32171</v>
      </c>
      <c r="B103" s="216"/>
      <c r="C103" s="334"/>
      <c r="D103" s="342" t="s">
        <v>98</v>
      </c>
      <c r="E103" s="343">
        <v>4</v>
      </c>
      <c r="F103" s="437" t="s">
        <v>354</v>
      </c>
      <c r="G103" s="438" t="s">
        <v>98</v>
      </c>
      <c r="H103" s="439" t="s">
        <v>247</v>
      </c>
      <c r="I103" s="439" t="s">
        <v>258</v>
      </c>
      <c r="J103" s="335" t="s">
        <v>98</v>
      </c>
      <c r="K103" s="438" t="s">
        <v>96</v>
      </c>
      <c r="L103" s="440">
        <v>7.7251808021038807E-6</v>
      </c>
      <c r="M103" s="336">
        <v>1</v>
      </c>
      <c r="N103" s="337">
        <f t="shared" si="75"/>
        <v>5.11174548250293</v>
      </c>
      <c r="O103" s="455" t="str">
        <f t="shared" si="67"/>
        <v>(2,3,4,3,1,5); de Wild-Scholten (2014) Life Cycle Assessment of Photovoltaics Status 2011, Part 1 Data Collection (Table 30,31)</v>
      </c>
      <c r="P103" s="440">
        <v>7.7251808021038807E-6</v>
      </c>
      <c r="Q103" s="336">
        <v>1</v>
      </c>
      <c r="R103" s="337">
        <f t="shared" si="76"/>
        <v>5.11174548250293</v>
      </c>
      <c r="S103" s="455" t="str">
        <f t="shared" si="68"/>
        <v>(2,3,4,3,1,5); de Wild-Scholten (2014) Life Cycle Assessment of Photovoltaics Status 2011, Part 1 Data Collection (Table 30,31)</v>
      </c>
      <c r="T103" s="440">
        <v>7.7251808021038807E-6</v>
      </c>
      <c r="U103" s="336">
        <v>1</v>
      </c>
      <c r="V103" s="337">
        <f t="shared" si="78"/>
        <v>5.11174548250293</v>
      </c>
      <c r="W103" s="437" t="str">
        <f t="shared" si="69"/>
        <v>(2,3,4,3,1,5); de Wild-Scholten (2014) Life Cycle Assessment of Photovoltaics Status 2011, Part 1 Data Collection (Table 30,31)</v>
      </c>
      <c r="X103" s="440">
        <v>7.7251808021038807E-6</v>
      </c>
      <c r="Y103" s="336">
        <v>1</v>
      </c>
      <c r="Z103" s="337">
        <f t="shared" si="79"/>
        <v>5.11174548250293</v>
      </c>
      <c r="AA103" s="437" t="str">
        <f t="shared" si="70"/>
        <v>(2,3,4,3,1,5); de Wild-Scholten (2014) Life Cycle Assessment of Photovoltaics Status 2011, Part 1 Data Collection (Table 30,31)</v>
      </c>
      <c r="AB103" s="440">
        <v>7.7251808021038807E-6</v>
      </c>
      <c r="AC103" s="336">
        <v>1</v>
      </c>
      <c r="AD103" s="337">
        <f t="shared" si="81"/>
        <v>5.11174548250293</v>
      </c>
      <c r="AE103" s="455" t="str">
        <f t="shared" si="71"/>
        <v>(2,3,4,3,1,5); de Wild-Scholten (2014) Life Cycle Assessment of Photovoltaics Status 2011, Part 1 Data Collection (Table 30,31)</v>
      </c>
      <c r="AF103" s="440">
        <v>7.7251808021038807E-6</v>
      </c>
      <c r="AG103" s="336">
        <v>1</v>
      </c>
      <c r="AH103" s="337">
        <f t="shared" si="82"/>
        <v>5.11174548250293</v>
      </c>
      <c r="AI103" s="455" t="str">
        <f t="shared" si="72"/>
        <v>(2,3,4,3,1,5); de Wild-Scholten (2014) Life Cycle Assessment of Photovoltaics Status 2011, Part 1 Data Collection (Table 30,31)</v>
      </c>
      <c r="AJ103" s="440">
        <v>7.7251808021038807E-6</v>
      </c>
      <c r="AK103" s="336">
        <v>1</v>
      </c>
      <c r="AL103" s="337">
        <f t="shared" si="83"/>
        <v>5.11174548250293</v>
      </c>
      <c r="AM103" s="455" t="str">
        <f t="shared" si="84"/>
        <v>(2,3,4,3,1,5); de Wild-Scholten (2014) Life Cycle Assessment of Photovoltaics Status 2011, Part 1 Data Collection (Table 30,31)</v>
      </c>
      <c r="AN103" s="440">
        <v>7.7251808021038807E-6</v>
      </c>
      <c r="AO103" s="336">
        <v>1</v>
      </c>
      <c r="AP103" s="337">
        <f t="shared" si="85"/>
        <v>5.11174548250293</v>
      </c>
      <c r="AQ103" s="437" t="str">
        <f t="shared" si="73"/>
        <v>(2,3,4,3,1,5); de Wild-Scholten (2014) Life Cycle Assessment of Photovoltaics Status 2011, Part 1 Data Collection (Table 30,31)</v>
      </c>
      <c r="AR103" s="440">
        <v>0</v>
      </c>
      <c r="AS103" s="336">
        <v>1</v>
      </c>
      <c r="AT103" s="337">
        <f t="shared" si="86"/>
        <v>4.9999999999999991</v>
      </c>
      <c r="AU103" s="455" t="str">
        <f t="shared" si="87"/>
        <v xml:space="preserve">(na,na,na,na,na,na); </v>
      </c>
      <c r="AV103" s="440">
        <v>0</v>
      </c>
      <c r="AW103" s="336">
        <v>1</v>
      </c>
      <c r="AX103" s="337">
        <f t="shared" si="88"/>
        <v>4.9999999999999991</v>
      </c>
      <c r="AY103" s="437" t="str">
        <f t="shared" si="89"/>
        <v xml:space="preserve">(na,na,na,na,na,na); </v>
      </c>
      <c r="AZ103" s="338"/>
      <c r="BA103" s="440">
        <v>0</v>
      </c>
      <c r="BB103" s="440"/>
      <c r="BC103" s="216" t="s">
        <v>1012</v>
      </c>
      <c r="BD103" s="339">
        <v>2</v>
      </c>
      <c r="BE103" s="339">
        <v>3</v>
      </c>
      <c r="BF103" s="339">
        <v>4</v>
      </c>
      <c r="BG103" s="339">
        <v>3</v>
      </c>
      <c r="BH103" s="339">
        <v>1</v>
      </c>
      <c r="BI103" s="339">
        <v>5</v>
      </c>
      <c r="BJ103" s="104">
        <v>22</v>
      </c>
      <c r="BK103" s="104">
        <v>5</v>
      </c>
      <c r="BL103" s="107">
        <f t="shared" si="90"/>
        <v>1.3068869189023089</v>
      </c>
      <c r="BM103" s="107">
        <f t="shared" si="91"/>
        <v>5.11174548250293</v>
      </c>
      <c r="BN103" s="107" t="str">
        <f t="shared" si="92"/>
        <v>(2,3,4,3,1,5)</v>
      </c>
      <c r="BO103" s="108">
        <v>1.05</v>
      </c>
      <c r="BP103" s="108">
        <v>1.05</v>
      </c>
      <c r="BQ103" s="108">
        <v>1.2</v>
      </c>
      <c r="BR103" s="108">
        <v>1.02</v>
      </c>
      <c r="BS103" s="108">
        <v>1</v>
      </c>
      <c r="BT103" s="108">
        <v>1.2</v>
      </c>
      <c r="BV103" s="160"/>
      <c r="BW103" s="83" t="s">
        <v>106</v>
      </c>
      <c r="BX103" s="83" t="s">
        <v>106</v>
      </c>
      <c r="BY103" s="83" t="s">
        <v>106</v>
      </c>
      <c r="BZ103" s="83" t="s">
        <v>106</v>
      </c>
      <c r="CA103" s="83" t="s">
        <v>106</v>
      </c>
      <c r="CB103" s="83" t="s">
        <v>106</v>
      </c>
      <c r="CC103" s="104">
        <v>22</v>
      </c>
      <c r="CD103" s="104">
        <v>5</v>
      </c>
      <c r="CE103" s="107">
        <f t="shared" si="93"/>
        <v>1</v>
      </c>
      <c r="CF103" s="107">
        <f t="shared" si="94"/>
        <v>4.9999999999999991</v>
      </c>
      <c r="CG103" s="107" t="str">
        <f t="shared" si="95"/>
        <v>(na,na,na,na,na,na)</v>
      </c>
      <c r="CH103" s="108">
        <v>1</v>
      </c>
      <c r="CI103" s="108">
        <v>1</v>
      </c>
      <c r="CJ103" s="108">
        <v>1</v>
      </c>
      <c r="CK103" s="108">
        <v>1</v>
      </c>
      <c r="CL103" s="108">
        <v>1</v>
      </c>
      <c r="CM103" s="108">
        <v>1</v>
      </c>
    </row>
    <row r="104" spans="1:91" s="171" customFormat="1" ht="24" hidden="1" outlineLevel="1">
      <c r="A104" s="333">
        <v>14622</v>
      </c>
      <c r="B104" s="216"/>
      <c r="C104" s="334"/>
      <c r="D104" s="342" t="s">
        <v>98</v>
      </c>
      <c r="E104" s="343">
        <v>4</v>
      </c>
      <c r="F104" s="437" t="s">
        <v>419</v>
      </c>
      <c r="G104" s="438" t="s">
        <v>98</v>
      </c>
      <c r="H104" s="439" t="s">
        <v>247</v>
      </c>
      <c r="I104" s="439" t="s">
        <v>258</v>
      </c>
      <c r="J104" s="335" t="s">
        <v>98</v>
      </c>
      <c r="K104" s="438" t="s">
        <v>96</v>
      </c>
      <c r="L104" s="440">
        <v>3.1681459566074999E-8</v>
      </c>
      <c r="M104" s="336">
        <v>1</v>
      </c>
      <c r="N104" s="337">
        <f t="shared" si="75"/>
        <v>5.11174548250293</v>
      </c>
      <c r="O104" s="455" t="str">
        <f t="shared" si="67"/>
        <v>(2,3,4,3,1,5); de Wild-Scholten (2014) Life Cycle Assessment of Photovoltaics Status 2011, Part 1 Data Collection (Table 30,31)</v>
      </c>
      <c r="P104" s="440">
        <v>3.1681459566074999E-8</v>
      </c>
      <c r="Q104" s="336">
        <v>1</v>
      </c>
      <c r="R104" s="337">
        <f t="shared" si="76"/>
        <v>5.11174548250293</v>
      </c>
      <c r="S104" s="455" t="str">
        <f t="shared" si="68"/>
        <v>(2,3,4,3,1,5); de Wild-Scholten (2014) Life Cycle Assessment of Photovoltaics Status 2011, Part 1 Data Collection (Table 30,31)</v>
      </c>
      <c r="T104" s="440">
        <v>3.1681459566074999E-8</v>
      </c>
      <c r="U104" s="336">
        <v>1</v>
      </c>
      <c r="V104" s="337">
        <f t="shared" si="78"/>
        <v>5.11174548250293</v>
      </c>
      <c r="W104" s="437" t="str">
        <f t="shared" si="69"/>
        <v>(2,3,4,3,1,5); de Wild-Scholten (2014) Life Cycle Assessment of Photovoltaics Status 2011, Part 1 Data Collection (Table 30,31)</v>
      </c>
      <c r="X104" s="440">
        <v>3.1681459566074999E-8</v>
      </c>
      <c r="Y104" s="336">
        <v>1</v>
      </c>
      <c r="Z104" s="337">
        <f t="shared" si="79"/>
        <v>5.11174548250293</v>
      </c>
      <c r="AA104" s="437" t="str">
        <f t="shared" si="70"/>
        <v>(2,3,4,3,1,5); de Wild-Scholten (2014) Life Cycle Assessment of Photovoltaics Status 2011, Part 1 Data Collection (Table 30,31)</v>
      </c>
      <c r="AB104" s="440">
        <v>3.1681459566074999E-8</v>
      </c>
      <c r="AC104" s="336">
        <v>1</v>
      </c>
      <c r="AD104" s="337">
        <f t="shared" si="81"/>
        <v>5.11174548250293</v>
      </c>
      <c r="AE104" s="455" t="str">
        <f t="shared" si="71"/>
        <v>(2,3,4,3,1,5); de Wild-Scholten (2014) Life Cycle Assessment of Photovoltaics Status 2011, Part 1 Data Collection (Table 30,31)</v>
      </c>
      <c r="AF104" s="440">
        <v>3.1681459566074999E-8</v>
      </c>
      <c r="AG104" s="336">
        <v>1</v>
      </c>
      <c r="AH104" s="337">
        <f t="shared" si="82"/>
        <v>5.11174548250293</v>
      </c>
      <c r="AI104" s="455" t="str">
        <f t="shared" si="72"/>
        <v>(2,3,4,3,1,5); de Wild-Scholten (2014) Life Cycle Assessment of Photovoltaics Status 2011, Part 1 Data Collection (Table 30,31)</v>
      </c>
      <c r="AJ104" s="440">
        <v>3.1681459566074999E-8</v>
      </c>
      <c r="AK104" s="336">
        <v>1</v>
      </c>
      <c r="AL104" s="337">
        <f t="shared" si="83"/>
        <v>5.11174548250293</v>
      </c>
      <c r="AM104" s="455" t="str">
        <f t="shared" si="84"/>
        <v>(2,3,4,3,1,5); de Wild-Scholten (2014) Life Cycle Assessment of Photovoltaics Status 2011, Part 1 Data Collection (Table 30,31)</v>
      </c>
      <c r="AN104" s="440">
        <v>3.1681459566074999E-8</v>
      </c>
      <c r="AO104" s="336">
        <v>1</v>
      </c>
      <c r="AP104" s="337">
        <f t="shared" si="85"/>
        <v>5.11174548250293</v>
      </c>
      <c r="AQ104" s="437" t="str">
        <f t="shared" si="73"/>
        <v>(2,3,4,3,1,5); de Wild-Scholten (2014) Life Cycle Assessment of Photovoltaics Status 2011, Part 1 Data Collection (Table 30,31)</v>
      </c>
      <c r="AR104" s="440">
        <v>0</v>
      </c>
      <c r="AS104" s="336">
        <v>1</v>
      </c>
      <c r="AT104" s="337">
        <f t="shared" si="86"/>
        <v>4.9999999999999991</v>
      </c>
      <c r="AU104" s="455" t="str">
        <f t="shared" si="87"/>
        <v xml:space="preserve">(na,na,na,na,na,na); </v>
      </c>
      <c r="AV104" s="440">
        <v>0</v>
      </c>
      <c r="AW104" s="336">
        <v>1</v>
      </c>
      <c r="AX104" s="337">
        <f t="shared" si="88"/>
        <v>4.9999999999999991</v>
      </c>
      <c r="AY104" s="437" t="str">
        <f t="shared" si="89"/>
        <v xml:space="preserve">(na,na,na,na,na,na); </v>
      </c>
      <c r="AZ104" s="338"/>
      <c r="BA104" s="440">
        <v>0</v>
      </c>
      <c r="BB104" s="440"/>
      <c r="BC104" s="216" t="s">
        <v>1012</v>
      </c>
      <c r="BD104" s="339">
        <v>2</v>
      </c>
      <c r="BE104" s="339">
        <v>3</v>
      </c>
      <c r="BF104" s="339">
        <v>4</v>
      </c>
      <c r="BG104" s="339">
        <v>3</v>
      </c>
      <c r="BH104" s="339">
        <v>1</v>
      </c>
      <c r="BI104" s="339">
        <v>5</v>
      </c>
      <c r="BJ104" s="104">
        <v>22</v>
      </c>
      <c r="BK104" s="104">
        <v>5</v>
      </c>
      <c r="BL104" s="107">
        <f t="shared" si="90"/>
        <v>1.3068869189023089</v>
      </c>
      <c r="BM104" s="107">
        <f t="shared" si="91"/>
        <v>5.11174548250293</v>
      </c>
      <c r="BN104" s="107" t="str">
        <f t="shared" si="92"/>
        <v>(2,3,4,3,1,5)</v>
      </c>
      <c r="BO104" s="108">
        <v>1.05</v>
      </c>
      <c r="BP104" s="108">
        <v>1.05</v>
      </c>
      <c r="BQ104" s="108">
        <v>1.2</v>
      </c>
      <c r="BR104" s="108">
        <v>1.02</v>
      </c>
      <c r="BS104" s="108">
        <v>1</v>
      </c>
      <c r="BT104" s="108">
        <v>1.2</v>
      </c>
      <c r="BV104" s="160"/>
      <c r="BW104" s="83" t="s">
        <v>106</v>
      </c>
      <c r="BX104" s="83" t="s">
        <v>106</v>
      </c>
      <c r="BY104" s="83" t="s">
        <v>106</v>
      </c>
      <c r="BZ104" s="83" t="s">
        <v>106</v>
      </c>
      <c r="CA104" s="83" t="s">
        <v>106</v>
      </c>
      <c r="CB104" s="83" t="s">
        <v>106</v>
      </c>
      <c r="CC104" s="104">
        <v>22</v>
      </c>
      <c r="CD104" s="104">
        <v>5</v>
      </c>
      <c r="CE104" s="107">
        <f t="shared" si="93"/>
        <v>1</v>
      </c>
      <c r="CF104" s="107">
        <f t="shared" si="94"/>
        <v>4.9999999999999991</v>
      </c>
      <c r="CG104" s="107" t="str">
        <f t="shared" si="95"/>
        <v>(na,na,na,na,na,na)</v>
      </c>
      <c r="CH104" s="108">
        <v>1</v>
      </c>
      <c r="CI104" s="108">
        <v>1</v>
      </c>
      <c r="CJ104" s="108">
        <v>1</v>
      </c>
      <c r="CK104" s="108">
        <v>1</v>
      </c>
      <c r="CL104" s="108">
        <v>1</v>
      </c>
      <c r="CM104" s="108">
        <v>1</v>
      </c>
    </row>
    <row r="105" spans="1:91" s="171" customFormat="1" ht="24" hidden="1" outlineLevel="1">
      <c r="A105" s="333">
        <v>90879</v>
      </c>
      <c r="B105" s="216"/>
      <c r="C105" s="334"/>
      <c r="D105" s="342" t="s">
        <v>98</v>
      </c>
      <c r="E105" s="343">
        <v>4</v>
      </c>
      <c r="F105" s="437" t="s">
        <v>1013</v>
      </c>
      <c r="G105" s="438" t="s">
        <v>98</v>
      </c>
      <c r="H105" s="439" t="s">
        <v>247</v>
      </c>
      <c r="I105" s="439" t="s">
        <v>258</v>
      </c>
      <c r="J105" s="335" t="s">
        <v>98</v>
      </c>
      <c r="K105" s="438" t="s">
        <v>96</v>
      </c>
      <c r="L105" s="440">
        <v>7.7251808021038807E-6</v>
      </c>
      <c r="M105" s="336">
        <v>1</v>
      </c>
      <c r="N105" s="337">
        <f t="shared" si="75"/>
        <v>5.11174548250293</v>
      </c>
      <c r="O105" s="455" t="str">
        <f t="shared" si="67"/>
        <v>(2,3,4,3,1,5); de Wild-Scholten (2014) Life Cycle Assessment of Photovoltaics Status 2011, Part 1 Data Collection (Table 30,31)</v>
      </c>
      <c r="P105" s="440">
        <v>7.7251808021038807E-6</v>
      </c>
      <c r="Q105" s="336">
        <v>1</v>
      </c>
      <c r="R105" s="337">
        <f t="shared" si="76"/>
        <v>5.11174548250293</v>
      </c>
      <c r="S105" s="455" t="str">
        <f t="shared" si="68"/>
        <v>(2,3,4,3,1,5); de Wild-Scholten (2014) Life Cycle Assessment of Photovoltaics Status 2011, Part 1 Data Collection (Table 30,31)</v>
      </c>
      <c r="T105" s="440">
        <v>7.7251808021038807E-6</v>
      </c>
      <c r="U105" s="336">
        <v>1</v>
      </c>
      <c r="V105" s="337">
        <f t="shared" si="78"/>
        <v>5.11174548250293</v>
      </c>
      <c r="W105" s="437" t="str">
        <f t="shared" si="69"/>
        <v>(2,3,4,3,1,5); de Wild-Scholten (2014) Life Cycle Assessment of Photovoltaics Status 2011, Part 1 Data Collection (Table 30,31)</v>
      </c>
      <c r="X105" s="440">
        <v>7.7251808021038807E-6</v>
      </c>
      <c r="Y105" s="336">
        <v>1</v>
      </c>
      <c r="Z105" s="337">
        <f t="shared" si="79"/>
        <v>5.11174548250293</v>
      </c>
      <c r="AA105" s="437" t="str">
        <f t="shared" si="70"/>
        <v>(2,3,4,3,1,5); de Wild-Scholten (2014) Life Cycle Assessment of Photovoltaics Status 2011, Part 1 Data Collection (Table 30,31)</v>
      </c>
      <c r="AB105" s="440">
        <v>7.7251808021038807E-6</v>
      </c>
      <c r="AC105" s="336">
        <v>1</v>
      </c>
      <c r="AD105" s="337">
        <f t="shared" si="81"/>
        <v>5.11174548250293</v>
      </c>
      <c r="AE105" s="455" t="str">
        <f t="shared" si="71"/>
        <v>(2,3,4,3,1,5); de Wild-Scholten (2014) Life Cycle Assessment of Photovoltaics Status 2011, Part 1 Data Collection (Table 30,31)</v>
      </c>
      <c r="AF105" s="440">
        <v>7.7251808021038807E-6</v>
      </c>
      <c r="AG105" s="336">
        <v>1</v>
      </c>
      <c r="AH105" s="337">
        <f t="shared" si="82"/>
        <v>5.11174548250293</v>
      </c>
      <c r="AI105" s="455" t="str">
        <f t="shared" si="72"/>
        <v>(2,3,4,3,1,5); de Wild-Scholten (2014) Life Cycle Assessment of Photovoltaics Status 2011, Part 1 Data Collection (Table 30,31)</v>
      </c>
      <c r="AJ105" s="440">
        <v>7.7251808021038807E-6</v>
      </c>
      <c r="AK105" s="336">
        <v>1</v>
      </c>
      <c r="AL105" s="337">
        <f t="shared" si="83"/>
        <v>5.11174548250293</v>
      </c>
      <c r="AM105" s="455" t="str">
        <f t="shared" si="84"/>
        <v>(2,3,4,3,1,5); de Wild-Scholten (2014) Life Cycle Assessment of Photovoltaics Status 2011, Part 1 Data Collection (Table 30,31)</v>
      </c>
      <c r="AN105" s="440">
        <v>7.7251808021038807E-6</v>
      </c>
      <c r="AO105" s="336">
        <v>1</v>
      </c>
      <c r="AP105" s="337">
        <f t="shared" si="85"/>
        <v>5.11174548250293</v>
      </c>
      <c r="AQ105" s="437" t="str">
        <f t="shared" si="73"/>
        <v>(2,3,4,3,1,5); de Wild-Scholten (2014) Life Cycle Assessment of Photovoltaics Status 2011, Part 1 Data Collection (Table 30,31)</v>
      </c>
      <c r="AR105" s="440">
        <v>0</v>
      </c>
      <c r="AS105" s="336">
        <v>1</v>
      </c>
      <c r="AT105" s="337">
        <f t="shared" si="86"/>
        <v>4.9999999999999991</v>
      </c>
      <c r="AU105" s="455" t="str">
        <f t="shared" si="87"/>
        <v xml:space="preserve">(na,na,na,na,na,na); </v>
      </c>
      <c r="AV105" s="440">
        <v>0</v>
      </c>
      <c r="AW105" s="336">
        <v>1</v>
      </c>
      <c r="AX105" s="337">
        <f t="shared" si="88"/>
        <v>4.9999999999999991</v>
      </c>
      <c r="AY105" s="437" t="str">
        <f t="shared" si="89"/>
        <v xml:space="preserve">(na,na,na,na,na,na); </v>
      </c>
      <c r="AZ105" s="338"/>
      <c r="BA105" s="440">
        <v>0</v>
      </c>
      <c r="BB105" s="440"/>
      <c r="BC105" s="216" t="s">
        <v>1012</v>
      </c>
      <c r="BD105" s="339">
        <v>2</v>
      </c>
      <c r="BE105" s="339">
        <v>3</v>
      </c>
      <c r="BF105" s="339">
        <v>4</v>
      </c>
      <c r="BG105" s="339">
        <v>3</v>
      </c>
      <c r="BH105" s="339">
        <v>1</v>
      </c>
      <c r="BI105" s="339">
        <v>5</v>
      </c>
      <c r="BJ105" s="104">
        <v>22</v>
      </c>
      <c r="BK105" s="104">
        <v>5</v>
      </c>
      <c r="BL105" s="107">
        <f t="shared" si="90"/>
        <v>1.3068869189023089</v>
      </c>
      <c r="BM105" s="107">
        <f t="shared" si="91"/>
        <v>5.11174548250293</v>
      </c>
      <c r="BN105" s="107" t="str">
        <f t="shared" si="92"/>
        <v>(2,3,4,3,1,5)</v>
      </c>
      <c r="BO105" s="108">
        <v>1.05</v>
      </c>
      <c r="BP105" s="108">
        <v>1.05</v>
      </c>
      <c r="BQ105" s="108">
        <v>1.2</v>
      </c>
      <c r="BR105" s="108">
        <v>1.02</v>
      </c>
      <c r="BS105" s="108">
        <v>1</v>
      </c>
      <c r="BT105" s="108">
        <v>1.2</v>
      </c>
      <c r="BV105" s="160"/>
      <c r="BW105" s="83" t="s">
        <v>106</v>
      </c>
      <c r="BX105" s="83" t="s">
        <v>106</v>
      </c>
      <c r="BY105" s="83" t="s">
        <v>106</v>
      </c>
      <c r="BZ105" s="83" t="s">
        <v>106</v>
      </c>
      <c r="CA105" s="83" t="s">
        <v>106</v>
      </c>
      <c r="CB105" s="83" t="s">
        <v>106</v>
      </c>
      <c r="CC105" s="104">
        <v>22</v>
      </c>
      <c r="CD105" s="104">
        <v>5</v>
      </c>
      <c r="CE105" s="107">
        <f t="shared" si="93"/>
        <v>1</v>
      </c>
      <c r="CF105" s="107">
        <f t="shared" si="94"/>
        <v>4.9999999999999991</v>
      </c>
      <c r="CG105" s="107" t="str">
        <f t="shared" si="95"/>
        <v>(na,na,na,na,na,na)</v>
      </c>
      <c r="CH105" s="108">
        <v>1</v>
      </c>
      <c r="CI105" s="108">
        <v>1</v>
      </c>
      <c r="CJ105" s="108">
        <v>1</v>
      </c>
      <c r="CK105" s="108">
        <v>1</v>
      </c>
      <c r="CL105" s="108">
        <v>1</v>
      </c>
      <c r="CM105" s="108">
        <v>1</v>
      </c>
    </row>
    <row r="106" spans="1:91" s="171" customFormat="1" ht="24" hidden="1" outlineLevel="1">
      <c r="A106" s="333">
        <v>34143</v>
      </c>
      <c r="B106" s="216"/>
      <c r="C106" s="334"/>
      <c r="D106" s="342" t="s">
        <v>98</v>
      </c>
      <c r="E106" s="343">
        <v>4</v>
      </c>
      <c r="F106" s="437" t="s">
        <v>422</v>
      </c>
      <c r="G106" s="438" t="s">
        <v>98</v>
      </c>
      <c r="H106" s="439" t="s">
        <v>247</v>
      </c>
      <c r="I106" s="439" t="s">
        <v>258</v>
      </c>
      <c r="J106" s="335" t="s">
        <v>98</v>
      </c>
      <c r="K106" s="438" t="s">
        <v>96</v>
      </c>
      <c r="L106" s="440">
        <v>7.7251808021038807E-6</v>
      </c>
      <c r="M106" s="336">
        <v>1</v>
      </c>
      <c r="N106" s="337">
        <f t="shared" si="75"/>
        <v>5.11174548250293</v>
      </c>
      <c r="O106" s="455" t="str">
        <f t="shared" si="67"/>
        <v>(2,3,4,3,1,5); de Wild-Scholten (2014) Life Cycle Assessment of Photovoltaics Status 2011, Part 1 Data Collection (Table 30,31)</v>
      </c>
      <c r="P106" s="440">
        <v>7.7251808021038807E-6</v>
      </c>
      <c r="Q106" s="336">
        <v>1</v>
      </c>
      <c r="R106" s="337">
        <f t="shared" si="76"/>
        <v>5.11174548250293</v>
      </c>
      <c r="S106" s="455" t="str">
        <f t="shared" si="68"/>
        <v>(2,3,4,3,1,5); de Wild-Scholten (2014) Life Cycle Assessment of Photovoltaics Status 2011, Part 1 Data Collection (Table 30,31)</v>
      </c>
      <c r="T106" s="440">
        <v>7.7251808021038807E-6</v>
      </c>
      <c r="U106" s="336">
        <v>1</v>
      </c>
      <c r="V106" s="337">
        <f t="shared" si="78"/>
        <v>5.11174548250293</v>
      </c>
      <c r="W106" s="437" t="str">
        <f t="shared" si="69"/>
        <v>(2,3,4,3,1,5); de Wild-Scholten (2014) Life Cycle Assessment of Photovoltaics Status 2011, Part 1 Data Collection (Table 30,31)</v>
      </c>
      <c r="X106" s="440">
        <v>7.7251808021038807E-6</v>
      </c>
      <c r="Y106" s="336">
        <v>1</v>
      </c>
      <c r="Z106" s="337">
        <f t="shared" si="79"/>
        <v>5.11174548250293</v>
      </c>
      <c r="AA106" s="437" t="str">
        <f t="shared" si="70"/>
        <v>(2,3,4,3,1,5); de Wild-Scholten (2014) Life Cycle Assessment of Photovoltaics Status 2011, Part 1 Data Collection (Table 30,31)</v>
      </c>
      <c r="AB106" s="440">
        <v>7.7251808021038807E-6</v>
      </c>
      <c r="AC106" s="336">
        <v>1</v>
      </c>
      <c r="AD106" s="337">
        <f t="shared" si="81"/>
        <v>5.11174548250293</v>
      </c>
      <c r="AE106" s="455" t="str">
        <f t="shared" si="71"/>
        <v>(2,3,4,3,1,5); de Wild-Scholten (2014) Life Cycle Assessment of Photovoltaics Status 2011, Part 1 Data Collection (Table 30,31)</v>
      </c>
      <c r="AF106" s="440">
        <v>7.7251808021038807E-6</v>
      </c>
      <c r="AG106" s="336">
        <v>1</v>
      </c>
      <c r="AH106" s="337">
        <f t="shared" si="82"/>
        <v>5.11174548250293</v>
      </c>
      <c r="AI106" s="455" t="str">
        <f t="shared" si="72"/>
        <v>(2,3,4,3,1,5); de Wild-Scholten (2014) Life Cycle Assessment of Photovoltaics Status 2011, Part 1 Data Collection (Table 30,31)</v>
      </c>
      <c r="AJ106" s="440">
        <v>7.7251808021038807E-6</v>
      </c>
      <c r="AK106" s="336">
        <v>1</v>
      </c>
      <c r="AL106" s="337">
        <f t="shared" si="83"/>
        <v>5.11174548250293</v>
      </c>
      <c r="AM106" s="455" t="str">
        <f t="shared" si="84"/>
        <v>(2,3,4,3,1,5); de Wild-Scholten (2014) Life Cycle Assessment of Photovoltaics Status 2011, Part 1 Data Collection (Table 30,31)</v>
      </c>
      <c r="AN106" s="440">
        <v>7.7251808021038807E-6</v>
      </c>
      <c r="AO106" s="336">
        <v>1</v>
      </c>
      <c r="AP106" s="337">
        <f t="shared" si="85"/>
        <v>5.11174548250293</v>
      </c>
      <c r="AQ106" s="437" t="str">
        <f t="shared" si="73"/>
        <v>(2,3,4,3,1,5); de Wild-Scholten (2014) Life Cycle Assessment of Photovoltaics Status 2011, Part 1 Data Collection (Table 30,31)</v>
      </c>
      <c r="AR106" s="440">
        <v>0</v>
      </c>
      <c r="AS106" s="336">
        <v>1</v>
      </c>
      <c r="AT106" s="337">
        <f t="shared" si="86"/>
        <v>4.9999999999999991</v>
      </c>
      <c r="AU106" s="455" t="str">
        <f t="shared" si="87"/>
        <v xml:space="preserve">(na,na,na,na,na,na); </v>
      </c>
      <c r="AV106" s="440">
        <v>0</v>
      </c>
      <c r="AW106" s="336">
        <v>1</v>
      </c>
      <c r="AX106" s="337">
        <f t="shared" si="88"/>
        <v>4.9999999999999991</v>
      </c>
      <c r="AY106" s="437" t="str">
        <f t="shared" si="89"/>
        <v xml:space="preserve">(na,na,na,na,na,na); </v>
      </c>
      <c r="AZ106" s="338"/>
      <c r="BA106" s="440">
        <v>0</v>
      </c>
      <c r="BB106" s="440"/>
      <c r="BC106" s="216" t="s">
        <v>1012</v>
      </c>
      <c r="BD106" s="339">
        <v>2</v>
      </c>
      <c r="BE106" s="339">
        <v>3</v>
      </c>
      <c r="BF106" s="339">
        <v>4</v>
      </c>
      <c r="BG106" s="339">
        <v>3</v>
      </c>
      <c r="BH106" s="339">
        <v>1</v>
      </c>
      <c r="BI106" s="339">
        <v>5</v>
      </c>
      <c r="BJ106" s="104">
        <v>22</v>
      </c>
      <c r="BK106" s="104">
        <v>5</v>
      </c>
      <c r="BL106" s="107">
        <f t="shared" si="90"/>
        <v>1.3068869189023089</v>
      </c>
      <c r="BM106" s="107">
        <f t="shared" si="91"/>
        <v>5.11174548250293</v>
      </c>
      <c r="BN106" s="107" t="str">
        <f t="shared" si="92"/>
        <v>(2,3,4,3,1,5)</v>
      </c>
      <c r="BO106" s="108">
        <v>1.05</v>
      </c>
      <c r="BP106" s="108">
        <v>1.05</v>
      </c>
      <c r="BQ106" s="108">
        <v>1.2</v>
      </c>
      <c r="BR106" s="108">
        <v>1.02</v>
      </c>
      <c r="BS106" s="108">
        <v>1</v>
      </c>
      <c r="BT106" s="108">
        <v>1.2</v>
      </c>
      <c r="BV106" s="160"/>
      <c r="BW106" s="83" t="s">
        <v>106</v>
      </c>
      <c r="BX106" s="83" t="s">
        <v>106</v>
      </c>
      <c r="BY106" s="83" t="s">
        <v>106</v>
      </c>
      <c r="BZ106" s="83" t="s">
        <v>106</v>
      </c>
      <c r="CA106" s="83" t="s">
        <v>106</v>
      </c>
      <c r="CB106" s="83" t="s">
        <v>106</v>
      </c>
      <c r="CC106" s="104">
        <v>22</v>
      </c>
      <c r="CD106" s="104">
        <v>5</v>
      </c>
      <c r="CE106" s="107">
        <f t="shared" si="93"/>
        <v>1</v>
      </c>
      <c r="CF106" s="107">
        <f t="shared" si="94"/>
        <v>4.9999999999999991</v>
      </c>
      <c r="CG106" s="107" t="str">
        <f t="shared" si="95"/>
        <v>(na,na,na,na,na,na)</v>
      </c>
      <c r="CH106" s="108">
        <v>1</v>
      </c>
      <c r="CI106" s="108">
        <v>1</v>
      </c>
      <c r="CJ106" s="108">
        <v>1</v>
      </c>
      <c r="CK106" s="108">
        <v>1</v>
      </c>
      <c r="CL106" s="108">
        <v>1</v>
      </c>
      <c r="CM106" s="108">
        <v>1</v>
      </c>
    </row>
    <row r="107" spans="1:91" s="171" customFormat="1" ht="24" hidden="1" outlineLevel="1">
      <c r="A107" s="333">
        <v>32351</v>
      </c>
      <c r="B107" s="216"/>
      <c r="C107" s="334"/>
      <c r="D107" s="342" t="s">
        <v>98</v>
      </c>
      <c r="E107" s="343">
        <v>4</v>
      </c>
      <c r="F107" s="437" t="s">
        <v>127</v>
      </c>
      <c r="G107" s="438" t="s">
        <v>98</v>
      </c>
      <c r="H107" s="439" t="s">
        <v>247</v>
      </c>
      <c r="I107" s="439" t="s">
        <v>258</v>
      </c>
      <c r="J107" s="335" t="s">
        <v>98</v>
      </c>
      <c r="K107" s="438" t="s">
        <v>96</v>
      </c>
      <c r="L107" s="440">
        <v>3.7310979618671901E-5</v>
      </c>
      <c r="M107" s="336">
        <v>1</v>
      </c>
      <c r="N107" s="337">
        <f t="shared" si="75"/>
        <v>1.3824350847842264</v>
      </c>
      <c r="O107" s="455" t="str">
        <f t="shared" si="67"/>
        <v>(2,3,4,3,1,5); de Wild-Scholten (2014) Life Cycle Assessment of Photovoltaics Status 2011, Part 1 Data Collection (Table 30,31)</v>
      </c>
      <c r="P107" s="440">
        <v>3.7310979618671901E-5</v>
      </c>
      <c r="Q107" s="336">
        <v>1</v>
      </c>
      <c r="R107" s="337">
        <f t="shared" si="76"/>
        <v>1.3824350847842264</v>
      </c>
      <c r="S107" s="455" t="str">
        <f t="shared" si="68"/>
        <v>(2,3,4,3,1,5); de Wild-Scholten (2014) Life Cycle Assessment of Photovoltaics Status 2011, Part 1 Data Collection (Table 30,31)</v>
      </c>
      <c r="T107" s="440">
        <v>3.7310979618671901E-5</v>
      </c>
      <c r="U107" s="336">
        <v>1</v>
      </c>
      <c r="V107" s="337">
        <f t="shared" si="78"/>
        <v>1.3824350847842264</v>
      </c>
      <c r="W107" s="437" t="str">
        <f t="shared" si="69"/>
        <v>(2,3,4,3,1,5); de Wild-Scholten (2014) Life Cycle Assessment of Photovoltaics Status 2011, Part 1 Data Collection (Table 30,31)</v>
      </c>
      <c r="X107" s="440">
        <v>3.7310979618671901E-5</v>
      </c>
      <c r="Y107" s="336">
        <v>1</v>
      </c>
      <c r="Z107" s="337">
        <f t="shared" si="79"/>
        <v>1.3824350847842264</v>
      </c>
      <c r="AA107" s="437" t="str">
        <f t="shared" si="70"/>
        <v>(2,3,4,3,1,5); de Wild-Scholten (2014) Life Cycle Assessment of Photovoltaics Status 2011, Part 1 Data Collection (Table 30,31)</v>
      </c>
      <c r="AB107" s="440">
        <v>3.7310979618671901E-5</v>
      </c>
      <c r="AC107" s="336">
        <v>1</v>
      </c>
      <c r="AD107" s="337">
        <f t="shared" si="81"/>
        <v>1.3824350847842264</v>
      </c>
      <c r="AE107" s="455" t="str">
        <f t="shared" si="71"/>
        <v>(2,3,4,3,1,5); de Wild-Scholten (2014) Life Cycle Assessment of Photovoltaics Status 2011, Part 1 Data Collection (Table 30,31)</v>
      </c>
      <c r="AF107" s="440">
        <v>3.7310979618671901E-5</v>
      </c>
      <c r="AG107" s="336">
        <v>1</v>
      </c>
      <c r="AH107" s="337">
        <f t="shared" si="82"/>
        <v>1.3824350847842264</v>
      </c>
      <c r="AI107" s="455" t="str">
        <f t="shared" si="72"/>
        <v>(2,3,4,3,1,5); de Wild-Scholten (2014) Life Cycle Assessment of Photovoltaics Status 2011, Part 1 Data Collection (Table 30,31)</v>
      </c>
      <c r="AJ107" s="440">
        <v>3.7310979618671901E-5</v>
      </c>
      <c r="AK107" s="336">
        <v>1</v>
      </c>
      <c r="AL107" s="337">
        <f t="shared" si="83"/>
        <v>1.3824350847842264</v>
      </c>
      <c r="AM107" s="455" t="str">
        <f t="shared" si="84"/>
        <v>(2,3,4,3,1,5); de Wild-Scholten (2014) Life Cycle Assessment of Photovoltaics Status 2011, Part 1 Data Collection (Table 30,31)</v>
      </c>
      <c r="AN107" s="440">
        <v>3.7310979618671901E-5</v>
      </c>
      <c r="AO107" s="336">
        <v>1</v>
      </c>
      <c r="AP107" s="337">
        <f t="shared" si="85"/>
        <v>1.3824350847842264</v>
      </c>
      <c r="AQ107" s="437" t="str">
        <f t="shared" si="73"/>
        <v>(2,3,4,3,1,5); de Wild-Scholten (2014) Life Cycle Assessment of Photovoltaics Status 2011, Part 1 Data Collection (Table 30,31)</v>
      </c>
      <c r="AR107" s="440">
        <v>0</v>
      </c>
      <c r="AS107" s="336">
        <v>1</v>
      </c>
      <c r="AT107" s="337">
        <f t="shared" si="86"/>
        <v>1.2</v>
      </c>
      <c r="AU107" s="455" t="str">
        <f t="shared" si="87"/>
        <v xml:space="preserve">(na,na,na,na,na,na); </v>
      </c>
      <c r="AV107" s="440">
        <v>0</v>
      </c>
      <c r="AW107" s="336">
        <v>1</v>
      </c>
      <c r="AX107" s="337">
        <f t="shared" si="88"/>
        <v>1.2</v>
      </c>
      <c r="AY107" s="437" t="str">
        <f t="shared" si="89"/>
        <v xml:space="preserve">(na,na,na,na,na,na); </v>
      </c>
      <c r="AZ107" s="338"/>
      <c r="BA107" s="440">
        <v>0</v>
      </c>
      <c r="BB107" s="440"/>
      <c r="BC107" s="216" t="s">
        <v>1012</v>
      </c>
      <c r="BD107" s="339">
        <v>2</v>
      </c>
      <c r="BE107" s="339">
        <v>3</v>
      </c>
      <c r="BF107" s="339">
        <v>4</v>
      </c>
      <c r="BG107" s="339">
        <v>3</v>
      </c>
      <c r="BH107" s="339">
        <v>1</v>
      </c>
      <c r="BI107" s="339">
        <v>5</v>
      </c>
      <c r="BJ107" s="104">
        <v>28</v>
      </c>
      <c r="BK107" s="104">
        <v>1.2</v>
      </c>
      <c r="BL107" s="107">
        <f t="shared" si="90"/>
        <v>1.3068869189023089</v>
      </c>
      <c r="BM107" s="107">
        <f t="shared" si="91"/>
        <v>1.3824350847842264</v>
      </c>
      <c r="BN107" s="107" t="str">
        <f t="shared" si="92"/>
        <v>(2,3,4,3,1,5)</v>
      </c>
      <c r="BO107" s="108">
        <v>1.05</v>
      </c>
      <c r="BP107" s="108">
        <v>1.05</v>
      </c>
      <c r="BQ107" s="108">
        <v>1.2</v>
      </c>
      <c r="BR107" s="108">
        <v>1.02</v>
      </c>
      <c r="BS107" s="108">
        <v>1</v>
      </c>
      <c r="BT107" s="108">
        <v>1.2</v>
      </c>
      <c r="BV107" s="160"/>
      <c r="BW107" s="83" t="s">
        <v>106</v>
      </c>
      <c r="BX107" s="83" t="s">
        <v>106</v>
      </c>
      <c r="BY107" s="83" t="s">
        <v>106</v>
      </c>
      <c r="BZ107" s="83" t="s">
        <v>106</v>
      </c>
      <c r="CA107" s="83" t="s">
        <v>106</v>
      </c>
      <c r="CB107" s="83" t="s">
        <v>106</v>
      </c>
      <c r="CC107" s="104">
        <v>28</v>
      </c>
      <c r="CD107" s="104">
        <v>1.2</v>
      </c>
      <c r="CE107" s="107">
        <f t="shared" si="93"/>
        <v>1</v>
      </c>
      <c r="CF107" s="107">
        <f t="shared" si="94"/>
        <v>1.2</v>
      </c>
      <c r="CG107" s="107" t="str">
        <f t="shared" si="95"/>
        <v>(na,na,na,na,na,na)</v>
      </c>
      <c r="CH107" s="108">
        <v>1</v>
      </c>
      <c r="CI107" s="108">
        <v>1</v>
      </c>
      <c r="CJ107" s="108">
        <v>1</v>
      </c>
      <c r="CK107" s="108">
        <v>1</v>
      </c>
      <c r="CL107" s="108">
        <v>1</v>
      </c>
      <c r="CM107" s="108">
        <v>1</v>
      </c>
    </row>
    <row r="108" spans="1:91" s="171" customFormat="1" collapsed="1">
      <c r="A108" s="333">
        <v>90275</v>
      </c>
      <c r="B108" s="216"/>
      <c r="C108" s="334"/>
      <c r="D108" s="342" t="s">
        <v>98</v>
      </c>
      <c r="E108" s="343">
        <v>4</v>
      </c>
      <c r="F108" s="437" t="s">
        <v>259</v>
      </c>
      <c r="G108" s="438" t="s">
        <v>98</v>
      </c>
      <c r="H108" s="439" t="s">
        <v>247</v>
      </c>
      <c r="I108" s="439" t="s">
        <v>258</v>
      </c>
      <c r="J108" s="335" t="s">
        <v>98</v>
      </c>
      <c r="K108" s="438" t="s">
        <v>96</v>
      </c>
      <c r="L108" s="440">
        <f>AJ108</f>
        <v>2.4994352750809098E-3</v>
      </c>
      <c r="M108" s="336">
        <v>1</v>
      </c>
      <c r="N108" s="337">
        <f t="shared" si="75"/>
        <v>1.0722009304576894</v>
      </c>
      <c r="O108" s="455" t="str">
        <f t="shared" si="67"/>
        <v>(2,1,1,2,1,1); Industry data (French tender)</v>
      </c>
      <c r="P108" s="440">
        <v>3.4112656826568301E-3</v>
      </c>
      <c r="Q108" s="336">
        <v>1</v>
      </c>
      <c r="R108" s="337">
        <f t="shared" si="76"/>
        <v>1.0722009304576894</v>
      </c>
      <c r="S108" s="455" t="str">
        <f t="shared" si="68"/>
        <v>(2,1,1,2,1,1); Industry data (French tender)</v>
      </c>
      <c r="T108" s="440">
        <f t="shared" ref="T108:T117" si="96">L108</f>
        <v>2.4994352750809098E-3</v>
      </c>
      <c r="U108" s="336">
        <v>1</v>
      </c>
      <c r="V108" s="337">
        <f t="shared" si="78"/>
        <v>1.0722009304576894</v>
      </c>
      <c r="W108" s="437" t="str">
        <f t="shared" si="69"/>
        <v>(2,1,1,2,1,1); Industry data (French tender)</v>
      </c>
      <c r="X108" s="440">
        <v>3.4112656826568301E-3</v>
      </c>
      <c r="Y108" s="336">
        <v>1</v>
      </c>
      <c r="Z108" s="337">
        <f t="shared" si="79"/>
        <v>1.0722009304576894</v>
      </c>
      <c r="AA108" s="437" t="str">
        <f t="shared" si="70"/>
        <v>(2,1,1,2,1,1); Industry data (French tender)</v>
      </c>
      <c r="AB108" s="440">
        <f t="shared" ref="AB108:AB117" si="97">L108</f>
        <v>2.4994352750809098E-3</v>
      </c>
      <c r="AC108" s="336">
        <v>1</v>
      </c>
      <c r="AD108" s="337">
        <f t="shared" si="81"/>
        <v>1.0722009304576894</v>
      </c>
      <c r="AE108" s="455" t="str">
        <f t="shared" si="71"/>
        <v>(2,1,1,2,1,1); Industry data (French tender)</v>
      </c>
      <c r="AF108" s="440">
        <v>3.4112656826568301E-3</v>
      </c>
      <c r="AG108" s="336">
        <v>1</v>
      </c>
      <c r="AH108" s="337">
        <f t="shared" si="82"/>
        <v>1.0722009304576894</v>
      </c>
      <c r="AI108" s="455" t="str">
        <f t="shared" si="72"/>
        <v>(2,1,1,2,1,1); Industry data (French tender)</v>
      </c>
      <c r="AJ108" s="440">
        <f>BA108</f>
        <v>2.4994352750809098E-3</v>
      </c>
      <c r="AK108" s="336">
        <v>1</v>
      </c>
      <c r="AL108" s="337">
        <f t="shared" si="83"/>
        <v>1.0722009304576894</v>
      </c>
      <c r="AM108" s="455" t="str">
        <f t="shared" si="84"/>
        <v>(2,1,1,2,1,1); Industry data (French tender)</v>
      </c>
      <c r="AN108" s="440">
        <v>3.4112656826568301E-3</v>
      </c>
      <c r="AO108" s="336">
        <v>1</v>
      </c>
      <c r="AP108" s="337">
        <f t="shared" si="85"/>
        <v>1.0722009304576894</v>
      </c>
      <c r="AQ108" s="437" t="str">
        <f t="shared" si="73"/>
        <v>(2,1,1,2,1,1); Industry data (French tender)</v>
      </c>
      <c r="AR108" s="440">
        <v>0.111</v>
      </c>
      <c r="AS108" s="336">
        <v>1</v>
      </c>
      <c r="AT108" s="337">
        <f t="shared" si="86"/>
        <v>1.2434566510799234</v>
      </c>
      <c r="AU108" s="455" t="str">
        <f t="shared" si="87"/>
        <v>(2,4,1,3,1,5); Brailovsky (2026) GP 05</v>
      </c>
      <c r="AV108" s="440">
        <v>0.111</v>
      </c>
      <c r="AW108" s="336">
        <v>1</v>
      </c>
      <c r="AX108" s="337">
        <f t="shared" si="88"/>
        <v>1.2434566510799234</v>
      </c>
      <c r="AY108" s="437" t="str">
        <f t="shared" si="89"/>
        <v>(2,4,1,3,1,5); Brailovsky (2026) GP 05</v>
      </c>
      <c r="AZ108" s="338"/>
      <c r="BA108" s="440">
        <v>2.4994352750809098E-3</v>
      </c>
      <c r="BB108" s="440"/>
      <c r="BC108" s="216" t="s">
        <v>462</v>
      </c>
      <c r="BD108" s="83">
        <v>2</v>
      </c>
      <c r="BE108" s="83">
        <v>1</v>
      </c>
      <c r="BF108" s="83">
        <v>1</v>
      </c>
      <c r="BG108" s="83">
        <v>2</v>
      </c>
      <c r="BH108" s="83">
        <v>1</v>
      </c>
      <c r="BI108" s="83">
        <v>1</v>
      </c>
      <c r="BJ108" s="104">
        <v>14</v>
      </c>
      <c r="BK108" s="104">
        <v>1.05</v>
      </c>
      <c r="BL108" s="107">
        <f t="shared" si="90"/>
        <v>1.0510550504206344</v>
      </c>
      <c r="BM108" s="107">
        <f t="shared" si="91"/>
        <v>1.0722009304576894</v>
      </c>
      <c r="BN108" s="107" t="str">
        <f t="shared" si="92"/>
        <v>(2,1,1,2,1,1)</v>
      </c>
      <c r="BO108" s="108">
        <v>1.05</v>
      </c>
      <c r="BP108" s="108">
        <v>1</v>
      </c>
      <c r="BQ108" s="108">
        <v>1</v>
      </c>
      <c r="BR108" s="108">
        <v>1.01</v>
      </c>
      <c r="BS108" s="108">
        <v>1</v>
      </c>
      <c r="BT108" s="108">
        <v>1</v>
      </c>
      <c r="BV108" s="160" t="s">
        <v>954</v>
      </c>
      <c r="BW108" s="83">
        <v>2</v>
      </c>
      <c r="BX108" s="83">
        <v>4</v>
      </c>
      <c r="BY108" s="83">
        <v>1</v>
      </c>
      <c r="BZ108" s="83">
        <v>3</v>
      </c>
      <c r="CA108" s="83">
        <v>1</v>
      </c>
      <c r="CB108" s="83">
        <v>5</v>
      </c>
      <c r="CC108" s="104">
        <v>14</v>
      </c>
      <c r="CD108" s="104">
        <v>1.05</v>
      </c>
      <c r="CE108" s="107">
        <f t="shared" si="93"/>
        <v>1.2365959919080913</v>
      </c>
      <c r="CF108" s="107">
        <f t="shared" si="94"/>
        <v>1.2434566510799234</v>
      </c>
      <c r="CG108" s="107" t="str">
        <f t="shared" si="95"/>
        <v>(2,4,1,3,1,5)</v>
      </c>
      <c r="CH108" s="108">
        <v>1.05</v>
      </c>
      <c r="CI108" s="108">
        <v>1.1000000000000001</v>
      </c>
      <c r="CJ108" s="108">
        <v>1</v>
      </c>
      <c r="CK108" s="108">
        <v>1.02</v>
      </c>
      <c r="CL108" s="108">
        <v>1</v>
      </c>
      <c r="CM108" s="108">
        <v>1.2</v>
      </c>
    </row>
    <row r="109" spans="1:91" s="171" customFormat="1" ht="24" hidden="1" outlineLevel="1">
      <c r="A109" s="333">
        <v>2178</v>
      </c>
      <c r="B109" s="216"/>
      <c r="C109" s="334"/>
      <c r="D109" s="342" t="s">
        <v>98</v>
      </c>
      <c r="E109" s="343">
        <v>4</v>
      </c>
      <c r="F109" s="437" t="s">
        <v>413</v>
      </c>
      <c r="G109" s="438" t="s">
        <v>98</v>
      </c>
      <c r="H109" s="439" t="s">
        <v>247</v>
      </c>
      <c r="I109" s="439" t="s">
        <v>258</v>
      </c>
      <c r="J109" s="335" t="s">
        <v>98</v>
      </c>
      <c r="K109" s="438" t="s">
        <v>96</v>
      </c>
      <c r="L109" s="440">
        <v>4.6022353714661403E-5</v>
      </c>
      <c r="M109" s="336">
        <v>1</v>
      </c>
      <c r="N109" s="337">
        <f t="shared" si="75"/>
        <v>1.6255346238806905</v>
      </c>
      <c r="O109" s="455" t="str">
        <f t="shared" si="67"/>
        <v>(2,3,4,3,1,5); de Wild-Scholten (2014) Life Cycle Assessment of Photovoltaics Status 2011, Part 1 Data Collection (Table 30,31)</v>
      </c>
      <c r="P109" s="440">
        <v>4.6022353714661403E-5</v>
      </c>
      <c r="Q109" s="336">
        <v>1</v>
      </c>
      <c r="R109" s="337">
        <f t="shared" si="76"/>
        <v>1.6255346238806905</v>
      </c>
      <c r="S109" s="455" t="str">
        <f t="shared" si="68"/>
        <v>(2,3,4,3,1,5); de Wild-Scholten (2014) Life Cycle Assessment of Photovoltaics Status 2011, Part 1 Data Collection (Table 30,31)</v>
      </c>
      <c r="T109" s="440">
        <f t="shared" si="96"/>
        <v>4.6022353714661403E-5</v>
      </c>
      <c r="U109" s="336">
        <v>1</v>
      </c>
      <c r="V109" s="337">
        <f t="shared" si="78"/>
        <v>1.6255346238806905</v>
      </c>
      <c r="W109" s="437" t="str">
        <f t="shared" si="69"/>
        <v>(2,3,4,3,1,5); de Wild-Scholten (2014) Life Cycle Assessment of Photovoltaics Status 2011, Part 1 Data Collection (Table 30,31)</v>
      </c>
      <c r="X109" s="440">
        <v>4.6022353714661403E-5</v>
      </c>
      <c r="Y109" s="336">
        <v>1</v>
      </c>
      <c r="Z109" s="337">
        <f t="shared" si="79"/>
        <v>1.6255346238806905</v>
      </c>
      <c r="AA109" s="437" t="str">
        <f t="shared" si="70"/>
        <v>(2,3,4,3,1,5); de Wild-Scholten (2014) Life Cycle Assessment of Photovoltaics Status 2011, Part 1 Data Collection (Table 30,31)</v>
      </c>
      <c r="AB109" s="440">
        <f t="shared" si="97"/>
        <v>4.6022353714661403E-5</v>
      </c>
      <c r="AC109" s="336">
        <v>1</v>
      </c>
      <c r="AD109" s="337">
        <f t="shared" si="81"/>
        <v>1.6255346238806905</v>
      </c>
      <c r="AE109" s="455" t="str">
        <f t="shared" si="71"/>
        <v>(2,3,4,3,1,5); de Wild-Scholten (2014) Life Cycle Assessment of Photovoltaics Status 2011, Part 1 Data Collection (Table 30,31)</v>
      </c>
      <c r="AF109" s="440">
        <v>4.6022353714661403E-5</v>
      </c>
      <c r="AG109" s="336">
        <v>1</v>
      </c>
      <c r="AH109" s="337">
        <f t="shared" si="82"/>
        <v>1.6255346238806905</v>
      </c>
      <c r="AI109" s="455" t="str">
        <f t="shared" si="72"/>
        <v>(2,3,4,3,1,5); de Wild-Scholten (2014) Life Cycle Assessment of Photovoltaics Status 2011, Part 1 Data Collection (Table 30,31)</v>
      </c>
      <c r="AJ109" s="440">
        <v>4.6022353714661403E-5</v>
      </c>
      <c r="AK109" s="336">
        <v>1</v>
      </c>
      <c r="AL109" s="337">
        <f t="shared" si="83"/>
        <v>1.6255346238806905</v>
      </c>
      <c r="AM109" s="455" t="str">
        <f t="shared" si="84"/>
        <v>(2,3,4,3,1,5); de Wild-Scholten (2014) Life Cycle Assessment of Photovoltaics Status 2011, Part 1 Data Collection (Table 30,31)</v>
      </c>
      <c r="AN109" s="440">
        <v>4.6022353714661403E-5</v>
      </c>
      <c r="AO109" s="336">
        <v>1</v>
      </c>
      <c r="AP109" s="337">
        <f t="shared" si="85"/>
        <v>1.6255346238806905</v>
      </c>
      <c r="AQ109" s="437" t="str">
        <f t="shared" si="73"/>
        <v>(2,3,4,3,1,5); de Wild-Scholten (2014) Life Cycle Assessment of Photovoltaics Status 2011, Part 1 Data Collection (Table 30,31)</v>
      </c>
      <c r="AR109" s="440">
        <v>0</v>
      </c>
      <c r="AS109" s="336">
        <v>1</v>
      </c>
      <c r="AT109" s="337">
        <f t="shared" si="86"/>
        <v>1.5</v>
      </c>
      <c r="AU109" s="455" t="str">
        <f t="shared" si="87"/>
        <v xml:space="preserve">(na,na,na,na,na,na); </v>
      </c>
      <c r="AV109" s="440">
        <v>0</v>
      </c>
      <c r="AW109" s="336">
        <v>1</v>
      </c>
      <c r="AX109" s="337">
        <f t="shared" si="88"/>
        <v>1.5</v>
      </c>
      <c r="AY109" s="437" t="str">
        <f t="shared" si="89"/>
        <v xml:space="preserve">(na,na,na,na,na,na); </v>
      </c>
      <c r="AZ109" s="338"/>
      <c r="BA109" s="440">
        <v>0</v>
      </c>
      <c r="BB109" s="440"/>
      <c r="BC109" s="216" t="s">
        <v>1012</v>
      </c>
      <c r="BD109" s="339">
        <v>2</v>
      </c>
      <c r="BE109" s="339">
        <v>3</v>
      </c>
      <c r="BF109" s="339">
        <v>4</v>
      </c>
      <c r="BG109" s="339">
        <v>3</v>
      </c>
      <c r="BH109" s="339">
        <v>1</v>
      </c>
      <c r="BI109" s="339">
        <v>5</v>
      </c>
      <c r="BJ109" s="104">
        <v>31</v>
      </c>
      <c r="BK109" s="104">
        <v>1.5</v>
      </c>
      <c r="BL109" s="107">
        <f t="shared" si="90"/>
        <v>1.3068869189023089</v>
      </c>
      <c r="BM109" s="107">
        <f t="shared" si="91"/>
        <v>1.6255346238806905</v>
      </c>
      <c r="BN109" s="107" t="str">
        <f t="shared" si="92"/>
        <v>(2,3,4,3,1,5)</v>
      </c>
      <c r="BO109" s="108">
        <v>1.05</v>
      </c>
      <c r="BP109" s="108">
        <v>1.05</v>
      </c>
      <c r="BQ109" s="108">
        <v>1.2</v>
      </c>
      <c r="BR109" s="108">
        <v>1.02</v>
      </c>
      <c r="BS109" s="108">
        <v>1</v>
      </c>
      <c r="BT109" s="108">
        <v>1.2</v>
      </c>
      <c r="BV109" s="160"/>
      <c r="BW109" s="83" t="s">
        <v>106</v>
      </c>
      <c r="BX109" s="83" t="s">
        <v>106</v>
      </c>
      <c r="BY109" s="83" t="s">
        <v>106</v>
      </c>
      <c r="BZ109" s="83" t="s">
        <v>106</v>
      </c>
      <c r="CA109" s="83" t="s">
        <v>106</v>
      </c>
      <c r="CB109" s="83" t="s">
        <v>106</v>
      </c>
      <c r="CC109" s="104">
        <v>31</v>
      </c>
      <c r="CD109" s="104">
        <v>1.5</v>
      </c>
      <c r="CE109" s="107">
        <f t="shared" si="93"/>
        <v>1</v>
      </c>
      <c r="CF109" s="107">
        <f t="shared" si="94"/>
        <v>1.5</v>
      </c>
      <c r="CG109" s="107" t="str">
        <f t="shared" si="95"/>
        <v>(na,na,na,na,na,na)</v>
      </c>
      <c r="CH109" s="108">
        <v>1</v>
      </c>
      <c r="CI109" s="108">
        <v>1</v>
      </c>
      <c r="CJ109" s="108">
        <v>1</v>
      </c>
      <c r="CK109" s="108">
        <v>1</v>
      </c>
      <c r="CL109" s="108">
        <v>1</v>
      </c>
      <c r="CM109" s="108">
        <v>1</v>
      </c>
    </row>
    <row r="110" spans="1:91" s="171" customFormat="1" ht="24" hidden="1" outlineLevel="1">
      <c r="A110" s="333">
        <v>6467</v>
      </c>
      <c r="B110" s="216"/>
      <c r="C110" s="334"/>
      <c r="D110" s="342" t="s">
        <v>98</v>
      </c>
      <c r="E110" s="343">
        <v>4</v>
      </c>
      <c r="F110" s="437" t="s">
        <v>1014</v>
      </c>
      <c r="G110" s="438" t="s">
        <v>98</v>
      </c>
      <c r="H110" s="439" t="s">
        <v>247</v>
      </c>
      <c r="I110" s="439" t="s">
        <v>258</v>
      </c>
      <c r="J110" s="335" t="s">
        <v>98</v>
      </c>
      <c r="K110" s="438" t="s">
        <v>96</v>
      </c>
      <c r="L110" s="440">
        <v>1.1012491781722601E-2</v>
      </c>
      <c r="M110" s="336">
        <v>1</v>
      </c>
      <c r="N110" s="337">
        <f t="shared" si="75"/>
        <v>1.6255346238806905</v>
      </c>
      <c r="O110" s="455" t="str">
        <f t="shared" si="67"/>
        <v>(2,3,4,3,1,5); de Wild-Scholten (2014) Life Cycle Assessment of Photovoltaics Status 2011, Part 1 Data Collection (Table 30,31)</v>
      </c>
      <c r="P110" s="440">
        <v>1.1012491781722601E-2</v>
      </c>
      <c r="Q110" s="336">
        <v>1</v>
      </c>
      <c r="R110" s="337">
        <f t="shared" si="76"/>
        <v>1.6255346238806905</v>
      </c>
      <c r="S110" s="455" t="str">
        <f t="shared" si="68"/>
        <v>(2,3,4,3,1,5); de Wild-Scholten (2014) Life Cycle Assessment of Photovoltaics Status 2011, Part 1 Data Collection (Table 30,31)</v>
      </c>
      <c r="T110" s="440">
        <f t="shared" si="96"/>
        <v>1.1012491781722601E-2</v>
      </c>
      <c r="U110" s="336">
        <v>1</v>
      </c>
      <c r="V110" s="337">
        <f t="shared" si="78"/>
        <v>1.6255346238806905</v>
      </c>
      <c r="W110" s="437" t="str">
        <f t="shared" si="69"/>
        <v>(2,3,4,3,1,5); de Wild-Scholten (2014) Life Cycle Assessment of Photovoltaics Status 2011, Part 1 Data Collection (Table 30,31)</v>
      </c>
      <c r="X110" s="440">
        <v>1.1012491781722601E-2</v>
      </c>
      <c r="Y110" s="336">
        <v>1</v>
      </c>
      <c r="Z110" s="337">
        <f t="shared" si="79"/>
        <v>1.6255346238806905</v>
      </c>
      <c r="AA110" s="437" t="str">
        <f t="shared" si="70"/>
        <v>(2,3,4,3,1,5); de Wild-Scholten (2014) Life Cycle Assessment of Photovoltaics Status 2011, Part 1 Data Collection (Table 30,31)</v>
      </c>
      <c r="AB110" s="440">
        <f t="shared" si="97"/>
        <v>1.1012491781722601E-2</v>
      </c>
      <c r="AC110" s="336">
        <v>1</v>
      </c>
      <c r="AD110" s="337">
        <f t="shared" si="81"/>
        <v>1.6255346238806905</v>
      </c>
      <c r="AE110" s="455" t="str">
        <f t="shared" si="71"/>
        <v>(2,3,4,3,1,5); de Wild-Scholten (2014) Life Cycle Assessment of Photovoltaics Status 2011, Part 1 Data Collection (Table 30,31)</v>
      </c>
      <c r="AF110" s="440">
        <v>1.1012491781722601E-2</v>
      </c>
      <c r="AG110" s="336">
        <v>1</v>
      </c>
      <c r="AH110" s="337">
        <f t="shared" si="82"/>
        <v>1.6255346238806905</v>
      </c>
      <c r="AI110" s="455" t="str">
        <f t="shared" si="72"/>
        <v>(2,3,4,3,1,5); de Wild-Scholten (2014) Life Cycle Assessment of Photovoltaics Status 2011, Part 1 Data Collection (Table 30,31)</v>
      </c>
      <c r="AJ110" s="440">
        <v>1.1012491781722601E-2</v>
      </c>
      <c r="AK110" s="336">
        <v>1</v>
      </c>
      <c r="AL110" s="337">
        <f t="shared" si="83"/>
        <v>1.6255346238806905</v>
      </c>
      <c r="AM110" s="455" t="str">
        <f t="shared" si="84"/>
        <v>(2,3,4,3,1,5); de Wild-Scholten (2014) Life Cycle Assessment of Photovoltaics Status 2011, Part 1 Data Collection (Table 30,31)</v>
      </c>
      <c r="AN110" s="440">
        <v>1.1012491781722601E-2</v>
      </c>
      <c r="AO110" s="336">
        <v>1</v>
      </c>
      <c r="AP110" s="337">
        <f t="shared" si="85"/>
        <v>1.6255346238806905</v>
      </c>
      <c r="AQ110" s="437" t="str">
        <f t="shared" si="73"/>
        <v>(2,3,4,3,1,5); de Wild-Scholten (2014) Life Cycle Assessment of Photovoltaics Status 2011, Part 1 Data Collection (Table 30,31)</v>
      </c>
      <c r="AR110" s="440">
        <v>0</v>
      </c>
      <c r="AS110" s="336">
        <v>1</v>
      </c>
      <c r="AT110" s="337">
        <f t="shared" si="86"/>
        <v>1.5</v>
      </c>
      <c r="AU110" s="455" t="str">
        <f t="shared" si="87"/>
        <v xml:space="preserve">(na,na,na,na,na,na); </v>
      </c>
      <c r="AV110" s="440">
        <v>0</v>
      </c>
      <c r="AW110" s="336">
        <v>1</v>
      </c>
      <c r="AX110" s="337">
        <f t="shared" si="88"/>
        <v>1.5</v>
      </c>
      <c r="AY110" s="437" t="str">
        <f t="shared" si="89"/>
        <v xml:space="preserve">(na,na,na,na,na,na); </v>
      </c>
      <c r="AZ110" s="338"/>
      <c r="BA110" s="440">
        <v>0</v>
      </c>
      <c r="BB110" s="440"/>
      <c r="BC110" s="216" t="s">
        <v>1012</v>
      </c>
      <c r="BD110" s="339">
        <v>2</v>
      </c>
      <c r="BE110" s="339">
        <v>3</v>
      </c>
      <c r="BF110" s="339">
        <v>4</v>
      </c>
      <c r="BG110" s="339">
        <v>3</v>
      </c>
      <c r="BH110" s="339">
        <v>1</v>
      </c>
      <c r="BI110" s="339">
        <v>5</v>
      </c>
      <c r="BJ110" s="104">
        <v>31</v>
      </c>
      <c r="BK110" s="104">
        <v>1.5</v>
      </c>
      <c r="BL110" s="107">
        <f t="shared" si="90"/>
        <v>1.3068869189023089</v>
      </c>
      <c r="BM110" s="107">
        <f t="shared" si="91"/>
        <v>1.6255346238806905</v>
      </c>
      <c r="BN110" s="107" t="str">
        <f t="shared" si="92"/>
        <v>(2,3,4,3,1,5)</v>
      </c>
      <c r="BO110" s="108">
        <v>1.05</v>
      </c>
      <c r="BP110" s="108">
        <v>1.05</v>
      </c>
      <c r="BQ110" s="108">
        <v>1.2</v>
      </c>
      <c r="BR110" s="108">
        <v>1.02</v>
      </c>
      <c r="BS110" s="108">
        <v>1</v>
      </c>
      <c r="BT110" s="108">
        <v>1.2</v>
      </c>
      <c r="BV110" s="160"/>
      <c r="BW110" s="83" t="s">
        <v>106</v>
      </c>
      <c r="BX110" s="83" t="s">
        <v>106</v>
      </c>
      <c r="BY110" s="83" t="s">
        <v>106</v>
      </c>
      <c r="BZ110" s="83" t="s">
        <v>106</v>
      </c>
      <c r="CA110" s="83" t="s">
        <v>106</v>
      </c>
      <c r="CB110" s="83" t="s">
        <v>106</v>
      </c>
      <c r="CC110" s="104">
        <v>31</v>
      </c>
      <c r="CD110" s="104">
        <v>1.5</v>
      </c>
      <c r="CE110" s="107">
        <f t="shared" si="93"/>
        <v>1</v>
      </c>
      <c r="CF110" s="107">
        <f t="shared" si="94"/>
        <v>1.5</v>
      </c>
      <c r="CG110" s="107" t="str">
        <f t="shared" si="95"/>
        <v>(na,na,na,na,na,na)</v>
      </c>
      <c r="CH110" s="108">
        <v>1</v>
      </c>
      <c r="CI110" s="108">
        <v>1</v>
      </c>
      <c r="CJ110" s="108">
        <v>1</v>
      </c>
      <c r="CK110" s="108">
        <v>1</v>
      </c>
      <c r="CL110" s="108">
        <v>1</v>
      </c>
      <c r="CM110" s="108">
        <v>1</v>
      </c>
    </row>
    <row r="111" spans="1:91" s="171" customFormat="1" ht="24" hidden="1" outlineLevel="1">
      <c r="A111" s="333">
        <v>63639</v>
      </c>
      <c r="B111" s="216"/>
      <c r="C111" s="334"/>
      <c r="D111" s="342" t="s">
        <v>98</v>
      </c>
      <c r="E111" s="343">
        <v>4</v>
      </c>
      <c r="F111" s="437" t="s">
        <v>1015</v>
      </c>
      <c r="G111" s="438" t="s">
        <v>98</v>
      </c>
      <c r="H111" s="439" t="s">
        <v>247</v>
      </c>
      <c r="I111" s="439" t="s">
        <v>258</v>
      </c>
      <c r="J111" s="335" t="s">
        <v>98</v>
      </c>
      <c r="K111" s="438" t="s">
        <v>96</v>
      </c>
      <c r="L111" s="440">
        <v>1.47107166337936E-2</v>
      </c>
      <c r="M111" s="336">
        <v>1</v>
      </c>
      <c r="N111" s="337">
        <f t="shared" si="75"/>
        <v>1.6255346238806905</v>
      </c>
      <c r="O111" s="455" t="str">
        <f t="shared" si="67"/>
        <v>(2,3,4,3,1,5); de Wild-Scholten (2014) Life Cycle Assessment of Photovoltaics Status 2011, Part 1 Data Collection (Table 30,31)</v>
      </c>
      <c r="P111" s="440">
        <v>1.47107166337936E-2</v>
      </c>
      <c r="Q111" s="336">
        <v>1</v>
      </c>
      <c r="R111" s="337">
        <f t="shared" si="76"/>
        <v>1.6255346238806905</v>
      </c>
      <c r="S111" s="455" t="str">
        <f t="shared" si="68"/>
        <v>(2,3,4,3,1,5); de Wild-Scholten (2014) Life Cycle Assessment of Photovoltaics Status 2011, Part 1 Data Collection (Table 30,31)</v>
      </c>
      <c r="T111" s="440">
        <f t="shared" si="96"/>
        <v>1.47107166337936E-2</v>
      </c>
      <c r="U111" s="336">
        <v>1</v>
      </c>
      <c r="V111" s="337">
        <f t="shared" si="78"/>
        <v>1.6255346238806905</v>
      </c>
      <c r="W111" s="437" t="str">
        <f t="shared" si="69"/>
        <v>(2,3,4,3,1,5); de Wild-Scholten (2014) Life Cycle Assessment of Photovoltaics Status 2011, Part 1 Data Collection (Table 30,31)</v>
      </c>
      <c r="X111" s="440">
        <v>1.47107166337936E-2</v>
      </c>
      <c r="Y111" s="336">
        <v>1</v>
      </c>
      <c r="Z111" s="337">
        <f t="shared" si="79"/>
        <v>1.6255346238806905</v>
      </c>
      <c r="AA111" s="437" t="str">
        <f t="shared" si="70"/>
        <v>(2,3,4,3,1,5); de Wild-Scholten (2014) Life Cycle Assessment of Photovoltaics Status 2011, Part 1 Data Collection (Table 30,31)</v>
      </c>
      <c r="AB111" s="440">
        <f t="shared" si="97"/>
        <v>1.47107166337936E-2</v>
      </c>
      <c r="AC111" s="336">
        <v>1</v>
      </c>
      <c r="AD111" s="337">
        <f t="shared" si="81"/>
        <v>1.6255346238806905</v>
      </c>
      <c r="AE111" s="455" t="str">
        <f t="shared" si="71"/>
        <v>(2,3,4,3,1,5); de Wild-Scholten (2014) Life Cycle Assessment of Photovoltaics Status 2011, Part 1 Data Collection (Table 30,31)</v>
      </c>
      <c r="AF111" s="440">
        <v>1.47107166337936E-2</v>
      </c>
      <c r="AG111" s="336">
        <v>1</v>
      </c>
      <c r="AH111" s="337">
        <f t="shared" si="82"/>
        <v>1.6255346238806905</v>
      </c>
      <c r="AI111" s="455" t="str">
        <f t="shared" si="72"/>
        <v>(2,3,4,3,1,5); de Wild-Scholten (2014) Life Cycle Assessment of Photovoltaics Status 2011, Part 1 Data Collection (Table 30,31)</v>
      </c>
      <c r="AJ111" s="440">
        <v>1.47107166337936E-2</v>
      </c>
      <c r="AK111" s="336">
        <v>1</v>
      </c>
      <c r="AL111" s="337">
        <f t="shared" si="83"/>
        <v>1.6255346238806905</v>
      </c>
      <c r="AM111" s="455" t="str">
        <f t="shared" si="84"/>
        <v>(2,3,4,3,1,5); de Wild-Scholten (2014) Life Cycle Assessment of Photovoltaics Status 2011, Part 1 Data Collection (Table 30,31)</v>
      </c>
      <c r="AN111" s="440">
        <v>1.47107166337936E-2</v>
      </c>
      <c r="AO111" s="336">
        <v>1</v>
      </c>
      <c r="AP111" s="337">
        <f t="shared" si="85"/>
        <v>1.6255346238806905</v>
      </c>
      <c r="AQ111" s="437" t="str">
        <f t="shared" si="73"/>
        <v>(2,3,4,3,1,5); de Wild-Scholten (2014) Life Cycle Assessment of Photovoltaics Status 2011, Part 1 Data Collection (Table 30,31)</v>
      </c>
      <c r="AR111" s="440">
        <v>0</v>
      </c>
      <c r="AS111" s="336">
        <v>1</v>
      </c>
      <c r="AT111" s="337">
        <f t="shared" si="86"/>
        <v>1.5</v>
      </c>
      <c r="AU111" s="455" t="str">
        <f t="shared" si="87"/>
        <v xml:space="preserve">(na,na,na,na,na,na); </v>
      </c>
      <c r="AV111" s="440">
        <v>0</v>
      </c>
      <c r="AW111" s="336">
        <v>1</v>
      </c>
      <c r="AX111" s="337">
        <f t="shared" si="88"/>
        <v>1.5</v>
      </c>
      <c r="AY111" s="437" t="str">
        <f t="shared" si="89"/>
        <v xml:space="preserve">(na,na,na,na,na,na); </v>
      </c>
      <c r="AZ111" s="338"/>
      <c r="BA111" s="440">
        <v>0</v>
      </c>
      <c r="BB111" s="440"/>
      <c r="BC111" s="216" t="s">
        <v>1012</v>
      </c>
      <c r="BD111" s="339">
        <v>2</v>
      </c>
      <c r="BE111" s="339">
        <v>3</v>
      </c>
      <c r="BF111" s="339">
        <v>4</v>
      </c>
      <c r="BG111" s="339">
        <v>3</v>
      </c>
      <c r="BH111" s="339">
        <v>1</v>
      </c>
      <c r="BI111" s="339">
        <v>5</v>
      </c>
      <c r="BJ111" s="104">
        <v>18</v>
      </c>
      <c r="BK111" s="104">
        <v>1.5</v>
      </c>
      <c r="BL111" s="107">
        <f t="shared" si="90"/>
        <v>1.3068869189023089</v>
      </c>
      <c r="BM111" s="107">
        <f t="shared" si="91"/>
        <v>1.6255346238806905</v>
      </c>
      <c r="BN111" s="107" t="str">
        <f t="shared" si="92"/>
        <v>(2,3,4,3,1,5)</v>
      </c>
      <c r="BO111" s="108">
        <v>1.05</v>
      </c>
      <c r="BP111" s="108">
        <v>1.05</v>
      </c>
      <c r="BQ111" s="108">
        <v>1.2</v>
      </c>
      <c r="BR111" s="108">
        <v>1.02</v>
      </c>
      <c r="BS111" s="108">
        <v>1</v>
      </c>
      <c r="BT111" s="108">
        <v>1.2</v>
      </c>
      <c r="BV111" s="160"/>
      <c r="BW111" s="83" t="s">
        <v>106</v>
      </c>
      <c r="BX111" s="83" t="s">
        <v>106</v>
      </c>
      <c r="BY111" s="83" t="s">
        <v>106</v>
      </c>
      <c r="BZ111" s="83" t="s">
        <v>106</v>
      </c>
      <c r="CA111" s="83" t="s">
        <v>106</v>
      </c>
      <c r="CB111" s="83" t="s">
        <v>106</v>
      </c>
      <c r="CC111" s="104">
        <v>18</v>
      </c>
      <c r="CD111" s="104">
        <v>1.5</v>
      </c>
      <c r="CE111" s="107">
        <f t="shared" si="93"/>
        <v>1</v>
      </c>
      <c r="CF111" s="107">
        <f t="shared" si="94"/>
        <v>1.5</v>
      </c>
      <c r="CG111" s="107" t="str">
        <f t="shared" si="95"/>
        <v>(na,na,na,na,na,na)</v>
      </c>
      <c r="CH111" s="108">
        <v>1</v>
      </c>
      <c r="CI111" s="108">
        <v>1</v>
      </c>
      <c r="CJ111" s="108">
        <v>1</v>
      </c>
      <c r="CK111" s="108">
        <v>1</v>
      </c>
      <c r="CL111" s="108">
        <v>1</v>
      </c>
      <c r="CM111" s="108">
        <v>1</v>
      </c>
    </row>
    <row r="112" spans="1:91" s="171" customFormat="1" ht="24" hidden="1" outlineLevel="1">
      <c r="A112" s="333">
        <v>63065</v>
      </c>
      <c r="B112" s="216"/>
      <c r="C112" s="334"/>
      <c r="D112" s="342" t="s">
        <v>98</v>
      </c>
      <c r="E112" s="343">
        <v>4</v>
      </c>
      <c r="F112" s="437" t="s">
        <v>1016</v>
      </c>
      <c r="G112" s="438" t="s">
        <v>98</v>
      </c>
      <c r="H112" s="439" t="s">
        <v>247</v>
      </c>
      <c r="I112" s="439" t="s">
        <v>258</v>
      </c>
      <c r="J112" s="335" t="s">
        <v>98</v>
      </c>
      <c r="K112" s="438" t="s">
        <v>96</v>
      </c>
      <c r="L112" s="440">
        <v>6.3280736357659395E-4</v>
      </c>
      <c r="M112" s="336">
        <v>1</v>
      </c>
      <c r="N112" s="337">
        <f t="shared" si="75"/>
        <v>1.6255346238806905</v>
      </c>
      <c r="O112" s="455" t="str">
        <f t="shared" si="67"/>
        <v>(2,3,4,3,1,5); de Wild-Scholten (2014) Life Cycle Assessment of Photovoltaics Status 2011, Part 1 Data Collection (Table 30,31)</v>
      </c>
      <c r="P112" s="440">
        <v>6.3280736357659395E-4</v>
      </c>
      <c r="Q112" s="336">
        <v>1</v>
      </c>
      <c r="R112" s="337">
        <f t="shared" si="76"/>
        <v>1.6255346238806905</v>
      </c>
      <c r="S112" s="455" t="str">
        <f t="shared" si="68"/>
        <v>(2,3,4,3,1,5); de Wild-Scholten (2014) Life Cycle Assessment of Photovoltaics Status 2011, Part 1 Data Collection (Table 30,31)</v>
      </c>
      <c r="T112" s="440">
        <f t="shared" si="96"/>
        <v>6.3280736357659395E-4</v>
      </c>
      <c r="U112" s="336">
        <v>1</v>
      </c>
      <c r="V112" s="337">
        <f t="shared" si="78"/>
        <v>1.6255346238806905</v>
      </c>
      <c r="W112" s="437" t="str">
        <f t="shared" si="69"/>
        <v>(2,3,4,3,1,5); de Wild-Scholten (2014) Life Cycle Assessment of Photovoltaics Status 2011, Part 1 Data Collection (Table 30,31)</v>
      </c>
      <c r="X112" s="440">
        <v>6.3280736357659395E-4</v>
      </c>
      <c r="Y112" s="336">
        <v>1</v>
      </c>
      <c r="Z112" s="337">
        <f t="shared" si="79"/>
        <v>1.6255346238806905</v>
      </c>
      <c r="AA112" s="437" t="str">
        <f t="shared" si="70"/>
        <v>(2,3,4,3,1,5); de Wild-Scholten (2014) Life Cycle Assessment of Photovoltaics Status 2011, Part 1 Data Collection (Table 30,31)</v>
      </c>
      <c r="AB112" s="440">
        <f t="shared" si="97"/>
        <v>6.3280736357659395E-4</v>
      </c>
      <c r="AC112" s="336">
        <v>1</v>
      </c>
      <c r="AD112" s="337">
        <f t="shared" si="81"/>
        <v>1.6255346238806905</v>
      </c>
      <c r="AE112" s="455" t="str">
        <f t="shared" si="71"/>
        <v>(2,3,4,3,1,5); de Wild-Scholten (2014) Life Cycle Assessment of Photovoltaics Status 2011, Part 1 Data Collection (Table 30,31)</v>
      </c>
      <c r="AF112" s="440">
        <v>6.3280736357659395E-4</v>
      </c>
      <c r="AG112" s="336">
        <v>1</v>
      </c>
      <c r="AH112" s="337">
        <f t="shared" si="82"/>
        <v>1.6255346238806905</v>
      </c>
      <c r="AI112" s="455" t="str">
        <f t="shared" si="72"/>
        <v>(2,3,4,3,1,5); de Wild-Scholten (2014) Life Cycle Assessment of Photovoltaics Status 2011, Part 1 Data Collection (Table 30,31)</v>
      </c>
      <c r="AJ112" s="440">
        <v>6.3280736357659395E-4</v>
      </c>
      <c r="AK112" s="336">
        <v>1</v>
      </c>
      <c r="AL112" s="337">
        <f t="shared" si="83"/>
        <v>1.6255346238806905</v>
      </c>
      <c r="AM112" s="455" t="str">
        <f t="shared" si="84"/>
        <v>(2,3,4,3,1,5); de Wild-Scholten (2014) Life Cycle Assessment of Photovoltaics Status 2011, Part 1 Data Collection (Table 30,31)</v>
      </c>
      <c r="AN112" s="440">
        <v>6.3280736357659395E-4</v>
      </c>
      <c r="AO112" s="336">
        <v>1</v>
      </c>
      <c r="AP112" s="337">
        <f t="shared" si="85"/>
        <v>1.6255346238806905</v>
      </c>
      <c r="AQ112" s="437" t="str">
        <f t="shared" si="73"/>
        <v>(2,3,4,3,1,5); de Wild-Scholten (2014) Life Cycle Assessment of Photovoltaics Status 2011, Part 1 Data Collection (Table 30,31)</v>
      </c>
      <c r="AR112" s="440">
        <v>0</v>
      </c>
      <c r="AS112" s="336">
        <v>1</v>
      </c>
      <c r="AT112" s="337">
        <f t="shared" si="86"/>
        <v>1.5</v>
      </c>
      <c r="AU112" s="455" t="str">
        <f t="shared" si="87"/>
        <v xml:space="preserve">(na,na,na,na,na,na); </v>
      </c>
      <c r="AV112" s="440">
        <v>0</v>
      </c>
      <c r="AW112" s="336">
        <v>1</v>
      </c>
      <c r="AX112" s="337">
        <f t="shared" si="88"/>
        <v>1.5</v>
      </c>
      <c r="AY112" s="437" t="str">
        <f t="shared" si="89"/>
        <v xml:space="preserve">(na,na,na,na,na,na); </v>
      </c>
      <c r="AZ112" s="338"/>
      <c r="BA112" s="440">
        <v>0</v>
      </c>
      <c r="BB112" s="440"/>
      <c r="BC112" s="216" t="s">
        <v>1012</v>
      </c>
      <c r="BD112" s="339">
        <v>2</v>
      </c>
      <c r="BE112" s="339">
        <v>3</v>
      </c>
      <c r="BF112" s="339">
        <v>4</v>
      </c>
      <c r="BG112" s="339">
        <v>3</v>
      </c>
      <c r="BH112" s="339">
        <v>1</v>
      </c>
      <c r="BI112" s="339">
        <v>5</v>
      </c>
      <c r="BJ112" s="104">
        <v>18</v>
      </c>
      <c r="BK112" s="104">
        <v>1.5</v>
      </c>
      <c r="BL112" s="107">
        <f t="shared" si="90"/>
        <v>1.3068869189023089</v>
      </c>
      <c r="BM112" s="107">
        <f t="shared" si="91"/>
        <v>1.6255346238806905</v>
      </c>
      <c r="BN112" s="107" t="str">
        <f t="shared" si="92"/>
        <v>(2,3,4,3,1,5)</v>
      </c>
      <c r="BO112" s="108">
        <v>1.05</v>
      </c>
      <c r="BP112" s="108">
        <v>1.05</v>
      </c>
      <c r="BQ112" s="108">
        <v>1.2</v>
      </c>
      <c r="BR112" s="108">
        <v>1.02</v>
      </c>
      <c r="BS112" s="108">
        <v>1</v>
      </c>
      <c r="BT112" s="108">
        <v>1.2</v>
      </c>
      <c r="BV112" s="160"/>
      <c r="BW112" s="83" t="s">
        <v>106</v>
      </c>
      <c r="BX112" s="83" t="s">
        <v>106</v>
      </c>
      <c r="BY112" s="83" t="s">
        <v>106</v>
      </c>
      <c r="BZ112" s="83" t="s">
        <v>106</v>
      </c>
      <c r="CA112" s="83" t="s">
        <v>106</v>
      </c>
      <c r="CB112" s="83" t="s">
        <v>106</v>
      </c>
      <c r="CC112" s="104">
        <v>18</v>
      </c>
      <c r="CD112" s="104">
        <v>1.5</v>
      </c>
      <c r="CE112" s="107">
        <f t="shared" si="93"/>
        <v>1</v>
      </c>
      <c r="CF112" s="107">
        <f t="shared" si="94"/>
        <v>1.5</v>
      </c>
      <c r="CG112" s="107" t="str">
        <f t="shared" si="95"/>
        <v>(na,na,na,na,na,na)</v>
      </c>
      <c r="CH112" s="108">
        <v>1</v>
      </c>
      <c r="CI112" s="108">
        <v>1</v>
      </c>
      <c r="CJ112" s="108">
        <v>1</v>
      </c>
      <c r="CK112" s="108">
        <v>1</v>
      </c>
      <c r="CL112" s="108">
        <v>1</v>
      </c>
      <c r="CM112" s="108">
        <v>1</v>
      </c>
    </row>
    <row r="113" spans="1:91" s="171" customFormat="1" ht="24" hidden="1" outlineLevel="1">
      <c r="A113" s="333">
        <v>90397</v>
      </c>
      <c r="B113" s="216"/>
      <c r="C113" s="334"/>
      <c r="D113" s="342" t="s">
        <v>98</v>
      </c>
      <c r="E113" s="343">
        <v>4</v>
      </c>
      <c r="F113" s="437" t="s">
        <v>1017</v>
      </c>
      <c r="G113" s="438" t="s">
        <v>98</v>
      </c>
      <c r="H113" s="439" t="s">
        <v>247</v>
      </c>
      <c r="I113" s="439" t="s">
        <v>258</v>
      </c>
      <c r="J113" s="335" t="s">
        <v>98</v>
      </c>
      <c r="K113" s="438" t="s">
        <v>96</v>
      </c>
      <c r="L113" s="440">
        <v>3.1188362919132097E-5</v>
      </c>
      <c r="M113" s="336">
        <v>1</v>
      </c>
      <c r="N113" s="337">
        <f t="shared" si="75"/>
        <v>1.6255346238806905</v>
      </c>
      <c r="O113" s="455" t="str">
        <f t="shared" si="67"/>
        <v>(2,3,4,3,1,5); de Wild-Scholten (2014) Life Cycle Assessment of Photovoltaics Status 2011, Part 1 Data Collection (Table 30,31)</v>
      </c>
      <c r="P113" s="440">
        <v>3.1188362919132097E-5</v>
      </c>
      <c r="Q113" s="336">
        <v>1</v>
      </c>
      <c r="R113" s="337">
        <f t="shared" si="76"/>
        <v>1.6255346238806905</v>
      </c>
      <c r="S113" s="455" t="str">
        <f t="shared" si="68"/>
        <v>(2,3,4,3,1,5); de Wild-Scholten (2014) Life Cycle Assessment of Photovoltaics Status 2011, Part 1 Data Collection (Table 30,31)</v>
      </c>
      <c r="T113" s="440">
        <f t="shared" si="96"/>
        <v>3.1188362919132097E-5</v>
      </c>
      <c r="U113" s="336">
        <v>1</v>
      </c>
      <c r="V113" s="337">
        <f t="shared" si="78"/>
        <v>1.6255346238806905</v>
      </c>
      <c r="W113" s="437" t="str">
        <f t="shared" si="69"/>
        <v>(2,3,4,3,1,5); de Wild-Scholten (2014) Life Cycle Assessment of Photovoltaics Status 2011, Part 1 Data Collection (Table 30,31)</v>
      </c>
      <c r="X113" s="440">
        <v>3.1188362919132097E-5</v>
      </c>
      <c r="Y113" s="336">
        <v>1</v>
      </c>
      <c r="Z113" s="337">
        <f t="shared" si="79"/>
        <v>1.6255346238806905</v>
      </c>
      <c r="AA113" s="437" t="str">
        <f t="shared" si="70"/>
        <v>(2,3,4,3,1,5); de Wild-Scholten (2014) Life Cycle Assessment of Photovoltaics Status 2011, Part 1 Data Collection (Table 30,31)</v>
      </c>
      <c r="AB113" s="440">
        <f t="shared" si="97"/>
        <v>3.1188362919132097E-5</v>
      </c>
      <c r="AC113" s="336">
        <v>1</v>
      </c>
      <c r="AD113" s="337">
        <f t="shared" si="81"/>
        <v>1.6255346238806905</v>
      </c>
      <c r="AE113" s="455" t="str">
        <f t="shared" si="71"/>
        <v>(2,3,4,3,1,5); de Wild-Scholten (2014) Life Cycle Assessment of Photovoltaics Status 2011, Part 1 Data Collection (Table 30,31)</v>
      </c>
      <c r="AF113" s="440">
        <v>3.1188362919132097E-5</v>
      </c>
      <c r="AG113" s="336">
        <v>1</v>
      </c>
      <c r="AH113" s="337">
        <f t="shared" si="82"/>
        <v>1.6255346238806905</v>
      </c>
      <c r="AI113" s="455" t="str">
        <f t="shared" si="72"/>
        <v>(2,3,4,3,1,5); de Wild-Scholten (2014) Life Cycle Assessment of Photovoltaics Status 2011, Part 1 Data Collection (Table 30,31)</v>
      </c>
      <c r="AJ113" s="440">
        <v>3.1188362919132097E-5</v>
      </c>
      <c r="AK113" s="336">
        <v>1</v>
      </c>
      <c r="AL113" s="337">
        <f t="shared" si="83"/>
        <v>1.6255346238806905</v>
      </c>
      <c r="AM113" s="455" t="str">
        <f t="shared" si="84"/>
        <v>(2,3,4,3,1,5); de Wild-Scholten (2014) Life Cycle Assessment of Photovoltaics Status 2011, Part 1 Data Collection (Table 30,31)</v>
      </c>
      <c r="AN113" s="440">
        <v>3.1188362919132097E-5</v>
      </c>
      <c r="AO113" s="336">
        <v>1</v>
      </c>
      <c r="AP113" s="337">
        <f t="shared" si="85"/>
        <v>1.6255346238806905</v>
      </c>
      <c r="AQ113" s="437" t="str">
        <f t="shared" si="73"/>
        <v>(2,3,4,3,1,5); de Wild-Scholten (2014) Life Cycle Assessment of Photovoltaics Status 2011, Part 1 Data Collection (Table 30,31)</v>
      </c>
      <c r="AR113" s="440">
        <v>0</v>
      </c>
      <c r="AS113" s="336">
        <v>1</v>
      </c>
      <c r="AT113" s="337">
        <f t="shared" si="86"/>
        <v>1.5</v>
      </c>
      <c r="AU113" s="455" t="str">
        <f t="shared" si="87"/>
        <v xml:space="preserve">(na,na,na,na,na,na); </v>
      </c>
      <c r="AV113" s="440">
        <v>0</v>
      </c>
      <c r="AW113" s="336">
        <v>1</v>
      </c>
      <c r="AX113" s="337">
        <f t="shared" si="88"/>
        <v>1.5</v>
      </c>
      <c r="AY113" s="437" t="str">
        <f t="shared" si="89"/>
        <v xml:space="preserve">(na,na,na,na,na,na); </v>
      </c>
      <c r="AZ113" s="338"/>
      <c r="BA113" s="440">
        <v>0</v>
      </c>
      <c r="BB113" s="440"/>
      <c r="BC113" s="216" t="s">
        <v>1012</v>
      </c>
      <c r="BD113" s="339">
        <v>2</v>
      </c>
      <c r="BE113" s="339">
        <v>3</v>
      </c>
      <c r="BF113" s="339">
        <v>4</v>
      </c>
      <c r="BG113" s="339">
        <v>3</v>
      </c>
      <c r="BH113" s="339">
        <v>1</v>
      </c>
      <c r="BI113" s="339">
        <v>5</v>
      </c>
      <c r="BJ113" s="104">
        <v>18</v>
      </c>
      <c r="BK113" s="104">
        <v>1.5</v>
      </c>
      <c r="BL113" s="107">
        <f t="shared" si="90"/>
        <v>1.3068869189023089</v>
      </c>
      <c r="BM113" s="107">
        <f t="shared" si="91"/>
        <v>1.6255346238806905</v>
      </c>
      <c r="BN113" s="107" t="str">
        <f t="shared" si="92"/>
        <v>(2,3,4,3,1,5)</v>
      </c>
      <c r="BO113" s="108">
        <v>1.05</v>
      </c>
      <c r="BP113" s="108">
        <v>1.05</v>
      </c>
      <c r="BQ113" s="108">
        <v>1.2</v>
      </c>
      <c r="BR113" s="108">
        <v>1.02</v>
      </c>
      <c r="BS113" s="108">
        <v>1</v>
      </c>
      <c r="BT113" s="108">
        <v>1.2</v>
      </c>
      <c r="BV113" s="160"/>
      <c r="BW113" s="83" t="s">
        <v>106</v>
      </c>
      <c r="BX113" s="83" t="s">
        <v>106</v>
      </c>
      <c r="BY113" s="83" t="s">
        <v>106</v>
      </c>
      <c r="BZ113" s="83" t="s">
        <v>106</v>
      </c>
      <c r="CA113" s="83" t="s">
        <v>106</v>
      </c>
      <c r="CB113" s="83" t="s">
        <v>106</v>
      </c>
      <c r="CC113" s="104">
        <v>18</v>
      </c>
      <c r="CD113" s="104">
        <v>1.5</v>
      </c>
      <c r="CE113" s="107">
        <f t="shared" si="93"/>
        <v>1</v>
      </c>
      <c r="CF113" s="107">
        <f t="shared" si="94"/>
        <v>1.5</v>
      </c>
      <c r="CG113" s="107" t="str">
        <f t="shared" si="95"/>
        <v>(na,na,na,na,na,na)</v>
      </c>
      <c r="CH113" s="108">
        <v>1</v>
      </c>
      <c r="CI113" s="108">
        <v>1</v>
      </c>
      <c r="CJ113" s="108">
        <v>1</v>
      </c>
      <c r="CK113" s="108">
        <v>1</v>
      </c>
      <c r="CL113" s="108">
        <v>1</v>
      </c>
      <c r="CM113" s="108">
        <v>1</v>
      </c>
    </row>
    <row r="114" spans="1:91" s="171" customFormat="1" ht="24" hidden="1" outlineLevel="1">
      <c r="A114" s="333">
        <v>14622</v>
      </c>
      <c r="B114" s="216"/>
      <c r="C114" s="334"/>
      <c r="D114" s="342" t="s">
        <v>98</v>
      </c>
      <c r="E114" s="343">
        <v>4</v>
      </c>
      <c r="F114" s="437" t="s">
        <v>419</v>
      </c>
      <c r="G114" s="438" t="s">
        <v>98</v>
      </c>
      <c r="H114" s="439" t="s">
        <v>247</v>
      </c>
      <c r="I114" s="439" t="s">
        <v>258</v>
      </c>
      <c r="J114" s="335" t="s">
        <v>98</v>
      </c>
      <c r="K114" s="438" t="s">
        <v>96</v>
      </c>
      <c r="L114" s="440">
        <v>3.3284023668638999E-4</v>
      </c>
      <c r="M114" s="336">
        <v>1</v>
      </c>
      <c r="N114" s="337">
        <f t="shared" si="75"/>
        <v>5.11174548250293</v>
      </c>
      <c r="O114" s="455" t="str">
        <f t="shared" si="67"/>
        <v>(2,3,4,3,1,5); de Wild-Scholten (2014) Life Cycle Assessment of Photovoltaics Status 2011, Part 1 Data Collection (Table 30,31)</v>
      </c>
      <c r="P114" s="440">
        <v>3.3284023668638999E-4</v>
      </c>
      <c r="Q114" s="336">
        <v>1</v>
      </c>
      <c r="R114" s="337">
        <f t="shared" si="76"/>
        <v>5.11174548250293</v>
      </c>
      <c r="S114" s="455" t="str">
        <f t="shared" si="68"/>
        <v>(2,3,4,3,1,5); de Wild-Scholten (2014) Life Cycle Assessment of Photovoltaics Status 2011, Part 1 Data Collection (Table 30,31)</v>
      </c>
      <c r="T114" s="440">
        <f t="shared" si="96"/>
        <v>3.3284023668638999E-4</v>
      </c>
      <c r="U114" s="336">
        <v>1</v>
      </c>
      <c r="V114" s="337">
        <f t="shared" si="78"/>
        <v>5.11174548250293</v>
      </c>
      <c r="W114" s="437" t="str">
        <f t="shared" si="69"/>
        <v>(2,3,4,3,1,5); de Wild-Scholten (2014) Life Cycle Assessment of Photovoltaics Status 2011, Part 1 Data Collection (Table 30,31)</v>
      </c>
      <c r="X114" s="440">
        <v>3.3284023668638999E-4</v>
      </c>
      <c r="Y114" s="336">
        <v>1</v>
      </c>
      <c r="Z114" s="337">
        <f t="shared" si="79"/>
        <v>5.11174548250293</v>
      </c>
      <c r="AA114" s="437" t="str">
        <f t="shared" si="70"/>
        <v>(2,3,4,3,1,5); de Wild-Scholten (2014) Life Cycle Assessment of Photovoltaics Status 2011, Part 1 Data Collection (Table 30,31)</v>
      </c>
      <c r="AB114" s="440">
        <f t="shared" si="97"/>
        <v>3.3284023668638999E-4</v>
      </c>
      <c r="AC114" s="336">
        <v>1</v>
      </c>
      <c r="AD114" s="337">
        <f t="shared" si="81"/>
        <v>5.11174548250293</v>
      </c>
      <c r="AE114" s="455" t="str">
        <f t="shared" si="71"/>
        <v>(2,3,4,3,1,5); de Wild-Scholten (2014) Life Cycle Assessment of Photovoltaics Status 2011, Part 1 Data Collection (Table 30,31)</v>
      </c>
      <c r="AF114" s="440">
        <v>3.3284023668638999E-4</v>
      </c>
      <c r="AG114" s="336">
        <v>1</v>
      </c>
      <c r="AH114" s="337">
        <f t="shared" si="82"/>
        <v>5.11174548250293</v>
      </c>
      <c r="AI114" s="455" t="str">
        <f t="shared" si="72"/>
        <v>(2,3,4,3,1,5); de Wild-Scholten (2014) Life Cycle Assessment of Photovoltaics Status 2011, Part 1 Data Collection (Table 30,31)</v>
      </c>
      <c r="AJ114" s="440">
        <v>3.3284023668638999E-4</v>
      </c>
      <c r="AK114" s="336">
        <v>1</v>
      </c>
      <c r="AL114" s="337">
        <f t="shared" si="83"/>
        <v>5.11174548250293</v>
      </c>
      <c r="AM114" s="455" t="str">
        <f t="shared" si="84"/>
        <v>(2,3,4,3,1,5); de Wild-Scholten (2014) Life Cycle Assessment of Photovoltaics Status 2011, Part 1 Data Collection (Table 30,31)</v>
      </c>
      <c r="AN114" s="440">
        <v>3.3284023668638999E-4</v>
      </c>
      <c r="AO114" s="336">
        <v>1</v>
      </c>
      <c r="AP114" s="337">
        <f t="shared" si="85"/>
        <v>5.11174548250293</v>
      </c>
      <c r="AQ114" s="437" t="str">
        <f t="shared" si="73"/>
        <v>(2,3,4,3,1,5); de Wild-Scholten (2014) Life Cycle Assessment of Photovoltaics Status 2011, Part 1 Data Collection (Table 30,31)</v>
      </c>
      <c r="AR114" s="440">
        <v>0</v>
      </c>
      <c r="AS114" s="336">
        <v>1</v>
      </c>
      <c r="AT114" s="337">
        <f t="shared" si="86"/>
        <v>4.9999999999999991</v>
      </c>
      <c r="AU114" s="455" t="str">
        <f t="shared" si="87"/>
        <v xml:space="preserve">(na,na,na,na,na,na); </v>
      </c>
      <c r="AV114" s="440">
        <v>0</v>
      </c>
      <c r="AW114" s="336">
        <v>1</v>
      </c>
      <c r="AX114" s="337">
        <f t="shared" si="88"/>
        <v>4.9999999999999991</v>
      </c>
      <c r="AY114" s="437" t="str">
        <f t="shared" si="89"/>
        <v xml:space="preserve">(na,na,na,na,na,na); </v>
      </c>
      <c r="AZ114" s="338"/>
      <c r="BA114" s="440">
        <v>0</v>
      </c>
      <c r="BB114" s="440"/>
      <c r="BC114" s="216" t="s">
        <v>1012</v>
      </c>
      <c r="BD114" s="339">
        <v>2</v>
      </c>
      <c r="BE114" s="339">
        <v>3</v>
      </c>
      <c r="BF114" s="339">
        <v>4</v>
      </c>
      <c r="BG114" s="339">
        <v>3</v>
      </c>
      <c r="BH114" s="339">
        <v>1</v>
      </c>
      <c r="BI114" s="339">
        <v>5</v>
      </c>
      <c r="BJ114" s="104">
        <v>22</v>
      </c>
      <c r="BK114" s="104">
        <v>5</v>
      </c>
      <c r="BL114" s="107">
        <f t="shared" si="90"/>
        <v>1.3068869189023089</v>
      </c>
      <c r="BM114" s="107">
        <f t="shared" si="91"/>
        <v>5.11174548250293</v>
      </c>
      <c r="BN114" s="107" t="str">
        <f t="shared" si="92"/>
        <v>(2,3,4,3,1,5)</v>
      </c>
      <c r="BO114" s="108">
        <v>1.05</v>
      </c>
      <c r="BP114" s="108">
        <v>1.05</v>
      </c>
      <c r="BQ114" s="108">
        <v>1.2</v>
      </c>
      <c r="BR114" s="108">
        <v>1.02</v>
      </c>
      <c r="BS114" s="108">
        <v>1</v>
      </c>
      <c r="BT114" s="108">
        <v>1.2</v>
      </c>
      <c r="BV114" s="160"/>
      <c r="BW114" s="83" t="s">
        <v>106</v>
      </c>
      <c r="BX114" s="83" t="s">
        <v>106</v>
      </c>
      <c r="BY114" s="83" t="s">
        <v>106</v>
      </c>
      <c r="BZ114" s="83" t="s">
        <v>106</v>
      </c>
      <c r="CA114" s="83" t="s">
        <v>106</v>
      </c>
      <c r="CB114" s="83" t="s">
        <v>106</v>
      </c>
      <c r="CC114" s="104">
        <v>22</v>
      </c>
      <c r="CD114" s="104">
        <v>5</v>
      </c>
      <c r="CE114" s="107">
        <f t="shared" si="93"/>
        <v>1</v>
      </c>
      <c r="CF114" s="107">
        <f t="shared" si="94"/>
        <v>4.9999999999999991</v>
      </c>
      <c r="CG114" s="107" t="str">
        <f t="shared" si="95"/>
        <v>(na,na,na,na,na,na)</v>
      </c>
      <c r="CH114" s="108">
        <v>1</v>
      </c>
      <c r="CI114" s="108">
        <v>1</v>
      </c>
      <c r="CJ114" s="108">
        <v>1</v>
      </c>
      <c r="CK114" s="108">
        <v>1</v>
      </c>
      <c r="CL114" s="108">
        <v>1</v>
      </c>
      <c r="CM114" s="108">
        <v>1</v>
      </c>
    </row>
    <row r="115" spans="1:91" s="171" customFormat="1" ht="24" hidden="1" outlineLevel="1">
      <c r="A115" s="333">
        <v>14622</v>
      </c>
      <c r="B115" s="216"/>
      <c r="C115" s="334"/>
      <c r="D115" s="342" t="s">
        <v>98</v>
      </c>
      <c r="E115" s="343">
        <v>4</v>
      </c>
      <c r="F115" s="437" t="s">
        <v>419</v>
      </c>
      <c r="G115" s="438" t="s">
        <v>98</v>
      </c>
      <c r="H115" s="439" t="s">
        <v>247</v>
      </c>
      <c r="I115" s="439" t="s">
        <v>258</v>
      </c>
      <c r="J115" s="335" t="s">
        <v>98</v>
      </c>
      <c r="K115" s="438" t="s">
        <v>96</v>
      </c>
      <c r="L115" s="440">
        <v>2.6298487836949398E-3</v>
      </c>
      <c r="M115" s="336">
        <v>1</v>
      </c>
      <c r="N115" s="337">
        <f t="shared" si="75"/>
        <v>5.11174548250293</v>
      </c>
      <c r="O115" s="455" t="str">
        <f t="shared" si="67"/>
        <v>(2,3,4,3,1,5); de Wild-Scholten (2014) Life Cycle Assessment of Photovoltaics Status 2011, Part 1 Data Collection (Table 30,31)</v>
      </c>
      <c r="P115" s="440">
        <v>2.6298487836949398E-3</v>
      </c>
      <c r="Q115" s="336">
        <v>1</v>
      </c>
      <c r="R115" s="337">
        <f t="shared" si="76"/>
        <v>5.11174548250293</v>
      </c>
      <c r="S115" s="455" t="str">
        <f t="shared" si="68"/>
        <v>(2,3,4,3,1,5); de Wild-Scholten (2014) Life Cycle Assessment of Photovoltaics Status 2011, Part 1 Data Collection (Table 30,31)</v>
      </c>
      <c r="T115" s="440">
        <f t="shared" si="96"/>
        <v>2.6298487836949398E-3</v>
      </c>
      <c r="U115" s="336">
        <v>1</v>
      </c>
      <c r="V115" s="337">
        <f t="shared" si="78"/>
        <v>5.11174548250293</v>
      </c>
      <c r="W115" s="437" t="str">
        <f t="shared" si="69"/>
        <v>(2,3,4,3,1,5); de Wild-Scholten (2014) Life Cycle Assessment of Photovoltaics Status 2011, Part 1 Data Collection (Table 30,31)</v>
      </c>
      <c r="X115" s="440">
        <v>2.6298487836949398E-3</v>
      </c>
      <c r="Y115" s="336">
        <v>1</v>
      </c>
      <c r="Z115" s="337">
        <f t="shared" si="79"/>
        <v>5.11174548250293</v>
      </c>
      <c r="AA115" s="437" t="str">
        <f t="shared" si="70"/>
        <v>(2,3,4,3,1,5); de Wild-Scholten (2014) Life Cycle Assessment of Photovoltaics Status 2011, Part 1 Data Collection (Table 30,31)</v>
      </c>
      <c r="AB115" s="440">
        <f t="shared" si="97"/>
        <v>2.6298487836949398E-3</v>
      </c>
      <c r="AC115" s="336">
        <v>1</v>
      </c>
      <c r="AD115" s="337">
        <f t="shared" si="81"/>
        <v>5.11174548250293</v>
      </c>
      <c r="AE115" s="455" t="str">
        <f t="shared" si="71"/>
        <v>(2,3,4,3,1,5); de Wild-Scholten (2014) Life Cycle Assessment of Photovoltaics Status 2011, Part 1 Data Collection (Table 30,31)</v>
      </c>
      <c r="AF115" s="440">
        <v>2.6298487836949398E-3</v>
      </c>
      <c r="AG115" s="336">
        <v>1</v>
      </c>
      <c r="AH115" s="337">
        <f t="shared" si="82"/>
        <v>5.11174548250293</v>
      </c>
      <c r="AI115" s="455" t="str">
        <f t="shared" si="72"/>
        <v>(2,3,4,3,1,5); de Wild-Scholten (2014) Life Cycle Assessment of Photovoltaics Status 2011, Part 1 Data Collection (Table 30,31)</v>
      </c>
      <c r="AJ115" s="440">
        <v>2.6298487836949398E-3</v>
      </c>
      <c r="AK115" s="336">
        <v>1</v>
      </c>
      <c r="AL115" s="337">
        <f t="shared" si="83"/>
        <v>5.11174548250293</v>
      </c>
      <c r="AM115" s="455" t="str">
        <f t="shared" si="84"/>
        <v>(2,3,4,3,1,5); de Wild-Scholten (2014) Life Cycle Assessment of Photovoltaics Status 2011, Part 1 Data Collection (Table 30,31)</v>
      </c>
      <c r="AN115" s="440">
        <v>2.6298487836949398E-3</v>
      </c>
      <c r="AO115" s="336">
        <v>1</v>
      </c>
      <c r="AP115" s="337">
        <f t="shared" si="85"/>
        <v>5.11174548250293</v>
      </c>
      <c r="AQ115" s="437" t="str">
        <f t="shared" si="73"/>
        <v>(2,3,4,3,1,5); de Wild-Scholten (2014) Life Cycle Assessment of Photovoltaics Status 2011, Part 1 Data Collection (Table 30,31)</v>
      </c>
      <c r="AR115" s="440">
        <v>0</v>
      </c>
      <c r="AS115" s="336">
        <v>1</v>
      </c>
      <c r="AT115" s="337">
        <f t="shared" si="86"/>
        <v>4.9999999999999991</v>
      </c>
      <c r="AU115" s="455" t="str">
        <f t="shared" si="87"/>
        <v xml:space="preserve">(na,na,na,na,na,na); </v>
      </c>
      <c r="AV115" s="440">
        <v>0</v>
      </c>
      <c r="AW115" s="336">
        <v>1</v>
      </c>
      <c r="AX115" s="337">
        <f t="shared" si="88"/>
        <v>4.9999999999999991</v>
      </c>
      <c r="AY115" s="437" t="str">
        <f t="shared" si="89"/>
        <v xml:space="preserve">(na,na,na,na,na,na); </v>
      </c>
      <c r="AZ115" s="338"/>
      <c r="BA115" s="440">
        <v>0</v>
      </c>
      <c r="BB115" s="440"/>
      <c r="BC115" s="216" t="s">
        <v>1012</v>
      </c>
      <c r="BD115" s="339">
        <v>2</v>
      </c>
      <c r="BE115" s="339">
        <v>3</v>
      </c>
      <c r="BF115" s="339">
        <v>4</v>
      </c>
      <c r="BG115" s="339">
        <v>3</v>
      </c>
      <c r="BH115" s="339">
        <v>1</v>
      </c>
      <c r="BI115" s="339">
        <v>5</v>
      </c>
      <c r="BJ115" s="104">
        <v>22</v>
      </c>
      <c r="BK115" s="104">
        <v>5</v>
      </c>
      <c r="BL115" s="107">
        <f t="shared" si="90"/>
        <v>1.3068869189023089</v>
      </c>
      <c r="BM115" s="107">
        <f t="shared" si="91"/>
        <v>5.11174548250293</v>
      </c>
      <c r="BN115" s="107" t="str">
        <f t="shared" si="92"/>
        <v>(2,3,4,3,1,5)</v>
      </c>
      <c r="BO115" s="108">
        <v>1.05</v>
      </c>
      <c r="BP115" s="108">
        <v>1.05</v>
      </c>
      <c r="BQ115" s="108">
        <v>1.2</v>
      </c>
      <c r="BR115" s="108">
        <v>1.02</v>
      </c>
      <c r="BS115" s="108">
        <v>1</v>
      </c>
      <c r="BT115" s="108">
        <v>1.2</v>
      </c>
      <c r="BV115" s="160"/>
      <c r="BW115" s="83" t="s">
        <v>106</v>
      </c>
      <c r="BX115" s="83" t="s">
        <v>106</v>
      </c>
      <c r="BY115" s="83" t="s">
        <v>106</v>
      </c>
      <c r="BZ115" s="83" t="s">
        <v>106</v>
      </c>
      <c r="CA115" s="83" t="s">
        <v>106</v>
      </c>
      <c r="CB115" s="83" t="s">
        <v>106</v>
      </c>
      <c r="CC115" s="104">
        <v>22</v>
      </c>
      <c r="CD115" s="104">
        <v>5</v>
      </c>
      <c r="CE115" s="107">
        <f t="shared" si="93"/>
        <v>1</v>
      </c>
      <c r="CF115" s="107">
        <f t="shared" si="94"/>
        <v>4.9999999999999991</v>
      </c>
      <c r="CG115" s="107" t="str">
        <f t="shared" si="95"/>
        <v>(na,na,na,na,na,na)</v>
      </c>
      <c r="CH115" s="108">
        <v>1</v>
      </c>
      <c r="CI115" s="108">
        <v>1</v>
      </c>
      <c r="CJ115" s="108">
        <v>1</v>
      </c>
      <c r="CK115" s="108">
        <v>1</v>
      </c>
      <c r="CL115" s="108">
        <v>1</v>
      </c>
      <c r="CM115" s="108">
        <v>1</v>
      </c>
    </row>
    <row r="116" spans="1:91" s="171" customFormat="1" ht="24" collapsed="1">
      <c r="A116" s="333">
        <v>40899</v>
      </c>
      <c r="B116" s="216"/>
      <c r="C116" s="334"/>
      <c r="D116" s="342" t="s">
        <v>98</v>
      </c>
      <c r="E116" s="343">
        <v>4</v>
      </c>
      <c r="F116" s="437" t="s">
        <v>415</v>
      </c>
      <c r="G116" s="438" t="s">
        <v>98</v>
      </c>
      <c r="H116" s="439" t="s">
        <v>247</v>
      </c>
      <c r="I116" s="439" t="s">
        <v>258</v>
      </c>
      <c r="J116" s="335" t="s">
        <v>98</v>
      </c>
      <c r="K116" s="438" t="s">
        <v>96</v>
      </c>
      <c r="L116" s="440">
        <v>1.2615055884286699E-2</v>
      </c>
      <c r="M116" s="336">
        <v>1</v>
      </c>
      <c r="N116" s="337">
        <f t="shared" si="75"/>
        <v>1.6255346238806905</v>
      </c>
      <c r="O116" s="455" t="str">
        <f t="shared" si="67"/>
        <v>(2,3,4,3,1,5); de Wild-Scholten (2014) Life Cycle Assessment of Photovoltaics Status 2011, Part 1 Data Collection (Table 30,31)</v>
      </c>
      <c r="P116" s="440">
        <v>1.2615055884286699E-2</v>
      </c>
      <c r="Q116" s="336">
        <v>1</v>
      </c>
      <c r="R116" s="337">
        <f t="shared" si="76"/>
        <v>1.6255346238806905</v>
      </c>
      <c r="S116" s="455" t="str">
        <f t="shared" si="68"/>
        <v>(2,3,4,3,1,5); de Wild-Scholten (2014) Life Cycle Assessment of Photovoltaics Status 2011, Part 1 Data Collection (Table 30,31)</v>
      </c>
      <c r="T116" s="440">
        <f t="shared" si="96"/>
        <v>1.2615055884286699E-2</v>
      </c>
      <c r="U116" s="336">
        <v>1</v>
      </c>
      <c r="V116" s="337">
        <f t="shared" si="78"/>
        <v>1.6255346238806905</v>
      </c>
      <c r="W116" s="437" t="str">
        <f t="shared" si="69"/>
        <v>(2,3,4,3,1,5); de Wild-Scholten (2014) Life Cycle Assessment of Photovoltaics Status 2011, Part 1 Data Collection (Table 30,31)</v>
      </c>
      <c r="X116" s="440">
        <v>1.2615055884286699E-2</v>
      </c>
      <c r="Y116" s="336">
        <v>1</v>
      </c>
      <c r="Z116" s="337">
        <f t="shared" si="79"/>
        <v>1.6255346238806905</v>
      </c>
      <c r="AA116" s="437" t="str">
        <f t="shared" si="70"/>
        <v>(2,3,4,3,1,5); de Wild-Scholten (2014) Life Cycle Assessment of Photovoltaics Status 2011, Part 1 Data Collection (Table 30,31)</v>
      </c>
      <c r="AB116" s="440">
        <f t="shared" si="97"/>
        <v>1.2615055884286699E-2</v>
      </c>
      <c r="AC116" s="336">
        <v>1</v>
      </c>
      <c r="AD116" s="337">
        <f t="shared" si="81"/>
        <v>1.6255346238806905</v>
      </c>
      <c r="AE116" s="455" t="str">
        <f t="shared" si="71"/>
        <v>(2,3,4,3,1,5); de Wild-Scholten (2014) Life Cycle Assessment of Photovoltaics Status 2011, Part 1 Data Collection (Table 30,31)</v>
      </c>
      <c r="AF116" s="440">
        <v>1.2615055884286699E-2</v>
      </c>
      <c r="AG116" s="336">
        <v>1</v>
      </c>
      <c r="AH116" s="337">
        <f t="shared" si="82"/>
        <v>1.6255346238806905</v>
      </c>
      <c r="AI116" s="455" t="str">
        <f t="shared" si="72"/>
        <v>(2,3,4,3,1,5); de Wild-Scholten (2014) Life Cycle Assessment of Photovoltaics Status 2011, Part 1 Data Collection (Table 30,31)</v>
      </c>
      <c r="AJ116" s="440">
        <v>1.2615055884286699E-2</v>
      </c>
      <c r="AK116" s="336">
        <v>1</v>
      </c>
      <c r="AL116" s="337">
        <f t="shared" si="83"/>
        <v>1.6255346238806905</v>
      </c>
      <c r="AM116" s="455" t="str">
        <f t="shared" si="84"/>
        <v>(2,3,4,3,1,5); de Wild-Scholten (2014) Life Cycle Assessment of Photovoltaics Status 2011, Part 1 Data Collection (Table 30,31)</v>
      </c>
      <c r="AN116" s="440">
        <v>1.2615055884286699E-2</v>
      </c>
      <c r="AO116" s="336">
        <v>1</v>
      </c>
      <c r="AP116" s="337">
        <f t="shared" si="85"/>
        <v>1.6255346238806905</v>
      </c>
      <c r="AQ116" s="437" t="str">
        <f t="shared" si="73"/>
        <v>(2,3,4,3,1,5); de Wild-Scholten (2014) Life Cycle Assessment of Photovoltaics Status 2011, Part 1 Data Collection (Table 30,31)</v>
      </c>
      <c r="AR116" s="440">
        <v>3.1999999999999999E-6</v>
      </c>
      <c r="AS116" s="336">
        <v>1</v>
      </c>
      <c r="AT116" s="337">
        <f t="shared" si="86"/>
        <v>1.5804528752110836</v>
      </c>
      <c r="AU116" s="455" t="str">
        <f t="shared" si="87"/>
        <v>(2,4,1,3,1,5); Brailovsky (2026) GP 05</v>
      </c>
      <c r="AV116" s="440">
        <v>3.1999999999999999E-6</v>
      </c>
      <c r="AW116" s="336">
        <v>1</v>
      </c>
      <c r="AX116" s="337">
        <f t="shared" si="88"/>
        <v>1.5804528752110836</v>
      </c>
      <c r="AY116" s="437" t="str">
        <f t="shared" si="89"/>
        <v>(2,4,1,3,1,5); Brailovsky (2026) GP 05</v>
      </c>
      <c r="AZ116" s="338"/>
      <c r="BA116" s="440">
        <v>0</v>
      </c>
      <c r="BB116" s="440"/>
      <c r="BC116" s="216" t="s">
        <v>1012</v>
      </c>
      <c r="BD116" s="339">
        <v>2</v>
      </c>
      <c r="BE116" s="339">
        <v>3</v>
      </c>
      <c r="BF116" s="339">
        <v>4</v>
      </c>
      <c r="BG116" s="339">
        <v>3</v>
      </c>
      <c r="BH116" s="339">
        <v>1</v>
      </c>
      <c r="BI116" s="339">
        <v>5</v>
      </c>
      <c r="BJ116" s="104">
        <v>16</v>
      </c>
      <c r="BK116" s="104">
        <v>1.5</v>
      </c>
      <c r="BL116" s="107">
        <f t="shared" si="90"/>
        <v>1.3068869189023089</v>
      </c>
      <c r="BM116" s="107">
        <f t="shared" si="91"/>
        <v>1.6255346238806905</v>
      </c>
      <c r="BN116" s="107" t="str">
        <f t="shared" si="92"/>
        <v>(2,3,4,3,1,5)</v>
      </c>
      <c r="BO116" s="108">
        <v>1.05</v>
      </c>
      <c r="BP116" s="108">
        <v>1.05</v>
      </c>
      <c r="BQ116" s="108">
        <v>1.2</v>
      </c>
      <c r="BR116" s="108">
        <v>1.02</v>
      </c>
      <c r="BS116" s="108">
        <v>1</v>
      </c>
      <c r="BT116" s="108">
        <v>1.2</v>
      </c>
      <c r="BV116" s="160" t="s">
        <v>954</v>
      </c>
      <c r="BW116" s="83">
        <v>2</v>
      </c>
      <c r="BX116" s="83">
        <v>4</v>
      </c>
      <c r="BY116" s="83">
        <v>1</v>
      </c>
      <c r="BZ116" s="83">
        <v>3</v>
      </c>
      <c r="CA116" s="83">
        <v>1</v>
      </c>
      <c r="CB116" s="83">
        <v>5</v>
      </c>
      <c r="CC116" s="104">
        <v>16</v>
      </c>
      <c r="CD116" s="104">
        <v>1.5</v>
      </c>
      <c r="CE116" s="107">
        <f t="shared" si="93"/>
        <v>1.2365959919080913</v>
      </c>
      <c r="CF116" s="107">
        <f t="shared" si="94"/>
        <v>1.5804528752110836</v>
      </c>
      <c r="CG116" s="107" t="str">
        <f t="shared" si="95"/>
        <v>(2,4,1,3,1,5)</v>
      </c>
      <c r="CH116" s="108">
        <v>1.05</v>
      </c>
      <c r="CI116" s="108">
        <v>1.1000000000000001</v>
      </c>
      <c r="CJ116" s="108">
        <v>1</v>
      </c>
      <c r="CK116" s="108">
        <v>1.02</v>
      </c>
      <c r="CL116" s="108">
        <v>1</v>
      </c>
      <c r="CM116" s="108">
        <v>1.2</v>
      </c>
    </row>
    <row r="117" spans="1:91" s="171" customFormat="1" ht="17.25" customHeight="1">
      <c r="A117" s="333">
        <v>26267</v>
      </c>
      <c r="B117" s="216"/>
      <c r="C117" s="334"/>
      <c r="D117" s="342" t="s">
        <v>98</v>
      </c>
      <c r="E117" s="343">
        <v>4</v>
      </c>
      <c r="F117" s="437" t="s">
        <v>181</v>
      </c>
      <c r="G117" s="438" t="s">
        <v>98</v>
      </c>
      <c r="H117" s="439" t="s">
        <v>247</v>
      </c>
      <c r="I117" s="439" t="s">
        <v>258</v>
      </c>
      <c r="J117" s="335" t="s">
        <v>98</v>
      </c>
      <c r="K117" s="438" t="s">
        <v>96</v>
      </c>
      <c r="L117" s="440">
        <f>AJ117</f>
        <v>3.46304611650485E-4</v>
      </c>
      <c r="M117" s="336">
        <v>1</v>
      </c>
      <c r="N117" s="337">
        <f t="shared" si="75"/>
        <v>1.5045761823128536</v>
      </c>
      <c r="O117" s="455" t="str">
        <f t="shared" si="67"/>
        <v>(2,1,1,2,1,1); Industry data (French tender)</v>
      </c>
      <c r="P117" s="440">
        <v>5.4500000000000002E-4</v>
      </c>
      <c r="Q117" s="336">
        <v>1</v>
      </c>
      <c r="R117" s="337">
        <f t="shared" si="76"/>
        <v>1.5045761823128536</v>
      </c>
      <c r="S117" s="455" t="str">
        <f t="shared" si="68"/>
        <v>(2,1,1,2,1,1); Industry data (French tender)</v>
      </c>
      <c r="T117" s="440">
        <f t="shared" si="96"/>
        <v>3.46304611650485E-4</v>
      </c>
      <c r="U117" s="336">
        <v>1</v>
      </c>
      <c r="V117" s="337">
        <f t="shared" si="78"/>
        <v>1.5045761823128536</v>
      </c>
      <c r="W117" s="437" t="str">
        <f t="shared" si="69"/>
        <v>(2,1,1,2,1,1); Industry data (French tender)</v>
      </c>
      <c r="X117" s="440">
        <v>5.4500000000000002E-4</v>
      </c>
      <c r="Y117" s="336">
        <v>1</v>
      </c>
      <c r="Z117" s="337">
        <f t="shared" si="79"/>
        <v>1.5045761823128536</v>
      </c>
      <c r="AA117" s="437" t="str">
        <f t="shared" si="70"/>
        <v>(2,1,1,2,1,1); Industry data (French tender)</v>
      </c>
      <c r="AB117" s="440">
        <f t="shared" si="97"/>
        <v>3.46304611650485E-4</v>
      </c>
      <c r="AC117" s="336">
        <v>1</v>
      </c>
      <c r="AD117" s="337">
        <f t="shared" si="81"/>
        <v>1.5045761823128536</v>
      </c>
      <c r="AE117" s="455" t="str">
        <f t="shared" si="71"/>
        <v>(2,1,1,2,1,1); Industry data (French tender)</v>
      </c>
      <c r="AF117" s="440">
        <v>5.4500000000000002E-4</v>
      </c>
      <c r="AG117" s="336">
        <v>1</v>
      </c>
      <c r="AH117" s="337">
        <f t="shared" si="82"/>
        <v>1.5045761823128536</v>
      </c>
      <c r="AI117" s="455" t="str">
        <f t="shared" si="72"/>
        <v>(2,1,1,2,1,1); Industry data (French tender)</v>
      </c>
      <c r="AJ117" s="440">
        <f>BA117</f>
        <v>3.46304611650485E-4</v>
      </c>
      <c r="AK117" s="336">
        <v>1</v>
      </c>
      <c r="AL117" s="337">
        <f t="shared" si="83"/>
        <v>1.5045761823128536</v>
      </c>
      <c r="AM117" s="455" t="str">
        <f t="shared" si="84"/>
        <v>(2,1,1,2,1,1); Industry data (French tender)</v>
      </c>
      <c r="AN117" s="440">
        <v>5.4500000000000002E-4</v>
      </c>
      <c r="AO117" s="336">
        <v>1</v>
      </c>
      <c r="AP117" s="337">
        <f t="shared" si="85"/>
        <v>1.5045761823128536</v>
      </c>
      <c r="AQ117" s="437" t="str">
        <f t="shared" si="73"/>
        <v>(2,1,1,2,1,1); Industry data (French tender)</v>
      </c>
      <c r="AR117" s="440">
        <v>1.3300000000000001E-4</v>
      </c>
      <c r="AS117" s="336">
        <v>1</v>
      </c>
      <c r="AT117" s="337">
        <f t="shared" si="86"/>
        <v>1.5804528752110836</v>
      </c>
      <c r="AU117" s="455" t="str">
        <f t="shared" si="87"/>
        <v>(2,4,1,3,1,5); Brailovsky (2026) GP 05</v>
      </c>
      <c r="AV117" s="440">
        <v>1.3300000000000001E-4</v>
      </c>
      <c r="AW117" s="336">
        <v>1</v>
      </c>
      <c r="AX117" s="337">
        <f t="shared" si="88"/>
        <v>1.5804528752110836</v>
      </c>
      <c r="AY117" s="437" t="str">
        <f t="shared" si="89"/>
        <v>(2,4,1,3,1,5); Brailovsky (2026) GP 05</v>
      </c>
      <c r="AZ117" s="338"/>
      <c r="BA117" s="440">
        <v>3.46304611650485E-4</v>
      </c>
      <c r="BB117" s="440"/>
      <c r="BC117" s="216" t="s">
        <v>462</v>
      </c>
      <c r="BD117" s="83">
        <v>2</v>
      </c>
      <c r="BE117" s="83">
        <v>1</v>
      </c>
      <c r="BF117" s="83">
        <v>1</v>
      </c>
      <c r="BG117" s="83">
        <v>2</v>
      </c>
      <c r="BH117" s="83">
        <v>1</v>
      </c>
      <c r="BI117" s="83">
        <v>1</v>
      </c>
      <c r="BJ117" s="104">
        <v>16</v>
      </c>
      <c r="BK117" s="104">
        <v>1.5</v>
      </c>
      <c r="BL117" s="107">
        <f t="shared" si="90"/>
        <v>1.0510550504206344</v>
      </c>
      <c r="BM117" s="107">
        <f t="shared" si="91"/>
        <v>1.5045761823128536</v>
      </c>
      <c r="BN117" s="107" t="str">
        <f t="shared" si="92"/>
        <v>(2,1,1,2,1,1)</v>
      </c>
      <c r="BO117" s="108">
        <v>1.05</v>
      </c>
      <c r="BP117" s="108">
        <v>1</v>
      </c>
      <c r="BQ117" s="108">
        <v>1</v>
      </c>
      <c r="BR117" s="108">
        <v>1.01</v>
      </c>
      <c r="BS117" s="108">
        <v>1</v>
      </c>
      <c r="BT117" s="108">
        <v>1</v>
      </c>
      <c r="BV117" s="160" t="s">
        <v>954</v>
      </c>
      <c r="BW117" s="83">
        <v>2</v>
      </c>
      <c r="BX117" s="83">
        <v>4</v>
      </c>
      <c r="BY117" s="83">
        <v>1</v>
      </c>
      <c r="BZ117" s="83">
        <v>3</v>
      </c>
      <c r="CA117" s="83">
        <v>1</v>
      </c>
      <c r="CB117" s="83">
        <v>5</v>
      </c>
      <c r="CC117" s="104">
        <v>16</v>
      </c>
      <c r="CD117" s="104">
        <v>1.5</v>
      </c>
      <c r="CE117" s="107">
        <f t="shared" si="93"/>
        <v>1.2365959919080913</v>
      </c>
      <c r="CF117" s="107">
        <f t="shared" si="94"/>
        <v>1.5804528752110836</v>
      </c>
      <c r="CG117" s="107" t="str">
        <f t="shared" si="95"/>
        <v>(2,4,1,3,1,5)</v>
      </c>
      <c r="CH117" s="108">
        <v>1.05</v>
      </c>
      <c r="CI117" s="108">
        <v>1.1000000000000001</v>
      </c>
      <c r="CJ117" s="108">
        <v>1</v>
      </c>
      <c r="CK117" s="108">
        <v>1.02</v>
      </c>
      <c r="CL117" s="108">
        <v>1</v>
      </c>
      <c r="CM117" s="108">
        <v>1.2</v>
      </c>
    </row>
    <row r="118" spans="1:91">
      <c r="A118" s="172"/>
      <c r="B118" s="173"/>
      <c r="C118" s="174"/>
      <c r="D118" s="175"/>
      <c r="E118" s="176"/>
      <c r="F118" s="444"/>
      <c r="G118" s="445"/>
      <c r="H118" s="446"/>
      <c r="I118" s="446"/>
      <c r="J118" s="143"/>
      <c r="K118" s="445"/>
      <c r="L118" s="462"/>
      <c r="M118" s="177"/>
      <c r="N118" s="178"/>
      <c r="O118" s="463"/>
      <c r="P118" s="462"/>
      <c r="Q118" s="177"/>
      <c r="R118" s="178"/>
      <c r="S118" s="463"/>
      <c r="T118" s="462"/>
      <c r="U118" s="177"/>
      <c r="V118" s="178"/>
      <c r="W118" s="444"/>
      <c r="X118" s="462"/>
      <c r="Y118" s="177"/>
      <c r="Z118" s="178"/>
      <c r="AA118" s="463"/>
      <c r="AB118" s="462"/>
      <c r="AC118" s="177"/>
      <c r="AD118" s="178"/>
      <c r="AE118" s="463"/>
      <c r="AF118" s="462"/>
      <c r="AG118" s="177"/>
      <c r="AH118" s="178"/>
      <c r="AI118" s="463"/>
      <c r="AJ118" s="462"/>
      <c r="AK118" s="177"/>
      <c r="AL118" s="178"/>
      <c r="AM118" s="463"/>
      <c r="AN118" s="462"/>
      <c r="AO118" s="177"/>
      <c r="AP118" s="178"/>
      <c r="AQ118" s="463"/>
      <c r="AR118" s="462"/>
      <c r="AS118" s="177"/>
      <c r="AT118" s="178"/>
      <c r="AU118" s="463"/>
      <c r="AV118" s="462"/>
      <c r="AW118" s="177"/>
      <c r="AX118" s="178"/>
      <c r="AY118" s="463"/>
      <c r="AZ118" s="112"/>
    </row>
    <row r="119" spans="1:91">
      <c r="F119" s="697" t="s">
        <v>564</v>
      </c>
    </row>
    <row r="120" spans="1:91">
      <c r="L120" s="277" t="s">
        <v>1018</v>
      </c>
      <c r="P120" s="277" t="s">
        <v>1019</v>
      </c>
    </row>
    <row r="121" spans="1:91">
      <c r="F121" s="320" t="s">
        <v>874</v>
      </c>
      <c r="G121" s="322"/>
      <c r="H121" s="322"/>
      <c r="I121" s="322"/>
      <c r="J121" s="322"/>
      <c r="K121" s="322"/>
      <c r="L121" s="320">
        <v>3.7739670981661299E-4</v>
      </c>
      <c r="M121" s="321" t="s">
        <v>538</v>
      </c>
      <c r="N121" s="321"/>
      <c r="O121" s="321"/>
      <c r="P121" s="320">
        <v>1.69754612546125E-4</v>
      </c>
      <c r="Q121" s="321" t="s">
        <v>538</v>
      </c>
      <c r="R121" s="696"/>
      <c r="S121" s="696"/>
      <c r="T121" s="321" t="s">
        <v>462</v>
      </c>
      <c r="Y121" s="277"/>
      <c r="AG121" s="277"/>
      <c r="AO121" s="277"/>
    </row>
    <row r="122" spans="1:91">
      <c r="F122" s="320"/>
      <c r="G122" s="322"/>
      <c r="H122" s="322"/>
      <c r="I122" s="322"/>
      <c r="J122" s="322"/>
      <c r="K122" s="322"/>
      <c r="L122" s="320"/>
      <c r="M122" s="321"/>
      <c r="N122" s="321"/>
      <c r="O122" s="321"/>
      <c r="P122" s="320"/>
      <c r="Q122" s="321"/>
      <c r="R122" s="696"/>
      <c r="S122" s="696"/>
      <c r="T122" s="321"/>
      <c r="Y122" s="277"/>
      <c r="AG122" s="277"/>
      <c r="AO122" s="277"/>
    </row>
    <row r="123" spans="1:91">
      <c r="F123" s="322" t="s">
        <v>875</v>
      </c>
      <c r="G123" s="322"/>
      <c r="H123" s="322"/>
      <c r="I123" s="322"/>
      <c r="J123" s="322"/>
      <c r="K123" s="322"/>
      <c r="L123" s="322">
        <v>76341</v>
      </c>
      <c r="M123" s="321" t="s">
        <v>538</v>
      </c>
      <c r="N123" s="321"/>
      <c r="O123" s="321"/>
      <c r="P123" s="322">
        <v>76341</v>
      </c>
      <c r="Q123" s="321" t="s">
        <v>538</v>
      </c>
      <c r="R123" s="696"/>
      <c r="S123" s="696"/>
      <c r="T123" s="321" t="s">
        <v>541</v>
      </c>
      <c r="Y123" s="277"/>
      <c r="AG123" s="277"/>
      <c r="AO123" s="277"/>
    </row>
    <row r="124" spans="1:91">
      <c r="F124" s="322" t="s">
        <v>876</v>
      </c>
      <c r="G124" s="322"/>
      <c r="H124" s="322"/>
      <c r="I124" s="322"/>
      <c r="J124" s="322"/>
      <c r="K124" s="322"/>
      <c r="L124" s="348">
        <v>0.318388884023172</v>
      </c>
      <c r="M124" s="363"/>
      <c r="N124" s="363"/>
      <c r="O124" s="363"/>
      <c r="P124" s="348">
        <f>L124</f>
        <v>0.318388884023172</v>
      </c>
      <c r="Q124" s="321"/>
      <c r="R124" s="696"/>
      <c r="S124" s="696"/>
      <c r="T124" s="321" t="s">
        <v>543</v>
      </c>
      <c r="Y124" s="277"/>
      <c r="AG124" s="277"/>
      <c r="AO124" s="277"/>
    </row>
    <row r="125" spans="1:91">
      <c r="F125" s="323" t="s">
        <v>877</v>
      </c>
      <c r="G125" s="322"/>
      <c r="H125" s="322"/>
      <c r="I125" s="322"/>
      <c r="J125" s="322"/>
      <c r="K125" s="322"/>
      <c r="L125" s="459">
        <f>L124*L121</f>
        <v>1.2015891727252829E-4</v>
      </c>
      <c r="M125" s="321" t="s">
        <v>538</v>
      </c>
      <c r="N125" s="321"/>
      <c r="O125" s="321"/>
      <c r="P125" s="459">
        <f>P124*P121</f>
        <v>5.4047981646346694E-5</v>
      </c>
      <c r="Q125" s="321" t="s">
        <v>538</v>
      </c>
      <c r="R125" s="696"/>
      <c r="S125" s="696"/>
      <c r="T125" s="321" t="s">
        <v>543</v>
      </c>
      <c r="Y125" s="277"/>
      <c r="AG125" s="277"/>
      <c r="AO125" s="277"/>
    </row>
    <row r="126" spans="1:91">
      <c r="F126" s="324" t="s">
        <v>1020</v>
      </c>
      <c r="G126" s="322"/>
      <c r="H126" s="322"/>
      <c r="I126" s="322"/>
      <c r="J126" s="322"/>
      <c r="K126" s="322"/>
      <c r="L126" s="460">
        <f>L125/L123</f>
        <v>1.5739762024669351E-9</v>
      </c>
      <c r="M126" s="321" t="s">
        <v>144</v>
      </c>
      <c r="N126" s="321"/>
      <c r="O126" s="321"/>
      <c r="P126" s="460">
        <f>P125/P123</f>
        <v>7.0798105403841568E-10</v>
      </c>
      <c r="Q126" s="321" t="s">
        <v>144</v>
      </c>
      <c r="R126" s="696"/>
      <c r="S126" s="696"/>
      <c r="T126" s="321" t="s">
        <v>543</v>
      </c>
      <c r="Y126" s="277"/>
      <c r="AG126" s="277"/>
      <c r="AO126" s="277"/>
    </row>
    <row r="127" spans="1:91">
      <c r="F127" s="324"/>
      <c r="G127" s="322"/>
      <c r="H127" s="322"/>
      <c r="I127" s="322"/>
      <c r="J127" s="322"/>
      <c r="K127" s="322"/>
      <c r="L127" s="460"/>
      <c r="M127" s="321"/>
      <c r="N127" s="321"/>
      <c r="O127" s="321"/>
      <c r="P127" s="460"/>
      <c r="Q127" s="321"/>
      <c r="R127" s="696"/>
      <c r="S127" s="696"/>
      <c r="T127" s="321"/>
      <c r="Y127" s="277"/>
      <c r="AG127" s="277"/>
      <c r="AO127" s="277"/>
    </row>
    <row r="128" spans="1:91">
      <c r="F128" s="320" t="s">
        <v>1021</v>
      </c>
      <c r="G128" s="322"/>
      <c r="H128" s="322"/>
      <c r="I128" s="322"/>
      <c r="J128" s="322"/>
      <c r="K128" s="322"/>
      <c r="L128" s="322">
        <v>40800</v>
      </c>
      <c r="M128" s="321" t="s">
        <v>538</v>
      </c>
      <c r="N128" s="321"/>
      <c r="O128" s="321"/>
      <c r="P128" s="322">
        <v>40800</v>
      </c>
      <c r="Q128" s="321" t="s">
        <v>538</v>
      </c>
      <c r="R128" s="696"/>
      <c r="S128" s="696"/>
      <c r="T128" s="321" t="s">
        <v>541</v>
      </c>
      <c r="Y128" s="277"/>
      <c r="AG128" s="277"/>
      <c r="AO128" s="277"/>
    </row>
    <row r="129" spans="6:51">
      <c r="F129" s="320" t="s">
        <v>1022</v>
      </c>
      <c r="G129" s="322"/>
      <c r="H129" s="322"/>
      <c r="I129" s="322"/>
      <c r="J129" s="322"/>
      <c r="K129" s="322"/>
      <c r="L129" s="363">
        <v>0.681611115976828</v>
      </c>
      <c r="M129" s="363"/>
      <c r="N129" s="363"/>
      <c r="O129" s="363"/>
      <c r="P129" s="363">
        <f>L129</f>
        <v>0.681611115976828</v>
      </c>
      <c r="Q129" s="321"/>
      <c r="R129" s="696"/>
      <c r="S129" s="696"/>
      <c r="T129" s="321" t="s">
        <v>543</v>
      </c>
      <c r="Y129" s="277"/>
      <c r="AG129" s="277"/>
      <c r="AO129" s="277"/>
    </row>
    <row r="130" spans="6:51">
      <c r="F130" s="325" t="s">
        <v>1023</v>
      </c>
      <c r="G130" s="322"/>
      <c r="H130" s="322"/>
      <c r="I130" s="322"/>
      <c r="J130" s="322"/>
      <c r="K130" s="322"/>
      <c r="L130" s="461">
        <f>L129*L121</f>
        <v>2.5723779254408467E-4</v>
      </c>
      <c r="M130" s="321" t="s">
        <v>538</v>
      </c>
      <c r="N130" s="321"/>
      <c r="O130" s="321"/>
      <c r="P130" s="461">
        <f>P129*P121</f>
        <v>1.1570663089977831E-4</v>
      </c>
      <c r="Q130" s="321" t="s">
        <v>538</v>
      </c>
      <c r="R130" s="696"/>
      <c r="S130" s="696"/>
      <c r="T130" s="321" t="s">
        <v>543</v>
      </c>
      <c r="Y130" s="277"/>
      <c r="AG130" s="277"/>
      <c r="AO130" s="277"/>
    </row>
    <row r="131" spans="6:51">
      <c r="F131" s="324" t="s">
        <v>1024</v>
      </c>
      <c r="G131" s="322"/>
      <c r="H131" s="322"/>
      <c r="I131" s="322"/>
      <c r="J131" s="322"/>
      <c r="K131" s="322"/>
      <c r="L131" s="460">
        <f>L130/L128</f>
        <v>6.3048478564726638E-9</v>
      </c>
      <c r="M131" s="322" t="s">
        <v>144</v>
      </c>
      <c r="N131" s="322"/>
      <c r="O131" s="322"/>
      <c r="P131" s="460">
        <f>P130/P128</f>
        <v>2.8359468357788803E-9</v>
      </c>
      <c r="Q131" s="322" t="s">
        <v>144</v>
      </c>
      <c r="R131" s="696"/>
      <c r="S131" s="696"/>
      <c r="T131" s="322" t="s">
        <v>543</v>
      </c>
      <c r="Y131" s="277"/>
      <c r="AG131" s="277"/>
      <c r="AO131" s="277"/>
    </row>
    <row r="134" spans="6:51">
      <c r="F134" s="371" t="s">
        <v>544</v>
      </c>
      <c r="G134" s="353" t="s">
        <v>545</v>
      </c>
      <c r="H134" s="353"/>
      <c r="I134" s="353"/>
      <c r="J134" s="353"/>
    </row>
    <row r="135" spans="6:51">
      <c r="F135" s="355"/>
      <c r="G135" s="353"/>
      <c r="H135" s="353"/>
      <c r="I135" s="353"/>
      <c r="J135" s="353"/>
      <c r="L135" s="443"/>
    </row>
    <row r="136" spans="6:51">
      <c r="F136" s="355"/>
      <c r="G136" s="353" t="s">
        <v>546</v>
      </c>
      <c r="H136" s="353"/>
      <c r="I136" s="353"/>
      <c r="J136" s="353" t="s">
        <v>547</v>
      </c>
    </row>
    <row r="137" spans="6:51">
      <c r="F137" s="355" t="s">
        <v>548</v>
      </c>
      <c r="G137" s="372">
        <v>2.5000000000000001E-2</v>
      </c>
      <c r="H137" s="372"/>
      <c r="I137" s="372"/>
      <c r="J137" s="372">
        <f t="shared" ref="J137:J142" si="98">G137/SUM($G$137:$G$142)</f>
        <v>0.29761904761904756</v>
      </c>
    </row>
    <row r="138" spans="6:51">
      <c r="F138" s="320" t="s">
        <v>665</v>
      </c>
      <c r="G138" s="363">
        <v>0.02</v>
      </c>
      <c r="H138" s="129"/>
      <c r="I138" s="129"/>
      <c r="J138" s="372">
        <f t="shared" si="98"/>
        <v>0.23809523809523805</v>
      </c>
    </row>
    <row r="139" spans="6:51">
      <c r="F139" s="320" t="s">
        <v>666</v>
      </c>
      <c r="G139" s="363">
        <v>2.1000000000000001E-2</v>
      </c>
      <c r="H139" s="129"/>
      <c r="I139" s="129"/>
      <c r="J139" s="372">
        <f t="shared" si="98"/>
        <v>0.24999999999999997</v>
      </c>
    </row>
    <row r="140" spans="6:51">
      <c r="F140" s="320" t="s">
        <v>1025</v>
      </c>
      <c r="G140" s="363">
        <v>6.0000000000000001E-3</v>
      </c>
      <c r="H140" s="129"/>
      <c r="I140" s="129"/>
      <c r="J140" s="372">
        <f t="shared" si="98"/>
        <v>7.1428571428571411E-2</v>
      </c>
    </row>
    <row r="141" spans="6:51">
      <c r="F141" s="320" t="s">
        <v>1026</v>
      </c>
      <c r="G141" s="363">
        <v>5.0000000000000001E-3</v>
      </c>
      <c r="H141" s="129"/>
      <c r="I141" s="129"/>
      <c r="J141" s="372">
        <f t="shared" si="98"/>
        <v>5.9523809523809514E-2</v>
      </c>
    </row>
    <row r="142" spans="6:51">
      <c r="F142" s="320" t="s">
        <v>1027</v>
      </c>
      <c r="G142" s="363">
        <v>7.0000000000000001E-3</v>
      </c>
      <c r="H142" s="129"/>
      <c r="I142" s="129"/>
      <c r="J142" s="372">
        <f t="shared" si="98"/>
        <v>8.3333333333333315E-2</v>
      </c>
    </row>
    <row r="143" spans="6:51">
      <c r="F143" s="320"/>
      <c r="G143" s="363"/>
      <c r="H143" s="129"/>
      <c r="I143" s="129"/>
      <c r="J143" s="372"/>
    </row>
    <row r="144" spans="6:51">
      <c r="AJ144" s="698" t="s">
        <v>1028</v>
      </c>
      <c r="AR144" s="464"/>
      <c r="AS144" s="464"/>
      <c r="AT144" s="464"/>
      <c r="AU144" s="464"/>
      <c r="AV144" s="464"/>
      <c r="AW144" s="464"/>
      <c r="AX144" s="464"/>
      <c r="AY144" s="464"/>
    </row>
  </sheetData>
  <mergeCells count="2">
    <mergeCell ref="BW1:CB1"/>
    <mergeCell ref="BD1:BI1"/>
  </mergeCells>
  <conditionalFormatting sqref="D17:AY48 BV17:CB117 D49:AP64 AR49:AY64 AQ49:AQ117 AJ69:AM70 D69:AI71 AJ71:AL73 AW71:AX78 AR71:AT80 AJ72:AM72 AR72:AU72 AW72:AY72 D72:Z73 AB72:AI73 AB74:AL78 L74:Z79 D74:N80 AB79:AI79 P79:R80 T79:V80 X79:Z80 AB79:AD80 AF79:AH80 AJ79:AL80 AV79:AX80 D81:AP117 AR81:AY117 BD92:BI107 BC96:BC107 BA96:BB117">
    <cfRule type="expression" dxfId="316" priority="152">
      <formula>MOD(ROW(),2)=0</formula>
    </cfRule>
  </conditionalFormatting>
  <conditionalFormatting sqref="AA17:AA87 BA17:BI91 D65:AM68 AR65:AU70 AW65:AY70 AV65:AV78 AN65:AP80 O80 S80 W80 BA92:BC95">
    <cfRule type="expression" dxfId="315" priority="151">
      <formula>MOD(ROW(),2)=0</formula>
    </cfRule>
  </conditionalFormatting>
  <conditionalFormatting sqref="AE80">
    <cfRule type="expression" dxfId="314" priority="107">
      <formula>MOD(ROW(),2)=0</formula>
    </cfRule>
  </conditionalFormatting>
  <conditionalFormatting sqref="AI80">
    <cfRule type="expression" dxfId="313" priority="29">
      <formula>MOD(ROW(),2)=0</formula>
    </cfRule>
  </conditionalFormatting>
  <conditionalFormatting sqref="AM71:AM81">
    <cfRule type="expression" dxfId="312" priority="97">
      <formula>MOD(ROW(),2)=0</formula>
    </cfRule>
  </conditionalFormatting>
  <conditionalFormatting sqref="AU71:AU81">
    <cfRule type="expression" dxfId="311" priority="8">
      <formula>MOD(ROW(),2)=0</formula>
    </cfRule>
  </conditionalFormatting>
  <conditionalFormatting sqref="AY71:AY81">
    <cfRule type="expression" dxfId="310" priority="7">
      <formula>MOD(ROW(),2)=0</formula>
    </cfRule>
  </conditionalFormatting>
  <conditionalFormatting sqref="BC108:BI117">
    <cfRule type="expression" dxfId="309" priority="5">
      <formula>MOD(ROW(),2)=0</formula>
    </cfRule>
  </conditionalFormatting>
  <conditionalFormatting sqref="BJ17:BT117 CC17:CM117">
    <cfRule type="expression" dxfId="308" priority="87">
      <formula>MOD(ROW(),2)=0</formula>
    </cfRule>
  </conditionalFormatting>
  <dataValidations xWindow="871" yWindow="361" count="10">
    <dataValidation allowBlank="1" showInputMessage="1" showErrorMessage="1" promptTitle="Remarks" prompt="A general comment (data source, calculation procedure, ...) can be made about each individual exchange. The remarks are added to the GeneralComment-field." sqref="BC3 BV3" xr:uid="{00000000-0002-0000-1B00-000000000000}"/>
    <dataValidation allowBlank="1" showInputMessage="1" showErrorMessage="1" prompt="Do not change." sqref="BJ3:BT4 CC3:CM4" xr:uid="{00000000-0002-0000-1B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E3 BX3" xr:uid="{00000000-0002-0000-1B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F3 BY3" xr:uid="{00000000-0002-0000-1B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G3 BZ3" xr:uid="{00000000-0002-0000-1B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H3 CA3" xr:uid="{00000000-0002-0000-1B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I3 CB3" xr:uid="{00000000-0002-0000-1B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D3 BW3" xr:uid="{00000000-0002-0000-1B00-000007000000}"/>
    <dataValidation allowBlank="1" showInputMessage="1" showErrorMessage="1" prompt="always 1" sqref="L7:L16 P7:P16 T7:T16 X7:X16 AB7:AB16 AF7:AF16 AJ7:AJ16 AN7:AN16 AV7:AV84 AR7:AR84" xr:uid="{00000000-0002-0000-1B00-000008000000}"/>
    <dataValidation allowBlank="1" showInputMessage="1" showErrorMessage="1" promptTitle="Do not change" prompt="This field is automatically updated from the names-list" sqref="CC17:CC117 BJ17:BJ117" xr:uid="{00000000-0002-0000-1B00-000009000000}"/>
  </dataValidations>
  <pageMargins left="0.78740157480314965" right="0.78740157480314965" top="0.98425196850393704" bottom="0.98425196850393704" header="0.51181102362204722" footer="0.51181102362204722"/>
  <pageSetup paperSize="9" scale="13" orientation="portrait" r:id="rId1"/>
  <headerFooter alignWithMargins="0">
    <oddHeader>&amp;L&amp;C&amp;R</oddHeader>
    <oddFooter>&amp;L&amp;"Arial,Fett"&amp;F&amp;C&amp;D&amp;RSeite &amp;P</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58">
    <tabColor rgb="FF9CD9F0"/>
    <pageSetUpPr fitToPage="1"/>
  </sheetPr>
  <dimension ref="A1:BW112"/>
  <sheetViews>
    <sheetView topLeftCell="A82" workbookViewId="0">
      <selection activeCell="L86" sqref="A1:XFD1048576"/>
    </sheetView>
  </sheetViews>
  <sheetFormatPr baseColWidth="10" defaultColWidth="11.42578125" defaultRowHeight="12" outlineLevelCol="1"/>
  <cols>
    <col min="1" max="1" width="12.7109375" style="277" customWidth="1"/>
    <col min="2" max="2" width="11.140625" style="140" customWidth="1"/>
    <col min="3" max="3" width="8.42578125" style="125" hidden="1" customWidth="1" outlineLevel="1"/>
    <col min="4" max="5" width="4.7109375" style="277" hidden="1" customWidth="1" outlineLevel="1"/>
    <col min="6" max="6" width="44"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2.7109375" style="277" customWidth="1"/>
    <col min="13" max="14" width="5.7109375" style="109" hidden="1" customWidth="1" outlineLevel="1"/>
    <col min="15" max="15" width="65" style="109" hidden="1" customWidth="1" outlineLevel="1"/>
    <col min="16" max="16" width="14.28515625" style="277" customWidth="1" collapsed="1"/>
    <col min="17" max="19" width="14.28515625" style="109" hidden="1" customWidth="1" outlineLevel="1"/>
    <col min="20" max="20" width="14.28515625" style="277" customWidth="1" collapsed="1"/>
    <col min="21" max="23" width="14.28515625" style="109" hidden="1" customWidth="1" outlineLevel="1"/>
    <col min="24" max="24" width="14.28515625" style="277" customWidth="1" collapsed="1"/>
    <col min="25" max="25" width="6.5703125" style="109" hidden="1" customWidth="1" outlineLevel="1"/>
    <col min="26" max="26" width="6.85546875" style="109" hidden="1" customWidth="1" outlineLevel="1"/>
    <col min="27" max="27" width="65" style="109" hidden="1" customWidth="1" outlineLevel="1"/>
    <col min="28" max="28" width="14.28515625" style="277" customWidth="1" collapsed="1"/>
    <col min="29" max="31" width="14.28515625" style="109" hidden="1" customWidth="1" outlineLevel="1"/>
    <col min="32" max="32" width="14.28515625" style="277" customWidth="1" collapsed="1"/>
    <col min="33" max="34" width="5.7109375" style="109" hidden="1" customWidth="1" outlineLevel="1"/>
    <col min="35" max="35" width="46.42578125" style="109" hidden="1" customWidth="1" outlineLevel="1"/>
    <col min="36" max="36" width="4.140625" style="109" customWidth="1" collapsed="1"/>
    <col min="37" max="37" width="15.7109375" style="277" hidden="1" customWidth="1" outlineLevel="1"/>
    <col min="38" max="38" width="56.85546875" style="128" customWidth="1" collapsed="1"/>
    <col min="39" max="39" width="4.7109375" style="402" hidden="1" customWidth="1" outlineLevel="1"/>
    <col min="40" max="48" width="4.7109375" style="395" hidden="1" customWidth="1" outlineLevel="1"/>
    <col min="49" max="49" width="16.42578125" style="395" hidden="1" customWidth="1" outlineLevel="1"/>
    <col min="50" max="55" width="4.7109375" style="277" hidden="1" customWidth="1" outlineLevel="1"/>
    <col min="56" max="56" width="11.42578125" style="399" customWidth="1" collapsed="1"/>
    <col min="57" max="57" width="57.140625" style="277" customWidth="1"/>
    <col min="58" max="58" width="4.7109375" style="402" hidden="1" customWidth="1" outlineLevel="1"/>
    <col min="59" max="67" width="4.7109375" style="395" hidden="1" customWidth="1" outlineLevel="1"/>
    <col min="68" max="68" width="16.42578125" style="395" hidden="1" customWidth="1" outlineLevel="1"/>
    <col min="69" max="74" width="4.7109375" style="277" hidden="1" customWidth="1" outlineLevel="1"/>
    <col min="75" max="75" width="11.42578125" style="399" customWidth="1" collapsed="1"/>
    <col min="76" max="16384" width="11.42578125" style="399"/>
  </cols>
  <sheetData>
    <row r="1" spans="1:74">
      <c r="A1" s="77"/>
      <c r="B1" s="78"/>
      <c r="C1" s="79"/>
      <c r="D1" s="77"/>
      <c r="E1" s="77"/>
      <c r="F1" s="80" t="s">
        <v>65</v>
      </c>
      <c r="G1" s="77"/>
      <c r="H1" s="77"/>
      <c r="I1" s="77"/>
      <c r="J1" s="77"/>
      <c r="K1" s="77"/>
      <c r="L1" s="330" t="str">
        <f>A7</f>
        <v>Z-PV-051</v>
      </c>
      <c r="M1" s="81"/>
      <c r="N1" s="81"/>
      <c r="O1" s="81"/>
      <c r="P1" s="330" t="str">
        <f>A8</f>
        <v>Z-PV-062</v>
      </c>
      <c r="Q1" s="81"/>
      <c r="R1" s="81"/>
      <c r="S1" s="81"/>
      <c r="T1" s="330" t="str">
        <f>A9</f>
        <v>Z-PV-064</v>
      </c>
      <c r="U1" s="81"/>
      <c r="V1" s="81"/>
      <c r="W1" s="81"/>
      <c r="X1" s="330" t="str">
        <f>A10</f>
        <v>Z-PV-041</v>
      </c>
      <c r="Y1" s="81"/>
      <c r="Z1" s="81"/>
      <c r="AA1" s="81"/>
      <c r="AB1" s="330" t="s">
        <v>1029</v>
      </c>
      <c r="AC1" s="81"/>
      <c r="AD1" s="81"/>
      <c r="AE1" s="81"/>
      <c r="AF1" s="330" t="s">
        <v>1030</v>
      </c>
      <c r="AG1" s="81"/>
      <c r="AH1" s="81"/>
      <c r="AI1" s="81"/>
      <c r="AK1" s="378"/>
      <c r="AL1" s="378"/>
      <c r="AM1" s="1586"/>
      <c r="AN1" s="1588"/>
      <c r="AO1" s="1588"/>
      <c r="AP1" s="1588"/>
      <c r="AQ1" s="1588"/>
      <c r="AR1" s="1588"/>
      <c r="AS1" s="406"/>
      <c r="AT1" s="406"/>
      <c r="AU1" s="406"/>
      <c r="AV1" s="406"/>
      <c r="AW1" s="406"/>
      <c r="AX1" s="378"/>
      <c r="AY1" s="378"/>
      <c r="AZ1" s="378"/>
      <c r="BA1" s="378"/>
      <c r="BB1" s="378"/>
      <c r="BC1" s="378"/>
      <c r="BE1" s="378"/>
      <c r="BF1" s="1586"/>
      <c r="BG1" s="1588"/>
      <c r="BH1" s="1588"/>
      <c r="BI1" s="1588"/>
      <c r="BJ1" s="1588"/>
      <c r="BK1" s="1588"/>
      <c r="BL1" s="406"/>
      <c r="BM1" s="406"/>
      <c r="BN1" s="406"/>
      <c r="BO1" s="406"/>
      <c r="BP1" s="406"/>
      <c r="BQ1" s="378"/>
      <c r="BR1" s="378"/>
      <c r="BS1" s="378"/>
      <c r="BT1" s="378"/>
      <c r="BU1" s="378"/>
      <c r="BV1" s="378"/>
    </row>
    <row r="2" spans="1:74">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421"/>
      <c r="AL2" s="393" t="s">
        <v>1031</v>
      </c>
      <c r="AM2" s="406"/>
      <c r="AN2" s="406"/>
      <c r="AO2" s="406"/>
      <c r="AP2" s="406"/>
      <c r="AQ2" s="406"/>
      <c r="AR2" s="406"/>
      <c r="AS2" s="406"/>
      <c r="AT2" s="378"/>
      <c r="AU2" s="378"/>
      <c r="AV2" s="378"/>
      <c r="AW2" s="378"/>
      <c r="AX2" s="378"/>
      <c r="AY2" s="378"/>
      <c r="AZ2" s="378"/>
      <c r="BA2" s="378"/>
      <c r="BB2" s="378"/>
      <c r="BC2" s="378"/>
      <c r="BE2" s="399" t="s">
        <v>430</v>
      </c>
      <c r="BF2" s="406"/>
      <c r="BG2" s="406"/>
      <c r="BH2" s="406"/>
      <c r="BI2" s="406"/>
      <c r="BJ2" s="406"/>
      <c r="BK2" s="406"/>
      <c r="BL2" s="406"/>
      <c r="BM2" s="378"/>
      <c r="BN2" s="378"/>
      <c r="BO2" s="378"/>
      <c r="BP2" s="378"/>
      <c r="BQ2" s="378"/>
      <c r="BR2" s="378"/>
      <c r="BS2" s="378"/>
      <c r="BT2" s="378"/>
      <c r="BU2" s="378"/>
      <c r="BV2" s="378"/>
    </row>
    <row r="3" spans="1:74" ht="95.25" customHeight="1">
      <c r="A3" s="83" t="s">
        <v>68</v>
      </c>
      <c r="B3" s="84"/>
      <c r="C3" s="79">
        <v>401</v>
      </c>
      <c r="D3" s="85" t="s">
        <v>69</v>
      </c>
      <c r="E3" s="85" t="s">
        <v>70</v>
      </c>
      <c r="F3" s="86" t="s">
        <v>71</v>
      </c>
      <c r="G3" s="85" t="s">
        <v>72</v>
      </c>
      <c r="H3" s="85" t="s">
        <v>73</v>
      </c>
      <c r="I3" s="85" t="s">
        <v>74</v>
      </c>
      <c r="J3" s="85" t="s">
        <v>75</v>
      </c>
      <c r="K3" s="85" t="s">
        <v>76</v>
      </c>
      <c r="L3" s="87" t="s">
        <v>1032</v>
      </c>
      <c r="M3" s="422" t="s">
        <v>78</v>
      </c>
      <c r="N3" s="422" t="s">
        <v>79</v>
      </c>
      <c r="O3" s="422" t="s">
        <v>80</v>
      </c>
      <c r="P3" s="87" t="s">
        <v>1033</v>
      </c>
      <c r="Q3" s="422" t="s">
        <v>78</v>
      </c>
      <c r="R3" s="422" t="s">
        <v>79</v>
      </c>
      <c r="S3" s="422" t="s">
        <v>80</v>
      </c>
      <c r="T3" s="87" t="s">
        <v>1034</v>
      </c>
      <c r="U3" s="422" t="s">
        <v>78</v>
      </c>
      <c r="V3" s="422" t="s">
        <v>79</v>
      </c>
      <c r="W3" s="422" t="s">
        <v>80</v>
      </c>
      <c r="X3" s="87" t="s">
        <v>1035</v>
      </c>
      <c r="Y3" s="422" t="s">
        <v>78</v>
      </c>
      <c r="Z3" s="422" t="s">
        <v>79</v>
      </c>
      <c r="AA3" s="422" t="s">
        <v>80</v>
      </c>
      <c r="AB3" s="87" t="s">
        <v>1036</v>
      </c>
      <c r="AC3" s="422" t="s">
        <v>78</v>
      </c>
      <c r="AD3" s="422" t="s">
        <v>79</v>
      </c>
      <c r="AE3" s="422" t="s">
        <v>80</v>
      </c>
      <c r="AF3" s="87" t="s">
        <v>1037</v>
      </c>
      <c r="AG3" s="422" t="s">
        <v>78</v>
      </c>
      <c r="AH3" s="422" t="s">
        <v>79</v>
      </c>
      <c r="AI3" s="422" t="s">
        <v>80</v>
      </c>
      <c r="AJ3" s="424"/>
      <c r="AK3" s="87" t="s">
        <v>1038</v>
      </c>
      <c r="AL3" s="97" t="s">
        <v>363</v>
      </c>
      <c r="AM3" s="98" t="s">
        <v>364</v>
      </c>
      <c r="AN3" s="98" t="s">
        <v>365</v>
      </c>
      <c r="AO3" s="98" t="s">
        <v>366</v>
      </c>
      <c r="AP3" s="98" t="s">
        <v>367</v>
      </c>
      <c r="AQ3" s="98" t="s">
        <v>368</v>
      </c>
      <c r="AR3" s="98" t="s">
        <v>369</v>
      </c>
      <c r="AS3" s="99" t="s">
        <v>88</v>
      </c>
      <c r="AT3" s="99" t="s">
        <v>370</v>
      </c>
      <c r="AU3" s="99" t="s">
        <v>90</v>
      </c>
      <c r="AV3" s="99" t="s">
        <v>91</v>
      </c>
      <c r="AW3" s="99" t="s">
        <v>371</v>
      </c>
      <c r="AX3" s="100" t="s">
        <v>364</v>
      </c>
      <c r="AY3" s="100" t="s">
        <v>365</v>
      </c>
      <c r="AZ3" s="100" t="s">
        <v>366</v>
      </c>
      <c r="BA3" s="100" t="s">
        <v>367</v>
      </c>
      <c r="BB3" s="100" t="s">
        <v>368</v>
      </c>
      <c r="BC3" s="100" t="s">
        <v>369</v>
      </c>
      <c r="BE3" s="87" t="s">
        <v>363</v>
      </c>
      <c r="BF3" s="98" t="s">
        <v>364</v>
      </c>
      <c r="BG3" s="98" t="s">
        <v>365</v>
      </c>
      <c r="BH3" s="98" t="s">
        <v>366</v>
      </c>
      <c r="BI3" s="98" t="s">
        <v>367</v>
      </c>
      <c r="BJ3" s="98" t="s">
        <v>368</v>
      </c>
      <c r="BK3" s="98" t="s">
        <v>369</v>
      </c>
      <c r="BL3" s="99" t="s">
        <v>88</v>
      </c>
      <c r="BM3" s="99" t="s">
        <v>370</v>
      </c>
      <c r="BN3" s="99" t="s">
        <v>90</v>
      </c>
      <c r="BO3" s="99" t="s">
        <v>91</v>
      </c>
      <c r="BP3" s="99" t="s">
        <v>371</v>
      </c>
      <c r="BQ3" s="100" t="s">
        <v>364</v>
      </c>
      <c r="BR3" s="100" t="s">
        <v>365</v>
      </c>
      <c r="BS3" s="100" t="s">
        <v>366</v>
      </c>
      <c r="BT3" s="100" t="s">
        <v>367</v>
      </c>
      <c r="BU3" s="100" t="s">
        <v>368</v>
      </c>
      <c r="BV3" s="100" t="s">
        <v>369</v>
      </c>
    </row>
    <row r="4" spans="1:74" ht="24" customHeight="1">
      <c r="A4" s="77"/>
      <c r="B4" s="84"/>
      <c r="C4" s="79">
        <v>662</v>
      </c>
      <c r="D4" s="86"/>
      <c r="E4" s="86"/>
      <c r="F4" s="86" t="s">
        <v>72</v>
      </c>
      <c r="G4" s="86"/>
      <c r="H4" s="86"/>
      <c r="I4" s="86"/>
      <c r="J4" s="86"/>
      <c r="K4" s="86"/>
      <c r="L4" s="87" t="s">
        <v>372</v>
      </c>
      <c r="M4" s="425"/>
      <c r="N4" s="425"/>
      <c r="O4" s="426"/>
      <c r="P4" s="87" t="s">
        <v>215</v>
      </c>
      <c r="Q4" s="425"/>
      <c r="R4" s="425"/>
      <c r="S4" s="426"/>
      <c r="T4" s="87" t="s">
        <v>373</v>
      </c>
      <c r="U4" s="425"/>
      <c r="V4" s="425"/>
      <c r="W4" s="426"/>
      <c r="X4" s="87" t="s">
        <v>93</v>
      </c>
      <c r="Y4" s="425"/>
      <c r="Z4" s="425"/>
      <c r="AA4" s="426"/>
      <c r="AB4" s="87" t="s">
        <v>340</v>
      </c>
      <c r="AC4" s="425"/>
      <c r="AD4" s="425"/>
      <c r="AE4" s="426"/>
      <c r="AF4" s="87" t="s">
        <v>372</v>
      </c>
      <c r="AG4" s="425"/>
      <c r="AH4" s="425"/>
      <c r="AI4" s="426"/>
      <c r="AJ4" s="427"/>
      <c r="AK4" s="87" t="s">
        <v>93</v>
      </c>
      <c r="AL4" s="101"/>
      <c r="AM4" s="102" t="s">
        <v>94</v>
      </c>
      <c r="AN4" s="97"/>
      <c r="AO4" s="97"/>
      <c r="AP4" s="97"/>
      <c r="AQ4" s="97"/>
      <c r="AR4" s="97"/>
      <c r="AS4" s="103"/>
      <c r="AT4" s="103"/>
      <c r="AU4" s="103" t="s">
        <v>95</v>
      </c>
      <c r="AV4" s="103" t="s">
        <v>95</v>
      </c>
      <c r="AW4" s="104"/>
      <c r="AX4" s="105"/>
      <c r="AY4" s="105"/>
      <c r="AZ4" s="105"/>
      <c r="BA4" s="105"/>
      <c r="BB4" s="105"/>
      <c r="BC4" s="105"/>
      <c r="BE4" s="87"/>
      <c r="BF4" s="102" t="s">
        <v>94</v>
      </c>
      <c r="BG4" s="97"/>
      <c r="BH4" s="97"/>
      <c r="BI4" s="97"/>
      <c r="BJ4" s="97"/>
      <c r="BK4" s="97"/>
      <c r="BL4" s="103"/>
      <c r="BM4" s="103"/>
      <c r="BN4" s="103" t="s">
        <v>95</v>
      </c>
      <c r="BO4" s="103" t="s">
        <v>95</v>
      </c>
      <c r="BP4" s="104"/>
      <c r="BQ4" s="105"/>
      <c r="BR4" s="105"/>
      <c r="BS4" s="105"/>
      <c r="BT4" s="105"/>
      <c r="BU4" s="105"/>
      <c r="BV4" s="105"/>
    </row>
    <row r="5" spans="1:74">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F5" s="87">
        <v>0</v>
      </c>
      <c r="AG5" s="425"/>
      <c r="AH5" s="425"/>
      <c r="AI5" s="426"/>
      <c r="AJ5" s="427"/>
      <c r="AK5" s="87">
        <v>0</v>
      </c>
      <c r="AL5" s="101"/>
      <c r="AM5" s="97"/>
      <c r="AN5" s="97"/>
      <c r="AO5" s="97"/>
      <c r="AP5" s="97"/>
      <c r="AQ5" s="97"/>
      <c r="AR5" s="97"/>
      <c r="AS5" s="104"/>
      <c r="AT5" s="104"/>
      <c r="AU5" s="104"/>
      <c r="AV5" s="104"/>
      <c r="AW5" s="104"/>
      <c r="AX5" s="105"/>
      <c r="AY5" s="105"/>
      <c r="AZ5" s="105"/>
      <c r="BA5" s="105"/>
      <c r="BB5" s="105"/>
      <c r="BC5" s="105"/>
      <c r="BE5" s="87"/>
      <c r="BF5" s="97"/>
      <c r="BG5" s="97"/>
      <c r="BH5" s="97"/>
      <c r="BI5" s="97"/>
      <c r="BJ5" s="97"/>
      <c r="BK5" s="97"/>
      <c r="BL5" s="104"/>
      <c r="BM5" s="104"/>
      <c r="BN5" s="104"/>
      <c r="BO5" s="104"/>
      <c r="BP5" s="104"/>
      <c r="BQ5" s="105"/>
      <c r="BR5" s="105"/>
      <c r="BS5" s="105"/>
      <c r="BT5" s="105"/>
      <c r="BU5" s="105"/>
      <c r="BV5" s="105"/>
    </row>
    <row r="6" spans="1:74">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26"/>
      <c r="AB6" s="87" t="s">
        <v>679</v>
      </c>
      <c r="AC6" s="425"/>
      <c r="AD6" s="425"/>
      <c r="AE6" s="426"/>
      <c r="AF6" s="87" t="s">
        <v>679</v>
      </c>
      <c r="AG6" s="425"/>
      <c r="AH6" s="425"/>
      <c r="AI6" s="426"/>
      <c r="AJ6" s="427"/>
      <c r="AK6" s="87" t="s">
        <v>679</v>
      </c>
      <c r="AL6" s="101"/>
      <c r="AM6" s="106"/>
      <c r="AN6" s="106"/>
      <c r="AO6" s="106"/>
      <c r="AP6" s="106"/>
      <c r="AQ6" s="106"/>
      <c r="AR6" s="106"/>
      <c r="AS6" s="104"/>
      <c r="AT6" s="104"/>
      <c r="AU6" s="428"/>
      <c r="AV6" s="428"/>
      <c r="AW6" s="107"/>
      <c r="AX6" s="105"/>
      <c r="AY6" s="105"/>
      <c r="AZ6" s="105"/>
      <c r="BA6" s="105"/>
      <c r="BB6" s="105"/>
      <c r="BC6" s="105"/>
      <c r="BE6" s="87"/>
      <c r="BF6" s="106"/>
      <c r="BG6" s="106"/>
      <c r="BH6" s="106"/>
      <c r="BI6" s="106"/>
      <c r="BJ6" s="106"/>
      <c r="BK6" s="106"/>
      <c r="BL6" s="104"/>
      <c r="BM6" s="104"/>
      <c r="BN6" s="428"/>
      <c r="BO6" s="428"/>
      <c r="BP6" s="107"/>
      <c r="BQ6" s="105"/>
      <c r="BR6" s="105"/>
      <c r="BS6" s="105"/>
      <c r="BT6" s="105"/>
      <c r="BU6" s="105"/>
      <c r="BV6" s="105"/>
    </row>
    <row r="7" spans="1:74">
      <c r="A7" s="330" t="s">
        <v>1039</v>
      </c>
      <c r="B7" s="331" t="s">
        <v>97</v>
      </c>
      <c r="C7" s="88"/>
      <c r="D7" s="294" t="s">
        <v>98</v>
      </c>
      <c r="E7" s="295">
        <v>0</v>
      </c>
      <c r="F7" s="429" t="s">
        <v>1032</v>
      </c>
      <c r="G7" s="430" t="s">
        <v>372</v>
      </c>
      <c r="H7" s="431" t="s">
        <v>98</v>
      </c>
      <c r="I7" s="431" t="s">
        <v>98</v>
      </c>
      <c r="J7" s="89">
        <v>0</v>
      </c>
      <c r="K7" s="430" t="s">
        <v>679</v>
      </c>
      <c r="L7" s="90">
        <f t="shared" ref="L7:L12" si="0">IF($A7=L$1,1,0)</f>
        <v>1</v>
      </c>
      <c r="M7" s="91"/>
      <c r="N7" s="92"/>
      <c r="O7" s="93"/>
      <c r="P7" s="90">
        <f t="shared" ref="P7:P12" si="1">IF($A7=P$1,1,0)</f>
        <v>0</v>
      </c>
      <c r="Q7" s="91"/>
      <c r="R7" s="92"/>
      <c r="S7" s="93"/>
      <c r="T7" s="90">
        <f t="shared" ref="T7:T12" si="2">IF($A7=T$1,1,0)</f>
        <v>0</v>
      </c>
      <c r="U7" s="91"/>
      <c r="V7" s="92"/>
      <c r="W7" s="93"/>
      <c r="X7" s="90">
        <f t="shared" ref="X7:X12" si="3">IF($A7=X$1,1,0)</f>
        <v>0</v>
      </c>
      <c r="Y7" s="91"/>
      <c r="Z7" s="92"/>
      <c r="AA7" s="93"/>
      <c r="AB7" s="90">
        <f t="shared" ref="AB7:AB12" si="4">IF($A7=AB$1,1,0)</f>
        <v>0</v>
      </c>
      <c r="AC7" s="91"/>
      <c r="AD7" s="92"/>
      <c r="AE7" s="93"/>
      <c r="AF7" s="90">
        <f t="shared" ref="AF7:AF12" si="5">IF($A7=AF$1,1,0)</f>
        <v>0</v>
      </c>
      <c r="AG7" s="91"/>
      <c r="AH7" s="92"/>
      <c r="AI7" s="93"/>
      <c r="AJ7" s="427"/>
      <c r="AK7" s="90"/>
      <c r="AL7" s="101"/>
      <c r="AM7" s="97"/>
      <c r="AN7" s="97"/>
      <c r="AO7" s="97"/>
      <c r="AP7" s="97"/>
      <c r="AQ7" s="97"/>
      <c r="AR7" s="97"/>
      <c r="AS7" s="104"/>
      <c r="AT7" s="104"/>
      <c r="AU7" s="104"/>
      <c r="AV7" s="104"/>
      <c r="AW7" s="104"/>
      <c r="AX7" s="104"/>
      <c r="AY7" s="104"/>
      <c r="AZ7" s="104"/>
      <c r="BA7" s="104"/>
      <c r="BB7" s="104"/>
      <c r="BC7" s="104"/>
      <c r="BE7" s="90"/>
      <c r="BF7" s="97"/>
      <c r="BG7" s="97"/>
      <c r="BH7" s="97"/>
      <c r="BI7" s="97"/>
      <c r="BJ7" s="97"/>
      <c r="BK7" s="97"/>
      <c r="BL7" s="104"/>
      <c r="BM7" s="104"/>
      <c r="BN7" s="104"/>
      <c r="BO7" s="104"/>
      <c r="BP7" s="104"/>
      <c r="BQ7" s="104"/>
      <c r="BR7" s="104"/>
      <c r="BS7" s="104"/>
      <c r="BT7" s="104"/>
      <c r="BU7" s="104"/>
      <c r="BV7" s="104"/>
    </row>
    <row r="8" spans="1:74">
      <c r="A8" s="330" t="s">
        <v>1040</v>
      </c>
      <c r="B8" s="331"/>
      <c r="C8" s="88"/>
      <c r="D8" s="294" t="s">
        <v>98</v>
      </c>
      <c r="E8" s="295">
        <v>0</v>
      </c>
      <c r="F8" s="429" t="s">
        <v>1033</v>
      </c>
      <c r="G8" s="430" t="s">
        <v>215</v>
      </c>
      <c r="H8" s="431" t="s">
        <v>98</v>
      </c>
      <c r="I8" s="431" t="s">
        <v>98</v>
      </c>
      <c r="J8" s="89">
        <v>0</v>
      </c>
      <c r="K8" s="430" t="s">
        <v>679</v>
      </c>
      <c r="L8" s="90">
        <f t="shared" si="0"/>
        <v>0</v>
      </c>
      <c r="M8" s="91"/>
      <c r="N8" s="92"/>
      <c r="O8" s="93"/>
      <c r="P8" s="90">
        <f t="shared" si="1"/>
        <v>1</v>
      </c>
      <c r="Q8" s="91"/>
      <c r="R8" s="92"/>
      <c r="S8" s="93"/>
      <c r="T8" s="90">
        <f t="shared" si="2"/>
        <v>0</v>
      </c>
      <c r="U8" s="91"/>
      <c r="V8" s="92"/>
      <c r="W8" s="93"/>
      <c r="X8" s="90">
        <f t="shared" si="3"/>
        <v>0</v>
      </c>
      <c r="Y8" s="91"/>
      <c r="Z8" s="92"/>
      <c r="AA8" s="93"/>
      <c r="AB8" s="90">
        <f t="shared" si="4"/>
        <v>0</v>
      </c>
      <c r="AC8" s="91"/>
      <c r="AD8" s="92"/>
      <c r="AE8" s="93"/>
      <c r="AF8" s="90">
        <f t="shared" si="5"/>
        <v>0</v>
      </c>
      <c r="AG8" s="91"/>
      <c r="AH8" s="92"/>
      <c r="AI8" s="93"/>
      <c r="AJ8" s="427"/>
      <c r="AK8" s="90"/>
      <c r="AL8" s="101"/>
      <c r="AM8" s="97"/>
      <c r="AN8" s="97"/>
      <c r="AO8" s="97"/>
      <c r="AP8" s="97"/>
      <c r="AQ8" s="97"/>
      <c r="AR8" s="97"/>
      <c r="AS8" s="104"/>
      <c r="AT8" s="104"/>
      <c r="AU8" s="104"/>
      <c r="AV8" s="104"/>
      <c r="AW8" s="104"/>
      <c r="AX8" s="104"/>
      <c r="AY8" s="104"/>
      <c r="AZ8" s="104"/>
      <c r="BA8" s="104"/>
      <c r="BB8" s="104"/>
      <c r="BC8" s="104"/>
      <c r="BE8" s="90"/>
      <c r="BF8" s="97"/>
      <c r="BG8" s="97"/>
      <c r="BH8" s="97"/>
      <c r="BI8" s="97"/>
      <c r="BJ8" s="97"/>
      <c r="BK8" s="97"/>
      <c r="BL8" s="104"/>
      <c r="BM8" s="104"/>
      <c r="BN8" s="104"/>
      <c r="BO8" s="104"/>
      <c r="BP8" s="104"/>
      <c r="BQ8" s="104"/>
      <c r="BR8" s="104"/>
      <c r="BS8" s="104"/>
      <c r="BT8" s="104"/>
      <c r="BU8" s="104"/>
      <c r="BV8" s="104"/>
    </row>
    <row r="9" spans="1:74">
      <c r="A9" s="330" t="s">
        <v>1041</v>
      </c>
      <c r="B9" s="331"/>
      <c r="C9" s="88"/>
      <c r="D9" s="294" t="s">
        <v>98</v>
      </c>
      <c r="E9" s="295">
        <v>0</v>
      </c>
      <c r="F9" s="429" t="s">
        <v>1034</v>
      </c>
      <c r="G9" s="430" t="s">
        <v>373</v>
      </c>
      <c r="H9" s="431" t="s">
        <v>98</v>
      </c>
      <c r="I9" s="431" t="s">
        <v>98</v>
      </c>
      <c r="J9" s="89">
        <v>0</v>
      </c>
      <c r="K9" s="430" t="s">
        <v>679</v>
      </c>
      <c r="L9" s="90">
        <f t="shared" si="0"/>
        <v>0</v>
      </c>
      <c r="M9" s="91"/>
      <c r="N9" s="92"/>
      <c r="O9" s="93"/>
      <c r="P9" s="90">
        <f t="shared" si="1"/>
        <v>0</v>
      </c>
      <c r="Q9" s="91"/>
      <c r="R9" s="92"/>
      <c r="S9" s="93"/>
      <c r="T9" s="90">
        <f t="shared" si="2"/>
        <v>1</v>
      </c>
      <c r="U9" s="91"/>
      <c r="V9" s="92"/>
      <c r="W9" s="93"/>
      <c r="X9" s="90">
        <f t="shared" si="3"/>
        <v>0</v>
      </c>
      <c r="Y9" s="91"/>
      <c r="Z9" s="92"/>
      <c r="AA9" s="93"/>
      <c r="AB9" s="90">
        <f t="shared" si="4"/>
        <v>0</v>
      </c>
      <c r="AC9" s="91"/>
      <c r="AD9" s="92"/>
      <c r="AE9" s="93"/>
      <c r="AF9" s="90">
        <f t="shared" si="5"/>
        <v>0</v>
      </c>
      <c r="AG9" s="91"/>
      <c r="AH9" s="92"/>
      <c r="AI9" s="93"/>
      <c r="AJ9" s="427"/>
      <c r="AK9" s="90"/>
      <c r="AL9" s="101"/>
      <c r="AM9" s="97"/>
      <c r="AN9" s="97"/>
      <c r="AO9" s="97"/>
      <c r="AP9" s="97"/>
      <c r="AQ9" s="97"/>
      <c r="AR9" s="97"/>
      <c r="AS9" s="104"/>
      <c r="AT9" s="104"/>
      <c r="AU9" s="104"/>
      <c r="AV9" s="104"/>
      <c r="AW9" s="104"/>
      <c r="AX9" s="104"/>
      <c r="AY9" s="104"/>
      <c r="AZ9" s="104"/>
      <c r="BA9" s="104"/>
      <c r="BB9" s="104"/>
      <c r="BC9" s="104"/>
      <c r="BE9" s="90"/>
      <c r="BF9" s="97"/>
      <c r="BG9" s="97"/>
      <c r="BH9" s="97"/>
      <c r="BI9" s="97"/>
      <c r="BJ9" s="97"/>
      <c r="BK9" s="97"/>
      <c r="BL9" s="104"/>
      <c r="BM9" s="104"/>
      <c r="BN9" s="104"/>
      <c r="BO9" s="104"/>
      <c r="BP9" s="104"/>
      <c r="BQ9" s="104"/>
      <c r="BR9" s="104"/>
      <c r="BS9" s="104"/>
      <c r="BT9" s="104"/>
      <c r="BU9" s="104"/>
      <c r="BV9" s="104"/>
    </row>
    <row r="10" spans="1:74">
      <c r="A10" s="330" t="s">
        <v>1042</v>
      </c>
      <c r="B10" s="331"/>
      <c r="C10" s="88"/>
      <c r="D10" s="294" t="s">
        <v>98</v>
      </c>
      <c r="E10" s="295">
        <v>0</v>
      </c>
      <c r="F10" s="429" t="s">
        <v>1035</v>
      </c>
      <c r="G10" s="430" t="s">
        <v>93</v>
      </c>
      <c r="H10" s="431" t="s">
        <v>98</v>
      </c>
      <c r="I10" s="431" t="s">
        <v>98</v>
      </c>
      <c r="J10" s="89">
        <v>0</v>
      </c>
      <c r="K10" s="430" t="s">
        <v>679</v>
      </c>
      <c r="L10" s="90">
        <f t="shared" si="0"/>
        <v>0</v>
      </c>
      <c r="M10" s="91"/>
      <c r="N10" s="92"/>
      <c r="O10" s="93"/>
      <c r="P10" s="90">
        <f t="shared" si="1"/>
        <v>0</v>
      </c>
      <c r="Q10" s="91"/>
      <c r="R10" s="92"/>
      <c r="S10" s="93"/>
      <c r="T10" s="90">
        <f t="shared" si="2"/>
        <v>0</v>
      </c>
      <c r="U10" s="91"/>
      <c r="V10" s="92"/>
      <c r="W10" s="93"/>
      <c r="X10" s="90">
        <f t="shared" si="3"/>
        <v>1</v>
      </c>
      <c r="Y10" s="91"/>
      <c r="Z10" s="92"/>
      <c r="AA10" s="93"/>
      <c r="AB10" s="90">
        <f t="shared" si="4"/>
        <v>0</v>
      </c>
      <c r="AC10" s="91"/>
      <c r="AD10" s="92"/>
      <c r="AE10" s="93"/>
      <c r="AF10" s="90">
        <f t="shared" si="5"/>
        <v>0</v>
      </c>
      <c r="AG10" s="91"/>
      <c r="AH10" s="92"/>
      <c r="AI10" s="93"/>
      <c r="AJ10" s="112"/>
      <c r="AK10" s="90"/>
      <c r="AL10" s="101"/>
      <c r="AM10" s="97"/>
      <c r="AN10" s="97"/>
      <c r="AO10" s="97"/>
      <c r="AP10" s="97"/>
      <c r="AQ10" s="97"/>
      <c r="AR10" s="97"/>
      <c r="AS10" s="104"/>
      <c r="AT10" s="104"/>
      <c r="AU10" s="104"/>
      <c r="AV10" s="104"/>
      <c r="AW10" s="104"/>
      <c r="AX10" s="104"/>
      <c r="AY10" s="104"/>
      <c r="AZ10" s="104"/>
      <c r="BA10" s="104"/>
      <c r="BB10" s="104"/>
      <c r="BC10" s="104"/>
      <c r="BE10" s="90"/>
      <c r="BF10" s="97"/>
      <c r="BG10" s="97"/>
      <c r="BH10" s="97"/>
      <c r="BI10" s="97"/>
      <c r="BJ10" s="97"/>
      <c r="BK10" s="97"/>
      <c r="BL10" s="104"/>
      <c r="BM10" s="104"/>
      <c r="BN10" s="104"/>
      <c r="BO10" s="104"/>
      <c r="BP10" s="104"/>
      <c r="BQ10" s="104"/>
      <c r="BR10" s="104"/>
      <c r="BS10" s="104"/>
      <c r="BT10" s="104"/>
      <c r="BU10" s="104"/>
      <c r="BV10" s="104"/>
    </row>
    <row r="11" spans="1:74" ht="24">
      <c r="A11" s="330" t="s">
        <v>1029</v>
      </c>
      <c r="B11" s="331"/>
      <c r="C11" s="88"/>
      <c r="D11" s="294" t="s">
        <v>98</v>
      </c>
      <c r="E11" s="295">
        <v>0</v>
      </c>
      <c r="F11" s="429" t="s">
        <v>1036</v>
      </c>
      <c r="G11" s="430" t="s">
        <v>340</v>
      </c>
      <c r="H11" s="431" t="s">
        <v>98</v>
      </c>
      <c r="I11" s="431" t="s">
        <v>98</v>
      </c>
      <c r="J11" s="89">
        <v>0</v>
      </c>
      <c r="K11" s="430" t="s">
        <v>679</v>
      </c>
      <c r="L11" s="90">
        <f t="shared" si="0"/>
        <v>0</v>
      </c>
      <c r="M11" s="91"/>
      <c r="N11" s="92"/>
      <c r="O11" s="93"/>
      <c r="P11" s="90">
        <f t="shared" si="1"/>
        <v>0</v>
      </c>
      <c r="Q11" s="91"/>
      <c r="R11" s="92"/>
      <c r="S11" s="93"/>
      <c r="T11" s="90">
        <f t="shared" si="2"/>
        <v>0</v>
      </c>
      <c r="U11" s="91"/>
      <c r="V11" s="92"/>
      <c r="W11" s="93"/>
      <c r="X11" s="90">
        <f t="shared" si="3"/>
        <v>0</v>
      </c>
      <c r="Y11" s="91"/>
      <c r="Z11" s="92"/>
      <c r="AA11" s="93"/>
      <c r="AB11" s="90">
        <f t="shared" si="4"/>
        <v>1</v>
      </c>
      <c r="AC11" s="91"/>
      <c r="AD11" s="92"/>
      <c r="AE11" s="93"/>
      <c r="AF11" s="90">
        <f t="shared" si="5"/>
        <v>0</v>
      </c>
      <c r="AG11" s="91"/>
      <c r="AH11" s="92"/>
      <c r="AI11" s="93"/>
      <c r="AJ11" s="112"/>
      <c r="AK11" s="90"/>
      <c r="AL11" s="101"/>
      <c r="AM11" s="97"/>
      <c r="AN11" s="97"/>
      <c r="AO11" s="97"/>
      <c r="AP11" s="97"/>
      <c r="AQ11" s="97"/>
      <c r="AR11" s="97"/>
      <c r="AS11" s="104"/>
      <c r="AT11" s="104"/>
      <c r="AU11" s="104"/>
      <c r="AV11" s="104"/>
      <c r="AW11" s="104"/>
      <c r="AX11" s="104"/>
      <c r="AY11" s="104"/>
      <c r="AZ11" s="104"/>
      <c r="BA11" s="104"/>
      <c r="BB11" s="104"/>
      <c r="BC11" s="104"/>
      <c r="BE11" s="90"/>
      <c r="BF11" s="97"/>
      <c r="BG11" s="97"/>
      <c r="BH11" s="97"/>
      <c r="BI11" s="97"/>
      <c r="BJ11" s="97"/>
      <c r="BK11" s="97"/>
      <c r="BL11" s="104"/>
      <c r="BM11" s="104"/>
      <c r="BN11" s="104"/>
      <c r="BO11" s="104"/>
      <c r="BP11" s="104"/>
      <c r="BQ11" s="104"/>
      <c r="BR11" s="104"/>
      <c r="BS11" s="104"/>
      <c r="BT11" s="104"/>
      <c r="BU11" s="104"/>
      <c r="BV11" s="104"/>
    </row>
    <row r="12" spans="1:74" ht="24">
      <c r="A12" s="330" t="s">
        <v>1030</v>
      </c>
      <c r="B12" s="331"/>
      <c r="C12" s="88"/>
      <c r="D12" s="294" t="s">
        <v>98</v>
      </c>
      <c r="E12" s="295">
        <v>0</v>
      </c>
      <c r="F12" s="429" t="s">
        <v>1037</v>
      </c>
      <c r="G12" s="430" t="s">
        <v>372</v>
      </c>
      <c r="H12" s="431" t="s">
        <v>98</v>
      </c>
      <c r="I12" s="431" t="s">
        <v>98</v>
      </c>
      <c r="J12" s="89">
        <v>0</v>
      </c>
      <c r="K12" s="430" t="s">
        <v>679</v>
      </c>
      <c r="L12" s="90">
        <f t="shared" si="0"/>
        <v>0</v>
      </c>
      <c r="M12" s="91"/>
      <c r="N12" s="92"/>
      <c r="O12" s="93"/>
      <c r="P12" s="90">
        <f t="shared" si="1"/>
        <v>0</v>
      </c>
      <c r="Q12" s="91"/>
      <c r="R12" s="92"/>
      <c r="S12" s="93"/>
      <c r="T12" s="90">
        <f t="shared" si="2"/>
        <v>0</v>
      </c>
      <c r="U12" s="91"/>
      <c r="V12" s="92"/>
      <c r="W12" s="93"/>
      <c r="X12" s="90">
        <f t="shared" si="3"/>
        <v>0</v>
      </c>
      <c r="Y12" s="91"/>
      <c r="Z12" s="92"/>
      <c r="AA12" s="93"/>
      <c r="AB12" s="90">
        <f t="shared" si="4"/>
        <v>0</v>
      </c>
      <c r="AC12" s="91"/>
      <c r="AD12" s="92"/>
      <c r="AE12" s="93"/>
      <c r="AF12" s="90">
        <f t="shared" si="5"/>
        <v>1</v>
      </c>
      <c r="AG12" s="91"/>
      <c r="AH12" s="92"/>
      <c r="AI12" s="93"/>
      <c r="AJ12" s="112"/>
      <c r="AK12" s="90"/>
      <c r="AL12" s="101"/>
      <c r="AM12" s="97"/>
      <c r="AN12" s="97"/>
      <c r="AO12" s="97"/>
      <c r="AP12" s="97"/>
      <c r="AQ12" s="97"/>
      <c r="AR12" s="97"/>
      <c r="AS12" s="104"/>
      <c r="AT12" s="104"/>
      <c r="AU12" s="104"/>
      <c r="AV12" s="104"/>
      <c r="AW12" s="104"/>
      <c r="AX12" s="104"/>
      <c r="AY12" s="104"/>
      <c r="AZ12" s="104"/>
      <c r="BA12" s="104"/>
      <c r="BB12" s="104"/>
      <c r="BC12" s="104"/>
      <c r="BE12" s="90"/>
      <c r="BF12" s="97"/>
      <c r="BG12" s="97"/>
      <c r="BH12" s="97"/>
      <c r="BI12" s="97"/>
      <c r="BJ12" s="97"/>
      <c r="BK12" s="97"/>
      <c r="BL12" s="104"/>
      <c r="BM12" s="104"/>
      <c r="BN12" s="104"/>
      <c r="BO12" s="104"/>
      <c r="BP12" s="104"/>
      <c r="BQ12" s="104"/>
      <c r="BR12" s="104"/>
      <c r="BS12" s="104"/>
      <c r="BT12" s="104"/>
      <c r="BU12" s="104"/>
      <c r="BV12" s="104"/>
    </row>
    <row r="13" spans="1:74">
      <c r="A13" s="330" t="s">
        <v>806</v>
      </c>
      <c r="B13" s="331" t="s">
        <v>896</v>
      </c>
      <c r="C13" s="332"/>
      <c r="D13" s="340">
        <v>5</v>
      </c>
      <c r="E13" s="341" t="s">
        <v>98</v>
      </c>
      <c r="F13" s="432" t="s">
        <v>794</v>
      </c>
      <c r="G13" s="433" t="s">
        <v>372</v>
      </c>
      <c r="H13" s="434" t="s">
        <v>98</v>
      </c>
      <c r="I13" s="434" t="s">
        <v>98</v>
      </c>
      <c r="J13" s="94">
        <v>0</v>
      </c>
      <c r="K13" s="433" t="s">
        <v>679</v>
      </c>
      <c r="L13" s="435">
        <f>$AK$16</f>
        <v>1.0900000000000001</v>
      </c>
      <c r="M13" s="95">
        <v>1</v>
      </c>
      <c r="N13" s="96">
        <f t="shared" ref="N13:N44" si="6">$AV13</f>
        <v>1.0960265024053955</v>
      </c>
      <c r="O13" s="432" t="str">
        <f t="shared" ref="O13:O44" si="7">$AW13&amp;"; "&amp;$AL13</f>
        <v>(2,2,2,1,1,3); Wafer input weight per m2 of cell provided by Gazbour, N. (2026)</v>
      </c>
      <c r="P13" s="435">
        <v>0</v>
      </c>
      <c r="Q13" s="95">
        <v>1</v>
      </c>
      <c r="R13" s="96">
        <f t="shared" ref="R13:R44" si="8">$AV13</f>
        <v>1.0960265024053955</v>
      </c>
      <c r="S13" s="457" t="str">
        <f t="shared" ref="S13:S44" si="9">$AW13&amp;"; "&amp;$AL13</f>
        <v>(2,2,2,1,1,3); Wafer input weight per m2 of cell provided by Gazbour, N. (2026)</v>
      </c>
      <c r="T13" s="435">
        <v>0</v>
      </c>
      <c r="U13" s="95">
        <v>1</v>
      </c>
      <c r="V13" s="96">
        <f t="shared" ref="V13:V44" si="10">$AV13</f>
        <v>1.0960265024053955</v>
      </c>
      <c r="W13" s="457" t="str">
        <f t="shared" ref="W13:W44" si="11">$AW13&amp;"; "&amp;$AL13</f>
        <v>(2,2,2,1,1,3); Wafer input weight per m2 of cell provided by Gazbour, N. (2026)</v>
      </c>
      <c r="X13" s="435">
        <v>0</v>
      </c>
      <c r="Y13" s="95">
        <v>1</v>
      </c>
      <c r="Z13" s="96">
        <f t="shared" ref="Z13:Z44" si="12">$AV13</f>
        <v>1.0960265024053955</v>
      </c>
      <c r="AA13" s="432" t="str">
        <f t="shared" ref="AA13:AA44" si="13">$AW13&amp;"; "&amp;$AL13</f>
        <v>(2,2,2,1,1,3); Wafer input weight per m2 of cell provided by Gazbour, N. (2026)</v>
      </c>
      <c r="AB13" s="435">
        <v>0</v>
      </c>
      <c r="AC13" s="95">
        <v>1</v>
      </c>
      <c r="AD13" s="96">
        <f t="shared" ref="AD13:AD44" si="14">$BO13</f>
        <v>1.05</v>
      </c>
      <c r="AE13" s="457" t="str">
        <f t="shared" ref="AE13:AE44" si="15">$BP13&amp;"; "&amp;$BE13</f>
        <v xml:space="preserve">(na,na,na,na,na,na); </v>
      </c>
      <c r="AF13" s="435">
        <v>0</v>
      </c>
      <c r="AG13" s="95">
        <v>1</v>
      </c>
      <c r="AH13" s="96">
        <f>$BO13</f>
        <v>1.05</v>
      </c>
      <c r="AI13" s="432" t="str">
        <f t="shared" ref="AI13:AI44" si="16">$BP13&amp;"; "&amp;$BE13</f>
        <v xml:space="preserve">(na,na,na,na,na,na); </v>
      </c>
      <c r="AJ13" s="112"/>
      <c r="AK13" s="435">
        <v>0</v>
      </c>
      <c r="AL13" s="216" t="str">
        <f>AL16</f>
        <v>Wafer input weight per m2 of cell provided by Gazbour, N. (2026)</v>
      </c>
      <c r="AM13" s="339">
        <v>2</v>
      </c>
      <c r="AN13" s="339">
        <v>2</v>
      </c>
      <c r="AO13" s="339">
        <v>2</v>
      </c>
      <c r="AP13" s="339">
        <v>1</v>
      </c>
      <c r="AQ13" s="339">
        <v>1</v>
      </c>
      <c r="AR13" s="339">
        <v>3</v>
      </c>
      <c r="AS13" s="104">
        <v>3</v>
      </c>
      <c r="AT13" s="104">
        <v>1.05</v>
      </c>
      <c r="AU13" s="107">
        <f t="shared" ref="AU13:AU44" si="17">EXP(SQRT((LN(AX13)^2)+(LN(AY13)^2)+(LN(AZ13)^2)+(LN(BA13)^2)+(LN(BB13)^2)+(LN(BC13)^2)))</f>
        <v>1.0807255723670659</v>
      </c>
      <c r="AV13" s="107">
        <f t="shared" ref="AV13:AV44" si="18">EXP(SQRT((LN(AX13)^2)+(LN(AY13)^2)+(LN(AZ13)^2)+(LN(BA13)^2)+(LN(BB13)^2)+(LN(BC13)^2)+LN(AT13)^2))</f>
        <v>1.0960265024053955</v>
      </c>
      <c r="AW13" s="107" t="str">
        <f t="shared" ref="AW13:AW44" si="19">CONCATENATE("(",AM13,",",AN13,",",AO13,",",AP13,",",AQ13,",",AR13,")")</f>
        <v>(2,2,2,1,1,3)</v>
      </c>
      <c r="AX13" s="108">
        <v>1.05</v>
      </c>
      <c r="AY13" s="108">
        <v>1.02</v>
      </c>
      <c r="AZ13" s="108">
        <v>1.03</v>
      </c>
      <c r="BA13" s="108">
        <v>1</v>
      </c>
      <c r="BB13" s="108">
        <v>1</v>
      </c>
      <c r="BC13" s="108">
        <v>1.05</v>
      </c>
      <c r="BE13" s="692"/>
      <c r="BF13" s="339" t="s">
        <v>106</v>
      </c>
      <c r="BG13" s="339" t="s">
        <v>106</v>
      </c>
      <c r="BH13" s="339" t="s">
        <v>106</v>
      </c>
      <c r="BI13" s="339" t="s">
        <v>106</v>
      </c>
      <c r="BJ13" s="339" t="s">
        <v>106</v>
      </c>
      <c r="BK13" s="339" t="s">
        <v>106</v>
      </c>
      <c r="BL13" s="104">
        <v>3</v>
      </c>
      <c r="BM13" s="104">
        <v>1.05</v>
      </c>
      <c r="BN13" s="107">
        <f t="shared" ref="BN13:BN44" si="20">EXP(SQRT((LN(BQ13)^2)+(LN(BR13)^2)+(LN(BS13)^2)+(LN(BT13)^2)+(LN(BU13)^2)+(LN(BV13)^2)))</f>
        <v>1</v>
      </c>
      <c r="BO13" s="107">
        <f t="shared" ref="BO13:BO44" si="21">EXP(SQRT((LN(BQ13)^2)+(LN(BR13)^2)+(LN(BS13)^2)+(LN(BT13)^2)+(LN(BU13)^2)+(LN(BV13)^2)+LN(BM13)^2))</f>
        <v>1.05</v>
      </c>
      <c r="BP13" s="107" t="str">
        <f t="shared" ref="BP13:BP44" si="22">CONCATENATE("(",BF13,",",BG13,",",BH13,",",BI13,",",BJ13,",",BK13,")")</f>
        <v>(na,na,na,na,na,na)</v>
      </c>
      <c r="BQ13" s="108">
        <v>1</v>
      </c>
      <c r="BR13" s="108">
        <v>1</v>
      </c>
      <c r="BS13" s="108">
        <v>1</v>
      </c>
      <c r="BT13" s="108">
        <v>1</v>
      </c>
      <c r="BU13" s="108">
        <v>1</v>
      </c>
      <c r="BV13" s="108">
        <v>1</v>
      </c>
    </row>
    <row r="14" spans="1:74" ht="24">
      <c r="A14" s="330" t="s">
        <v>892</v>
      </c>
      <c r="B14" s="331"/>
      <c r="C14" s="332"/>
      <c r="D14" s="340">
        <v>5</v>
      </c>
      <c r="E14" s="341" t="s">
        <v>98</v>
      </c>
      <c r="F14" s="432" t="s">
        <v>886</v>
      </c>
      <c r="G14" s="433" t="s">
        <v>215</v>
      </c>
      <c r="H14" s="434" t="s">
        <v>98</v>
      </c>
      <c r="I14" s="434" t="s">
        <v>98</v>
      </c>
      <c r="J14" s="94">
        <v>0</v>
      </c>
      <c r="K14" s="433" t="s">
        <v>679</v>
      </c>
      <c r="L14" s="435">
        <v>0</v>
      </c>
      <c r="M14" s="95">
        <v>1</v>
      </c>
      <c r="N14" s="96">
        <f t="shared" si="6"/>
        <v>1.0960265024053955</v>
      </c>
      <c r="O14" s="432" t="str">
        <f t="shared" si="7"/>
        <v>(2,2,2,1,1,3); Wafer input weight per m2 of cell provided by Gazbour, N. (2026)</v>
      </c>
      <c r="P14" s="435">
        <f>$AK$16</f>
        <v>1.0900000000000001</v>
      </c>
      <c r="Q14" s="95">
        <v>1</v>
      </c>
      <c r="R14" s="96">
        <f t="shared" si="8"/>
        <v>1.0960265024053955</v>
      </c>
      <c r="S14" s="457" t="str">
        <f t="shared" si="9"/>
        <v>(2,2,2,1,1,3); Wafer input weight per m2 of cell provided by Gazbour, N. (2026)</v>
      </c>
      <c r="T14" s="435">
        <v>0</v>
      </c>
      <c r="U14" s="95">
        <v>1</v>
      </c>
      <c r="V14" s="96">
        <f t="shared" si="10"/>
        <v>1.0960265024053955</v>
      </c>
      <c r="W14" s="457" t="str">
        <f t="shared" si="11"/>
        <v>(2,2,2,1,1,3); Wafer input weight per m2 of cell provided by Gazbour, N. (2026)</v>
      </c>
      <c r="X14" s="435">
        <v>0</v>
      </c>
      <c r="Y14" s="95">
        <v>1</v>
      </c>
      <c r="Z14" s="96">
        <f t="shared" si="12"/>
        <v>1.0960265024053955</v>
      </c>
      <c r="AA14" s="432" t="str">
        <f t="shared" si="13"/>
        <v>(2,2,2,1,1,3); Wafer input weight per m2 of cell provided by Gazbour, N. (2026)</v>
      </c>
      <c r="AB14" s="435">
        <v>0</v>
      </c>
      <c r="AC14" s="95">
        <v>1</v>
      </c>
      <c r="AD14" s="96">
        <f t="shared" si="14"/>
        <v>1.05</v>
      </c>
      <c r="AE14" s="457" t="str">
        <f t="shared" si="15"/>
        <v xml:space="preserve">(na,na,na,na,na,na); </v>
      </c>
      <c r="AF14" s="435">
        <v>0</v>
      </c>
      <c r="AG14" s="95">
        <v>1</v>
      </c>
      <c r="AH14" s="96">
        <f t="shared" ref="AH14:AH45" si="23">$AV14</f>
        <v>1.0960265024053955</v>
      </c>
      <c r="AI14" s="432" t="str">
        <f t="shared" si="16"/>
        <v xml:space="preserve">(na,na,na,na,na,na); </v>
      </c>
      <c r="AJ14" s="112"/>
      <c r="AK14" s="435">
        <v>0</v>
      </c>
      <c r="AL14" s="216" t="str">
        <f>AL16</f>
        <v>Wafer input weight per m2 of cell provided by Gazbour, N. (2026)</v>
      </c>
      <c r="AM14" s="339">
        <v>2</v>
      </c>
      <c r="AN14" s="339">
        <v>2</v>
      </c>
      <c r="AO14" s="339">
        <v>2</v>
      </c>
      <c r="AP14" s="339">
        <v>1</v>
      </c>
      <c r="AQ14" s="339">
        <v>1</v>
      </c>
      <c r="AR14" s="339">
        <v>3</v>
      </c>
      <c r="AS14" s="104">
        <v>3</v>
      </c>
      <c r="AT14" s="104">
        <v>1.05</v>
      </c>
      <c r="AU14" s="107">
        <f t="shared" si="17"/>
        <v>1.0807255723670659</v>
      </c>
      <c r="AV14" s="107">
        <f t="shared" si="18"/>
        <v>1.0960265024053955</v>
      </c>
      <c r="AW14" s="107" t="str">
        <f t="shared" si="19"/>
        <v>(2,2,2,1,1,3)</v>
      </c>
      <c r="AX14" s="108">
        <v>1.05</v>
      </c>
      <c r="AY14" s="108">
        <v>1.02</v>
      </c>
      <c r="AZ14" s="108">
        <v>1.03</v>
      </c>
      <c r="BA14" s="108">
        <v>1</v>
      </c>
      <c r="BB14" s="108">
        <v>1</v>
      </c>
      <c r="BC14" s="108">
        <v>1.05</v>
      </c>
      <c r="BE14" s="692"/>
      <c r="BF14" s="339" t="s">
        <v>106</v>
      </c>
      <c r="BG14" s="339" t="s">
        <v>106</v>
      </c>
      <c r="BH14" s="339" t="s">
        <v>106</v>
      </c>
      <c r="BI14" s="339" t="s">
        <v>106</v>
      </c>
      <c r="BJ14" s="339" t="s">
        <v>106</v>
      </c>
      <c r="BK14" s="339" t="s">
        <v>106</v>
      </c>
      <c r="BL14" s="104">
        <v>3</v>
      </c>
      <c r="BM14" s="104">
        <v>1.05</v>
      </c>
      <c r="BN14" s="107">
        <f t="shared" si="20"/>
        <v>1</v>
      </c>
      <c r="BO14" s="107">
        <f t="shared" si="21"/>
        <v>1.05</v>
      </c>
      <c r="BP14" s="107" t="str">
        <f t="shared" si="22"/>
        <v>(na,na,na,na,na,na)</v>
      </c>
      <c r="BQ14" s="108">
        <v>1</v>
      </c>
      <c r="BR14" s="108">
        <v>1</v>
      </c>
      <c r="BS14" s="108">
        <v>1</v>
      </c>
      <c r="BT14" s="108">
        <v>1</v>
      </c>
      <c r="BU14" s="108">
        <v>1</v>
      </c>
      <c r="BV14" s="108">
        <v>1</v>
      </c>
    </row>
    <row r="15" spans="1:74" ht="24">
      <c r="A15" s="330" t="s">
        <v>894</v>
      </c>
      <c r="B15" s="331"/>
      <c r="C15" s="332"/>
      <c r="D15" s="340">
        <v>5</v>
      </c>
      <c r="E15" s="341" t="s">
        <v>98</v>
      </c>
      <c r="F15" s="432" t="s">
        <v>888</v>
      </c>
      <c r="G15" s="433" t="s">
        <v>373</v>
      </c>
      <c r="H15" s="434" t="s">
        <v>98</v>
      </c>
      <c r="I15" s="434" t="s">
        <v>98</v>
      </c>
      <c r="J15" s="94">
        <v>0</v>
      </c>
      <c r="K15" s="433" t="s">
        <v>679</v>
      </c>
      <c r="L15" s="435">
        <v>0</v>
      </c>
      <c r="M15" s="95">
        <v>1</v>
      </c>
      <c r="N15" s="96">
        <f t="shared" si="6"/>
        <v>1.0960265024053955</v>
      </c>
      <c r="O15" s="432" t="str">
        <f t="shared" si="7"/>
        <v>(2,2,2,1,1,3); Wafer input weight per m2 of cell provided by Gazbour, N. (2026)</v>
      </c>
      <c r="P15" s="435">
        <v>0</v>
      </c>
      <c r="Q15" s="95">
        <v>1</v>
      </c>
      <c r="R15" s="96">
        <f t="shared" si="8"/>
        <v>1.0960265024053955</v>
      </c>
      <c r="S15" s="457" t="str">
        <f t="shared" si="9"/>
        <v>(2,2,2,1,1,3); Wafer input weight per m2 of cell provided by Gazbour, N. (2026)</v>
      </c>
      <c r="T15" s="435">
        <f>$AK$16</f>
        <v>1.0900000000000001</v>
      </c>
      <c r="U15" s="95">
        <v>1</v>
      </c>
      <c r="V15" s="96">
        <f t="shared" si="10"/>
        <v>1.0960265024053955</v>
      </c>
      <c r="W15" s="457" t="str">
        <f t="shared" si="11"/>
        <v>(2,2,2,1,1,3); Wafer input weight per m2 of cell provided by Gazbour, N. (2026)</v>
      </c>
      <c r="X15" s="435">
        <v>0</v>
      </c>
      <c r="Y15" s="95">
        <v>1</v>
      </c>
      <c r="Z15" s="96">
        <f t="shared" si="12"/>
        <v>1.0960265024053955</v>
      </c>
      <c r="AA15" s="432" t="str">
        <f t="shared" si="13"/>
        <v>(2,2,2,1,1,3); Wafer input weight per m2 of cell provided by Gazbour, N. (2026)</v>
      </c>
      <c r="AB15" s="435">
        <v>0</v>
      </c>
      <c r="AC15" s="95">
        <v>1</v>
      </c>
      <c r="AD15" s="96">
        <f t="shared" si="14"/>
        <v>1.05</v>
      </c>
      <c r="AE15" s="457" t="str">
        <f t="shared" si="15"/>
        <v xml:space="preserve">(na,na,na,na,na,na); </v>
      </c>
      <c r="AF15" s="435">
        <v>0</v>
      </c>
      <c r="AG15" s="95">
        <v>1</v>
      </c>
      <c r="AH15" s="96">
        <f t="shared" si="23"/>
        <v>1.0960265024053955</v>
      </c>
      <c r="AI15" s="432" t="str">
        <f t="shared" si="16"/>
        <v xml:space="preserve">(na,na,na,na,na,na); </v>
      </c>
      <c r="AJ15" s="112"/>
      <c r="AK15" s="435">
        <v>0</v>
      </c>
      <c r="AL15" s="216" t="str">
        <f>AL16</f>
        <v>Wafer input weight per m2 of cell provided by Gazbour, N. (2026)</v>
      </c>
      <c r="AM15" s="339">
        <v>2</v>
      </c>
      <c r="AN15" s="339">
        <v>2</v>
      </c>
      <c r="AO15" s="339">
        <v>2</v>
      </c>
      <c r="AP15" s="339">
        <v>1</v>
      </c>
      <c r="AQ15" s="339">
        <v>1</v>
      </c>
      <c r="AR15" s="339">
        <v>3</v>
      </c>
      <c r="AS15" s="104">
        <v>3</v>
      </c>
      <c r="AT15" s="104">
        <v>1.05</v>
      </c>
      <c r="AU15" s="107">
        <f t="shared" si="17"/>
        <v>1.0807255723670659</v>
      </c>
      <c r="AV15" s="107">
        <f t="shared" si="18"/>
        <v>1.0960265024053955</v>
      </c>
      <c r="AW15" s="107" t="str">
        <f t="shared" si="19"/>
        <v>(2,2,2,1,1,3)</v>
      </c>
      <c r="AX15" s="108">
        <v>1.05</v>
      </c>
      <c r="AY15" s="108">
        <v>1.02</v>
      </c>
      <c r="AZ15" s="108">
        <v>1.03</v>
      </c>
      <c r="BA15" s="108">
        <v>1</v>
      </c>
      <c r="BB15" s="108">
        <v>1</v>
      </c>
      <c r="BC15" s="108">
        <v>1.05</v>
      </c>
      <c r="BE15" s="692"/>
      <c r="BF15" s="339" t="s">
        <v>106</v>
      </c>
      <c r="BG15" s="339" t="s">
        <v>106</v>
      </c>
      <c r="BH15" s="339" t="s">
        <v>106</v>
      </c>
      <c r="BI15" s="339" t="s">
        <v>106</v>
      </c>
      <c r="BJ15" s="339" t="s">
        <v>106</v>
      </c>
      <c r="BK15" s="339" t="s">
        <v>106</v>
      </c>
      <c r="BL15" s="104">
        <v>3</v>
      </c>
      <c r="BM15" s="104">
        <v>1.05</v>
      </c>
      <c r="BN15" s="107">
        <f t="shared" si="20"/>
        <v>1</v>
      </c>
      <c r="BO15" s="107">
        <f t="shared" si="21"/>
        <v>1.05</v>
      </c>
      <c r="BP15" s="107" t="str">
        <f t="shared" si="22"/>
        <v>(na,na,na,na,na,na)</v>
      </c>
      <c r="BQ15" s="108">
        <v>1</v>
      </c>
      <c r="BR15" s="108">
        <v>1</v>
      </c>
      <c r="BS15" s="108">
        <v>1</v>
      </c>
      <c r="BT15" s="108">
        <v>1</v>
      </c>
      <c r="BU15" s="108">
        <v>1</v>
      </c>
      <c r="BV15" s="108">
        <v>1</v>
      </c>
    </row>
    <row r="16" spans="1:74" ht="24">
      <c r="A16" s="330" t="s">
        <v>890</v>
      </c>
      <c r="B16" s="331"/>
      <c r="C16" s="332"/>
      <c r="D16" s="340">
        <v>5</v>
      </c>
      <c r="E16" s="341" t="s">
        <v>98</v>
      </c>
      <c r="F16" s="432" t="s">
        <v>884</v>
      </c>
      <c r="G16" s="433" t="s">
        <v>93</v>
      </c>
      <c r="H16" s="434" t="s">
        <v>98</v>
      </c>
      <c r="I16" s="434" t="s">
        <v>98</v>
      </c>
      <c r="J16" s="94">
        <v>0</v>
      </c>
      <c r="K16" s="433" t="s">
        <v>679</v>
      </c>
      <c r="L16" s="435">
        <v>0</v>
      </c>
      <c r="M16" s="95">
        <v>1</v>
      </c>
      <c r="N16" s="96">
        <f t="shared" si="6"/>
        <v>1.0960265024053955</v>
      </c>
      <c r="O16" s="432" t="str">
        <f t="shared" si="7"/>
        <v>(2,2,2,1,1,3); Wafer input weight per m2 of cell provided by Gazbour, N. (2026)</v>
      </c>
      <c r="P16" s="435">
        <v>0</v>
      </c>
      <c r="Q16" s="95">
        <v>1</v>
      </c>
      <c r="R16" s="96">
        <f t="shared" si="8"/>
        <v>1.0960265024053955</v>
      </c>
      <c r="S16" s="457" t="str">
        <f t="shared" si="9"/>
        <v>(2,2,2,1,1,3); Wafer input weight per m2 of cell provided by Gazbour, N. (2026)</v>
      </c>
      <c r="T16" s="435">
        <v>0</v>
      </c>
      <c r="U16" s="95">
        <v>1</v>
      </c>
      <c r="V16" s="96">
        <f t="shared" si="10"/>
        <v>1.0960265024053955</v>
      </c>
      <c r="W16" s="457" t="str">
        <f t="shared" si="11"/>
        <v>(2,2,2,1,1,3); Wafer input weight per m2 of cell provided by Gazbour, N. (2026)</v>
      </c>
      <c r="X16" s="435">
        <f>$AK$16</f>
        <v>1.0900000000000001</v>
      </c>
      <c r="Y16" s="95">
        <v>1</v>
      </c>
      <c r="Z16" s="96">
        <f t="shared" si="12"/>
        <v>1.0960265024053955</v>
      </c>
      <c r="AA16" s="432" t="str">
        <f t="shared" si="13"/>
        <v>(2,2,2,1,1,3); Wafer input weight per m2 of cell provided by Gazbour, N. (2026)</v>
      </c>
      <c r="AB16" s="435">
        <v>0</v>
      </c>
      <c r="AC16" s="95">
        <v>1</v>
      </c>
      <c r="AD16" s="96">
        <f t="shared" si="14"/>
        <v>1.05</v>
      </c>
      <c r="AE16" s="457" t="str">
        <f t="shared" si="15"/>
        <v xml:space="preserve">(na,na,na,na,na,na); </v>
      </c>
      <c r="AF16" s="435">
        <v>0</v>
      </c>
      <c r="AG16" s="95">
        <v>1</v>
      </c>
      <c r="AH16" s="96">
        <f t="shared" si="23"/>
        <v>1.0960265024053955</v>
      </c>
      <c r="AI16" s="432" t="str">
        <f t="shared" si="16"/>
        <v xml:space="preserve">(na,na,na,na,na,na); </v>
      </c>
      <c r="AJ16" s="112"/>
      <c r="AK16" s="435">
        <v>1.0900000000000001</v>
      </c>
      <c r="AL16" s="216" t="s">
        <v>1043</v>
      </c>
      <c r="AM16" s="339">
        <v>2</v>
      </c>
      <c r="AN16" s="339">
        <v>2</v>
      </c>
      <c r="AO16" s="339">
        <v>2</v>
      </c>
      <c r="AP16" s="339">
        <v>1</v>
      </c>
      <c r="AQ16" s="339">
        <v>1</v>
      </c>
      <c r="AR16" s="339">
        <v>3</v>
      </c>
      <c r="AS16" s="104">
        <v>3</v>
      </c>
      <c r="AT16" s="104">
        <v>1.05</v>
      </c>
      <c r="AU16" s="107">
        <f t="shared" si="17"/>
        <v>1.0807255723670659</v>
      </c>
      <c r="AV16" s="107">
        <f t="shared" si="18"/>
        <v>1.0960265024053955</v>
      </c>
      <c r="AW16" s="107" t="str">
        <f t="shared" si="19"/>
        <v>(2,2,2,1,1,3)</v>
      </c>
      <c r="AX16" s="108">
        <v>1.05</v>
      </c>
      <c r="AY16" s="108">
        <v>1.02</v>
      </c>
      <c r="AZ16" s="108">
        <v>1.03</v>
      </c>
      <c r="BA16" s="108">
        <v>1</v>
      </c>
      <c r="BB16" s="108">
        <v>1</v>
      </c>
      <c r="BC16" s="108">
        <v>1.05</v>
      </c>
      <c r="BE16" s="692"/>
      <c r="BF16" s="339" t="s">
        <v>106</v>
      </c>
      <c r="BG16" s="339" t="s">
        <v>106</v>
      </c>
      <c r="BH16" s="339" t="s">
        <v>106</v>
      </c>
      <c r="BI16" s="339" t="s">
        <v>106</v>
      </c>
      <c r="BJ16" s="339" t="s">
        <v>106</v>
      </c>
      <c r="BK16" s="339" t="s">
        <v>106</v>
      </c>
      <c r="BL16" s="104">
        <v>3</v>
      </c>
      <c r="BM16" s="104">
        <v>1.05</v>
      </c>
      <c r="BN16" s="107">
        <f t="shared" si="20"/>
        <v>1</v>
      </c>
      <c r="BO16" s="107">
        <f t="shared" si="21"/>
        <v>1.05</v>
      </c>
      <c r="BP16" s="107" t="str">
        <f t="shared" si="22"/>
        <v>(na,na,na,na,na,na)</v>
      </c>
      <c r="BQ16" s="108">
        <v>1</v>
      </c>
      <c r="BR16" s="108">
        <v>1</v>
      </c>
      <c r="BS16" s="108">
        <v>1</v>
      </c>
      <c r="BT16" s="108">
        <v>1</v>
      </c>
      <c r="BU16" s="108">
        <v>1</v>
      </c>
      <c r="BV16" s="108">
        <v>1</v>
      </c>
    </row>
    <row r="17" spans="1:74" ht="24">
      <c r="A17" s="330" t="s">
        <v>814</v>
      </c>
      <c r="B17" s="331"/>
      <c r="C17" s="332"/>
      <c r="D17" s="340">
        <v>5</v>
      </c>
      <c r="E17" s="341" t="s">
        <v>98</v>
      </c>
      <c r="F17" s="432" t="s">
        <v>802</v>
      </c>
      <c r="G17" s="433" t="s">
        <v>340</v>
      </c>
      <c r="H17" s="434" t="s">
        <v>98</v>
      </c>
      <c r="I17" s="434" t="s">
        <v>98</v>
      </c>
      <c r="J17" s="94">
        <v>0</v>
      </c>
      <c r="K17" s="433" t="s">
        <v>679</v>
      </c>
      <c r="L17" s="435">
        <v>0</v>
      </c>
      <c r="M17" s="95">
        <v>1</v>
      </c>
      <c r="N17" s="96">
        <f t="shared" si="6"/>
        <v>1.05</v>
      </c>
      <c r="O17" s="432" t="str">
        <f t="shared" si="7"/>
        <v xml:space="preserve">(na,na,na,na,na,na); </v>
      </c>
      <c r="P17" s="435">
        <v>0</v>
      </c>
      <c r="Q17" s="95">
        <v>1</v>
      </c>
      <c r="R17" s="96">
        <f t="shared" si="8"/>
        <v>1.05</v>
      </c>
      <c r="S17" s="457" t="str">
        <f t="shared" si="9"/>
        <v xml:space="preserve">(na,na,na,na,na,na); </v>
      </c>
      <c r="T17" s="435">
        <v>0</v>
      </c>
      <c r="U17" s="95">
        <v>1</v>
      </c>
      <c r="V17" s="96">
        <f t="shared" si="10"/>
        <v>1.05</v>
      </c>
      <c r="W17" s="457" t="str">
        <f t="shared" si="11"/>
        <v xml:space="preserve">(na,na,na,na,na,na); </v>
      </c>
      <c r="X17" s="435">
        <v>0</v>
      </c>
      <c r="Y17" s="95">
        <v>1</v>
      </c>
      <c r="Z17" s="96">
        <f t="shared" si="12"/>
        <v>1.05</v>
      </c>
      <c r="AA17" s="432" t="str">
        <f t="shared" si="13"/>
        <v xml:space="preserve">(na,na,na,na,na,na); </v>
      </c>
      <c r="AB17" s="435">
        <v>1.04</v>
      </c>
      <c r="AC17" s="95">
        <v>1</v>
      </c>
      <c r="AD17" s="96">
        <f t="shared" si="14"/>
        <v>1.2167665867084276</v>
      </c>
      <c r="AE17" s="457" t="str">
        <f t="shared" si="15"/>
        <v>(2,2,1,2,1,5); Brailovsky (2026) GM 05</v>
      </c>
      <c r="AF17" s="435">
        <v>0</v>
      </c>
      <c r="AG17" s="95">
        <v>1</v>
      </c>
      <c r="AH17" s="96">
        <f t="shared" si="23"/>
        <v>1.05</v>
      </c>
      <c r="AI17" s="432" t="str">
        <f t="shared" si="16"/>
        <v>(2,2,1,2,1,5); Brailovsky (2026) GM 05</v>
      </c>
      <c r="AJ17" s="112"/>
      <c r="AK17" s="435"/>
      <c r="AL17" s="216"/>
      <c r="AM17" s="339" t="s">
        <v>106</v>
      </c>
      <c r="AN17" s="339" t="s">
        <v>106</v>
      </c>
      <c r="AO17" s="339" t="s">
        <v>106</v>
      </c>
      <c r="AP17" s="339" t="s">
        <v>106</v>
      </c>
      <c r="AQ17" s="339" t="s">
        <v>106</v>
      </c>
      <c r="AR17" s="339" t="s">
        <v>106</v>
      </c>
      <c r="AS17" s="104">
        <v>3</v>
      </c>
      <c r="AT17" s="104">
        <v>1.05</v>
      </c>
      <c r="AU17" s="107">
        <f t="shared" si="17"/>
        <v>1</v>
      </c>
      <c r="AV17" s="107">
        <f t="shared" si="18"/>
        <v>1.05</v>
      </c>
      <c r="AW17" s="107" t="str">
        <f t="shared" si="19"/>
        <v>(na,na,na,na,na,na)</v>
      </c>
      <c r="AX17" s="108">
        <v>1</v>
      </c>
      <c r="AY17" s="108">
        <v>1</v>
      </c>
      <c r="AZ17" s="108">
        <v>1</v>
      </c>
      <c r="BA17" s="108">
        <v>1</v>
      </c>
      <c r="BB17" s="108">
        <v>1</v>
      </c>
      <c r="BC17" s="108">
        <v>1</v>
      </c>
      <c r="BE17" s="692" t="s">
        <v>1044</v>
      </c>
      <c r="BF17" s="83">
        <v>2</v>
      </c>
      <c r="BG17" s="83">
        <v>2</v>
      </c>
      <c r="BH17" s="83">
        <v>1</v>
      </c>
      <c r="BI17" s="83">
        <v>2</v>
      </c>
      <c r="BJ17" s="83">
        <v>1</v>
      </c>
      <c r="BK17" s="83">
        <v>5</v>
      </c>
      <c r="BL17" s="104">
        <v>3</v>
      </c>
      <c r="BM17" s="104">
        <v>1.05</v>
      </c>
      <c r="BN17" s="107">
        <f t="shared" si="20"/>
        <v>1.2092902742898253</v>
      </c>
      <c r="BO17" s="107">
        <f t="shared" si="21"/>
        <v>1.2167665867084276</v>
      </c>
      <c r="BP17" s="107" t="str">
        <f t="shared" si="22"/>
        <v>(2,2,1,2,1,5)</v>
      </c>
      <c r="BQ17" s="108">
        <v>1.05</v>
      </c>
      <c r="BR17" s="108">
        <v>1.02</v>
      </c>
      <c r="BS17" s="108">
        <v>1</v>
      </c>
      <c r="BT17" s="108">
        <v>1.01</v>
      </c>
      <c r="BU17" s="108">
        <v>1</v>
      </c>
      <c r="BV17" s="108">
        <v>1.2</v>
      </c>
    </row>
    <row r="18" spans="1:74" ht="24">
      <c r="A18" s="330" t="s">
        <v>792</v>
      </c>
      <c r="B18" s="331"/>
      <c r="C18" s="332"/>
      <c r="D18" s="340">
        <v>5</v>
      </c>
      <c r="E18" s="341" t="s">
        <v>98</v>
      </c>
      <c r="F18" s="432" t="s">
        <v>803</v>
      </c>
      <c r="G18" s="433" t="s">
        <v>372</v>
      </c>
      <c r="H18" s="434" t="s">
        <v>98</v>
      </c>
      <c r="I18" s="434" t="s">
        <v>98</v>
      </c>
      <c r="J18" s="94">
        <v>0</v>
      </c>
      <c r="K18" s="433" t="s">
        <v>679</v>
      </c>
      <c r="L18" s="435">
        <v>0</v>
      </c>
      <c r="M18" s="95">
        <v>1</v>
      </c>
      <c r="N18" s="96">
        <f t="shared" si="6"/>
        <v>1.05</v>
      </c>
      <c r="O18" s="432" t="str">
        <f t="shared" si="7"/>
        <v xml:space="preserve">(na,na,na,na,na,na); </v>
      </c>
      <c r="P18" s="435">
        <v>0</v>
      </c>
      <c r="Q18" s="95">
        <v>1</v>
      </c>
      <c r="R18" s="96">
        <f t="shared" si="8"/>
        <v>1.05</v>
      </c>
      <c r="S18" s="457" t="str">
        <f t="shared" si="9"/>
        <v xml:space="preserve">(na,na,na,na,na,na); </v>
      </c>
      <c r="T18" s="435">
        <v>0</v>
      </c>
      <c r="U18" s="95">
        <v>1</v>
      </c>
      <c r="V18" s="96">
        <f t="shared" si="10"/>
        <v>1.05</v>
      </c>
      <c r="W18" s="457" t="str">
        <f t="shared" si="11"/>
        <v xml:space="preserve">(na,na,na,na,na,na); </v>
      </c>
      <c r="X18" s="435">
        <v>0</v>
      </c>
      <c r="Y18" s="95">
        <v>1</v>
      </c>
      <c r="Z18" s="96">
        <f t="shared" si="12"/>
        <v>1.05</v>
      </c>
      <c r="AA18" s="432" t="str">
        <f t="shared" si="13"/>
        <v xml:space="preserve">(na,na,na,na,na,na); </v>
      </c>
      <c r="AB18" s="435">
        <v>0</v>
      </c>
      <c r="AC18" s="95">
        <v>1</v>
      </c>
      <c r="AD18" s="96">
        <f t="shared" si="14"/>
        <v>1.2167665867084276</v>
      </c>
      <c r="AE18" s="457" t="str">
        <f t="shared" si="15"/>
        <v>(2,2,1,2,1,5); Brailovsky (2026) GM 05</v>
      </c>
      <c r="AF18" s="435">
        <v>1.04</v>
      </c>
      <c r="AG18" s="95">
        <v>1</v>
      </c>
      <c r="AH18" s="96">
        <f t="shared" si="23"/>
        <v>1.05</v>
      </c>
      <c r="AI18" s="432" t="str">
        <f t="shared" si="16"/>
        <v>(2,2,1,2,1,5); Brailovsky (2026) GM 05</v>
      </c>
      <c r="AJ18" s="112"/>
      <c r="AK18" s="435"/>
      <c r="AL18" s="216"/>
      <c r="AM18" s="339" t="s">
        <v>106</v>
      </c>
      <c r="AN18" s="339" t="s">
        <v>106</v>
      </c>
      <c r="AO18" s="339" t="s">
        <v>106</v>
      </c>
      <c r="AP18" s="339" t="s">
        <v>106</v>
      </c>
      <c r="AQ18" s="339" t="s">
        <v>106</v>
      </c>
      <c r="AR18" s="339" t="s">
        <v>106</v>
      </c>
      <c r="AS18" s="104">
        <v>3</v>
      </c>
      <c r="AT18" s="104">
        <v>1.05</v>
      </c>
      <c r="AU18" s="107">
        <f t="shared" si="17"/>
        <v>1</v>
      </c>
      <c r="AV18" s="107">
        <f t="shared" si="18"/>
        <v>1.05</v>
      </c>
      <c r="AW18" s="107" t="str">
        <f t="shared" si="19"/>
        <v>(na,na,na,na,na,na)</v>
      </c>
      <c r="AX18" s="108">
        <v>1</v>
      </c>
      <c r="AY18" s="108">
        <v>1</v>
      </c>
      <c r="AZ18" s="108">
        <v>1</v>
      </c>
      <c r="BA18" s="108">
        <v>1</v>
      </c>
      <c r="BB18" s="108">
        <v>1</v>
      </c>
      <c r="BC18" s="108">
        <v>1</v>
      </c>
      <c r="BE18" s="692" t="s">
        <v>1044</v>
      </c>
      <c r="BF18" s="316">
        <v>2</v>
      </c>
      <c r="BG18" s="316">
        <v>2</v>
      </c>
      <c r="BH18" s="316">
        <v>1</v>
      </c>
      <c r="BI18" s="316">
        <v>2</v>
      </c>
      <c r="BJ18" s="316">
        <v>1</v>
      </c>
      <c r="BK18" s="316">
        <v>5</v>
      </c>
      <c r="BL18" s="104">
        <v>3</v>
      </c>
      <c r="BM18" s="104">
        <v>1.05</v>
      </c>
      <c r="BN18" s="107">
        <f t="shared" si="20"/>
        <v>1.2092902742898253</v>
      </c>
      <c r="BO18" s="107">
        <f t="shared" si="21"/>
        <v>1.2167665867084276</v>
      </c>
      <c r="BP18" s="107" t="str">
        <f t="shared" si="22"/>
        <v>(2,2,1,2,1,5)</v>
      </c>
      <c r="BQ18" s="108">
        <v>1.05</v>
      </c>
      <c r="BR18" s="108">
        <v>1.02</v>
      </c>
      <c r="BS18" s="108">
        <v>1</v>
      </c>
      <c r="BT18" s="108">
        <v>1.01</v>
      </c>
      <c r="BU18" s="108">
        <v>1</v>
      </c>
      <c r="BV18" s="108">
        <v>1.2</v>
      </c>
    </row>
    <row r="19" spans="1:74" ht="24">
      <c r="A19" s="330">
        <v>266181</v>
      </c>
      <c r="B19" s="331" t="s">
        <v>582</v>
      </c>
      <c r="C19" s="332"/>
      <c r="D19" s="340">
        <v>5</v>
      </c>
      <c r="E19" s="341" t="s">
        <v>98</v>
      </c>
      <c r="F19" s="432" t="s">
        <v>903</v>
      </c>
      <c r="G19" s="433" t="s">
        <v>93</v>
      </c>
      <c r="H19" s="434" t="s">
        <v>98</v>
      </c>
      <c r="I19" s="434" t="s">
        <v>98</v>
      </c>
      <c r="J19" s="94">
        <v>0</v>
      </c>
      <c r="K19" s="433" t="s">
        <v>96</v>
      </c>
      <c r="L19" s="433">
        <f>X19</f>
        <v>2.5929267867098602E-3</v>
      </c>
      <c r="M19" s="95">
        <v>1</v>
      </c>
      <c r="N19" s="96">
        <f t="shared" si="6"/>
        <v>1.0906744032152329</v>
      </c>
      <c r="O19" s="432" t="str">
        <f t="shared" si="7"/>
        <v>(2,2,1,1,1,3); ITRPV 2024. Fig. 11</v>
      </c>
      <c r="P19" s="433">
        <f>L19</f>
        <v>2.5929267867098602E-3</v>
      </c>
      <c r="Q19" s="95">
        <v>1</v>
      </c>
      <c r="R19" s="96">
        <f t="shared" si="8"/>
        <v>1.0906744032152329</v>
      </c>
      <c r="S19" s="457" t="str">
        <f t="shared" si="9"/>
        <v>(2,2,1,1,1,3); ITRPV 2024. Fig. 11</v>
      </c>
      <c r="T19" s="433">
        <f>L19</f>
        <v>2.5929267867098602E-3</v>
      </c>
      <c r="U19" s="95">
        <v>1</v>
      </c>
      <c r="V19" s="96">
        <f t="shared" si="10"/>
        <v>1.0906744032152329</v>
      </c>
      <c r="W19" s="457" t="str">
        <f t="shared" si="11"/>
        <v>(2,2,1,1,1,3); ITRPV 2024. Fig. 11</v>
      </c>
      <c r="X19" s="433">
        <f>AK19</f>
        <v>2.5929267867098602E-3</v>
      </c>
      <c r="Y19" s="95">
        <v>1</v>
      </c>
      <c r="Z19" s="96">
        <f t="shared" si="12"/>
        <v>1.0906744032152329</v>
      </c>
      <c r="AA19" s="432" t="str">
        <f t="shared" si="13"/>
        <v>(2,2,1,1,1,3); ITRPV 2024. Fig. 11</v>
      </c>
      <c r="AB19" s="435">
        <v>3.0000000000000001E-3</v>
      </c>
      <c r="AC19" s="95">
        <v>1</v>
      </c>
      <c r="AD19" s="96">
        <f t="shared" si="14"/>
        <v>1.2434566510799234</v>
      </c>
      <c r="AE19" s="457" t="str">
        <f t="shared" si="15"/>
        <v>(2,4,1,3,1,5); Brailovsky (2026) GM 05; 90 % Ag, at plant iso market, RER iso RoW</v>
      </c>
      <c r="AF19" s="435">
        <v>3.0000000000000001E-3</v>
      </c>
      <c r="AG19" s="95">
        <v>1</v>
      </c>
      <c r="AH19" s="96">
        <f t="shared" si="23"/>
        <v>1.0906744032152329</v>
      </c>
      <c r="AI19" s="432" t="str">
        <f t="shared" si="16"/>
        <v>(2,4,1,3,1,5); Brailovsky (2026) GM 05; 90 % Ag, at plant iso market, RER iso RoW</v>
      </c>
      <c r="AJ19" s="112"/>
      <c r="AK19" s="435">
        <v>2.5929267867098602E-3</v>
      </c>
      <c r="AL19" s="216" t="s">
        <v>1045</v>
      </c>
      <c r="AM19" s="339">
        <v>2</v>
      </c>
      <c r="AN19" s="339">
        <v>2</v>
      </c>
      <c r="AO19" s="339">
        <v>1</v>
      </c>
      <c r="AP19" s="339">
        <v>1</v>
      </c>
      <c r="AQ19" s="339">
        <v>1</v>
      </c>
      <c r="AR19" s="339">
        <v>3</v>
      </c>
      <c r="AS19" s="104">
        <v>3</v>
      </c>
      <c r="AT19" s="104">
        <v>1.05</v>
      </c>
      <c r="AU19" s="107">
        <f t="shared" si="17"/>
        <v>1.0744244531716256</v>
      </c>
      <c r="AV19" s="107">
        <f t="shared" si="18"/>
        <v>1.0906744032152329</v>
      </c>
      <c r="AW19" s="107" t="str">
        <f t="shared" si="19"/>
        <v>(2,2,1,1,1,3)</v>
      </c>
      <c r="AX19" s="108">
        <v>1.05</v>
      </c>
      <c r="AY19" s="108">
        <v>1.02</v>
      </c>
      <c r="AZ19" s="108">
        <v>1</v>
      </c>
      <c r="BA19" s="108">
        <v>1</v>
      </c>
      <c r="BB19" s="108">
        <v>1</v>
      </c>
      <c r="BC19" s="108">
        <v>1.05</v>
      </c>
      <c r="BE19" s="692" t="s">
        <v>1046</v>
      </c>
      <c r="BF19" s="83">
        <v>2</v>
      </c>
      <c r="BG19" s="83">
        <v>4</v>
      </c>
      <c r="BH19" s="83">
        <v>1</v>
      </c>
      <c r="BI19" s="83">
        <v>3</v>
      </c>
      <c r="BJ19" s="83">
        <v>1</v>
      </c>
      <c r="BK19" s="83">
        <v>5</v>
      </c>
      <c r="BL19" s="104">
        <v>3</v>
      </c>
      <c r="BM19" s="104">
        <v>1.05</v>
      </c>
      <c r="BN19" s="107">
        <f t="shared" si="20"/>
        <v>1.2365959919080913</v>
      </c>
      <c r="BO19" s="107">
        <f t="shared" si="21"/>
        <v>1.2434566510799234</v>
      </c>
      <c r="BP19" s="107" t="str">
        <f t="shared" si="22"/>
        <v>(2,4,1,3,1,5)</v>
      </c>
      <c r="BQ19" s="108">
        <v>1.05</v>
      </c>
      <c r="BR19" s="108">
        <v>1.1000000000000001</v>
      </c>
      <c r="BS19" s="108">
        <v>1</v>
      </c>
      <c r="BT19" s="108">
        <v>1.02</v>
      </c>
      <c r="BU19" s="108">
        <v>1</v>
      </c>
      <c r="BV19" s="108">
        <v>1.2</v>
      </c>
    </row>
    <row r="20" spans="1:74" s="171" customFormat="1" ht="24">
      <c r="A20" s="333">
        <v>266185</v>
      </c>
      <c r="B20" s="216"/>
      <c r="C20" s="334"/>
      <c r="D20" s="342">
        <v>5</v>
      </c>
      <c r="E20" s="343" t="s">
        <v>98</v>
      </c>
      <c r="F20" s="437" t="s">
        <v>904</v>
      </c>
      <c r="G20" s="438" t="s">
        <v>93</v>
      </c>
      <c r="H20" s="439" t="s">
        <v>98</v>
      </c>
      <c r="I20" s="439" t="s">
        <v>98</v>
      </c>
      <c r="J20" s="335">
        <v>0</v>
      </c>
      <c r="K20" s="438" t="s">
        <v>96</v>
      </c>
      <c r="L20" s="440">
        <f>X20</f>
        <v>0</v>
      </c>
      <c r="M20" s="336">
        <v>1</v>
      </c>
      <c r="N20" s="337">
        <f t="shared" si="6"/>
        <v>1.05</v>
      </c>
      <c r="O20" s="437" t="str">
        <f t="shared" si="7"/>
        <v xml:space="preserve">(na,na,na,na,na,na); </v>
      </c>
      <c r="P20" s="440">
        <f>L20</f>
        <v>0</v>
      </c>
      <c r="Q20" s="336">
        <v>1</v>
      </c>
      <c r="R20" s="337">
        <f t="shared" si="8"/>
        <v>1.05</v>
      </c>
      <c r="S20" s="455" t="str">
        <f t="shared" si="9"/>
        <v xml:space="preserve">(na,na,na,na,na,na); </v>
      </c>
      <c r="T20" s="440">
        <f>L20</f>
        <v>0</v>
      </c>
      <c r="U20" s="336">
        <v>1</v>
      </c>
      <c r="V20" s="337">
        <f t="shared" si="10"/>
        <v>1.05</v>
      </c>
      <c r="W20" s="455" t="str">
        <f t="shared" si="11"/>
        <v xml:space="preserve">(na,na,na,na,na,na); </v>
      </c>
      <c r="X20" s="440">
        <v>0</v>
      </c>
      <c r="Y20" s="336">
        <v>1</v>
      </c>
      <c r="Z20" s="337">
        <f t="shared" si="12"/>
        <v>1.05</v>
      </c>
      <c r="AA20" s="437" t="str">
        <f t="shared" si="13"/>
        <v xml:space="preserve">(na,na,na,na,na,na); </v>
      </c>
      <c r="AB20" s="440">
        <v>1.1299999999999999E-3</v>
      </c>
      <c r="AC20" s="336">
        <v>1</v>
      </c>
      <c r="AD20" s="337">
        <f t="shared" si="14"/>
        <v>1.2434566510799234</v>
      </c>
      <c r="AE20" s="455" t="str">
        <f t="shared" si="15"/>
        <v>(2,4,1,3,1,5); Brailovsky (2026) GM 05; 43 % Ag , at plant iso market, RER iso RoW</v>
      </c>
      <c r="AF20" s="440">
        <v>1.1299999999999999E-3</v>
      </c>
      <c r="AG20" s="336">
        <v>1</v>
      </c>
      <c r="AH20" s="337">
        <f t="shared" si="23"/>
        <v>1.05</v>
      </c>
      <c r="AI20" s="437" t="str">
        <f t="shared" si="16"/>
        <v>(2,4,1,3,1,5); Brailovsky (2026) GM 05; 43 % Ag , at plant iso market, RER iso RoW</v>
      </c>
      <c r="AJ20" s="338"/>
      <c r="AK20" s="440"/>
      <c r="AL20" s="216"/>
      <c r="AM20" s="339" t="s">
        <v>106</v>
      </c>
      <c r="AN20" s="339" t="s">
        <v>106</v>
      </c>
      <c r="AO20" s="339" t="s">
        <v>106</v>
      </c>
      <c r="AP20" s="339" t="s">
        <v>106</v>
      </c>
      <c r="AQ20" s="339" t="s">
        <v>106</v>
      </c>
      <c r="AR20" s="339" t="s">
        <v>106</v>
      </c>
      <c r="AS20" s="104">
        <v>3</v>
      </c>
      <c r="AT20" s="104">
        <v>1.05</v>
      </c>
      <c r="AU20" s="107">
        <f t="shared" si="17"/>
        <v>1</v>
      </c>
      <c r="AV20" s="107">
        <f t="shared" si="18"/>
        <v>1.05</v>
      </c>
      <c r="AW20" s="107" t="str">
        <f t="shared" si="19"/>
        <v>(na,na,na,na,na,na)</v>
      </c>
      <c r="AX20" s="108">
        <v>1</v>
      </c>
      <c r="AY20" s="108">
        <v>1</v>
      </c>
      <c r="AZ20" s="108">
        <v>1</v>
      </c>
      <c r="BA20" s="108">
        <v>1</v>
      </c>
      <c r="BB20" s="108">
        <v>1</v>
      </c>
      <c r="BC20" s="108">
        <v>1</v>
      </c>
      <c r="BE20" s="691" t="s">
        <v>1047</v>
      </c>
      <c r="BF20" s="83">
        <v>2</v>
      </c>
      <c r="BG20" s="83">
        <v>4</v>
      </c>
      <c r="BH20" s="83">
        <v>1</v>
      </c>
      <c r="BI20" s="83">
        <v>3</v>
      </c>
      <c r="BJ20" s="83">
        <v>1</v>
      </c>
      <c r="BK20" s="83">
        <v>5</v>
      </c>
      <c r="BL20" s="104">
        <v>3</v>
      </c>
      <c r="BM20" s="104">
        <v>1.05</v>
      </c>
      <c r="BN20" s="107">
        <f t="shared" si="20"/>
        <v>1.2365959919080913</v>
      </c>
      <c r="BO20" s="107">
        <f t="shared" si="21"/>
        <v>1.2434566510799234</v>
      </c>
      <c r="BP20" s="107" t="str">
        <f t="shared" si="22"/>
        <v>(2,4,1,3,1,5)</v>
      </c>
      <c r="BQ20" s="108">
        <v>1.05</v>
      </c>
      <c r="BR20" s="108">
        <v>1.1000000000000001</v>
      </c>
      <c r="BS20" s="108">
        <v>1</v>
      </c>
      <c r="BT20" s="108">
        <v>1.02</v>
      </c>
      <c r="BU20" s="108">
        <v>1</v>
      </c>
      <c r="BV20" s="108">
        <v>1.2</v>
      </c>
    </row>
    <row r="21" spans="1:74" ht="24">
      <c r="A21" s="330">
        <v>266177</v>
      </c>
      <c r="B21" s="331"/>
      <c r="C21" s="332"/>
      <c r="D21" s="340">
        <v>5</v>
      </c>
      <c r="E21" s="341" t="s">
        <v>98</v>
      </c>
      <c r="F21" s="432" t="s">
        <v>905</v>
      </c>
      <c r="G21" s="433" t="s">
        <v>93</v>
      </c>
      <c r="H21" s="434" t="s">
        <v>98</v>
      </c>
      <c r="I21" s="434" t="s">
        <v>98</v>
      </c>
      <c r="J21" s="94">
        <v>0</v>
      </c>
      <c r="K21" s="433" t="s">
        <v>96</v>
      </c>
      <c r="L21" s="435">
        <f>X21</f>
        <v>3.3627019265143498E-2</v>
      </c>
      <c r="M21" s="95">
        <v>1</v>
      </c>
      <c r="N21" s="96">
        <f t="shared" si="6"/>
        <v>1.0906744032152329</v>
      </c>
      <c r="O21" s="432" t="str">
        <f t="shared" si="7"/>
        <v>(2,2,1,1,1,3); ITRPV 2023. Fig. 13</v>
      </c>
      <c r="P21" s="435">
        <f>L21</f>
        <v>3.3627019265143498E-2</v>
      </c>
      <c r="Q21" s="95">
        <v>1</v>
      </c>
      <c r="R21" s="96">
        <f t="shared" si="8"/>
        <v>1.0906744032152329</v>
      </c>
      <c r="S21" s="457" t="str">
        <f t="shared" si="9"/>
        <v>(2,2,1,1,1,3); ITRPV 2023. Fig. 13</v>
      </c>
      <c r="T21" s="435">
        <f>L21</f>
        <v>3.3627019265143498E-2</v>
      </c>
      <c r="U21" s="95">
        <v>1</v>
      </c>
      <c r="V21" s="96">
        <f t="shared" si="10"/>
        <v>1.0906744032152329</v>
      </c>
      <c r="W21" s="457" t="str">
        <f t="shared" si="11"/>
        <v>(2,2,1,1,1,3); ITRPV 2023. Fig. 13</v>
      </c>
      <c r="X21" s="435">
        <f>AK21</f>
        <v>3.3627019265143498E-2</v>
      </c>
      <c r="Y21" s="95">
        <v>1</v>
      </c>
      <c r="Z21" s="96">
        <f t="shared" si="12"/>
        <v>1.0906744032152329</v>
      </c>
      <c r="AA21" s="432" t="str">
        <f t="shared" si="13"/>
        <v>(2,2,1,1,1,3); ITRPV 2023. Fig. 13</v>
      </c>
      <c r="AB21" s="435">
        <v>1.1299999999999999E-2</v>
      </c>
      <c r="AC21" s="95">
        <v>1</v>
      </c>
      <c r="AD21" s="96">
        <f t="shared" si="14"/>
        <v>1.2434566510799234</v>
      </c>
      <c r="AE21" s="457" t="str">
        <f t="shared" si="15"/>
        <v>(2,4,1,3,1,5); Brailovsky (2026) GM 05; 79 % Al, at plant iso market, RER iso RoW</v>
      </c>
      <c r="AF21" s="435">
        <v>1.1299999999999999E-2</v>
      </c>
      <c r="AG21" s="95">
        <v>1</v>
      </c>
      <c r="AH21" s="96">
        <f t="shared" si="23"/>
        <v>1.0906744032152329</v>
      </c>
      <c r="AI21" s="432" t="str">
        <f t="shared" si="16"/>
        <v>(2,4,1,3,1,5); Brailovsky (2026) GM 05; 79 % Al, at plant iso market, RER iso RoW</v>
      </c>
      <c r="AJ21" s="112"/>
      <c r="AK21" s="435">
        <v>3.3627019265143498E-2</v>
      </c>
      <c r="AL21" s="216" t="s">
        <v>1048</v>
      </c>
      <c r="AM21" s="339">
        <v>2</v>
      </c>
      <c r="AN21" s="339">
        <v>2</v>
      </c>
      <c r="AO21" s="339">
        <v>1</v>
      </c>
      <c r="AP21" s="339">
        <v>1</v>
      </c>
      <c r="AQ21" s="339">
        <v>1</v>
      </c>
      <c r="AR21" s="339">
        <v>3</v>
      </c>
      <c r="AS21" s="104">
        <v>3</v>
      </c>
      <c r="AT21" s="104">
        <v>1.05</v>
      </c>
      <c r="AU21" s="107">
        <f t="shared" si="17"/>
        <v>1.0744244531716256</v>
      </c>
      <c r="AV21" s="107">
        <f t="shared" si="18"/>
        <v>1.0906744032152329</v>
      </c>
      <c r="AW21" s="107" t="str">
        <f t="shared" si="19"/>
        <v>(2,2,1,1,1,3)</v>
      </c>
      <c r="AX21" s="108">
        <v>1.05</v>
      </c>
      <c r="AY21" s="108">
        <v>1.02</v>
      </c>
      <c r="AZ21" s="108">
        <v>1</v>
      </c>
      <c r="BA21" s="108">
        <v>1</v>
      </c>
      <c r="BB21" s="108">
        <v>1</v>
      </c>
      <c r="BC21" s="108">
        <v>1.05</v>
      </c>
      <c r="BE21" s="692" t="s">
        <v>1049</v>
      </c>
      <c r="BF21" s="83">
        <v>2</v>
      </c>
      <c r="BG21" s="83">
        <v>4</v>
      </c>
      <c r="BH21" s="83">
        <v>1</v>
      </c>
      <c r="BI21" s="83">
        <v>3</v>
      </c>
      <c r="BJ21" s="83">
        <v>1</v>
      </c>
      <c r="BK21" s="83">
        <v>5</v>
      </c>
      <c r="BL21" s="104">
        <v>3</v>
      </c>
      <c r="BM21" s="104">
        <v>1.05</v>
      </c>
      <c r="BN21" s="107">
        <f t="shared" si="20"/>
        <v>1.2365959919080913</v>
      </c>
      <c r="BO21" s="107">
        <f t="shared" si="21"/>
        <v>1.2434566510799234</v>
      </c>
      <c r="BP21" s="107" t="str">
        <f t="shared" si="22"/>
        <v>(2,4,1,3,1,5)</v>
      </c>
      <c r="BQ21" s="108">
        <v>1.05</v>
      </c>
      <c r="BR21" s="108">
        <v>1.1000000000000001</v>
      </c>
      <c r="BS21" s="108">
        <v>1</v>
      </c>
      <c r="BT21" s="108">
        <v>1.02</v>
      </c>
      <c r="BU21" s="108">
        <v>1</v>
      </c>
      <c r="BV21" s="108">
        <v>1.2</v>
      </c>
    </row>
    <row r="22" spans="1:74" ht="24">
      <c r="A22" s="330">
        <v>264183</v>
      </c>
      <c r="B22" s="331"/>
      <c r="C22" s="332"/>
      <c r="D22" s="340">
        <v>5</v>
      </c>
      <c r="E22" s="341" t="s">
        <v>98</v>
      </c>
      <c r="F22" s="432" t="s">
        <v>387</v>
      </c>
      <c r="G22" s="433" t="s">
        <v>93</v>
      </c>
      <c r="H22" s="434" t="s">
        <v>98</v>
      </c>
      <c r="I22" s="434" t="s">
        <v>98</v>
      </c>
      <c r="J22" s="94">
        <v>0</v>
      </c>
      <c r="K22" s="433" t="s">
        <v>96</v>
      </c>
      <c r="L22" s="435">
        <v>0</v>
      </c>
      <c r="M22" s="95">
        <v>1</v>
      </c>
      <c r="N22" s="96">
        <f t="shared" si="6"/>
        <v>1.05</v>
      </c>
      <c r="O22" s="432" t="str">
        <f t="shared" si="7"/>
        <v xml:space="preserve">(na,na,na,na,na,na); </v>
      </c>
      <c r="P22" s="435">
        <v>0</v>
      </c>
      <c r="Q22" s="95">
        <v>1</v>
      </c>
      <c r="R22" s="96">
        <f t="shared" si="8"/>
        <v>1.05</v>
      </c>
      <c r="S22" s="457" t="str">
        <f t="shared" si="9"/>
        <v xml:space="preserve">(na,na,na,na,na,na); </v>
      </c>
      <c r="T22" s="435">
        <v>0</v>
      </c>
      <c r="U22" s="95">
        <v>1</v>
      </c>
      <c r="V22" s="96">
        <f t="shared" si="10"/>
        <v>1.05</v>
      </c>
      <c r="W22" s="457" t="str">
        <f t="shared" si="11"/>
        <v xml:space="preserve">(na,na,na,na,na,na); </v>
      </c>
      <c r="X22" s="435">
        <v>0</v>
      </c>
      <c r="Y22" s="95">
        <v>1</v>
      </c>
      <c r="Z22" s="96">
        <f t="shared" si="12"/>
        <v>1.05</v>
      </c>
      <c r="AA22" s="432" t="str">
        <f t="shared" si="13"/>
        <v xml:space="preserve">(na,na,na,na,na,na); </v>
      </c>
      <c r="AB22" s="435">
        <v>2.2399999999999998E-3</v>
      </c>
      <c r="AC22" s="95">
        <v>1</v>
      </c>
      <c r="AD22" s="96">
        <f t="shared" si="14"/>
        <v>1.2434566510799234</v>
      </c>
      <c r="AE22" s="457" t="str">
        <f t="shared" si="15"/>
        <v>(2,4,1,3,1,5); Brailovsky (2026) GM 05; iso activated carbon</v>
      </c>
      <c r="AF22" s="435">
        <v>2.2399999999999998E-3</v>
      </c>
      <c r="AG22" s="95">
        <v>1</v>
      </c>
      <c r="AH22" s="96">
        <f t="shared" si="23"/>
        <v>1.05</v>
      </c>
      <c r="AI22" s="432" t="str">
        <f t="shared" si="16"/>
        <v>(2,4,1,3,1,5); Brailovsky (2026) GM 05; iso activated carbon</v>
      </c>
      <c r="AJ22" s="112"/>
      <c r="AK22" s="435"/>
      <c r="AL22" s="216"/>
      <c r="AM22" s="339" t="s">
        <v>106</v>
      </c>
      <c r="AN22" s="339" t="s">
        <v>106</v>
      </c>
      <c r="AO22" s="339" t="s">
        <v>106</v>
      </c>
      <c r="AP22" s="339" t="s">
        <v>106</v>
      </c>
      <c r="AQ22" s="339" t="s">
        <v>106</v>
      </c>
      <c r="AR22" s="339" t="s">
        <v>106</v>
      </c>
      <c r="AS22" s="104">
        <v>3</v>
      </c>
      <c r="AT22" s="104">
        <v>1.05</v>
      </c>
      <c r="AU22" s="107">
        <f t="shared" si="17"/>
        <v>1</v>
      </c>
      <c r="AV22" s="107">
        <f t="shared" si="18"/>
        <v>1.05</v>
      </c>
      <c r="AW22" s="107" t="str">
        <f t="shared" si="19"/>
        <v>(na,na,na,na,na,na)</v>
      </c>
      <c r="AX22" s="108">
        <v>1</v>
      </c>
      <c r="AY22" s="108">
        <v>1</v>
      </c>
      <c r="AZ22" s="108">
        <v>1</v>
      </c>
      <c r="BA22" s="108">
        <v>1</v>
      </c>
      <c r="BB22" s="108">
        <v>1</v>
      </c>
      <c r="BC22" s="108">
        <v>1</v>
      </c>
      <c r="BE22" s="691" t="s">
        <v>1050</v>
      </c>
      <c r="BF22" s="83">
        <v>2</v>
      </c>
      <c r="BG22" s="83">
        <v>4</v>
      </c>
      <c r="BH22" s="83">
        <v>1</v>
      </c>
      <c r="BI22" s="83">
        <v>3</v>
      </c>
      <c r="BJ22" s="83">
        <v>1</v>
      </c>
      <c r="BK22" s="83">
        <v>5</v>
      </c>
      <c r="BL22" s="104">
        <v>3</v>
      </c>
      <c r="BM22" s="104">
        <v>1.05</v>
      </c>
      <c r="BN22" s="107">
        <f t="shared" si="20"/>
        <v>1.2365959919080913</v>
      </c>
      <c r="BO22" s="107">
        <f t="shared" si="21"/>
        <v>1.2434566510799234</v>
      </c>
      <c r="BP22" s="107" t="str">
        <f t="shared" si="22"/>
        <v>(2,4,1,3,1,5)</v>
      </c>
      <c r="BQ22" s="108">
        <v>1.05</v>
      </c>
      <c r="BR22" s="108">
        <v>1.1000000000000001</v>
      </c>
      <c r="BS22" s="108">
        <v>1</v>
      </c>
      <c r="BT22" s="108">
        <v>1.02</v>
      </c>
      <c r="BU22" s="108">
        <v>1</v>
      </c>
      <c r="BV22" s="108">
        <v>1.2</v>
      </c>
    </row>
    <row r="23" spans="1:74">
      <c r="A23" s="330">
        <v>268959</v>
      </c>
      <c r="B23" s="331"/>
      <c r="C23" s="332"/>
      <c r="D23" s="340">
        <v>5</v>
      </c>
      <c r="E23" s="341" t="s">
        <v>98</v>
      </c>
      <c r="F23" s="432" t="s">
        <v>636</v>
      </c>
      <c r="G23" s="433" t="s">
        <v>93</v>
      </c>
      <c r="H23" s="434" t="s">
        <v>98</v>
      </c>
      <c r="I23" s="434" t="s">
        <v>98</v>
      </c>
      <c r="J23" s="94">
        <v>0</v>
      </c>
      <c r="K23" s="433" t="s">
        <v>96</v>
      </c>
      <c r="L23" s="435">
        <v>0</v>
      </c>
      <c r="M23" s="95">
        <v>1</v>
      </c>
      <c r="N23" s="96">
        <f t="shared" si="6"/>
        <v>1.05</v>
      </c>
      <c r="O23" s="432" t="str">
        <f t="shared" si="7"/>
        <v xml:space="preserve">(na,na,na,na,na,na); </v>
      </c>
      <c r="P23" s="435">
        <v>0</v>
      </c>
      <c r="Q23" s="95">
        <v>1</v>
      </c>
      <c r="R23" s="96">
        <f t="shared" si="8"/>
        <v>1.05</v>
      </c>
      <c r="S23" s="457" t="str">
        <f t="shared" si="9"/>
        <v xml:space="preserve">(na,na,na,na,na,na); </v>
      </c>
      <c r="T23" s="435">
        <v>0</v>
      </c>
      <c r="U23" s="95">
        <v>1</v>
      </c>
      <c r="V23" s="96">
        <f t="shared" si="10"/>
        <v>1.05</v>
      </c>
      <c r="W23" s="457" t="str">
        <f t="shared" si="11"/>
        <v xml:space="preserve">(na,na,na,na,na,na); </v>
      </c>
      <c r="X23" s="435">
        <v>0</v>
      </c>
      <c r="Y23" s="95">
        <v>1</v>
      </c>
      <c r="Z23" s="96">
        <f t="shared" si="12"/>
        <v>1.05</v>
      </c>
      <c r="AA23" s="432" t="str">
        <f t="shared" si="13"/>
        <v xml:space="preserve">(na,na,na,na,na,na); </v>
      </c>
      <c r="AB23" s="435">
        <v>3.3099999999999998E-5</v>
      </c>
      <c r="AC23" s="95">
        <v>1</v>
      </c>
      <c r="AD23" s="96">
        <f t="shared" si="14"/>
        <v>1.2434566510799234</v>
      </c>
      <c r="AE23" s="457" t="str">
        <f t="shared" si="15"/>
        <v>(2,4,1,3,1,5); Brailovsky (2026) GM 05; at plant iso market</v>
      </c>
      <c r="AF23" s="435">
        <v>3.3099999999999998E-5</v>
      </c>
      <c r="AG23" s="95">
        <v>1</v>
      </c>
      <c r="AH23" s="96">
        <f t="shared" si="23"/>
        <v>1.05</v>
      </c>
      <c r="AI23" s="432" t="str">
        <f t="shared" si="16"/>
        <v>(2,4,1,3,1,5); Brailovsky (2026) GM 05; at plant iso market</v>
      </c>
      <c r="AJ23" s="112"/>
      <c r="AK23" s="435"/>
      <c r="AL23" s="216"/>
      <c r="AM23" s="339" t="s">
        <v>106</v>
      </c>
      <c r="AN23" s="339" t="s">
        <v>106</v>
      </c>
      <c r="AO23" s="339" t="s">
        <v>106</v>
      </c>
      <c r="AP23" s="339" t="s">
        <v>106</v>
      </c>
      <c r="AQ23" s="339" t="s">
        <v>106</v>
      </c>
      <c r="AR23" s="339" t="s">
        <v>106</v>
      </c>
      <c r="AS23" s="104">
        <v>3</v>
      </c>
      <c r="AT23" s="104">
        <v>1.05</v>
      </c>
      <c r="AU23" s="107">
        <f t="shared" si="17"/>
        <v>1</v>
      </c>
      <c r="AV23" s="107">
        <f t="shared" si="18"/>
        <v>1.05</v>
      </c>
      <c r="AW23" s="107" t="str">
        <f t="shared" si="19"/>
        <v>(na,na,na,na,na,na)</v>
      </c>
      <c r="AX23" s="108">
        <v>1</v>
      </c>
      <c r="AY23" s="108">
        <v>1</v>
      </c>
      <c r="AZ23" s="108">
        <v>1</v>
      </c>
      <c r="BA23" s="108">
        <v>1</v>
      </c>
      <c r="BB23" s="108">
        <v>1</v>
      </c>
      <c r="BC23" s="108">
        <v>1</v>
      </c>
      <c r="BE23" s="692" t="s">
        <v>1051</v>
      </c>
      <c r="BF23" s="83">
        <v>2</v>
      </c>
      <c r="BG23" s="83">
        <v>4</v>
      </c>
      <c r="BH23" s="83">
        <v>1</v>
      </c>
      <c r="BI23" s="83">
        <v>3</v>
      </c>
      <c r="BJ23" s="83">
        <v>1</v>
      </c>
      <c r="BK23" s="83">
        <v>5</v>
      </c>
      <c r="BL23" s="104">
        <v>3</v>
      </c>
      <c r="BM23" s="104">
        <v>1.05</v>
      </c>
      <c r="BN23" s="107">
        <f t="shared" si="20"/>
        <v>1.2365959919080913</v>
      </c>
      <c r="BO23" s="107">
        <f t="shared" si="21"/>
        <v>1.2434566510799234</v>
      </c>
      <c r="BP23" s="107" t="str">
        <f t="shared" si="22"/>
        <v>(2,4,1,3,1,5)</v>
      </c>
      <c r="BQ23" s="108">
        <v>1.05</v>
      </c>
      <c r="BR23" s="108">
        <v>1.1000000000000001</v>
      </c>
      <c r="BS23" s="108">
        <v>1</v>
      </c>
      <c r="BT23" s="108">
        <v>1.02</v>
      </c>
      <c r="BU23" s="108">
        <v>1</v>
      </c>
      <c r="BV23" s="108">
        <v>1.2</v>
      </c>
    </row>
    <row r="24" spans="1:74" ht="24">
      <c r="A24" s="330">
        <v>267239</v>
      </c>
      <c r="B24" s="331"/>
      <c r="C24" s="332"/>
      <c r="D24" s="340">
        <v>5</v>
      </c>
      <c r="E24" s="341" t="s">
        <v>98</v>
      </c>
      <c r="F24" s="432" t="s">
        <v>210</v>
      </c>
      <c r="G24" s="433" t="s">
        <v>215</v>
      </c>
      <c r="H24" s="434" t="s">
        <v>98</v>
      </c>
      <c r="I24" s="434" t="s">
        <v>98</v>
      </c>
      <c r="J24" s="94">
        <v>0</v>
      </c>
      <c r="K24" s="433" t="s">
        <v>96</v>
      </c>
      <c r="L24" s="435">
        <v>0</v>
      </c>
      <c r="M24" s="95">
        <v>1</v>
      </c>
      <c r="N24" s="96">
        <f t="shared" si="6"/>
        <v>1.05</v>
      </c>
      <c r="O24" s="432" t="str">
        <f t="shared" si="7"/>
        <v xml:space="preserve">(na,na,na,na,na,na); </v>
      </c>
      <c r="P24" s="435">
        <v>0</v>
      </c>
      <c r="Q24" s="95">
        <v>1</v>
      </c>
      <c r="R24" s="96">
        <f t="shared" si="8"/>
        <v>1.05</v>
      </c>
      <c r="S24" s="457" t="str">
        <f t="shared" si="9"/>
        <v xml:space="preserve">(na,na,na,na,na,na); </v>
      </c>
      <c r="T24" s="435">
        <v>0</v>
      </c>
      <c r="U24" s="95">
        <v>1</v>
      </c>
      <c r="V24" s="96">
        <f t="shared" si="10"/>
        <v>1.05</v>
      </c>
      <c r="W24" s="457" t="str">
        <f t="shared" si="11"/>
        <v xml:space="preserve">(na,na,na,na,na,na); </v>
      </c>
      <c r="X24" s="435">
        <v>0</v>
      </c>
      <c r="Y24" s="95">
        <v>1</v>
      </c>
      <c r="Z24" s="96">
        <f t="shared" si="12"/>
        <v>1.05</v>
      </c>
      <c r="AA24" s="432" t="str">
        <f t="shared" si="13"/>
        <v xml:space="preserve">(na,na,na,na,na,na); </v>
      </c>
      <c r="AB24" s="435">
        <v>3.1E-4</v>
      </c>
      <c r="AC24" s="95">
        <v>1</v>
      </c>
      <c r="AD24" s="96">
        <f t="shared" si="14"/>
        <v>1.2434566510799234</v>
      </c>
      <c r="AE24" s="457" t="str">
        <f t="shared" si="15"/>
        <v xml:space="preserve">(2,4,1,3,1,5); Brailovsky (2026) GM 05; at plant iso market, US iso GLO </v>
      </c>
      <c r="AF24" s="435">
        <v>3.1E-4</v>
      </c>
      <c r="AG24" s="95">
        <v>1</v>
      </c>
      <c r="AH24" s="96">
        <f t="shared" si="23"/>
        <v>1.05</v>
      </c>
      <c r="AI24" s="432" t="str">
        <f t="shared" si="16"/>
        <v xml:space="preserve">(2,4,1,3,1,5); Brailovsky (2026) GM 05; at plant iso market, US iso GLO </v>
      </c>
      <c r="AJ24" s="112"/>
      <c r="AK24" s="435"/>
      <c r="AL24" s="216"/>
      <c r="AM24" s="339" t="s">
        <v>106</v>
      </c>
      <c r="AN24" s="339" t="s">
        <v>106</v>
      </c>
      <c r="AO24" s="339" t="s">
        <v>106</v>
      </c>
      <c r="AP24" s="339" t="s">
        <v>106</v>
      </c>
      <c r="AQ24" s="339" t="s">
        <v>106</v>
      </c>
      <c r="AR24" s="339" t="s">
        <v>106</v>
      </c>
      <c r="AS24" s="104">
        <v>3</v>
      </c>
      <c r="AT24" s="104">
        <v>1.05</v>
      </c>
      <c r="AU24" s="107">
        <f t="shared" si="17"/>
        <v>1</v>
      </c>
      <c r="AV24" s="107">
        <f t="shared" si="18"/>
        <v>1.05</v>
      </c>
      <c r="AW24" s="107" t="str">
        <f t="shared" si="19"/>
        <v>(na,na,na,na,na,na)</v>
      </c>
      <c r="AX24" s="108">
        <v>1</v>
      </c>
      <c r="AY24" s="108">
        <v>1</v>
      </c>
      <c r="AZ24" s="108">
        <v>1</v>
      </c>
      <c r="BA24" s="108">
        <v>1</v>
      </c>
      <c r="BB24" s="108">
        <v>1</v>
      </c>
      <c r="BC24" s="108">
        <v>1</v>
      </c>
      <c r="BE24" s="692" t="s">
        <v>1052</v>
      </c>
      <c r="BF24" s="83">
        <v>2</v>
      </c>
      <c r="BG24" s="83">
        <v>4</v>
      </c>
      <c r="BH24" s="83">
        <v>1</v>
      </c>
      <c r="BI24" s="83">
        <v>3</v>
      </c>
      <c r="BJ24" s="83">
        <v>1</v>
      </c>
      <c r="BK24" s="83">
        <v>5</v>
      </c>
      <c r="BL24" s="104">
        <v>3</v>
      </c>
      <c r="BM24" s="104">
        <v>1.05</v>
      </c>
      <c r="BN24" s="107">
        <f t="shared" si="20"/>
        <v>1.2365959919080913</v>
      </c>
      <c r="BO24" s="107">
        <f t="shared" si="21"/>
        <v>1.2434566510799234</v>
      </c>
      <c r="BP24" s="107" t="str">
        <f t="shared" si="22"/>
        <v>(2,4,1,3,1,5)</v>
      </c>
      <c r="BQ24" s="108">
        <v>1.05</v>
      </c>
      <c r="BR24" s="108">
        <v>1.1000000000000001</v>
      </c>
      <c r="BS24" s="108">
        <v>1</v>
      </c>
      <c r="BT24" s="108">
        <v>1.02</v>
      </c>
      <c r="BU24" s="108">
        <v>1</v>
      </c>
      <c r="BV24" s="108">
        <v>1.2</v>
      </c>
    </row>
    <row r="25" spans="1:74" s="171" customFormat="1" ht="24">
      <c r="A25" s="333">
        <v>160377</v>
      </c>
      <c r="B25" s="216"/>
      <c r="C25" s="334"/>
      <c r="D25" s="342">
        <v>5</v>
      </c>
      <c r="E25" s="343" t="s">
        <v>98</v>
      </c>
      <c r="F25" s="437" t="s">
        <v>819</v>
      </c>
      <c r="G25" s="438" t="s">
        <v>93</v>
      </c>
      <c r="H25" s="439" t="s">
        <v>98</v>
      </c>
      <c r="I25" s="439" t="s">
        <v>98</v>
      </c>
      <c r="J25" s="335">
        <v>0</v>
      </c>
      <c r="K25" s="438" t="s">
        <v>96</v>
      </c>
      <c r="L25" s="440">
        <v>0</v>
      </c>
      <c r="M25" s="336">
        <v>1</v>
      </c>
      <c r="N25" s="337">
        <f t="shared" si="6"/>
        <v>1.05</v>
      </c>
      <c r="O25" s="437" t="str">
        <f t="shared" si="7"/>
        <v xml:space="preserve">(na,na,na,na,na,na); </v>
      </c>
      <c r="P25" s="440">
        <v>0</v>
      </c>
      <c r="Q25" s="336">
        <v>1</v>
      </c>
      <c r="R25" s="337">
        <f t="shared" si="8"/>
        <v>1.05</v>
      </c>
      <c r="S25" s="455" t="str">
        <f t="shared" si="9"/>
        <v xml:space="preserve">(na,na,na,na,na,na); </v>
      </c>
      <c r="T25" s="440">
        <v>0</v>
      </c>
      <c r="U25" s="336">
        <v>1</v>
      </c>
      <c r="V25" s="337">
        <f t="shared" si="10"/>
        <v>1.05</v>
      </c>
      <c r="W25" s="455" t="str">
        <f t="shared" si="11"/>
        <v xml:space="preserve">(na,na,na,na,na,na); </v>
      </c>
      <c r="X25" s="440">
        <v>0</v>
      </c>
      <c r="Y25" s="336">
        <v>1</v>
      </c>
      <c r="Z25" s="337">
        <f t="shared" si="12"/>
        <v>1.05</v>
      </c>
      <c r="AA25" s="437" t="str">
        <f t="shared" si="13"/>
        <v xml:space="preserve">(na,na,na,na,na,na); </v>
      </c>
      <c r="AB25" s="440">
        <f>0.00000603+0.000012</f>
        <v>1.8030000000000002E-5</v>
      </c>
      <c r="AC25" s="336">
        <v>1</v>
      </c>
      <c r="AD25" s="337">
        <f t="shared" si="14"/>
        <v>1.2434566510799234</v>
      </c>
      <c r="AE25" s="455" t="str">
        <f t="shared" si="15"/>
        <v>(2,4,1,3,1,5); Brailovsky (2026) GM 05; RER iso GLO, at plant iso market</v>
      </c>
      <c r="AF25" s="440">
        <f>0.00000603+0.000012</f>
        <v>1.8030000000000002E-5</v>
      </c>
      <c r="AG25" s="336">
        <v>1</v>
      </c>
      <c r="AH25" s="337">
        <f t="shared" si="23"/>
        <v>1.05</v>
      </c>
      <c r="AI25" s="437" t="str">
        <f t="shared" si="16"/>
        <v>(2,4,1,3,1,5); Brailovsky (2026) GM 05; RER iso GLO, at plant iso market</v>
      </c>
      <c r="AJ25" s="338"/>
      <c r="AK25" s="440"/>
      <c r="AL25" s="216"/>
      <c r="AM25" s="339" t="s">
        <v>106</v>
      </c>
      <c r="AN25" s="339" t="s">
        <v>106</v>
      </c>
      <c r="AO25" s="339" t="s">
        <v>106</v>
      </c>
      <c r="AP25" s="339" t="s">
        <v>106</v>
      </c>
      <c r="AQ25" s="339" t="s">
        <v>106</v>
      </c>
      <c r="AR25" s="339" t="s">
        <v>106</v>
      </c>
      <c r="AS25" s="104">
        <v>3</v>
      </c>
      <c r="AT25" s="104">
        <v>1.05</v>
      </c>
      <c r="AU25" s="107">
        <f t="shared" si="17"/>
        <v>1</v>
      </c>
      <c r="AV25" s="107">
        <f t="shared" si="18"/>
        <v>1.05</v>
      </c>
      <c r="AW25" s="107" t="str">
        <f t="shared" si="19"/>
        <v>(na,na,na,na,na,na)</v>
      </c>
      <c r="AX25" s="108">
        <v>1</v>
      </c>
      <c r="AY25" s="108">
        <v>1</v>
      </c>
      <c r="AZ25" s="108">
        <v>1</v>
      </c>
      <c r="BA25" s="108">
        <v>1</v>
      </c>
      <c r="BB25" s="108">
        <v>1</v>
      </c>
      <c r="BC25" s="108">
        <v>1</v>
      </c>
      <c r="BE25" s="691" t="s">
        <v>1053</v>
      </c>
      <c r="BF25" s="83">
        <v>2</v>
      </c>
      <c r="BG25" s="83">
        <v>4</v>
      </c>
      <c r="BH25" s="83">
        <v>1</v>
      </c>
      <c r="BI25" s="83">
        <v>3</v>
      </c>
      <c r="BJ25" s="83">
        <v>1</v>
      </c>
      <c r="BK25" s="83">
        <v>5</v>
      </c>
      <c r="BL25" s="104">
        <v>3</v>
      </c>
      <c r="BM25" s="104">
        <v>1.05</v>
      </c>
      <c r="BN25" s="107">
        <f t="shared" si="20"/>
        <v>1.2365959919080913</v>
      </c>
      <c r="BO25" s="107">
        <f t="shared" si="21"/>
        <v>1.2434566510799234</v>
      </c>
      <c r="BP25" s="107" t="str">
        <f t="shared" si="22"/>
        <v>(2,4,1,3,1,5)</v>
      </c>
      <c r="BQ25" s="108">
        <v>1.05</v>
      </c>
      <c r="BR25" s="108">
        <v>1.1000000000000001</v>
      </c>
      <c r="BS25" s="108">
        <v>1</v>
      </c>
      <c r="BT25" s="108">
        <v>1.02</v>
      </c>
      <c r="BU25" s="108">
        <v>1</v>
      </c>
      <c r="BV25" s="108">
        <v>1.2</v>
      </c>
    </row>
    <row r="26" spans="1:74" ht="24">
      <c r="A26" s="330">
        <v>265171</v>
      </c>
      <c r="B26" s="331" t="s">
        <v>961</v>
      </c>
      <c r="C26" s="332"/>
      <c r="D26" s="340">
        <v>5</v>
      </c>
      <c r="E26" s="341" t="s">
        <v>98</v>
      </c>
      <c r="F26" s="432" t="s">
        <v>962</v>
      </c>
      <c r="G26" s="433" t="s">
        <v>93</v>
      </c>
      <c r="H26" s="434" t="s">
        <v>98</v>
      </c>
      <c r="I26" s="434" t="s">
        <v>98</v>
      </c>
      <c r="J26" s="94">
        <v>0</v>
      </c>
      <c r="K26" s="433" t="s">
        <v>96</v>
      </c>
      <c r="L26" s="435">
        <v>0</v>
      </c>
      <c r="M26" s="95">
        <v>1</v>
      </c>
      <c r="N26" s="96">
        <f t="shared" si="6"/>
        <v>1.05</v>
      </c>
      <c r="O26" s="432" t="str">
        <f t="shared" si="7"/>
        <v xml:space="preserve">(na,na,na,na,na,na); </v>
      </c>
      <c r="P26" s="435">
        <v>0</v>
      </c>
      <c r="Q26" s="95">
        <v>1</v>
      </c>
      <c r="R26" s="96">
        <f t="shared" si="8"/>
        <v>1.05</v>
      </c>
      <c r="S26" s="457" t="str">
        <f t="shared" si="9"/>
        <v xml:space="preserve">(na,na,na,na,na,na); </v>
      </c>
      <c r="T26" s="435">
        <v>0</v>
      </c>
      <c r="U26" s="95">
        <v>1</v>
      </c>
      <c r="V26" s="96">
        <f t="shared" si="10"/>
        <v>1.05</v>
      </c>
      <c r="W26" s="457" t="str">
        <f t="shared" si="11"/>
        <v xml:space="preserve">(na,na,na,na,na,na); </v>
      </c>
      <c r="X26" s="435">
        <v>0</v>
      </c>
      <c r="Y26" s="95">
        <v>1</v>
      </c>
      <c r="Z26" s="96">
        <f t="shared" si="12"/>
        <v>1.05</v>
      </c>
      <c r="AA26" s="432" t="str">
        <f t="shared" si="13"/>
        <v xml:space="preserve">(na,na,na,na,na,na); </v>
      </c>
      <c r="AB26" s="435">
        <f>AB25</f>
        <v>1.8030000000000002E-5</v>
      </c>
      <c r="AC26" s="95">
        <v>1</v>
      </c>
      <c r="AD26" s="96">
        <f t="shared" si="14"/>
        <v>1.2434566510799234</v>
      </c>
      <c r="AE26" s="457" t="str">
        <f t="shared" si="15"/>
        <v>(2,4,1,3,1,5); Brailovsky (2026) GM 05; Steel product manufacturing iso wire drawing; RER iso GLO</v>
      </c>
      <c r="AF26" s="440">
        <f>AF25</f>
        <v>1.8030000000000002E-5</v>
      </c>
      <c r="AG26" s="95">
        <v>1</v>
      </c>
      <c r="AH26" s="96">
        <f t="shared" si="23"/>
        <v>1.05</v>
      </c>
      <c r="AI26" s="432" t="str">
        <f t="shared" si="16"/>
        <v>(2,4,1,3,1,5); Brailovsky (2026) GM 05; Steel product manufacturing iso wire drawing; RER iso GLO</v>
      </c>
      <c r="AJ26" s="112"/>
      <c r="AK26" s="435"/>
      <c r="AL26" s="216"/>
      <c r="AM26" s="339" t="s">
        <v>106</v>
      </c>
      <c r="AN26" s="339" t="s">
        <v>106</v>
      </c>
      <c r="AO26" s="339" t="s">
        <v>106</v>
      </c>
      <c r="AP26" s="339" t="s">
        <v>106</v>
      </c>
      <c r="AQ26" s="339" t="s">
        <v>106</v>
      </c>
      <c r="AR26" s="339" t="s">
        <v>106</v>
      </c>
      <c r="AS26" s="104">
        <v>3</v>
      </c>
      <c r="AT26" s="104">
        <v>1.05</v>
      </c>
      <c r="AU26" s="107">
        <f t="shared" si="17"/>
        <v>1</v>
      </c>
      <c r="AV26" s="107">
        <f t="shared" si="18"/>
        <v>1.05</v>
      </c>
      <c r="AW26" s="107" t="str">
        <f t="shared" si="19"/>
        <v>(na,na,na,na,na,na)</v>
      </c>
      <c r="AX26" s="108">
        <v>1</v>
      </c>
      <c r="AY26" s="108">
        <v>1</v>
      </c>
      <c r="AZ26" s="108">
        <v>1</v>
      </c>
      <c r="BA26" s="108">
        <v>1</v>
      </c>
      <c r="BB26" s="108">
        <v>1</v>
      </c>
      <c r="BC26" s="108">
        <v>1</v>
      </c>
      <c r="BE26" s="692" t="s">
        <v>1054</v>
      </c>
      <c r="BF26" s="83">
        <v>2</v>
      </c>
      <c r="BG26" s="83">
        <v>4</v>
      </c>
      <c r="BH26" s="83">
        <v>1</v>
      </c>
      <c r="BI26" s="83">
        <v>3</v>
      </c>
      <c r="BJ26" s="83">
        <v>1</v>
      </c>
      <c r="BK26" s="83">
        <v>5</v>
      </c>
      <c r="BL26" s="104">
        <v>3</v>
      </c>
      <c r="BM26" s="104">
        <v>1.05</v>
      </c>
      <c r="BN26" s="107">
        <f t="shared" si="20"/>
        <v>1.2365959919080913</v>
      </c>
      <c r="BO26" s="107">
        <f t="shared" si="21"/>
        <v>1.2434566510799234</v>
      </c>
      <c r="BP26" s="107" t="str">
        <f t="shared" si="22"/>
        <v>(2,4,1,3,1,5)</v>
      </c>
      <c r="BQ26" s="108">
        <v>1.05</v>
      </c>
      <c r="BR26" s="108">
        <v>1.1000000000000001</v>
      </c>
      <c r="BS26" s="108">
        <v>1</v>
      </c>
      <c r="BT26" s="108">
        <v>1.02</v>
      </c>
      <c r="BU26" s="108">
        <v>1</v>
      </c>
      <c r="BV26" s="108">
        <v>1.2</v>
      </c>
    </row>
    <row r="27" spans="1:74" ht="24">
      <c r="A27" s="330">
        <v>157699</v>
      </c>
      <c r="B27" s="216" t="s">
        <v>968</v>
      </c>
      <c r="C27" s="332"/>
      <c r="D27" s="340">
        <v>5</v>
      </c>
      <c r="E27" s="341" t="s">
        <v>98</v>
      </c>
      <c r="F27" s="432" t="s">
        <v>316</v>
      </c>
      <c r="G27" s="433" t="s">
        <v>154</v>
      </c>
      <c r="H27" s="434" t="s">
        <v>98</v>
      </c>
      <c r="I27" s="434" t="s">
        <v>98</v>
      </c>
      <c r="J27" s="94">
        <v>0</v>
      </c>
      <c r="K27" s="433" t="s">
        <v>96</v>
      </c>
      <c r="L27" s="435">
        <v>0</v>
      </c>
      <c r="M27" s="95">
        <v>1</v>
      </c>
      <c r="N27" s="96">
        <f t="shared" si="6"/>
        <v>1.05</v>
      </c>
      <c r="O27" s="432" t="str">
        <f t="shared" si="7"/>
        <v xml:space="preserve">(na,na,na,na,na,na); </v>
      </c>
      <c r="P27" s="435">
        <v>0</v>
      </c>
      <c r="Q27" s="95">
        <v>1</v>
      </c>
      <c r="R27" s="96">
        <f t="shared" si="8"/>
        <v>1.05</v>
      </c>
      <c r="S27" s="457" t="str">
        <f t="shared" si="9"/>
        <v xml:space="preserve">(na,na,na,na,na,na); </v>
      </c>
      <c r="T27" s="435">
        <v>0</v>
      </c>
      <c r="U27" s="95">
        <v>1</v>
      </c>
      <c r="V27" s="96">
        <f t="shared" si="10"/>
        <v>1.05</v>
      </c>
      <c r="W27" s="457" t="str">
        <f t="shared" si="11"/>
        <v xml:space="preserve">(na,na,na,na,na,na); </v>
      </c>
      <c r="X27" s="435">
        <v>0</v>
      </c>
      <c r="Y27" s="95">
        <v>1</v>
      </c>
      <c r="Z27" s="96">
        <f t="shared" si="12"/>
        <v>1.05</v>
      </c>
      <c r="AA27" s="432" t="str">
        <f t="shared" si="13"/>
        <v xml:space="preserve">(na,na,na,na,na,na); </v>
      </c>
      <c r="AB27" s="435">
        <v>2.22E-4</v>
      </c>
      <c r="AC27" s="95">
        <v>1</v>
      </c>
      <c r="AD27" s="96">
        <f t="shared" si="14"/>
        <v>1.2434566510799234</v>
      </c>
      <c r="AE27" s="457" t="str">
        <f t="shared" si="15"/>
        <v>(2,4,1,3,1,5); Brailovsky (2026) GM 05; Proxy for Trimethylaluminium solar grade</v>
      </c>
      <c r="AF27" s="440">
        <v>2.22E-4</v>
      </c>
      <c r="AG27" s="95">
        <v>1</v>
      </c>
      <c r="AH27" s="96">
        <f t="shared" si="23"/>
        <v>1.05</v>
      </c>
      <c r="AI27" s="432" t="str">
        <f t="shared" si="16"/>
        <v>(2,4,1,3,1,5); Brailovsky (2026) GM 05; Proxy for Trimethylaluminium solar grade</v>
      </c>
      <c r="AJ27" s="112"/>
      <c r="AK27" s="435"/>
      <c r="AL27" s="216"/>
      <c r="AM27" s="339" t="s">
        <v>106</v>
      </c>
      <c r="AN27" s="339" t="s">
        <v>106</v>
      </c>
      <c r="AO27" s="339" t="s">
        <v>106</v>
      </c>
      <c r="AP27" s="339" t="s">
        <v>106</v>
      </c>
      <c r="AQ27" s="339" t="s">
        <v>106</v>
      </c>
      <c r="AR27" s="339" t="s">
        <v>106</v>
      </c>
      <c r="AS27" s="104">
        <v>3</v>
      </c>
      <c r="AT27" s="104">
        <v>1.05</v>
      </c>
      <c r="AU27" s="107">
        <f t="shared" si="17"/>
        <v>1</v>
      </c>
      <c r="AV27" s="107">
        <f t="shared" si="18"/>
        <v>1.05</v>
      </c>
      <c r="AW27" s="107" t="str">
        <f t="shared" si="19"/>
        <v>(na,na,na,na,na,na)</v>
      </c>
      <c r="AX27" s="108">
        <v>1</v>
      </c>
      <c r="AY27" s="108">
        <v>1</v>
      </c>
      <c r="AZ27" s="108">
        <v>1</v>
      </c>
      <c r="BA27" s="108">
        <v>1</v>
      </c>
      <c r="BB27" s="108">
        <v>1</v>
      </c>
      <c r="BC27" s="108">
        <v>1</v>
      </c>
      <c r="BE27" s="692" t="s">
        <v>1055</v>
      </c>
      <c r="BF27" s="83">
        <v>2</v>
      </c>
      <c r="BG27" s="83">
        <v>4</v>
      </c>
      <c r="BH27" s="83">
        <v>1</v>
      </c>
      <c r="BI27" s="83">
        <v>3</v>
      </c>
      <c r="BJ27" s="83">
        <v>1</v>
      </c>
      <c r="BK27" s="83">
        <v>5</v>
      </c>
      <c r="BL27" s="104">
        <v>3</v>
      </c>
      <c r="BM27" s="104">
        <v>1.05</v>
      </c>
      <c r="BN27" s="107">
        <f t="shared" si="20"/>
        <v>1.2365959919080913</v>
      </c>
      <c r="BO27" s="107">
        <f t="shared" si="21"/>
        <v>1.2434566510799234</v>
      </c>
      <c r="BP27" s="107" t="str">
        <f t="shared" si="22"/>
        <v>(2,4,1,3,1,5)</v>
      </c>
      <c r="BQ27" s="108">
        <v>1.05</v>
      </c>
      <c r="BR27" s="108">
        <v>1.1000000000000001</v>
      </c>
      <c r="BS27" s="108">
        <v>1</v>
      </c>
      <c r="BT27" s="108">
        <v>1.02</v>
      </c>
      <c r="BU27" s="108">
        <v>1</v>
      </c>
      <c r="BV27" s="108">
        <v>1.2</v>
      </c>
    </row>
    <row r="28" spans="1:74" s="171" customFormat="1" ht="24">
      <c r="A28" s="333">
        <v>269257</v>
      </c>
      <c r="B28" s="216"/>
      <c r="C28" s="334"/>
      <c r="D28" s="342">
        <v>5</v>
      </c>
      <c r="E28" s="343" t="s">
        <v>98</v>
      </c>
      <c r="F28" s="437" t="s">
        <v>463</v>
      </c>
      <c r="G28" s="438" t="s">
        <v>93</v>
      </c>
      <c r="H28" s="439" t="s">
        <v>98</v>
      </c>
      <c r="I28" s="439" t="s">
        <v>98</v>
      </c>
      <c r="J28" s="335">
        <v>0</v>
      </c>
      <c r="K28" s="438" t="s">
        <v>96</v>
      </c>
      <c r="L28" s="440">
        <f>X28</f>
        <v>2.19017094017094E-2</v>
      </c>
      <c r="M28" s="336">
        <v>1</v>
      </c>
      <c r="N28" s="337">
        <f t="shared" si="6"/>
        <v>1.2237593405947058</v>
      </c>
      <c r="O28" s="437" t="str">
        <f t="shared" si="7"/>
        <v>(2,2,4,1,1,3); de Wild-Scholten (2014) Life Cycle Assessment of Photovoltaics Status 2011, Part 1 Data Collection (Table 30,31)</v>
      </c>
      <c r="P28" s="440">
        <f>L28</f>
        <v>2.19017094017094E-2</v>
      </c>
      <c r="Q28" s="336">
        <v>1</v>
      </c>
      <c r="R28" s="337">
        <f t="shared" si="8"/>
        <v>1.2237593405947058</v>
      </c>
      <c r="S28" s="455" t="str">
        <f t="shared" si="9"/>
        <v>(2,2,4,1,1,3); de Wild-Scholten (2014) Life Cycle Assessment of Photovoltaics Status 2011, Part 1 Data Collection (Table 30,31)</v>
      </c>
      <c r="T28" s="440">
        <f>L28</f>
        <v>2.19017094017094E-2</v>
      </c>
      <c r="U28" s="336">
        <v>1</v>
      </c>
      <c r="V28" s="337">
        <f t="shared" si="10"/>
        <v>1.2237593405947058</v>
      </c>
      <c r="W28" s="455" t="str">
        <f t="shared" si="11"/>
        <v>(2,2,4,1,1,3); de Wild-Scholten (2014) Life Cycle Assessment of Photovoltaics Status 2011, Part 1 Data Collection (Table 30,31)</v>
      </c>
      <c r="X28" s="440">
        <f>AK28</f>
        <v>2.19017094017094E-2</v>
      </c>
      <c r="Y28" s="336">
        <v>1</v>
      </c>
      <c r="Z28" s="337">
        <f t="shared" si="12"/>
        <v>1.2237593405947058</v>
      </c>
      <c r="AA28" s="437" t="str">
        <f t="shared" si="13"/>
        <v>(2,2,4,1,1,3); de Wild-Scholten (2014) Life Cycle Assessment of Photovoltaics Status 2011, Part 1 Data Collection (Table 30,31)</v>
      </c>
      <c r="AB28" s="440">
        <v>1.54E-2</v>
      </c>
      <c r="AC28" s="336">
        <v>1</v>
      </c>
      <c r="AD28" s="337">
        <f t="shared" si="14"/>
        <v>1.2434566510799234</v>
      </c>
      <c r="AE28" s="455" t="str">
        <f t="shared" si="15"/>
        <v>(2,4,1,3,1,5); Brailovsky (2026)  GM 05</v>
      </c>
      <c r="AF28" s="440">
        <v>1.54E-2</v>
      </c>
      <c r="AG28" s="336">
        <v>1</v>
      </c>
      <c r="AH28" s="337">
        <f t="shared" si="23"/>
        <v>1.2237593405947058</v>
      </c>
      <c r="AI28" s="437" t="str">
        <f t="shared" si="16"/>
        <v>(2,4,1,3,1,5); Brailovsky (2026)  GM 05</v>
      </c>
      <c r="AJ28" s="338"/>
      <c r="AK28" s="440">
        <v>2.19017094017094E-2</v>
      </c>
      <c r="AL28" s="216" t="s">
        <v>1012</v>
      </c>
      <c r="AM28" s="83">
        <v>2</v>
      </c>
      <c r="AN28" s="83">
        <v>2</v>
      </c>
      <c r="AO28" s="83">
        <v>4</v>
      </c>
      <c r="AP28" s="83">
        <v>1</v>
      </c>
      <c r="AQ28" s="83">
        <v>1</v>
      </c>
      <c r="AR28" s="83">
        <v>3</v>
      </c>
      <c r="AS28" s="104">
        <v>3</v>
      </c>
      <c r="AT28" s="104">
        <v>1.05</v>
      </c>
      <c r="AU28" s="107">
        <f t="shared" si="17"/>
        <v>1.2164594125584303</v>
      </c>
      <c r="AV28" s="107">
        <f t="shared" si="18"/>
        <v>1.2237593405947058</v>
      </c>
      <c r="AW28" s="107" t="str">
        <f t="shared" si="19"/>
        <v>(2,2,4,1,1,3)</v>
      </c>
      <c r="AX28" s="108">
        <v>1.05</v>
      </c>
      <c r="AY28" s="108">
        <v>1.02</v>
      </c>
      <c r="AZ28" s="108">
        <v>1.2</v>
      </c>
      <c r="BA28" s="108">
        <v>1</v>
      </c>
      <c r="BB28" s="108">
        <v>1</v>
      </c>
      <c r="BC28" s="108">
        <v>1.05</v>
      </c>
      <c r="BE28" s="691" t="s">
        <v>1056</v>
      </c>
      <c r="BF28" s="83">
        <v>2</v>
      </c>
      <c r="BG28" s="83">
        <v>4</v>
      </c>
      <c r="BH28" s="83">
        <v>1</v>
      </c>
      <c r="BI28" s="83">
        <v>3</v>
      </c>
      <c r="BJ28" s="83">
        <v>1</v>
      </c>
      <c r="BK28" s="83">
        <v>5</v>
      </c>
      <c r="BL28" s="104">
        <v>3</v>
      </c>
      <c r="BM28" s="104">
        <v>1.05</v>
      </c>
      <c r="BN28" s="107">
        <f t="shared" si="20"/>
        <v>1.2365959919080913</v>
      </c>
      <c r="BO28" s="107">
        <f t="shared" si="21"/>
        <v>1.2434566510799234</v>
      </c>
      <c r="BP28" s="107" t="str">
        <f t="shared" si="22"/>
        <v>(2,4,1,3,1,5)</v>
      </c>
      <c r="BQ28" s="108">
        <v>1.05</v>
      </c>
      <c r="BR28" s="108">
        <v>1.1000000000000001</v>
      </c>
      <c r="BS28" s="108">
        <v>1</v>
      </c>
      <c r="BT28" s="108">
        <v>1.02</v>
      </c>
      <c r="BU28" s="108">
        <v>1</v>
      </c>
      <c r="BV28" s="108">
        <v>1.2</v>
      </c>
    </row>
    <row r="29" spans="1:74" s="171" customFormat="1" ht="24">
      <c r="A29" s="333">
        <v>266179</v>
      </c>
      <c r="B29" s="216"/>
      <c r="C29" s="334"/>
      <c r="D29" s="342">
        <v>5</v>
      </c>
      <c r="E29" s="343" t="s">
        <v>98</v>
      </c>
      <c r="F29" s="437" t="s">
        <v>975</v>
      </c>
      <c r="G29" s="438" t="s">
        <v>93</v>
      </c>
      <c r="H29" s="439" t="s">
        <v>98</v>
      </c>
      <c r="I29" s="439" t="s">
        <v>98</v>
      </c>
      <c r="J29" s="335">
        <v>0</v>
      </c>
      <c r="K29" s="438" t="s">
        <v>96</v>
      </c>
      <c r="L29" s="440">
        <f>X29</f>
        <v>1.3313609467455601E-2</v>
      </c>
      <c r="M29" s="336">
        <v>1</v>
      </c>
      <c r="N29" s="337">
        <f t="shared" si="6"/>
        <v>1.2237593405947058</v>
      </c>
      <c r="O29" s="437" t="str">
        <f t="shared" si="7"/>
        <v>(2,2,4,1,1,3); de Wild-Scholten (2014) Life Cycle Assessment of Photovoltaics Status 2011, Part 1 Data Collection (Table 30,31)</v>
      </c>
      <c r="P29" s="440">
        <f>L29</f>
        <v>1.3313609467455601E-2</v>
      </c>
      <c r="Q29" s="336">
        <v>1</v>
      </c>
      <c r="R29" s="337">
        <f t="shared" si="8"/>
        <v>1.2237593405947058</v>
      </c>
      <c r="S29" s="455" t="str">
        <f t="shared" si="9"/>
        <v>(2,2,4,1,1,3); de Wild-Scholten (2014) Life Cycle Assessment of Photovoltaics Status 2011, Part 1 Data Collection (Table 30,31)</v>
      </c>
      <c r="T29" s="440">
        <f>L29</f>
        <v>1.3313609467455601E-2</v>
      </c>
      <c r="U29" s="336">
        <v>1</v>
      </c>
      <c r="V29" s="337">
        <f t="shared" si="10"/>
        <v>1.2237593405947058</v>
      </c>
      <c r="W29" s="455" t="str">
        <f t="shared" si="11"/>
        <v>(2,2,4,1,1,3); de Wild-Scholten (2014) Life Cycle Assessment of Photovoltaics Status 2011, Part 1 Data Collection (Table 30,31)</v>
      </c>
      <c r="X29" s="440">
        <f>AK29</f>
        <v>1.3313609467455601E-2</v>
      </c>
      <c r="Y29" s="336">
        <v>1</v>
      </c>
      <c r="Z29" s="337">
        <f t="shared" si="12"/>
        <v>1.2237593405947058</v>
      </c>
      <c r="AA29" s="437" t="str">
        <f t="shared" si="13"/>
        <v>(2,2,4,1,1,3); de Wild-Scholten (2014) Life Cycle Assessment of Photovoltaics Status 2011, Part 1 Data Collection (Table 30,31)</v>
      </c>
      <c r="AB29" s="440">
        <v>0</v>
      </c>
      <c r="AC29" s="336">
        <v>1</v>
      </c>
      <c r="AD29" s="337">
        <f t="shared" si="14"/>
        <v>1.05</v>
      </c>
      <c r="AE29" s="455" t="str">
        <f t="shared" si="15"/>
        <v xml:space="preserve">(na,na,na,na,na,na); </v>
      </c>
      <c r="AF29" s="440">
        <v>0</v>
      </c>
      <c r="AG29" s="336">
        <v>1</v>
      </c>
      <c r="AH29" s="337">
        <f t="shared" si="23"/>
        <v>1.2237593405947058</v>
      </c>
      <c r="AI29" s="437" t="str">
        <f t="shared" si="16"/>
        <v xml:space="preserve">(na,na,na,na,na,na); </v>
      </c>
      <c r="AJ29" s="338"/>
      <c r="AK29" s="440">
        <v>1.3313609467455601E-2</v>
      </c>
      <c r="AL29" s="216" t="s">
        <v>1012</v>
      </c>
      <c r="AM29" s="83">
        <v>2</v>
      </c>
      <c r="AN29" s="83">
        <v>2</v>
      </c>
      <c r="AO29" s="83">
        <v>4</v>
      </c>
      <c r="AP29" s="83">
        <v>1</v>
      </c>
      <c r="AQ29" s="83">
        <v>1</v>
      </c>
      <c r="AR29" s="83">
        <v>3</v>
      </c>
      <c r="AS29" s="104">
        <v>3</v>
      </c>
      <c r="AT29" s="104">
        <v>1.05</v>
      </c>
      <c r="AU29" s="107">
        <f t="shared" si="17"/>
        <v>1.2164594125584303</v>
      </c>
      <c r="AV29" s="107">
        <f t="shared" si="18"/>
        <v>1.2237593405947058</v>
      </c>
      <c r="AW29" s="107" t="str">
        <f t="shared" si="19"/>
        <v>(2,2,4,1,1,3)</v>
      </c>
      <c r="AX29" s="108">
        <v>1.05</v>
      </c>
      <c r="AY29" s="108">
        <v>1.02</v>
      </c>
      <c r="AZ29" s="108">
        <v>1.2</v>
      </c>
      <c r="BA29" s="108">
        <v>1</v>
      </c>
      <c r="BB29" s="108">
        <v>1</v>
      </c>
      <c r="BC29" s="108">
        <v>1.05</v>
      </c>
      <c r="BE29" s="691"/>
      <c r="BF29" s="339" t="s">
        <v>106</v>
      </c>
      <c r="BG29" s="339" t="s">
        <v>106</v>
      </c>
      <c r="BH29" s="339" t="s">
        <v>106</v>
      </c>
      <c r="BI29" s="339" t="s">
        <v>106</v>
      </c>
      <c r="BJ29" s="339" t="s">
        <v>106</v>
      </c>
      <c r="BK29" s="339" t="s">
        <v>106</v>
      </c>
      <c r="BL29" s="104">
        <v>3</v>
      </c>
      <c r="BM29" s="104">
        <v>1.05</v>
      </c>
      <c r="BN29" s="107">
        <f t="shared" si="20"/>
        <v>1</v>
      </c>
      <c r="BO29" s="107">
        <f t="shared" si="21"/>
        <v>1.05</v>
      </c>
      <c r="BP29" s="107" t="str">
        <f t="shared" si="22"/>
        <v>(na,na,na,na,na,na)</v>
      </c>
      <c r="BQ29" s="108">
        <v>1</v>
      </c>
      <c r="BR29" s="108">
        <v>1</v>
      </c>
      <c r="BS29" s="108">
        <v>1</v>
      </c>
      <c r="BT29" s="108">
        <v>1</v>
      </c>
      <c r="BU29" s="108">
        <v>1</v>
      </c>
      <c r="BV29" s="108">
        <v>1</v>
      </c>
    </row>
    <row r="30" spans="1:74">
      <c r="A30" s="330">
        <v>268239</v>
      </c>
      <c r="B30" s="331"/>
      <c r="C30" s="332"/>
      <c r="D30" s="340">
        <v>5</v>
      </c>
      <c r="E30" s="341" t="s">
        <v>98</v>
      </c>
      <c r="F30" s="432" t="s">
        <v>976</v>
      </c>
      <c r="G30" s="433" t="s">
        <v>93</v>
      </c>
      <c r="H30" s="434" t="s">
        <v>98</v>
      </c>
      <c r="I30" s="434" t="s">
        <v>98</v>
      </c>
      <c r="J30" s="94">
        <v>0</v>
      </c>
      <c r="K30" s="433" t="s">
        <v>96</v>
      </c>
      <c r="L30" s="435">
        <v>0</v>
      </c>
      <c r="M30" s="95">
        <v>1</v>
      </c>
      <c r="N30" s="96">
        <f t="shared" si="6"/>
        <v>1.05</v>
      </c>
      <c r="O30" s="432" t="str">
        <f t="shared" si="7"/>
        <v xml:space="preserve">(na,na,na,na,na,na); </v>
      </c>
      <c r="P30" s="435">
        <v>0</v>
      </c>
      <c r="Q30" s="95">
        <v>1</v>
      </c>
      <c r="R30" s="96">
        <f t="shared" si="8"/>
        <v>1.05</v>
      </c>
      <c r="S30" s="457" t="str">
        <f t="shared" si="9"/>
        <v xml:space="preserve">(na,na,na,na,na,na); </v>
      </c>
      <c r="T30" s="435">
        <v>0</v>
      </c>
      <c r="U30" s="95">
        <v>1</v>
      </c>
      <c r="V30" s="96">
        <f t="shared" si="10"/>
        <v>1.05</v>
      </c>
      <c r="W30" s="457" t="str">
        <f t="shared" si="11"/>
        <v xml:space="preserve">(na,na,na,na,na,na); </v>
      </c>
      <c r="X30" s="435">
        <v>0</v>
      </c>
      <c r="Y30" s="95">
        <v>1</v>
      </c>
      <c r="Z30" s="96">
        <f t="shared" si="12"/>
        <v>1.05</v>
      </c>
      <c r="AA30" s="437" t="str">
        <f t="shared" si="13"/>
        <v xml:space="preserve">(na,na,na,na,na,na); </v>
      </c>
      <c r="AB30" s="435">
        <v>2.0799999999999999E-4</v>
      </c>
      <c r="AC30" s="95">
        <v>1</v>
      </c>
      <c r="AD30" s="96">
        <f t="shared" si="14"/>
        <v>1.2434566510799234</v>
      </c>
      <c r="AE30" s="457" t="str">
        <f t="shared" si="15"/>
        <v>(2,4,1,3,1,5); Brailovsky (2026) GM 05</v>
      </c>
      <c r="AF30" s="440">
        <v>2.0799999999999999E-4</v>
      </c>
      <c r="AG30" s="95">
        <v>1</v>
      </c>
      <c r="AH30" s="96">
        <f t="shared" si="23"/>
        <v>1.05</v>
      </c>
      <c r="AI30" s="432" t="str">
        <f t="shared" si="16"/>
        <v>(2,4,1,3,1,5); Brailovsky (2026) GM 05</v>
      </c>
      <c r="AJ30" s="112"/>
      <c r="AK30" s="435"/>
      <c r="AL30" s="216"/>
      <c r="AM30" s="339" t="s">
        <v>106</v>
      </c>
      <c r="AN30" s="339" t="s">
        <v>106</v>
      </c>
      <c r="AO30" s="339" t="s">
        <v>106</v>
      </c>
      <c r="AP30" s="339" t="s">
        <v>106</v>
      </c>
      <c r="AQ30" s="339" t="s">
        <v>106</v>
      </c>
      <c r="AR30" s="339" t="s">
        <v>106</v>
      </c>
      <c r="AS30" s="104">
        <v>3</v>
      </c>
      <c r="AT30" s="104">
        <v>1.05</v>
      </c>
      <c r="AU30" s="107">
        <f t="shared" si="17"/>
        <v>1</v>
      </c>
      <c r="AV30" s="107">
        <f t="shared" si="18"/>
        <v>1.05</v>
      </c>
      <c r="AW30" s="107" t="str">
        <f t="shared" si="19"/>
        <v>(na,na,na,na,na,na)</v>
      </c>
      <c r="AX30" s="108">
        <v>1</v>
      </c>
      <c r="AY30" s="108">
        <v>1</v>
      </c>
      <c r="AZ30" s="108">
        <v>1</v>
      </c>
      <c r="BA30" s="108">
        <v>1</v>
      </c>
      <c r="BB30" s="108">
        <v>1</v>
      </c>
      <c r="BC30" s="108">
        <v>1</v>
      </c>
      <c r="BE30" s="692" t="s">
        <v>1044</v>
      </c>
      <c r="BF30" s="83">
        <v>2</v>
      </c>
      <c r="BG30" s="83">
        <v>4</v>
      </c>
      <c r="BH30" s="83">
        <v>1</v>
      </c>
      <c r="BI30" s="83">
        <v>3</v>
      </c>
      <c r="BJ30" s="83">
        <v>1</v>
      </c>
      <c r="BK30" s="83">
        <v>5</v>
      </c>
      <c r="BL30" s="104">
        <v>3</v>
      </c>
      <c r="BM30" s="104">
        <v>1.05</v>
      </c>
      <c r="BN30" s="107">
        <f t="shared" si="20"/>
        <v>1.2365959919080913</v>
      </c>
      <c r="BO30" s="107">
        <f t="shared" si="21"/>
        <v>1.2434566510799234</v>
      </c>
      <c r="BP30" s="107" t="str">
        <f t="shared" si="22"/>
        <v>(2,4,1,3,1,5)</v>
      </c>
      <c r="BQ30" s="108">
        <v>1.05</v>
      </c>
      <c r="BR30" s="108">
        <v>1.1000000000000001</v>
      </c>
      <c r="BS30" s="108">
        <v>1</v>
      </c>
      <c r="BT30" s="108">
        <v>1.02</v>
      </c>
      <c r="BU30" s="108">
        <v>1</v>
      </c>
      <c r="BV30" s="108">
        <v>1.2</v>
      </c>
    </row>
    <row r="31" spans="1:74" s="171" customFormat="1" ht="24">
      <c r="A31" s="333">
        <v>269227</v>
      </c>
      <c r="B31" s="216"/>
      <c r="C31" s="334"/>
      <c r="D31" s="342">
        <v>5</v>
      </c>
      <c r="E31" s="343" t="s">
        <v>98</v>
      </c>
      <c r="F31" s="437" t="s">
        <v>1057</v>
      </c>
      <c r="G31" s="438" t="s">
        <v>93</v>
      </c>
      <c r="H31" s="439" t="s">
        <v>98</v>
      </c>
      <c r="I31" s="439" t="s">
        <v>98</v>
      </c>
      <c r="J31" s="335">
        <v>0</v>
      </c>
      <c r="K31" s="438" t="s">
        <v>96</v>
      </c>
      <c r="L31" s="440">
        <f t="shared" ref="L31:L45" si="24">X31</f>
        <v>0.17710387902695601</v>
      </c>
      <c r="M31" s="336">
        <v>1</v>
      </c>
      <c r="N31" s="337">
        <f t="shared" si="6"/>
        <v>1.2237593405947058</v>
      </c>
      <c r="O31" s="437" t="str">
        <f t="shared" si="7"/>
        <v>(2,2,4,1,1,3); de Wild-Scholten (2014) Life Cycle Assessment of Photovoltaics Status 2011, Part 1 Data Collection (Table 30,31)</v>
      </c>
      <c r="P31" s="440">
        <f t="shared" ref="P31:P45" si="25">L31</f>
        <v>0.17710387902695601</v>
      </c>
      <c r="Q31" s="336">
        <v>1</v>
      </c>
      <c r="R31" s="337">
        <f t="shared" si="8"/>
        <v>1.2237593405947058</v>
      </c>
      <c r="S31" s="455" t="str">
        <f t="shared" si="9"/>
        <v>(2,2,4,1,1,3); de Wild-Scholten (2014) Life Cycle Assessment of Photovoltaics Status 2011, Part 1 Data Collection (Table 30,31)</v>
      </c>
      <c r="T31" s="440">
        <f t="shared" ref="T31:T45" si="26">L31</f>
        <v>0.17710387902695601</v>
      </c>
      <c r="U31" s="336">
        <v>1</v>
      </c>
      <c r="V31" s="337">
        <f t="shared" si="10"/>
        <v>1.2237593405947058</v>
      </c>
      <c r="W31" s="455" t="str">
        <f t="shared" si="11"/>
        <v>(2,2,4,1,1,3); de Wild-Scholten (2014) Life Cycle Assessment of Photovoltaics Status 2011, Part 1 Data Collection (Table 30,31)</v>
      </c>
      <c r="X31" s="440">
        <f t="shared" ref="X31:X45" si="27">AK31</f>
        <v>0.17710387902695601</v>
      </c>
      <c r="Y31" s="336">
        <v>1</v>
      </c>
      <c r="Z31" s="337">
        <f t="shared" si="12"/>
        <v>1.2237593405947058</v>
      </c>
      <c r="AA31" s="437" t="str">
        <f t="shared" si="13"/>
        <v>(2,2,4,1,1,3); de Wild-Scholten (2014) Life Cycle Assessment of Photovoltaics Status 2011, Part 1 Data Collection (Table 30,31)</v>
      </c>
      <c r="AB31" s="440">
        <v>0</v>
      </c>
      <c r="AC31" s="336">
        <v>1</v>
      </c>
      <c r="AD31" s="337">
        <f t="shared" si="14"/>
        <v>1.05</v>
      </c>
      <c r="AE31" s="455" t="str">
        <f t="shared" si="15"/>
        <v xml:space="preserve">(na,na,na,na,na,na); </v>
      </c>
      <c r="AF31" s="440">
        <v>0</v>
      </c>
      <c r="AG31" s="336">
        <v>1</v>
      </c>
      <c r="AH31" s="337">
        <f t="shared" si="23"/>
        <v>1.2237593405947058</v>
      </c>
      <c r="AI31" s="437" t="str">
        <f t="shared" si="16"/>
        <v xml:space="preserve">(na,na,na,na,na,na); </v>
      </c>
      <c r="AJ31" s="338"/>
      <c r="AK31" s="440">
        <v>0.17710387902695601</v>
      </c>
      <c r="AL31" s="216" t="s">
        <v>1012</v>
      </c>
      <c r="AM31" s="83">
        <v>2</v>
      </c>
      <c r="AN31" s="83">
        <v>2</v>
      </c>
      <c r="AO31" s="83">
        <v>4</v>
      </c>
      <c r="AP31" s="83">
        <v>1</v>
      </c>
      <c r="AQ31" s="83">
        <v>1</v>
      </c>
      <c r="AR31" s="83">
        <v>3</v>
      </c>
      <c r="AS31" s="104">
        <v>3</v>
      </c>
      <c r="AT31" s="104">
        <v>1.05</v>
      </c>
      <c r="AU31" s="107">
        <f t="shared" si="17"/>
        <v>1.2164594125584303</v>
      </c>
      <c r="AV31" s="107">
        <f t="shared" si="18"/>
        <v>1.2237593405947058</v>
      </c>
      <c r="AW31" s="107" t="str">
        <f t="shared" si="19"/>
        <v>(2,2,4,1,1,3)</v>
      </c>
      <c r="AX31" s="108">
        <v>1.05</v>
      </c>
      <c r="AY31" s="108">
        <v>1.02</v>
      </c>
      <c r="AZ31" s="108">
        <v>1.2</v>
      </c>
      <c r="BA31" s="108">
        <v>1</v>
      </c>
      <c r="BB31" s="108">
        <v>1</v>
      </c>
      <c r="BC31" s="108">
        <v>1.05</v>
      </c>
      <c r="BE31" s="691"/>
      <c r="BF31" s="339" t="s">
        <v>106</v>
      </c>
      <c r="BG31" s="339" t="s">
        <v>106</v>
      </c>
      <c r="BH31" s="339" t="s">
        <v>106</v>
      </c>
      <c r="BI31" s="339" t="s">
        <v>106</v>
      </c>
      <c r="BJ31" s="339" t="s">
        <v>106</v>
      </c>
      <c r="BK31" s="339" t="s">
        <v>106</v>
      </c>
      <c r="BL31" s="104">
        <v>3</v>
      </c>
      <c r="BM31" s="104">
        <v>1.05</v>
      </c>
      <c r="BN31" s="107">
        <f t="shared" si="20"/>
        <v>1</v>
      </c>
      <c r="BO31" s="107">
        <f t="shared" si="21"/>
        <v>1.05</v>
      </c>
      <c r="BP31" s="107" t="str">
        <f t="shared" si="22"/>
        <v>(na,na,na,na,na,na)</v>
      </c>
      <c r="BQ31" s="108">
        <v>1</v>
      </c>
      <c r="BR31" s="108">
        <v>1</v>
      </c>
      <c r="BS31" s="108">
        <v>1</v>
      </c>
      <c r="BT31" s="108">
        <v>1</v>
      </c>
      <c r="BU31" s="108">
        <v>1</v>
      </c>
      <c r="BV31" s="108">
        <v>1</v>
      </c>
    </row>
    <row r="32" spans="1:74">
      <c r="A32" s="330">
        <v>266175</v>
      </c>
      <c r="B32" s="331"/>
      <c r="C32" s="332"/>
      <c r="D32" s="340">
        <v>5</v>
      </c>
      <c r="E32" s="341" t="s">
        <v>98</v>
      </c>
      <c r="F32" s="432" t="s">
        <v>1058</v>
      </c>
      <c r="G32" s="433" t="s">
        <v>154</v>
      </c>
      <c r="H32" s="434" t="s">
        <v>98</v>
      </c>
      <c r="I32" s="434" t="s">
        <v>98</v>
      </c>
      <c r="J32" s="94">
        <v>0</v>
      </c>
      <c r="K32" s="433" t="s">
        <v>96</v>
      </c>
      <c r="L32" s="435">
        <f t="shared" si="24"/>
        <v>0</v>
      </c>
      <c r="M32" s="95">
        <v>1</v>
      </c>
      <c r="N32" s="96">
        <f t="shared" si="6"/>
        <v>1.05</v>
      </c>
      <c r="O32" s="432" t="str">
        <f t="shared" si="7"/>
        <v xml:space="preserve">(na,na,na,na,na,na); </v>
      </c>
      <c r="P32" s="435">
        <f t="shared" si="25"/>
        <v>0</v>
      </c>
      <c r="Q32" s="95">
        <v>1</v>
      </c>
      <c r="R32" s="96">
        <f t="shared" si="8"/>
        <v>1.05</v>
      </c>
      <c r="S32" s="457" t="str">
        <f t="shared" si="9"/>
        <v xml:space="preserve">(na,na,na,na,na,na); </v>
      </c>
      <c r="T32" s="435">
        <f t="shared" si="26"/>
        <v>0</v>
      </c>
      <c r="U32" s="95">
        <v>1</v>
      </c>
      <c r="V32" s="96">
        <f t="shared" si="10"/>
        <v>1.05</v>
      </c>
      <c r="W32" s="457" t="str">
        <f t="shared" si="11"/>
        <v xml:space="preserve">(na,na,na,na,na,na); </v>
      </c>
      <c r="X32" s="435">
        <f t="shared" si="27"/>
        <v>0</v>
      </c>
      <c r="Y32" s="95">
        <v>1</v>
      </c>
      <c r="Z32" s="96">
        <f t="shared" si="12"/>
        <v>1.05</v>
      </c>
      <c r="AA32" s="437" t="str">
        <f t="shared" si="13"/>
        <v xml:space="preserve">(na,na,na,na,na,na); </v>
      </c>
      <c r="AB32" s="435">
        <v>1.4200000000000001E-2</v>
      </c>
      <c r="AC32" s="95">
        <v>1</v>
      </c>
      <c r="AD32" s="96">
        <f t="shared" si="14"/>
        <v>1.2434566510799234</v>
      </c>
      <c r="AE32" s="457" t="str">
        <f t="shared" si="15"/>
        <v>(2,4,1,3,1,5); Brailovsky (2026) GM 05; at plant iso market</v>
      </c>
      <c r="AF32" s="440">
        <v>1.4200000000000001E-2</v>
      </c>
      <c r="AG32" s="95">
        <v>1</v>
      </c>
      <c r="AH32" s="96">
        <f t="shared" si="23"/>
        <v>1.05</v>
      </c>
      <c r="AI32" s="432" t="str">
        <f t="shared" si="16"/>
        <v>(2,4,1,3,1,5); Brailovsky (2026) GM 05; at plant iso market</v>
      </c>
      <c r="AJ32" s="112"/>
      <c r="AK32" s="435"/>
      <c r="AL32" s="216"/>
      <c r="AM32" s="339" t="s">
        <v>106</v>
      </c>
      <c r="AN32" s="339" t="s">
        <v>106</v>
      </c>
      <c r="AO32" s="339" t="s">
        <v>106</v>
      </c>
      <c r="AP32" s="339" t="s">
        <v>106</v>
      </c>
      <c r="AQ32" s="339" t="s">
        <v>106</v>
      </c>
      <c r="AR32" s="339" t="s">
        <v>106</v>
      </c>
      <c r="AS32" s="104">
        <v>3</v>
      </c>
      <c r="AT32" s="104">
        <v>1.05</v>
      </c>
      <c r="AU32" s="107">
        <f t="shared" si="17"/>
        <v>1</v>
      </c>
      <c r="AV32" s="107">
        <f t="shared" si="18"/>
        <v>1.05</v>
      </c>
      <c r="AW32" s="107" t="str">
        <f t="shared" si="19"/>
        <v>(na,na,na,na,na,na)</v>
      </c>
      <c r="AX32" s="108">
        <v>1</v>
      </c>
      <c r="AY32" s="108">
        <v>1</v>
      </c>
      <c r="AZ32" s="108">
        <v>1</v>
      </c>
      <c r="BA32" s="108">
        <v>1</v>
      </c>
      <c r="BB32" s="108">
        <v>1</v>
      </c>
      <c r="BC32" s="108">
        <v>1</v>
      </c>
      <c r="BE32" s="692" t="s">
        <v>1051</v>
      </c>
      <c r="BF32" s="83">
        <v>2</v>
      </c>
      <c r="BG32" s="83">
        <v>4</v>
      </c>
      <c r="BH32" s="83">
        <v>1</v>
      </c>
      <c r="BI32" s="83">
        <v>3</v>
      </c>
      <c r="BJ32" s="83">
        <v>1</v>
      </c>
      <c r="BK32" s="83">
        <v>5</v>
      </c>
      <c r="BL32" s="104">
        <v>3</v>
      </c>
      <c r="BM32" s="104">
        <v>1.05</v>
      </c>
      <c r="BN32" s="107">
        <f t="shared" si="20"/>
        <v>1.2365959919080913</v>
      </c>
      <c r="BO32" s="107">
        <f t="shared" si="21"/>
        <v>1.2434566510799234</v>
      </c>
      <c r="BP32" s="107" t="str">
        <f t="shared" si="22"/>
        <v>(2,4,1,3,1,5)</v>
      </c>
      <c r="BQ32" s="108">
        <v>1.05</v>
      </c>
      <c r="BR32" s="108">
        <v>1.1000000000000001</v>
      </c>
      <c r="BS32" s="108">
        <v>1</v>
      </c>
      <c r="BT32" s="108">
        <v>1.02</v>
      </c>
      <c r="BU32" s="108">
        <v>1</v>
      </c>
      <c r="BV32" s="108">
        <v>1.2</v>
      </c>
    </row>
    <row r="33" spans="1:74" s="171" customFormat="1" ht="24">
      <c r="A33" s="333">
        <v>269509</v>
      </c>
      <c r="B33" s="216"/>
      <c r="C33" s="334"/>
      <c r="D33" s="342">
        <v>5</v>
      </c>
      <c r="E33" s="343" t="s">
        <v>98</v>
      </c>
      <c r="F33" s="437" t="s">
        <v>461</v>
      </c>
      <c r="G33" s="438" t="s">
        <v>93</v>
      </c>
      <c r="H33" s="439" t="s">
        <v>98</v>
      </c>
      <c r="I33" s="439" t="s">
        <v>98</v>
      </c>
      <c r="J33" s="335">
        <v>0</v>
      </c>
      <c r="K33" s="438" t="s">
        <v>96</v>
      </c>
      <c r="L33" s="440">
        <f t="shared" si="24"/>
        <v>6.2869822485207101E-4</v>
      </c>
      <c r="M33" s="336">
        <v>1</v>
      </c>
      <c r="N33" s="337">
        <f t="shared" si="6"/>
        <v>1.2237593405947058</v>
      </c>
      <c r="O33" s="437" t="str">
        <f t="shared" si="7"/>
        <v>(2,2,4,1,1,3); de Wild-Scholten (2014) Life Cycle Assessment of Photovoltaics Status 2011, Part 1 Data Collection (Table 30,31)</v>
      </c>
      <c r="P33" s="440">
        <f t="shared" si="25"/>
        <v>6.2869822485207101E-4</v>
      </c>
      <c r="Q33" s="336">
        <v>1</v>
      </c>
      <c r="R33" s="337">
        <f t="shared" si="8"/>
        <v>1.2237593405947058</v>
      </c>
      <c r="S33" s="455" t="str">
        <f t="shared" si="9"/>
        <v>(2,2,4,1,1,3); de Wild-Scholten (2014) Life Cycle Assessment of Photovoltaics Status 2011, Part 1 Data Collection (Table 30,31)</v>
      </c>
      <c r="T33" s="440">
        <f t="shared" si="26"/>
        <v>6.2869822485207101E-4</v>
      </c>
      <c r="U33" s="336">
        <v>1</v>
      </c>
      <c r="V33" s="337">
        <f t="shared" si="10"/>
        <v>1.2237593405947058</v>
      </c>
      <c r="W33" s="455" t="str">
        <f t="shared" si="11"/>
        <v>(2,2,4,1,1,3); de Wild-Scholten (2014) Life Cycle Assessment of Photovoltaics Status 2011, Part 1 Data Collection (Table 30,31)</v>
      </c>
      <c r="X33" s="440">
        <f t="shared" si="27"/>
        <v>6.2869822485207101E-4</v>
      </c>
      <c r="Y33" s="336">
        <v>1</v>
      </c>
      <c r="Z33" s="337">
        <f t="shared" si="12"/>
        <v>1.2237593405947058</v>
      </c>
      <c r="AA33" s="437" t="str">
        <f t="shared" si="13"/>
        <v>(2,2,4,1,1,3); de Wild-Scholten (2014) Life Cycle Assessment of Photovoltaics Status 2011, Part 1 Data Collection (Table 30,31)</v>
      </c>
      <c r="AB33" s="440">
        <v>1.7000000000000001E-2</v>
      </c>
      <c r="AC33" s="336">
        <v>1</v>
      </c>
      <c r="AD33" s="337">
        <f t="shared" si="14"/>
        <v>1.2434566510799234</v>
      </c>
      <c r="AE33" s="455" t="str">
        <f t="shared" si="15"/>
        <v>(2,4,1,3,1,5); Brailovsky (2026) GM 05; in H2O iso without water</v>
      </c>
      <c r="AF33" s="440">
        <v>1.7000000000000001E-2</v>
      </c>
      <c r="AG33" s="336">
        <v>1</v>
      </c>
      <c r="AH33" s="337">
        <f t="shared" si="23"/>
        <v>1.2237593405947058</v>
      </c>
      <c r="AI33" s="437" t="str">
        <f t="shared" si="16"/>
        <v>(2,4,1,3,1,5); Brailovsky (2026) GM 05; in H2O iso without water</v>
      </c>
      <c r="AJ33" s="338"/>
      <c r="AK33" s="440">
        <v>6.2869822485207101E-4</v>
      </c>
      <c r="AL33" s="216" t="s">
        <v>1012</v>
      </c>
      <c r="AM33" s="83">
        <v>2</v>
      </c>
      <c r="AN33" s="83">
        <v>2</v>
      </c>
      <c r="AO33" s="83">
        <v>4</v>
      </c>
      <c r="AP33" s="83">
        <v>1</v>
      </c>
      <c r="AQ33" s="83">
        <v>1</v>
      </c>
      <c r="AR33" s="83">
        <v>3</v>
      </c>
      <c r="AS33" s="104">
        <v>3</v>
      </c>
      <c r="AT33" s="104">
        <v>1.05</v>
      </c>
      <c r="AU33" s="107">
        <f t="shared" si="17"/>
        <v>1.2164594125584303</v>
      </c>
      <c r="AV33" s="107">
        <f t="shared" si="18"/>
        <v>1.2237593405947058</v>
      </c>
      <c r="AW33" s="107" t="str">
        <f t="shared" si="19"/>
        <v>(2,2,4,1,1,3)</v>
      </c>
      <c r="AX33" s="108">
        <v>1.05</v>
      </c>
      <c r="AY33" s="108">
        <v>1.02</v>
      </c>
      <c r="AZ33" s="108">
        <v>1.2</v>
      </c>
      <c r="BA33" s="108">
        <v>1</v>
      </c>
      <c r="BB33" s="108">
        <v>1</v>
      </c>
      <c r="BC33" s="108">
        <v>1.05</v>
      </c>
      <c r="BE33" s="691" t="s">
        <v>1059</v>
      </c>
      <c r="BF33" s="83">
        <v>2</v>
      </c>
      <c r="BG33" s="83">
        <v>4</v>
      </c>
      <c r="BH33" s="83">
        <v>1</v>
      </c>
      <c r="BI33" s="83">
        <v>3</v>
      </c>
      <c r="BJ33" s="83">
        <v>1</v>
      </c>
      <c r="BK33" s="83">
        <v>5</v>
      </c>
      <c r="BL33" s="104">
        <v>3</v>
      </c>
      <c r="BM33" s="104">
        <v>1.05</v>
      </c>
      <c r="BN33" s="107">
        <f t="shared" si="20"/>
        <v>1.2365959919080913</v>
      </c>
      <c r="BO33" s="107">
        <f t="shared" si="21"/>
        <v>1.2434566510799234</v>
      </c>
      <c r="BP33" s="107" t="str">
        <f t="shared" si="22"/>
        <v>(2,4,1,3,1,5)</v>
      </c>
      <c r="BQ33" s="108">
        <v>1.05</v>
      </c>
      <c r="BR33" s="108">
        <v>1.1000000000000001</v>
      </c>
      <c r="BS33" s="108">
        <v>1</v>
      </c>
      <c r="BT33" s="108">
        <v>1.02</v>
      </c>
      <c r="BU33" s="108">
        <v>1</v>
      </c>
      <c r="BV33" s="108">
        <v>1.2</v>
      </c>
    </row>
    <row r="34" spans="1:74" s="171" customFormat="1" ht="24">
      <c r="A34" s="333">
        <v>269261</v>
      </c>
      <c r="B34" s="216"/>
      <c r="C34" s="334"/>
      <c r="D34" s="342">
        <v>5</v>
      </c>
      <c r="E34" s="343" t="s">
        <v>98</v>
      </c>
      <c r="F34" s="437" t="s">
        <v>207</v>
      </c>
      <c r="G34" s="438" t="s">
        <v>154</v>
      </c>
      <c r="H34" s="439" t="s">
        <v>98</v>
      </c>
      <c r="I34" s="439" t="s">
        <v>98</v>
      </c>
      <c r="J34" s="335">
        <v>0</v>
      </c>
      <c r="K34" s="438" t="s">
        <v>96</v>
      </c>
      <c r="L34" s="440">
        <f t="shared" si="24"/>
        <v>6.4513477975016397E-4</v>
      </c>
      <c r="M34" s="336">
        <v>1</v>
      </c>
      <c r="N34" s="337">
        <f t="shared" si="6"/>
        <v>1.2237593405947058</v>
      </c>
      <c r="O34" s="437" t="str">
        <f t="shared" si="7"/>
        <v>(2,2,4,1,1,3); de Wild-Scholten (2014) Life Cycle Assessment of Photovoltaics Status 2011, Part 1 Data Collection (Table 30,31)</v>
      </c>
      <c r="P34" s="440">
        <f t="shared" si="25"/>
        <v>6.4513477975016397E-4</v>
      </c>
      <c r="Q34" s="336">
        <v>1</v>
      </c>
      <c r="R34" s="337">
        <f t="shared" si="8"/>
        <v>1.2237593405947058</v>
      </c>
      <c r="S34" s="455" t="str">
        <f t="shared" si="9"/>
        <v>(2,2,4,1,1,3); de Wild-Scholten (2014) Life Cycle Assessment of Photovoltaics Status 2011, Part 1 Data Collection (Table 30,31)</v>
      </c>
      <c r="T34" s="440">
        <f t="shared" si="26"/>
        <v>6.4513477975016397E-4</v>
      </c>
      <c r="U34" s="336">
        <v>1</v>
      </c>
      <c r="V34" s="337">
        <f t="shared" si="10"/>
        <v>1.2237593405947058</v>
      </c>
      <c r="W34" s="455" t="str">
        <f t="shared" si="11"/>
        <v>(2,2,4,1,1,3); de Wild-Scholten (2014) Life Cycle Assessment of Photovoltaics Status 2011, Part 1 Data Collection (Table 30,31)</v>
      </c>
      <c r="X34" s="440">
        <f t="shared" si="27"/>
        <v>6.4513477975016397E-4</v>
      </c>
      <c r="Y34" s="336">
        <v>1</v>
      </c>
      <c r="Z34" s="337">
        <f t="shared" si="12"/>
        <v>1.2237593405947058</v>
      </c>
      <c r="AA34" s="437" t="str">
        <f t="shared" si="13"/>
        <v>(2,2,4,1,1,3); de Wild-Scholten (2014) Life Cycle Assessment of Photovoltaics Status 2011, Part 1 Data Collection (Table 30,31)</v>
      </c>
      <c r="AB34" s="440">
        <v>8.2500000000000004E-2</v>
      </c>
      <c r="AC34" s="336">
        <v>1</v>
      </c>
      <c r="AD34" s="337">
        <f t="shared" si="14"/>
        <v>1.2434566510799234</v>
      </c>
      <c r="AE34" s="455" t="str">
        <f t="shared" si="15"/>
        <v>(2,4,1,3,1,5); Brailovsky (2026) GM 05; GLO iso RER</v>
      </c>
      <c r="AF34" s="440">
        <v>8.2500000000000004E-2</v>
      </c>
      <c r="AG34" s="336">
        <v>1</v>
      </c>
      <c r="AH34" s="337">
        <f t="shared" si="23"/>
        <v>1.2237593405947058</v>
      </c>
      <c r="AI34" s="437" t="str">
        <f t="shared" si="16"/>
        <v>(2,4,1,3,1,5); Brailovsky (2026) GM 05; GLO iso RER</v>
      </c>
      <c r="AJ34" s="338"/>
      <c r="AK34" s="440">
        <v>6.4513477975016397E-4</v>
      </c>
      <c r="AL34" s="216" t="s">
        <v>1012</v>
      </c>
      <c r="AM34" s="83">
        <v>2</v>
      </c>
      <c r="AN34" s="83">
        <v>2</v>
      </c>
      <c r="AO34" s="83">
        <v>4</v>
      </c>
      <c r="AP34" s="83">
        <v>1</v>
      </c>
      <c r="AQ34" s="83">
        <v>1</v>
      </c>
      <c r="AR34" s="83">
        <v>3</v>
      </c>
      <c r="AS34" s="104">
        <v>3</v>
      </c>
      <c r="AT34" s="104">
        <v>1.05</v>
      </c>
      <c r="AU34" s="107">
        <f t="shared" si="17"/>
        <v>1.2164594125584303</v>
      </c>
      <c r="AV34" s="107">
        <f t="shared" si="18"/>
        <v>1.2237593405947058</v>
      </c>
      <c r="AW34" s="107" t="str">
        <f t="shared" si="19"/>
        <v>(2,2,4,1,1,3)</v>
      </c>
      <c r="AX34" s="108">
        <v>1.05</v>
      </c>
      <c r="AY34" s="108">
        <v>1.02</v>
      </c>
      <c r="AZ34" s="108">
        <v>1.2</v>
      </c>
      <c r="BA34" s="108">
        <v>1</v>
      </c>
      <c r="BB34" s="108">
        <v>1</v>
      </c>
      <c r="BC34" s="108">
        <v>1.05</v>
      </c>
      <c r="BE34" s="691" t="s">
        <v>1060</v>
      </c>
      <c r="BF34" s="83">
        <v>2</v>
      </c>
      <c r="BG34" s="83">
        <v>4</v>
      </c>
      <c r="BH34" s="83">
        <v>1</v>
      </c>
      <c r="BI34" s="83">
        <v>3</v>
      </c>
      <c r="BJ34" s="83">
        <v>1</v>
      </c>
      <c r="BK34" s="83">
        <v>5</v>
      </c>
      <c r="BL34" s="104">
        <v>3</v>
      </c>
      <c r="BM34" s="104">
        <v>1.05</v>
      </c>
      <c r="BN34" s="107">
        <f t="shared" si="20"/>
        <v>1.2365959919080913</v>
      </c>
      <c r="BO34" s="107">
        <f t="shared" si="21"/>
        <v>1.2434566510799234</v>
      </c>
      <c r="BP34" s="107" t="str">
        <f t="shared" si="22"/>
        <v>(2,4,1,3,1,5)</v>
      </c>
      <c r="BQ34" s="108">
        <v>1.05</v>
      </c>
      <c r="BR34" s="108">
        <v>1.1000000000000001</v>
      </c>
      <c r="BS34" s="108">
        <v>1</v>
      </c>
      <c r="BT34" s="108">
        <v>1.02</v>
      </c>
      <c r="BU34" s="108">
        <v>1</v>
      </c>
      <c r="BV34" s="108">
        <v>1.2</v>
      </c>
    </row>
    <row r="35" spans="1:74" s="171" customFormat="1" ht="24">
      <c r="A35" s="333">
        <v>262387</v>
      </c>
      <c r="B35" s="216"/>
      <c r="C35" s="334"/>
      <c r="D35" s="342">
        <v>5</v>
      </c>
      <c r="E35" s="343" t="s">
        <v>98</v>
      </c>
      <c r="F35" s="437" t="s">
        <v>980</v>
      </c>
      <c r="G35" s="438" t="s">
        <v>93</v>
      </c>
      <c r="H35" s="439" t="s">
        <v>98</v>
      </c>
      <c r="I35" s="439" t="s">
        <v>98</v>
      </c>
      <c r="J35" s="335">
        <v>0</v>
      </c>
      <c r="K35" s="438" t="s">
        <v>96</v>
      </c>
      <c r="L35" s="440">
        <f t="shared" si="24"/>
        <v>0.604043392504931</v>
      </c>
      <c r="M35" s="336">
        <v>1</v>
      </c>
      <c r="N35" s="337">
        <f t="shared" si="6"/>
        <v>1.2237593405947058</v>
      </c>
      <c r="O35" s="437" t="str">
        <f t="shared" si="7"/>
        <v>(2,2,4,1,1,3); de Wild-Scholten (2014) Life Cycle Assessment of Photovoltaics Status 2011, Part 1 Data Collection (Table 30,31)</v>
      </c>
      <c r="P35" s="440">
        <f t="shared" si="25"/>
        <v>0.604043392504931</v>
      </c>
      <c r="Q35" s="336">
        <v>1</v>
      </c>
      <c r="R35" s="337">
        <f t="shared" si="8"/>
        <v>1.2237593405947058</v>
      </c>
      <c r="S35" s="455" t="str">
        <f t="shared" si="9"/>
        <v>(2,2,4,1,1,3); de Wild-Scholten (2014) Life Cycle Assessment of Photovoltaics Status 2011, Part 1 Data Collection (Table 30,31)</v>
      </c>
      <c r="T35" s="440">
        <f t="shared" si="26"/>
        <v>0.604043392504931</v>
      </c>
      <c r="U35" s="336">
        <v>1</v>
      </c>
      <c r="V35" s="337">
        <f t="shared" si="10"/>
        <v>1.2237593405947058</v>
      </c>
      <c r="W35" s="455" t="str">
        <f t="shared" si="11"/>
        <v>(2,2,4,1,1,3); de Wild-Scholten (2014) Life Cycle Assessment of Photovoltaics Status 2011, Part 1 Data Collection (Table 30,31)</v>
      </c>
      <c r="X35" s="440">
        <f t="shared" si="27"/>
        <v>0.604043392504931</v>
      </c>
      <c r="Y35" s="336">
        <v>1</v>
      </c>
      <c r="Z35" s="337">
        <f t="shared" si="12"/>
        <v>1.2237593405947058</v>
      </c>
      <c r="AA35" s="437" t="str">
        <f t="shared" si="13"/>
        <v>(2,2,4,1,1,3); de Wild-Scholten (2014) Life Cycle Assessment of Photovoltaics Status 2011, Part 1 Data Collection (Table 30,31)</v>
      </c>
      <c r="AB35" s="440">
        <v>0</v>
      </c>
      <c r="AC35" s="336">
        <v>1</v>
      </c>
      <c r="AD35" s="337">
        <f t="shared" si="14"/>
        <v>1.05</v>
      </c>
      <c r="AE35" s="455" t="str">
        <f t="shared" si="15"/>
        <v xml:space="preserve">(na,na,na,na,na,na); </v>
      </c>
      <c r="AF35" s="440">
        <v>0</v>
      </c>
      <c r="AG35" s="336">
        <v>1</v>
      </c>
      <c r="AH35" s="337">
        <f t="shared" si="23"/>
        <v>1.2237593405947058</v>
      </c>
      <c r="AI35" s="437" t="str">
        <f t="shared" si="16"/>
        <v xml:space="preserve">(na,na,na,na,na,na); </v>
      </c>
      <c r="AJ35" s="338"/>
      <c r="AK35" s="440">
        <v>0.604043392504931</v>
      </c>
      <c r="AL35" s="216" t="s">
        <v>1012</v>
      </c>
      <c r="AM35" s="83">
        <v>2</v>
      </c>
      <c r="AN35" s="83">
        <v>2</v>
      </c>
      <c r="AO35" s="83">
        <v>4</v>
      </c>
      <c r="AP35" s="83">
        <v>1</v>
      </c>
      <c r="AQ35" s="83">
        <v>1</v>
      </c>
      <c r="AR35" s="83">
        <v>3</v>
      </c>
      <c r="AS35" s="104">
        <v>3</v>
      </c>
      <c r="AT35" s="104">
        <v>1.05</v>
      </c>
      <c r="AU35" s="107">
        <f t="shared" si="17"/>
        <v>1.2164594125584303</v>
      </c>
      <c r="AV35" s="107">
        <f t="shared" si="18"/>
        <v>1.2237593405947058</v>
      </c>
      <c r="AW35" s="107" t="str">
        <f t="shared" si="19"/>
        <v>(2,2,4,1,1,3)</v>
      </c>
      <c r="AX35" s="108">
        <v>1.05</v>
      </c>
      <c r="AY35" s="108">
        <v>1.02</v>
      </c>
      <c r="AZ35" s="108">
        <v>1.2</v>
      </c>
      <c r="BA35" s="108">
        <v>1</v>
      </c>
      <c r="BB35" s="108">
        <v>1</v>
      </c>
      <c r="BC35" s="108">
        <v>1.05</v>
      </c>
      <c r="BE35" s="691"/>
      <c r="BF35" s="339" t="s">
        <v>106</v>
      </c>
      <c r="BG35" s="339" t="s">
        <v>106</v>
      </c>
      <c r="BH35" s="339" t="s">
        <v>106</v>
      </c>
      <c r="BI35" s="339" t="s">
        <v>106</v>
      </c>
      <c r="BJ35" s="339" t="s">
        <v>106</v>
      </c>
      <c r="BK35" s="339" t="s">
        <v>106</v>
      </c>
      <c r="BL35" s="104">
        <v>3</v>
      </c>
      <c r="BM35" s="104">
        <v>1.05</v>
      </c>
      <c r="BN35" s="107">
        <f t="shared" si="20"/>
        <v>1</v>
      </c>
      <c r="BO35" s="107">
        <f t="shared" si="21"/>
        <v>1.05</v>
      </c>
      <c r="BP35" s="107" t="str">
        <f t="shared" si="22"/>
        <v>(na,na,na,na,na,na)</v>
      </c>
      <c r="BQ35" s="108">
        <v>1</v>
      </c>
      <c r="BR35" s="108">
        <v>1</v>
      </c>
      <c r="BS35" s="108">
        <v>1</v>
      </c>
      <c r="BT35" s="108">
        <v>1</v>
      </c>
      <c r="BU35" s="108">
        <v>1</v>
      </c>
      <c r="BV35" s="108">
        <v>1</v>
      </c>
    </row>
    <row r="36" spans="1:74" s="171" customFormat="1" ht="24">
      <c r="A36" s="333">
        <v>268397</v>
      </c>
      <c r="B36" s="216"/>
      <c r="C36" s="334"/>
      <c r="D36" s="342">
        <v>5</v>
      </c>
      <c r="E36" s="343" t="s">
        <v>98</v>
      </c>
      <c r="F36" s="437" t="s">
        <v>237</v>
      </c>
      <c r="G36" s="438" t="s">
        <v>103</v>
      </c>
      <c r="H36" s="439" t="s">
        <v>98</v>
      </c>
      <c r="I36" s="439" t="s">
        <v>98</v>
      </c>
      <c r="J36" s="335">
        <v>0</v>
      </c>
      <c r="K36" s="438" t="s">
        <v>96</v>
      </c>
      <c r="L36" s="440">
        <f t="shared" si="24"/>
        <v>1.50805391190007E-2</v>
      </c>
      <c r="M36" s="336">
        <v>1</v>
      </c>
      <c r="N36" s="337">
        <f t="shared" si="6"/>
        <v>1.2237593405947058</v>
      </c>
      <c r="O36" s="437" t="str">
        <f t="shared" si="7"/>
        <v>(2,2,4,1,1,3); de Wild-Scholten (2014) Life Cycle Assessment of Photovoltaics Status 2011, Part 1 Data Collection (Table 30,31)</v>
      </c>
      <c r="P36" s="440">
        <f t="shared" si="25"/>
        <v>1.50805391190007E-2</v>
      </c>
      <c r="Q36" s="336">
        <v>1</v>
      </c>
      <c r="R36" s="337">
        <f t="shared" si="8"/>
        <v>1.2237593405947058</v>
      </c>
      <c r="S36" s="455" t="str">
        <f t="shared" si="9"/>
        <v>(2,2,4,1,1,3); de Wild-Scholten (2014) Life Cycle Assessment of Photovoltaics Status 2011, Part 1 Data Collection (Table 30,31)</v>
      </c>
      <c r="T36" s="440">
        <f t="shared" si="26"/>
        <v>1.50805391190007E-2</v>
      </c>
      <c r="U36" s="336">
        <v>1</v>
      </c>
      <c r="V36" s="337">
        <f t="shared" si="10"/>
        <v>1.2237593405947058</v>
      </c>
      <c r="W36" s="455" t="str">
        <f t="shared" si="11"/>
        <v>(2,2,4,1,1,3); de Wild-Scholten (2014) Life Cycle Assessment of Photovoltaics Status 2011, Part 1 Data Collection (Table 30,31)</v>
      </c>
      <c r="X36" s="440">
        <f t="shared" si="27"/>
        <v>1.50805391190007E-2</v>
      </c>
      <c r="Y36" s="336">
        <v>1</v>
      </c>
      <c r="Z36" s="337">
        <f t="shared" si="12"/>
        <v>1.2237593405947058</v>
      </c>
      <c r="AA36" s="437" t="str">
        <f t="shared" si="13"/>
        <v>(2,2,4,1,1,3); de Wild-Scholten (2014) Life Cycle Assessment of Photovoltaics Status 2011, Part 1 Data Collection (Table 30,31)</v>
      </c>
      <c r="AB36" s="440">
        <v>0</v>
      </c>
      <c r="AC36" s="336">
        <v>1</v>
      </c>
      <c r="AD36" s="337">
        <f t="shared" si="14"/>
        <v>1.05</v>
      </c>
      <c r="AE36" s="455" t="str">
        <f t="shared" si="15"/>
        <v xml:space="preserve">(na,na,na,na,na,na); </v>
      </c>
      <c r="AF36" s="440">
        <v>0</v>
      </c>
      <c r="AG36" s="336">
        <v>1</v>
      </c>
      <c r="AH36" s="337">
        <f t="shared" si="23"/>
        <v>1.2237593405947058</v>
      </c>
      <c r="AI36" s="437" t="str">
        <f t="shared" si="16"/>
        <v xml:space="preserve">(na,na,na,na,na,na); </v>
      </c>
      <c r="AJ36" s="338"/>
      <c r="AK36" s="440">
        <v>1.50805391190007E-2</v>
      </c>
      <c r="AL36" s="216" t="s">
        <v>1012</v>
      </c>
      <c r="AM36" s="83">
        <v>2</v>
      </c>
      <c r="AN36" s="83">
        <v>2</v>
      </c>
      <c r="AO36" s="83">
        <v>4</v>
      </c>
      <c r="AP36" s="83">
        <v>1</v>
      </c>
      <c r="AQ36" s="83">
        <v>1</v>
      </c>
      <c r="AR36" s="83">
        <v>3</v>
      </c>
      <c r="AS36" s="104">
        <v>3</v>
      </c>
      <c r="AT36" s="104">
        <v>1.05</v>
      </c>
      <c r="AU36" s="107">
        <f t="shared" si="17"/>
        <v>1.2164594125584303</v>
      </c>
      <c r="AV36" s="107">
        <f t="shared" si="18"/>
        <v>1.2237593405947058</v>
      </c>
      <c r="AW36" s="107" t="str">
        <f t="shared" si="19"/>
        <v>(2,2,4,1,1,3)</v>
      </c>
      <c r="AX36" s="108">
        <v>1.05</v>
      </c>
      <c r="AY36" s="108">
        <v>1.02</v>
      </c>
      <c r="AZ36" s="108">
        <v>1.2</v>
      </c>
      <c r="BA36" s="108">
        <v>1</v>
      </c>
      <c r="BB36" s="108">
        <v>1</v>
      </c>
      <c r="BC36" s="108">
        <v>1.05</v>
      </c>
      <c r="BE36" s="691"/>
      <c r="BF36" s="339" t="s">
        <v>106</v>
      </c>
      <c r="BG36" s="339" t="s">
        <v>106</v>
      </c>
      <c r="BH36" s="339" t="s">
        <v>106</v>
      </c>
      <c r="BI36" s="339" t="s">
        <v>106</v>
      </c>
      <c r="BJ36" s="339" t="s">
        <v>106</v>
      </c>
      <c r="BK36" s="339" t="s">
        <v>106</v>
      </c>
      <c r="BL36" s="104">
        <v>3</v>
      </c>
      <c r="BM36" s="104">
        <v>1.05</v>
      </c>
      <c r="BN36" s="107">
        <f t="shared" si="20"/>
        <v>1</v>
      </c>
      <c r="BO36" s="107">
        <f t="shared" si="21"/>
        <v>1.05</v>
      </c>
      <c r="BP36" s="107" t="str">
        <f t="shared" si="22"/>
        <v>(na,na,na,na,na,na)</v>
      </c>
      <c r="BQ36" s="108">
        <v>1</v>
      </c>
      <c r="BR36" s="108">
        <v>1</v>
      </c>
      <c r="BS36" s="108">
        <v>1</v>
      </c>
      <c r="BT36" s="108">
        <v>1</v>
      </c>
      <c r="BU36" s="108">
        <v>1</v>
      </c>
      <c r="BV36" s="108">
        <v>1</v>
      </c>
    </row>
    <row r="37" spans="1:74" s="171" customFormat="1" ht="24">
      <c r="A37" s="333">
        <v>269211</v>
      </c>
      <c r="B37" s="216"/>
      <c r="C37" s="334"/>
      <c r="D37" s="342">
        <v>5</v>
      </c>
      <c r="E37" s="343" t="s">
        <v>98</v>
      </c>
      <c r="F37" s="437" t="s">
        <v>838</v>
      </c>
      <c r="G37" s="438" t="s">
        <v>93</v>
      </c>
      <c r="H37" s="439" t="s">
        <v>98</v>
      </c>
      <c r="I37" s="439" t="s">
        <v>98</v>
      </c>
      <c r="J37" s="335">
        <v>0</v>
      </c>
      <c r="K37" s="438" t="s">
        <v>96</v>
      </c>
      <c r="L37" s="440">
        <f t="shared" si="24"/>
        <v>0</v>
      </c>
      <c r="M37" s="336">
        <v>1</v>
      </c>
      <c r="N37" s="337">
        <f t="shared" si="6"/>
        <v>1.05</v>
      </c>
      <c r="O37" s="437" t="str">
        <f t="shared" si="7"/>
        <v xml:space="preserve">(na,na,na,na,na,na); </v>
      </c>
      <c r="P37" s="440">
        <f t="shared" si="25"/>
        <v>0</v>
      </c>
      <c r="Q37" s="336">
        <v>1</v>
      </c>
      <c r="R37" s="337">
        <f t="shared" si="8"/>
        <v>1.05</v>
      </c>
      <c r="S37" s="455" t="str">
        <f t="shared" si="9"/>
        <v xml:space="preserve">(na,na,na,na,na,na); </v>
      </c>
      <c r="T37" s="440">
        <f t="shared" si="26"/>
        <v>0</v>
      </c>
      <c r="U37" s="336">
        <v>1</v>
      </c>
      <c r="V37" s="337">
        <f t="shared" si="10"/>
        <v>1.05</v>
      </c>
      <c r="W37" s="455" t="str">
        <f t="shared" si="11"/>
        <v xml:space="preserve">(na,na,na,na,na,na); </v>
      </c>
      <c r="X37" s="440">
        <f t="shared" si="27"/>
        <v>0</v>
      </c>
      <c r="Y37" s="336">
        <v>1</v>
      </c>
      <c r="Z37" s="337">
        <f t="shared" si="12"/>
        <v>1.05</v>
      </c>
      <c r="AA37" s="437" t="str">
        <f t="shared" si="13"/>
        <v xml:space="preserve">(na,na,na,na,na,na); </v>
      </c>
      <c r="AB37" s="440">
        <v>0.108</v>
      </c>
      <c r="AC37" s="336">
        <v>1</v>
      </c>
      <c r="AD37" s="337">
        <f t="shared" si="14"/>
        <v>1.2434566510799234</v>
      </c>
      <c r="AE37" s="455" t="str">
        <f t="shared" si="15"/>
        <v>(2,4,1,3,1,5); Brailovsky (2026)  GM 05; in H2O iso without water</v>
      </c>
      <c r="AF37" s="440">
        <v>0.108</v>
      </c>
      <c r="AG37" s="336">
        <v>1</v>
      </c>
      <c r="AH37" s="337">
        <f t="shared" si="23"/>
        <v>1.05</v>
      </c>
      <c r="AI37" s="437" t="str">
        <f t="shared" si="16"/>
        <v>(2,4,1,3,1,5); Brailovsky (2026)  GM 05; in H2O iso without water</v>
      </c>
      <c r="AJ37" s="338"/>
      <c r="AK37" s="440"/>
      <c r="AL37" s="216"/>
      <c r="AM37" s="339" t="s">
        <v>106</v>
      </c>
      <c r="AN37" s="339" t="s">
        <v>106</v>
      </c>
      <c r="AO37" s="339" t="s">
        <v>106</v>
      </c>
      <c r="AP37" s="339" t="s">
        <v>106</v>
      </c>
      <c r="AQ37" s="339" t="s">
        <v>106</v>
      </c>
      <c r="AR37" s="339" t="s">
        <v>106</v>
      </c>
      <c r="AS37" s="104">
        <v>3</v>
      </c>
      <c r="AT37" s="104">
        <v>1.05</v>
      </c>
      <c r="AU37" s="107">
        <f t="shared" si="17"/>
        <v>1</v>
      </c>
      <c r="AV37" s="107">
        <f t="shared" si="18"/>
        <v>1.05</v>
      </c>
      <c r="AW37" s="107" t="str">
        <f t="shared" si="19"/>
        <v>(na,na,na,na,na,na)</v>
      </c>
      <c r="AX37" s="108">
        <v>1</v>
      </c>
      <c r="AY37" s="108">
        <v>1</v>
      </c>
      <c r="AZ37" s="108">
        <v>1</v>
      </c>
      <c r="BA37" s="108">
        <v>1</v>
      </c>
      <c r="BB37" s="108">
        <v>1</v>
      </c>
      <c r="BC37" s="108">
        <v>1</v>
      </c>
      <c r="BE37" s="691" t="s">
        <v>1061</v>
      </c>
      <c r="BF37" s="83">
        <v>2</v>
      </c>
      <c r="BG37" s="83">
        <v>4</v>
      </c>
      <c r="BH37" s="83">
        <v>1</v>
      </c>
      <c r="BI37" s="83">
        <v>3</v>
      </c>
      <c r="BJ37" s="83">
        <v>1</v>
      </c>
      <c r="BK37" s="83">
        <v>5</v>
      </c>
      <c r="BL37" s="104">
        <v>3</v>
      </c>
      <c r="BM37" s="104">
        <v>1.05</v>
      </c>
      <c r="BN37" s="107">
        <f t="shared" si="20"/>
        <v>1.2365959919080913</v>
      </c>
      <c r="BO37" s="107">
        <f t="shared" si="21"/>
        <v>1.2434566510799234</v>
      </c>
      <c r="BP37" s="107" t="str">
        <f t="shared" si="22"/>
        <v>(2,4,1,3,1,5)</v>
      </c>
      <c r="BQ37" s="108">
        <v>1.05</v>
      </c>
      <c r="BR37" s="108">
        <v>1.1000000000000001</v>
      </c>
      <c r="BS37" s="108">
        <v>1</v>
      </c>
      <c r="BT37" s="108">
        <v>1.02</v>
      </c>
      <c r="BU37" s="108">
        <v>1</v>
      </c>
      <c r="BV37" s="108">
        <v>1.2</v>
      </c>
    </row>
    <row r="38" spans="1:74">
      <c r="A38" s="330">
        <v>269295</v>
      </c>
      <c r="B38" s="331"/>
      <c r="C38" s="332"/>
      <c r="D38" s="340">
        <v>5</v>
      </c>
      <c r="E38" s="341" t="s">
        <v>98</v>
      </c>
      <c r="F38" s="432" t="s">
        <v>239</v>
      </c>
      <c r="G38" s="433" t="s">
        <v>93</v>
      </c>
      <c r="H38" s="434" t="s">
        <v>98</v>
      </c>
      <c r="I38" s="434" t="s">
        <v>98</v>
      </c>
      <c r="J38" s="94">
        <v>0</v>
      </c>
      <c r="K38" s="433" t="s">
        <v>96</v>
      </c>
      <c r="L38" s="435">
        <f t="shared" si="24"/>
        <v>0</v>
      </c>
      <c r="M38" s="95">
        <v>1</v>
      </c>
      <c r="N38" s="96">
        <f t="shared" si="6"/>
        <v>1.05</v>
      </c>
      <c r="O38" s="432" t="str">
        <f t="shared" si="7"/>
        <v xml:space="preserve">(na,na,na,na,na,na); </v>
      </c>
      <c r="P38" s="435">
        <f t="shared" si="25"/>
        <v>0</v>
      </c>
      <c r="Q38" s="95">
        <v>1</v>
      </c>
      <c r="R38" s="96">
        <f t="shared" si="8"/>
        <v>1.05</v>
      </c>
      <c r="S38" s="457" t="str">
        <f t="shared" si="9"/>
        <v xml:space="preserve">(na,na,na,na,na,na); </v>
      </c>
      <c r="T38" s="435">
        <f t="shared" si="26"/>
        <v>0</v>
      </c>
      <c r="U38" s="95">
        <v>1</v>
      </c>
      <c r="V38" s="96">
        <f t="shared" si="10"/>
        <v>1.05</v>
      </c>
      <c r="W38" s="457" t="str">
        <f t="shared" si="11"/>
        <v xml:space="preserve">(na,na,na,na,na,na); </v>
      </c>
      <c r="X38" s="435">
        <f t="shared" si="27"/>
        <v>0</v>
      </c>
      <c r="Y38" s="95">
        <v>1</v>
      </c>
      <c r="Z38" s="96">
        <f t="shared" si="12"/>
        <v>1.05</v>
      </c>
      <c r="AA38" s="432" t="str">
        <f t="shared" si="13"/>
        <v xml:space="preserve">(na,na,na,na,na,na); </v>
      </c>
      <c r="AB38" s="435">
        <v>1.17E-2</v>
      </c>
      <c r="AC38" s="95">
        <v>1</v>
      </c>
      <c r="AD38" s="96">
        <f t="shared" si="14"/>
        <v>1.2434566510799234</v>
      </c>
      <c r="AE38" s="457" t="str">
        <f t="shared" si="15"/>
        <v xml:space="preserve">(2,4,1,3,1,5); </v>
      </c>
      <c r="AF38" s="435">
        <v>1.17E-2</v>
      </c>
      <c r="AG38" s="95">
        <v>1</v>
      </c>
      <c r="AH38" s="96">
        <f t="shared" si="23"/>
        <v>1.05</v>
      </c>
      <c r="AI38" s="432" t="str">
        <f t="shared" si="16"/>
        <v xml:space="preserve">(2,4,1,3,1,5); </v>
      </c>
      <c r="AJ38" s="112"/>
      <c r="AK38" s="435"/>
      <c r="AL38" s="216"/>
      <c r="AM38" s="339" t="s">
        <v>106</v>
      </c>
      <c r="AN38" s="339" t="s">
        <v>106</v>
      </c>
      <c r="AO38" s="339" t="s">
        <v>106</v>
      </c>
      <c r="AP38" s="339" t="s">
        <v>106</v>
      </c>
      <c r="AQ38" s="339" t="s">
        <v>106</v>
      </c>
      <c r="AR38" s="339" t="s">
        <v>106</v>
      </c>
      <c r="AS38" s="104">
        <v>3</v>
      </c>
      <c r="AT38" s="104">
        <v>1.05</v>
      </c>
      <c r="AU38" s="107">
        <f t="shared" si="17"/>
        <v>1</v>
      </c>
      <c r="AV38" s="107">
        <f t="shared" si="18"/>
        <v>1.05</v>
      </c>
      <c r="AW38" s="107" t="str">
        <f t="shared" si="19"/>
        <v>(na,na,na,na,na,na)</v>
      </c>
      <c r="AX38" s="108">
        <v>1</v>
      </c>
      <c r="AY38" s="108">
        <v>1</v>
      </c>
      <c r="AZ38" s="108">
        <v>1</v>
      </c>
      <c r="BA38" s="108">
        <v>1</v>
      </c>
      <c r="BB38" s="108">
        <v>1</v>
      </c>
      <c r="BC38" s="108">
        <v>1</v>
      </c>
      <c r="BE38" s="692"/>
      <c r="BF38" s="83">
        <v>2</v>
      </c>
      <c r="BG38" s="83">
        <v>4</v>
      </c>
      <c r="BH38" s="83">
        <v>1</v>
      </c>
      <c r="BI38" s="83">
        <v>3</v>
      </c>
      <c r="BJ38" s="83">
        <v>1</v>
      </c>
      <c r="BK38" s="83">
        <v>5</v>
      </c>
      <c r="BL38" s="104">
        <v>3</v>
      </c>
      <c r="BM38" s="104">
        <v>1.05</v>
      </c>
      <c r="BN38" s="107">
        <f t="shared" si="20"/>
        <v>1.2365959919080913</v>
      </c>
      <c r="BO38" s="107">
        <f t="shared" si="21"/>
        <v>1.2434566510799234</v>
      </c>
      <c r="BP38" s="107" t="str">
        <f t="shared" si="22"/>
        <v>(2,4,1,3,1,5)</v>
      </c>
      <c r="BQ38" s="108">
        <v>1.05</v>
      </c>
      <c r="BR38" s="108">
        <v>1.1000000000000001</v>
      </c>
      <c r="BS38" s="108">
        <v>1</v>
      </c>
      <c r="BT38" s="108">
        <v>1.02</v>
      </c>
      <c r="BU38" s="108">
        <v>1</v>
      </c>
      <c r="BV38" s="108">
        <v>1.2</v>
      </c>
    </row>
    <row r="39" spans="1:74" s="171" customFormat="1" ht="24">
      <c r="A39" s="333">
        <v>269365</v>
      </c>
      <c r="B39" s="216"/>
      <c r="C39" s="334"/>
      <c r="D39" s="342">
        <v>5</v>
      </c>
      <c r="E39" s="343" t="s">
        <v>98</v>
      </c>
      <c r="F39" s="437" t="s">
        <v>1062</v>
      </c>
      <c r="G39" s="438" t="s">
        <v>93</v>
      </c>
      <c r="H39" s="439" t="s">
        <v>98</v>
      </c>
      <c r="I39" s="439" t="s">
        <v>98</v>
      </c>
      <c r="J39" s="335">
        <v>0</v>
      </c>
      <c r="K39" s="438" t="s">
        <v>96</v>
      </c>
      <c r="L39" s="440">
        <f t="shared" si="24"/>
        <v>3.1188362919132097E-5</v>
      </c>
      <c r="M39" s="336">
        <v>1</v>
      </c>
      <c r="N39" s="337">
        <f t="shared" si="6"/>
        <v>1.2237593405947058</v>
      </c>
      <c r="O39" s="437" t="str">
        <f t="shared" si="7"/>
        <v>(2,2,4,1,1,3); de Wild-Scholten (2014) Life Cycle Assessment of Photovoltaics Status 2011, Part 1 Data Collection (Table 30,31)</v>
      </c>
      <c r="P39" s="440">
        <f t="shared" si="25"/>
        <v>3.1188362919132097E-5</v>
      </c>
      <c r="Q39" s="336">
        <v>1</v>
      </c>
      <c r="R39" s="337">
        <f t="shared" si="8"/>
        <v>1.2237593405947058</v>
      </c>
      <c r="S39" s="455" t="str">
        <f t="shared" si="9"/>
        <v>(2,2,4,1,1,3); de Wild-Scholten (2014) Life Cycle Assessment of Photovoltaics Status 2011, Part 1 Data Collection (Table 30,31)</v>
      </c>
      <c r="T39" s="440">
        <f t="shared" si="26"/>
        <v>3.1188362919132097E-5</v>
      </c>
      <c r="U39" s="336">
        <v>1</v>
      </c>
      <c r="V39" s="337">
        <f t="shared" si="10"/>
        <v>1.2237593405947058</v>
      </c>
      <c r="W39" s="455" t="str">
        <f t="shared" si="11"/>
        <v>(2,2,4,1,1,3); de Wild-Scholten (2014) Life Cycle Assessment of Photovoltaics Status 2011, Part 1 Data Collection (Table 30,31)</v>
      </c>
      <c r="X39" s="440">
        <f t="shared" si="27"/>
        <v>3.1188362919132097E-5</v>
      </c>
      <c r="Y39" s="336">
        <v>1</v>
      </c>
      <c r="Z39" s="337">
        <f t="shared" si="12"/>
        <v>1.2237593405947058</v>
      </c>
      <c r="AA39" s="437" t="str">
        <f t="shared" si="13"/>
        <v>(2,2,4,1,1,3); de Wild-Scholten (2014) Life Cycle Assessment of Photovoltaics Status 2011, Part 1 Data Collection (Table 30,31)</v>
      </c>
      <c r="AB39" s="440">
        <v>0</v>
      </c>
      <c r="AC39" s="336">
        <v>1</v>
      </c>
      <c r="AD39" s="337">
        <f t="shared" si="14"/>
        <v>1.05</v>
      </c>
      <c r="AE39" s="455" t="str">
        <f t="shared" si="15"/>
        <v xml:space="preserve">(na,na,na,na,na,na); </v>
      </c>
      <c r="AF39" s="440">
        <v>0</v>
      </c>
      <c r="AG39" s="336">
        <v>1</v>
      </c>
      <c r="AH39" s="337">
        <f t="shared" si="23"/>
        <v>1.2237593405947058</v>
      </c>
      <c r="AI39" s="437" t="str">
        <f t="shared" si="16"/>
        <v xml:space="preserve">(na,na,na,na,na,na); </v>
      </c>
      <c r="AJ39" s="338"/>
      <c r="AK39" s="440">
        <v>3.1188362919132097E-5</v>
      </c>
      <c r="AL39" s="216" t="s">
        <v>1012</v>
      </c>
      <c r="AM39" s="83">
        <v>2</v>
      </c>
      <c r="AN39" s="83">
        <v>2</v>
      </c>
      <c r="AO39" s="83">
        <v>4</v>
      </c>
      <c r="AP39" s="83">
        <v>1</v>
      </c>
      <c r="AQ39" s="83">
        <v>1</v>
      </c>
      <c r="AR39" s="83">
        <v>3</v>
      </c>
      <c r="AS39" s="104">
        <v>3</v>
      </c>
      <c r="AT39" s="104">
        <v>1.05</v>
      </c>
      <c r="AU39" s="107">
        <f t="shared" si="17"/>
        <v>1.2164594125584303</v>
      </c>
      <c r="AV39" s="107">
        <f t="shared" si="18"/>
        <v>1.2237593405947058</v>
      </c>
      <c r="AW39" s="107" t="str">
        <f t="shared" si="19"/>
        <v>(2,2,4,1,1,3)</v>
      </c>
      <c r="AX39" s="108">
        <v>1.05</v>
      </c>
      <c r="AY39" s="108">
        <v>1.02</v>
      </c>
      <c r="AZ39" s="108">
        <v>1.2</v>
      </c>
      <c r="BA39" s="108">
        <v>1</v>
      </c>
      <c r="BB39" s="108">
        <v>1</v>
      </c>
      <c r="BC39" s="108">
        <v>1.05</v>
      </c>
      <c r="BE39" s="691"/>
      <c r="BF39" s="339" t="s">
        <v>106</v>
      </c>
      <c r="BG39" s="339" t="s">
        <v>106</v>
      </c>
      <c r="BH39" s="339" t="s">
        <v>106</v>
      </c>
      <c r="BI39" s="339" t="s">
        <v>106</v>
      </c>
      <c r="BJ39" s="339" t="s">
        <v>106</v>
      </c>
      <c r="BK39" s="339" t="s">
        <v>106</v>
      </c>
      <c r="BL39" s="104">
        <v>3</v>
      </c>
      <c r="BM39" s="104">
        <v>1.05</v>
      </c>
      <c r="BN39" s="107">
        <f t="shared" si="20"/>
        <v>1</v>
      </c>
      <c r="BO39" s="107">
        <f t="shared" si="21"/>
        <v>1.05</v>
      </c>
      <c r="BP39" s="107" t="str">
        <f t="shared" si="22"/>
        <v>(na,na,na,na,na,na)</v>
      </c>
      <c r="BQ39" s="108">
        <v>1</v>
      </c>
      <c r="BR39" s="108">
        <v>1</v>
      </c>
      <c r="BS39" s="108">
        <v>1</v>
      </c>
      <c r="BT39" s="108">
        <v>1</v>
      </c>
      <c r="BU39" s="108">
        <v>1</v>
      </c>
      <c r="BV39" s="108">
        <v>1</v>
      </c>
    </row>
    <row r="40" spans="1:74" ht="24">
      <c r="A40" s="330">
        <v>269129</v>
      </c>
      <c r="B40" s="331"/>
      <c r="C40" s="332"/>
      <c r="D40" s="340">
        <v>5</v>
      </c>
      <c r="E40" s="341" t="s">
        <v>98</v>
      </c>
      <c r="F40" s="432" t="s">
        <v>831</v>
      </c>
      <c r="G40" s="433" t="s">
        <v>93</v>
      </c>
      <c r="H40" s="434" t="s">
        <v>98</v>
      </c>
      <c r="I40" s="434" t="s">
        <v>98</v>
      </c>
      <c r="J40" s="94">
        <v>0</v>
      </c>
      <c r="K40" s="433" t="s">
        <v>96</v>
      </c>
      <c r="L40" s="435">
        <f t="shared" si="24"/>
        <v>0</v>
      </c>
      <c r="M40" s="95">
        <v>1</v>
      </c>
      <c r="N40" s="96">
        <f t="shared" si="6"/>
        <v>1.05</v>
      </c>
      <c r="O40" s="432" t="str">
        <f t="shared" si="7"/>
        <v xml:space="preserve">(na,na,na,na,na,na); </v>
      </c>
      <c r="P40" s="435">
        <f t="shared" si="25"/>
        <v>0</v>
      </c>
      <c r="Q40" s="95">
        <v>1</v>
      </c>
      <c r="R40" s="96">
        <f t="shared" si="8"/>
        <v>1.05</v>
      </c>
      <c r="S40" s="457" t="str">
        <f t="shared" si="9"/>
        <v xml:space="preserve">(na,na,na,na,na,na); </v>
      </c>
      <c r="T40" s="435">
        <f t="shared" si="26"/>
        <v>0</v>
      </c>
      <c r="U40" s="95">
        <v>1</v>
      </c>
      <c r="V40" s="96">
        <f t="shared" si="10"/>
        <v>1.05</v>
      </c>
      <c r="W40" s="457" t="str">
        <f t="shared" si="11"/>
        <v xml:space="preserve">(na,na,na,na,na,na); </v>
      </c>
      <c r="X40" s="435">
        <f t="shared" si="27"/>
        <v>0</v>
      </c>
      <c r="Y40" s="95">
        <v>1</v>
      </c>
      <c r="Z40" s="96">
        <f t="shared" si="12"/>
        <v>1.05</v>
      </c>
      <c r="AA40" s="437" t="str">
        <f t="shared" si="13"/>
        <v xml:space="preserve">(na,na,na,na,na,na); </v>
      </c>
      <c r="AB40" s="435">
        <v>0.17399999999999999</v>
      </c>
      <c r="AC40" s="95">
        <v>1</v>
      </c>
      <c r="AD40" s="96">
        <f t="shared" si="14"/>
        <v>1.2434566510799234</v>
      </c>
      <c r="AE40" s="457" t="str">
        <f t="shared" si="15"/>
        <v>(2,4,1,3,1,5); Brailovsky (2026) GM 05; at regional storage iso production</v>
      </c>
      <c r="AF40" s="435">
        <v>0.17399999999999999</v>
      </c>
      <c r="AG40" s="95">
        <v>1</v>
      </c>
      <c r="AH40" s="96">
        <f t="shared" si="23"/>
        <v>1.05</v>
      </c>
      <c r="AI40" s="432" t="str">
        <f t="shared" si="16"/>
        <v>(2,4,1,3,1,5); Brailovsky (2026) GM 05; at regional storage iso production</v>
      </c>
      <c r="AJ40" s="112"/>
      <c r="AK40" s="435"/>
      <c r="AL40" s="216"/>
      <c r="AM40" s="339" t="s">
        <v>106</v>
      </c>
      <c r="AN40" s="339" t="s">
        <v>106</v>
      </c>
      <c r="AO40" s="339" t="s">
        <v>106</v>
      </c>
      <c r="AP40" s="339" t="s">
        <v>106</v>
      </c>
      <c r="AQ40" s="339" t="s">
        <v>106</v>
      </c>
      <c r="AR40" s="339" t="s">
        <v>106</v>
      </c>
      <c r="AS40" s="104">
        <v>3</v>
      </c>
      <c r="AT40" s="104">
        <v>1.05</v>
      </c>
      <c r="AU40" s="107">
        <f t="shared" si="17"/>
        <v>1</v>
      </c>
      <c r="AV40" s="107">
        <f t="shared" si="18"/>
        <v>1.05</v>
      </c>
      <c r="AW40" s="107" t="str">
        <f t="shared" si="19"/>
        <v>(na,na,na,na,na,na)</v>
      </c>
      <c r="AX40" s="108">
        <v>1</v>
      </c>
      <c r="AY40" s="108">
        <v>1</v>
      </c>
      <c r="AZ40" s="108">
        <v>1</v>
      </c>
      <c r="BA40" s="108">
        <v>1</v>
      </c>
      <c r="BB40" s="108">
        <v>1</v>
      </c>
      <c r="BC40" s="108">
        <v>1</v>
      </c>
      <c r="BE40" s="692" t="s">
        <v>1063</v>
      </c>
      <c r="BF40" s="83">
        <v>2</v>
      </c>
      <c r="BG40" s="83">
        <v>4</v>
      </c>
      <c r="BH40" s="83">
        <v>1</v>
      </c>
      <c r="BI40" s="83">
        <v>3</v>
      </c>
      <c r="BJ40" s="83">
        <v>1</v>
      </c>
      <c r="BK40" s="83">
        <v>5</v>
      </c>
      <c r="BL40" s="104">
        <v>3</v>
      </c>
      <c r="BM40" s="104">
        <v>1.05</v>
      </c>
      <c r="BN40" s="107">
        <f t="shared" si="20"/>
        <v>1.2365959919080913</v>
      </c>
      <c r="BO40" s="107">
        <f t="shared" si="21"/>
        <v>1.2434566510799234</v>
      </c>
      <c r="BP40" s="107" t="str">
        <f t="shared" si="22"/>
        <v>(2,4,1,3,1,5)</v>
      </c>
      <c r="BQ40" s="108">
        <v>1.05</v>
      </c>
      <c r="BR40" s="108">
        <v>1.1000000000000001</v>
      </c>
      <c r="BS40" s="108">
        <v>1</v>
      </c>
      <c r="BT40" s="108">
        <v>1.02</v>
      </c>
      <c r="BU40" s="108">
        <v>1</v>
      </c>
      <c r="BV40" s="108">
        <v>1.2</v>
      </c>
    </row>
    <row r="41" spans="1:74" ht="24">
      <c r="A41" s="330">
        <v>266203</v>
      </c>
      <c r="B41" s="331"/>
      <c r="C41" s="332"/>
      <c r="D41" s="340">
        <v>5</v>
      </c>
      <c r="E41" s="341" t="s">
        <v>98</v>
      </c>
      <c r="F41" s="432" t="s">
        <v>979</v>
      </c>
      <c r="G41" s="433" t="s">
        <v>103</v>
      </c>
      <c r="H41" s="434" t="s">
        <v>98</v>
      </c>
      <c r="I41" s="434" t="s">
        <v>98</v>
      </c>
      <c r="J41" s="94">
        <v>0</v>
      </c>
      <c r="K41" s="433" t="s">
        <v>96</v>
      </c>
      <c r="L41" s="435">
        <f t="shared" si="24"/>
        <v>0</v>
      </c>
      <c r="M41" s="95">
        <v>1</v>
      </c>
      <c r="N41" s="96">
        <f t="shared" si="6"/>
        <v>1.05</v>
      </c>
      <c r="O41" s="432" t="str">
        <f t="shared" si="7"/>
        <v xml:space="preserve">(na,na,na,na,na,na); </v>
      </c>
      <c r="P41" s="435">
        <f t="shared" si="25"/>
        <v>0</v>
      </c>
      <c r="Q41" s="95">
        <v>1</v>
      </c>
      <c r="R41" s="96">
        <f t="shared" si="8"/>
        <v>1.05</v>
      </c>
      <c r="S41" s="457" t="str">
        <f t="shared" si="9"/>
        <v xml:space="preserve">(na,na,na,na,na,na); </v>
      </c>
      <c r="T41" s="435">
        <f t="shared" si="26"/>
        <v>0</v>
      </c>
      <c r="U41" s="95">
        <v>1</v>
      </c>
      <c r="V41" s="96">
        <f t="shared" si="10"/>
        <v>1.05</v>
      </c>
      <c r="W41" s="457" t="str">
        <f t="shared" si="11"/>
        <v xml:space="preserve">(na,na,na,na,na,na); </v>
      </c>
      <c r="X41" s="435">
        <f t="shared" si="27"/>
        <v>0</v>
      </c>
      <c r="Y41" s="95">
        <v>1</v>
      </c>
      <c r="Z41" s="96">
        <f t="shared" si="12"/>
        <v>1.05</v>
      </c>
      <c r="AA41" s="437" t="str">
        <f t="shared" si="13"/>
        <v xml:space="preserve">(na,na,na,na,na,na); </v>
      </c>
      <c r="AB41" s="435">
        <v>0.32627474899999998</v>
      </c>
      <c r="AC41" s="95">
        <v>1</v>
      </c>
      <c r="AD41" s="96">
        <f t="shared" si="14"/>
        <v>1.2434566510799234</v>
      </c>
      <c r="AE41" s="457" t="str">
        <f t="shared" si="15"/>
        <v>(2,4,1,3,1,5); Brailovsky (2026) GM 05; CH iso RoW, at plant iso market, from MLD scenario</v>
      </c>
      <c r="AF41" s="435">
        <v>0.32627474899999998</v>
      </c>
      <c r="AG41" s="95">
        <v>1</v>
      </c>
      <c r="AH41" s="96">
        <f t="shared" si="23"/>
        <v>1.05</v>
      </c>
      <c r="AI41" s="432" t="str">
        <f t="shared" si="16"/>
        <v>(2,4,1,3,1,5); Brailovsky (2026) GM 05; CH iso RoW, at plant iso market, from MLD scenario</v>
      </c>
      <c r="AJ41" s="112"/>
      <c r="AK41" s="435"/>
      <c r="AL41" s="216"/>
      <c r="AM41" s="339" t="s">
        <v>106</v>
      </c>
      <c r="AN41" s="339" t="s">
        <v>106</v>
      </c>
      <c r="AO41" s="339" t="s">
        <v>106</v>
      </c>
      <c r="AP41" s="339" t="s">
        <v>106</v>
      </c>
      <c r="AQ41" s="339" t="s">
        <v>106</v>
      </c>
      <c r="AR41" s="339" t="s">
        <v>106</v>
      </c>
      <c r="AS41" s="104">
        <v>3</v>
      </c>
      <c r="AT41" s="104">
        <v>1.05</v>
      </c>
      <c r="AU41" s="107">
        <f t="shared" si="17"/>
        <v>1</v>
      </c>
      <c r="AV41" s="107">
        <f t="shared" si="18"/>
        <v>1.05</v>
      </c>
      <c r="AW41" s="107" t="str">
        <f t="shared" si="19"/>
        <v>(na,na,na,na,na,na)</v>
      </c>
      <c r="AX41" s="108">
        <v>1</v>
      </c>
      <c r="AY41" s="108">
        <v>1</v>
      </c>
      <c r="AZ41" s="108">
        <v>1</v>
      </c>
      <c r="BA41" s="108">
        <v>1</v>
      </c>
      <c r="BB41" s="108">
        <v>1</v>
      </c>
      <c r="BC41" s="108">
        <v>1</v>
      </c>
      <c r="BE41" s="692" t="s">
        <v>1064</v>
      </c>
      <c r="BF41" s="83">
        <v>2</v>
      </c>
      <c r="BG41" s="83">
        <v>4</v>
      </c>
      <c r="BH41" s="83">
        <v>1</v>
      </c>
      <c r="BI41" s="83">
        <v>3</v>
      </c>
      <c r="BJ41" s="83">
        <v>1</v>
      </c>
      <c r="BK41" s="83">
        <v>5</v>
      </c>
      <c r="BL41" s="104">
        <v>3</v>
      </c>
      <c r="BM41" s="104">
        <v>1.05</v>
      </c>
      <c r="BN41" s="107">
        <f t="shared" si="20"/>
        <v>1.2365959919080913</v>
      </c>
      <c r="BO41" s="107">
        <f t="shared" si="21"/>
        <v>1.2434566510799234</v>
      </c>
      <c r="BP41" s="107" t="str">
        <f t="shared" si="22"/>
        <v>(2,4,1,3,1,5)</v>
      </c>
      <c r="BQ41" s="108">
        <v>1.05</v>
      </c>
      <c r="BR41" s="108">
        <v>1.1000000000000001</v>
      </c>
      <c r="BS41" s="108">
        <v>1</v>
      </c>
      <c r="BT41" s="108">
        <v>1.02</v>
      </c>
      <c r="BU41" s="108">
        <v>1</v>
      </c>
      <c r="BV41" s="108">
        <v>1.2</v>
      </c>
    </row>
    <row r="42" spans="1:74" s="171" customFormat="1">
      <c r="A42" s="333">
        <v>269231</v>
      </c>
      <c r="B42" s="216" t="s">
        <v>983</v>
      </c>
      <c r="C42" s="334"/>
      <c r="D42" s="342">
        <v>5</v>
      </c>
      <c r="E42" s="343" t="s">
        <v>98</v>
      </c>
      <c r="F42" s="437" t="s">
        <v>395</v>
      </c>
      <c r="G42" s="438" t="s">
        <v>93</v>
      </c>
      <c r="H42" s="439" t="s">
        <v>98</v>
      </c>
      <c r="I42" s="439" t="s">
        <v>98</v>
      </c>
      <c r="J42" s="335">
        <v>0</v>
      </c>
      <c r="K42" s="438" t="s">
        <v>96</v>
      </c>
      <c r="L42" s="440">
        <f t="shared" si="24"/>
        <v>0</v>
      </c>
      <c r="M42" s="336">
        <v>1</v>
      </c>
      <c r="N42" s="337">
        <f t="shared" si="6"/>
        <v>1.05</v>
      </c>
      <c r="O42" s="437" t="str">
        <f t="shared" si="7"/>
        <v xml:space="preserve">(na,na,na,na,na,na); </v>
      </c>
      <c r="P42" s="440">
        <f t="shared" si="25"/>
        <v>0</v>
      </c>
      <c r="Q42" s="336">
        <v>1</v>
      </c>
      <c r="R42" s="337">
        <f t="shared" si="8"/>
        <v>1.05</v>
      </c>
      <c r="S42" s="455" t="str">
        <f t="shared" si="9"/>
        <v xml:space="preserve">(na,na,na,na,na,na); </v>
      </c>
      <c r="T42" s="440">
        <f t="shared" si="26"/>
        <v>0</v>
      </c>
      <c r="U42" s="336">
        <v>1</v>
      </c>
      <c r="V42" s="337">
        <f t="shared" si="10"/>
        <v>1.05</v>
      </c>
      <c r="W42" s="455" t="str">
        <f t="shared" si="11"/>
        <v xml:space="preserve">(na,na,na,na,na,na); </v>
      </c>
      <c r="X42" s="440">
        <f t="shared" si="27"/>
        <v>0</v>
      </c>
      <c r="Y42" s="336">
        <v>1</v>
      </c>
      <c r="Z42" s="337">
        <f t="shared" si="12"/>
        <v>1.05</v>
      </c>
      <c r="AA42" s="437" t="str">
        <f t="shared" si="13"/>
        <v xml:space="preserve">(na,na,na,na,na,na); </v>
      </c>
      <c r="AB42" s="440">
        <v>0.214</v>
      </c>
      <c r="AC42" s="336">
        <v>1</v>
      </c>
      <c r="AD42" s="337">
        <f t="shared" si="14"/>
        <v>1.2434566510799234</v>
      </c>
      <c r="AE42" s="455" t="str">
        <f t="shared" si="15"/>
        <v>(2,4,1,3,1,5); Brailovsky (2026) GM 05</v>
      </c>
      <c r="AF42" s="440">
        <v>0.214</v>
      </c>
      <c r="AG42" s="336">
        <v>1</v>
      </c>
      <c r="AH42" s="337">
        <f t="shared" si="23"/>
        <v>1.05</v>
      </c>
      <c r="AI42" s="437" t="str">
        <f t="shared" si="16"/>
        <v>(2,4,1,3,1,5); Brailovsky (2026) GM 05</v>
      </c>
      <c r="AJ42" s="338"/>
      <c r="AK42" s="440"/>
      <c r="AL42" s="216"/>
      <c r="AM42" s="339" t="s">
        <v>106</v>
      </c>
      <c r="AN42" s="339" t="s">
        <v>106</v>
      </c>
      <c r="AO42" s="339" t="s">
        <v>106</v>
      </c>
      <c r="AP42" s="339" t="s">
        <v>106</v>
      </c>
      <c r="AQ42" s="339" t="s">
        <v>106</v>
      </c>
      <c r="AR42" s="339" t="s">
        <v>106</v>
      </c>
      <c r="AS42" s="104">
        <v>3</v>
      </c>
      <c r="AT42" s="104">
        <v>1.05</v>
      </c>
      <c r="AU42" s="107">
        <f t="shared" si="17"/>
        <v>1</v>
      </c>
      <c r="AV42" s="107">
        <f t="shared" si="18"/>
        <v>1.05</v>
      </c>
      <c r="AW42" s="107" t="str">
        <f t="shared" si="19"/>
        <v>(na,na,na,na,na,na)</v>
      </c>
      <c r="AX42" s="108">
        <v>1</v>
      </c>
      <c r="AY42" s="108">
        <v>1</v>
      </c>
      <c r="AZ42" s="108">
        <v>1</v>
      </c>
      <c r="BA42" s="108">
        <v>1</v>
      </c>
      <c r="BB42" s="108">
        <v>1</v>
      </c>
      <c r="BC42" s="108">
        <v>1</v>
      </c>
      <c r="BE42" s="691" t="s">
        <v>1044</v>
      </c>
      <c r="BF42" s="83">
        <v>2</v>
      </c>
      <c r="BG42" s="83">
        <v>4</v>
      </c>
      <c r="BH42" s="83">
        <v>1</v>
      </c>
      <c r="BI42" s="83">
        <v>3</v>
      </c>
      <c r="BJ42" s="83">
        <v>1</v>
      </c>
      <c r="BK42" s="83">
        <v>5</v>
      </c>
      <c r="BL42" s="104">
        <v>3</v>
      </c>
      <c r="BM42" s="104">
        <v>1.05</v>
      </c>
      <c r="BN42" s="107">
        <f t="shared" si="20"/>
        <v>1.2365959919080913</v>
      </c>
      <c r="BO42" s="107">
        <f t="shared" si="21"/>
        <v>1.2434566510799234</v>
      </c>
      <c r="BP42" s="107" t="str">
        <f t="shared" si="22"/>
        <v>(2,4,1,3,1,5)</v>
      </c>
      <c r="BQ42" s="108">
        <v>1.05</v>
      </c>
      <c r="BR42" s="108">
        <v>1.1000000000000001</v>
      </c>
      <c r="BS42" s="108">
        <v>1</v>
      </c>
      <c r="BT42" s="108">
        <v>1.02</v>
      </c>
      <c r="BU42" s="108">
        <v>1</v>
      </c>
      <c r="BV42" s="108">
        <v>1.2</v>
      </c>
    </row>
    <row r="43" spans="1:74" s="171" customFormat="1" ht="24">
      <c r="A43" s="333">
        <v>269223</v>
      </c>
      <c r="B43" s="216"/>
      <c r="C43" s="334"/>
      <c r="D43" s="342">
        <v>5</v>
      </c>
      <c r="E43" s="343" t="s">
        <v>98</v>
      </c>
      <c r="F43" s="437" t="s">
        <v>318</v>
      </c>
      <c r="G43" s="438" t="s">
        <v>93</v>
      </c>
      <c r="H43" s="439" t="s">
        <v>98</v>
      </c>
      <c r="I43" s="439" t="s">
        <v>98</v>
      </c>
      <c r="J43" s="335">
        <v>0</v>
      </c>
      <c r="K43" s="438" t="s">
        <v>96</v>
      </c>
      <c r="L43" s="440">
        <f t="shared" si="24"/>
        <v>1.1505588428665301</v>
      </c>
      <c r="M43" s="336">
        <v>1</v>
      </c>
      <c r="N43" s="337">
        <f t="shared" si="6"/>
        <v>1.2237593405947058</v>
      </c>
      <c r="O43" s="437" t="str">
        <f t="shared" si="7"/>
        <v>(2,2,4,1,1,3); de Wild-Scholten (2014) Life Cycle Assessment of Photovoltaics Status 2011, Part 1 Data Collection (Table 30,31)</v>
      </c>
      <c r="P43" s="440">
        <f t="shared" si="25"/>
        <v>1.1505588428665301</v>
      </c>
      <c r="Q43" s="336">
        <v>1</v>
      </c>
      <c r="R43" s="337">
        <f t="shared" si="8"/>
        <v>1.2237593405947058</v>
      </c>
      <c r="S43" s="455" t="str">
        <f t="shared" si="9"/>
        <v>(2,2,4,1,1,3); de Wild-Scholten (2014) Life Cycle Assessment of Photovoltaics Status 2011, Part 1 Data Collection (Table 30,31)</v>
      </c>
      <c r="T43" s="440">
        <f t="shared" si="26"/>
        <v>1.1505588428665301</v>
      </c>
      <c r="U43" s="336">
        <v>1</v>
      </c>
      <c r="V43" s="337">
        <f t="shared" si="10"/>
        <v>1.2237593405947058</v>
      </c>
      <c r="W43" s="455" t="str">
        <f t="shared" si="11"/>
        <v>(2,2,4,1,1,3); de Wild-Scholten (2014) Life Cycle Assessment of Photovoltaics Status 2011, Part 1 Data Collection (Table 30,31)</v>
      </c>
      <c r="X43" s="440">
        <f t="shared" si="27"/>
        <v>1.1505588428665301</v>
      </c>
      <c r="Y43" s="336">
        <v>1</v>
      </c>
      <c r="Z43" s="337">
        <f t="shared" si="12"/>
        <v>1.2237593405947058</v>
      </c>
      <c r="AA43" s="437" t="str">
        <f t="shared" si="13"/>
        <v>(2,2,4,1,1,3); de Wild-Scholten (2014) Life Cycle Assessment of Photovoltaics Status 2011, Part 1 Data Collection (Table 30,31)</v>
      </c>
      <c r="AB43" s="440">
        <v>0.98</v>
      </c>
      <c r="AC43" s="336">
        <v>1</v>
      </c>
      <c r="AD43" s="337">
        <f t="shared" si="14"/>
        <v>1.2434566510799234</v>
      </c>
      <c r="AE43" s="455" t="str">
        <f t="shared" si="15"/>
        <v>(2,4,1,3,1,5); Brailovsky (2026) GM 05</v>
      </c>
      <c r="AF43" s="440">
        <v>0.98</v>
      </c>
      <c r="AG43" s="336">
        <v>1</v>
      </c>
      <c r="AH43" s="337">
        <f t="shared" si="23"/>
        <v>1.2237593405947058</v>
      </c>
      <c r="AI43" s="437" t="str">
        <f t="shared" si="16"/>
        <v>(2,4,1,3,1,5); Brailovsky (2026) GM 05</v>
      </c>
      <c r="AJ43" s="338"/>
      <c r="AK43" s="440">
        <v>1.1505588428665301</v>
      </c>
      <c r="AL43" s="216" t="s">
        <v>1012</v>
      </c>
      <c r="AM43" s="83">
        <v>2</v>
      </c>
      <c r="AN43" s="83">
        <v>2</v>
      </c>
      <c r="AO43" s="83">
        <v>4</v>
      </c>
      <c r="AP43" s="83">
        <v>1</v>
      </c>
      <c r="AQ43" s="83">
        <v>1</v>
      </c>
      <c r="AR43" s="83">
        <v>3</v>
      </c>
      <c r="AS43" s="104">
        <v>3</v>
      </c>
      <c r="AT43" s="104">
        <v>1.05</v>
      </c>
      <c r="AU43" s="107">
        <f t="shared" si="17"/>
        <v>1.2164594125584303</v>
      </c>
      <c r="AV43" s="107">
        <f t="shared" si="18"/>
        <v>1.2237593405947058</v>
      </c>
      <c r="AW43" s="107" t="str">
        <f t="shared" si="19"/>
        <v>(2,2,4,1,1,3)</v>
      </c>
      <c r="AX43" s="108">
        <v>1.05</v>
      </c>
      <c r="AY43" s="108">
        <v>1.02</v>
      </c>
      <c r="AZ43" s="108">
        <v>1.2</v>
      </c>
      <c r="BA43" s="108">
        <v>1</v>
      </c>
      <c r="BB43" s="108">
        <v>1</v>
      </c>
      <c r="BC43" s="108">
        <v>1.05</v>
      </c>
      <c r="BE43" s="691" t="s">
        <v>1044</v>
      </c>
      <c r="BF43" s="83">
        <v>2</v>
      </c>
      <c r="BG43" s="83">
        <v>4</v>
      </c>
      <c r="BH43" s="83">
        <v>1</v>
      </c>
      <c r="BI43" s="83">
        <v>3</v>
      </c>
      <c r="BJ43" s="83">
        <v>1</v>
      </c>
      <c r="BK43" s="83">
        <v>5</v>
      </c>
      <c r="BL43" s="104">
        <v>3</v>
      </c>
      <c r="BM43" s="104">
        <v>1.05</v>
      </c>
      <c r="BN43" s="107">
        <f t="shared" si="20"/>
        <v>1.2365959919080913</v>
      </c>
      <c r="BO43" s="107">
        <f t="shared" si="21"/>
        <v>1.2434566510799234</v>
      </c>
      <c r="BP43" s="107" t="str">
        <f t="shared" si="22"/>
        <v>(2,4,1,3,1,5)</v>
      </c>
      <c r="BQ43" s="108">
        <v>1.05</v>
      </c>
      <c r="BR43" s="108">
        <v>1.1000000000000001</v>
      </c>
      <c r="BS43" s="108">
        <v>1</v>
      </c>
      <c r="BT43" s="108">
        <v>1.02</v>
      </c>
      <c r="BU43" s="108">
        <v>1</v>
      </c>
      <c r="BV43" s="108">
        <v>1.2</v>
      </c>
    </row>
    <row r="44" spans="1:74" s="171" customFormat="1" ht="24">
      <c r="A44" s="333">
        <v>261889</v>
      </c>
      <c r="B44" s="216"/>
      <c r="C44" s="334"/>
      <c r="D44" s="342">
        <v>5</v>
      </c>
      <c r="E44" s="343" t="s">
        <v>98</v>
      </c>
      <c r="F44" s="437" t="s">
        <v>986</v>
      </c>
      <c r="G44" s="438" t="s">
        <v>93</v>
      </c>
      <c r="H44" s="439" t="s">
        <v>98</v>
      </c>
      <c r="I44" s="439" t="s">
        <v>98</v>
      </c>
      <c r="J44" s="335">
        <v>0</v>
      </c>
      <c r="K44" s="438" t="s">
        <v>96</v>
      </c>
      <c r="L44" s="440">
        <f t="shared" si="24"/>
        <v>2.9092702169625298E-3</v>
      </c>
      <c r="M44" s="336">
        <v>1</v>
      </c>
      <c r="N44" s="337">
        <f t="shared" si="6"/>
        <v>1.2237593405947058</v>
      </c>
      <c r="O44" s="437" t="str">
        <f t="shared" si="7"/>
        <v>(2,2,4,1,1,3); de Wild-Scholten (2014) Life Cycle Assessment of Photovoltaics Status 2011, Part 1 Data Collection (Table 30,31)</v>
      </c>
      <c r="P44" s="440">
        <f t="shared" si="25"/>
        <v>2.9092702169625298E-3</v>
      </c>
      <c r="Q44" s="336">
        <v>1</v>
      </c>
      <c r="R44" s="337">
        <f t="shared" si="8"/>
        <v>1.2237593405947058</v>
      </c>
      <c r="S44" s="455" t="str">
        <f t="shared" si="9"/>
        <v>(2,2,4,1,1,3); de Wild-Scholten (2014) Life Cycle Assessment of Photovoltaics Status 2011, Part 1 Data Collection (Table 30,31)</v>
      </c>
      <c r="T44" s="440">
        <f t="shared" si="26"/>
        <v>2.9092702169625298E-3</v>
      </c>
      <c r="U44" s="336">
        <v>1</v>
      </c>
      <c r="V44" s="337">
        <f t="shared" si="10"/>
        <v>1.2237593405947058</v>
      </c>
      <c r="W44" s="455" t="str">
        <f t="shared" si="11"/>
        <v>(2,2,4,1,1,3); de Wild-Scholten (2014) Life Cycle Assessment of Photovoltaics Status 2011, Part 1 Data Collection (Table 30,31)</v>
      </c>
      <c r="X44" s="440">
        <f t="shared" si="27"/>
        <v>2.9092702169625298E-3</v>
      </c>
      <c r="Y44" s="336">
        <v>1</v>
      </c>
      <c r="Z44" s="337">
        <f t="shared" si="12"/>
        <v>1.2237593405947058</v>
      </c>
      <c r="AA44" s="437" t="str">
        <f t="shared" si="13"/>
        <v>(2,2,4,1,1,3); de Wild-Scholten (2014) Life Cycle Assessment of Photovoltaics Status 2011, Part 1 Data Collection (Table 30,31)</v>
      </c>
      <c r="AB44" s="440">
        <v>2.8600000000000001E-3</v>
      </c>
      <c r="AC44" s="336">
        <v>1</v>
      </c>
      <c r="AD44" s="337">
        <f t="shared" si="14"/>
        <v>1.2434566510799234</v>
      </c>
      <c r="AE44" s="455" t="str">
        <f t="shared" si="15"/>
        <v>(2,4,1,3,1,5); Brailovsky (2026) GM 05</v>
      </c>
      <c r="AF44" s="440">
        <v>2.8600000000000001E-3</v>
      </c>
      <c r="AG44" s="336">
        <v>1</v>
      </c>
      <c r="AH44" s="337">
        <f t="shared" si="23"/>
        <v>1.2237593405947058</v>
      </c>
      <c r="AI44" s="437" t="str">
        <f t="shared" si="16"/>
        <v>(2,4,1,3,1,5); Brailovsky (2026) GM 05</v>
      </c>
      <c r="AJ44" s="338"/>
      <c r="AK44" s="440">
        <v>2.9092702169625298E-3</v>
      </c>
      <c r="AL44" s="216" t="s">
        <v>1012</v>
      </c>
      <c r="AM44" s="83">
        <v>2</v>
      </c>
      <c r="AN44" s="83">
        <v>2</v>
      </c>
      <c r="AO44" s="83">
        <v>4</v>
      </c>
      <c r="AP44" s="83">
        <v>1</v>
      </c>
      <c r="AQ44" s="83">
        <v>1</v>
      </c>
      <c r="AR44" s="83">
        <v>3</v>
      </c>
      <c r="AS44" s="104">
        <v>3</v>
      </c>
      <c r="AT44" s="104">
        <v>1.05</v>
      </c>
      <c r="AU44" s="107">
        <f t="shared" si="17"/>
        <v>1.2164594125584303</v>
      </c>
      <c r="AV44" s="107">
        <f t="shared" si="18"/>
        <v>1.2237593405947058</v>
      </c>
      <c r="AW44" s="107" t="str">
        <f t="shared" si="19"/>
        <v>(2,2,4,1,1,3)</v>
      </c>
      <c r="AX44" s="108">
        <v>1.05</v>
      </c>
      <c r="AY44" s="108">
        <v>1.02</v>
      </c>
      <c r="AZ44" s="108">
        <v>1.2</v>
      </c>
      <c r="BA44" s="108">
        <v>1</v>
      </c>
      <c r="BB44" s="108">
        <v>1</v>
      </c>
      <c r="BC44" s="108">
        <v>1.05</v>
      </c>
      <c r="BE44" s="691" t="s">
        <v>1044</v>
      </c>
      <c r="BF44" s="83">
        <v>2</v>
      </c>
      <c r="BG44" s="83">
        <v>4</v>
      </c>
      <c r="BH44" s="83">
        <v>1</v>
      </c>
      <c r="BI44" s="83">
        <v>3</v>
      </c>
      <c r="BJ44" s="83">
        <v>1</v>
      </c>
      <c r="BK44" s="83">
        <v>5</v>
      </c>
      <c r="BL44" s="104">
        <v>3</v>
      </c>
      <c r="BM44" s="104">
        <v>1.05</v>
      </c>
      <c r="BN44" s="107">
        <f t="shared" si="20"/>
        <v>1.2365959919080913</v>
      </c>
      <c r="BO44" s="107">
        <f t="shared" si="21"/>
        <v>1.2434566510799234</v>
      </c>
      <c r="BP44" s="107" t="str">
        <f t="shared" si="22"/>
        <v>(2,4,1,3,1,5)</v>
      </c>
      <c r="BQ44" s="108">
        <v>1.05</v>
      </c>
      <c r="BR44" s="108">
        <v>1.1000000000000001</v>
      </c>
      <c r="BS44" s="108">
        <v>1</v>
      </c>
      <c r="BT44" s="108">
        <v>1.02</v>
      </c>
      <c r="BU44" s="108">
        <v>1</v>
      </c>
      <c r="BV44" s="108">
        <v>1.2</v>
      </c>
    </row>
    <row r="45" spans="1:74" s="171" customFormat="1" ht="48">
      <c r="A45" s="333">
        <v>269257</v>
      </c>
      <c r="B45" s="216"/>
      <c r="C45" s="334"/>
      <c r="D45" s="342">
        <v>5</v>
      </c>
      <c r="E45" s="343" t="s">
        <v>98</v>
      </c>
      <c r="F45" s="437" t="s">
        <v>463</v>
      </c>
      <c r="G45" s="438" t="s">
        <v>93</v>
      </c>
      <c r="H45" s="439" t="s">
        <v>98</v>
      </c>
      <c r="I45" s="439" t="s">
        <v>98</v>
      </c>
      <c r="J45" s="335">
        <v>0</v>
      </c>
      <c r="K45" s="438" t="s">
        <v>96</v>
      </c>
      <c r="L45" s="440">
        <f t="shared" si="24"/>
        <v>0</v>
      </c>
      <c r="M45" s="336">
        <v>1</v>
      </c>
      <c r="N45" s="337">
        <f t="shared" ref="N45:N76" si="28">$AV45</f>
        <v>1.05</v>
      </c>
      <c r="O45" s="437" t="str">
        <f t="shared" ref="O45:O76" si="29">$AW45&amp;"; "&amp;$AL45</f>
        <v xml:space="preserve">(na,na,na,na,na,na); </v>
      </c>
      <c r="P45" s="440">
        <f t="shared" si="25"/>
        <v>0</v>
      </c>
      <c r="Q45" s="336">
        <v>1</v>
      </c>
      <c r="R45" s="337">
        <f t="shared" ref="R45:R76" si="30">$AV45</f>
        <v>1.05</v>
      </c>
      <c r="S45" s="455" t="str">
        <f t="shared" ref="S45:S76" si="31">$AW45&amp;"; "&amp;$AL45</f>
        <v xml:space="preserve">(na,na,na,na,na,na); </v>
      </c>
      <c r="T45" s="440">
        <f t="shared" si="26"/>
        <v>0</v>
      </c>
      <c r="U45" s="336">
        <v>1</v>
      </c>
      <c r="V45" s="337">
        <f t="shared" ref="V45:V76" si="32">$AV45</f>
        <v>1.05</v>
      </c>
      <c r="W45" s="455" t="str">
        <f t="shared" ref="W45:W76" si="33">$AW45&amp;"; "&amp;$AL45</f>
        <v xml:space="preserve">(na,na,na,na,na,na); </v>
      </c>
      <c r="X45" s="440">
        <f t="shared" si="27"/>
        <v>0</v>
      </c>
      <c r="Y45" s="336">
        <v>1</v>
      </c>
      <c r="Z45" s="337">
        <f t="shared" ref="Z45:Z76" si="34">$AV45</f>
        <v>1.05</v>
      </c>
      <c r="AA45" s="437" t="str">
        <f t="shared" ref="AA45:AA76" si="35">$AW45&amp;"; "&amp;$AL45</f>
        <v xml:space="preserve">(na,na,na,na,na,na); </v>
      </c>
      <c r="AB45" s="440">
        <v>1.8699999999999999E-3</v>
      </c>
      <c r="AC45" s="336">
        <v>1</v>
      </c>
      <c r="AD45" s="337">
        <f t="shared" ref="AD45:AD76" si="36">$BO45</f>
        <v>1.2501840281856362</v>
      </c>
      <c r="AE45" s="455" t="str">
        <f t="shared" ref="AE45:AE76" si="37">$BP45&amp;"; "&amp;$BE45</f>
        <v>(2,4,1,3,3,3); GM 05; According to Brailovsky (2026), nitrous oxide is used as a process input. As there is no corresponding dataset in the UVEK database, the 'ammonia, liquid' dataset is used as a proxy.</v>
      </c>
      <c r="AF45" s="440">
        <v>1.8699999999999999E-3</v>
      </c>
      <c r="AG45" s="336">
        <v>1</v>
      </c>
      <c r="AH45" s="337">
        <f t="shared" si="23"/>
        <v>1.05</v>
      </c>
      <c r="AI45" s="437" t="str">
        <f t="shared" ref="AI45:AI76" si="38">$BP45&amp;"; "&amp;$BE45</f>
        <v>(2,4,1,3,3,3); GM 05; According to Brailovsky (2026), nitrous oxide is used as a process input. As there is no corresponding dataset in the UVEK database, the 'ammonia, liquid' dataset is used as a proxy.</v>
      </c>
      <c r="AJ45" s="338"/>
      <c r="AK45" s="440"/>
      <c r="AL45" s="216"/>
      <c r="AM45" s="339" t="s">
        <v>106</v>
      </c>
      <c r="AN45" s="339" t="s">
        <v>106</v>
      </c>
      <c r="AO45" s="339" t="s">
        <v>106</v>
      </c>
      <c r="AP45" s="339" t="s">
        <v>106</v>
      </c>
      <c r="AQ45" s="339" t="s">
        <v>106</v>
      </c>
      <c r="AR45" s="339" t="s">
        <v>106</v>
      </c>
      <c r="AS45" s="104">
        <v>3</v>
      </c>
      <c r="AT45" s="104">
        <v>1.05</v>
      </c>
      <c r="AU45" s="107">
        <f t="shared" ref="AU45:AU76" si="39">EXP(SQRT((LN(AX45)^2)+(LN(AY45)^2)+(LN(AZ45)^2)+(LN(BA45)^2)+(LN(BB45)^2)+(LN(BC45)^2)))</f>
        <v>1</v>
      </c>
      <c r="AV45" s="107">
        <f t="shared" ref="AV45:AV76" si="40">EXP(SQRT((LN(AX45)^2)+(LN(AY45)^2)+(LN(AZ45)^2)+(LN(BA45)^2)+(LN(BB45)^2)+(LN(BC45)^2)+LN(AT45)^2))</f>
        <v>1.05</v>
      </c>
      <c r="AW45" s="107" t="str">
        <f t="shared" ref="AW45:AW76" si="41">CONCATENATE("(",AM45,",",AN45,",",AO45,",",AP45,",",AQ45,",",AR45,")")</f>
        <v>(na,na,na,na,na,na)</v>
      </c>
      <c r="AX45" s="108">
        <v>1</v>
      </c>
      <c r="AY45" s="108">
        <v>1</v>
      </c>
      <c r="AZ45" s="108">
        <v>1</v>
      </c>
      <c r="BA45" s="108">
        <v>1</v>
      </c>
      <c r="BB45" s="108">
        <v>1</v>
      </c>
      <c r="BC45" s="108">
        <v>1</v>
      </c>
      <c r="BE45" s="691" t="s">
        <v>1065</v>
      </c>
      <c r="BF45" s="83">
        <v>2</v>
      </c>
      <c r="BG45" s="83">
        <v>4</v>
      </c>
      <c r="BH45" s="83">
        <v>1</v>
      </c>
      <c r="BI45" s="83">
        <v>3</v>
      </c>
      <c r="BJ45" s="83">
        <v>3</v>
      </c>
      <c r="BK45" s="83">
        <v>3</v>
      </c>
      <c r="BL45" s="104">
        <v>3</v>
      </c>
      <c r="BM45" s="104">
        <v>1.05</v>
      </c>
      <c r="BN45" s="107">
        <f t="shared" ref="BN45:BN76" si="42">EXP(SQRT((LN(BQ45)^2)+(LN(BR45)^2)+(LN(BS45)^2)+(LN(BT45)^2)+(LN(BU45)^2)+(LN(BV45)^2)))</f>
        <v>1.2434566510799234</v>
      </c>
      <c r="BO45" s="107">
        <f t="shared" ref="BO45:BO76" si="43">EXP(SQRT((LN(BQ45)^2)+(LN(BR45)^2)+(LN(BS45)^2)+(LN(BT45)^2)+(LN(BU45)^2)+(LN(BV45)^2)+LN(BM45)^2))</f>
        <v>1.2501840281856362</v>
      </c>
      <c r="BP45" s="107" t="str">
        <f t="shared" ref="BP45:BP76" si="44">CONCATENATE("(",BF45,",",BG45,",",BH45,",",BI45,",",BJ45,",",BK45,")")</f>
        <v>(2,4,1,3,3,3)</v>
      </c>
      <c r="BQ45" s="108">
        <v>1.05</v>
      </c>
      <c r="BR45" s="108">
        <v>1.1000000000000001</v>
      </c>
      <c r="BS45" s="108">
        <v>1</v>
      </c>
      <c r="BT45" s="108">
        <v>1.02</v>
      </c>
      <c r="BU45" s="108">
        <v>1.2</v>
      </c>
      <c r="BV45" s="108">
        <v>1.05</v>
      </c>
    </row>
    <row r="46" spans="1:74" s="171" customFormat="1" ht="24">
      <c r="A46" s="333">
        <v>265763</v>
      </c>
      <c r="B46" s="216" t="s">
        <v>191</v>
      </c>
      <c r="C46" s="334"/>
      <c r="D46" s="342">
        <v>5</v>
      </c>
      <c r="E46" s="343" t="s">
        <v>98</v>
      </c>
      <c r="F46" s="437" t="s">
        <v>488</v>
      </c>
      <c r="G46" s="438" t="s">
        <v>372</v>
      </c>
      <c r="H46" s="439" t="s">
        <v>98</v>
      </c>
      <c r="I46" s="439" t="s">
        <v>98</v>
      </c>
      <c r="J46" s="335">
        <v>0</v>
      </c>
      <c r="K46" s="438" t="s">
        <v>96</v>
      </c>
      <c r="L46" s="440">
        <f>$X$53</f>
        <v>170.94017094017099</v>
      </c>
      <c r="M46" s="336">
        <v>1</v>
      </c>
      <c r="N46" s="337">
        <f t="shared" si="28"/>
        <v>1.2237593405947058</v>
      </c>
      <c r="O46" s="437" t="str">
        <f t="shared" si="29"/>
        <v>(2,2,4,1,1,3); de Wild-Scholten (2014) Life Cycle Assessment of Photovoltaics Status 2011, Part 1 Data Collection (Table 30,31)</v>
      </c>
      <c r="P46" s="440">
        <v>0</v>
      </c>
      <c r="Q46" s="336">
        <v>1</v>
      </c>
      <c r="R46" s="337">
        <f t="shared" si="30"/>
        <v>1.2237593405947058</v>
      </c>
      <c r="S46" s="455" t="str">
        <f t="shared" si="31"/>
        <v>(2,2,4,1,1,3); de Wild-Scholten (2014) Life Cycle Assessment of Photovoltaics Status 2011, Part 1 Data Collection (Table 30,31)</v>
      </c>
      <c r="T46" s="440">
        <v>0</v>
      </c>
      <c r="U46" s="336">
        <v>1</v>
      </c>
      <c r="V46" s="337">
        <f t="shared" si="32"/>
        <v>1.2237593405947058</v>
      </c>
      <c r="W46" s="455" t="str">
        <f t="shared" si="33"/>
        <v>(2,2,4,1,1,3); de Wild-Scholten (2014) Life Cycle Assessment of Photovoltaics Status 2011, Part 1 Data Collection (Table 30,31)</v>
      </c>
      <c r="X46" s="440">
        <v>0</v>
      </c>
      <c r="Y46" s="336">
        <v>1</v>
      </c>
      <c r="Z46" s="337">
        <f t="shared" si="34"/>
        <v>1.2237593405947058</v>
      </c>
      <c r="AA46" s="437" t="str">
        <f t="shared" si="35"/>
        <v>(2,2,4,1,1,3); de Wild-Scholten (2014) Life Cycle Assessment of Photovoltaics Status 2011, Part 1 Data Collection (Table 30,31)</v>
      </c>
      <c r="AB46" s="440">
        <v>0</v>
      </c>
      <c r="AC46" s="336">
        <v>1</v>
      </c>
      <c r="AD46" s="337">
        <f t="shared" si="36"/>
        <v>1.2434566510799234</v>
      </c>
      <c r="AE46" s="455" t="str">
        <f t="shared" si="37"/>
        <v>(2,4,1,3,1,5); Brailovsky (2026), GM 06</v>
      </c>
      <c r="AF46" s="440">
        <f>10.29</f>
        <v>10.29</v>
      </c>
      <c r="AG46" s="336">
        <v>1</v>
      </c>
      <c r="AH46" s="337">
        <f t="shared" ref="AH46:AH77" si="45">$AV46</f>
        <v>1.2237593405947058</v>
      </c>
      <c r="AI46" s="437" t="str">
        <f t="shared" si="38"/>
        <v>(2,4,1,3,1,5); Brailovsky (2026), GM 06</v>
      </c>
      <c r="AJ46" s="338"/>
      <c r="AK46" s="440">
        <v>0</v>
      </c>
      <c r="AL46" s="216" t="s">
        <v>1012</v>
      </c>
      <c r="AM46" s="83">
        <v>2</v>
      </c>
      <c r="AN46" s="83">
        <v>2</v>
      </c>
      <c r="AO46" s="83">
        <v>4</v>
      </c>
      <c r="AP46" s="83">
        <v>1</v>
      </c>
      <c r="AQ46" s="83">
        <v>1</v>
      </c>
      <c r="AR46" s="83">
        <v>3</v>
      </c>
      <c r="AS46" s="104">
        <v>3</v>
      </c>
      <c r="AT46" s="104">
        <v>1.05</v>
      </c>
      <c r="AU46" s="107">
        <f t="shared" si="39"/>
        <v>1.2164594125584303</v>
      </c>
      <c r="AV46" s="107">
        <f t="shared" si="40"/>
        <v>1.2237593405947058</v>
      </c>
      <c r="AW46" s="107" t="str">
        <f t="shared" si="41"/>
        <v>(2,2,4,1,1,3)</v>
      </c>
      <c r="AX46" s="108">
        <v>1.05</v>
      </c>
      <c r="AY46" s="108">
        <v>1.02</v>
      </c>
      <c r="AZ46" s="108">
        <v>1.2</v>
      </c>
      <c r="BA46" s="108">
        <v>1</v>
      </c>
      <c r="BB46" s="108">
        <v>1</v>
      </c>
      <c r="BC46" s="108">
        <v>1.05</v>
      </c>
      <c r="BE46" s="691" t="s">
        <v>1066</v>
      </c>
      <c r="BF46" s="83">
        <v>2</v>
      </c>
      <c r="BG46" s="83">
        <v>4</v>
      </c>
      <c r="BH46" s="83">
        <v>1</v>
      </c>
      <c r="BI46" s="83">
        <v>3</v>
      </c>
      <c r="BJ46" s="83">
        <v>1</v>
      </c>
      <c r="BK46" s="83">
        <v>5</v>
      </c>
      <c r="BL46" s="104">
        <v>3</v>
      </c>
      <c r="BM46" s="104">
        <v>1.05</v>
      </c>
      <c r="BN46" s="107">
        <f t="shared" si="42"/>
        <v>1.2365959919080913</v>
      </c>
      <c r="BO46" s="107">
        <f t="shared" si="43"/>
        <v>1.2434566510799234</v>
      </c>
      <c r="BP46" s="107" t="str">
        <f t="shared" si="44"/>
        <v>(2,4,1,3,1,5)</v>
      </c>
      <c r="BQ46" s="108">
        <v>1.05</v>
      </c>
      <c r="BR46" s="108">
        <v>1.1000000000000001</v>
      </c>
      <c r="BS46" s="108">
        <v>1</v>
      </c>
      <c r="BT46" s="108">
        <v>1.02</v>
      </c>
      <c r="BU46" s="108">
        <v>1</v>
      </c>
      <c r="BV46" s="108">
        <v>1.2</v>
      </c>
    </row>
    <row r="47" spans="1:74" s="171" customFormat="1" ht="24">
      <c r="A47" s="333">
        <v>265931</v>
      </c>
      <c r="B47" s="216"/>
      <c r="C47" s="334"/>
      <c r="D47" s="342">
        <v>5</v>
      </c>
      <c r="E47" s="343" t="s">
        <v>98</v>
      </c>
      <c r="F47" s="437" t="s">
        <v>489</v>
      </c>
      <c r="G47" s="438" t="s">
        <v>215</v>
      </c>
      <c r="H47" s="439" t="s">
        <v>98</v>
      </c>
      <c r="I47" s="439" t="s">
        <v>98</v>
      </c>
      <c r="J47" s="335">
        <v>0</v>
      </c>
      <c r="K47" s="438" t="s">
        <v>96</v>
      </c>
      <c r="L47" s="440">
        <v>0</v>
      </c>
      <c r="M47" s="336">
        <v>1</v>
      </c>
      <c r="N47" s="337">
        <f t="shared" si="28"/>
        <v>1.2237593405947058</v>
      </c>
      <c r="O47" s="437" t="str">
        <f t="shared" si="29"/>
        <v>(2,2,4,1,1,3); de Wild-Scholten (2014) Life Cycle Assessment of Photovoltaics Status 2011, Part 1 Data Collection (Table 30,31)</v>
      </c>
      <c r="P47" s="440">
        <f>$X$53</f>
        <v>170.94017094017099</v>
      </c>
      <c r="Q47" s="336">
        <v>1</v>
      </c>
      <c r="R47" s="337">
        <f t="shared" si="30"/>
        <v>1.2237593405947058</v>
      </c>
      <c r="S47" s="455" t="str">
        <f t="shared" si="31"/>
        <v>(2,2,4,1,1,3); de Wild-Scholten (2014) Life Cycle Assessment of Photovoltaics Status 2011, Part 1 Data Collection (Table 30,31)</v>
      </c>
      <c r="T47" s="440">
        <v>0</v>
      </c>
      <c r="U47" s="336">
        <v>1</v>
      </c>
      <c r="V47" s="337">
        <f t="shared" si="32"/>
        <v>1.2237593405947058</v>
      </c>
      <c r="W47" s="455" t="str">
        <f t="shared" si="33"/>
        <v>(2,2,4,1,1,3); de Wild-Scholten (2014) Life Cycle Assessment of Photovoltaics Status 2011, Part 1 Data Collection (Table 30,31)</v>
      </c>
      <c r="X47" s="440">
        <v>0</v>
      </c>
      <c r="Y47" s="336">
        <v>1</v>
      </c>
      <c r="Z47" s="337">
        <f t="shared" si="34"/>
        <v>1.2237593405947058</v>
      </c>
      <c r="AA47" s="437" t="str">
        <f t="shared" si="35"/>
        <v>(2,2,4,1,1,3); de Wild-Scholten (2014) Life Cycle Assessment of Photovoltaics Status 2011, Part 1 Data Collection (Table 30,31)</v>
      </c>
      <c r="AB47" s="440">
        <v>0</v>
      </c>
      <c r="AC47" s="336">
        <v>1</v>
      </c>
      <c r="AD47" s="337">
        <f t="shared" si="36"/>
        <v>1.05</v>
      </c>
      <c r="AE47" s="455" t="str">
        <f t="shared" si="37"/>
        <v xml:space="preserve">(na,na,na,na,na,na); </v>
      </c>
      <c r="AF47" s="440">
        <v>0</v>
      </c>
      <c r="AG47" s="336">
        <v>1</v>
      </c>
      <c r="AH47" s="337">
        <f t="shared" si="45"/>
        <v>1.2237593405947058</v>
      </c>
      <c r="AI47" s="437" t="str">
        <f t="shared" si="38"/>
        <v xml:space="preserve">(na,na,na,na,na,na); </v>
      </c>
      <c r="AJ47" s="338"/>
      <c r="AK47" s="440">
        <v>0</v>
      </c>
      <c r="AL47" s="216" t="s">
        <v>1012</v>
      </c>
      <c r="AM47" s="83">
        <v>2</v>
      </c>
      <c r="AN47" s="83">
        <v>2</v>
      </c>
      <c r="AO47" s="83">
        <v>4</v>
      </c>
      <c r="AP47" s="83">
        <v>1</v>
      </c>
      <c r="AQ47" s="83">
        <v>1</v>
      </c>
      <c r="AR47" s="83">
        <v>3</v>
      </c>
      <c r="AS47" s="104">
        <v>3</v>
      </c>
      <c r="AT47" s="104">
        <v>1.05</v>
      </c>
      <c r="AU47" s="107">
        <f t="shared" si="39"/>
        <v>1.2164594125584303</v>
      </c>
      <c r="AV47" s="107">
        <f t="shared" si="40"/>
        <v>1.2237593405947058</v>
      </c>
      <c r="AW47" s="107" t="str">
        <f t="shared" si="41"/>
        <v>(2,2,4,1,1,3)</v>
      </c>
      <c r="AX47" s="108">
        <v>1.05</v>
      </c>
      <c r="AY47" s="108">
        <v>1.02</v>
      </c>
      <c r="AZ47" s="108">
        <v>1.2</v>
      </c>
      <c r="BA47" s="108">
        <v>1</v>
      </c>
      <c r="BB47" s="108">
        <v>1</v>
      </c>
      <c r="BC47" s="108">
        <v>1.05</v>
      </c>
      <c r="BE47" s="691"/>
      <c r="BF47" s="339" t="s">
        <v>106</v>
      </c>
      <c r="BG47" s="339" t="s">
        <v>106</v>
      </c>
      <c r="BH47" s="339" t="s">
        <v>106</v>
      </c>
      <c r="BI47" s="339" t="s">
        <v>106</v>
      </c>
      <c r="BJ47" s="339" t="s">
        <v>106</v>
      </c>
      <c r="BK47" s="339" t="s">
        <v>106</v>
      </c>
      <c r="BL47" s="104">
        <v>3</v>
      </c>
      <c r="BM47" s="104">
        <v>1.05</v>
      </c>
      <c r="BN47" s="107">
        <f t="shared" si="42"/>
        <v>1</v>
      </c>
      <c r="BO47" s="107">
        <f t="shared" si="43"/>
        <v>1.05</v>
      </c>
      <c r="BP47" s="107" t="str">
        <f t="shared" si="44"/>
        <v>(na,na,na,na,na,na)</v>
      </c>
      <c r="BQ47" s="108">
        <v>1</v>
      </c>
      <c r="BR47" s="108">
        <v>1</v>
      </c>
      <c r="BS47" s="108">
        <v>1</v>
      </c>
      <c r="BT47" s="108">
        <v>1</v>
      </c>
      <c r="BU47" s="108">
        <v>1</v>
      </c>
      <c r="BV47" s="108">
        <v>1</v>
      </c>
    </row>
    <row r="48" spans="1:74" s="171" customFormat="1" ht="24">
      <c r="A48" s="333">
        <v>257458</v>
      </c>
      <c r="B48" s="216"/>
      <c r="C48" s="334"/>
      <c r="D48" s="342">
        <v>5</v>
      </c>
      <c r="E48" s="343" t="s">
        <v>98</v>
      </c>
      <c r="F48" s="437" t="s">
        <v>490</v>
      </c>
      <c r="G48" s="438" t="s">
        <v>382</v>
      </c>
      <c r="H48" s="439" t="s">
        <v>98</v>
      </c>
      <c r="I48" s="439" t="s">
        <v>98</v>
      </c>
      <c r="J48" s="335">
        <v>0</v>
      </c>
      <c r="K48" s="438" t="s">
        <v>96</v>
      </c>
      <c r="L48" s="440">
        <v>0</v>
      </c>
      <c r="M48" s="336">
        <v>1</v>
      </c>
      <c r="N48" s="337">
        <f t="shared" si="28"/>
        <v>1.2237593405947058</v>
      </c>
      <c r="O48" s="437" t="str">
        <f t="shared" si="29"/>
        <v>(2,2,4,1,1,3); de Wild-Scholten (2014) Life Cycle Assessment of Photovoltaics Status 2011, Part 1 Data Collection (Table 30,31)</v>
      </c>
      <c r="P48" s="440">
        <v>0</v>
      </c>
      <c r="Q48" s="336">
        <v>1</v>
      </c>
      <c r="R48" s="337">
        <f t="shared" si="30"/>
        <v>1.2237593405947058</v>
      </c>
      <c r="S48" s="455" t="str">
        <f t="shared" si="31"/>
        <v>(2,2,4,1,1,3); de Wild-Scholten (2014) Life Cycle Assessment of Photovoltaics Status 2011, Part 1 Data Collection (Table 30,31)</v>
      </c>
      <c r="T48" s="440">
        <f>X53*(F107+F111)</f>
        <v>61.050061050061061</v>
      </c>
      <c r="U48" s="336">
        <v>1</v>
      </c>
      <c r="V48" s="337">
        <f t="shared" si="32"/>
        <v>1.2237593405947058</v>
      </c>
      <c r="W48" s="455" t="str">
        <f t="shared" si="33"/>
        <v>(2,2,4,1,1,3); de Wild-Scholten (2014) Life Cycle Assessment of Photovoltaics Status 2011, Part 1 Data Collection (Table 30,31)</v>
      </c>
      <c r="X48" s="440">
        <v>0</v>
      </c>
      <c r="Y48" s="336">
        <v>1</v>
      </c>
      <c r="Z48" s="337">
        <f t="shared" si="34"/>
        <v>1.2237593405947058</v>
      </c>
      <c r="AA48" s="437" t="str">
        <f t="shared" si="35"/>
        <v>(2,2,4,1,1,3); de Wild-Scholten (2014) Life Cycle Assessment of Photovoltaics Status 2011, Part 1 Data Collection (Table 30,31)</v>
      </c>
      <c r="AB48" s="440">
        <v>0</v>
      </c>
      <c r="AC48" s="336">
        <v>1</v>
      </c>
      <c r="AD48" s="337">
        <f t="shared" si="36"/>
        <v>1.05</v>
      </c>
      <c r="AE48" s="455" t="str">
        <f t="shared" si="37"/>
        <v xml:space="preserve">(na,na,na,na,na,na); </v>
      </c>
      <c r="AF48" s="440">
        <v>0</v>
      </c>
      <c r="AG48" s="336">
        <v>1</v>
      </c>
      <c r="AH48" s="337">
        <f t="shared" si="45"/>
        <v>1.2237593405947058</v>
      </c>
      <c r="AI48" s="437" t="str">
        <f t="shared" si="38"/>
        <v xml:space="preserve">(na,na,na,na,na,na); </v>
      </c>
      <c r="AJ48" s="338"/>
      <c r="AK48" s="440">
        <v>0</v>
      </c>
      <c r="AL48" s="216" t="s">
        <v>1012</v>
      </c>
      <c r="AM48" s="83">
        <v>2</v>
      </c>
      <c r="AN48" s="83">
        <v>2</v>
      </c>
      <c r="AO48" s="83">
        <v>4</v>
      </c>
      <c r="AP48" s="83">
        <v>1</v>
      </c>
      <c r="AQ48" s="83">
        <v>1</v>
      </c>
      <c r="AR48" s="83">
        <v>3</v>
      </c>
      <c r="AS48" s="104">
        <v>3</v>
      </c>
      <c r="AT48" s="104">
        <v>1.05</v>
      </c>
      <c r="AU48" s="107">
        <f t="shared" si="39"/>
        <v>1.2164594125584303</v>
      </c>
      <c r="AV48" s="107">
        <f t="shared" si="40"/>
        <v>1.2237593405947058</v>
      </c>
      <c r="AW48" s="107" t="str">
        <f t="shared" si="41"/>
        <v>(2,2,4,1,1,3)</v>
      </c>
      <c r="AX48" s="108">
        <v>1.05</v>
      </c>
      <c r="AY48" s="108">
        <v>1.02</v>
      </c>
      <c r="AZ48" s="108">
        <v>1.2</v>
      </c>
      <c r="BA48" s="108">
        <v>1</v>
      </c>
      <c r="BB48" s="108">
        <v>1</v>
      </c>
      <c r="BC48" s="108">
        <v>1.05</v>
      </c>
      <c r="BE48" s="691"/>
      <c r="BF48" s="339" t="s">
        <v>106</v>
      </c>
      <c r="BG48" s="339" t="s">
        <v>106</v>
      </c>
      <c r="BH48" s="339" t="s">
        <v>106</v>
      </c>
      <c r="BI48" s="339" t="s">
        <v>106</v>
      </c>
      <c r="BJ48" s="339" t="s">
        <v>106</v>
      </c>
      <c r="BK48" s="339" t="s">
        <v>106</v>
      </c>
      <c r="BL48" s="104">
        <v>3</v>
      </c>
      <c r="BM48" s="104">
        <v>1.05</v>
      </c>
      <c r="BN48" s="107">
        <f t="shared" si="42"/>
        <v>1</v>
      </c>
      <c r="BO48" s="107">
        <f t="shared" si="43"/>
        <v>1.05</v>
      </c>
      <c r="BP48" s="107" t="str">
        <f t="shared" si="44"/>
        <v>(na,na,na,na,na,na)</v>
      </c>
      <c r="BQ48" s="108">
        <v>1</v>
      </c>
      <c r="BR48" s="108">
        <v>1</v>
      </c>
      <c r="BS48" s="108">
        <v>1</v>
      </c>
      <c r="BT48" s="108">
        <v>1</v>
      </c>
      <c r="BU48" s="108">
        <v>1</v>
      </c>
      <c r="BV48" s="108">
        <v>1</v>
      </c>
    </row>
    <row r="49" spans="1:74" s="171" customFormat="1" ht="24">
      <c r="A49" s="333">
        <v>255813</v>
      </c>
      <c r="B49" s="216"/>
      <c r="C49" s="334"/>
      <c r="D49" s="342">
        <v>5</v>
      </c>
      <c r="E49" s="343" t="s">
        <v>98</v>
      </c>
      <c r="F49" s="437" t="s">
        <v>649</v>
      </c>
      <c r="G49" s="438" t="s">
        <v>643</v>
      </c>
      <c r="H49" s="439" t="s">
        <v>98</v>
      </c>
      <c r="I49" s="439" t="s">
        <v>98</v>
      </c>
      <c r="J49" s="335">
        <v>0</v>
      </c>
      <c r="K49" s="438" t="s">
        <v>96</v>
      </c>
      <c r="L49" s="440">
        <v>0</v>
      </c>
      <c r="M49" s="336">
        <v>1</v>
      </c>
      <c r="N49" s="337">
        <f t="shared" si="28"/>
        <v>1.2237593405947058</v>
      </c>
      <c r="O49" s="437" t="str">
        <f t="shared" si="29"/>
        <v>(2,2,4,1,1,3); de Wild-Scholten (2014) Life Cycle Assessment of Photovoltaics Status 2011, Part 1 Data Collection (Table 30,31)</v>
      </c>
      <c r="P49" s="440">
        <v>0</v>
      </c>
      <c r="Q49" s="336">
        <v>1</v>
      </c>
      <c r="R49" s="337">
        <f t="shared" si="30"/>
        <v>1.2237593405947058</v>
      </c>
      <c r="S49" s="455" t="str">
        <f t="shared" si="31"/>
        <v>(2,2,4,1,1,3); de Wild-Scholten (2014) Life Cycle Assessment of Photovoltaics Status 2011, Part 1 Data Collection (Table 30,31)</v>
      </c>
      <c r="T49" s="440">
        <f>X53*F108</f>
        <v>40.700040700040702</v>
      </c>
      <c r="U49" s="336">
        <v>1</v>
      </c>
      <c r="V49" s="337">
        <f t="shared" si="32"/>
        <v>1.2237593405947058</v>
      </c>
      <c r="W49" s="455" t="str">
        <f t="shared" si="33"/>
        <v>(2,2,4,1,1,3); de Wild-Scholten (2014) Life Cycle Assessment of Photovoltaics Status 2011, Part 1 Data Collection (Table 30,31)</v>
      </c>
      <c r="X49" s="440">
        <v>0</v>
      </c>
      <c r="Y49" s="336">
        <v>1</v>
      </c>
      <c r="Z49" s="337">
        <f t="shared" si="34"/>
        <v>1.2237593405947058</v>
      </c>
      <c r="AA49" s="437" t="str">
        <f t="shared" si="35"/>
        <v>(2,2,4,1,1,3); de Wild-Scholten (2014) Life Cycle Assessment of Photovoltaics Status 2011, Part 1 Data Collection (Table 30,31)</v>
      </c>
      <c r="AB49" s="440">
        <v>0</v>
      </c>
      <c r="AC49" s="336">
        <v>1</v>
      </c>
      <c r="AD49" s="337">
        <f t="shared" si="36"/>
        <v>1.05</v>
      </c>
      <c r="AE49" s="455" t="str">
        <f t="shared" si="37"/>
        <v xml:space="preserve">(na,na,na,na,na,na); </v>
      </c>
      <c r="AF49" s="440">
        <v>0</v>
      </c>
      <c r="AG49" s="336">
        <v>1</v>
      </c>
      <c r="AH49" s="337">
        <f t="shared" si="45"/>
        <v>1.2237593405947058</v>
      </c>
      <c r="AI49" s="437" t="str">
        <f t="shared" si="38"/>
        <v xml:space="preserve">(na,na,na,na,na,na); </v>
      </c>
      <c r="AJ49" s="338"/>
      <c r="AK49" s="440">
        <v>0</v>
      </c>
      <c r="AL49" s="216" t="s">
        <v>1012</v>
      </c>
      <c r="AM49" s="83">
        <v>2</v>
      </c>
      <c r="AN49" s="83">
        <v>2</v>
      </c>
      <c r="AO49" s="83">
        <v>4</v>
      </c>
      <c r="AP49" s="83">
        <v>1</v>
      </c>
      <c r="AQ49" s="83">
        <v>1</v>
      </c>
      <c r="AR49" s="83">
        <v>3</v>
      </c>
      <c r="AS49" s="104">
        <v>3</v>
      </c>
      <c r="AT49" s="104">
        <v>1.05</v>
      </c>
      <c r="AU49" s="107">
        <f t="shared" si="39"/>
        <v>1.2164594125584303</v>
      </c>
      <c r="AV49" s="107">
        <f t="shared" si="40"/>
        <v>1.2237593405947058</v>
      </c>
      <c r="AW49" s="107" t="str">
        <f t="shared" si="41"/>
        <v>(2,2,4,1,1,3)</v>
      </c>
      <c r="AX49" s="108">
        <v>1.05</v>
      </c>
      <c r="AY49" s="108">
        <v>1.02</v>
      </c>
      <c r="AZ49" s="108">
        <v>1.2</v>
      </c>
      <c r="BA49" s="108">
        <v>1</v>
      </c>
      <c r="BB49" s="108">
        <v>1</v>
      </c>
      <c r="BC49" s="108">
        <v>1.05</v>
      </c>
      <c r="BE49" s="691"/>
      <c r="BF49" s="339" t="s">
        <v>106</v>
      </c>
      <c r="BG49" s="339" t="s">
        <v>106</v>
      </c>
      <c r="BH49" s="339" t="s">
        <v>106</v>
      </c>
      <c r="BI49" s="339" t="s">
        <v>106</v>
      </c>
      <c r="BJ49" s="339" t="s">
        <v>106</v>
      </c>
      <c r="BK49" s="339" t="s">
        <v>106</v>
      </c>
      <c r="BL49" s="104">
        <v>3</v>
      </c>
      <c r="BM49" s="104">
        <v>1.05</v>
      </c>
      <c r="BN49" s="107">
        <f t="shared" si="42"/>
        <v>1</v>
      </c>
      <c r="BO49" s="107">
        <f t="shared" si="43"/>
        <v>1.05</v>
      </c>
      <c r="BP49" s="107" t="str">
        <f t="shared" si="44"/>
        <v>(na,na,na,na,na,na)</v>
      </c>
      <c r="BQ49" s="108">
        <v>1</v>
      </c>
      <c r="BR49" s="108">
        <v>1</v>
      </c>
      <c r="BS49" s="108">
        <v>1</v>
      </c>
      <c r="BT49" s="108">
        <v>1</v>
      </c>
      <c r="BU49" s="108">
        <v>1</v>
      </c>
      <c r="BV49" s="108">
        <v>1</v>
      </c>
    </row>
    <row r="50" spans="1:74" s="171" customFormat="1" ht="24">
      <c r="A50" s="333" t="s">
        <v>650</v>
      </c>
      <c r="B50" s="216"/>
      <c r="C50" s="334"/>
      <c r="D50" s="342">
        <v>5</v>
      </c>
      <c r="E50" s="343" t="s">
        <v>98</v>
      </c>
      <c r="F50" s="437" t="s">
        <v>651</v>
      </c>
      <c r="G50" s="438" t="s">
        <v>647</v>
      </c>
      <c r="H50" s="439" t="s">
        <v>98</v>
      </c>
      <c r="I50" s="439" t="s">
        <v>98</v>
      </c>
      <c r="J50" s="335">
        <v>0</v>
      </c>
      <c r="K50" s="438" t="s">
        <v>96</v>
      </c>
      <c r="L50" s="440">
        <v>0</v>
      </c>
      <c r="M50" s="336">
        <v>1</v>
      </c>
      <c r="N50" s="337">
        <f t="shared" si="28"/>
        <v>3.0524650216521243</v>
      </c>
      <c r="O50" s="437" t="str">
        <f t="shared" si="29"/>
        <v>(2,2,4,1,1,3); de Wild-Scholten (2014) Life Cycle Assessment of Photovoltaics Status 2011, Part 1 Data Collection (Table 30,31)</v>
      </c>
      <c r="P50" s="440">
        <v>0</v>
      </c>
      <c r="Q50" s="336">
        <v>1</v>
      </c>
      <c r="R50" s="337">
        <f t="shared" si="30"/>
        <v>3.0524650216521243</v>
      </c>
      <c r="S50" s="455" t="str">
        <f t="shared" si="31"/>
        <v>(2,2,4,1,1,3); de Wild-Scholten (2014) Life Cycle Assessment of Photovoltaics Status 2011, Part 1 Data Collection (Table 30,31)</v>
      </c>
      <c r="T50" s="440">
        <f>X53*F109</f>
        <v>42.73504273504274</v>
      </c>
      <c r="U50" s="336">
        <v>1</v>
      </c>
      <c r="V50" s="337">
        <f t="shared" si="32"/>
        <v>3.0524650216521243</v>
      </c>
      <c r="W50" s="455" t="str">
        <f t="shared" si="33"/>
        <v>(2,2,4,1,1,3); de Wild-Scholten (2014) Life Cycle Assessment of Photovoltaics Status 2011, Part 1 Data Collection (Table 30,31)</v>
      </c>
      <c r="X50" s="440">
        <v>0</v>
      </c>
      <c r="Y50" s="336">
        <v>1</v>
      </c>
      <c r="Z50" s="337">
        <f t="shared" si="34"/>
        <v>3.0524650216521243</v>
      </c>
      <c r="AA50" s="437" t="str">
        <f t="shared" si="35"/>
        <v>(2,2,4,1,1,3); de Wild-Scholten (2014) Life Cycle Assessment of Photovoltaics Status 2011, Part 1 Data Collection (Table 30,31)</v>
      </c>
      <c r="AB50" s="440">
        <v>0</v>
      </c>
      <c r="AC50" s="336">
        <v>1</v>
      </c>
      <c r="AD50" s="337">
        <f t="shared" si="36"/>
        <v>3.0000000000000004</v>
      </c>
      <c r="AE50" s="455" t="str">
        <f t="shared" si="37"/>
        <v xml:space="preserve">(na,na,na,na,na,na); </v>
      </c>
      <c r="AF50" s="440">
        <v>0</v>
      </c>
      <c r="AG50" s="336">
        <v>1</v>
      </c>
      <c r="AH50" s="337">
        <f t="shared" si="45"/>
        <v>3.0524650216521243</v>
      </c>
      <c r="AI50" s="437" t="str">
        <f t="shared" si="38"/>
        <v xml:space="preserve">(na,na,na,na,na,na); </v>
      </c>
      <c r="AJ50" s="338"/>
      <c r="AK50" s="440">
        <v>0</v>
      </c>
      <c r="AL50" s="216" t="s">
        <v>1012</v>
      </c>
      <c r="AM50" s="83">
        <v>2</v>
      </c>
      <c r="AN50" s="83">
        <v>2</v>
      </c>
      <c r="AO50" s="83">
        <v>4</v>
      </c>
      <c r="AP50" s="83">
        <v>1</v>
      </c>
      <c r="AQ50" s="83">
        <v>1</v>
      </c>
      <c r="AR50" s="83">
        <v>3</v>
      </c>
      <c r="AS50" s="104">
        <v>9</v>
      </c>
      <c r="AT50" s="104">
        <v>3</v>
      </c>
      <c r="AU50" s="107">
        <f t="shared" si="39"/>
        <v>1.2164594125584303</v>
      </c>
      <c r="AV50" s="107">
        <f t="shared" si="40"/>
        <v>3.0524650216521243</v>
      </c>
      <c r="AW50" s="107" t="str">
        <f t="shared" si="41"/>
        <v>(2,2,4,1,1,3)</v>
      </c>
      <c r="AX50" s="108">
        <v>1.05</v>
      </c>
      <c r="AY50" s="108">
        <v>1.02</v>
      </c>
      <c r="AZ50" s="108">
        <v>1.2</v>
      </c>
      <c r="BA50" s="108">
        <v>1</v>
      </c>
      <c r="BB50" s="108">
        <v>1</v>
      </c>
      <c r="BC50" s="108">
        <v>1.05</v>
      </c>
      <c r="BE50" s="691"/>
      <c r="BF50" s="339" t="s">
        <v>106</v>
      </c>
      <c r="BG50" s="339" t="s">
        <v>106</v>
      </c>
      <c r="BH50" s="339" t="s">
        <v>106</v>
      </c>
      <c r="BI50" s="339" t="s">
        <v>106</v>
      </c>
      <c r="BJ50" s="339" t="s">
        <v>106</v>
      </c>
      <c r="BK50" s="339" t="s">
        <v>106</v>
      </c>
      <c r="BL50" s="104">
        <v>9</v>
      </c>
      <c r="BM50" s="104">
        <v>3</v>
      </c>
      <c r="BN50" s="107">
        <f t="shared" si="42"/>
        <v>1</v>
      </c>
      <c r="BO50" s="107">
        <f t="shared" si="43"/>
        <v>3.0000000000000004</v>
      </c>
      <c r="BP50" s="107" t="str">
        <f t="shared" si="44"/>
        <v>(na,na,na,na,na,na)</v>
      </c>
      <c r="BQ50" s="108">
        <v>1</v>
      </c>
      <c r="BR50" s="108">
        <v>1</v>
      </c>
      <c r="BS50" s="108">
        <v>1</v>
      </c>
      <c r="BT50" s="108">
        <v>1</v>
      </c>
      <c r="BU50" s="108">
        <v>1</v>
      </c>
      <c r="BV50" s="108">
        <v>1</v>
      </c>
    </row>
    <row r="51" spans="1:74" s="171" customFormat="1" ht="24">
      <c r="A51" s="333">
        <v>267117</v>
      </c>
      <c r="B51" s="216"/>
      <c r="C51" s="334"/>
      <c r="D51" s="342">
        <v>5</v>
      </c>
      <c r="E51" s="343" t="s">
        <v>98</v>
      </c>
      <c r="F51" s="437" t="s">
        <v>990</v>
      </c>
      <c r="G51" s="438" t="s">
        <v>485</v>
      </c>
      <c r="H51" s="439" t="s">
        <v>98</v>
      </c>
      <c r="I51" s="439" t="s">
        <v>98</v>
      </c>
      <c r="J51" s="335">
        <v>0</v>
      </c>
      <c r="K51" s="438" t="s">
        <v>96</v>
      </c>
      <c r="L51" s="440">
        <v>0</v>
      </c>
      <c r="M51" s="336">
        <v>1</v>
      </c>
      <c r="N51" s="337">
        <f t="shared" si="28"/>
        <v>1.2237593405947058</v>
      </c>
      <c r="O51" s="437" t="str">
        <f t="shared" si="29"/>
        <v>(2,2,4,1,1,3); de Wild-Scholten (2014) Life Cycle Assessment of Photovoltaics Status 2011, Part 1 Data Collection (Table 30,31)</v>
      </c>
      <c r="P51" s="440">
        <v>0</v>
      </c>
      <c r="Q51" s="336">
        <v>1</v>
      </c>
      <c r="R51" s="337">
        <f t="shared" si="30"/>
        <v>1.2237593405947058</v>
      </c>
      <c r="S51" s="455" t="str">
        <f t="shared" si="31"/>
        <v>(2,2,4,1,1,3); de Wild-Scholten (2014) Life Cycle Assessment of Photovoltaics Status 2011, Part 1 Data Collection (Table 30,31)</v>
      </c>
      <c r="T51" s="440">
        <f>X53*F110</f>
        <v>12.210012210012211</v>
      </c>
      <c r="U51" s="336">
        <v>1</v>
      </c>
      <c r="V51" s="337">
        <f t="shared" si="32"/>
        <v>1.2237593405947058</v>
      </c>
      <c r="W51" s="455" t="str">
        <f t="shared" si="33"/>
        <v>(2,2,4,1,1,3); de Wild-Scholten (2014) Life Cycle Assessment of Photovoltaics Status 2011, Part 1 Data Collection (Table 30,31)</v>
      </c>
      <c r="X51" s="440">
        <v>0</v>
      </c>
      <c r="Y51" s="336">
        <v>1</v>
      </c>
      <c r="Z51" s="337">
        <f t="shared" si="34"/>
        <v>1.2237593405947058</v>
      </c>
      <c r="AA51" s="437" t="str">
        <f t="shared" si="35"/>
        <v>(2,2,4,1,1,3); de Wild-Scholten (2014) Life Cycle Assessment of Photovoltaics Status 2011, Part 1 Data Collection (Table 30,31)</v>
      </c>
      <c r="AB51" s="440">
        <v>0</v>
      </c>
      <c r="AC51" s="336">
        <v>1</v>
      </c>
      <c r="AD51" s="337">
        <f t="shared" si="36"/>
        <v>1.05</v>
      </c>
      <c r="AE51" s="455" t="str">
        <f t="shared" si="37"/>
        <v xml:space="preserve">(na,na,na,na,na,na); </v>
      </c>
      <c r="AF51" s="440">
        <v>0</v>
      </c>
      <c r="AG51" s="336">
        <v>1</v>
      </c>
      <c r="AH51" s="337">
        <f t="shared" si="45"/>
        <v>1.2237593405947058</v>
      </c>
      <c r="AI51" s="437" t="str">
        <f t="shared" si="38"/>
        <v xml:space="preserve">(na,na,na,na,na,na); </v>
      </c>
      <c r="AJ51" s="338"/>
      <c r="AK51" s="440">
        <v>0</v>
      </c>
      <c r="AL51" s="216" t="s">
        <v>1012</v>
      </c>
      <c r="AM51" s="83">
        <v>2</v>
      </c>
      <c r="AN51" s="83">
        <v>2</v>
      </c>
      <c r="AO51" s="83">
        <v>4</v>
      </c>
      <c r="AP51" s="83">
        <v>1</v>
      </c>
      <c r="AQ51" s="83">
        <v>1</v>
      </c>
      <c r="AR51" s="83">
        <v>3</v>
      </c>
      <c r="AS51" s="104">
        <v>3</v>
      </c>
      <c r="AT51" s="104">
        <v>1.05</v>
      </c>
      <c r="AU51" s="107">
        <f t="shared" si="39"/>
        <v>1.2164594125584303</v>
      </c>
      <c r="AV51" s="107">
        <f t="shared" si="40"/>
        <v>1.2237593405947058</v>
      </c>
      <c r="AW51" s="107" t="str">
        <f t="shared" si="41"/>
        <v>(2,2,4,1,1,3)</v>
      </c>
      <c r="AX51" s="108">
        <v>1.05</v>
      </c>
      <c r="AY51" s="108">
        <v>1.02</v>
      </c>
      <c r="AZ51" s="108">
        <v>1.2</v>
      </c>
      <c r="BA51" s="108">
        <v>1</v>
      </c>
      <c r="BB51" s="108">
        <v>1</v>
      </c>
      <c r="BC51" s="108">
        <v>1.05</v>
      </c>
      <c r="BE51" s="691"/>
      <c r="BF51" s="339" t="s">
        <v>106</v>
      </c>
      <c r="BG51" s="339" t="s">
        <v>106</v>
      </c>
      <c r="BH51" s="339" t="s">
        <v>106</v>
      </c>
      <c r="BI51" s="339" t="s">
        <v>106</v>
      </c>
      <c r="BJ51" s="339" t="s">
        <v>106</v>
      </c>
      <c r="BK51" s="339" t="s">
        <v>106</v>
      </c>
      <c r="BL51" s="104">
        <v>3</v>
      </c>
      <c r="BM51" s="104">
        <v>1.05</v>
      </c>
      <c r="BN51" s="107">
        <f t="shared" si="42"/>
        <v>1</v>
      </c>
      <c r="BO51" s="107">
        <f t="shared" si="43"/>
        <v>1.05</v>
      </c>
      <c r="BP51" s="107" t="str">
        <f t="shared" si="44"/>
        <v>(na,na,na,na,na,na)</v>
      </c>
      <c r="BQ51" s="108">
        <v>1</v>
      </c>
      <c r="BR51" s="108">
        <v>1</v>
      </c>
      <c r="BS51" s="108">
        <v>1</v>
      </c>
      <c r="BT51" s="108">
        <v>1</v>
      </c>
      <c r="BU51" s="108">
        <v>1</v>
      </c>
      <c r="BV51" s="108">
        <v>1</v>
      </c>
    </row>
    <row r="52" spans="1:74" s="171" customFormat="1" ht="24">
      <c r="A52" s="333">
        <v>256060</v>
      </c>
      <c r="B52" s="216"/>
      <c r="C52" s="334"/>
      <c r="D52" s="342">
        <v>5</v>
      </c>
      <c r="E52" s="343" t="s">
        <v>98</v>
      </c>
      <c r="F52" s="437" t="s">
        <v>991</v>
      </c>
      <c r="G52" s="438" t="s">
        <v>992</v>
      </c>
      <c r="H52" s="439" t="s">
        <v>98</v>
      </c>
      <c r="I52" s="439" t="s">
        <v>98</v>
      </c>
      <c r="J52" s="335">
        <v>0</v>
      </c>
      <c r="K52" s="438" t="s">
        <v>96</v>
      </c>
      <c r="L52" s="440">
        <v>0</v>
      </c>
      <c r="M52" s="336">
        <v>1</v>
      </c>
      <c r="N52" s="337">
        <f t="shared" si="28"/>
        <v>1.2237593405947058</v>
      </c>
      <c r="O52" s="437" t="str">
        <f t="shared" si="29"/>
        <v>(2,2,4,1,1,3); de Wild-Scholten (2014) Life Cycle Assessment of Photovoltaics Status 2011, Part 1 Data Collection (Table 30,31)</v>
      </c>
      <c r="P52" s="440">
        <v>0</v>
      </c>
      <c r="Q52" s="336">
        <v>1</v>
      </c>
      <c r="R52" s="337">
        <f t="shared" si="30"/>
        <v>1.2237593405947058</v>
      </c>
      <c r="S52" s="455" t="str">
        <f t="shared" si="31"/>
        <v>(2,2,4,1,1,3); de Wild-Scholten (2014) Life Cycle Assessment of Photovoltaics Status 2011, Part 1 Data Collection (Table 30,31)</v>
      </c>
      <c r="T52" s="440">
        <f>X53*F112</f>
        <v>14.245014245014247</v>
      </c>
      <c r="U52" s="336">
        <v>1</v>
      </c>
      <c r="V52" s="337">
        <f t="shared" si="32"/>
        <v>1.2237593405947058</v>
      </c>
      <c r="W52" s="455" t="str">
        <f t="shared" si="33"/>
        <v>(2,2,4,1,1,3); de Wild-Scholten (2014) Life Cycle Assessment of Photovoltaics Status 2011, Part 1 Data Collection (Table 30,31)</v>
      </c>
      <c r="X52" s="440">
        <v>0</v>
      </c>
      <c r="Y52" s="336">
        <v>1</v>
      </c>
      <c r="Z52" s="337">
        <f t="shared" si="34"/>
        <v>1.2237593405947058</v>
      </c>
      <c r="AA52" s="437" t="str">
        <f t="shared" si="35"/>
        <v>(2,2,4,1,1,3); de Wild-Scholten (2014) Life Cycle Assessment of Photovoltaics Status 2011, Part 1 Data Collection (Table 30,31)</v>
      </c>
      <c r="AB52" s="440">
        <v>0</v>
      </c>
      <c r="AC52" s="336">
        <v>1</v>
      </c>
      <c r="AD52" s="337">
        <f t="shared" si="36"/>
        <v>1.05</v>
      </c>
      <c r="AE52" s="455" t="str">
        <f t="shared" si="37"/>
        <v xml:space="preserve">(na,na,na,na,na,na); </v>
      </c>
      <c r="AF52" s="440">
        <v>0</v>
      </c>
      <c r="AG52" s="336">
        <v>1</v>
      </c>
      <c r="AH52" s="337">
        <f t="shared" si="45"/>
        <v>1.2237593405947058</v>
      </c>
      <c r="AI52" s="437" t="str">
        <f t="shared" si="38"/>
        <v xml:space="preserve">(na,na,na,na,na,na); </v>
      </c>
      <c r="AJ52" s="338"/>
      <c r="AK52" s="440">
        <v>0</v>
      </c>
      <c r="AL52" s="216" t="s">
        <v>1012</v>
      </c>
      <c r="AM52" s="83">
        <v>2</v>
      </c>
      <c r="AN52" s="83">
        <v>2</v>
      </c>
      <c r="AO52" s="83">
        <v>4</v>
      </c>
      <c r="AP52" s="83">
        <v>1</v>
      </c>
      <c r="AQ52" s="83">
        <v>1</v>
      </c>
      <c r="AR52" s="83">
        <v>3</v>
      </c>
      <c r="AS52" s="104">
        <v>3</v>
      </c>
      <c r="AT52" s="104">
        <v>1.05</v>
      </c>
      <c r="AU52" s="107">
        <f t="shared" si="39"/>
        <v>1.2164594125584303</v>
      </c>
      <c r="AV52" s="107">
        <f t="shared" si="40"/>
        <v>1.2237593405947058</v>
      </c>
      <c r="AW52" s="107" t="str">
        <f t="shared" si="41"/>
        <v>(2,2,4,1,1,3)</v>
      </c>
      <c r="AX52" s="108">
        <v>1.05</v>
      </c>
      <c r="AY52" s="108">
        <v>1.02</v>
      </c>
      <c r="AZ52" s="108">
        <v>1.2</v>
      </c>
      <c r="BA52" s="108">
        <v>1</v>
      </c>
      <c r="BB52" s="108">
        <v>1</v>
      </c>
      <c r="BC52" s="108">
        <v>1.05</v>
      </c>
      <c r="BE52" s="691"/>
      <c r="BF52" s="339" t="s">
        <v>106</v>
      </c>
      <c r="BG52" s="339" t="s">
        <v>106</v>
      </c>
      <c r="BH52" s="339" t="s">
        <v>106</v>
      </c>
      <c r="BI52" s="339" t="s">
        <v>106</v>
      </c>
      <c r="BJ52" s="339" t="s">
        <v>106</v>
      </c>
      <c r="BK52" s="339" t="s">
        <v>106</v>
      </c>
      <c r="BL52" s="104">
        <v>3</v>
      </c>
      <c r="BM52" s="104">
        <v>1.05</v>
      </c>
      <c r="BN52" s="107">
        <f t="shared" si="42"/>
        <v>1</v>
      </c>
      <c r="BO52" s="107">
        <f t="shared" si="43"/>
        <v>1.05</v>
      </c>
      <c r="BP52" s="107" t="str">
        <f t="shared" si="44"/>
        <v>(na,na,na,na,na,na)</v>
      </c>
      <c r="BQ52" s="108">
        <v>1</v>
      </c>
      <c r="BR52" s="108">
        <v>1</v>
      </c>
      <c r="BS52" s="108">
        <v>1</v>
      </c>
      <c r="BT52" s="108">
        <v>1</v>
      </c>
      <c r="BU52" s="108">
        <v>1</v>
      </c>
      <c r="BV52" s="108">
        <v>1</v>
      </c>
    </row>
    <row r="53" spans="1:74" s="171" customFormat="1" ht="24">
      <c r="A53" s="333">
        <v>265573</v>
      </c>
      <c r="B53" s="216"/>
      <c r="C53" s="334"/>
      <c r="D53" s="342">
        <v>5</v>
      </c>
      <c r="E53" s="343" t="s">
        <v>98</v>
      </c>
      <c r="F53" s="437" t="s">
        <v>487</v>
      </c>
      <c r="G53" s="438" t="s">
        <v>93</v>
      </c>
      <c r="H53" s="439" t="s">
        <v>98</v>
      </c>
      <c r="I53" s="439" t="s">
        <v>98</v>
      </c>
      <c r="J53" s="335">
        <v>0</v>
      </c>
      <c r="K53" s="438" t="s">
        <v>96</v>
      </c>
      <c r="L53" s="440">
        <v>0</v>
      </c>
      <c r="M53" s="336">
        <v>1</v>
      </c>
      <c r="N53" s="337">
        <f t="shared" si="28"/>
        <v>1.2237593405947058</v>
      </c>
      <c r="O53" s="437" t="str">
        <f t="shared" si="29"/>
        <v>(2,2,4,1,1,3); de Wild-Scholten (2014) Life Cycle Assessment of Photovoltaics Status 2011, Part 1 Data Collection (Table 30,31)</v>
      </c>
      <c r="P53" s="440">
        <v>0</v>
      </c>
      <c r="Q53" s="336">
        <v>1</v>
      </c>
      <c r="R53" s="337">
        <f t="shared" si="30"/>
        <v>1.2237593405947058</v>
      </c>
      <c r="S53" s="455" t="str">
        <f t="shared" si="31"/>
        <v>(2,2,4,1,1,3); de Wild-Scholten (2014) Life Cycle Assessment of Photovoltaics Status 2011, Part 1 Data Collection (Table 30,31)</v>
      </c>
      <c r="T53" s="440">
        <v>0</v>
      </c>
      <c r="U53" s="336">
        <v>1</v>
      </c>
      <c r="V53" s="337">
        <f t="shared" si="32"/>
        <v>1.2237593405947058</v>
      </c>
      <c r="W53" s="455" t="str">
        <f t="shared" si="33"/>
        <v>(2,2,4,1,1,3); de Wild-Scholten (2014) Life Cycle Assessment of Photovoltaics Status 2011, Part 1 Data Collection (Table 30,31)</v>
      </c>
      <c r="X53" s="440">
        <f>AK53</f>
        <v>170.94017094017099</v>
      </c>
      <c r="Y53" s="336">
        <v>1</v>
      </c>
      <c r="Z53" s="337">
        <f t="shared" si="34"/>
        <v>1.2237593405947058</v>
      </c>
      <c r="AA53" s="437" t="str">
        <f t="shared" si="35"/>
        <v>(2,2,4,1,1,3); de Wild-Scholten (2014) Life Cycle Assessment of Photovoltaics Status 2011, Part 1 Data Collection (Table 30,31)</v>
      </c>
      <c r="AB53" s="440">
        <v>0</v>
      </c>
      <c r="AC53" s="336">
        <v>1</v>
      </c>
      <c r="AD53" s="337">
        <f t="shared" si="36"/>
        <v>1.05</v>
      </c>
      <c r="AE53" s="455" t="str">
        <f t="shared" si="37"/>
        <v xml:space="preserve">(na,na,na,na,na,na); </v>
      </c>
      <c r="AF53" s="440">
        <v>0</v>
      </c>
      <c r="AG53" s="336">
        <v>1</v>
      </c>
      <c r="AH53" s="337">
        <f t="shared" si="45"/>
        <v>1.2237593405947058</v>
      </c>
      <c r="AI53" s="437" t="str">
        <f t="shared" si="38"/>
        <v xml:space="preserve">(na,na,na,na,na,na); </v>
      </c>
      <c r="AJ53" s="338"/>
      <c r="AK53" s="440">
        <v>170.94017094017099</v>
      </c>
      <c r="AL53" s="216" t="s">
        <v>1012</v>
      </c>
      <c r="AM53" s="83">
        <v>2</v>
      </c>
      <c r="AN53" s="83">
        <v>2</v>
      </c>
      <c r="AO53" s="83">
        <v>4</v>
      </c>
      <c r="AP53" s="83">
        <v>1</v>
      </c>
      <c r="AQ53" s="83">
        <v>1</v>
      </c>
      <c r="AR53" s="83">
        <v>3</v>
      </c>
      <c r="AS53" s="104">
        <v>3</v>
      </c>
      <c r="AT53" s="104">
        <v>1.05</v>
      </c>
      <c r="AU53" s="107">
        <f t="shared" si="39"/>
        <v>1.2164594125584303</v>
      </c>
      <c r="AV53" s="107">
        <f t="shared" si="40"/>
        <v>1.2237593405947058</v>
      </c>
      <c r="AW53" s="107" t="str">
        <f t="shared" si="41"/>
        <v>(2,2,4,1,1,3)</v>
      </c>
      <c r="AX53" s="108">
        <v>1.05</v>
      </c>
      <c r="AY53" s="108">
        <v>1.02</v>
      </c>
      <c r="AZ53" s="108">
        <v>1.2</v>
      </c>
      <c r="BA53" s="108">
        <v>1</v>
      </c>
      <c r="BB53" s="108">
        <v>1</v>
      </c>
      <c r="BC53" s="108">
        <v>1.05</v>
      </c>
      <c r="BE53" s="691"/>
      <c r="BF53" s="339" t="s">
        <v>106</v>
      </c>
      <c r="BG53" s="339" t="s">
        <v>106</v>
      </c>
      <c r="BH53" s="339" t="s">
        <v>106</v>
      </c>
      <c r="BI53" s="339" t="s">
        <v>106</v>
      </c>
      <c r="BJ53" s="339" t="s">
        <v>106</v>
      </c>
      <c r="BK53" s="339" t="s">
        <v>106</v>
      </c>
      <c r="BL53" s="104">
        <v>3</v>
      </c>
      <c r="BM53" s="104">
        <v>1.05</v>
      </c>
      <c r="BN53" s="107">
        <f t="shared" si="42"/>
        <v>1</v>
      </c>
      <c r="BO53" s="107">
        <f t="shared" si="43"/>
        <v>1.05</v>
      </c>
      <c r="BP53" s="107" t="str">
        <f t="shared" si="44"/>
        <v>(na,na,na,na,na,na)</v>
      </c>
      <c r="BQ53" s="108">
        <v>1</v>
      </c>
      <c r="BR53" s="108">
        <v>1</v>
      </c>
      <c r="BS53" s="108">
        <v>1</v>
      </c>
      <c r="BT53" s="108">
        <v>1</v>
      </c>
      <c r="BU53" s="108">
        <v>1</v>
      </c>
      <c r="BV53" s="108">
        <v>1</v>
      </c>
    </row>
    <row r="54" spans="1:74" ht="24">
      <c r="A54" s="330">
        <v>259545</v>
      </c>
      <c r="B54" s="331"/>
      <c r="C54" s="332"/>
      <c r="D54" s="340">
        <v>5</v>
      </c>
      <c r="E54" s="341" t="s">
        <v>98</v>
      </c>
      <c r="F54" s="432" t="s">
        <v>993</v>
      </c>
      <c r="G54" s="433" t="s">
        <v>340</v>
      </c>
      <c r="H54" s="434" t="s">
        <v>98</v>
      </c>
      <c r="I54" s="434" t="s">
        <v>98</v>
      </c>
      <c r="J54" s="94">
        <v>0</v>
      </c>
      <c r="K54" s="433" t="s">
        <v>96</v>
      </c>
      <c r="L54" s="435">
        <v>0</v>
      </c>
      <c r="M54" s="95">
        <v>1</v>
      </c>
      <c r="N54" s="96">
        <f t="shared" si="28"/>
        <v>1.05</v>
      </c>
      <c r="O54" s="432" t="str">
        <f t="shared" si="29"/>
        <v xml:space="preserve">(na,na,na,na,na,na); </v>
      </c>
      <c r="P54" s="435">
        <v>0</v>
      </c>
      <c r="Q54" s="95">
        <v>1</v>
      </c>
      <c r="R54" s="96">
        <f t="shared" si="30"/>
        <v>1.05</v>
      </c>
      <c r="S54" s="457" t="str">
        <f t="shared" si="31"/>
        <v xml:space="preserve">(na,na,na,na,na,na); </v>
      </c>
      <c r="T54" s="435">
        <v>0</v>
      </c>
      <c r="U54" s="95">
        <v>1</v>
      </c>
      <c r="V54" s="96">
        <f t="shared" si="32"/>
        <v>1.05</v>
      </c>
      <c r="W54" s="457" t="str">
        <f t="shared" si="33"/>
        <v xml:space="preserve">(na,na,na,na,na,na); </v>
      </c>
      <c r="X54" s="435">
        <v>0</v>
      </c>
      <c r="Y54" s="95">
        <v>1</v>
      </c>
      <c r="Z54" s="96">
        <f t="shared" si="34"/>
        <v>1.05</v>
      </c>
      <c r="AA54" s="437" t="str">
        <f t="shared" si="35"/>
        <v xml:space="preserve">(na,na,na,na,na,na); </v>
      </c>
      <c r="AB54" s="435">
        <f>10.29</f>
        <v>10.29</v>
      </c>
      <c r="AC54" s="95">
        <v>1</v>
      </c>
      <c r="AD54" s="96">
        <f t="shared" si="36"/>
        <v>1.2434566510799234</v>
      </c>
      <c r="AE54" s="457" t="str">
        <f t="shared" si="37"/>
        <v>(2,4,1,3,1,5); Brailovsky (2026), GM 06</v>
      </c>
      <c r="AF54" s="435">
        <v>0</v>
      </c>
      <c r="AG54" s="95">
        <v>1</v>
      </c>
      <c r="AH54" s="96">
        <f t="shared" si="45"/>
        <v>1.05</v>
      </c>
      <c r="AI54" s="432" t="str">
        <f t="shared" si="38"/>
        <v>(2,4,1,3,1,5); Brailovsky (2026), GM 06</v>
      </c>
      <c r="AJ54" s="112"/>
      <c r="AK54" s="435"/>
      <c r="AL54" s="216"/>
      <c r="AM54" s="339" t="s">
        <v>106</v>
      </c>
      <c r="AN54" s="339" t="s">
        <v>106</v>
      </c>
      <c r="AO54" s="339" t="s">
        <v>106</v>
      </c>
      <c r="AP54" s="339" t="s">
        <v>106</v>
      </c>
      <c r="AQ54" s="339" t="s">
        <v>106</v>
      </c>
      <c r="AR54" s="339" t="s">
        <v>106</v>
      </c>
      <c r="AS54" s="104">
        <v>3</v>
      </c>
      <c r="AT54" s="104">
        <v>1.05</v>
      </c>
      <c r="AU54" s="107">
        <f t="shared" si="39"/>
        <v>1</v>
      </c>
      <c r="AV54" s="107">
        <f t="shared" si="40"/>
        <v>1.05</v>
      </c>
      <c r="AW54" s="107" t="str">
        <f t="shared" si="41"/>
        <v>(na,na,na,na,na,na)</v>
      </c>
      <c r="AX54" s="108">
        <v>1</v>
      </c>
      <c r="AY54" s="108">
        <v>1</v>
      </c>
      <c r="AZ54" s="108">
        <v>1</v>
      </c>
      <c r="BA54" s="108">
        <v>1</v>
      </c>
      <c r="BB54" s="108">
        <v>1</v>
      </c>
      <c r="BC54" s="108">
        <v>1</v>
      </c>
      <c r="BE54" s="692" t="s">
        <v>1066</v>
      </c>
      <c r="BF54" s="83">
        <v>2</v>
      </c>
      <c r="BG54" s="83">
        <v>4</v>
      </c>
      <c r="BH54" s="83">
        <v>1</v>
      </c>
      <c r="BI54" s="83">
        <v>3</v>
      </c>
      <c r="BJ54" s="83">
        <v>1</v>
      </c>
      <c r="BK54" s="83">
        <v>5</v>
      </c>
      <c r="BL54" s="104">
        <v>3</v>
      </c>
      <c r="BM54" s="104">
        <v>1.05</v>
      </c>
      <c r="BN54" s="107">
        <f t="shared" si="42"/>
        <v>1.2365959919080913</v>
      </c>
      <c r="BO54" s="107">
        <f t="shared" si="43"/>
        <v>1.2434566510799234</v>
      </c>
      <c r="BP54" s="107" t="str">
        <f t="shared" si="44"/>
        <v>(2,4,1,3,1,5)</v>
      </c>
      <c r="BQ54" s="108">
        <v>1.05</v>
      </c>
      <c r="BR54" s="108">
        <v>1.1000000000000001</v>
      </c>
      <c r="BS54" s="108">
        <v>1</v>
      </c>
      <c r="BT54" s="108">
        <v>1.02</v>
      </c>
      <c r="BU54" s="108">
        <v>1</v>
      </c>
      <c r="BV54" s="108">
        <v>1.2</v>
      </c>
    </row>
    <row r="55" spans="1:74" ht="24">
      <c r="A55" s="330">
        <v>267914</v>
      </c>
      <c r="B55" s="331" t="s">
        <v>500</v>
      </c>
      <c r="C55" s="332"/>
      <c r="D55" s="340">
        <v>5</v>
      </c>
      <c r="E55" s="341" t="s">
        <v>98</v>
      </c>
      <c r="F55" s="432" t="s">
        <v>380</v>
      </c>
      <c r="G55" s="433" t="s">
        <v>372</v>
      </c>
      <c r="H55" s="434" t="s">
        <v>98</v>
      </c>
      <c r="I55" s="434" t="s">
        <v>98</v>
      </c>
      <c r="J55" s="94">
        <v>0</v>
      </c>
      <c r="K55" s="433" t="s">
        <v>109</v>
      </c>
      <c r="L55" s="435">
        <f>$X$63</f>
        <v>9.69</v>
      </c>
      <c r="M55" s="95">
        <v>1</v>
      </c>
      <c r="N55" s="96">
        <f t="shared" si="28"/>
        <v>1.0906744032152329</v>
      </c>
      <c r="O55" s="493" t="str">
        <f t="shared" si="29"/>
        <v>(2,2,1,1,1,3); de Wild-Scholten, M. &amp; de Wild, P. (2023). PV industry data collection. Data on PERC cell production from 3 manufacturers.</v>
      </c>
      <c r="P55" s="435">
        <v>0</v>
      </c>
      <c r="Q55" s="435">
        <v>1</v>
      </c>
      <c r="R55" s="435">
        <f t="shared" si="30"/>
        <v>1.0906744032152329</v>
      </c>
      <c r="S55" s="435" t="str">
        <f t="shared" si="31"/>
        <v>(2,2,1,1,1,3); de Wild-Scholten, M. &amp; de Wild, P. (2023). PV industry data collection. Data on PERC cell production from 3 manufacturers.</v>
      </c>
      <c r="T55" s="435">
        <v>0</v>
      </c>
      <c r="U55" s="339">
        <v>1</v>
      </c>
      <c r="V55" s="1163">
        <f t="shared" si="32"/>
        <v>1.0906744032152329</v>
      </c>
      <c r="W55" s="435" t="str">
        <f t="shared" si="33"/>
        <v>(2,2,1,1,1,3); de Wild-Scholten, M. &amp; de Wild, P. (2023). PV industry data collection. Data on PERC cell production from 3 manufacturers.</v>
      </c>
      <c r="X55" s="435">
        <v>0</v>
      </c>
      <c r="Y55" s="95">
        <v>1</v>
      </c>
      <c r="Z55" s="96">
        <f t="shared" si="34"/>
        <v>1.0906744032152329</v>
      </c>
      <c r="AA55" s="437" t="str">
        <f t="shared" si="35"/>
        <v>(2,2,1,1,1,3); de Wild-Scholten, M. &amp; de Wild, P. (2023). PV industry data collection. Data on PERC cell production from 3 manufacturers.</v>
      </c>
      <c r="AB55" s="435">
        <v>0</v>
      </c>
      <c r="AC55" s="95">
        <v>1</v>
      </c>
      <c r="AD55" s="96">
        <f t="shared" si="36"/>
        <v>1.2434566510799234</v>
      </c>
      <c r="AE55" s="457" t="str">
        <f t="shared" si="37"/>
        <v>(2,4,1,3,1,5); Brailovsky (2026), GM 05 + GM 06;at grid iso market</v>
      </c>
      <c r="AF55" s="435">
        <f>7.82 + 0.691778742</f>
        <v>8.5117787420000006</v>
      </c>
      <c r="AG55" s="95">
        <v>1</v>
      </c>
      <c r="AH55" s="96">
        <f t="shared" si="45"/>
        <v>1.0906744032152329</v>
      </c>
      <c r="AI55" s="432" t="str">
        <f t="shared" si="38"/>
        <v>(2,4,1,3,1,5); Brailovsky (2026), GM 05 + GM 06;at grid iso market</v>
      </c>
      <c r="AJ55" s="112"/>
      <c r="AK55" s="435">
        <v>0</v>
      </c>
      <c r="AL55" s="216" t="s">
        <v>1067</v>
      </c>
      <c r="AM55" s="83">
        <v>2</v>
      </c>
      <c r="AN55" s="83">
        <v>2</v>
      </c>
      <c r="AO55" s="83">
        <v>1</v>
      </c>
      <c r="AP55" s="83">
        <v>1</v>
      </c>
      <c r="AQ55" s="83">
        <v>1</v>
      </c>
      <c r="AR55" s="83">
        <v>3</v>
      </c>
      <c r="AS55" s="104">
        <v>3</v>
      </c>
      <c r="AT55" s="104">
        <v>1.05</v>
      </c>
      <c r="AU55" s="107">
        <f t="shared" si="39"/>
        <v>1.0744244531716256</v>
      </c>
      <c r="AV55" s="107">
        <f t="shared" si="40"/>
        <v>1.0906744032152329</v>
      </c>
      <c r="AW55" s="107" t="str">
        <f t="shared" si="41"/>
        <v>(2,2,1,1,1,3)</v>
      </c>
      <c r="AX55" s="108">
        <v>1.05</v>
      </c>
      <c r="AY55" s="108">
        <v>1.02</v>
      </c>
      <c r="AZ55" s="108">
        <v>1</v>
      </c>
      <c r="BA55" s="108">
        <v>1</v>
      </c>
      <c r="BB55" s="108">
        <v>1</v>
      </c>
      <c r="BC55" s="108">
        <v>1.05</v>
      </c>
      <c r="BE55" s="692" t="s">
        <v>1068</v>
      </c>
      <c r="BF55" s="83">
        <v>2</v>
      </c>
      <c r="BG55" s="83">
        <v>4</v>
      </c>
      <c r="BH55" s="83">
        <v>1</v>
      </c>
      <c r="BI55" s="83">
        <v>3</v>
      </c>
      <c r="BJ55" s="83">
        <v>1</v>
      </c>
      <c r="BK55" s="83">
        <v>5</v>
      </c>
      <c r="BL55" s="104">
        <v>3</v>
      </c>
      <c r="BM55" s="104">
        <v>1.05</v>
      </c>
      <c r="BN55" s="107">
        <f t="shared" si="42"/>
        <v>1.2365959919080913</v>
      </c>
      <c r="BO55" s="107">
        <f t="shared" si="43"/>
        <v>1.2434566510799234</v>
      </c>
      <c r="BP55" s="107" t="str">
        <f t="shared" si="44"/>
        <v>(2,4,1,3,1,5)</v>
      </c>
      <c r="BQ55" s="108">
        <v>1.05</v>
      </c>
      <c r="BR55" s="108">
        <v>1.1000000000000001</v>
      </c>
      <c r="BS55" s="108">
        <v>1</v>
      </c>
      <c r="BT55" s="108">
        <v>1.02</v>
      </c>
      <c r="BU55" s="108">
        <v>1</v>
      </c>
      <c r="BV55" s="108">
        <v>1.2</v>
      </c>
    </row>
    <row r="56" spans="1:74" ht="24">
      <c r="A56" s="330">
        <v>19772</v>
      </c>
      <c r="B56" s="331"/>
      <c r="C56" s="332"/>
      <c r="D56" s="340">
        <v>5</v>
      </c>
      <c r="E56" s="341" t="s">
        <v>98</v>
      </c>
      <c r="F56" s="432" t="s">
        <v>225</v>
      </c>
      <c r="G56" s="433" t="s">
        <v>215</v>
      </c>
      <c r="H56" s="434" t="s">
        <v>98</v>
      </c>
      <c r="I56" s="434" t="s">
        <v>98</v>
      </c>
      <c r="J56" s="94">
        <v>0</v>
      </c>
      <c r="K56" s="433" t="s">
        <v>109</v>
      </c>
      <c r="L56" s="435">
        <v>0</v>
      </c>
      <c r="M56" s="95">
        <v>1</v>
      </c>
      <c r="N56" s="96">
        <f t="shared" si="28"/>
        <v>1.0906744032152329</v>
      </c>
      <c r="O56" s="493" t="str">
        <f t="shared" si="29"/>
        <v>(2,2,1,1,1,3); de Wild-Scholten, M. &amp; de Wild, P. (2023). PV industry data collection. Data on PERC cell production from 3 manufacturers.</v>
      </c>
      <c r="P56" s="435">
        <f>$X$63</f>
        <v>9.69</v>
      </c>
      <c r="Q56" s="435">
        <v>1</v>
      </c>
      <c r="R56" s="435">
        <f t="shared" si="30"/>
        <v>1.0906744032152329</v>
      </c>
      <c r="S56" s="435" t="str">
        <f t="shared" si="31"/>
        <v>(2,2,1,1,1,3); de Wild-Scholten, M. &amp; de Wild, P. (2023). PV industry data collection. Data on PERC cell production from 3 manufacturers.</v>
      </c>
      <c r="T56" s="435">
        <v>0</v>
      </c>
      <c r="U56" s="339">
        <v>1</v>
      </c>
      <c r="V56" s="1163">
        <f t="shared" si="32"/>
        <v>1.0906744032152329</v>
      </c>
      <c r="W56" s="435" t="str">
        <f t="shared" si="33"/>
        <v>(2,2,1,1,1,3); de Wild-Scholten, M. &amp; de Wild, P. (2023). PV industry data collection. Data on PERC cell production from 3 manufacturers.</v>
      </c>
      <c r="X56" s="435">
        <v>0</v>
      </c>
      <c r="Y56" s="95">
        <v>1</v>
      </c>
      <c r="Z56" s="96">
        <f t="shared" si="34"/>
        <v>1.0906744032152329</v>
      </c>
      <c r="AA56" s="437" t="str">
        <f t="shared" si="35"/>
        <v>(2,2,1,1,1,3); de Wild-Scholten, M. &amp; de Wild, P. (2023). PV industry data collection. Data on PERC cell production from 3 manufacturers.</v>
      </c>
      <c r="AB56" s="435">
        <v>0</v>
      </c>
      <c r="AC56" s="95">
        <v>1</v>
      </c>
      <c r="AD56" s="96">
        <f t="shared" si="36"/>
        <v>1.05</v>
      </c>
      <c r="AE56" s="457" t="str">
        <f t="shared" si="37"/>
        <v xml:space="preserve">(na,na,na,na,na,na); </v>
      </c>
      <c r="AF56" s="435">
        <v>0</v>
      </c>
      <c r="AG56" s="95">
        <v>1</v>
      </c>
      <c r="AH56" s="96">
        <f t="shared" si="45"/>
        <v>1.0906744032152329</v>
      </c>
      <c r="AI56" s="432" t="str">
        <f t="shared" si="38"/>
        <v xml:space="preserve">(na,na,na,na,na,na); </v>
      </c>
      <c r="AJ56" s="112"/>
      <c r="AK56" s="435">
        <v>0</v>
      </c>
      <c r="AL56" s="216" t="s">
        <v>1067</v>
      </c>
      <c r="AM56" s="83">
        <v>2</v>
      </c>
      <c r="AN56" s="83">
        <v>2</v>
      </c>
      <c r="AO56" s="83">
        <v>1</v>
      </c>
      <c r="AP56" s="83">
        <v>1</v>
      </c>
      <c r="AQ56" s="83">
        <v>1</v>
      </c>
      <c r="AR56" s="83">
        <v>3</v>
      </c>
      <c r="AS56" s="104">
        <v>3</v>
      </c>
      <c r="AT56" s="104">
        <v>1.05</v>
      </c>
      <c r="AU56" s="107">
        <f t="shared" si="39"/>
        <v>1.0744244531716256</v>
      </c>
      <c r="AV56" s="107">
        <f t="shared" si="40"/>
        <v>1.0906744032152329</v>
      </c>
      <c r="AW56" s="107" t="str">
        <f t="shared" si="41"/>
        <v>(2,2,1,1,1,3)</v>
      </c>
      <c r="AX56" s="108">
        <v>1.05</v>
      </c>
      <c r="AY56" s="108">
        <v>1.02</v>
      </c>
      <c r="AZ56" s="108">
        <v>1</v>
      </c>
      <c r="BA56" s="108">
        <v>1</v>
      </c>
      <c r="BB56" s="108">
        <v>1</v>
      </c>
      <c r="BC56" s="108">
        <v>1.05</v>
      </c>
      <c r="BE56" s="692"/>
      <c r="BF56" s="339" t="s">
        <v>106</v>
      </c>
      <c r="BG56" s="339" t="s">
        <v>106</v>
      </c>
      <c r="BH56" s="339" t="s">
        <v>106</v>
      </c>
      <c r="BI56" s="339" t="s">
        <v>106</v>
      </c>
      <c r="BJ56" s="339" t="s">
        <v>106</v>
      </c>
      <c r="BK56" s="339" t="s">
        <v>106</v>
      </c>
      <c r="BL56" s="104">
        <v>3</v>
      </c>
      <c r="BM56" s="104">
        <v>1.05</v>
      </c>
      <c r="BN56" s="107">
        <f t="shared" si="42"/>
        <v>1</v>
      </c>
      <c r="BO56" s="107">
        <f t="shared" si="43"/>
        <v>1.05</v>
      </c>
      <c r="BP56" s="107" t="str">
        <f t="shared" si="44"/>
        <v>(na,na,na,na,na,na)</v>
      </c>
      <c r="BQ56" s="108">
        <v>1</v>
      </c>
      <c r="BR56" s="108">
        <v>1</v>
      </c>
      <c r="BS56" s="108">
        <v>1</v>
      </c>
      <c r="BT56" s="108">
        <v>1</v>
      </c>
      <c r="BU56" s="108">
        <v>1</v>
      </c>
      <c r="BV56" s="108">
        <v>1</v>
      </c>
    </row>
    <row r="57" spans="1:74" ht="24">
      <c r="A57" s="330">
        <v>259809</v>
      </c>
      <c r="B57" s="331"/>
      <c r="C57" s="332"/>
      <c r="D57" s="340">
        <v>5</v>
      </c>
      <c r="E57" s="341" t="s">
        <v>98</v>
      </c>
      <c r="F57" s="432" t="s">
        <v>381</v>
      </c>
      <c r="G57" s="433" t="s">
        <v>382</v>
      </c>
      <c r="H57" s="434" t="s">
        <v>98</v>
      </c>
      <c r="I57" s="434" t="s">
        <v>98</v>
      </c>
      <c r="J57" s="94">
        <v>0</v>
      </c>
      <c r="K57" s="433" t="s">
        <v>109</v>
      </c>
      <c r="L57" s="435">
        <v>0</v>
      </c>
      <c r="M57" s="95">
        <v>1</v>
      </c>
      <c r="N57" s="96">
        <f t="shared" si="28"/>
        <v>1.0906744032152329</v>
      </c>
      <c r="O57" s="493" t="str">
        <f t="shared" si="29"/>
        <v>(2,2,1,1,1,3); de Wild-Scholten, M. &amp; de Wild, P. (2023). PV industry data collection. Data on PERC cell production from 3 manufacturers.</v>
      </c>
      <c r="P57" s="435">
        <v>0</v>
      </c>
      <c r="Q57" s="435">
        <v>1</v>
      </c>
      <c r="R57" s="435">
        <f t="shared" si="30"/>
        <v>1.0906744032152329</v>
      </c>
      <c r="S57" s="435" t="str">
        <f t="shared" si="31"/>
        <v>(2,2,1,1,1,3); de Wild-Scholten, M. &amp; de Wild, P. (2023). PV industry data collection. Data on PERC cell production from 3 manufacturers.</v>
      </c>
      <c r="T57" s="435">
        <f>X63*F107</f>
        <v>2.8839285714285707</v>
      </c>
      <c r="U57" s="339">
        <v>1</v>
      </c>
      <c r="V57" s="1163">
        <f t="shared" si="32"/>
        <v>1.0906744032152329</v>
      </c>
      <c r="W57" s="435" t="str">
        <f t="shared" si="33"/>
        <v>(2,2,1,1,1,3); de Wild-Scholten, M. &amp; de Wild, P. (2023). PV industry data collection. Data on PERC cell production from 3 manufacturers.</v>
      </c>
      <c r="X57" s="435">
        <v>0</v>
      </c>
      <c r="Y57" s="95">
        <v>1</v>
      </c>
      <c r="Z57" s="96">
        <f t="shared" si="34"/>
        <v>1.0906744032152329</v>
      </c>
      <c r="AA57" s="437" t="str">
        <f t="shared" si="35"/>
        <v>(2,2,1,1,1,3); de Wild-Scholten, M. &amp; de Wild, P. (2023). PV industry data collection. Data on PERC cell production from 3 manufacturers.</v>
      </c>
      <c r="AB57" s="435">
        <v>0</v>
      </c>
      <c r="AC57" s="95">
        <v>1</v>
      </c>
      <c r="AD57" s="96">
        <f t="shared" si="36"/>
        <v>1.05</v>
      </c>
      <c r="AE57" s="457" t="str">
        <f t="shared" si="37"/>
        <v xml:space="preserve">(na,na,na,na,na,na); </v>
      </c>
      <c r="AF57" s="435">
        <v>0</v>
      </c>
      <c r="AG57" s="95">
        <v>1</v>
      </c>
      <c r="AH57" s="96">
        <f t="shared" si="45"/>
        <v>1.0906744032152329</v>
      </c>
      <c r="AI57" s="432" t="str">
        <f t="shared" si="38"/>
        <v xml:space="preserve">(na,na,na,na,na,na); </v>
      </c>
      <c r="AJ57" s="112"/>
      <c r="AK57" s="435">
        <v>0</v>
      </c>
      <c r="AL57" s="216" t="s">
        <v>1067</v>
      </c>
      <c r="AM57" s="83">
        <v>2</v>
      </c>
      <c r="AN57" s="83">
        <v>2</v>
      </c>
      <c r="AO57" s="83">
        <v>1</v>
      </c>
      <c r="AP57" s="83">
        <v>1</v>
      </c>
      <c r="AQ57" s="83">
        <v>1</v>
      </c>
      <c r="AR57" s="83">
        <v>3</v>
      </c>
      <c r="AS57" s="104">
        <v>3</v>
      </c>
      <c r="AT57" s="104">
        <v>1.05</v>
      </c>
      <c r="AU57" s="107">
        <f t="shared" si="39"/>
        <v>1.0744244531716256</v>
      </c>
      <c r="AV57" s="107">
        <f t="shared" si="40"/>
        <v>1.0906744032152329</v>
      </c>
      <c r="AW57" s="107" t="str">
        <f t="shared" si="41"/>
        <v>(2,2,1,1,1,3)</v>
      </c>
      <c r="AX57" s="108">
        <v>1.05</v>
      </c>
      <c r="AY57" s="108">
        <v>1.02</v>
      </c>
      <c r="AZ57" s="108">
        <v>1</v>
      </c>
      <c r="BA57" s="108">
        <v>1</v>
      </c>
      <c r="BB57" s="108">
        <v>1</v>
      </c>
      <c r="BC57" s="108">
        <v>1.05</v>
      </c>
      <c r="BE57" s="692"/>
      <c r="BF57" s="339" t="s">
        <v>106</v>
      </c>
      <c r="BG57" s="339" t="s">
        <v>106</v>
      </c>
      <c r="BH57" s="339" t="s">
        <v>106</v>
      </c>
      <c r="BI57" s="339" t="s">
        <v>106</v>
      </c>
      <c r="BJ57" s="339" t="s">
        <v>106</v>
      </c>
      <c r="BK57" s="339" t="s">
        <v>106</v>
      </c>
      <c r="BL57" s="104">
        <v>3</v>
      </c>
      <c r="BM57" s="104">
        <v>1.05</v>
      </c>
      <c r="BN57" s="107">
        <f t="shared" si="42"/>
        <v>1</v>
      </c>
      <c r="BO57" s="107">
        <f t="shared" si="43"/>
        <v>1.05</v>
      </c>
      <c r="BP57" s="107" t="str">
        <f t="shared" si="44"/>
        <v>(na,na,na,na,na,na)</v>
      </c>
      <c r="BQ57" s="108">
        <v>1</v>
      </c>
      <c r="BR57" s="108">
        <v>1</v>
      </c>
      <c r="BS57" s="108">
        <v>1</v>
      </c>
      <c r="BT57" s="108">
        <v>1</v>
      </c>
      <c r="BU57" s="108">
        <v>1</v>
      </c>
      <c r="BV57" s="108">
        <v>1</v>
      </c>
    </row>
    <row r="58" spans="1:74" ht="24">
      <c r="A58" s="330">
        <v>266385</v>
      </c>
      <c r="B58" s="331"/>
      <c r="C58" s="332"/>
      <c r="D58" s="340">
        <v>5</v>
      </c>
      <c r="E58" s="341" t="s">
        <v>98</v>
      </c>
      <c r="F58" s="432" t="s">
        <v>642</v>
      </c>
      <c r="G58" s="433" t="s">
        <v>643</v>
      </c>
      <c r="H58" s="434" t="s">
        <v>98</v>
      </c>
      <c r="I58" s="434" t="s">
        <v>98</v>
      </c>
      <c r="J58" s="94">
        <v>0</v>
      </c>
      <c r="K58" s="433" t="s">
        <v>109</v>
      </c>
      <c r="L58" s="435">
        <v>0</v>
      </c>
      <c r="M58" s="95">
        <v>1</v>
      </c>
      <c r="N58" s="96">
        <f t="shared" si="28"/>
        <v>1.0906744032152329</v>
      </c>
      <c r="O58" s="493" t="str">
        <f t="shared" si="29"/>
        <v>(2,2,1,1,1,3); de Wild-Scholten, M. &amp; de Wild, P. (2023). PV industry data collection. Data on PERC cell production from 3 manufacturers.</v>
      </c>
      <c r="P58" s="435">
        <v>0</v>
      </c>
      <c r="Q58" s="435">
        <v>1</v>
      </c>
      <c r="R58" s="435">
        <f t="shared" si="30"/>
        <v>1.0906744032152329</v>
      </c>
      <c r="S58" s="435" t="str">
        <f t="shared" si="31"/>
        <v>(2,2,1,1,1,3); de Wild-Scholten, M. &amp; de Wild, P. (2023). PV industry data collection. Data on PERC cell production from 3 manufacturers.</v>
      </c>
      <c r="T58" s="435">
        <f>X63*F108</f>
        <v>2.3071428571428565</v>
      </c>
      <c r="U58" s="339">
        <v>1</v>
      </c>
      <c r="V58" s="1163">
        <f t="shared" si="32"/>
        <v>1.0906744032152329</v>
      </c>
      <c r="W58" s="435" t="str">
        <f t="shared" si="33"/>
        <v>(2,2,1,1,1,3); de Wild-Scholten, M. &amp; de Wild, P. (2023). PV industry data collection. Data on PERC cell production from 3 manufacturers.</v>
      </c>
      <c r="X58" s="435">
        <v>0</v>
      </c>
      <c r="Y58" s="95">
        <v>1</v>
      </c>
      <c r="Z58" s="96">
        <f t="shared" si="34"/>
        <v>1.0906744032152329</v>
      </c>
      <c r="AA58" s="437" t="str">
        <f t="shared" si="35"/>
        <v>(2,2,1,1,1,3); de Wild-Scholten, M. &amp; de Wild, P. (2023). PV industry data collection. Data on PERC cell production from 3 manufacturers.</v>
      </c>
      <c r="AB58" s="435">
        <v>0</v>
      </c>
      <c r="AC58" s="95">
        <v>1</v>
      </c>
      <c r="AD58" s="96">
        <f t="shared" si="36"/>
        <v>1.05</v>
      </c>
      <c r="AE58" s="457" t="str">
        <f t="shared" si="37"/>
        <v xml:space="preserve">(na,na,na,na,na,na); </v>
      </c>
      <c r="AF58" s="435">
        <v>0</v>
      </c>
      <c r="AG58" s="95">
        <v>1</v>
      </c>
      <c r="AH58" s="96">
        <f t="shared" si="45"/>
        <v>1.0906744032152329</v>
      </c>
      <c r="AI58" s="432" t="str">
        <f t="shared" si="38"/>
        <v xml:space="preserve">(na,na,na,na,na,na); </v>
      </c>
      <c r="AJ58" s="112"/>
      <c r="AK58" s="435">
        <v>0</v>
      </c>
      <c r="AL58" s="216" t="s">
        <v>1067</v>
      </c>
      <c r="AM58" s="83">
        <v>2</v>
      </c>
      <c r="AN58" s="83">
        <v>2</v>
      </c>
      <c r="AO58" s="83">
        <v>1</v>
      </c>
      <c r="AP58" s="83">
        <v>1</v>
      </c>
      <c r="AQ58" s="83">
        <v>1</v>
      </c>
      <c r="AR58" s="83">
        <v>3</v>
      </c>
      <c r="AS58" s="104">
        <v>3</v>
      </c>
      <c r="AT58" s="104">
        <v>1.05</v>
      </c>
      <c r="AU58" s="107">
        <f t="shared" si="39"/>
        <v>1.0744244531716256</v>
      </c>
      <c r="AV58" s="107">
        <f t="shared" si="40"/>
        <v>1.0906744032152329</v>
      </c>
      <c r="AW58" s="107" t="str">
        <f t="shared" si="41"/>
        <v>(2,2,1,1,1,3)</v>
      </c>
      <c r="AX58" s="108">
        <v>1.05</v>
      </c>
      <c r="AY58" s="108">
        <v>1.02</v>
      </c>
      <c r="AZ58" s="108">
        <v>1</v>
      </c>
      <c r="BA58" s="108">
        <v>1</v>
      </c>
      <c r="BB58" s="108">
        <v>1</v>
      </c>
      <c r="BC58" s="108">
        <v>1.05</v>
      </c>
      <c r="BE58" s="692"/>
      <c r="BF58" s="339" t="s">
        <v>106</v>
      </c>
      <c r="BG58" s="339" t="s">
        <v>106</v>
      </c>
      <c r="BH58" s="339" t="s">
        <v>106</v>
      </c>
      <c r="BI58" s="339" t="s">
        <v>106</v>
      </c>
      <c r="BJ58" s="339" t="s">
        <v>106</v>
      </c>
      <c r="BK58" s="339" t="s">
        <v>106</v>
      </c>
      <c r="BL58" s="104">
        <v>3</v>
      </c>
      <c r="BM58" s="104">
        <v>1.05</v>
      </c>
      <c r="BN58" s="107">
        <f t="shared" si="42"/>
        <v>1</v>
      </c>
      <c r="BO58" s="107">
        <f t="shared" si="43"/>
        <v>1.05</v>
      </c>
      <c r="BP58" s="107" t="str">
        <f t="shared" si="44"/>
        <v>(na,na,na,na,na,na)</v>
      </c>
      <c r="BQ58" s="108">
        <v>1</v>
      </c>
      <c r="BR58" s="108">
        <v>1</v>
      </c>
      <c r="BS58" s="108">
        <v>1</v>
      </c>
      <c r="BT58" s="108">
        <v>1</v>
      </c>
      <c r="BU58" s="108">
        <v>1</v>
      </c>
      <c r="BV58" s="108">
        <v>1</v>
      </c>
    </row>
    <row r="59" spans="1:74" ht="24">
      <c r="A59" s="330" t="s">
        <v>645</v>
      </c>
      <c r="B59" s="331"/>
      <c r="C59" s="332"/>
      <c r="D59" s="340">
        <v>5</v>
      </c>
      <c r="E59" s="341" t="s">
        <v>98</v>
      </c>
      <c r="F59" s="432" t="s">
        <v>646</v>
      </c>
      <c r="G59" s="433" t="s">
        <v>647</v>
      </c>
      <c r="H59" s="434" t="s">
        <v>98</v>
      </c>
      <c r="I59" s="434" t="s">
        <v>98</v>
      </c>
      <c r="J59" s="94">
        <v>0</v>
      </c>
      <c r="K59" s="433" t="s">
        <v>109</v>
      </c>
      <c r="L59" s="435">
        <v>0</v>
      </c>
      <c r="M59" s="95">
        <v>1</v>
      </c>
      <c r="N59" s="96">
        <f t="shared" si="28"/>
        <v>1.0906744032152329</v>
      </c>
      <c r="O59" s="493" t="str">
        <f t="shared" si="29"/>
        <v>(2,2,1,1,1,3); de Wild-Scholten, M. &amp; de Wild, P. (2023). PV industry data collection. Data on PERC cell production from 3 manufacturers.</v>
      </c>
      <c r="P59" s="435">
        <v>0</v>
      </c>
      <c r="Q59" s="435">
        <v>1</v>
      </c>
      <c r="R59" s="435">
        <f t="shared" si="30"/>
        <v>1.0906744032152329</v>
      </c>
      <c r="S59" s="435" t="str">
        <f t="shared" si="31"/>
        <v>(2,2,1,1,1,3); de Wild-Scholten, M. &amp; de Wild, P. (2023). PV industry data collection. Data on PERC cell production from 3 manufacturers.</v>
      </c>
      <c r="T59" s="435">
        <f>X63*F109</f>
        <v>2.4224999999999994</v>
      </c>
      <c r="U59" s="339">
        <v>1</v>
      </c>
      <c r="V59" s="1163">
        <f t="shared" si="32"/>
        <v>1.0906744032152329</v>
      </c>
      <c r="W59" s="435" t="str">
        <f t="shared" si="33"/>
        <v>(2,2,1,1,1,3); de Wild-Scholten, M. &amp; de Wild, P. (2023). PV industry data collection. Data on PERC cell production from 3 manufacturers.</v>
      </c>
      <c r="X59" s="435">
        <v>0</v>
      </c>
      <c r="Y59" s="95">
        <v>1</v>
      </c>
      <c r="Z59" s="96">
        <f t="shared" si="34"/>
        <v>1.0906744032152329</v>
      </c>
      <c r="AA59" s="437" t="str">
        <f t="shared" si="35"/>
        <v>(2,2,1,1,1,3); de Wild-Scholten, M. &amp; de Wild, P. (2023). PV industry data collection. Data on PERC cell production from 3 manufacturers.</v>
      </c>
      <c r="AB59" s="435">
        <v>0</v>
      </c>
      <c r="AC59" s="95">
        <v>1</v>
      </c>
      <c r="AD59" s="96">
        <f t="shared" si="36"/>
        <v>1.05</v>
      </c>
      <c r="AE59" s="457" t="str">
        <f t="shared" si="37"/>
        <v xml:space="preserve">(na,na,na,na,na,na); </v>
      </c>
      <c r="AF59" s="435">
        <v>0</v>
      </c>
      <c r="AG59" s="95">
        <v>1</v>
      </c>
      <c r="AH59" s="96">
        <f t="shared" si="45"/>
        <v>1.0906744032152329</v>
      </c>
      <c r="AI59" s="432" t="str">
        <f t="shared" si="38"/>
        <v xml:space="preserve">(na,na,na,na,na,na); </v>
      </c>
      <c r="AJ59" s="112"/>
      <c r="AK59" s="435">
        <v>0</v>
      </c>
      <c r="AL59" s="216" t="s">
        <v>1067</v>
      </c>
      <c r="AM59" s="83">
        <v>2</v>
      </c>
      <c r="AN59" s="83">
        <v>2</v>
      </c>
      <c r="AO59" s="83">
        <v>1</v>
      </c>
      <c r="AP59" s="83">
        <v>1</v>
      </c>
      <c r="AQ59" s="83">
        <v>1</v>
      </c>
      <c r="AR59" s="83">
        <v>3</v>
      </c>
      <c r="AS59" s="104">
        <v>2</v>
      </c>
      <c r="AT59" s="104">
        <v>1.05</v>
      </c>
      <c r="AU59" s="107">
        <f t="shared" si="39"/>
        <v>1.0744244531716256</v>
      </c>
      <c r="AV59" s="107">
        <f t="shared" si="40"/>
        <v>1.0906744032152329</v>
      </c>
      <c r="AW59" s="107" t="str">
        <f t="shared" si="41"/>
        <v>(2,2,1,1,1,3)</v>
      </c>
      <c r="AX59" s="108">
        <v>1.05</v>
      </c>
      <c r="AY59" s="108">
        <v>1.02</v>
      </c>
      <c r="AZ59" s="108">
        <v>1</v>
      </c>
      <c r="BA59" s="108">
        <v>1</v>
      </c>
      <c r="BB59" s="108">
        <v>1</v>
      </c>
      <c r="BC59" s="108">
        <v>1.05</v>
      </c>
      <c r="BE59" s="692"/>
      <c r="BF59" s="339" t="s">
        <v>106</v>
      </c>
      <c r="BG59" s="339" t="s">
        <v>106</v>
      </c>
      <c r="BH59" s="339" t="s">
        <v>106</v>
      </c>
      <c r="BI59" s="339" t="s">
        <v>106</v>
      </c>
      <c r="BJ59" s="339" t="s">
        <v>106</v>
      </c>
      <c r="BK59" s="339" t="s">
        <v>106</v>
      </c>
      <c r="BL59" s="104">
        <v>2</v>
      </c>
      <c r="BM59" s="104">
        <v>1.05</v>
      </c>
      <c r="BN59" s="107">
        <f t="shared" si="42"/>
        <v>1</v>
      </c>
      <c r="BO59" s="107">
        <f t="shared" si="43"/>
        <v>1.05</v>
      </c>
      <c r="BP59" s="107" t="str">
        <f t="shared" si="44"/>
        <v>(na,na,na,na,na,na)</v>
      </c>
      <c r="BQ59" s="108">
        <v>1</v>
      </c>
      <c r="BR59" s="108">
        <v>1</v>
      </c>
      <c r="BS59" s="108">
        <v>1</v>
      </c>
      <c r="BT59" s="108">
        <v>1</v>
      </c>
      <c r="BU59" s="108">
        <v>1</v>
      </c>
      <c r="BV59" s="108">
        <v>1</v>
      </c>
    </row>
    <row r="60" spans="1:74" ht="24">
      <c r="A60" s="330">
        <v>267119</v>
      </c>
      <c r="B60" s="331"/>
      <c r="C60" s="332"/>
      <c r="D60" s="340">
        <v>5</v>
      </c>
      <c r="E60" s="341" t="s">
        <v>98</v>
      </c>
      <c r="F60" s="432" t="s">
        <v>614</v>
      </c>
      <c r="G60" s="433" t="s">
        <v>485</v>
      </c>
      <c r="H60" s="434" t="s">
        <v>98</v>
      </c>
      <c r="I60" s="434" t="s">
        <v>98</v>
      </c>
      <c r="J60" s="94">
        <v>0</v>
      </c>
      <c r="K60" s="433" t="s">
        <v>109</v>
      </c>
      <c r="L60" s="435">
        <v>0</v>
      </c>
      <c r="M60" s="95">
        <v>1</v>
      </c>
      <c r="N60" s="96">
        <f t="shared" si="28"/>
        <v>1.0906744032152329</v>
      </c>
      <c r="O60" s="493" t="str">
        <f t="shared" si="29"/>
        <v>(2,2,1,1,1,3); de Wild-Scholten, M. &amp; de Wild, P. (2023). PV industry data collection. Data on PERC cell production from 3 manufacturers.</v>
      </c>
      <c r="P60" s="435">
        <v>0</v>
      </c>
      <c r="Q60" s="435">
        <v>1</v>
      </c>
      <c r="R60" s="435">
        <f t="shared" si="30"/>
        <v>1.0906744032152329</v>
      </c>
      <c r="S60" s="435" t="str">
        <f t="shared" si="31"/>
        <v>(2,2,1,1,1,3); de Wild-Scholten, M. &amp; de Wild, P. (2023). PV industry data collection. Data on PERC cell production from 3 manufacturers.</v>
      </c>
      <c r="T60" s="435">
        <f>X63*F110</f>
        <v>0.69214285714285695</v>
      </c>
      <c r="U60" s="339">
        <v>1</v>
      </c>
      <c r="V60" s="1163">
        <f t="shared" si="32"/>
        <v>1.0906744032152329</v>
      </c>
      <c r="W60" s="435" t="str">
        <f t="shared" si="33"/>
        <v>(2,2,1,1,1,3); de Wild-Scholten, M. &amp; de Wild, P. (2023). PV industry data collection. Data on PERC cell production from 3 manufacturers.</v>
      </c>
      <c r="X60" s="435">
        <v>0</v>
      </c>
      <c r="Y60" s="95">
        <v>1</v>
      </c>
      <c r="Z60" s="96">
        <f t="shared" si="34"/>
        <v>1.0906744032152329</v>
      </c>
      <c r="AA60" s="437" t="str">
        <f t="shared" si="35"/>
        <v>(2,2,1,1,1,3); de Wild-Scholten, M. &amp; de Wild, P. (2023). PV industry data collection. Data on PERC cell production from 3 manufacturers.</v>
      </c>
      <c r="AB60" s="435">
        <v>0</v>
      </c>
      <c r="AC60" s="95">
        <v>1</v>
      </c>
      <c r="AD60" s="96">
        <f t="shared" si="36"/>
        <v>1.05</v>
      </c>
      <c r="AE60" s="457" t="str">
        <f t="shared" si="37"/>
        <v xml:space="preserve">(na,na,na,na,na,na); </v>
      </c>
      <c r="AF60" s="435">
        <v>0</v>
      </c>
      <c r="AG60" s="95">
        <v>1</v>
      </c>
      <c r="AH60" s="96">
        <f t="shared" si="45"/>
        <v>1.0906744032152329</v>
      </c>
      <c r="AI60" s="432" t="str">
        <f t="shared" si="38"/>
        <v xml:space="preserve">(na,na,na,na,na,na); </v>
      </c>
      <c r="AJ60" s="112"/>
      <c r="AK60" s="435">
        <v>0</v>
      </c>
      <c r="AL60" s="216" t="s">
        <v>1067</v>
      </c>
      <c r="AM60" s="83">
        <v>2</v>
      </c>
      <c r="AN60" s="83">
        <v>2</v>
      </c>
      <c r="AO60" s="83">
        <v>1</v>
      </c>
      <c r="AP60" s="83">
        <v>1</v>
      </c>
      <c r="AQ60" s="83">
        <v>1</v>
      </c>
      <c r="AR60" s="83">
        <v>3</v>
      </c>
      <c r="AS60" s="104">
        <v>3</v>
      </c>
      <c r="AT60" s="104">
        <v>1.05</v>
      </c>
      <c r="AU60" s="107">
        <f t="shared" si="39"/>
        <v>1.0744244531716256</v>
      </c>
      <c r="AV60" s="107">
        <f t="shared" si="40"/>
        <v>1.0906744032152329</v>
      </c>
      <c r="AW60" s="107" t="str">
        <f t="shared" si="41"/>
        <v>(2,2,1,1,1,3)</v>
      </c>
      <c r="AX60" s="108">
        <v>1.05</v>
      </c>
      <c r="AY60" s="108">
        <v>1.02</v>
      </c>
      <c r="AZ60" s="108">
        <v>1</v>
      </c>
      <c r="BA60" s="108">
        <v>1</v>
      </c>
      <c r="BB60" s="108">
        <v>1</v>
      </c>
      <c r="BC60" s="108">
        <v>1.05</v>
      </c>
      <c r="BE60" s="692"/>
      <c r="BF60" s="339" t="s">
        <v>106</v>
      </c>
      <c r="BG60" s="339" t="s">
        <v>106</v>
      </c>
      <c r="BH60" s="339" t="s">
        <v>106</v>
      </c>
      <c r="BI60" s="339" t="s">
        <v>106</v>
      </c>
      <c r="BJ60" s="339" t="s">
        <v>106</v>
      </c>
      <c r="BK60" s="339" t="s">
        <v>106</v>
      </c>
      <c r="BL60" s="104">
        <v>3</v>
      </c>
      <c r="BM60" s="104">
        <v>1.05</v>
      </c>
      <c r="BN60" s="107">
        <f t="shared" si="42"/>
        <v>1</v>
      </c>
      <c r="BO60" s="107">
        <f t="shared" si="43"/>
        <v>1.05</v>
      </c>
      <c r="BP60" s="107" t="str">
        <f t="shared" si="44"/>
        <v>(na,na,na,na,na,na)</v>
      </c>
      <c r="BQ60" s="108">
        <v>1</v>
      </c>
      <c r="BR60" s="108">
        <v>1</v>
      </c>
      <c r="BS60" s="108">
        <v>1</v>
      </c>
      <c r="BT60" s="108">
        <v>1</v>
      </c>
      <c r="BU60" s="108">
        <v>1</v>
      </c>
      <c r="BV60" s="108">
        <v>1</v>
      </c>
    </row>
    <row r="61" spans="1:74" ht="24">
      <c r="A61" s="330">
        <v>265999</v>
      </c>
      <c r="B61" s="331"/>
      <c r="C61" s="332"/>
      <c r="D61" s="340">
        <v>5</v>
      </c>
      <c r="E61" s="341" t="s">
        <v>98</v>
      </c>
      <c r="F61" s="432" t="s">
        <v>997</v>
      </c>
      <c r="G61" s="433" t="s">
        <v>998</v>
      </c>
      <c r="H61" s="434" t="s">
        <v>98</v>
      </c>
      <c r="I61" s="434" t="s">
        <v>98</v>
      </c>
      <c r="J61" s="94">
        <v>0</v>
      </c>
      <c r="K61" s="433" t="s">
        <v>109</v>
      </c>
      <c r="L61" s="435">
        <v>0</v>
      </c>
      <c r="M61" s="95">
        <v>1</v>
      </c>
      <c r="N61" s="96">
        <f t="shared" si="28"/>
        <v>1.0906744032152329</v>
      </c>
      <c r="O61" s="493" t="str">
        <f t="shared" si="29"/>
        <v>(2,2,1,1,1,3); de Wild-Scholten, M. &amp; de Wild, P. (2023). PV industry data collection. Data on PERC cell production from 3 manufacturers.</v>
      </c>
      <c r="P61" s="435">
        <v>0</v>
      </c>
      <c r="Q61" s="435">
        <v>1</v>
      </c>
      <c r="R61" s="435">
        <f t="shared" si="30"/>
        <v>1.0906744032152329</v>
      </c>
      <c r="S61" s="435" t="str">
        <f t="shared" si="31"/>
        <v>(2,2,1,1,1,3); de Wild-Scholten, M. &amp; de Wild, P. (2023). PV industry data collection. Data on PERC cell production from 3 manufacturers.</v>
      </c>
      <c r="T61" s="435">
        <f>X63*F111</f>
        <v>0.57678571428571412</v>
      </c>
      <c r="U61" s="339">
        <v>1</v>
      </c>
      <c r="V61" s="1163">
        <f t="shared" si="32"/>
        <v>1.0906744032152329</v>
      </c>
      <c r="W61" s="435" t="str">
        <f t="shared" si="33"/>
        <v>(2,2,1,1,1,3); de Wild-Scholten, M. &amp; de Wild, P. (2023). PV industry data collection. Data on PERC cell production from 3 manufacturers.</v>
      </c>
      <c r="X61" s="435">
        <v>0</v>
      </c>
      <c r="Y61" s="95">
        <v>1</v>
      </c>
      <c r="Z61" s="96">
        <f t="shared" si="34"/>
        <v>1.0906744032152329</v>
      </c>
      <c r="AA61" s="437" t="str">
        <f t="shared" si="35"/>
        <v>(2,2,1,1,1,3); de Wild-Scholten, M. &amp; de Wild, P. (2023). PV industry data collection. Data on PERC cell production from 3 manufacturers.</v>
      </c>
      <c r="AB61" s="435">
        <v>0</v>
      </c>
      <c r="AC61" s="95">
        <v>1</v>
      </c>
      <c r="AD61" s="96">
        <f t="shared" si="36"/>
        <v>1.05</v>
      </c>
      <c r="AE61" s="457" t="str">
        <f t="shared" si="37"/>
        <v xml:space="preserve">(na,na,na,na,na,na); </v>
      </c>
      <c r="AF61" s="435">
        <v>0</v>
      </c>
      <c r="AG61" s="95">
        <v>1</v>
      </c>
      <c r="AH61" s="96">
        <f t="shared" si="45"/>
        <v>1.0906744032152329</v>
      </c>
      <c r="AI61" s="432" t="str">
        <f t="shared" si="38"/>
        <v xml:space="preserve">(na,na,na,na,na,na); </v>
      </c>
      <c r="AJ61" s="112"/>
      <c r="AK61" s="435">
        <v>0</v>
      </c>
      <c r="AL61" s="216" t="s">
        <v>1067</v>
      </c>
      <c r="AM61" s="83">
        <v>2</v>
      </c>
      <c r="AN61" s="83">
        <v>2</v>
      </c>
      <c r="AO61" s="83">
        <v>1</v>
      </c>
      <c r="AP61" s="83">
        <v>1</v>
      </c>
      <c r="AQ61" s="83">
        <v>1</v>
      </c>
      <c r="AR61" s="83">
        <v>3</v>
      </c>
      <c r="AS61" s="104">
        <v>3</v>
      </c>
      <c r="AT61" s="104">
        <v>1.05</v>
      </c>
      <c r="AU61" s="107">
        <f t="shared" si="39"/>
        <v>1.0744244531716256</v>
      </c>
      <c r="AV61" s="107">
        <f t="shared" si="40"/>
        <v>1.0906744032152329</v>
      </c>
      <c r="AW61" s="107" t="str">
        <f t="shared" si="41"/>
        <v>(2,2,1,1,1,3)</v>
      </c>
      <c r="AX61" s="108">
        <v>1.05</v>
      </c>
      <c r="AY61" s="108">
        <v>1.02</v>
      </c>
      <c r="AZ61" s="108">
        <v>1</v>
      </c>
      <c r="BA61" s="108">
        <v>1</v>
      </c>
      <c r="BB61" s="108">
        <v>1</v>
      </c>
      <c r="BC61" s="108">
        <v>1.05</v>
      </c>
      <c r="BE61" s="692"/>
      <c r="BF61" s="339" t="s">
        <v>106</v>
      </c>
      <c r="BG61" s="339" t="s">
        <v>106</v>
      </c>
      <c r="BH61" s="339" t="s">
        <v>106</v>
      </c>
      <c r="BI61" s="339" t="s">
        <v>106</v>
      </c>
      <c r="BJ61" s="339" t="s">
        <v>106</v>
      </c>
      <c r="BK61" s="339" t="s">
        <v>106</v>
      </c>
      <c r="BL61" s="104">
        <v>3</v>
      </c>
      <c r="BM61" s="104">
        <v>1.05</v>
      </c>
      <c r="BN61" s="107">
        <f t="shared" si="42"/>
        <v>1</v>
      </c>
      <c r="BO61" s="107">
        <f t="shared" si="43"/>
        <v>1.05</v>
      </c>
      <c r="BP61" s="107" t="str">
        <f t="shared" si="44"/>
        <v>(na,na,na,na,na,na)</v>
      </c>
      <c r="BQ61" s="108">
        <v>1</v>
      </c>
      <c r="BR61" s="108">
        <v>1</v>
      </c>
      <c r="BS61" s="108">
        <v>1</v>
      </c>
      <c r="BT61" s="108">
        <v>1</v>
      </c>
      <c r="BU61" s="108">
        <v>1</v>
      </c>
      <c r="BV61" s="108">
        <v>1</v>
      </c>
    </row>
    <row r="62" spans="1:74" ht="24">
      <c r="A62" s="330">
        <v>257738</v>
      </c>
      <c r="B62" s="331"/>
      <c r="C62" s="332"/>
      <c r="D62" s="340">
        <v>5</v>
      </c>
      <c r="E62" s="341" t="s">
        <v>98</v>
      </c>
      <c r="F62" s="432" t="s">
        <v>999</v>
      </c>
      <c r="G62" s="433" t="s">
        <v>992</v>
      </c>
      <c r="H62" s="434" t="s">
        <v>98</v>
      </c>
      <c r="I62" s="434" t="s">
        <v>98</v>
      </c>
      <c r="J62" s="94">
        <v>0</v>
      </c>
      <c r="K62" s="433" t="s">
        <v>109</v>
      </c>
      <c r="L62" s="435">
        <v>0</v>
      </c>
      <c r="M62" s="95">
        <v>1</v>
      </c>
      <c r="N62" s="96">
        <f t="shared" si="28"/>
        <v>1.0906744032152329</v>
      </c>
      <c r="O62" s="493" t="str">
        <f t="shared" si="29"/>
        <v>(2,2,1,1,1,3); de Wild-Scholten, M. &amp; de Wild, P. (2023). PV industry data collection. Data on PERC cell production from 3 manufacturers.</v>
      </c>
      <c r="P62" s="435">
        <v>0</v>
      </c>
      <c r="Q62" s="435">
        <v>1</v>
      </c>
      <c r="R62" s="435">
        <f t="shared" si="30"/>
        <v>1.0906744032152329</v>
      </c>
      <c r="S62" s="435" t="str">
        <f t="shared" si="31"/>
        <v>(2,2,1,1,1,3); de Wild-Scholten, M. &amp; de Wild, P. (2023). PV industry data collection. Data on PERC cell production from 3 manufacturers.</v>
      </c>
      <c r="T62" s="435">
        <f>X63*F112</f>
        <v>0.80749999999999977</v>
      </c>
      <c r="U62" s="339">
        <v>1</v>
      </c>
      <c r="V62" s="1163">
        <f t="shared" si="32"/>
        <v>1.0906744032152329</v>
      </c>
      <c r="W62" s="435" t="str">
        <f t="shared" si="33"/>
        <v>(2,2,1,1,1,3); de Wild-Scholten, M. &amp; de Wild, P. (2023). PV industry data collection. Data on PERC cell production from 3 manufacturers.</v>
      </c>
      <c r="X62" s="435">
        <v>0</v>
      </c>
      <c r="Y62" s="95">
        <v>1</v>
      </c>
      <c r="Z62" s="96">
        <f t="shared" si="34"/>
        <v>1.0906744032152329</v>
      </c>
      <c r="AA62" s="437" t="str">
        <f t="shared" si="35"/>
        <v>(2,2,1,1,1,3); de Wild-Scholten, M. &amp; de Wild, P. (2023). PV industry data collection. Data on PERC cell production from 3 manufacturers.</v>
      </c>
      <c r="AB62" s="435">
        <v>0</v>
      </c>
      <c r="AC62" s="95">
        <v>1</v>
      </c>
      <c r="AD62" s="96">
        <f t="shared" si="36"/>
        <v>1.05</v>
      </c>
      <c r="AE62" s="457" t="str">
        <f t="shared" si="37"/>
        <v xml:space="preserve">(na,na,na,na,na,na); </v>
      </c>
      <c r="AF62" s="435">
        <v>0</v>
      </c>
      <c r="AG62" s="95">
        <v>1</v>
      </c>
      <c r="AH62" s="96">
        <f t="shared" si="45"/>
        <v>1.0906744032152329</v>
      </c>
      <c r="AI62" s="432" t="str">
        <f t="shared" si="38"/>
        <v xml:space="preserve">(na,na,na,na,na,na); </v>
      </c>
      <c r="AJ62" s="112"/>
      <c r="AK62" s="435">
        <v>0</v>
      </c>
      <c r="AL62" s="216" t="s">
        <v>1067</v>
      </c>
      <c r="AM62" s="83">
        <v>2</v>
      </c>
      <c r="AN62" s="83">
        <v>2</v>
      </c>
      <c r="AO62" s="83">
        <v>1</v>
      </c>
      <c r="AP62" s="83">
        <v>1</v>
      </c>
      <c r="AQ62" s="83">
        <v>1</v>
      </c>
      <c r="AR62" s="83">
        <v>3</v>
      </c>
      <c r="AS62" s="104">
        <v>3</v>
      </c>
      <c r="AT62" s="104">
        <v>1.05</v>
      </c>
      <c r="AU62" s="107">
        <f t="shared" si="39"/>
        <v>1.0744244531716256</v>
      </c>
      <c r="AV62" s="107">
        <f t="shared" si="40"/>
        <v>1.0906744032152329</v>
      </c>
      <c r="AW62" s="107" t="str">
        <f t="shared" si="41"/>
        <v>(2,2,1,1,1,3)</v>
      </c>
      <c r="AX62" s="108">
        <v>1.05</v>
      </c>
      <c r="AY62" s="108">
        <v>1.02</v>
      </c>
      <c r="AZ62" s="108">
        <v>1</v>
      </c>
      <c r="BA62" s="108">
        <v>1</v>
      </c>
      <c r="BB62" s="108">
        <v>1</v>
      </c>
      <c r="BC62" s="108">
        <v>1.05</v>
      </c>
      <c r="BE62" s="692"/>
      <c r="BF62" s="339" t="s">
        <v>106</v>
      </c>
      <c r="BG62" s="339" t="s">
        <v>106</v>
      </c>
      <c r="BH62" s="339" t="s">
        <v>106</v>
      </c>
      <c r="BI62" s="339" t="s">
        <v>106</v>
      </c>
      <c r="BJ62" s="339" t="s">
        <v>106</v>
      </c>
      <c r="BK62" s="339" t="s">
        <v>106</v>
      </c>
      <c r="BL62" s="104">
        <v>3</v>
      </c>
      <c r="BM62" s="104">
        <v>1.05</v>
      </c>
      <c r="BN62" s="107">
        <f t="shared" si="42"/>
        <v>1</v>
      </c>
      <c r="BO62" s="107">
        <f t="shared" si="43"/>
        <v>1.05</v>
      </c>
      <c r="BP62" s="107" t="str">
        <f t="shared" si="44"/>
        <v>(na,na,na,na,na,na)</v>
      </c>
      <c r="BQ62" s="108">
        <v>1</v>
      </c>
      <c r="BR62" s="108">
        <v>1</v>
      </c>
      <c r="BS62" s="108">
        <v>1</v>
      </c>
      <c r="BT62" s="108">
        <v>1</v>
      </c>
      <c r="BU62" s="108">
        <v>1</v>
      </c>
      <c r="BV62" s="108">
        <v>1</v>
      </c>
    </row>
    <row r="63" spans="1:74" ht="24">
      <c r="A63" s="330">
        <v>269603</v>
      </c>
      <c r="B63" s="331"/>
      <c r="C63" s="332"/>
      <c r="D63" s="340">
        <v>5</v>
      </c>
      <c r="E63" s="341" t="s">
        <v>98</v>
      </c>
      <c r="F63" s="432" t="s">
        <v>222</v>
      </c>
      <c r="G63" s="433" t="s">
        <v>223</v>
      </c>
      <c r="H63" s="434" t="s">
        <v>98</v>
      </c>
      <c r="I63" s="434" t="s">
        <v>98</v>
      </c>
      <c r="J63" s="94">
        <v>0</v>
      </c>
      <c r="K63" s="433" t="s">
        <v>109</v>
      </c>
      <c r="L63" s="435">
        <v>0</v>
      </c>
      <c r="M63" s="95">
        <v>1</v>
      </c>
      <c r="N63" s="96">
        <f t="shared" si="28"/>
        <v>1.0906744032152329</v>
      </c>
      <c r="O63" s="493" t="str">
        <f t="shared" si="29"/>
        <v>(2,2,1,1,1,3); de Wild-Scholten, M. &amp; de Wild, P. (2023). PV industry data collection. Data on PERC cell production from 3 manufacturers.</v>
      </c>
      <c r="P63" s="435">
        <v>0</v>
      </c>
      <c r="Q63" s="435">
        <v>1</v>
      </c>
      <c r="R63" s="435">
        <f t="shared" si="30"/>
        <v>1.0906744032152329</v>
      </c>
      <c r="S63" s="435" t="str">
        <f t="shared" si="31"/>
        <v>(2,2,1,1,1,3); de Wild-Scholten, M. &amp; de Wild, P. (2023). PV industry data collection. Data on PERC cell production from 3 manufacturers.</v>
      </c>
      <c r="T63" s="435">
        <v>0</v>
      </c>
      <c r="U63" s="339">
        <v>1</v>
      </c>
      <c r="V63" s="1163">
        <f t="shared" si="32"/>
        <v>1.0906744032152329</v>
      </c>
      <c r="W63" s="435" t="str">
        <f t="shared" si="33"/>
        <v>(2,2,1,1,1,3); de Wild-Scholten, M. &amp; de Wild, P. (2023). PV industry data collection. Data on PERC cell production from 3 manufacturers.</v>
      </c>
      <c r="X63" s="435">
        <v>9.69</v>
      </c>
      <c r="Y63" s="95">
        <v>1</v>
      </c>
      <c r="Z63" s="96">
        <f t="shared" si="34"/>
        <v>1.0906744032152329</v>
      </c>
      <c r="AA63" s="437" t="str">
        <f t="shared" si="35"/>
        <v>(2,2,1,1,1,3); de Wild-Scholten, M. &amp; de Wild, P. (2023). PV industry data collection. Data on PERC cell production from 3 manufacturers.</v>
      </c>
      <c r="AB63" s="435">
        <v>0</v>
      </c>
      <c r="AC63" s="95">
        <v>1</v>
      </c>
      <c r="AD63" s="96">
        <f t="shared" si="36"/>
        <v>1.05</v>
      </c>
      <c r="AE63" s="457" t="str">
        <f t="shared" si="37"/>
        <v xml:space="preserve">(na,na,na,na,na,na); </v>
      </c>
      <c r="AF63" s="435">
        <v>0</v>
      </c>
      <c r="AG63" s="95">
        <v>1</v>
      </c>
      <c r="AH63" s="96">
        <f t="shared" si="45"/>
        <v>1.0906744032152329</v>
      </c>
      <c r="AI63" s="432" t="str">
        <f t="shared" si="38"/>
        <v xml:space="preserve">(na,na,na,na,na,na); </v>
      </c>
      <c r="AJ63" s="112"/>
      <c r="AK63" s="435">
        <v>14.381985535831699</v>
      </c>
      <c r="AL63" s="216" t="s">
        <v>1067</v>
      </c>
      <c r="AM63" s="83">
        <v>2</v>
      </c>
      <c r="AN63" s="83">
        <v>2</v>
      </c>
      <c r="AO63" s="83">
        <v>1</v>
      </c>
      <c r="AP63" s="83">
        <v>1</v>
      </c>
      <c r="AQ63" s="83">
        <v>1</v>
      </c>
      <c r="AR63" s="83">
        <v>3</v>
      </c>
      <c r="AS63" s="104">
        <v>2</v>
      </c>
      <c r="AT63" s="104">
        <v>1.05</v>
      </c>
      <c r="AU63" s="107">
        <f t="shared" si="39"/>
        <v>1.0744244531716256</v>
      </c>
      <c r="AV63" s="107">
        <f t="shared" si="40"/>
        <v>1.0906744032152329</v>
      </c>
      <c r="AW63" s="107" t="str">
        <f t="shared" si="41"/>
        <v>(2,2,1,1,1,3)</v>
      </c>
      <c r="AX63" s="108">
        <v>1.05</v>
      </c>
      <c r="AY63" s="108">
        <v>1.02</v>
      </c>
      <c r="AZ63" s="108">
        <v>1</v>
      </c>
      <c r="BA63" s="108">
        <v>1</v>
      </c>
      <c r="BB63" s="108">
        <v>1</v>
      </c>
      <c r="BC63" s="108">
        <v>1.05</v>
      </c>
      <c r="BE63" s="692"/>
      <c r="BF63" s="339" t="s">
        <v>106</v>
      </c>
      <c r="BG63" s="339" t="s">
        <v>106</v>
      </c>
      <c r="BH63" s="339" t="s">
        <v>106</v>
      </c>
      <c r="BI63" s="339" t="s">
        <v>106</v>
      </c>
      <c r="BJ63" s="339" t="s">
        <v>106</v>
      </c>
      <c r="BK63" s="339" t="s">
        <v>106</v>
      </c>
      <c r="BL63" s="104">
        <v>2</v>
      </c>
      <c r="BM63" s="104">
        <v>1.05</v>
      </c>
      <c r="BN63" s="107">
        <f t="shared" si="42"/>
        <v>1</v>
      </c>
      <c r="BO63" s="107">
        <f t="shared" si="43"/>
        <v>1.05</v>
      </c>
      <c r="BP63" s="107" t="str">
        <f t="shared" si="44"/>
        <v>(na,na,na,na,na,na)</v>
      </c>
      <c r="BQ63" s="108">
        <v>1</v>
      </c>
      <c r="BR63" s="108">
        <v>1</v>
      </c>
      <c r="BS63" s="108">
        <v>1</v>
      </c>
      <c r="BT63" s="108">
        <v>1</v>
      </c>
      <c r="BU63" s="108">
        <v>1</v>
      </c>
      <c r="BV63" s="108">
        <v>1</v>
      </c>
    </row>
    <row r="64" spans="1:74" ht="24">
      <c r="A64" s="330">
        <v>79235</v>
      </c>
      <c r="B64" s="331"/>
      <c r="C64" s="332"/>
      <c r="D64" s="340">
        <v>5</v>
      </c>
      <c r="E64" s="341" t="s">
        <v>98</v>
      </c>
      <c r="F64" s="432" t="s">
        <v>688</v>
      </c>
      <c r="G64" s="433" t="s">
        <v>340</v>
      </c>
      <c r="H64" s="434" t="s">
        <v>98</v>
      </c>
      <c r="I64" s="434" t="s">
        <v>98</v>
      </c>
      <c r="J64" s="94">
        <v>0</v>
      </c>
      <c r="K64" s="433" t="s">
        <v>109</v>
      </c>
      <c r="L64" s="435">
        <v>0</v>
      </c>
      <c r="M64" s="95">
        <v>1</v>
      </c>
      <c r="N64" s="96">
        <f t="shared" si="28"/>
        <v>1.05</v>
      </c>
      <c r="O64" s="432" t="str">
        <f t="shared" si="29"/>
        <v xml:space="preserve">(na,na,na,na,na,na); </v>
      </c>
      <c r="P64" s="435">
        <v>0</v>
      </c>
      <c r="Q64" s="95">
        <v>1</v>
      </c>
      <c r="R64" s="96">
        <f t="shared" si="30"/>
        <v>1.05</v>
      </c>
      <c r="S64" s="457" t="str">
        <f t="shared" si="31"/>
        <v xml:space="preserve">(na,na,na,na,na,na); </v>
      </c>
      <c r="T64" s="435">
        <v>0</v>
      </c>
      <c r="U64" s="95">
        <v>1</v>
      </c>
      <c r="V64" s="96">
        <f t="shared" si="32"/>
        <v>1.05</v>
      </c>
      <c r="W64" s="457" t="str">
        <f t="shared" si="33"/>
        <v xml:space="preserve">(na,na,na,na,na,na); </v>
      </c>
      <c r="X64" s="435">
        <v>0</v>
      </c>
      <c r="Y64" s="95">
        <v>1</v>
      </c>
      <c r="Z64" s="96">
        <f t="shared" si="34"/>
        <v>1.05</v>
      </c>
      <c r="AA64" s="437" t="str">
        <f t="shared" si="35"/>
        <v xml:space="preserve">(na,na,na,na,na,na); </v>
      </c>
      <c r="AB64" s="435">
        <f>7.82+0.691778742</f>
        <v>8.5117787420000006</v>
      </c>
      <c r="AC64" s="95">
        <v>1</v>
      </c>
      <c r="AD64" s="96">
        <f t="shared" si="36"/>
        <v>1.2434566510799234</v>
      </c>
      <c r="AE64" s="457" t="str">
        <f t="shared" si="37"/>
        <v>(2,4,1,3,1,5); Brailovsky (2026), GM 05 + GM 06; at grid iso market</v>
      </c>
      <c r="AF64" s="435">
        <v>0</v>
      </c>
      <c r="AG64" s="95">
        <v>1</v>
      </c>
      <c r="AH64" s="96">
        <f t="shared" si="45"/>
        <v>1.05</v>
      </c>
      <c r="AI64" s="432" t="str">
        <f t="shared" si="38"/>
        <v>(2,4,1,3,1,5); Brailovsky (2026), GM 05 + GM 06; at grid iso market</v>
      </c>
      <c r="AJ64" s="112"/>
      <c r="AK64" s="435"/>
      <c r="AL64" s="216"/>
      <c r="AM64" s="339" t="s">
        <v>106</v>
      </c>
      <c r="AN64" s="339" t="s">
        <v>106</v>
      </c>
      <c r="AO64" s="339" t="s">
        <v>106</v>
      </c>
      <c r="AP64" s="339" t="s">
        <v>106</v>
      </c>
      <c r="AQ64" s="339" t="s">
        <v>106</v>
      </c>
      <c r="AR64" s="339" t="s">
        <v>106</v>
      </c>
      <c r="AS64" s="104">
        <v>3</v>
      </c>
      <c r="AT64" s="104">
        <v>1.05</v>
      </c>
      <c r="AU64" s="107">
        <f t="shared" si="39"/>
        <v>1</v>
      </c>
      <c r="AV64" s="107">
        <f t="shared" si="40"/>
        <v>1.05</v>
      </c>
      <c r="AW64" s="107" t="str">
        <f t="shared" si="41"/>
        <v>(na,na,na,na,na,na)</v>
      </c>
      <c r="AX64" s="108">
        <v>1</v>
      </c>
      <c r="AY64" s="108">
        <v>1</v>
      </c>
      <c r="AZ64" s="108">
        <v>1</v>
      </c>
      <c r="BA64" s="108">
        <v>1</v>
      </c>
      <c r="BB64" s="108">
        <v>1</v>
      </c>
      <c r="BC64" s="108">
        <v>1</v>
      </c>
      <c r="BE64" s="692" t="s">
        <v>1069</v>
      </c>
      <c r="BF64" s="83">
        <v>2</v>
      </c>
      <c r="BG64" s="83">
        <v>4</v>
      </c>
      <c r="BH64" s="83">
        <v>1</v>
      </c>
      <c r="BI64" s="83">
        <v>3</v>
      </c>
      <c r="BJ64" s="83">
        <v>1</v>
      </c>
      <c r="BK64" s="83">
        <v>5</v>
      </c>
      <c r="BL64" s="104">
        <v>3</v>
      </c>
      <c r="BM64" s="104">
        <v>1.05</v>
      </c>
      <c r="BN64" s="107">
        <f t="shared" si="42"/>
        <v>1.2365959919080913</v>
      </c>
      <c r="BO64" s="107">
        <f t="shared" si="43"/>
        <v>1.2434566510799234</v>
      </c>
      <c r="BP64" s="107" t="str">
        <f t="shared" si="44"/>
        <v>(2,4,1,3,1,5)</v>
      </c>
      <c r="BQ64" s="108">
        <v>1.05</v>
      </c>
      <c r="BR64" s="108">
        <v>1.1000000000000001</v>
      </c>
      <c r="BS64" s="108">
        <v>1</v>
      </c>
      <c r="BT64" s="108">
        <v>1.02</v>
      </c>
      <c r="BU64" s="108">
        <v>1</v>
      </c>
      <c r="BV64" s="108">
        <v>1.2</v>
      </c>
    </row>
    <row r="65" spans="1:74" s="171" customFormat="1" ht="24">
      <c r="A65" s="333">
        <v>254021</v>
      </c>
      <c r="B65" s="216"/>
      <c r="C65" s="334"/>
      <c r="D65" s="342">
        <v>5</v>
      </c>
      <c r="E65" s="343" t="s">
        <v>98</v>
      </c>
      <c r="F65" s="437" t="s">
        <v>1001</v>
      </c>
      <c r="G65" s="438" t="s">
        <v>103</v>
      </c>
      <c r="H65" s="439" t="s">
        <v>98</v>
      </c>
      <c r="I65" s="439" t="s">
        <v>98</v>
      </c>
      <c r="J65" s="335">
        <v>0</v>
      </c>
      <c r="K65" s="438" t="s">
        <v>104</v>
      </c>
      <c r="L65" s="440">
        <f>X65</f>
        <v>6.0815253122945397E-2</v>
      </c>
      <c r="M65" s="336">
        <v>1</v>
      </c>
      <c r="N65" s="337">
        <f t="shared" si="28"/>
        <v>1.2237593405947058</v>
      </c>
      <c r="O65" s="437" t="str">
        <f t="shared" si="29"/>
        <v>(2,2,4,1,1,3); de Wild-Scholten (2014) Life Cycle Assessment of Photovoltaics Status 2011, Part 1 Data Collection (Table 30,31)</v>
      </c>
      <c r="P65" s="440">
        <f t="shared" ref="P65:P71" si="46">L65</f>
        <v>6.0815253122945397E-2</v>
      </c>
      <c r="Q65" s="336">
        <v>1</v>
      </c>
      <c r="R65" s="337">
        <f t="shared" si="30"/>
        <v>1.2237593405947058</v>
      </c>
      <c r="S65" s="455" t="str">
        <f t="shared" si="31"/>
        <v>(2,2,4,1,1,3); de Wild-Scholten (2014) Life Cycle Assessment of Photovoltaics Status 2011, Part 1 Data Collection (Table 30,31)</v>
      </c>
      <c r="T65" s="440">
        <f t="shared" ref="T65:T71" si="47">L65</f>
        <v>6.0815253122945397E-2</v>
      </c>
      <c r="U65" s="336">
        <v>1</v>
      </c>
      <c r="V65" s="337">
        <f t="shared" si="32"/>
        <v>1.2237593405947058</v>
      </c>
      <c r="W65" s="455" t="str">
        <f t="shared" si="33"/>
        <v>(2,2,4,1,1,3); de Wild-Scholten (2014) Life Cycle Assessment of Photovoltaics Status 2011, Part 1 Data Collection (Table 30,31)</v>
      </c>
      <c r="X65" s="440">
        <f>AK65</f>
        <v>6.0815253122945397E-2</v>
      </c>
      <c r="Y65" s="336">
        <v>1</v>
      </c>
      <c r="Z65" s="337">
        <f t="shared" si="34"/>
        <v>1.2237593405947058</v>
      </c>
      <c r="AA65" s="437" t="str">
        <f t="shared" si="35"/>
        <v>(2,2,4,1,1,3); de Wild-Scholten (2014) Life Cycle Assessment of Photovoltaics Status 2011, Part 1 Data Collection (Table 30,31)</v>
      </c>
      <c r="AB65" s="440">
        <v>2.14</v>
      </c>
      <c r="AC65" s="336">
        <v>1</v>
      </c>
      <c r="AD65" s="337">
        <f t="shared" si="36"/>
        <v>1.2434566510799234</v>
      </c>
      <c r="AE65" s="455" t="str">
        <f t="shared" si="37"/>
        <v>(2,4,1,3,1,5); Brailovsky (2026) GM 05; iso "Heat, district or industrial, natural gas RER"</v>
      </c>
      <c r="AF65" s="440">
        <v>2.14</v>
      </c>
      <c r="AG65" s="336">
        <v>1</v>
      </c>
      <c r="AH65" s="337">
        <f t="shared" si="45"/>
        <v>1.2237593405947058</v>
      </c>
      <c r="AI65" s="437" t="str">
        <f t="shared" si="38"/>
        <v>(2,4,1,3,1,5); Brailovsky (2026) GM 05; iso "Heat, district or industrial, natural gas RER"</v>
      </c>
      <c r="AJ65" s="338"/>
      <c r="AK65" s="440">
        <v>6.0815253122945397E-2</v>
      </c>
      <c r="AL65" s="216" t="s">
        <v>1012</v>
      </c>
      <c r="AM65" s="83">
        <v>2</v>
      </c>
      <c r="AN65" s="83">
        <v>2</v>
      </c>
      <c r="AO65" s="83">
        <v>4</v>
      </c>
      <c r="AP65" s="83">
        <v>1</v>
      </c>
      <c r="AQ65" s="83">
        <v>1</v>
      </c>
      <c r="AR65" s="83">
        <v>3</v>
      </c>
      <c r="AS65" s="104">
        <v>1</v>
      </c>
      <c r="AT65" s="104">
        <v>1.05</v>
      </c>
      <c r="AU65" s="107">
        <f t="shared" si="39"/>
        <v>1.2164594125584303</v>
      </c>
      <c r="AV65" s="107">
        <f t="shared" si="40"/>
        <v>1.2237593405947058</v>
      </c>
      <c r="AW65" s="107" t="str">
        <f t="shared" si="41"/>
        <v>(2,2,4,1,1,3)</v>
      </c>
      <c r="AX65" s="108">
        <v>1.05</v>
      </c>
      <c r="AY65" s="108">
        <v>1.02</v>
      </c>
      <c r="AZ65" s="108">
        <v>1.2</v>
      </c>
      <c r="BA65" s="108">
        <v>1</v>
      </c>
      <c r="BB65" s="108">
        <v>1</v>
      </c>
      <c r="BC65" s="108">
        <v>1.05</v>
      </c>
      <c r="BE65" s="691" t="s">
        <v>1070</v>
      </c>
      <c r="BF65" s="83">
        <v>2</v>
      </c>
      <c r="BG65" s="83">
        <v>4</v>
      </c>
      <c r="BH65" s="83">
        <v>1</v>
      </c>
      <c r="BI65" s="83">
        <v>3</v>
      </c>
      <c r="BJ65" s="83">
        <v>1</v>
      </c>
      <c r="BK65" s="83">
        <v>5</v>
      </c>
      <c r="BL65" s="104">
        <v>1</v>
      </c>
      <c r="BM65" s="104">
        <v>1.05</v>
      </c>
      <c r="BN65" s="107">
        <f t="shared" si="42"/>
        <v>1.2365959919080913</v>
      </c>
      <c r="BO65" s="107">
        <f t="shared" si="43"/>
        <v>1.2434566510799234</v>
      </c>
      <c r="BP65" s="107" t="str">
        <f t="shared" si="44"/>
        <v>(2,4,1,3,1,5)</v>
      </c>
      <c r="BQ65" s="108">
        <v>1.05</v>
      </c>
      <c r="BR65" s="108">
        <v>1.1000000000000001</v>
      </c>
      <c r="BS65" s="108">
        <v>1</v>
      </c>
      <c r="BT65" s="108">
        <v>1.02</v>
      </c>
      <c r="BU65" s="108">
        <v>1</v>
      </c>
      <c r="BV65" s="108">
        <v>1.2</v>
      </c>
    </row>
    <row r="66" spans="1:74" s="171" customFormat="1" ht="24">
      <c r="A66" s="333">
        <v>269235</v>
      </c>
      <c r="B66" s="216" t="s">
        <v>592</v>
      </c>
      <c r="C66" s="334"/>
      <c r="D66" s="342">
        <v>5</v>
      </c>
      <c r="E66" s="343" t="s">
        <v>98</v>
      </c>
      <c r="F66" s="437" t="s">
        <v>918</v>
      </c>
      <c r="G66" s="438" t="s">
        <v>340</v>
      </c>
      <c r="H66" s="439" t="s">
        <v>98</v>
      </c>
      <c r="I66" s="439" t="s">
        <v>98</v>
      </c>
      <c r="J66" s="335">
        <v>1</v>
      </c>
      <c r="K66" s="438" t="s">
        <v>144</v>
      </c>
      <c r="L66" s="440">
        <f>X66</f>
        <v>3.9981919789612098E-7</v>
      </c>
      <c r="M66" s="336">
        <v>1</v>
      </c>
      <c r="N66" s="337">
        <f t="shared" si="28"/>
        <v>3.0524650216521243</v>
      </c>
      <c r="O66" s="437" t="str">
        <f t="shared" si="29"/>
        <v>(2,2,4,1,1,3); de Wild-Scholten (2014) Life Cycle Assessment of Photovoltaics Status 2011, Part 1 Data Collection (Table 30,31)</v>
      </c>
      <c r="P66" s="440">
        <f t="shared" si="46"/>
        <v>3.9981919789612098E-7</v>
      </c>
      <c r="Q66" s="336">
        <v>1</v>
      </c>
      <c r="R66" s="337">
        <f t="shared" si="30"/>
        <v>3.0524650216521243</v>
      </c>
      <c r="S66" s="455" t="str">
        <f t="shared" si="31"/>
        <v>(2,2,4,1,1,3); de Wild-Scholten (2014) Life Cycle Assessment of Photovoltaics Status 2011, Part 1 Data Collection (Table 30,31)</v>
      </c>
      <c r="T66" s="440">
        <f t="shared" si="47"/>
        <v>3.9981919789612098E-7</v>
      </c>
      <c r="U66" s="336">
        <v>1</v>
      </c>
      <c r="V66" s="337">
        <f t="shared" si="32"/>
        <v>3.0524650216521243</v>
      </c>
      <c r="W66" s="455" t="str">
        <f t="shared" si="33"/>
        <v>(2,2,4,1,1,3); de Wild-Scholten (2014) Life Cycle Assessment of Photovoltaics Status 2011, Part 1 Data Collection (Table 30,31)</v>
      </c>
      <c r="X66" s="440">
        <f>AK66</f>
        <v>3.9981919789612098E-7</v>
      </c>
      <c r="Y66" s="336">
        <v>1</v>
      </c>
      <c r="Z66" s="337">
        <f t="shared" si="34"/>
        <v>3.0524650216521243</v>
      </c>
      <c r="AA66" s="437" t="str">
        <f t="shared" si="35"/>
        <v>(2,2,4,1,1,3); de Wild-Scholten (2014) Life Cycle Assessment of Photovoltaics Status 2011, Part 1 Data Collection (Table 30,31)</v>
      </c>
      <c r="AB66" s="440">
        <v>0</v>
      </c>
      <c r="AC66" s="336">
        <v>1</v>
      </c>
      <c r="AD66" s="337">
        <f t="shared" si="36"/>
        <v>3.0000000000000004</v>
      </c>
      <c r="AE66" s="455" t="str">
        <f t="shared" si="37"/>
        <v xml:space="preserve">(na,na,na,na,na,na); </v>
      </c>
      <c r="AF66" s="440">
        <v>0</v>
      </c>
      <c r="AG66" s="336">
        <v>1</v>
      </c>
      <c r="AH66" s="337">
        <f t="shared" si="45"/>
        <v>3.0524650216521243</v>
      </c>
      <c r="AI66" s="437" t="str">
        <f t="shared" si="38"/>
        <v xml:space="preserve">(na,na,na,na,na,na); </v>
      </c>
      <c r="AJ66" s="338"/>
      <c r="AK66" s="440">
        <v>3.9981919789612098E-7</v>
      </c>
      <c r="AL66" s="216" t="s">
        <v>1012</v>
      </c>
      <c r="AM66" s="83">
        <v>2</v>
      </c>
      <c r="AN66" s="83">
        <v>2</v>
      </c>
      <c r="AO66" s="83">
        <v>4</v>
      </c>
      <c r="AP66" s="83">
        <v>1</v>
      </c>
      <c r="AQ66" s="83">
        <v>1</v>
      </c>
      <c r="AR66" s="83">
        <v>3</v>
      </c>
      <c r="AS66" s="104">
        <v>9</v>
      </c>
      <c r="AT66" s="104">
        <v>3</v>
      </c>
      <c r="AU66" s="107">
        <f t="shared" si="39"/>
        <v>1.2164594125584303</v>
      </c>
      <c r="AV66" s="107">
        <f t="shared" si="40"/>
        <v>3.0524650216521243</v>
      </c>
      <c r="AW66" s="107" t="str">
        <f t="shared" si="41"/>
        <v>(2,2,4,1,1,3)</v>
      </c>
      <c r="AX66" s="108">
        <v>1.05</v>
      </c>
      <c r="AY66" s="108">
        <v>1.02</v>
      </c>
      <c r="AZ66" s="108">
        <v>1.2</v>
      </c>
      <c r="BA66" s="108">
        <v>1</v>
      </c>
      <c r="BB66" s="108">
        <v>1</v>
      </c>
      <c r="BC66" s="108">
        <v>1.05</v>
      </c>
      <c r="BE66" s="691"/>
      <c r="BF66" s="339" t="s">
        <v>106</v>
      </c>
      <c r="BG66" s="339" t="s">
        <v>106</v>
      </c>
      <c r="BH66" s="339" t="s">
        <v>106</v>
      </c>
      <c r="BI66" s="339" t="s">
        <v>106</v>
      </c>
      <c r="BJ66" s="339" t="s">
        <v>106</v>
      </c>
      <c r="BK66" s="339" t="s">
        <v>106</v>
      </c>
      <c r="BL66" s="104">
        <v>9</v>
      </c>
      <c r="BM66" s="104">
        <v>3</v>
      </c>
      <c r="BN66" s="107">
        <f t="shared" si="42"/>
        <v>1</v>
      </c>
      <c r="BO66" s="107">
        <f t="shared" si="43"/>
        <v>3.0000000000000004</v>
      </c>
      <c r="BP66" s="107" t="str">
        <f t="shared" si="44"/>
        <v>(na,na,na,na,na,na)</v>
      </c>
      <c r="BQ66" s="108">
        <v>1</v>
      </c>
      <c r="BR66" s="108">
        <v>1</v>
      </c>
      <c r="BS66" s="108">
        <v>1</v>
      </c>
      <c r="BT66" s="108">
        <v>1</v>
      </c>
      <c r="BU66" s="108">
        <v>1</v>
      </c>
      <c r="BV66" s="108">
        <v>1</v>
      </c>
    </row>
    <row r="67" spans="1:74" s="171" customFormat="1" ht="24">
      <c r="A67" s="333" t="s">
        <v>774</v>
      </c>
      <c r="B67" s="216"/>
      <c r="C67" s="334"/>
      <c r="D67" s="342">
        <v>5</v>
      </c>
      <c r="E67" s="343" t="s">
        <v>98</v>
      </c>
      <c r="F67" s="437" t="s">
        <v>775</v>
      </c>
      <c r="G67" s="438" t="s">
        <v>340</v>
      </c>
      <c r="H67" s="439" t="s">
        <v>98</v>
      </c>
      <c r="I67" s="439" t="s">
        <v>98</v>
      </c>
      <c r="J67" s="335">
        <v>1</v>
      </c>
      <c r="K67" s="438" t="s">
        <v>144</v>
      </c>
      <c r="L67" s="440">
        <v>0</v>
      </c>
      <c r="M67" s="336">
        <v>1</v>
      </c>
      <c r="N67" s="337">
        <f t="shared" si="28"/>
        <v>3.0000000000000004</v>
      </c>
      <c r="O67" s="437" t="str">
        <f t="shared" si="29"/>
        <v xml:space="preserve">(na,na,na,na,na,na); </v>
      </c>
      <c r="P67" s="440">
        <f t="shared" si="46"/>
        <v>0</v>
      </c>
      <c r="Q67" s="336">
        <v>0</v>
      </c>
      <c r="R67" s="337">
        <f t="shared" si="30"/>
        <v>3.0000000000000004</v>
      </c>
      <c r="S67" s="455" t="str">
        <f t="shared" si="31"/>
        <v xml:space="preserve">(na,na,na,na,na,na); </v>
      </c>
      <c r="T67" s="440">
        <f t="shared" si="47"/>
        <v>0</v>
      </c>
      <c r="U67" s="336">
        <v>0</v>
      </c>
      <c r="V67" s="337">
        <f t="shared" si="32"/>
        <v>3.0000000000000004</v>
      </c>
      <c r="W67" s="455" t="str">
        <f t="shared" si="33"/>
        <v xml:space="preserve">(na,na,na,na,na,na); </v>
      </c>
      <c r="X67" s="440">
        <f>AK67</f>
        <v>0</v>
      </c>
      <c r="Y67" s="336">
        <v>0</v>
      </c>
      <c r="Z67" s="337">
        <f t="shared" si="34"/>
        <v>3.0000000000000004</v>
      </c>
      <c r="AA67" s="437" t="str">
        <f t="shared" si="35"/>
        <v xml:space="preserve">(na,na,na,na,na,na); </v>
      </c>
      <c r="AB67" s="440">
        <v>3.5200000000000003E-10</v>
      </c>
      <c r="AC67" s="336">
        <v>1</v>
      </c>
      <c r="AD67" s="337">
        <f t="shared" si="36"/>
        <v>3.0616345979734279</v>
      </c>
      <c r="AE67" s="455" t="str">
        <f t="shared" si="37"/>
        <v>(2,4,1,3,1,5); Brailovsky (2026) Ancillary Buildings Steel BS</v>
      </c>
      <c r="AF67" s="440">
        <v>3.5200000000000003E-10</v>
      </c>
      <c r="AG67" s="336">
        <v>1</v>
      </c>
      <c r="AH67" s="337">
        <f t="shared" si="45"/>
        <v>3.0000000000000004</v>
      </c>
      <c r="AI67" s="437" t="str">
        <f t="shared" si="38"/>
        <v>(2,4,1,3,1,5); Brailovsky (2026) Ancillary Buildings Steel BS</v>
      </c>
      <c r="AJ67" s="338"/>
      <c r="AK67" s="440"/>
      <c r="AL67" s="216"/>
      <c r="AM67" s="339" t="s">
        <v>106</v>
      </c>
      <c r="AN67" s="339" t="s">
        <v>106</v>
      </c>
      <c r="AO67" s="339" t="s">
        <v>106</v>
      </c>
      <c r="AP67" s="339" t="s">
        <v>106</v>
      </c>
      <c r="AQ67" s="339" t="s">
        <v>106</v>
      </c>
      <c r="AR67" s="339" t="s">
        <v>106</v>
      </c>
      <c r="AS67" s="104">
        <v>9</v>
      </c>
      <c r="AT67" s="104">
        <v>3</v>
      </c>
      <c r="AU67" s="107">
        <f t="shared" si="39"/>
        <v>1</v>
      </c>
      <c r="AV67" s="107">
        <f t="shared" si="40"/>
        <v>3.0000000000000004</v>
      </c>
      <c r="AW67" s="107" t="str">
        <f t="shared" si="41"/>
        <v>(na,na,na,na,na,na)</v>
      </c>
      <c r="AX67" s="108">
        <v>1</v>
      </c>
      <c r="AY67" s="108">
        <v>1</v>
      </c>
      <c r="AZ67" s="108">
        <v>1</v>
      </c>
      <c r="BA67" s="108">
        <v>1</v>
      </c>
      <c r="BB67" s="108">
        <v>1</v>
      </c>
      <c r="BC67" s="108">
        <v>1</v>
      </c>
      <c r="BE67" s="691" t="s">
        <v>1071</v>
      </c>
      <c r="BF67" s="83">
        <v>2</v>
      </c>
      <c r="BG67" s="83">
        <v>4</v>
      </c>
      <c r="BH67" s="83">
        <v>1</v>
      </c>
      <c r="BI67" s="83">
        <v>3</v>
      </c>
      <c r="BJ67" s="83">
        <v>1</v>
      </c>
      <c r="BK67" s="83">
        <v>5</v>
      </c>
      <c r="BL67" s="104">
        <v>9</v>
      </c>
      <c r="BM67" s="104">
        <v>3</v>
      </c>
      <c r="BN67" s="107">
        <f t="shared" si="42"/>
        <v>1.2365959919080913</v>
      </c>
      <c r="BO67" s="107">
        <f t="shared" si="43"/>
        <v>3.0616345979734279</v>
      </c>
      <c r="BP67" s="107" t="str">
        <f t="shared" si="44"/>
        <v>(2,4,1,3,1,5)</v>
      </c>
      <c r="BQ67" s="108">
        <v>1.05</v>
      </c>
      <c r="BR67" s="108">
        <v>1.1000000000000001</v>
      </c>
      <c r="BS67" s="108">
        <v>1</v>
      </c>
      <c r="BT67" s="108">
        <v>1.02</v>
      </c>
      <c r="BU67" s="108">
        <v>1</v>
      </c>
      <c r="BV67" s="108">
        <v>1.2</v>
      </c>
    </row>
    <row r="68" spans="1:74" s="171" customFormat="1" ht="24">
      <c r="A68" s="333" t="s">
        <v>917</v>
      </c>
      <c r="B68" s="216"/>
      <c r="C68" s="334"/>
      <c r="D68" s="342">
        <v>5</v>
      </c>
      <c r="E68" s="343" t="s">
        <v>98</v>
      </c>
      <c r="F68" s="437" t="s">
        <v>919</v>
      </c>
      <c r="G68" s="438" t="s">
        <v>340</v>
      </c>
      <c r="H68" s="439" t="s">
        <v>98</v>
      </c>
      <c r="I68" s="439" t="s">
        <v>98</v>
      </c>
      <c r="J68" s="335">
        <v>1</v>
      </c>
      <c r="K68" s="438" t="s">
        <v>144</v>
      </c>
      <c r="L68" s="440">
        <f>X68</f>
        <v>0</v>
      </c>
      <c r="M68" s="336">
        <v>1</v>
      </c>
      <c r="N68" s="337">
        <f t="shared" si="28"/>
        <v>3.0000000000000004</v>
      </c>
      <c r="O68" s="437" t="str">
        <f t="shared" si="29"/>
        <v xml:space="preserve">(na,na,na,na,na,na); </v>
      </c>
      <c r="P68" s="440">
        <f t="shared" si="46"/>
        <v>0</v>
      </c>
      <c r="Q68" s="336">
        <v>1</v>
      </c>
      <c r="R68" s="337">
        <f t="shared" si="30"/>
        <v>3.0000000000000004</v>
      </c>
      <c r="S68" s="455" t="str">
        <f t="shared" si="31"/>
        <v xml:space="preserve">(na,na,na,na,na,na); </v>
      </c>
      <c r="T68" s="440">
        <f t="shared" si="47"/>
        <v>0</v>
      </c>
      <c r="U68" s="336">
        <v>1</v>
      </c>
      <c r="V68" s="337">
        <f t="shared" si="32"/>
        <v>3.0000000000000004</v>
      </c>
      <c r="W68" s="455" t="str">
        <f t="shared" si="33"/>
        <v xml:space="preserve">(na,na,na,na,na,na); </v>
      </c>
      <c r="X68" s="440">
        <f>AK68</f>
        <v>0</v>
      </c>
      <c r="Y68" s="336">
        <v>1</v>
      </c>
      <c r="Z68" s="337">
        <f t="shared" si="34"/>
        <v>3.0000000000000004</v>
      </c>
      <c r="AA68" s="437" t="str">
        <f t="shared" si="35"/>
        <v xml:space="preserve">(na,na,na,na,na,na); </v>
      </c>
      <c r="AB68" s="440">
        <v>1.4100000000000001E-9</v>
      </c>
      <c r="AC68" s="336">
        <v>1</v>
      </c>
      <c r="AD68" s="337">
        <f t="shared" si="36"/>
        <v>3.0616345979734279</v>
      </c>
      <c r="AE68" s="455" t="str">
        <f t="shared" si="37"/>
        <v>(2,4,1,3,1,5); Brailovsky (2026) GM Cell Factory Steel BS iso Timber BS</v>
      </c>
      <c r="AF68" s="440">
        <v>1.4100000000000001E-9</v>
      </c>
      <c r="AG68" s="336">
        <v>1</v>
      </c>
      <c r="AH68" s="337">
        <f t="shared" si="45"/>
        <v>3.0000000000000004</v>
      </c>
      <c r="AI68" s="437" t="str">
        <f t="shared" si="38"/>
        <v>(2,4,1,3,1,5); Brailovsky (2026) GM Cell Factory Steel BS iso Timber BS</v>
      </c>
      <c r="AJ68" s="338"/>
      <c r="AK68" s="440"/>
      <c r="AL68" s="216"/>
      <c r="AM68" s="339" t="s">
        <v>106</v>
      </c>
      <c r="AN68" s="339" t="s">
        <v>106</v>
      </c>
      <c r="AO68" s="339" t="s">
        <v>106</v>
      </c>
      <c r="AP68" s="339" t="s">
        <v>106</v>
      </c>
      <c r="AQ68" s="339" t="s">
        <v>106</v>
      </c>
      <c r="AR68" s="339" t="s">
        <v>106</v>
      </c>
      <c r="AS68" s="104">
        <v>9</v>
      </c>
      <c r="AT68" s="104">
        <v>3</v>
      </c>
      <c r="AU68" s="107">
        <f t="shared" si="39"/>
        <v>1</v>
      </c>
      <c r="AV68" s="107">
        <f t="shared" si="40"/>
        <v>3.0000000000000004</v>
      </c>
      <c r="AW68" s="107" t="str">
        <f t="shared" si="41"/>
        <v>(na,na,na,na,na,na)</v>
      </c>
      <c r="AX68" s="108">
        <v>1</v>
      </c>
      <c r="AY68" s="108">
        <v>1</v>
      </c>
      <c r="AZ68" s="108">
        <v>1</v>
      </c>
      <c r="BA68" s="108">
        <v>1</v>
      </c>
      <c r="BB68" s="108">
        <v>1</v>
      </c>
      <c r="BC68" s="108">
        <v>1</v>
      </c>
      <c r="BE68" s="691" t="s">
        <v>1072</v>
      </c>
      <c r="BF68" s="83">
        <v>2</v>
      </c>
      <c r="BG68" s="83">
        <v>4</v>
      </c>
      <c r="BH68" s="83">
        <v>1</v>
      </c>
      <c r="BI68" s="83">
        <v>3</v>
      </c>
      <c r="BJ68" s="83">
        <v>1</v>
      </c>
      <c r="BK68" s="83">
        <v>5</v>
      </c>
      <c r="BL68" s="104">
        <v>9</v>
      </c>
      <c r="BM68" s="104">
        <v>3</v>
      </c>
      <c r="BN68" s="107">
        <f t="shared" si="42"/>
        <v>1.2365959919080913</v>
      </c>
      <c r="BO68" s="107">
        <f t="shared" si="43"/>
        <v>3.0616345979734279</v>
      </c>
      <c r="BP68" s="107" t="str">
        <f t="shared" si="44"/>
        <v>(2,4,1,3,1,5)</v>
      </c>
      <c r="BQ68" s="108">
        <v>1.05</v>
      </c>
      <c r="BR68" s="108">
        <v>1.1000000000000001</v>
      </c>
      <c r="BS68" s="108">
        <v>1</v>
      </c>
      <c r="BT68" s="108">
        <v>1.02</v>
      </c>
      <c r="BU68" s="108">
        <v>1</v>
      </c>
      <c r="BV68" s="108">
        <v>1.2</v>
      </c>
    </row>
    <row r="69" spans="1:74" s="171" customFormat="1" ht="36">
      <c r="A69" s="333">
        <v>269641</v>
      </c>
      <c r="B69" s="216" t="s">
        <v>322</v>
      </c>
      <c r="C69" s="334"/>
      <c r="D69" s="342">
        <v>5</v>
      </c>
      <c r="E69" s="343" t="s">
        <v>98</v>
      </c>
      <c r="F69" s="437" t="s">
        <v>240</v>
      </c>
      <c r="G69" s="438" t="s">
        <v>93</v>
      </c>
      <c r="H69" s="439" t="s">
        <v>98</v>
      </c>
      <c r="I69" s="439" t="s">
        <v>98</v>
      </c>
      <c r="J69" s="335">
        <v>0</v>
      </c>
      <c r="K69" s="438" t="s">
        <v>115</v>
      </c>
      <c r="L69" s="440">
        <f>X69</f>
        <v>1.5849335411863801</v>
      </c>
      <c r="M69" s="336">
        <v>1</v>
      </c>
      <c r="N69" s="337">
        <f t="shared" si="28"/>
        <v>2.0949941301068096</v>
      </c>
      <c r="O69" s="437" t="str">
        <f t="shared" si="29"/>
        <v>(4,5,na,na,na,na); de Wild-Scholten (2014) Life Cycle Assessment of Photovoltaics Status 2011, Part 1 Data Collection (Table 30,31)</v>
      </c>
      <c r="P69" s="440">
        <f t="shared" si="46"/>
        <v>1.5849335411863801</v>
      </c>
      <c r="Q69" s="336">
        <v>1</v>
      </c>
      <c r="R69" s="337">
        <f t="shared" si="30"/>
        <v>2.0949941301068096</v>
      </c>
      <c r="S69" s="455" t="str">
        <f t="shared" si="31"/>
        <v>(4,5,na,na,na,na); de Wild-Scholten (2014) Life Cycle Assessment of Photovoltaics Status 2011, Part 1 Data Collection (Table 30,31)</v>
      </c>
      <c r="T69" s="440">
        <f t="shared" si="47"/>
        <v>1.5849335411863801</v>
      </c>
      <c r="U69" s="336">
        <v>1</v>
      </c>
      <c r="V69" s="337">
        <f t="shared" si="32"/>
        <v>2.0949941301068096</v>
      </c>
      <c r="W69" s="455" t="str">
        <f t="shared" si="33"/>
        <v>(4,5,na,na,na,na); de Wild-Scholten (2014) Life Cycle Assessment of Photovoltaics Status 2011, Part 1 Data Collection (Table 30,31)</v>
      </c>
      <c r="X69" s="440">
        <v>1.5849335411863801</v>
      </c>
      <c r="Y69" s="336">
        <v>1</v>
      </c>
      <c r="Z69" s="337">
        <f t="shared" si="34"/>
        <v>2.0949941301068096</v>
      </c>
      <c r="AA69" s="437" t="str">
        <f t="shared" si="35"/>
        <v>(4,5,na,na,na,na); de Wild-Scholten (2014) Life Cycle Assessment of Photovoltaics Status 2011, Part 1 Data Collection (Table 30,31)</v>
      </c>
      <c r="AB69" s="440">
        <f>0.1*(SUM(AB22:AB25,AB19:AB21,AB27:AB32,AB38:AB45)+AB33/0.3+AB35/0.5+AB34+AB36+AB37/0.5)+0.5*SUM(AB73:AB74)</f>
        <v>0.21139325456666669</v>
      </c>
      <c r="AC69" s="336">
        <v>1</v>
      </c>
      <c r="AD69" s="337">
        <f t="shared" si="36"/>
        <v>2.0949941301068096</v>
      </c>
      <c r="AE69" s="455" t="str">
        <f t="shared" si="37"/>
        <v>(4,5,na,na,na,na); Wafer transport avoided through vertical integration, Transport distances: 100km (Inputs), 500km (Waste disposal)</v>
      </c>
      <c r="AF69" s="440">
        <f>0.1*(SUM(AF22:AF25,AF19:AF21,AF27:AF32,AF38:AF45)+AF33/0.3+AF35/0.5+AF34+AF36+AF37/0.5)+0.5*SUM(AF73:AF74)</f>
        <v>0.21139325456666669</v>
      </c>
      <c r="AG69" s="336">
        <v>1</v>
      </c>
      <c r="AH69" s="337">
        <f t="shared" si="45"/>
        <v>2.0949941301068096</v>
      </c>
      <c r="AI69" s="437" t="str">
        <f t="shared" si="38"/>
        <v>(4,5,na,na,na,na); Wafer transport avoided through vertical integration, Transport distances: 100km (Inputs), 500km (Waste disposal)</v>
      </c>
      <c r="AJ69" s="338"/>
      <c r="AK69" s="440">
        <v>0.27407955292570702</v>
      </c>
      <c r="AL69" s="216" t="s">
        <v>1012</v>
      </c>
      <c r="AM69" s="83">
        <v>4</v>
      </c>
      <c r="AN69" s="83">
        <v>5</v>
      </c>
      <c r="AO69" s="83" t="s">
        <v>106</v>
      </c>
      <c r="AP69" s="83" t="s">
        <v>106</v>
      </c>
      <c r="AQ69" s="83" t="s">
        <v>106</v>
      </c>
      <c r="AR69" s="83" t="s">
        <v>106</v>
      </c>
      <c r="AS69" s="104">
        <v>5</v>
      </c>
      <c r="AT69" s="104">
        <v>2</v>
      </c>
      <c r="AU69" s="107">
        <f t="shared" si="39"/>
        <v>1.2941338353151037</v>
      </c>
      <c r="AV69" s="107">
        <f t="shared" si="40"/>
        <v>2.0949941301068096</v>
      </c>
      <c r="AW69" s="107" t="str">
        <f t="shared" si="41"/>
        <v>(4,5,na,na,na,na)</v>
      </c>
      <c r="AX69" s="108">
        <v>1.2</v>
      </c>
      <c r="AY69" s="108">
        <v>1.2</v>
      </c>
      <c r="AZ69" s="108">
        <v>1</v>
      </c>
      <c r="BA69" s="108">
        <v>1</v>
      </c>
      <c r="BB69" s="108">
        <v>1</v>
      </c>
      <c r="BC69" s="108">
        <v>1</v>
      </c>
      <c r="BE69" s="691" t="s">
        <v>1073</v>
      </c>
      <c r="BF69" s="83">
        <v>4</v>
      </c>
      <c r="BG69" s="83">
        <v>5</v>
      </c>
      <c r="BH69" s="83" t="s">
        <v>106</v>
      </c>
      <c r="BI69" s="83" t="s">
        <v>106</v>
      </c>
      <c r="BJ69" s="83" t="s">
        <v>106</v>
      </c>
      <c r="BK69" s="83" t="s">
        <v>106</v>
      </c>
      <c r="BL69" s="104">
        <v>5</v>
      </c>
      <c r="BM69" s="104">
        <v>2</v>
      </c>
      <c r="BN69" s="107">
        <f t="shared" si="42"/>
        <v>1.2941338353151037</v>
      </c>
      <c r="BO69" s="107">
        <f t="shared" si="43"/>
        <v>2.0949941301068096</v>
      </c>
      <c r="BP69" s="107" t="str">
        <f t="shared" si="44"/>
        <v>(4,5,na,na,na,na)</v>
      </c>
      <c r="BQ69" s="108">
        <v>1.2</v>
      </c>
      <c r="BR69" s="108">
        <v>1.2</v>
      </c>
      <c r="BS69" s="108">
        <v>1</v>
      </c>
      <c r="BT69" s="108">
        <v>1</v>
      </c>
      <c r="BU69" s="108">
        <v>1</v>
      </c>
      <c r="BV69" s="108">
        <v>1</v>
      </c>
    </row>
    <row r="70" spans="1:74" s="171" customFormat="1" ht="24">
      <c r="A70" s="333">
        <v>160371</v>
      </c>
      <c r="B70" s="216"/>
      <c r="C70" s="334"/>
      <c r="D70" s="342">
        <v>5</v>
      </c>
      <c r="E70" s="343" t="s">
        <v>98</v>
      </c>
      <c r="F70" s="437" t="s">
        <v>242</v>
      </c>
      <c r="G70" s="455" t="s">
        <v>93</v>
      </c>
      <c r="H70" s="439" t="s">
        <v>98</v>
      </c>
      <c r="I70" s="439" t="s">
        <v>98</v>
      </c>
      <c r="J70" s="335">
        <v>0</v>
      </c>
      <c r="K70" s="438" t="s">
        <v>115</v>
      </c>
      <c r="L70" s="440">
        <f>X70</f>
        <v>0.52558931301050116</v>
      </c>
      <c r="M70" s="336">
        <v>1</v>
      </c>
      <c r="N70" s="337">
        <f t="shared" si="28"/>
        <v>2.0949941301068096</v>
      </c>
      <c r="O70" s="437" t="str">
        <f t="shared" si="29"/>
        <v>(4,5,na,na,na,na); Transport distance: 200km</v>
      </c>
      <c r="P70" s="440">
        <f t="shared" si="46"/>
        <v>0.52558931301050116</v>
      </c>
      <c r="Q70" s="336">
        <v>1</v>
      </c>
      <c r="R70" s="337">
        <f t="shared" si="30"/>
        <v>2.0949941301068096</v>
      </c>
      <c r="S70" s="455" t="str">
        <f t="shared" si="31"/>
        <v>(4,5,na,na,na,na); Transport distance: 200km</v>
      </c>
      <c r="T70" s="440">
        <f t="shared" si="47"/>
        <v>0.52558931301050116</v>
      </c>
      <c r="U70" s="336">
        <v>1</v>
      </c>
      <c r="V70" s="337">
        <f t="shared" si="32"/>
        <v>2.0949941301068096</v>
      </c>
      <c r="W70" s="455" t="str">
        <f t="shared" si="33"/>
        <v>(4,5,na,na,na,na); Transport distance: 200km</v>
      </c>
      <c r="X70" s="440">
        <f>0.2*(SUM(X22:X25,X19:X21,X27:X32,X38:X45)+X33/0.3+X35/0.5+X34+X36+X37/0.5)</f>
        <v>0.52558931301050116</v>
      </c>
      <c r="Y70" s="336">
        <v>1</v>
      </c>
      <c r="Z70" s="337">
        <f t="shared" si="34"/>
        <v>2.0949941301068096</v>
      </c>
      <c r="AA70" s="437" t="str">
        <f t="shared" si="35"/>
        <v>(4,5,na,na,na,na); Transport distance: 200km</v>
      </c>
      <c r="AB70" s="440">
        <f>0.2*(SUM(AB22:AB25,AB19:AB21,AB27:AB32,AB38:AB45)+AB33/0.3+AB35/0.5+AB34+AB36+AB37/0.5)</f>
        <v>0.42278650913333338</v>
      </c>
      <c r="AC70" s="336">
        <v>1</v>
      </c>
      <c r="AD70" s="337">
        <f t="shared" si="36"/>
        <v>2.0949941301068096</v>
      </c>
      <c r="AE70" s="455" t="str">
        <f t="shared" si="37"/>
        <v>(4,5,na,na,na,na); Wafer transport avoided through vertical integration, Transport distances: 200km (Inputs)</v>
      </c>
      <c r="AF70" s="440">
        <f>0.2*(SUM(AF22:AF25,AF19:AF21,AF27:AF32,AF38:AF45)+AF33/0.3+AF35/0.5+AF34+AF36+AF37/0.5)</f>
        <v>0.42278650913333338</v>
      </c>
      <c r="AG70" s="336">
        <v>1</v>
      </c>
      <c r="AH70" s="337">
        <f t="shared" si="45"/>
        <v>2.0949941301068096</v>
      </c>
      <c r="AI70" s="437" t="str">
        <f t="shared" si="38"/>
        <v>(4,5,na,na,na,na); Wafer transport avoided through vertical integration, Transport distances: 200km (Inputs)</v>
      </c>
      <c r="AJ70" s="338"/>
      <c r="AK70" s="440">
        <v>1.52038132807364</v>
      </c>
      <c r="AL70" s="216" t="s">
        <v>864</v>
      </c>
      <c r="AM70" s="83">
        <v>4</v>
      </c>
      <c r="AN70" s="83">
        <v>5</v>
      </c>
      <c r="AO70" s="83" t="s">
        <v>106</v>
      </c>
      <c r="AP70" s="83" t="s">
        <v>106</v>
      </c>
      <c r="AQ70" s="83" t="s">
        <v>106</v>
      </c>
      <c r="AR70" s="83" t="s">
        <v>106</v>
      </c>
      <c r="AS70" s="104">
        <v>5</v>
      </c>
      <c r="AT70" s="104">
        <v>2</v>
      </c>
      <c r="AU70" s="107">
        <f t="shared" si="39"/>
        <v>1.2941338353151037</v>
      </c>
      <c r="AV70" s="107">
        <f t="shared" si="40"/>
        <v>2.0949941301068096</v>
      </c>
      <c r="AW70" s="107" t="str">
        <f t="shared" si="41"/>
        <v>(4,5,na,na,na,na)</v>
      </c>
      <c r="AX70" s="108">
        <v>1.2</v>
      </c>
      <c r="AY70" s="108">
        <v>1.2</v>
      </c>
      <c r="AZ70" s="108">
        <v>1</v>
      </c>
      <c r="BA70" s="108">
        <v>1</v>
      </c>
      <c r="BB70" s="108">
        <v>1</v>
      </c>
      <c r="BC70" s="108">
        <v>1</v>
      </c>
      <c r="BE70" s="691" t="s">
        <v>1074</v>
      </c>
      <c r="BF70" s="83">
        <v>4</v>
      </c>
      <c r="BG70" s="83">
        <v>5</v>
      </c>
      <c r="BH70" s="83" t="s">
        <v>106</v>
      </c>
      <c r="BI70" s="83" t="s">
        <v>106</v>
      </c>
      <c r="BJ70" s="83" t="s">
        <v>106</v>
      </c>
      <c r="BK70" s="83" t="s">
        <v>106</v>
      </c>
      <c r="BL70" s="104">
        <v>5</v>
      </c>
      <c r="BM70" s="104">
        <v>2</v>
      </c>
      <c r="BN70" s="107">
        <f t="shared" si="42"/>
        <v>1.2941338353151037</v>
      </c>
      <c r="BO70" s="107">
        <f t="shared" si="43"/>
        <v>2.0949941301068096</v>
      </c>
      <c r="BP70" s="107" t="str">
        <f t="shared" si="44"/>
        <v>(4,5,na,na,na,na)</v>
      </c>
      <c r="BQ70" s="108">
        <v>1.2</v>
      </c>
      <c r="BR70" s="108">
        <v>1.2</v>
      </c>
      <c r="BS70" s="108">
        <v>1</v>
      </c>
      <c r="BT70" s="108">
        <v>1</v>
      </c>
      <c r="BU70" s="108">
        <v>1</v>
      </c>
      <c r="BV70" s="108">
        <v>1</v>
      </c>
    </row>
    <row r="71" spans="1:74" s="171" customFormat="1" ht="24">
      <c r="A71" s="333">
        <v>268983</v>
      </c>
      <c r="B71" s="216" t="s">
        <v>511</v>
      </c>
      <c r="C71" s="334"/>
      <c r="D71" s="342">
        <v>5</v>
      </c>
      <c r="E71" s="343" t="s">
        <v>98</v>
      </c>
      <c r="F71" s="437" t="s">
        <v>1005</v>
      </c>
      <c r="G71" s="455" t="s">
        <v>103</v>
      </c>
      <c r="H71" s="439" t="s">
        <v>98</v>
      </c>
      <c r="I71" s="439" t="s">
        <v>98</v>
      </c>
      <c r="J71" s="335">
        <v>0</v>
      </c>
      <c r="K71" s="438" t="s">
        <v>119</v>
      </c>
      <c r="L71" s="440">
        <f>X71</f>
        <v>0.15384615384615391</v>
      </c>
      <c r="M71" s="336">
        <v>1</v>
      </c>
      <c r="N71" s="337">
        <f t="shared" si="28"/>
        <v>1.2237593405947058</v>
      </c>
      <c r="O71" s="437" t="str">
        <f t="shared" si="29"/>
        <v>(2,2,4,1,1,3); Calculation based on water withdrawal and water emissions</v>
      </c>
      <c r="P71" s="440">
        <f t="shared" si="46"/>
        <v>0.15384615384615391</v>
      </c>
      <c r="Q71" s="336">
        <v>1</v>
      </c>
      <c r="R71" s="337">
        <f t="shared" si="30"/>
        <v>1.2237593405947058</v>
      </c>
      <c r="S71" s="455" t="str">
        <f t="shared" si="31"/>
        <v>(2,2,4,1,1,3); Calculation based on water withdrawal and water emissions</v>
      </c>
      <c r="T71" s="440">
        <f t="shared" si="47"/>
        <v>0.15384615384615391</v>
      </c>
      <c r="U71" s="336">
        <v>1</v>
      </c>
      <c r="V71" s="337">
        <f t="shared" si="32"/>
        <v>1.2237593405947058</v>
      </c>
      <c r="W71" s="455" t="str">
        <f t="shared" si="33"/>
        <v>(2,2,4,1,1,3); Calculation based on water withdrawal and water emissions</v>
      </c>
      <c r="X71" s="440">
        <f>(SUM(X46:X53)-SUM(X76:X83))*0.001</f>
        <v>0.15384615384615391</v>
      </c>
      <c r="Y71" s="336">
        <v>1</v>
      </c>
      <c r="Z71" s="337">
        <f t="shared" si="34"/>
        <v>1.2237593405947058</v>
      </c>
      <c r="AA71" s="437" t="str">
        <f t="shared" si="35"/>
        <v>(2,2,4,1,1,3); Calculation based on water withdrawal and water emissions</v>
      </c>
      <c r="AB71" s="440">
        <v>7.486276E-3</v>
      </c>
      <c r="AC71" s="336">
        <v>1</v>
      </c>
      <c r="AD71" s="337">
        <f t="shared" si="36"/>
        <v>1.2434566510799234</v>
      </c>
      <c r="AE71" s="455" t="str">
        <f t="shared" si="37"/>
        <v>(2,4,1,3,1,5); Brailovsky (2026); GM 06</v>
      </c>
      <c r="AF71" s="440">
        <v>7.486276E-3</v>
      </c>
      <c r="AG71" s="336">
        <v>1</v>
      </c>
      <c r="AH71" s="337">
        <f t="shared" si="45"/>
        <v>1.2237593405947058</v>
      </c>
      <c r="AI71" s="437" t="str">
        <f t="shared" si="38"/>
        <v>(2,4,1,3,1,5); Brailovsky (2026); GM 06</v>
      </c>
      <c r="AJ71" s="338"/>
      <c r="AK71" s="440">
        <v>0.15902366863905301</v>
      </c>
      <c r="AL71" s="216" t="s">
        <v>621</v>
      </c>
      <c r="AM71" s="83">
        <v>2</v>
      </c>
      <c r="AN71" s="83">
        <v>2</v>
      </c>
      <c r="AO71" s="83">
        <v>4</v>
      </c>
      <c r="AP71" s="83">
        <v>1</v>
      </c>
      <c r="AQ71" s="83">
        <v>1</v>
      </c>
      <c r="AR71" s="83">
        <v>3</v>
      </c>
      <c r="AS71" s="104">
        <v>6</v>
      </c>
      <c r="AT71" s="104">
        <v>1.05</v>
      </c>
      <c r="AU71" s="107">
        <f t="shared" si="39"/>
        <v>1.2164594125584303</v>
      </c>
      <c r="AV71" s="107">
        <f t="shared" si="40"/>
        <v>1.2237593405947058</v>
      </c>
      <c r="AW71" s="107" t="str">
        <f t="shared" si="41"/>
        <v>(2,2,4,1,1,3)</v>
      </c>
      <c r="AX71" s="108">
        <v>1.05</v>
      </c>
      <c r="AY71" s="108">
        <v>1.02</v>
      </c>
      <c r="AZ71" s="108">
        <v>1.2</v>
      </c>
      <c r="BA71" s="108">
        <v>1</v>
      </c>
      <c r="BB71" s="108">
        <v>1</v>
      </c>
      <c r="BC71" s="108">
        <v>1.05</v>
      </c>
      <c r="BE71" s="692" t="s">
        <v>1075</v>
      </c>
      <c r="BF71" s="83">
        <v>2</v>
      </c>
      <c r="BG71" s="83">
        <v>4</v>
      </c>
      <c r="BH71" s="83">
        <v>1</v>
      </c>
      <c r="BI71" s="83">
        <v>3</v>
      </c>
      <c r="BJ71" s="83">
        <v>1</v>
      </c>
      <c r="BK71" s="83">
        <v>5</v>
      </c>
      <c r="BL71" s="104">
        <v>6</v>
      </c>
      <c r="BM71" s="104">
        <v>1.05</v>
      </c>
      <c r="BN71" s="107">
        <f t="shared" si="42"/>
        <v>1.2365959919080913</v>
      </c>
      <c r="BO71" s="107">
        <f t="shared" si="43"/>
        <v>1.2434566510799234</v>
      </c>
      <c r="BP71" s="107" t="str">
        <f t="shared" si="44"/>
        <v>(2,4,1,3,1,5)</v>
      </c>
      <c r="BQ71" s="108">
        <v>1.05</v>
      </c>
      <c r="BR71" s="108">
        <v>1.1000000000000001</v>
      </c>
      <c r="BS71" s="108">
        <v>1</v>
      </c>
      <c r="BT71" s="108">
        <v>1.02</v>
      </c>
      <c r="BU71" s="108">
        <v>1</v>
      </c>
      <c r="BV71" s="108">
        <v>1.2</v>
      </c>
    </row>
    <row r="72" spans="1:74" ht="24">
      <c r="A72" s="330">
        <v>268499</v>
      </c>
      <c r="B72" s="331"/>
      <c r="C72" s="332"/>
      <c r="D72" s="340">
        <v>5</v>
      </c>
      <c r="E72" s="341" t="s">
        <v>98</v>
      </c>
      <c r="F72" s="432" t="s">
        <v>1076</v>
      </c>
      <c r="G72" s="455" t="s">
        <v>340</v>
      </c>
      <c r="H72" s="434" t="s">
        <v>98</v>
      </c>
      <c r="I72" s="434" t="s">
        <v>98</v>
      </c>
      <c r="J72" s="94">
        <v>0</v>
      </c>
      <c r="K72" s="433" t="s">
        <v>96</v>
      </c>
      <c r="L72" s="435">
        <v>0</v>
      </c>
      <c r="M72" s="95">
        <v>1</v>
      </c>
      <c r="N72" s="96">
        <f t="shared" si="28"/>
        <v>1.05</v>
      </c>
      <c r="O72" s="432" t="str">
        <f t="shared" si="29"/>
        <v xml:space="preserve">(na,na,na,na,na,na); </v>
      </c>
      <c r="P72" s="435">
        <v>0</v>
      </c>
      <c r="Q72" s="95">
        <v>1</v>
      </c>
      <c r="R72" s="96">
        <f t="shared" si="30"/>
        <v>1.05</v>
      </c>
      <c r="S72" s="457" t="str">
        <f t="shared" si="31"/>
        <v xml:space="preserve">(na,na,na,na,na,na); </v>
      </c>
      <c r="T72" s="435">
        <v>0</v>
      </c>
      <c r="U72" s="95">
        <v>1</v>
      </c>
      <c r="V72" s="96">
        <f t="shared" si="32"/>
        <v>1.05</v>
      </c>
      <c r="W72" s="457" t="str">
        <f t="shared" si="33"/>
        <v xml:space="preserve">(na,na,na,na,na,na); </v>
      </c>
      <c r="X72" s="435">
        <v>0</v>
      </c>
      <c r="Y72" s="95">
        <v>1</v>
      </c>
      <c r="Z72" s="96">
        <f t="shared" si="34"/>
        <v>1.05</v>
      </c>
      <c r="AA72" s="437" t="str">
        <f t="shared" si="35"/>
        <v xml:space="preserve">(na,na,na,na,na,na); </v>
      </c>
      <c r="AB72" s="435">
        <v>0.163190589</v>
      </c>
      <c r="AC72" s="95">
        <v>1</v>
      </c>
      <c r="AD72" s="96">
        <f t="shared" si="36"/>
        <v>1.2434566510799234</v>
      </c>
      <c r="AE72" s="457" t="str">
        <f t="shared" si="37"/>
        <v>(2,4,1,3,1,5); Brailovsky (2026); GM 06</v>
      </c>
      <c r="AF72" s="435">
        <v>0.163190589</v>
      </c>
      <c r="AG72" s="95">
        <v>1</v>
      </c>
      <c r="AH72" s="96">
        <f t="shared" si="45"/>
        <v>1.05</v>
      </c>
      <c r="AI72" s="432" t="str">
        <f t="shared" si="38"/>
        <v>(2,4,1,3,1,5); Brailovsky (2026); GM 06</v>
      </c>
      <c r="AJ72" s="112"/>
      <c r="AK72" s="435"/>
      <c r="AL72" s="216"/>
      <c r="AM72" s="339" t="s">
        <v>106</v>
      </c>
      <c r="AN72" s="339" t="s">
        <v>106</v>
      </c>
      <c r="AO72" s="339" t="s">
        <v>106</v>
      </c>
      <c r="AP72" s="339" t="s">
        <v>106</v>
      </c>
      <c r="AQ72" s="339" t="s">
        <v>106</v>
      </c>
      <c r="AR72" s="339" t="s">
        <v>106</v>
      </c>
      <c r="AS72" s="104">
        <v>6</v>
      </c>
      <c r="AT72" s="104">
        <v>1.05</v>
      </c>
      <c r="AU72" s="107">
        <f t="shared" si="39"/>
        <v>1</v>
      </c>
      <c r="AV72" s="107">
        <f t="shared" si="40"/>
        <v>1.05</v>
      </c>
      <c r="AW72" s="107" t="str">
        <f t="shared" si="41"/>
        <v>(na,na,na,na,na,na)</v>
      </c>
      <c r="AX72" s="108">
        <v>1</v>
      </c>
      <c r="AY72" s="108">
        <v>1</v>
      </c>
      <c r="AZ72" s="108">
        <v>1</v>
      </c>
      <c r="BA72" s="108">
        <v>1</v>
      </c>
      <c r="BB72" s="108">
        <v>1</v>
      </c>
      <c r="BC72" s="108">
        <v>1</v>
      </c>
      <c r="BE72" s="692" t="s">
        <v>1075</v>
      </c>
      <c r="BF72" s="83">
        <v>2</v>
      </c>
      <c r="BG72" s="83">
        <v>4</v>
      </c>
      <c r="BH72" s="83">
        <v>1</v>
      </c>
      <c r="BI72" s="83">
        <v>3</v>
      </c>
      <c r="BJ72" s="83">
        <v>1</v>
      </c>
      <c r="BK72" s="83">
        <v>5</v>
      </c>
      <c r="BL72" s="104">
        <v>6</v>
      </c>
      <c r="BM72" s="104">
        <v>1.05</v>
      </c>
      <c r="BN72" s="107">
        <f t="shared" si="42"/>
        <v>1.2365959919080913</v>
      </c>
      <c r="BO72" s="107">
        <f t="shared" si="43"/>
        <v>1.2434566510799234</v>
      </c>
      <c r="BP72" s="107" t="str">
        <f t="shared" si="44"/>
        <v>(2,4,1,3,1,5)</v>
      </c>
      <c r="BQ72" s="108">
        <v>1.05</v>
      </c>
      <c r="BR72" s="108">
        <v>1.1000000000000001</v>
      </c>
      <c r="BS72" s="108">
        <v>1</v>
      </c>
      <c r="BT72" s="108">
        <v>1.02</v>
      </c>
      <c r="BU72" s="108">
        <v>1</v>
      </c>
      <c r="BV72" s="108">
        <v>1.2</v>
      </c>
    </row>
    <row r="73" spans="1:74" s="171" customFormat="1" ht="24">
      <c r="A73" s="333">
        <v>269225</v>
      </c>
      <c r="B73" s="216"/>
      <c r="C73" s="334"/>
      <c r="D73" s="342">
        <v>5</v>
      </c>
      <c r="E73" s="343" t="s">
        <v>98</v>
      </c>
      <c r="F73" s="437" t="s">
        <v>1077</v>
      </c>
      <c r="G73" s="455" t="s">
        <v>103</v>
      </c>
      <c r="H73" s="439" t="s">
        <v>98</v>
      </c>
      <c r="I73" s="439" t="s">
        <v>98</v>
      </c>
      <c r="J73" s="335">
        <v>0</v>
      </c>
      <c r="K73" s="438" t="s">
        <v>96</v>
      </c>
      <c r="L73" s="440">
        <f>X73</f>
        <v>2.32988165680473</v>
      </c>
      <c r="M73" s="336">
        <v>1</v>
      </c>
      <c r="N73" s="337">
        <f t="shared" si="28"/>
        <v>1.2237593405947058</v>
      </c>
      <c r="O73" s="437" t="str">
        <f t="shared" si="29"/>
        <v>(2,2,4,1,1,3); de Wild-Scholten (2014) Life Cycle Assessment of Photovoltaics Status 2011, Part 1 Data Collection (Table 30,31)</v>
      </c>
      <c r="P73" s="440">
        <f>L73</f>
        <v>2.32988165680473</v>
      </c>
      <c r="Q73" s="336">
        <v>1</v>
      </c>
      <c r="R73" s="337">
        <f t="shared" si="30"/>
        <v>1.2237593405947058</v>
      </c>
      <c r="S73" s="455" t="str">
        <f t="shared" si="31"/>
        <v>(2,2,4,1,1,3); de Wild-Scholten (2014) Life Cycle Assessment of Photovoltaics Status 2011, Part 1 Data Collection (Table 30,31)</v>
      </c>
      <c r="T73" s="440">
        <f>L73</f>
        <v>2.32988165680473</v>
      </c>
      <c r="U73" s="336">
        <v>1</v>
      </c>
      <c r="V73" s="337">
        <f t="shared" si="32"/>
        <v>1.2237593405947058</v>
      </c>
      <c r="W73" s="455" t="str">
        <f t="shared" si="33"/>
        <v>(2,2,4,1,1,3); de Wild-Scholten (2014) Life Cycle Assessment of Photovoltaics Status 2011, Part 1 Data Collection (Table 30,31)</v>
      </c>
      <c r="X73" s="440">
        <f>AK73</f>
        <v>2.32988165680473</v>
      </c>
      <c r="Y73" s="336">
        <v>1</v>
      </c>
      <c r="Z73" s="337">
        <f t="shared" si="34"/>
        <v>1.2237593405947058</v>
      </c>
      <c r="AA73" s="437" t="str">
        <f t="shared" si="35"/>
        <v>(2,2,4,1,1,3); de Wild-Scholten (2014) Life Cycle Assessment of Photovoltaics Status 2011, Part 1 Data Collection (Table 30,31)</v>
      </c>
      <c r="AB73" s="440">
        <v>0</v>
      </c>
      <c r="AC73" s="336">
        <v>1</v>
      </c>
      <c r="AD73" s="337">
        <f t="shared" si="36"/>
        <v>1.05</v>
      </c>
      <c r="AE73" s="455" t="str">
        <f t="shared" si="37"/>
        <v xml:space="preserve">(na,na,na,na,na,na); </v>
      </c>
      <c r="AF73" s="440">
        <v>0</v>
      </c>
      <c r="AG73" s="336">
        <v>1</v>
      </c>
      <c r="AH73" s="337">
        <f t="shared" si="45"/>
        <v>1.2237593405947058</v>
      </c>
      <c r="AI73" s="437" t="str">
        <f t="shared" si="38"/>
        <v xml:space="preserve">(na,na,na,na,na,na); </v>
      </c>
      <c r="AJ73" s="338"/>
      <c r="AK73" s="440">
        <v>2.32988165680473</v>
      </c>
      <c r="AL73" s="216" t="s">
        <v>1012</v>
      </c>
      <c r="AM73" s="83">
        <v>2</v>
      </c>
      <c r="AN73" s="83">
        <v>2</v>
      </c>
      <c r="AO73" s="83">
        <v>4</v>
      </c>
      <c r="AP73" s="83">
        <v>1</v>
      </c>
      <c r="AQ73" s="83">
        <v>1</v>
      </c>
      <c r="AR73" s="83">
        <v>3</v>
      </c>
      <c r="AS73" s="104">
        <v>6</v>
      </c>
      <c r="AT73" s="104">
        <v>1.05</v>
      </c>
      <c r="AU73" s="107">
        <f t="shared" si="39"/>
        <v>1.2164594125584303</v>
      </c>
      <c r="AV73" s="107">
        <f t="shared" si="40"/>
        <v>1.2237593405947058</v>
      </c>
      <c r="AW73" s="107" t="str">
        <f t="shared" si="41"/>
        <v>(2,2,4,1,1,3)</v>
      </c>
      <c r="AX73" s="108">
        <v>1.05</v>
      </c>
      <c r="AY73" s="108">
        <v>1.02</v>
      </c>
      <c r="AZ73" s="108">
        <v>1.2</v>
      </c>
      <c r="BA73" s="108">
        <v>1</v>
      </c>
      <c r="BB73" s="108">
        <v>1</v>
      </c>
      <c r="BC73" s="108">
        <v>1.05</v>
      </c>
      <c r="BE73" s="691"/>
      <c r="BF73" s="339" t="s">
        <v>106</v>
      </c>
      <c r="BG73" s="339" t="s">
        <v>106</v>
      </c>
      <c r="BH73" s="339" t="s">
        <v>106</v>
      </c>
      <c r="BI73" s="339" t="s">
        <v>106</v>
      </c>
      <c r="BJ73" s="339" t="s">
        <v>106</v>
      </c>
      <c r="BK73" s="339" t="s">
        <v>106</v>
      </c>
      <c r="BL73" s="104">
        <v>6</v>
      </c>
      <c r="BM73" s="104">
        <v>1.05</v>
      </c>
      <c r="BN73" s="107">
        <f t="shared" si="42"/>
        <v>1</v>
      </c>
      <c r="BO73" s="107">
        <f t="shared" si="43"/>
        <v>1.05</v>
      </c>
      <c r="BP73" s="107" t="str">
        <f t="shared" si="44"/>
        <v>(na,na,na,na,na,na)</v>
      </c>
      <c r="BQ73" s="108">
        <v>1</v>
      </c>
      <c r="BR73" s="108">
        <v>1</v>
      </c>
      <c r="BS73" s="108">
        <v>1</v>
      </c>
      <c r="BT73" s="108">
        <v>1</v>
      </c>
      <c r="BU73" s="108">
        <v>1</v>
      </c>
      <c r="BV73" s="108">
        <v>1</v>
      </c>
    </row>
    <row r="74" spans="1:74" s="171" customFormat="1" ht="24">
      <c r="A74" s="333">
        <v>268064</v>
      </c>
      <c r="B74" s="216"/>
      <c r="C74" s="334"/>
      <c r="D74" s="342">
        <v>5</v>
      </c>
      <c r="E74" s="343" t="s">
        <v>98</v>
      </c>
      <c r="F74" s="437" t="s">
        <v>517</v>
      </c>
      <c r="G74" s="455" t="s">
        <v>103</v>
      </c>
      <c r="H74" s="439" t="s">
        <v>98</v>
      </c>
      <c r="I74" s="439" t="s">
        <v>98</v>
      </c>
      <c r="J74" s="335">
        <v>0</v>
      </c>
      <c r="K74" s="438" t="s">
        <v>96</v>
      </c>
      <c r="L74" s="440">
        <f>X74</f>
        <v>0.17217291255752801</v>
      </c>
      <c r="M74" s="336">
        <v>1</v>
      </c>
      <c r="N74" s="337">
        <f t="shared" si="28"/>
        <v>1.2237593405947058</v>
      </c>
      <c r="O74" s="437" t="str">
        <f t="shared" si="29"/>
        <v>(2,2,4,1,1,3); de Wild-Scholten (2014) Life Cycle Assessment of Photovoltaics Status 2011, Part 1 Data Collection (Table 30,31)</v>
      </c>
      <c r="P74" s="440">
        <f>L74</f>
        <v>0.17217291255752801</v>
      </c>
      <c r="Q74" s="336">
        <v>1</v>
      </c>
      <c r="R74" s="337">
        <f t="shared" si="30"/>
        <v>1.2237593405947058</v>
      </c>
      <c r="S74" s="455" t="str">
        <f t="shared" si="31"/>
        <v>(2,2,4,1,1,3); de Wild-Scholten (2014) Life Cycle Assessment of Photovoltaics Status 2011, Part 1 Data Collection (Table 30,31)</v>
      </c>
      <c r="T74" s="440">
        <f>L74</f>
        <v>0.17217291255752801</v>
      </c>
      <c r="U74" s="336">
        <v>1</v>
      </c>
      <c r="V74" s="337">
        <f t="shared" si="32"/>
        <v>1.2237593405947058</v>
      </c>
      <c r="W74" s="455" t="str">
        <f t="shared" si="33"/>
        <v>(2,2,4,1,1,3); de Wild-Scholten (2014) Life Cycle Assessment of Photovoltaics Status 2011, Part 1 Data Collection (Table 30,31)</v>
      </c>
      <c r="X74" s="440">
        <f>AK74</f>
        <v>0.17217291255752801</v>
      </c>
      <c r="Y74" s="336">
        <v>1</v>
      </c>
      <c r="Z74" s="337">
        <f t="shared" si="34"/>
        <v>1.2237593405947058</v>
      </c>
      <c r="AA74" s="437" t="str">
        <f t="shared" si="35"/>
        <v>(2,2,4,1,1,3); de Wild-Scholten (2014) Life Cycle Assessment of Photovoltaics Status 2011, Part 1 Data Collection (Table 30,31)</v>
      </c>
      <c r="AB74" s="440">
        <v>0</v>
      </c>
      <c r="AC74" s="336">
        <v>1</v>
      </c>
      <c r="AD74" s="337">
        <f t="shared" si="36"/>
        <v>1.05</v>
      </c>
      <c r="AE74" s="455" t="str">
        <f t="shared" si="37"/>
        <v xml:space="preserve">(na,na,na,na,na,na); </v>
      </c>
      <c r="AF74" s="440">
        <v>0</v>
      </c>
      <c r="AG74" s="336">
        <v>1</v>
      </c>
      <c r="AH74" s="337">
        <f t="shared" si="45"/>
        <v>1.2237593405947058</v>
      </c>
      <c r="AI74" s="437" t="str">
        <f t="shared" si="38"/>
        <v xml:space="preserve">(na,na,na,na,na,na); </v>
      </c>
      <c r="AJ74" s="338"/>
      <c r="AK74" s="440">
        <v>0.17217291255752801</v>
      </c>
      <c r="AL74" s="216" t="s">
        <v>1012</v>
      </c>
      <c r="AM74" s="83">
        <v>2</v>
      </c>
      <c r="AN74" s="83">
        <v>2</v>
      </c>
      <c r="AO74" s="83">
        <v>4</v>
      </c>
      <c r="AP74" s="83">
        <v>1</v>
      </c>
      <c r="AQ74" s="83">
        <v>1</v>
      </c>
      <c r="AR74" s="83">
        <v>3</v>
      </c>
      <c r="AS74" s="104">
        <v>6</v>
      </c>
      <c r="AT74" s="104">
        <v>1.05</v>
      </c>
      <c r="AU74" s="107">
        <f t="shared" si="39"/>
        <v>1.2164594125584303</v>
      </c>
      <c r="AV74" s="107">
        <f t="shared" si="40"/>
        <v>1.2237593405947058</v>
      </c>
      <c r="AW74" s="107" t="str">
        <f t="shared" si="41"/>
        <v>(2,2,4,1,1,3)</v>
      </c>
      <c r="AX74" s="108">
        <v>1.05</v>
      </c>
      <c r="AY74" s="108">
        <v>1.02</v>
      </c>
      <c r="AZ74" s="108">
        <v>1.2</v>
      </c>
      <c r="BA74" s="108">
        <v>1</v>
      </c>
      <c r="BB74" s="108">
        <v>1</v>
      </c>
      <c r="BC74" s="108">
        <v>1.05</v>
      </c>
      <c r="BE74" s="691"/>
      <c r="BF74" s="339" t="s">
        <v>106</v>
      </c>
      <c r="BG74" s="339" t="s">
        <v>106</v>
      </c>
      <c r="BH74" s="339" t="s">
        <v>106</v>
      </c>
      <c r="BI74" s="339" t="s">
        <v>106</v>
      </c>
      <c r="BJ74" s="339" t="s">
        <v>106</v>
      </c>
      <c r="BK74" s="339" t="s">
        <v>106</v>
      </c>
      <c r="BL74" s="104">
        <v>6</v>
      </c>
      <c r="BM74" s="104">
        <v>1.05</v>
      </c>
      <c r="BN74" s="107">
        <f t="shared" si="42"/>
        <v>1</v>
      </c>
      <c r="BO74" s="107">
        <f t="shared" si="43"/>
        <v>1.05</v>
      </c>
      <c r="BP74" s="107" t="str">
        <f t="shared" si="44"/>
        <v>(na,na,na,na,na,na)</v>
      </c>
      <c r="BQ74" s="108">
        <v>1</v>
      </c>
      <c r="BR74" s="108">
        <v>1</v>
      </c>
      <c r="BS74" s="108">
        <v>1</v>
      </c>
      <c r="BT74" s="108">
        <v>1</v>
      </c>
      <c r="BU74" s="108">
        <v>1</v>
      </c>
      <c r="BV74" s="108">
        <v>1</v>
      </c>
    </row>
    <row r="75" spans="1:74" s="171" customFormat="1" ht="48">
      <c r="A75" s="333">
        <v>21844</v>
      </c>
      <c r="B75" s="216" t="s">
        <v>287</v>
      </c>
      <c r="C75" s="334"/>
      <c r="D75" s="342" t="s">
        <v>98</v>
      </c>
      <c r="E75" s="343">
        <v>4</v>
      </c>
      <c r="F75" s="437" t="s">
        <v>121</v>
      </c>
      <c r="G75" s="455" t="s">
        <v>98</v>
      </c>
      <c r="H75" s="439" t="s">
        <v>247</v>
      </c>
      <c r="I75" s="439" t="s">
        <v>258</v>
      </c>
      <c r="J75" s="335" t="s">
        <v>98</v>
      </c>
      <c r="K75" s="438" t="s">
        <v>104</v>
      </c>
      <c r="L75" s="440">
        <f>X75</f>
        <v>51.775147928994102</v>
      </c>
      <c r="M75" s="336">
        <v>1</v>
      </c>
      <c r="N75" s="337">
        <f t="shared" si="28"/>
        <v>1.2237593405947058</v>
      </c>
      <c r="O75" s="437" t="str">
        <f t="shared" si="29"/>
        <v>(2,2,4,1,1,3); de Wild-Scholten (2014) Life Cycle Assessment of Photovoltaics Status 2011, Part 1 Data Collection (Table 30,31)</v>
      </c>
      <c r="P75" s="440">
        <f>L75</f>
        <v>51.775147928994102</v>
      </c>
      <c r="Q75" s="336">
        <v>1</v>
      </c>
      <c r="R75" s="337">
        <f t="shared" si="30"/>
        <v>1.2237593405947058</v>
      </c>
      <c r="S75" s="455" t="str">
        <f t="shared" si="31"/>
        <v>(2,2,4,1,1,3); de Wild-Scholten (2014) Life Cycle Assessment of Photovoltaics Status 2011, Part 1 Data Collection (Table 30,31)</v>
      </c>
      <c r="T75" s="440">
        <f>L75</f>
        <v>51.775147928994102</v>
      </c>
      <c r="U75" s="336">
        <v>1</v>
      </c>
      <c r="V75" s="337">
        <f t="shared" si="32"/>
        <v>1.2237593405947058</v>
      </c>
      <c r="W75" s="455" t="str">
        <f t="shared" si="33"/>
        <v>(2,2,4,1,1,3); de Wild-Scholten (2014) Life Cycle Assessment of Photovoltaics Status 2011, Part 1 Data Collection (Table 30,31)</v>
      </c>
      <c r="X75" s="440">
        <f>AK75</f>
        <v>51.775147928994102</v>
      </c>
      <c r="Y75" s="336">
        <v>1</v>
      </c>
      <c r="Z75" s="337">
        <f t="shared" si="34"/>
        <v>1.2237593405947058</v>
      </c>
      <c r="AA75" s="437" t="str">
        <f t="shared" si="35"/>
        <v>(2,2,4,1,1,3); de Wild-Scholten (2014) Life Cycle Assessment of Photovoltaics Status 2011, Part 1 Data Collection (Table 30,31)</v>
      </c>
      <c r="AB75" s="440">
        <f>3.6*AB64</f>
        <v>30.642403471200002</v>
      </c>
      <c r="AC75" s="336">
        <v>1</v>
      </c>
      <c r="AD75" s="337">
        <f t="shared" si="36"/>
        <v>1.3440316373092398</v>
      </c>
      <c r="AE75" s="455" t="str">
        <f t="shared" si="37"/>
        <v>(3,4,4,3,1,5); All electric energy consumed converted to heat</v>
      </c>
      <c r="AF75" s="440">
        <f>3.6*AF55</f>
        <v>30.642403471200002</v>
      </c>
      <c r="AG75" s="336">
        <v>1</v>
      </c>
      <c r="AH75" s="337">
        <f t="shared" si="45"/>
        <v>1.2237593405947058</v>
      </c>
      <c r="AI75" s="437" t="str">
        <f t="shared" si="38"/>
        <v>(3,4,4,3,1,5); All electric energy consumed converted to heat</v>
      </c>
      <c r="AJ75" s="338"/>
      <c r="AK75" s="440">
        <v>51.775147928994102</v>
      </c>
      <c r="AL75" s="216" t="s">
        <v>1012</v>
      </c>
      <c r="AM75" s="83">
        <v>2</v>
      </c>
      <c r="AN75" s="83">
        <v>2</v>
      </c>
      <c r="AO75" s="83">
        <v>4</v>
      </c>
      <c r="AP75" s="83">
        <v>1</v>
      </c>
      <c r="AQ75" s="83">
        <v>1</v>
      </c>
      <c r="AR75" s="83">
        <v>3</v>
      </c>
      <c r="AS75" s="104">
        <v>13</v>
      </c>
      <c r="AT75" s="104">
        <v>1.05</v>
      </c>
      <c r="AU75" s="107">
        <f t="shared" si="39"/>
        <v>1.2164594125584303</v>
      </c>
      <c r="AV75" s="107">
        <f t="shared" si="40"/>
        <v>1.2237593405947058</v>
      </c>
      <c r="AW75" s="107" t="str">
        <f t="shared" si="41"/>
        <v>(2,2,4,1,1,3)</v>
      </c>
      <c r="AX75" s="108">
        <v>1.05</v>
      </c>
      <c r="AY75" s="108">
        <v>1.02</v>
      </c>
      <c r="AZ75" s="108">
        <v>1.2</v>
      </c>
      <c r="BA75" s="108">
        <v>1</v>
      </c>
      <c r="BB75" s="108">
        <v>1</v>
      </c>
      <c r="BC75" s="108">
        <v>1.05</v>
      </c>
      <c r="BE75" s="691" t="s">
        <v>871</v>
      </c>
      <c r="BF75" s="83">
        <v>3</v>
      </c>
      <c r="BG75" s="83">
        <v>4</v>
      </c>
      <c r="BH75" s="83">
        <v>4</v>
      </c>
      <c r="BI75" s="83">
        <v>3</v>
      </c>
      <c r="BJ75" s="83">
        <v>1</v>
      </c>
      <c r="BK75" s="83">
        <v>5</v>
      </c>
      <c r="BL75" s="104">
        <v>13</v>
      </c>
      <c r="BM75" s="104">
        <v>1.05</v>
      </c>
      <c r="BN75" s="107">
        <f t="shared" si="42"/>
        <v>1.3385948990307144</v>
      </c>
      <c r="BO75" s="107">
        <f t="shared" si="43"/>
        <v>1.3440316373092398</v>
      </c>
      <c r="BP75" s="107" t="str">
        <f t="shared" si="44"/>
        <v>(3,4,4,3,1,5)</v>
      </c>
      <c r="BQ75" s="108">
        <v>1.1000000000000001</v>
      </c>
      <c r="BR75" s="108">
        <v>1.1000000000000001</v>
      </c>
      <c r="BS75" s="108">
        <v>1.2</v>
      </c>
      <c r="BT75" s="108">
        <v>1.02</v>
      </c>
      <c r="BU75" s="108">
        <v>1</v>
      </c>
      <c r="BV75" s="108">
        <v>1.2</v>
      </c>
    </row>
    <row r="76" spans="1:74" ht="24">
      <c r="A76" s="330">
        <v>50430</v>
      </c>
      <c r="B76" s="331"/>
      <c r="C76" s="332"/>
      <c r="D76" s="340" t="s">
        <v>98</v>
      </c>
      <c r="E76" s="341">
        <v>4</v>
      </c>
      <c r="F76" s="432" t="s">
        <v>523</v>
      </c>
      <c r="G76" s="455" t="s">
        <v>98</v>
      </c>
      <c r="H76" s="434" t="s">
        <v>247</v>
      </c>
      <c r="I76" s="434" t="s">
        <v>248</v>
      </c>
      <c r="J76" s="94" t="s">
        <v>98</v>
      </c>
      <c r="K76" s="433" t="s">
        <v>96</v>
      </c>
      <c r="L76" s="435">
        <f>0.1*L46</f>
        <v>17.094017094017101</v>
      </c>
      <c r="M76" s="95">
        <v>1</v>
      </c>
      <c r="N76" s="96">
        <f t="shared" si="28"/>
        <v>1.6255346238806905</v>
      </c>
      <c r="O76" s="432" t="str">
        <f t="shared" si="29"/>
        <v>(2,3,4,3,1,5); Assumption: 10% evaporation of process water; Frischknecht &amp; Büsser Knöpfel (2013)</v>
      </c>
      <c r="P76" s="435">
        <v>0</v>
      </c>
      <c r="Q76" s="95">
        <v>1</v>
      </c>
      <c r="R76" s="96">
        <f t="shared" si="30"/>
        <v>1.6255346238806905</v>
      </c>
      <c r="S76" s="457" t="str">
        <f t="shared" si="31"/>
        <v>(2,3,4,3,1,5); Assumption: 10% evaporation of process water; Frischknecht &amp; Büsser Knöpfel (2013)</v>
      </c>
      <c r="T76" s="435">
        <v>0</v>
      </c>
      <c r="U76" s="95">
        <v>1</v>
      </c>
      <c r="V76" s="96">
        <f t="shared" si="32"/>
        <v>1.6255346238806905</v>
      </c>
      <c r="W76" s="457" t="str">
        <f t="shared" si="33"/>
        <v>(2,3,4,3,1,5); Assumption: 10% evaporation of process water; Frischknecht &amp; Büsser Knöpfel (2013)</v>
      </c>
      <c r="X76" s="435">
        <v>0</v>
      </c>
      <c r="Y76" s="95">
        <v>1</v>
      </c>
      <c r="Z76" s="96">
        <f t="shared" si="34"/>
        <v>1.6255346238806905</v>
      </c>
      <c r="AA76" s="437" t="str">
        <f t="shared" si="35"/>
        <v>(2,3,4,3,1,5); Assumption: 10% evaporation of process water; Frischknecht &amp; Büsser Knöpfel (2013)</v>
      </c>
      <c r="AB76" s="435">
        <v>0</v>
      </c>
      <c r="AC76" s="95">
        <v>1</v>
      </c>
      <c r="AD76" s="96">
        <f t="shared" si="36"/>
        <v>1.5804528752110836</v>
      </c>
      <c r="AE76" s="457" t="str">
        <f t="shared" si="37"/>
        <v>(2,4,1,3,1,5); Brailovsky (2026); GM 06</v>
      </c>
      <c r="AF76" s="435">
        <v>1.0226249080000001</v>
      </c>
      <c r="AG76" s="95">
        <v>1</v>
      </c>
      <c r="AH76" s="96">
        <f t="shared" si="45"/>
        <v>1.6255346238806905</v>
      </c>
      <c r="AI76" s="432" t="str">
        <f t="shared" si="38"/>
        <v>(2,4,1,3,1,5); Brailovsky (2026); GM 06</v>
      </c>
      <c r="AJ76" s="112"/>
      <c r="AK76" s="435">
        <v>0</v>
      </c>
      <c r="AL76" s="216" t="s">
        <v>656</v>
      </c>
      <c r="AM76" s="83">
        <v>2</v>
      </c>
      <c r="AN76" s="83">
        <v>3</v>
      </c>
      <c r="AO76" s="83">
        <v>4</v>
      </c>
      <c r="AP76" s="83">
        <v>3</v>
      </c>
      <c r="AQ76" s="83">
        <v>1</v>
      </c>
      <c r="AR76" s="83">
        <v>5</v>
      </c>
      <c r="AS76" s="104">
        <v>31</v>
      </c>
      <c r="AT76" s="104">
        <v>1.5</v>
      </c>
      <c r="AU76" s="107">
        <f t="shared" si="39"/>
        <v>1.3068869189023089</v>
      </c>
      <c r="AV76" s="107">
        <f t="shared" si="40"/>
        <v>1.6255346238806905</v>
      </c>
      <c r="AW76" s="107" t="str">
        <f t="shared" si="41"/>
        <v>(2,3,4,3,1,5)</v>
      </c>
      <c r="AX76" s="108">
        <v>1.05</v>
      </c>
      <c r="AY76" s="108">
        <v>1.05</v>
      </c>
      <c r="AZ76" s="108">
        <v>1.2</v>
      </c>
      <c r="BA76" s="108">
        <v>1.02</v>
      </c>
      <c r="BB76" s="108">
        <v>1</v>
      </c>
      <c r="BC76" s="108">
        <v>1.2</v>
      </c>
      <c r="BE76" s="692" t="s">
        <v>1075</v>
      </c>
      <c r="BF76" s="83">
        <v>2</v>
      </c>
      <c r="BG76" s="83">
        <v>4</v>
      </c>
      <c r="BH76" s="83">
        <v>1</v>
      </c>
      <c r="BI76" s="83">
        <v>3</v>
      </c>
      <c r="BJ76" s="83">
        <v>1</v>
      </c>
      <c r="BK76" s="83">
        <v>5</v>
      </c>
      <c r="BL76" s="104">
        <v>31</v>
      </c>
      <c r="BM76" s="104">
        <v>1.5</v>
      </c>
      <c r="BN76" s="107">
        <f t="shared" si="42"/>
        <v>1.2365959919080913</v>
      </c>
      <c r="BO76" s="107">
        <f t="shared" si="43"/>
        <v>1.5804528752110836</v>
      </c>
      <c r="BP76" s="107" t="str">
        <f t="shared" si="44"/>
        <v>(2,4,1,3,1,5)</v>
      </c>
      <c r="BQ76" s="108">
        <v>1.05</v>
      </c>
      <c r="BR76" s="108">
        <v>1.1000000000000001</v>
      </c>
      <c r="BS76" s="108">
        <v>1</v>
      </c>
      <c r="BT76" s="108">
        <v>1.02</v>
      </c>
      <c r="BU76" s="108">
        <v>1</v>
      </c>
      <c r="BV76" s="108">
        <v>1.2</v>
      </c>
    </row>
    <row r="77" spans="1:74" ht="24">
      <c r="A77" s="330">
        <v>156329</v>
      </c>
      <c r="B77" s="331"/>
      <c r="C77" s="332"/>
      <c r="D77" s="340" t="s">
        <v>98</v>
      </c>
      <c r="E77" s="341">
        <v>4</v>
      </c>
      <c r="F77" s="432" t="s">
        <v>524</v>
      </c>
      <c r="G77" s="455" t="s">
        <v>98</v>
      </c>
      <c r="H77" s="434" t="s">
        <v>247</v>
      </c>
      <c r="I77" s="434" t="s">
        <v>248</v>
      </c>
      <c r="J77" s="94" t="s">
        <v>98</v>
      </c>
      <c r="K77" s="433" t="s">
        <v>96</v>
      </c>
      <c r="L77" s="435">
        <v>0</v>
      </c>
      <c r="M77" s="95">
        <v>1</v>
      </c>
      <c r="N77" s="96">
        <f t="shared" ref="N77:N101" si="48">$AV77</f>
        <v>1.6255346238806905</v>
      </c>
      <c r="O77" s="432" t="str">
        <f t="shared" ref="O77:O101" si="49">$AW77&amp;"; "&amp;$AL77</f>
        <v>(2,3,4,3,1,5); Assumption: 10% evaporation of process water; Frischknecht &amp; Büsser Knöpfel (2013)</v>
      </c>
      <c r="P77" s="435">
        <f>0.1*P47</f>
        <v>17.094017094017101</v>
      </c>
      <c r="Q77" s="95">
        <v>1</v>
      </c>
      <c r="R77" s="96">
        <f t="shared" ref="R77:R101" si="50">$AV77</f>
        <v>1.6255346238806905</v>
      </c>
      <c r="S77" s="457" t="str">
        <f t="shared" ref="S77:S101" si="51">$AW77&amp;"; "&amp;$AL77</f>
        <v>(2,3,4,3,1,5); Assumption: 10% evaporation of process water; Frischknecht &amp; Büsser Knöpfel (2013)</v>
      </c>
      <c r="T77" s="435">
        <v>0</v>
      </c>
      <c r="U77" s="95">
        <v>1</v>
      </c>
      <c r="V77" s="96">
        <f t="shared" ref="V77:V101" si="52">$AV77</f>
        <v>1.6255346238806905</v>
      </c>
      <c r="W77" s="457" t="str">
        <f t="shared" ref="W77:W101" si="53">$AW77&amp;"; "&amp;$AL77</f>
        <v>(2,3,4,3,1,5); Assumption: 10% evaporation of process water; Frischknecht &amp; Büsser Knöpfel (2013)</v>
      </c>
      <c r="X77" s="435">
        <v>0</v>
      </c>
      <c r="Y77" s="95">
        <v>1</v>
      </c>
      <c r="Z77" s="96">
        <f t="shared" ref="Z77:Z101" si="54">$AV77</f>
        <v>1.6255346238806905</v>
      </c>
      <c r="AA77" s="437" t="str">
        <f t="shared" ref="AA77:AA101" si="55">$AW77&amp;"; "&amp;$AL77</f>
        <v>(2,3,4,3,1,5); Assumption: 10% evaporation of process water; Frischknecht &amp; Büsser Knöpfel (2013)</v>
      </c>
      <c r="AB77" s="435">
        <v>0</v>
      </c>
      <c r="AC77" s="95">
        <v>1</v>
      </c>
      <c r="AD77" s="96">
        <f t="shared" ref="AD77:AD101" si="56">$BO77</f>
        <v>1.5</v>
      </c>
      <c r="AE77" s="457" t="str">
        <f t="shared" ref="AE77:AE101" si="57">$BP77&amp;"; "&amp;$BE77</f>
        <v xml:space="preserve">(na,na,na,na,na,na); </v>
      </c>
      <c r="AF77" s="435">
        <v>0</v>
      </c>
      <c r="AG77" s="95">
        <v>1</v>
      </c>
      <c r="AH77" s="96">
        <f t="shared" si="45"/>
        <v>1.6255346238806905</v>
      </c>
      <c r="AI77" s="432" t="str">
        <f t="shared" ref="AI77:AI101" si="58">$BP77&amp;"; "&amp;$BE77</f>
        <v xml:space="preserve">(na,na,na,na,na,na); </v>
      </c>
      <c r="AJ77" s="112"/>
      <c r="AK77" s="435">
        <v>0</v>
      </c>
      <c r="AL77" s="216" t="s">
        <v>656</v>
      </c>
      <c r="AM77" s="83">
        <v>2</v>
      </c>
      <c r="AN77" s="83">
        <v>3</v>
      </c>
      <c r="AO77" s="83">
        <v>4</v>
      </c>
      <c r="AP77" s="83">
        <v>3</v>
      </c>
      <c r="AQ77" s="83">
        <v>1</v>
      </c>
      <c r="AR77" s="83">
        <v>5</v>
      </c>
      <c r="AS77" s="104">
        <v>31</v>
      </c>
      <c r="AT77" s="104">
        <v>1.5</v>
      </c>
      <c r="AU77" s="107">
        <f t="shared" ref="AU77:AU101" si="59">EXP(SQRT((LN(AX77)^2)+(LN(AY77)^2)+(LN(AZ77)^2)+(LN(BA77)^2)+(LN(BB77)^2)+(LN(BC77)^2)))</f>
        <v>1.3068869189023089</v>
      </c>
      <c r="AV77" s="107">
        <f t="shared" ref="AV77:AV101" si="60">EXP(SQRT((LN(AX77)^2)+(LN(AY77)^2)+(LN(AZ77)^2)+(LN(BA77)^2)+(LN(BB77)^2)+(LN(BC77)^2)+LN(AT77)^2))</f>
        <v>1.6255346238806905</v>
      </c>
      <c r="AW77" s="107" t="str">
        <f t="shared" ref="AW77:AW101" si="61">CONCATENATE("(",AM77,",",AN77,",",AO77,",",AP77,",",AQ77,",",AR77,")")</f>
        <v>(2,3,4,3,1,5)</v>
      </c>
      <c r="AX77" s="108">
        <v>1.05</v>
      </c>
      <c r="AY77" s="108">
        <v>1.05</v>
      </c>
      <c r="AZ77" s="108">
        <v>1.2</v>
      </c>
      <c r="BA77" s="108">
        <v>1.02</v>
      </c>
      <c r="BB77" s="108">
        <v>1</v>
      </c>
      <c r="BC77" s="108">
        <v>1.2</v>
      </c>
      <c r="BE77" s="692"/>
      <c r="BF77" s="339" t="s">
        <v>106</v>
      </c>
      <c r="BG77" s="339" t="s">
        <v>106</v>
      </c>
      <c r="BH77" s="339" t="s">
        <v>106</v>
      </c>
      <c r="BI77" s="339" t="s">
        <v>106</v>
      </c>
      <c r="BJ77" s="339" t="s">
        <v>106</v>
      </c>
      <c r="BK77" s="339" t="s">
        <v>106</v>
      </c>
      <c r="BL77" s="104">
        <v>31</v>
      </c>
      <c r="BM77" s="104">
        <v>1.5</v>
      </c>
      <c r="BN77" s="107">
        <f t="shared" ref="BN77:BN101" si="62">EXP(SQRT((LN(BQ77)^2)+(LN(BR77)^2)+(LN(BS77)^2)+(LN(BT77)^2)+(LN(BU77)^2)+(LN(BV77)^2)))</f>
        <v>1</v>
      </c>
      <c r="BO77" s="107">
        <f t="shared" ref="BO77:BO101" si="63">EXP(SQRT((LN(BQ77)^2)+(LN(BR77)^2)+(LN(BS77)^2)+(LN(BT77)^2)+(LN(BU77)^2)+(LN(BV77)^2)+LN(BM77)^2))</f>
        <v>1.5</v>
      </c>
      <c r="BP77" s="107" t="str">
        <f t="shared" ref="BP77:BP101" si="64">CONCATENATE("(",BF77,",",BG77,",",BH77,",",BI77,",",BJ77,",",BK77,")")</f>
        <v>(na,na,na,na,na,na)</v>
      </c>
      <c r="BQ77" s="108">
        <v>1</v>
      </c>
      <c r="BR77" s="108">
        <v>1</v>
      </c>
      <c r="BS77" s="108">
        <v>1</v>
      </c>
      <c r="BT77" s="108">
        <v>1</v>
      </c>
      <c r="BU77" s="108">
        <v>1</v>
      </c>
      <c r="BV77" s="108">
        <v>1</v>
      </c>
    </row>
    <row r="78" spans="1:74" ht="24">
      <c r="A78" s="330">
        <v>51378</v>
      </c>
      <c r="B78" s="331"/>
      <c r="C78" s="332"/>
      <c r="D78" s="340" t="s">
        <v>98</v>
      </c>
      <c r="E78" s="341">
        <v>4</v>
      </c>
      <c r="F78" s="432" t="s">
        <v>525</v>
      </c>
      <c r="G78" s="455" t="s">
        <v>98</v>
      </c>
      <c r="H78" s="434" t="s">
        <v>247</v>
      </c>
      <c r="I78" s="434" t="s">
        <v>248</v>
      </c>
      <c r="J78" s="94" t="s">
        <v>98</v>
      </c>
      <c r="K78" s="433" t="s">
        <v>96</v>
      </c>
      <c r="L78" s="435">
        <v>0</v>
      </c>
      <c r="M78" s="95">
        <v>1</v>
      </c>
      <c r="N78" s="96">
        <f t="shared" si="48"/>
        <v>1.6255346238806905</v>
      </c>
      <c r="O78" s="432" t="str">
        <f t="shared" si="49"/>
        <v>(2,3,4,3,1,5); Assumption: 10% evaporation of process water; Frischknecht &amp; Büsser Knöpfel (2013)</v>
      </c>
      <c r="P78" s="435">
        <v>0</v>
      </c>
      <c r="Q78" s="95">
        <v>1</v>
      </c>
      <c r="R78" s="96">
        <f t="shared" si="50"/>
        <v>1.6255346238806905</v>
      </c>
      <c r="S78" s="457" t="str">
        <f t="shared" si="51"/>
        <v>(2,3,4,3,1,5); Assumption: 10% evaporation of process water; Frischknecht &amp; Büsser Knöpfel (2013)</v>
      </c>
      <c r="T78" s="435">
        <f>0.1*T48</f>
        <v>6.1050061050061064</v>
      </c>
      <c r="U78" s="95">
        <v>1</v>
      </c>
      <c r="V78" s="96">
        <f t="shared" si="52"/>
        <v>1.6255346238806905</v>
      </c>
      <c r="W78" s="457" t="str">
        <f t="shared" si="53"/>
        <v>(2,3,4,3,1,5); Assumption: 10% evaporation of process water; Frischknecht &amp; Büsser Knöpfel (2013)</v>
      </c>
      <c r="X78" s="435">
        <v>0</v>
      </c>
      <c r="Y78" s="95">
        <v>1</v>
      </c>
      <c r="Z78" s="96">
        <f t="shared" si="54"/>
        <v>1.6255346238806905</v>
      </c>
      <c r="AA78" s="437" t="str">
        <f t="shared" si="55"/>
        <v>(2,3,4,3,1,5); Assumption: 10% evaporation of process water; Frischknecht &amp; Büsser Knöpfel (2013)</v>
      </c>
      <c r="AB78" s="435">
        <v>0</v>
      </c>
      <c r="AC78" s="95">
        <v>1</v>
      </c>
      <c r="AD78" s="96">
        <f t="shared" si="56"/>
        <v>1.5</v>
      </c>
      <c r="AE78" s="457" t="str">
        <f t="shared" si="57"/>
        <v xml:space="preserve">(na,na,na,na,na,na); </v>
      </c>
      <c r="AF78" s="435">
        <v>0</v>
      </c>
      <c r="AG78" s="95">
        <v>1</v>
      </c>
      <c r="AH78" s="96">
        <f t="shared" ref="AH78:AH101" si="65">$AV78</f>
        <v>1.6255346238806905</v>
      </c>
      <c r="AI78" s="432" t="str">
        <f t="shared" si="58"/>
        <v xml:space="preserve">(na,na,na,na,na,na); </v>
      </c>
      <c r="AJ78" s="112"/>
      <c r="AK78" s="435">
        <v>0</v>
      </c>
      <c r="AL78" s="216" t="s">
        <v>656</v>
      </c>
      <c r="AM78" s="83">
        <v>2</v>
      </c>
      <c r="AN78" s="83">
        <v>3</v>
      </c>
      <c r="AO78" s="83">
        <v>4</v>
      </c>
      <c r="AP78" s="83">
        <v>3</v>
      </c>
      <c r="AQ78" s="83">
        <v>1</v>
      </c>
      <c r="AR78" s="83">
        <v>5</v>
      </c>
      <c r="AS78" s="104">
        <v>31</v>
      </c>
      <c r="AT78" s="104">
        <v>1.5</v>
      </c>
      <c r="AU78" s="107">
        <f t="shared" si="59"/>
        <v>1.3068869189023089</v>
      </c>
      <c r="AV78" s="107">
        <f t="shared" si="60"/>
        <v>1.6255346238806905</v>
      </c>
      <c r="AW78" s="107" t="str">
        <f t="shared" si="61"/>
        <v>(2,3,4,3,1,5)</v>
      </c>
      <c r="AX78" s="108">
        <v>1.05</v>
      </c>
      <c r="AY78" s="108">
        <v>1.05</v>
      </c>
      <c r="AZ78" s="108">
        <v>1.2</v>
      </c>
      <c r="BA78" s="108">
        <v>1.02</v>
      </c>
      <c r="BB78" s="108">
        <v>1</v>
      </c>
      <c r="BC78" s="108">
        <v>1.2</v>
      </c>
      <c r="BE78" s="692"/>
      <c r="BF78" s="339" t="s">
        <v>106</v>
      </c>
      <c r="BG78" s="339" t="s">
        <v>106</v>
      </c>
      <c r="BH78" s="339" t="s">
        <v>106</v>
      </c>
      <c r="BI78" s="339" t="s">
        <v>106</v>
      </c>
      <c r="BJ78" s="339" t="s">
        <v>106</v>
      </c>
      <c r="BK78" s="339" t="s">
        <v>106</v>
      </c>
      <c r="BL78" s="104">
        <v>31</v>
      </c>
      <c r="BM78" s="104">
        <v>1.5</v>
      </c>
      <c r="BN78" s="107">
        <f t="shared" si="62"/>
        <v>1</v>
      </c>
      <c r="BO78" s="107">
        <f t="shared" si="63"/>
        <v>1.5</v>
      </c>
      <c r="BP78" s="107" t="str">
        <f t="shared" si="64"/>
        <v>(na,na,na,na,na,na)</v>
      </c>
      <c r="BQ78" s="108">
        <v>1</v>
      </c>
      <c r="BR78" s="108">
        <v>1</v>
      </c>
      <c r="BS78" s="108">
        <v>1</v>
      </c>
      <c r="BT78" s="108">
        <v>1</v>
      </c>
      <c r="BU78" s="108">
        <v>1</v>
      </c>
      <c r="BV78" s="108">
        <v>1</v>
      </c>
    </row>
    <row r="79" spans="1:74" ht="24">
      <c r="A79" s="330">
        <v>27191</v>
      </c>
      <c r="B79" s="331"/>
      <c r="C79" s="332"/>
      <c r="D79" s="340" t="s">
        <v>98</v>
      </c>
      <c r="E79" s="341">
        <v>4</v>
      </c>
      <c r="F79" s="432" t="s">
        <v>657</v>
      </c>
      <c r="G79" s="433" t="s">
        <v>98</v>
      </c>
      <c r="H79" s="434" t="s">
        <v>247</v>
      </c>
      <c r="I79" s="434" t="s">
        <v>248</v>
      </c>
      <c r="J79" s="94" t="s">
        <v>98</v>
      </c>
      <c r="K79" s="433" t="s">
        <v>96</v>
      </c>
      <c r="L79" s="435">
        <v>0</v>
      </c>
      <c r="M79" s="95">
        <v>1</v>
      </c>
      <c r="N79" s="96">
        <f t="shared" si="48"/>
        <v>1.6255346238806905</v>
      </c>
      <c r="O79" s="432" t="str">
        <f t="shared" si="49"/>
        <v>(2,3,4,3,1,5); Assumption: 10% evaporation of process water; Frischknecht &amp; Büsser Knöpfel (2013)</v>
      </c>
      <c r="P79" s="435">
        <v>0</v>
      </c>
      <c r="Q79" s="95">
        <v>1</v>
      </c>
      <c r="R79" s="96">
        <f t="shared" si="50"/>
        <v>1.6255346238806905</v>
      </c>
      <c r="S79" s="457" t="str">
        <f t="shared" si="51"/>
        <v>(2,3,4,3,1,5); Assumption: 10% evaporation of process water; Frischknecht &amp; Büsser Knöpfel (2013)</v>
      </c>
      <c r="T79" s="435">
        <f>0.1*T49</f>
        <v>4.0700040700040701</v>
      </c>
      <c r="U79" s="95">
        <v>1</v>
      </c>
      <c r="V79" s="96">
        <f t="shared" si="52"/>
        <v>1.6255346238806905</v>
      </c>
      <c r="W79" s="457" t="str">
        <f t="shared" si="53"/>
        <v>(2,3,4,3,1,5); Assumption: 10% evaporation of process water; Frischknecht &amp; Büsser Knöpfel (2013)</v>
      </c>
      <c r="X79" s="435">
        <v>0</v>
      </c>
      <c r="Y79" s="95">
        <v>1</v>
      </c>
      <c r="Z79" s="96">
        <f t="shared" si="54"/>
        <v>1.6255346238806905</v>
      </c>
      <c r="AA79" s="437" t="str">
        <f t="shared" si="55"/>
        <v>(2,3,4,3,1,5); Assumption: 10% evaporation of process water; Frischknecht &amp; Büsser Knöpfel (2013)</v>
      </c>
      <c r="AB79" s="435">
        <v>0</v>
      </c>
      <c r="AC79" s="95">
        <v>1</v>
      </c>
      <c r="AD79" s="96">
        <f t="shared" si="56"/>
        <v>1.5</v>
      </c>
      <c r="AE79" s="457" t="str">
        <f t="shared" si="57"/>
        <v xml:space="preserve">(na,na,na,na,na,na); </v>
      </c>
      <c r="AF79" s="435">
        <v>0</v>
      </c>
      <c r="AG79" s="95">
        <v>1</v>
      </c>
      <c r="AH79" s="96">
        <f t="shared" si="65"/>
        <v>1.6255346238806905</v>
      </c>
      <c r="AI79" s="432" t="str">
        <f t="shared" si="58"/>
        <v xml:space="preserve">(na,na,na,na,na,na); </v>
      </c>
      <c r="AJ79" s="112"/>
      <c r="AK79" s="435">
        <v>0</v>
      </c>
      <c r="AL79" s="216" t="s">
        <v>656</v>
      </c>
      <c r="AM79" s="83">
        <v>2</v>
      </c>
      <c r="AN79" s="83">
        <v>3</v>
      </c>
      <c r="AO79" s="83">
        <v>4</v>
      </c>
      <c r="AP79" s="83">
        <v>3</v>
      </c>
      <c r="AQ79" s="83">
        <v>1</v>
      </c>
      <c r="AR79" s="83">
        <v>5</v>
      </c>
      <c r="AS79" s="104">
        <v>31</v>
      </c>
      <c r="AT79" s="104">
        <v>1.5</v>
      </c>
      <c r="AU79" s="107">
        <f t="shared" si="59"/>
        <v>1.3068869189023089</v>
      </c>
      <c r="AV79" s="107">
        <f t="shared" si="60"/>
        <v>1.6255346238806905</v>
      </c>
      <c r="AW79" s="107" t="str">
        <f t="shared" si="61"/>
        <v>(2,3,4,3,1,5)</v>
      </c>
      <c r="AX79" s="108">
        <v>1.05</v>
      </c>
      <c r="AY79" s="108">
        <v>1.05</v>
      </c>
      <c r="AZ79" s="108">
        <v>1.2</v>
      </c>
      <c r="BA79" s="108">
        <v>1.02</v>
      </c>
      <c r="BB79" s="108">
        <v>1</v>
      </c>
      <c r="BC79" s="108">
        <v>1.2</v>
      </c>
      <c r="BE79" s="692"/>
      <c r="BF79" s="339" t="s">
        <v>106</v>
      </c>
      <c r="BG79" s="339" t="s">
        <v>106</v>
      </c>
      <c r="BH79" s="339" t="s">
        <v>106</v>
      </c>
      <c r="BI79" s="339" t="s">
        <v>106</v>
      </c>
      <c r="BJ79" s="339" t="s">
        <v>106</v>
      </c>
      <c r="BK79" s="339" t="s">
        <v>106</v>
      </c>
      <c r="BL79" s="104">
        <v>31</v>
      </c>
      <c r="BM79" s="104">
        <v>1.5</v>
      </c>
      <c r="BN79" s="107">
        <f t="shared" si="62"/>
        <v>1</v>
      </c>
      <c r="BO79" s="107">
        <f t="shared" si="63"/>
        <v>1.5</v>
      </c>
      <c r="BP79" s="107" t="str">
        <f t="shared" si="64"/>
        <v>(na,na,na,na,na,na)</v>
      </c>
      <c r="BQ79" s="108">
        <v>1</v>
      </c>
      <c r="BR79" s="108">
        <v>1</v>
      </c>
      <c r="BS79" s="108">
        <v>1</v>
      </c>
      <c r="BT79" s="108">
        <v>1</v>
      </c>
      <c r="BU79" s="108">
        <v>1</v>
      </c>
      <c r="BV79" s="108">
        <v>1</v>
      </c>
    </row>
    <row r="80" spans="1:74" ht="24">
      <c r="A80" s="330" t="s">
        <v>658</v>
      </c>
      <c r="B80" s="331"/>
      <c r="C80" s="332"/>
      <c r="D80" s="340" t="s">
        <v>98</v>
      </c>
      <c r="E80" s="341">
        <v>4</v>
      </c>
      <c r="F80" s="432" t="s">
        <v>659</v>
      </c>
      <c r="G80" s="433" t="s">
        <v>98</v>
      </c>
      <c r="H80" s="434" t="s">
        <v>247</v>
      </c>
      <c r="I80" s="434" t="s">
        <v>248</v>
      </c>
      <c r="J80" s="94" t="s">
        <v>98</v>
      </c>
      <c r="K80" s="433" t="s">
        <v>96</v>
      </c>
      <c r="L80" s="435">
        <v>0</v>
      </c>
      <c r="M80" s="95">
        <v>1</v>
      </c>
      <c r="N80" s="96">
        <f t="shared" si="48"/>
        <v>1.6255346238806905</v>
      </c>
      <c r="O80" s="432" t="str">
        <f t="shared" si="49"/>
        <v>(2,3,4,3,1,5); Assumption: 10% evaporation of process water; Frischknecht &amp; Büsser Knöpfel (2013)</v>
      </c>
      <c r="P80" s="435">
        <v>0</v>
      </c>
      <c r="Q80" s="95">
        <v>1</v>
      </c>
      <c r="R80" s="96">
        <f t="shared" si="50"/>
        <v>1.6255346238806905</v>
      </c>
      <c r="S80" s="457" t="str">
        <f t="shared" si="51"/>
        <v>(2,3,4,3,1,5); Assumption: 10% evaporation of process water; Frischknecht &amp; Büsser Knöpfel (2013)</v>
      </c>
      <c r="T80" s="435">
        <f>0.1*T50</f>
        <v>4.2735042735042743</v>
      </c>
      <c r="U80" s="95">
        <v>1</v>
      </c>
      <c r="V80" s="96">
        <f t="shared" si="52"/>
        <v>1.6255346238806905</v>
      </c>
      <c r="W80" s="457" t="str">
        <f t="shared" si="53"/>
        <v>(2,3,4,3,1,5); Assumption: 10% evaporation of process water; Frischknecht &amp; Büsser Knöpfel (2013)</v>
      </c>
      <c r="X80" s="435">
        <v>0</v>
      </c>
      <c r="Y80" s="95">
        <v>1</v>
      </c>
      <c r="Z80" s="96">
        <f t="shared" si="54"/>
        <v>1.6255346238806905</v>
      </c>
      <c r="AA80" s="437" t="str">
        <f t="shared" si="55"/>
        <v>(2,3,4,3,1,5); Assumption: 10% evaporation of process water; Frischknecht &amp; Büsser Knöpfel (2013)</v>
      </c>
      <c r="AB80" s="435">
        <v>0</v>
      </c>
      <c r="AC80" s="95">
        <v>1</v>
      </c>
      <c r="AD80" s="96">
        <f t="shared" si="56"/>
        <v>1.5</v>
      </c>
      <c r="AE80" s="457" t="str">
        <f t="shared" si="57"/>
        <v xml:space="preserve">(na,na,na,na,na,na); </v>
      </c>
      <c r="AF80" s="435">
        <v>0</v>
      </c>
      <c r="AG80" s="95">
        <v>1</v>
      </c>
      <c r="AH80" s="96">
        <f t="shared" si="65"/>
        <v>1.6255346238806905</v>
      </c>
      <c r="AI80" s="432" t="str">
        <f t="shared" si="58"/>
        <v xml:space="preserve">(na,na,na,na,na,na); </v>
      </c>
      <c r="AJ80" s="112"/>
      <c r="AK80" s="435">
        <v>0</v>
      </c>
      <c r="AL80" s="216" t="s">
        <v>656</v>
      </c>
      <c r="AM80" s="83">
        <v>2</v>
      </c>
      <c r="AN80" s="83">
        <v>3</v>
      </c>
      <c r="AO80" s="83">
        <v>4</v>
      </c>
      <c r="AP80" s="83">
        <v>3</v>
      </c>
      <c r="AQ80" s="83">
        <v>1</v>
      </c>
      <c r="AR80" s="83">
        <v>5</v>
      </c>
      <c r="AS80" s="104">
        <v>31</v>
      </c>
      <c r="AT80" s="104">
        <v>1.5</v>
      </c>
      <c r="AU80" s="107">
        <f t="shared" si="59"/>
        <v>1.3068869189023089</v>
      </c>
      <c r="AV80" s="107">
        <f t="shared" si="60"/>
        <v>1.6255346238806905</v>
      </c>
      <c r="AW80" s="107" t="str">
        <f t="shared" si="61"/>
        <v>(2,3,4,3,1,5)</v>
      </c>
      <c r="AX80" s="108">
        <v>1.05</v>
      </c>
      <c r="AY80" s="108">
        <v>1.05</v>
      </c>
      <c r="AZ80" s="108">
        <v>1.2</v>
      </c>
      <c r="BA80" s="108">
        <v>1.02</v>
      </c>
      <c r="BB80" s="108">
        <v>1</v>
      </c>
      <c r="BC80" s="108">
        <v>1.2</v>
      </c>
      <c r="BE80" s="692"/>
      <c r="BF80" s="339" t="s">
        <v>106</v>
      </c>
      <c r="BG80" s="339" t="s">
        <v>106</v>
      </c>
      <c r="BH80" s="339" t="s">
        <v>106</v>
      </c>
      <c r="BI80" s="339" t="s">
        <v>106</v>
      </c>
      <c r="BJ80" s="339" t="s">
        <v>106</v>
      </c>
      <c r="BK80" s="339" t="s">
        <v>106</v>
      </c>
      <c r="BL80" s="104">
        <v>31</v>
      </c>
      <c r="BM80" s="104">
        <v>1.5</v>
      </c>
      <c r="BN80" s="107">
        <f t="shared" si="62"/>
        <v>1</v>
      </c>
      <c r="BO80" s="107">
        <f t="shared" si="63"/>
        <v>1.5</v>
      </c>
      <c r="BP80" s="107" t="str">
        <f t="shared" si="64"/>
        <v>(na,na,na,na,na,na)</v>
      </c>
      <c r="BQ80" s="108">
        <v>1</v>
      </c>
      <c r="BR80" s="108">
        <v>1</v>
      </c>
      <c r="BS80" s="108">
        <v>1</v>
      </c>
      <c r="BT80" s="108">
        <v>1</v>
      </c>
      <c r="BU80" s="108">
        <v>1</v>
      </c>
      <c r="BV80" s="108">
        <v>1</v>
      </c>
    </row>
    <row r="81" spans="1:74" ht="24">
      <c r="A81" s="330">
        <v>46430</v>
      </c>
      <c r="B81" s="331"/>
      <c r="C81" s="332"/>
      <c r="D81" s="340" t="s">
        <v>98</v>
      </c>
      <c r="E81" s="341">
        <v>4</v>
      </c>
      <c r="F81" s="432" t="s">
        <v>623</v>
      </c>
      <c r="G81" s="433" t="s">
        <v>98</v>
      </c>
      <c r="H81" s="434" t="s">
        <v>247</v>
      </c>
      <c r="I81" s="434" t="s">
        <v>248</v>
      </c>
      <c r="J81" s="94" t="s">
        <v>98</v>
      </c>
      <c r="K81" s="433" t="s">
        <v>96</v>
      </c>
      <c r="L81" s="435">
        <v>0</v>
      </c>
      <c r="M81" s="95">
        <v>1</v>
      </c>
      <c r="N81" s="96">
        <f t="shared" si="48"/>
        <v>1.6255346238806905</v>
      </c>
      <c r="O81" s="432" t="str">
        <f t="shared" si="49"/>
        <v>(2,3,4,3,1,5); Assumption: 10% evaporation of process water; Frischknecht &amp; Büsser Knöpfel (2013)</v>
      </c>
      <c r="P81" s="435">
        <v>0</v>
      </c>
      <c r="Q81" s="95">
        <v>1</v>
      </c>
      <c r="R81" s="96">
        <f t="shared" si="50"/>
        <v>1.6255346238806905</v>
      </c>
      <c r="S81" s="457" t="str">
        <f t="shared" si="51"/>
        <v>(2,3,4,3,1,5); Assumption: 10% evaporation of process water; Frischknecht &amp; Büsser Knöpfel (2013)</v>
      </c>
      <c r="T81" s="435">
        <f>0.1*T51</f>
        <v>1.2210012210012211</v>
      </c>
      <c r="U81" s="95">
        <v>1</v>
      </c>
      <c r="V81" s="96">
        <f t="shared" si="52"/>
        <v>1.6255346238806905</v>
      </c>
      <c r="W81" s="457" t="str">
        <f t="shared" si="53"/>
        <v>(2,3,4,3,1,5); Assumption: 10% evaporation of process water; Frischknecht &amp; Büsser Knöpfel (2013)</v>
      </c>
      <c r="X81" s="435">
        <v>0</v>
      </c>
      <c r="Y81" s="95">
        <v>1</v>
      </c>
      <c r="Z81" s="96">
        <f t="shared" si="54"/>
        <v>1.6255346238806905</v>
      </c>
      <c r="AA81" s="437" t="str">
        <f t="shared" si="55"/>
        <v>(2,3,4,3,1,5); Assumption: 10% evaporation of process water; Frischknecht &amp; Büsser Knöpfel (2013)</v>
      </c>
      <c r="AB81" s="435">
        <v>0</v>
      </c>
      <c r="AC81" s="95">
        <v>1</v>
      </c>
      <c r="AD81" s="96">
        <f t="shared" si="56"/>
        <v>1.5</v>
      </c>
      <c r="AE81" s="457" t="str">
        <f t="shared" si="57"/>
        <v xml:space="preserve">(na,na,na,na,na,na); </v>
      </c>
      <c r="AF81" s="435">
        <v>0</v>
      </c>
      <c r="AG81" s="95">
        <v>1</v>
      </c>
      <c r="AH81" s="96">
        <f t="shared" si="65"/>
        <v>1.6255346238806905</v>
      </c>
      <c r="AI81" s="432" t="str">
        <f t="shared" si="58"/>
        <v xml:space="preserve">(na,na,na,na,na,na); </v>
      </c>
      <c r="AJ81" s="112"/>
      <c r="AK81" s="435">
        <v>0</v>
      </c>
      <c r="AL81" s="216" t="s">
        <v>656</v>
      </c>
      <c r="AM81" s="83">
        <v>2</v>
      </c>
      <c r="AN81" s="83">
        <v>3</v>
      </c>
      <c r="AO81" s="83">
        <v>4</v>
      </c>
      <c r="AP81" s="83">
        <v>3</v>
      </c>
      <c r="AQ81" s="83">
        <v>1</v>
      </c>
      <c r="AR81" s="83">
        <v>5</v>
      </c>
      <c r="AS81" s="104">
        <v>31</v>
      </c>
      <c r="AT81" s="104">
        <v>1.5</v>
      </c>
      <c r="AU81" s="107">
        <f t="shared" si="59"/>
        <v>1.3068869189023089</v>
      </c>
      <c r="AV81" s="107">
        <f t="shared" si="60"/>
        <v>1.6255346238806905</v>
      </c>
      <c r="AW81" s="107" t="str">
        <f t="shared" si="61"/>
        <v>(2,3,4,3,1,5)</v>
      </c>
      <c r="AX81" s="108">
        <v>1.05</v>
      </c>
      <c r="AY81" s="108">
        <v>1.05</v>
      </c>
      <c r="AZ81" s="108">
        <v>1.2</v>
      </c>
      <c r="BA81" s="108">
        <v>1.02</v>
      </c>
      <c r="BB81" s="108">
        <v>1</v>
      </c>
      <c r="BC81" s="108">
        <v>1.2</v>
      </c>
      <c r="BE81" s="692"/>
      <c r="BF81" s="339" t="s">
        <v>106</v>
      </c>
      <c r="BG81" s="339" t="s">
        <v>106</v>
      </c>
      <c r="BH81" s="339" t="s">
        <v>106</v>
      </c>
      <c r="BI81" s="339" t="s">
        <v>106</v>
      </c>
      <c r="BJ81" s="339" t="s">
        <v>106</v>
      </c>
      <c r="BK81" s="339" t="s">
        <v>106</v>
      </c>
      <c r="BL81" s="104">
        <v>31</v>
      </c>
      <c r="BM81" s="104">
        <v>1.5</v>
      </c>
      <c r="BN81" s="107">
        <f t="shared" si="62"/>
        <v>1</v>
      </c>
      <c r="BO81" s="107">
        <f t="shared" si="63"/>
        <v>1.5</v>
      </c>
      <c r="BP81" s="107" t="str">
        <f t="shared" si="64"/>
        <v>(na,na,na,na,na,na)</v>
      </c>
      <c r="BQ81" s="108">
        <v>1</v>
      </c>
      <c r="BR81" s="108">
        <v>1</v>
      </c>
      <c r="BS81" s="108">
        <v>1</v>
      </c>
      <c r="BT81" s="108">
        <v>1</v>
      </c>
      <c r="BU81" s="108">
        <v>1</v>
      </c>
      <c r="BV81" s="108">
        <v>1</v>
      </c>
    </row>
    <row r="82" spans="1:74" ht="24">
      <c r="A82" s="330">
        <v>84449</v>
      </c>
      <c r="B82" s="331"/>
      <c r="C82" s="332"/>
      <c r="D82" s="340" t="s">
        <v>98</v>
      </c>
      <c r="E82" s="341">
        <v>4</v>
      </c>
      <c r="F82" s="432" t="s">
        <v>1011</v>
      </c>
      <c r="G82" s="433" t="s">
        <v>98</v>
      </c>
      <c r="H82" s="434" t="s">
        <v>247</v>
      </c>
      <c r="I82" s="434" t="s">
        <v>248</v>
      </c>
      <c r="J82" s="94" t="s">
        <v>98</v>
      </c>
      <c r="K82" s="433" t="s">
        <v>96</v>
      </c>
      <c r="L82" s="435">
        <v>0</v>
      </c>
      <c r="M82" s="95">
        <v>1</v>
      </c>
      <c r="N82" s="96">
        <f t="shared" si="48"/>
        <v>1.6255346238806905</v>
      </c>
      <c r="O82" s="432" t="str">
        <f t="shared" si="49"/>
        <v>(2,3,4,3,1,5); Assumption: 10% evaporation of process water; Frischknecht &amp; Büsser Knöpfel (2013)</v>
      </c>
      <c r="P82" s="435">
        <v>0</v>
      </c>
      <c r="Q82" s="95">
        <v>1</v>
      </c>
      <c r="R82" s="96">
        <f t="shared" si="50"/>
        <v>1.6255346238806905</v>
      </c>
      <c r="S82" s="457" t="str">
        <f t="shared" si="51"/>
        <v>(2,3,4,3,1,5); Assumption: 10% evaporation of process water; Frischknecht &amp; Büsser Knöpfel (2013)</v>
      </c>
      <c r="T82" s="435">
        <f>0.1*T52</f>
        <v>1.4245014245014247</v>
      </c>
      <c r="U82" s="95">
        <v>1</v>
      </c>
      <c r="V82" s="96">
        <f t="shared" si="52"/>
        <v>1.6255346238806905</v>
      </c>
      <c r="W82" s="457" t="str">
        <f t="shared" si="53"/>
        <v>(2,3,4,3,1,5); Assumption: 10% evaporation of process water; Frischknecht &amp; Büsser Knöpfel (2013)</v>
      </c>
      <c r="X82" s="435">
        <v>0</v>
      </c>
      <c r="Y82" s="95">
        <v>1</v>
      </c>
      <c r="Z82" s="96">
        <f t="shared" si="54"/>
        <v>1.6255346238806905</v>
      </c>
      <c r="AA82" s="437" t="str">
        <f t="shared" si="55"/>
        <v>(2,3,4,3,1,5); Assumption: 10% evaporation of process water; Frischknecht &amp; Büsser Knöpfel (2013)</v>
      </c>
      <c r="AB82" s="435">
        <v>0</v>
      </c>
      <c r="AC82" s="95">
        <v>1</v>
      </c>
      <c r="AD82" s="96">
        <f t="shared" si="56"/>
        <v>1.5</v>
      </c>
      <c r="AE82" s="457" t="str">
        <f t="shared" si="57"/>
        <v xml:space="preserve">(na,na,na,na,na,na); </v>
      </c>
      <c r="AF82" s="435">
        <v>0</v>
      </c>
      <c r="AG82" s="95">
        <v>1</v>
      </c>
      <c r="AH82" s="96">
        <f t="shared" si="65"/>
        <v>1.6255346238806905</v>
      </c>
      <c r="AI82" s="432" t="str">
        <f t="shared" si="58"/>
        <v xml:space="preserve">(na,na,na,na,na,na); </v>
      </c>
      <c r="AJ82" s="112"/>
      <c r="AK82" s="435">
        <v>0</v>
      </c>
      <c r="AL82" s="216" t="s">
        <v>656</v>
      </c>
      <c r="AM82" s="83">
        <v>2</v>
      </c>
      <c r="AN82" s="83">
        <v>3</v>
      </c>
      <c r="AO82" s="83">
        <v>4</v>
      </c>
      <c r="AP82" s="83">
        <v>3</v>
      </c>
      <c r="AQ82" s="83">
        <v>1</v>
      </c>
      <c r="AR82" s="83">
        <v>5</v>
      </c>
      <c r="AS82" s="104">
        <v>31</v>
      </c>
      <c r="AT82" s="104">
        <v>1.5</v>
      </c>
      <c r="AU82" s="107">
        <f t="shared" si="59"/>
        <v>1.3068869189023089</v>
      </c>
      <c r="AV82" s="107">
        <f t="shared" si="60"/>
        <v>1.6255346238806905</v>
      </c>
      <c r="AW82" s="107" t="str">
        <f t="shared" si="61"/>
        <v>(2,3,4,3,1,5)</v>
      </c>
      <c r="AX82" s="108">
        <v>1.05</v>
      </c>
      <c r="AY82" s="108">
        <v>1.05</v>
      </c>
      <c r="AZ82" s="108">
        <v>1.2</v>
      </c>
      <c r="BA82" s="108">
        <v>1.02</v>
      </c>
      <c r="BB82" s="108">
        <v>1</v>
      </c>
      <c r="BC82" s="108">
        <v>1.2</v>
      </c>
      <c r="BE82" s="692"/>
      <c r="BF82" s="339" t="s">
        <v>106</v>
      </c>
      <c r="BG82" s="339" t="s">
        <v>106</v>
      </c>
      <c r="BH82" s="339" t="s">
        <v>106</v>
      </c>
      <c r="BI82" s="339" t="s">
        <v>106</v>
      </c>
      <c r="BJ82" s="339" t="s">
        <v>106</v>
      </c>
      <c r="BK82" s="339" t="s">
        <v>106</v>
      </c>
      <c r="BL82" s="104">
        <v>31</v>
      </c>
      <c r="BM82" s="104">
        <v>1.5</v>
      </c>
      <c r="BN82" s="107">
        <f t="shared" si="62"/>
        <v>1</v>
      </c>
      <c r="BO82" s="107">
        <f t="shared" si="63"/>
        <v>1.5</v>
      </c>
      <c r="BP82" s="107" t="str">
        <f t="shared" si="64"/>
        <v>(na,na,na,na,na,na)</v>
      </c>
      <c r="BQ82" s="108">
        <v>1</v>
      </c>
      <c r="BR82" s="108">
        <v>1</v>
      </c>
      <c r="BS82" s="108">
        <v>1</v>
      </c>
      <c r="BT82" s="108">
        <v>1</v>
      </c>
      <c r="BU82" s="108">
        <v>1</v>
      </c>
      <c r="BV82" s="108">
        <v>1</v>
      </c>
    </row>
    <row r="83" spans="1:74" ht="24">
      <c r="A83" s="330">
        <v>75740</v>
      </c>
      <c r="B83" s="331"/>
      <c r="C83" s="332"/>
      <c r="D83" s="340" t="s">
        <v>98</v>
      </c>
      <c r="E83" s="341">
        <v>4</v>
      </c>
      <c r="F83" s="432" t="s">
        <v>521</v>
      </c>
      <c r="G83" s="433" t="s">
        <v>98</v>
      </c>
      <c r="H83" s="434" t="s">
        <v>247</v>
      </c>
      <c r="I83" s="434" t="s">
        <v>248</v>
      </c>
      <c r="J83" s="94" t="s">
        <v>98</v>
      </c>
      <c r="K83" s="433" t="s">
        <v>96</v>
      </c>
      <c r="L83" s="435">
        <v>0</v>
      </c>
      <c r="M83" s="95">
        <v>1</v>
      </c>
      <c r="N83" s="96">
        <f t="shared" si="48"/>
        <v>1.6255346238806905</v>
      </c>
      <c r="O83" s="432" t="str">
        <f t="shared" si="49"/>
        <v>(2,3,4,3,1,5); Assumption: 10% evaporation of process water; Frischknecht &amp; Büsser Knöpfel (2013)</v>
      </c>
      <c r="P83" s="435">
        <v>0</v>
      </c>
      <c r="Q83" s="95">
        <v>1</v>
      </c>
      <c r="R83" s="96">
        <f t="shared" si="50"/>
        <v>1.6255346238806905</v>
      </c>
      <c r="S83" s="457" t="str">
        <f t="shared" si="51"/>
        <v>(2,3,4,3,1,5); Assumption: 10% evaporation of process water; Frischknecht &amp; Büsser Knöpfel (2013)</v>
      </c>
      <c r="T83" s="435">
        <v>0</v>
      </c>
      <c r="U83" s="95">
        <v>1</v>
      </c>
      <c r="V83" s="96">
        <f t="shared" si="52"/>
        <v>1.6255346238806905</v>
      </c>
      <c r="W83" s="457" t="str">
        <f t="shared" si="53"/>
        <v>(2,3,4,3,1,5); Assumption: 10% evaporation of process water; Frischknecht &amp; Büsser Knöpfel (2013)</v>
      </c>
      <c r="X83" s="435">
        <f>0.1*X53</f>
        <v>17.094017094017101</v>
      </c>
      <c r="Y83" s="95">
        <v>1</v>
      </c>
      <c r="Z83" s="96">
        <f t="shared" si="54"/>
        <v>1.6255346238806905</v>
      </c>
      <c r="AA83" s="437" t="str">
        <f t="shared" si="55"/>
        <v>(2,3,4,3,1,5); Assumption: 10% evaporation of process water; Frischknecht &amp; Büsser Knöpfel (2013)</v>
      </c>
      <c r="AB83" s="435">
        <v>0</v>
      </c>
      <c r="AC83" s="95">
        <v>1</v>
      </c>
      <c r="AD83" s="96">
        <f t="shared" si="56"/>
        <v>1.5</v>
      </c>
      <c r="AE83" s="457" t="str">
        <f t="shared" si="57"/>
        <v xml:space="preserve">(na,na,na,na,na,na); </v>
      </c>
      <c r="AF83" s="435">
        <v>0</v>
      </c>
      <c r="AG83" s="95">
        <v>1</v>
      </c>
      <c r="AH83" s="96">
        <f t="shared" si="65"/>
        <v>1.6255346238806905</v>
      </c>
      <c r="AI83" s="432" t="str">
        <f t="shared" si="58"/>
        <v xml:space="preserve">(na,na,na,na,na,na); </v>
      </c>
      <c r="AJ83" s="112"/>
      <c r="AK83" s="435">
        <v>0</v>
      </c>
      <c r="AL83" s="216" t="s">
        <v>656</v>
      </c>
      <c r="AM83" s="83">
        <v>2</v>
      </c>
      <c r="AN83" s="83">
        <v>3</v>
      </c>
      <c r="AO83" s="83">
        <v>4</v>
      </c>
      <c r="AP83" s="83">
        <v>3</v>
      </c>
      <c r="AQ83" s="83">
        <v>1</v>
      </c>
      <c r="AR83" s="83">
        <v>5</v>
      </c>
      <c r="AS83" s="104">
        <v>31</v>
      </c>
      <c r="AT83" s="104">
        <v>1.5</v>
      </c>
      <c r="AU83" s="107">
        <f t="shared" si="59"/>
        <v>1.3068869189023089</v>
      </c>
      <c r="AV83" s="107">
        <f t="shared" si="60"/>
        <v>1.6255346238806905</v>
      </c>
      <c r="AW83" s="107" t="str">
        <f t="shared" si="61"/>
        <v>(2,3,4,3,1,5)</v>
      </c>
      <c r="AX83" s="108">
        <v>1.05</v>
      </c>
      <c r="AY83" s="108">
        <v>1.05</v>
      </c>
      <c r="AZ83" s="108">
        <v>1.2</v>
      </c>
      <c r="BA83" s="108">
        <v>1.02</v>
      </c>
      <c r="BB83" s="108">
        <v>1</v>
      </c>
      <c r="BC83" s="108">
        <v>1.2</v>
      </c>
      <c r="BE83" s="692"/>
      <c r="BF83" s="339" t="s">
        <v>106</v>
      </c>
      <c r="BG83" s="339" t="s">
        <v>106</v>
      </c>
      <c r="BH83" s="339" t="s">
        <v>106</v>
      </c>
      <c r="BI83" s="339" t="s">
        <v>106</v>
      </c>
      <c r="BJ83" s="339" t="s">
        <v>106</v>
      </c>
      <c r="BK83" s="339" t="s">
        <v>106</v>
      </c>
      <c r="BL83" s="104">
        <v>31</v>
      </c>
      <c r="BM83" s="104">
        <v>1.5</v>
      </c>
      <c r="BN83" s="107">
        <f t="shared" si="62"/>
        <v>1</v>
      </c>
      <c r="BO83" s="107">
        <f t="shared" si="63"/>
        <v>1.5</v>
      </c>
      <c r="BP83" s="107" t="str">
        <f t="shared" si="64"/>
        <v>(na,na,na,na,na,na)</v>
      </c>
      <c r="BQ83" s="108">
        <v>1</v>
      </c>
      <c r="BR83" s="108">
        <v>1</v>
      </c>
      <c r="BS83" s="108">
        <v>1</v>
      </c>
      <c r="BT83" s="108">
        <v>1</v>
      </c>
      <c r="BU83" s="108">
        <v>1</v>
      </c>
      <c r="BV83" s="108">
        <v>1</v>
      </c>
    </row>
    <row r="84" spans="1:74">
      <c r="A84" s="330">
        <v>50312</v>
      </c>
      <c r="B84" s="331"/>
      <c r="C84" s="332"/>
      <c r="D84" s="340" t="s">
        <v>98</v>
      </c>
      <c r="E84" s="341">
        <v>4</v>
      </c>
      <c r="F84" s="432" t="s">
        <v>520</v>
      </c>
      <c r="G84" s="433" t="s">
        <v>98</v>
      </c>
      <c r="H84" s="434" t="s">
        <v>247</v>
      </c>
      <c r="I84" s="434" t="s">
        <v>248</v>
      </c>
      <c r="J84" s="94" t="s">
        <v>98</v>
      </c>
      <c r="K84" s="433" t="s">
        <v>96</v>
      </c>
      <c r="L84" s="435">
        <v>0</v>
      </c>
      <c r="M84" s="95">
        <v>1</v>
      </c>
      <c r="N84" s="96">
        <f t="shared" si="48"/>
        <v>1.5</v>
      </c>
      <c r="O84" s="432" t="str">
        <f t="shared" si="49"/>
        <v xml:space="preserve">(na,na,na,na,na,na); </v>
      </c>
      <c r="P84" s="435">
        <v>0</v>
      </c>
      <c r="Q84" s="95">
        <v>1</v>
      </c>
      <c r="R84" s="96">
        <f t="shared" si="50"/>
        <v>1.5</v>
      </c>
      <c r="S84" s="457" t="str">
        <f t="shared" si="51"/>
        <v xml:space="preserve">(na,na,na,na,na,na); </v>
      </c>
      <c r="T84" s="435">
        <v>0</v>
      </c>
      <c r="U84" s="95">
        <v>1</v>
      </c>
      <c r="V84" s="96">
        <f t="shared" si="52"/>
        <v>1.5</v>
      </c>
      <c r="W84" s="457" t="str">
        <f t="shared" si="53"/>
        <v xml:space="preserve">(na,na,na,na,na,na); </v>
      </c>
      <c r="X84" s="435">
        <f>0.1*X54</f>
        <v>0</v>
      </c>
      <c r="Y84" s="95">
        <v>1</v>
      </c>
      <c r="Z84" s="96">
        <f t="shared" si="54"/>
        <v>1.5</v>
      </c>
      <c r="AA84" s="437" t="str">
        <f t="shared" si="55"/>
        <v xml:space="preserve">(na,na,na,na,na,na); </v>
      </c>
      <c r="AB84" s="435">
        <v>1.0226249080000001</v>
      </c>
      <c r="AC84" s="95">
        <v>1</v>
      </c>
      <c r="AD84" s="96">
        <f t="shared" si="56"/>
        <v>1.5804528752110836</v>
      </c>
      <c r="AE84" s="457" t="str">
        <f t="shared" si="57"/>
        <v>(2,4,1,3,1,5); Brailovsky (2026); GM 06</v>
      </c>
      <c r="AF84" s="435">
        <v>0</v>
      </c>
      <c r="AG84" s="95">
        <v>1</v>
      </c>
      <c r="AH84" s="96">
        <f t="shared" si="65"/>
        <v>1.5</v>
      </c>
      <c r="AI84" s="432" t="str">
        <f t="shared" si="58"/>
        <v>(2,4,1,3,1,5); Brailovsky (2026); GM 06</v>
      </c>
      <c r="AJ84" s="112"/>
      <c r="AK84" s="435"/>
      <c r="AL84" s="216"/>
      <c r="AM84" s="339" t="s">
        <v>106</v>
      </c>
      <c r="AN84" s="339" t="s">
        <v>106</v>
      </c>
      <c r="AO84" s="339" t="s">
        <v>106</v>
      </c>
      <c r="AP84" s="339" t="s">
        <v>106</v>
      </c>
      <c r="AQ84" s="339" t="s">
        <v>106</v>
      </c>
      <c r="AR84" s="339" t="s">
        <v>106</v>
      </c>
      <c r="AS84" s="104">
        <v>31</v>
      </c>
      <c r="AT84" s="104">
        <v>1.5</v>
      </c>
      <c r="AU84" s="107">
        <f t="shared" si="59"/>
        <v>1</v>
      </c>
      <c r="AV84" s="107">
        <f t="shared" si="60"/>
        <v>1.5</v>
      </c>
      <c r="AW84" s="107" t="str">
        <f t="shared" si="61"/>
        <v>(na,na,na,na,na,na)</v>
      </c>
      <c r="AX84" s="108">
        <v>1</v>
      </c>
      <c r="AY84" s="108">
        <v>1</v>
      </c>
      <c r="AZ84" s="108">
        <v>1</v>
      </c>
      <c r="BA84" s="108">
        <v>1</v>
      </c>
      <c r="BB84" s="108">
        <v>1</v>
      </c>
      <c r="BC84" s="108">
        <v>1</v>
      </c>
      <c r="BE84" s="692" t="s">
        <v>1075</v>
      </c>
      <c r="BF84" s="83">
        <v>2</v>
      </c>
      <c r="BG84" s="83">
        <v>4</v>
      </c>
      <c r="BH84" s="83">
        <v>1</v>
      </c>
      <c r="BI84" s="83">
        <v>3</v>
      </c>
      <c r="BJ84" s="83">
        <v>1</v>
      </c>
      <c r="BK84" s="83">
        <v>5</v>
      </c>
      <c r="BL84" s="104">
        <v>31</v>
      </c>
      <c r="BM84" s="104">
        <v>1.5</v>
      </c>
      <c r="BN84" s="107">
        <f t="shared" si="62"/>
        <v>1.2365959919080913</v>
      </c>
      <c r="BO84" s="107">
        <f t="shared" si="63"/>
        <v>1.5804528752110836</v>
      </c>
      <c r="BP84" s="107" t="str">
        <f t="shared" si="64"/>
        <v>(2,4,1,3,1,5)</v>
      </c>
      <c r="BQ84" s="108">
        <v>1.05</v>
      </c>
      <c r="BR84" s="108">
        <v>1.1000000000000001</v>
      </c>
      <c r="BS84" s="108">
        <v>1</v>
      </c>
      <c r="BT84" s="108">
        <v>1.02</v>
      </c>
      <c r="BU84" s="108">
        <v>1</v>
      </c>
      <c r="BV84" s="108">
        <v>1.2</v>
      </c>
    </row>
    <row r="85" spans="1:74" s="171" customFormat="1" ht="24">
      <c r="A85" s="333">
        <v>2106</v>
      </c>
      <c r="B85" s="216"/>
      <c r="C85" s="334"/>
      <c r="D85" s="342" t="s">
        <v>98</v>
      </c>
      <c r="E85" s="343">
        <v>4</v>
      </c>
      <c r="F85" s="437" t="s">
        <v>405</v>
      </c>
      <c r="G85" s="438" t="s">
        <v>98</v>
      </c>
      <c r="H85" s="439" t="s">
        <v>247</v>
      </c>
      <c r="I85" s="439" t="s">
        <v>258</v>
      </c>
      <c r="J85" s="335" t="s">
        <v>98</v>
      </c>
      <c r="K85" s="438" t="s">
        <v>96</v>
      </c>
      <c r="L85" s="440">
        <f t="shared" ref="L85:L101" si="66">X85</f>
        <v>7.7251808021038807E-6</v>
      </c>
      <c r="M85" s="336">
        <v>1</v>
      </c>
      <c r="N85" s="337">
        <f t="shared" si="48"/>
        <v>5.0597743275872213</v>
      </c>
      <c r="O85" s="437" t="str">
        <f t="shared" si="49"/>
        <v>(2,2,4,1,1,3); de Wild-Scholten (2014) Life Cycle Assessment of Photovoltaics Status 2011, Part 1 Data Collection (Table 30,31)</v>
      </c>
      <c r="P85" s="440">
        <f t="shared" ref="P85:P101" si="67">L85</f>
        <v>7.7251808021038807E-6</v>
      </c>
      <c r="Q85" s="336">
        <v>1</v>
      </c>
      <c r="R85" s="337">
        <f t="shared" si="50"/>
        <v>5.0597743275872213</v>
      </c>
      <c r="S85" s="455" t="str">
        <f t="shared" si="51"/>
        <v>(2,2,4,1,1,3); de Wild-Scholten (2014) Life Cycle Assessment of Photovoltaics Status 2011, Part 1 Data Collection (Table 30,31)</v>
      </c>
      <c r="T85" s="440">
        <f t="shared" ref="T85:T101" si="68">L85</f>
        <v>7.7251808021038807E-6</v>
      </c>
      <c r="U85" s="336">
        <v>1</v>
      </c>
      <c r="V85" s="337">
        <f t="shared" si="52"/>
        <v>5.0597743275872213</v>
      </c>
      <c r="W85" s="455" t="str">
        <f t="shared" si="53"/>
        <v>(2,2,4,1,1,3); de Wild-Scholten (2014) Life Cycle Assessment of Photovoltaics Status 2011, Part 1 Data Collection (Table 30,31)</v>
      </c>
      <c r="X85" s="440">
        <f t="shared" ref="X85:X101" si="69">AK85</f>
        <v>7.7251808021038807E-6</v>
      </c>
      <c r="Y85" s="336">
        <v>1</v>
      </c>
      <c r="Z85" s="337">
        <f t="shared" si="54"/>
        <v>5.0597743275872213</v>
      </c>
      <c r="AA85" s="437" t="str">
        <f t="shared" si="55"/>
        <v>(2,2,4,1,1,3); de Wild-Scholten (2014) Life Cycle Assessment of Photovoltaics Status 2011, Part 1 Data Collection (Table 30,31)</v>
      </c>
      <c r="AB85" s="440">
        <v>0</v>
      </c>
      <c r="AC85" s="336">
        <v>1</v>
      </c>
      <c r="AD85" s="337">
        <f t="shared" si="56"/>
        <v>4.9999999999999991</v>
      </c>
      <c r="AE85" s="455" t="str">
        <f t="shared" si="57"/>
        <v xml:space="preserve">(na,na,na,na,na,na); </v>
      </c>
      <c r="AF85" s="440">
        <v>0</v>
      </c>
      <c r="AG85" s="336">
        <v>1</v>
      </c>
      <c r="AH85" s="337">
        <f t="shared" si="65"/>
        <v>5.0597743275872213</v>
      </c>
      <c r="AI85" s="437" t="str">
        <f t="shared" si="58"/>
        <v xml:space="preserve">(na,na,na,na,na,na); </v>
      </c>
      <c r="AJ85" s="338"/>
      <c r="AK85" s="440">
        <v>7.7251808021038807E-6</v>
      </c>
      <c r="AL85" s="216" t="s">
        <v>1012</v>
      </c>
      <c r="AM85" s="83">
        <v>2</v>
      </c>
      <c r="AN85" s="83">
        <v>2</v>
      </c>
      <c r="AO85" s="83">
        <v>4</v>
      </c>
      <c r="AP85" s="83">
        <v>1</v>
      </c>
      <c r="AQ85" s="83">
        <v>1</v>
      </c>
      <c r="AR85" s="83">
        <v>3</v>
      </c>
      <c r="AS85" s="104">
        <v>22</v>
      </c>
      <c r="AT85" s="104">
        <v>5</v>
      </c>
      <c r="AU85" s="107">
        <f t="shared" si="59"/>
        <v>1.2164594125584303</v>
      </c>
      <c r="AV85" s="107">
        <f t="shared" si="60"/>
        <v>5.0597743275872213</v>
      </c>
      <c r="AW85" s="107" t="str">
        <f t="shared" si="61"/>
        <v>(2,2,4,1,1,3)</v>
      </c>
      <c r="AX85" s="108">
        <v>1.05</v>
      </c>
      <c r="AY85" s="108">
        <v>1.02</v>
      </c>
      <c r="AZ85" s="108">
        <v>1.2</v>
      </c>
      <c r="BA85" s="108">
        <v>1</v>
      </c>
      <c r="BB85" s="108">
        <v>1</v>
      </c>
      <c r="BC85" s="108">
        <v>1.05</v>
      </c>
      <c r="BE85" s="691"/>
      <c r="BF85" s="339" t="s">
        <v>106</v>
      </c>
      <c r="BG85" s="339" t="s">
        <v>106</v>
      </c>
      <c r="BH85" s="339" t="s">
        <v>106</v>
      </c>
      <c r="BI85" s="339" t="s">
        <v>106</v>
      </c>
      <c r="BJ85" s="339" t="s">
        <v>106</v>
      </c>
      <c r="BK85" s="339" t="s">
        <v>106</v>
      </c>
      <c r="BL85" s="104">
        <v>22</v>
      </c>
      <c r="BM85" s="104">
        <v>5</v>
      </c>
      <c r="BN85" s="107">
        <f t="shared" si="62"/>
        <v>1</v>
      </c>
      <c r="BO85" s="107">
        <f t="shared" si="63"/>
        <v>4.9999999999999991</v>
      </c>
      <c r="BP85" s="107" t="str">
        <f t="shared" si="64"/>
        <v>(na,na,na,na,na,na)</v>
      </c>
      <c r="BQ85" s="108">
        <v>1</v>
      </c>
      <c r="BR85" s="108">
        <v>1</v>
      </c>
      <c r="BS85" s="108">
        <v>1</v>
      </c>
      <c r="BT85" s="108">
        <v>1</v>
      </c>
      <c r="BU85" s="108">
        <v>1</v>
      </c>
      <c r="BV85" s="108">
        <v>1</v>
      </c>
    </row>
    <row r="86" spans="1:74" s="171" customFormat="1" ht="24">
      <c r="A86" s="333">
        <v>46232</v>
      </c>
      <c r="B86" s="216"/>
      <c r="C86" s="334"/>
      <c r="D86" s="342" t="s">
        <v>98</v>
      </c>
      <c r="E86" s="343">
        <v>4</v>
      </c>
      <c r="F86" s="437" t="s">
        <v>250</v>
      </c>
      <c r="G86" s="438" t="s">
        <v>98</v>
      </c>
      <c r="H86" s="439" t="s">
        <v>247</v>
      </c>
      <c r="I86" s="439" t="s">
        <v>248</v>
      </c>
      <c r="J86" s="335" t="s">
        <v>98</v>
      </c>
      <c r="K86" s="438" t="s">
        <v>96</v>
      </c>
      <c r="L86" s="440">
        <f t="shared" si="66"/>
        <v>1.3806706114398399E-4</v>
      </c>
      <c r="M86" s="336">
        <v>1</v>
      </c>
      <c r="N86" s="337">
        <f t="shared" si="48"/>
        <v>1.5688282451057278</v>
      </c>
      <c r="O86" s="437" t="str">
        <f t="shared" si="49"/>
        <v>(2,2,4,1,1,3); de Wild-Scholten (2014) Life Cycle Assessment of Photovoltaics Status 2011, Part 1 Data Collection (Table 30,31)</v>
      </c>
      <c r="P86" s="440">
        <f t="shared" si="67"/>
        <v>1.3806706114398399E-4</v>
      </c>
      <c r="Q86" s="336">
        <v>1</v>
      </c>
      <c r="R86" s="337">
        <f t="shared" si="50"/>
        <v>1.5688282451057278</v>
      </c>
      <c r="S86" s="455" t="str">
        <f t="shared" si="51"/>
        <v>(2,2,4,1,1,3); de Wild-Scholten (2014) Life Cycle Assessment of Photovoltaics Status 2011, Part 1 Data Collection (Table 30,31)</v>
      </c>
      <c r="T86" s="440">
        <f t="shared" si="68"/>
        <v>1.3806706114398399E-4</v>
      </c>
      <c r="U86" s="336">
        <v>1</v>
      </c>
      <c r="V86" s="337">
        <f t="shared" si="52"/>
        <v>1.5688282451057278</v>
      </c>
      <c r="W86" s="455" t="str">
        <f t="shared" si="53"/>
        <v>(2,2,4,1,1,3); de Wild-Scholten (2014) Life Cycle Assessment of Photovoltaics Status 2011, Part 1 Data Collection (Table 30,31)</v>
      </c>
      <c r="X86" s="440">
        <f t="shared" si="69"/>
        <v>1.3806706114398399E-4</v>
      </c>
      <c r="Y86" s="336">
        <v>1</v>
      </c>
      <c r="Z86" s="337">
        <f t="shared" si="54"/>
        <v>1.5688282451057278</v>
      </c>
      <c r="AA86" s="437" t="str">
        <f t="shared" si="55"/>
        <v>(2,2,4,1,1,3); de Wild-Scholten (2014) Life Cycle Assessment of Photovoltaics Status 2011, Part 1 Data Collection (Table 30,31)</v>
      </c>
      <c r="AB86" s="440">
        <v>0</v>
      </c>
      <c r="AC86" s="336">
        <v>1</v>
      </c>
      <c r="AD86" s="337">
        <f t="shared" si="56"/>
        <v>1.5</v>
      </c>
      <c r="AE86" s="455" t="str">
        <f t="shared" si="57"/>
        <v xml:space="preserve">(na,na,na,na,na,na); </v>
      </c>
      <c r="AF86" s="440">
        <v>0</v>
      </c>
      <c r="AG86" s="336">
        <v>1</v>
      </c>
      <c r="AH86" s="337">
        <f t="shared" si="65"/>
        <v>1.5688282451057278</v>
      </c>
      <c r="AI86" s="437" t="str">
        <f t="shared" si="58"/>
        <v xml:space="preserve">(na,na,na,na,na,na); </v>
      </c>
      <c r="AJ86" s="338"/>
      <c r="AK86" s="440">
        <v>1.3806706114398399E-4</v>
      </c>
      <c r="AL86" s="216" t="s">
        <v>1012</v>
      </c>
      <c r="AM86" s="83">
        <v>2</v>
      </c>
      <c r="AN86" s="83">
        <v>2</v>
      </c>
      <c r="AO86" s="83">
        <v>4</v>
      </c>
      <c r="AP86" s="83">
        <v>1</v>
      </c>
      <c r="AQ86" s="83">
        <v>1</v>
      </c>
      <c r="AR86" s="83">
        <v>3</v>
      </c>
      <c r="AS86" s="104">
        <v>31</v>
      </c>
      <c r="AT86" s="104">
        <v>1.5</v>
      </c>
      <c r="AU86" s="107">
        <f t="shared" si="59"/>
        <v>1.2164594125584303</v>
      </c>
      <c r="AV86" s="107">
        <f t="shared" si="60"/>
        <v>1.5688282451057278</v>
      </c>
      <c r="AW86" s="107" t="str">
        <f t="shared" si="61"/>
        <v>(2,2,4,1,1,3)</v>
      </c>
      <c r="AX86" s="108">
        <v>1.05</v>
      </c>
      <c r="AY86" s="108">
        <v>1.02</v>
      </c>
      <c r="AZ86" s="108">
        <v>1.2</v>
      </c>
      <c r="BA86" s="108">
        <v>1</v>
      </c>
      <c r="BB86" s="108">
        <v>1</v>
      </c>
      <c r="BC86" s="108">
        <v>1.05</v>
      </c>
      <c r="BE86" s="691"/>
      <c r="BF86" s="339" t="s">
        <v>106</v>
      </c>
      <c r="BG86" s="339" t="s">
        <v>106</v>
      </c>
      <c r="BH86" s="339" t="s">
        <v>106</v>
      </c>
      <c r="BI86" s="339" t="s">
        <v>106</v>
      </c>
      <c r="BJ86" s="339" t="s">
        <v>106</v>
      </c>
      <c r="BK86" s="339" t="s">
        <v>106</v>
      </c>
      <c r="BL86" s="104">
        <v>31</v>
      </c>
      <c r="BM86" s="104">
        <v>1.5</v>
      </c>
      <c r="BN86" s="107">
        <f t="shared" si="62"/>
        <v>1</v>
      </c>
      <c r="BO86" s="107">
        <f t="shared" si="63"/>
        <v>1.5</v>
      </c>
      <c r="BP86" s="107" t="str">
        <f t="shared" si="64"/>
        <v>(na,na,na,na,na,na)</v>
      </c>
      <c r="BQ86" s="108">
        <v>1</v>
      </c>
      <c r="BR86" s="108">
        <v>1</v>
      </c>
      <c r="BS86" s="108">
        <v>1</v>
      </c>
      <c r="BT86" s="108">
        <v>1</v>
      </c>
      <c r="BU86" s="108">
        <v>1</v>
      </c>
      <c r="BV86" s="108">
        <v>1</v>
      </c>
    </row>
    <row r="87" spans="1:74" s="171" customFormat="1" ht="24">
      <c r="A87" s="333">
        <v>32171</v>
      </c>
      <c r="B87" s="216"/>
      <c r="C87" s="334"/>
      <c r="D87" s="342" t="s">
        <v>98</v>
      </c>
      <c r="E87" s="343">
        <v>4</v>
      </c>
      <c r="F87" s="437" t="s">
        <v>354</v>
      </c>
      <c r="G87" s="438" t="s">
        <v>98</v>
      </c>
      <c r="H87" s="439" t="s">
        <v>247</v>
      </c>
      <c r="I87" s="439" t="s">
        <v>258</v>
      </c>
      <c r="J87" s="335" t="s">
        <v>98</v>
      </c>
      <c r="K87" s="438" t="s">
        <v>96</v>
      </c>
      <c r="L87" s="440">
        <f t="shared" si="66"/>
        <v>7.7251808021038807E-6</v>
      </c>
      <c r="M87" s="336">
        <v>1</v>
      </c>
      <c r="N87" s="337">
        <f t="shared" si="48"/>
        <v>5.0597743275872213</v>
      </c>
      <c r="O87" s="437" t="str">
        <f t="shared" si="49"/>
        <v>(2,2,4,1,1,3); de Wild-Scholten (2014) Life Cycle Assessment of Photovoltaics Status 2011, Part 1 Data Collection (Table 30,31)</v>
      </c>
      <c r="P87" s="440">
        <f t="shared" si="67"/>
        <v>7.7251808021038807E-6</v>
      </c>
      <c r="Q87" s="336">
        <v>1</v>
      </c>
      <c r="R87" s="337">
        <f t="shared" si="50"/>
        <v>5.0597743275872213</v>
      </c>
      <c r="S87" s="455" t="str">
        <f t="shared" si="51"/>
        <v>(2,2,4,1,1,3); de Wild-Scholten (2014) Life Cycle Assessment of Photovoltaics Status 2011, Part 1 Data Collection (Table 30,31)</v>
      </c>
      <c r="T87" s="440">
        <f t="shared" si="68"/>
        <v>7.7251808021038807E-6</v>
      </c>
      <c r="U87" s="336">
        <v>1</v>
      </c>
      <c r="V87" s="337">
        <f t="shared" si="52"/>
        <v>5.0597743275872213</v>
      </c>
      <c r="W87" s="455" t="str">
        <f t="shared" si="53"/>
        <v>(2,2,4,1,1,3); de Wild-Scholten (2014) Life Cycle Assessment of Photovoltaics Status 2011, Part 1 Data Collection (Table 30,31)</v>
      </c>
      <c r="X87" s="440">
        <f t="shared" si="69"/>
        <v>7.7251808021038807E-6</v>
      </c>
      <c r="Y87" s="336">
        <v>1</v>
      </c>
      <c r="Z87" s="337">
        <f t="shared" si="54"/>
        <v>5.0597743275872213</v>
      </c>
      <c r="AA87" s="437" t="str">
        <f t="shared" si="55"/>
        <v>(2,2,4,1,1,3); de Wild-Scholten (2014) Life Cycle Assessment of Photovoltaics Status 2011, Part 1 Data Collection (Table 30,31)</v>
      </c>
      <c r="AB87" s="440">
        <v>0</v>
      </c>
      <c r="AC87" s="336">
        <v>1</v>
      </c>
      <c r="AD87" s="337">
        <f t="shared" si="56"/>
        <v>4.9999999999999991</v>
      </c>
      <c r="AE87" s="455" t="str">
        <f t="shared" si="57"/>
        <v xml:space="preserve">(na,na,na,na,na,na); </v>
      </c>
      <c r="AF87" s="440">
        <v>0</v>
      </c>
      <c r="AG87" s="336">
        <v>1</v>
      </c>
      <c r="AH87" s="337">
        <f t="shared" si="65"/>
        <v>5.0597743275872213</v>
      </c>
      <c r="AI87" s="437" t="str">
        <f t="shared" si="58"/>
        <v xml:space="preserve">(na,na,na,na,na,na); </v>
      </c>
      <c r="AJ87" s="338"/>
      <c r="AK87" s="440">
        <v>7.7251808021038807E-6</v>
      </c>
      <c r="AL87" s="216" t="s">
        <v>1012</v>
      </c>
      <c r="AM87" s="83">
        <v>2</v>
      </c>
      <c r="AN87" s="83">
        <v>2</v>
      </c>
      <c r="AO87" s="83">
        <v>4</v>
      </c>
      <c r="AP87" s="83">
        <v>1</v>
      </c>
      <c r="AQ87" s="83">
        <v>1</v>
      </c>
      <c r="AR87" s="83">
        <v>3</v>
      </c>
      <c r="AS87" s="104">
        <v>22</v>
      </c>
      <c r="AT87" s="104">
        <v>5</v>
      </c>
      <c r="AU87" s="107">
        <f t="shared" si="59"/>
        <v>1.2164594125584303</v>
      </c>
      <c r="AV87" s="107">
        <f t="shared" si="60"/>
        <v>5.0597743275872213</v>
      </c>
      <c r="AW87" s="107" t="str">
        <f t="shared" si="61"/>
        <v>(2,2,4,1,1,3)</v>
      </c>
      <c r="AX87" s="108">
        <v>1.05</v>
      </c>
      <c r="AY87" s="108">
        <v>1.02</v>
      </c>
      <c r="AZ87" s="108">
        <v>1.2</v>
      </c>
      <c r="BA87" s="108">
        <v>1</v>
      </c>
      <c r="BB87" s="108">
        <v>1</v>
      </c>
      <c r="BC87" s="108">
        <v>1.05</v>
      </c>
      <c r="BE87" s="691"/>
      <c r="BF87" s="339" t="s">
        <v>106</v>
      </c>
      <c r="BG87" s="339" t="s">
        <v>106</v>
      </c>
      <c r="BH87" s="339" t="s">
        <v>106</v>
      </c>
      <c r="BI87" s="339" t="s">
        <v>106</v>
      </c>
      <c r="BJ87" s="339" t="s">
        <v>106</v>
      </c>
      <c r="BK87" s="339" t="s">
        <v>106</v>
      </c>
      <c r="BL87" s="104">
        <v>22</v>
      </c>
      <c r="BM87" s="104">
        <v>5</v>
      </c>
      <c r="BN87" s="107">
        <f t="shared" si="62"/>
        <v>1</v>
      </c>
      <c r="BO87" s="107">
        <f t="shared" si="63"/>
        <v>4.9999999999999991</v>
      </c>
      <c r="BP87" s="107" t="str">
        <f t="shared" si="64"/>
        <v>(na,na,na,na,na,na)</v>
      </c>
      <c r="BQ87" s="108">
        <v>1</v>
      </c>
      <c r="BR87" s="108">
        <v>1</v>
      </c>
      <c r="BS87" s="108">
        <v>1</v>
      </c>
      <c r="BT87" s="108">
        <v>1</v>
      </c>
      <c r="BU87" s="108">
        <v>1</v>
      </c>
      <c r="BV87" s="108">
        <v>1</v>
      </c>
    </row>
    <row r="88" spans="1:74" s="171" customFormat="1" ht="24">
      <c r="A88" s="333">
        <v>14622</v>
      </c>
      <c r="B88" s="216"/>
      <c r="C88" s="334"/>
      <c r="D88" s="342" t="s">
        <v>98</v>
      </c>
      <c r="E88" s="343">
        <v>4</v>
      </c>
      <c r="F88" s="437" t="s">
        <v>419</v>
      </c>
      <c r="G88" s="438" t="s">
        <v>98</v>
      </c>
      <c r="H88" s="439" t="s">
        <v>247</v>
      </c>
      <c r="I88" s="439" t="s">
        <v>258</v>
      </c>
      <c r="J88" s="335" t="s">
        <v>98</v>
      </c>
      <c r="K88" s="438" t="s">
        <v>96</v>
      </c>
      <c r="L88" s="440">
        <f t="shared" si="66"/>
        <v>3.1681459566074999E-8</v>
      </c>
      <c r="M88" s="336">
        <v>1</v>
      </c>
      <c r="N88" s="337">
        <f t="shared" si="48"/>
        <v>5.0597743275872213</v>
      </c>
      <c r="O88" s="437" t="str">
        <f t="shared" si="49"/>
        <v>(2,2,4,1,1,3); de Wild-Scholten (2014) Life Cycle Assessment of Photovoltaics Status 2011, Part 1 Data Collection (Table 30,31)</v>
      </c>
      <c r="P88" s="440">
        <f t="shared" si="67"/>
        <v>3.1681459566074999E-8</v>
      </c>
      <c r="Q88" s="336">
        <v>1</v>
      </c>
      <c r="R88" s="337">
        <f t="shared" si="50"/>
        <v>5.0597743275872213</v>
      </c>
      <c r="S88" s="455" t="str">
        <f t="shared" si="51"/>
        <v>(2,2,4,1,1,3); de Wild-Scholten (2014) Life Cycle Assessment of Photovoltaics Status 2011, Part 1 Data Collection (Table 30,31)</v>
      </c>
      <c r="T88" s="440">
        <f t="shared" si="68"/>
        <v>3.1681459566074999E-8</v>
      </c>
      <c r="U88" s="336">
        <v>1</v>
      </c>
      <c r="V88" s="337">
        <f t="shared" si="52"/>
        <v>5.0597743275872213</v>
      </c>
      <c r="W88" s="455" t="str">
        <f t="shared" si="53"/>
        <v>(2,2,4,1,1,3); de Wild-Scholten (2014) Life Cycle Assessment of Photovoltaics Status 2011, Part 1 Data Collection (Table 30,31)</v>
      </c>
      <c r="X88" s="440">
        <f t="shared" si="69"/>
        <v>3.1681459566074999E-8</v>
      </c>
      <c r="Y88" s="336">
        <v>1</v>
      </c>
      <c r="Z88" s="337">
        <f t="shared" si="54"/>
        <v>5.0597743275872213</v>
      </c>
      <c r="AA88" s="437" t="str">
        <f t="shared" si="55"/>
        <v>(2,2,4,1,1,3); de Wild-Scholten (2014) Life Cycle Assessment of Photovoltaics Status 2011, Part 1 Data Collection (Table 30,31)</v>
      </c>
      <c r="AB88" s="440">
        <v>0</v>
      </c>
      <c r="AC88" s="336">
        <v>1</v>
      </c>
      <c r="AD88" s="337">
        <f t="shared" si="56"/>
        <v>4.9999999999999991</v>
      </c>
      <c r="AE88" s="455" t="str">
        <f t="shared" si="57"/>
        <v xml:space="preserve">(na,na,na,na,na,na); </v>
      </c>
      <c r="AF88" s="440">
        <v>0</v>
      </c>
      <c r="AG88" s="336">
        <v>1</v>
      </c>
      <c r="AH88" s="337">
        <f t="shared" si="65"/>
        <v>5.0597743275872213</v>
      </c>
      <c r="AI88" s="437" t="str">
        <f t="shared" si="58"/>
        <v xml:space="preserve">(na,na,na,na,na,na); </v>
      </c>
      <c r="AJ88" s="338"/>
      <c r="AK88" s="440">
        <v>3.1681459566074999E-8</v>
      </c>
      <c r="AL88" s="216" t="s">
        <v>1012</v>
      </c>
      <c r="AM88" s="83">
        <v>2</v>
      </c>
      <c r="AN88" s="83">
        <v>2</v>
      </c>
      <c r="AO88" s="83">
        <v>4</v>
      </c>
      <c r="AP88" s="83">
        <v>1</v>
      </c>
      <c r="AQ88" s="83">
        <v>1</v>
      </c>
      <c r="AR88" s="83">
        <v>3</v>
      </c>
      <c r="AS88" s="104">
        <v>22</v>
      </c>
      <c r="AT88" s="104">
        <v>5</v>
      </c>
      <c r="AU88" s="107">
        <f t="shared" si="59"/>
        <v>1.2164594125584303</v>
      </c>
      <c r="AV88" s="107">
        <f t="shared" si="60"/>
        <v>5.0597743275872213</v>
      </c>
      <c r="AW88" s="107" t="str">
        <f t="shared" si="61"/>
        <v>(2,2,4,1,1,3)</v>
      </c>
      <c r="AX88" s="108">
        <v>1.05</v>
      </c>
      <c r="AY88" s="108">
        <v>1.02</v>
      </c>
      <c r="AZ88" s="108">
        <v>1.2</v>
      </c>
      <c r="BA88" s="108">
        <v>1</v>
      </c>
      <c r="BB88" s="108">
        <v>1</v>
      </c>
      <c r="BC88" s="108">
        <v>1.05</v>
      </c>
      <c r="BE88" s="691"/>
      <c r="BF88" s="339" t="s">
        <v>106</v>
      </c>
      <c r="BG88" s="339" t="s">
        <v>106</v>
      </c>
      <c r="BH88" s="339" t="s">
        <v>106</v>
      </c>
      <c r="BI88" s="339" t="s">
        <v>106</v>
      </c>
      <c r="BJ88" s="339" t="s">
        <v>106</v>
      </c>
      <c r="BK88" s="339" t="s">
        <v>106</v>
      </c>
      <c r="BL88" s="104">
        <v>22</v>
      </c>
      <c r="BM88" s="104">
        <v>5</v>
      </c>
      <c r="BN88" s="107">
        <f t="shared" si="62"/>
        <v>1</v>
      </c>
      <c r="BO88" s="107">
        <f t="shared" si="63"/>
        <v>4.9999999999999991</v>
      </c>
      <c r="BP88" s="107" t="str">
        <f t="shared" si="64"/>
        <v>(na,na,na,na,na,na)</v>
      </c>
      <c r="BQ88" s="108">
        <v>1</v>
      </c>
      <c r="BR88" s="108">
        <v>1</v>
      </c>
      <c r="BS88" s="108">
        <v>1</v>
      </c>
      <c r="BT88" s="108">
        <v>1</v>
      </c>
      <c r="BU88" s="108">
        <v>1</v>
      </c>
      <c r="BV88" s="108">
        <v>1</v>
      </c>
    </row>
    <row r="89" spans="1:74" s="171" customFormat="1" ht="24">
      <c r="A89" s="333">
        <v>90879</v>
      </c>
      <c r="B89" s="216"/>
      <c r="C89" s="334"/>
      <c r="D89" s="342" t="s">
        <v>98</v>
      </c>
      <c r="E89" s="343">
        <v>4</v>
      </c>
      <c r="F89" s="437" t="s">
        <v>1013</v>
      </c>
      <c r="G89" s="438" t="s">
        <v>98</v>
      </c>
      <c r="H89" s="439" t="s">
        <v>247</v>
      </c>
      <c r="I89" s="439" t="s">
        <v>258</v>
      </c>
      <c r="J89" s="335" t="s">
        <v>98</v>
      </c>
      <c r="K89" s="438" t="s">
        <v>96</v>
      </c>
      <c r="L89" s="440">
        <f t="shared" si="66"/>
        <v>7.7251808021038807E-6</v>
      </c>
      <c r="M89" s="336">
        <v>1</v>
      </c>
      <c r="N89" s="337">
        <f t="shared" si="48"/>
        <v>5.0597743275872213</v>
      </c>
      <c r="O89" s="437" t="str">
        <f t="shared" si="49"/>
        <v>(2,2,4,1,1,3); de Wild-Scholten (2014) Life Cycle Assessment of Photovoltaics Status 2011, Part 1 Data Collection (Table 30,31)</v>
      </c>
      <c r="P89" s="440">
        <f t="shared" si="67"/>
        <v>7.7251808021038807E-6</v>
      </c>
      <c r="Q89" s="336">
        <v>1</v>
      </c>
      <c r="R89" s="337">
        <f t="shared" si="50"/>
        <v>5.0597743275872213</v>
      </c>
      <c r="S89" s="455" t="str">
        <f t="shared" si="51"/>
        <v>(2,2,4,1,1,3); de Wild-Scholten (2014) Life Cycle Assessment of Photovoltaics Status 2011, Part 1 Data Collection (Table 30,31)</v>
      </c>
      <c r="T89" s="440">
        <f t="shared" si="68"/>
        <v>7.7251808021038807E-6</v>
      </c>
      <c r="U89" s="336">
        <v>1</v>
      </c>
      <c r="V89" s="337">
        <f t="shared" si="52"/>
        <v>5.0597743275872213</v>
      </c>
      <c r="W89" s="455" t="str">
        <f t="shared" si="53"/>
        <v>(2,2,4,1,1,3); de Wild-Scholten (2014) Life Cycle Assessment of Photovoltaics Status 2011, Part 1 Data Collection (Table 30,31)</v>
      </c>
      <c r="X89" s="440">
        <f t="shared" si="69"/>
        <v>7.7251808021038807E-6</v>
      </c>
      <c r="Y89" s="336">
        <v>1</v>
      </c>
      <c r="Z89" s="337">
        <f t="shared" si="54"/>
        <v>5.0597743275872213</v>
      </c>
      <c r="AA89" s="437" t="str">
        <f t="shared" si="55"/>
        <v>(2,2,4,1,1,3); de Wild-Scholten (2014) Life Cycle Assessment of Photovoltaics Status 2011, Part 1 Data Collection (Table 30,31)</v>
      </c>
      <c r="AB89" s="440">
        <v>0</v>
      </c>
      <c r="AC89" s="336">
        <v>1</v>
      </c>
      <c r="AD89" s="337">
        <f t="shared" si="56"/>
        <v>4.9999999999999991</v>
      </c>
      <c r="AE89" s="455" t="str">
        <f t="shared" si="57"/>
        <v xml:space="preserve">(na,na,na,na,na,na); </v>
      </c>
      <c r="AF89" s="440">
        <v>0</v>
      </c>
      <c r="AG89" s="336">
        <v>1</v>
      </c>
      <c r="AH89" s="337">
        <f t="shared" si="65"/>
        <v>5.0597743275872213</v>
      </c>
      <c r="AI89" s="437" t="str">
        <f t="shared" si="58"/>
        <v xml:space="preserve">(na,na,na,na,na,na); </v>
      </c>
      <c r="AJ89" s="338"/>
      <c r="AK89" s="440">
        <v>7.7251808021038807E-6</v>
      </c>
      <c r="AL89" s="216" t="s">
        <v>1012</v>
      </c>
      <c r="AM89" s="83">
        <v>2</v>
      </c>
      <c r="AN89" s="83">
        <v>2</v>
      </c>
      <c r="AO89" s="83">
        <v>4</v>
      </c>
      <c r="AP89" s="83">
        <v>1</v>
      </c>
      <c r="AQ89" s="83">
        <v>1</v>
      </c>
      <c r="AR89" s="83">
        <v>3</v>
      </c>
      <c r="AS89" s="104">
        <v>22</v>
      </c>
      <c r="AT89" s="104">
        <v>5</v>
      </c>
      <c r="AU89" s="107">
        <f t="shared" si="59"/>
        <v>1.2164594125584303</v>
      </c>
      <c r="AV89" s="107">
        <f t="shared" si="60"/>
        <v>5.0597743275872213</v>
      </c>
      <c r="AW89" s="107" t="str">
        <f t="shared" si="61"/>
        <v>(2,2,4,1,1,3)</v>
      </c>
      <c r="AX89" s="108">
        <v>1.05</v>
      </c>
      <c r="AY89" s="108">
        <v>1.02</v>
      </c>
      <c r="AZ89" s="108">
        <v>1.2</v>
      </c>
      <c r="BA89" s="108">
        <v>1</v>
      </c>
      <c r="BB89" s="108">
        <v>1</v>
      </c>
      <c r="BC89" s="108">
        <v>1.05</v>
      </c>
      <c r="BE89" s="691"/>
      <c r="BF89" s="339" t="s">
        <v>106</v>
      </c>
      <c r="BG89" s="339" t="s">
        <v>106</v>
      </c>
      <c r="BH89" s="339" t="s">
        <v>106</v>
      </c>
      <c r="BI89" s="339" t="s">
        <v>106</v>
      </c>
      <c r="BJ89" s="339" t="s">
        <v>106</v>
      </c>
      <c r="BK89" s="339" t="s">
        <v>106</v>
      </c>
      <c r="BL89" s="104">
        <v>22</v>
      </c>
      <c r="BM89" s="104">
        <v>5</v>
      </c>
      <c r="BN89" s="107">
        <f t="shared" si="62"/>
        <v>1</v>
      </c>
      <c r="BO89" s="107">
        <f t="shared" si="63"/>
        <v>4.9999999999999991</v>
      </c>
      <c r="BP89" s="107" t="str">
        <f t="shared" si="64"/>
        <v>(na,na,na,na,na,na)</v>
      </c>
      <c r="BQ89" s="108">
        <v>1</v>
      </c>
      <c r="BR89" s="108">
        <v>1</v>
      </c>
      <c r="BS89" s="108">
        <v>1</v>
      </c>
      <c r="BT89" s="108">
        <v>1</v>
      </c>
      <c r="BU89" s="108">
        <v>1</v>
      </c>
      <c r="BV89" s="108">
        <v>1</v>
      </c>
    </row>
    <row r="90" spans="1:74" s="171" customFormat="1" ht="24">
      <c r="A90" s="333">
        <v>34143</v>
      </c>
      <c r="B90" s="216"/>
      <c r="C90" s="334"/>
      <c r="D90" s="342" t="s">
        <v>98</v>
      </c>
      <c r="E90" s="343">
        <v>4</v>
      </c>
      <c r="F90" s="437" t="s">
        <v>422</v>
      </c>
      <c r="G90" s="438" t="s">
        <v>98</v>
      </c>
      <c r="H90" s="439" t="s">
        <v>247</v>
      </c>
      <c r="I90" s="439" t="s">
        <v>258</v>
      </c>
      <c r="J90" s="335" t="s">
        <v>98</v>
      </c>
      <c r="K90" s="438" t="s">
        <v>96</v>
      </c>
      <c r="L90" s="440">
        <f t="shared" si="66"/>
        <v>7.7251808021038807E-6</v>
      </c>
      <c r="M90" s="336">
        <v>1</v>
      </c>
      <c r="N90" s="337">
        <f t="shared" si="48"/>
        <v>5.0597743275872213</v>
      </c>
      <c r="O90" s="437" t="str">
        <f t="shared" si="49"/>
        <v>(2,2,4,1,1,3); de Wild-Scholten (2014) Life Cycle Assessment of Photovoltaics Status 2011, Part 1 Data Collection (Table 30,31)</v>
      </c>
      <c r="P90" s="440">
        <f t="shared" si="67"/>
        <v>7.7251808021038807E-6</v>
      </c>
      <c r="Q90" s="336">
        <v>1</v>
      </c>
      <c r="R90" s="337">
        <f t="shared" si="50"/>
        <v>5.0597743275872213</v>
      </c>
      <c r="S90" s="455" t="str">
        <f t="shared" si="51"/>
        <v>(2,2,4,1,1,3); de Wild-Scholten (2014) Life Cycle Assessment of Photovoltaics Status 2011, Part 1 Data Collection (Table 30,31)</v>
      </c>
      <c r="T90" s="440">
        <f t="shared" si="68"/>
        <v>7.7251808021038807E-6</v>
      </c>
      <c r="U90" s="336">
        <v>1</v>
      </c>
      <c r="V90" s="337">
        <f t="shared" si="52"/>
        <v>5.0597743275872213</v>
      </c>
      <c r="W90" s="455" t="str">
        <f t="shared" si="53"/>
        <v>(2,2,4,1,1,3); de Wild-Scholten (2014) Life Cycle Assessment of Photovoltaics Status 2011, Part 1 Data Collection (Table 30,31)</v>
      </c>
      <c r="X90" s="440">
        <f t="shared" si="69"/>
        <v>7.7251808021038807E-6</v>
      </c>
      <c r="Y90" s="336">
        <v>1</v>
      </c>
      <c r="Z90" s="337">
        <f t="shared" si="54"/>
        <v>5.0597743275872213</v>
      </c>
      <c r="AA90" s="437" t="str">
        <f t="shared" si="55"/>
        <v>(2,2,4,1,1,3); de Wild-Scholten (2014) Life Cycle Assessment of Photovoltaics Status 2011, Part 1 Data Collection (Table 30,31)</v>
      </c>
      <c r="AB90" s="440">
        <v>0</v>
      </c>
      <c r="AC90" s="336">
        <v>1</v>
      </c>
      <c r="AD90" s="337">
        <f t="shared" si="56"/>
        <v>4.9999999999999991</v>
      </c>
      <c r="AE90" s="455" t="str">
        <f t="shared" si="57"/>
        <v xml:space="preserve">(na,na,na,na,na,na); </v>
      </c>
      <c r="AF90" s="440">
        <v>0</v>
      </c>
      <c r="AG90" s="336">
        <v>1</v>
      </c>
      <c r="AH90" s="337">
        <f t="shared" si="65"/>
        <v>5.0597743275872213</v>
      </c>
      <c r="AI90" s="437" t="str">
        <f t="shared" si="58"/>
        <v xml:space="preserve">(na,na,na,na,na,na); </v>
      </c>
      <c r="AJ90" s="338"/>
      <c r="AK90" s="440">
        <v>7.7251808021038807E-6</v>
      </c>
      <c r="AL90" s="216" t="s">
        <v>1012</v>
      </c>
      <c r="AM90" s="83">
        <v>2</v>
      </c>
      <c r="AN90" s="83">
        <v>2</v>
      </c>
      <c r="AO90" s="83">
        <v>4</v>
      </c>
      <c r="AP90" s="83">
        <v>1</v>
      </c>
      <c r="AQ90" s="83">
        <v>1</v>
      </c>
      <c r="AR90" s="83">
        <v>3</v>
      </c>
      <c r="AS90" s="104">
        <v>22</v>
      </c>
      <c r="AT90" s="104">
        <v>5</v>
      </c>
      <c r="AU90" s="107">
        <f t="shared" si="59"/>
        <v>1.2164594125584303</v>
      </c>
      <c r="AV90" s="107">
        <f t="shared" si="60"/>
        <v>5.0597743275872213</v>
      </c>
      <c r="AW90" s="107" t="str">
        <f t="shared" si="61"/>
        <v>(2,2,4,1,1,3)</v>
      </c>
      <c r="AX90" s="108">
        <v>1.05</v>
      </c>
      <c r="AY90" s="108">
        <v>1.02</v>
      </c>
      <c r="AZ90" s="108">
        <v>1.2</v>
      </c>
      <c r="BA90" s="108">
        <v>1</v>
      </c>
      <c r="BB90" s="108">
        <v>1</v>
      </c>
      <c r="BC90" s="108">
        <v>1.05</v>
      </c>
      <c r="BE90" s="691"/>
      <c r="BF90" s="339" t="s">
        <v>106</v>
      </c>
      <c r="BG90" s="339" t="s">
        <v>106</v>
      </c>
      <c r="BH90" s="339" t="s">
        <v>106</v>
      </c>
      <c r="BI90" s="339" t="s">
        <v>106</v>
      </c>
      <c r="BJ90" s="339" t="s">
        <v>106</v>
      </c>
      <c r="BK90" s="339" t="s">
        <v>106</v>
      </c>
      <c r="BL90" s="104">
        <v>22</v>
      </c>
      <c r="BM90" s="104">
        <v>5</v>
      </c>
      <c r="BN90" s="107">
        <f t="shared" si="62"/>
        <v>1</v>
      </c>
      <c r="BO90" s="107">
        <f t="shared" si="63"/>
        <v>4.9999999999999991</v>
      </c>
      <c r="BP90" s="107" t="str">
        <f t="shared" si="64"/>
        <v>(na,na,na,na,na,na)</v>
      </c>
      <c r="BQ90" s="108">
        <v>1</v>
      </c>
      <c r="BR90" s="108">
        <v>1</v>
      </c>
      <c r="BS90" s="108">
        <v>1</v>
      </c>
      <c r="BT90" s="108">
        <v>1</v>
      </c>
      <c r="BU90" s="108">
        <v>1</v>
      </c>
      <c r="BV90" s="108">
        <v>1</v>
      </c>
    </row>
    <row r="91" spans="1:74" s="171" customFormat="1" ht="24">
      <c r="A91" s="333">
        <v>32351</v>
      </c>
      <c r="B91" s="216"/>
      <c r="C91" s="334"/>
      <c r="D91" s="342" t="s">
        <v>98</v>
      </c>
      <c r="E91" s="343">
        <v>4</v>
      </c>
      <c r="F91" s="437" t="s">
        <v>127</v>
      </c>
      <c r="G91" s="438" t="s">
        <v>98</v>
      </c>
      <c r="H91" s="439" t="s">
        <v>247</v>
      </c>
      <c r="I91" s="439" t="s">
        <v>258</v>
      </c>
      <c r="J91" s="335" t="s">
        <v>98</v>
      </c>
      <c r="K91" s="438" t="s">
        <v>96</v>
      </c>
      <c r="L91" s="440">
        <f t="shared" si="66"/>
        <v>3.7310979618671901E-5</v>
      </c>
      <c r="M91" s="336">
        <v>1</v>
      </c>
      <c r="N91" s="337">
        <f t="shared" si="48"/>
        <v>1.3068869189023089</v>
      </c>
      <c r="O91" s="437" t="str">
        <f t="shared" si="49"/>
        <v>(2,2,4,1,1,3); de Wild-Scholten (2014) Life Cycle Assessment of Photovoltaics Status 2011, Part 1 Data Collection (Table 30,31)</v>
      </c>
      <c r="P91" s="440">
        <f t="shared" si="67"/>
        <v>3.7310979618671901E-5</v>
      </c>
      <c r="Q91" s="336">
        <v>1</v>
      </c>
      <c r="R91" s="337">
        <f t="shared" si="50"/>
        <v>1.3068869189023089</v>
      </c>
      <c r="S91" s="455" t="str">
        <f t="shared" si="51"/>
        <v>(2,2,4,1,1,3); de Wild-Scholten (2014) Life Cycle Assessment of Photovoltaics Status 2011, Part 1 Data Collection (Table 30,31)</v>
      </c>
      <c r="T91" s="440">
        <f t="shared" si="68"/>
        <v>3.7310979618671901E-5</v>
      </c>
      <c r="U91" s="336">
        <v>1</v>
      </c>
      <c r="V91" s="337">
        <f t="shared" si="52"/>
        <v>1.3068869189023089</v>
      </c>
      <c r="W91" s="455" t="str">
        <f t="shared" si="53"/>
        <v>(2,2,4,1,1,3); de Wild-Scholten (2014) Life Cycle Assessment of Photovoltaics Status 2011, Part 1 Data Collection (Table 30,31)</v>
      </c>
      <c r="X91" s="440">
        <f t="shared" si="69"/>
        <v>3.7310979618671901E-5</v>
      </c>
      <c r="Y91" s="336">
        <v>1</v>
      </c>
      <c r="Z91" s="337">
        <f t="shared" si="54"/>
        <v>1.3068869189023089</v>
      </c>
      <c r="AA91" s="437" t="str">
        <f t="shared" si="55"/>
        <v>(2,2,4,1,1,3); de Wild-Scholten (2014) Life Cycle Assessment of Photovoltaics Status 2011, Part 1 Data Collection (Table 30,31)</v>
      </c>
      <c r="AB91" s="440">
        <v>0</v>
      </c>
      <c r="AC91" s="336">
        <v>1</v>
      </c>
      <c r="AD91" s="337">
        <f t="shared" si="56"/>
        <v>1.2</v>
      </c>
      <c r="AE91" s="455" t="str">
        <f t="shared" si="57"/>
        <v xml:space="preserve">(na,na,na,na,na,na); </v>
      </c>
      <c r="AF91" s="440">
        <v>0</v>
      </c>
      <c r="AG91" s="336">
        <v>1</v>
      </c>
      <c r="AH91" s="337">
        <f t="shared" si="65"/>
        <v>1.3068869189023089</v>
      </c>
      <c r="AI91" s="437" t="str">
        <f t="shared" si="58"/>
        <v xml:space="preserve">(na,na,na,na,na,na); </v>
      </c>
      <c r="AJ91" s="338"/>
      <c r="AK91" s="440">
        <v>3.7310979618671901E-5</v>
      </c>
      <c r="AL91" s="216" t="s">
        <v>1012</v>
      </c>
      <c r="AM91" s="83">
        <v>2</v>
      </c>
      <c r="AN91" s="83">
        <v>2</v>
      </c>
      <c r="AO91" s="83">
        <v>4</v>
      </c>
      <c r="AP91" s="83">
        <v>1</v>
      </c>
      <c r="AQ91" s="83">
        <v>1</v>
      </c>
      <c r="AR91" s="83">
        <v>3</v>
      </c>
      <c r="AS91" s="104">
        <v>28</v>
      </c>
      <c r="AT91" s="104">
        <v>1.2</v>
      </c>
      <c r="AU91" s="107">
        <f t="shared" si="59"/>
        <v>1.2164594125584303</v>
      </c>
      <c r="AV91" s="107">
        <f t="shared" si="60"/>
        <v>1.3068869189023089</v>
      </c>
      <c r="AW91" s="107" t="str">
        <f t="shared" si="61"/>
        <v>(2,2,4,1,1,3)</v>
      </c>
      <c r="AX91" s="108">
        <v>1.05</v>
      </c>
      <c r="AY91" s="108">
        <v>1.02</v>
      </c>
      <c r="AZ91" s="108">
        <v>1.2</v>
      </c>
      <c r="BA91" s="108">
        <v>1</v>
      </c>
      <c r="BB91" s="108">
        <v>1</v>
      </c>
      <c r="BC91" s="108">
        <v>1.05</v>
      </c>
      <c r="BE91" s="691"/>
      <c r="BF91" s="339" t="s">
        <v>106</v>
      </c>
      <c r="BG91" s="339" t="s">
        <v>106</v>
      </c>
      <c r="BH91" s="339" t="s">
        <v>106</v>
      </c>
      <c r="BI91" s="339" t="s">
        <v>106</v>
      </c>
      <c r="BJ91" s="339" t="s">
        <v>106</v>
      </c>
      <c r="BK91" s="339" t="s">
        <v>106</v>
      </c>
      <c r="BL91" s="104">
        <v>28</v>
      </c>
      <c r="BM91" s="104">
        <v>1.2</v>
      </c>
      <c r="BN91" s="107">
        <f t="shared" si="62"/>
        <v>1</v>
      </c>
      <c r="BO91" s="107">
        <f t="shared" si="63"/>
        <v>1.2</v>
      </c>
      <c r="BP91" s="107" t="str">
        <f t="shared" si="64"/>
        <v>(na,na,na,na,na,na)</v>
      </c>
      <c r="BQ91" s="108">
        <v>1</v>
      </c>
      <c r="BR91" s="108">
        <v>1</v>
      </c>
      <c r="BS91" s="108">
        <v>1</v>
      </c>
      <c r="BT91" s="108">
        <v>1</v>
      </c>
      <c r="BU91" s="108">
        <v>1</v>
      </c>
      <c r="BV91" s="108">
        <v>1</v>
      </c>
    </row>
    <row r="92" spans="1:74" s="171" customFormat="1" ht="24">
      <c r="A92" s="333">
        <v>90275</v>
      </c>
      <c r="B92" s="216"/>
      <c r="C92" s="334"/>
      <c r="D92" s="342" t="s">
        <v>98</v>
      </c>
      <c r="E92" s="343">
        <v>4</v>
      </c>
      <c r="F92" s="437" t="s">
        <v>259</v>
      </c>
      <c r="G92" s="438" t="s">
        <v>98</v>
      </c>
      <c r="H92" s="439" t="s">
        <v>247</v>
      </c>
      <c r="I92" s="439" t="s">
        <v>258</v>
      </c>
      <c r="J92" s="335" t="s">
        <v>98</v>
      </c>
      <c r="K92" s="438" t="s">
        <v>96</v>
      </c>
      <c r="L92" s="440">
        <f t="shared" si="66"/>
        <v>0.16683103221564799</v>
      </c>
      <c r="M92" s="336">
        <v>1</v>
      </c>
      <c r="N92" s="337">
        <f t="shared" si="48"/>
        <v>1.2237593405947058</v>
      </c>
      <c r="O92" s="437" t="str">
        <f t="shared" si="49"/>
        <v>(2,2,4,1,1,3); de Wild-Scholten (2014) Life Cycle Assessment of Photovoltaics Status 2011, Part 1 Data Collection (Table 30,31)</v>
      </c>
      <c r="P92" s="440">
        <f t="shared" si="67"/>
        <v>0.16683103221564799</v>
      </c>
      <c r="Q92" s="336">
        <v>1</v>
      </c>
      <c r="R92" s="337">
        <f t="shared" si="50"/>
        <v>1.2237593405947058</v>
      </c>
      <c r="S92" s="455" t="str">
        <f t="shared" si="51"/>
        <v>(2,2,4,1,1,3); de Wild-Scholten (2014) Life Cycle Assessment of Photovoltaics Status 2011, Part 1 Data Collection (Table 30,31)</v>
      </c>
      <c r="T92" s="440">
        <f t="shared" si="68"/>
        <v>0.16683103221564799</v>
      </c>
      <c r="U92" s="336">
        <v>1</v>
      </c>
      <c r="V92" s="337">
        <f t="shared" si="52"/>
        <v>1.2237593405947058</v>
      </c>
      <c r="W92" s="455" t="str">
        <f t="shared" si="53"/>
        <v>(2,2,4,1,1,3); de Wild-Scholten (2014) Life Cycle Assessment of Photovoltaics Status 2011, Part 1 Data Collection (Table 30,31)</v>
      </c>
      <c r="X92" s="440">
        <f t="shared" si="69"/>
        <v>0.16683103221564799</v>
      </c>
      <c r="Y92" s="336">
        <v>1</v>
      </c>
      <c r="Z92" s="337">
        <f t="shared" si="54"/>
        <v>1.2237593405947058</v>
      </c>
      <c r="AA92" s="437" t="str">
        <f t="shared" si="55"/>
        <v>(2,2,4,1,1,3); de Wild-Scholten (2014) Life Cycle Assessment of Photovoltaics Status 2011, Part 1 Data Collection (Table 30,31)</v>
      </c>
      <c r="AB92" s="440">
        <v>0</v>
      </c>
      <c r="AC92" s="336">
        <v>1</v>
      </c>
      <c r="AD92" s="337">
        <f t="shared" si="56"/>
        <v>1.05</v>
      </c>
      <c r="AE92" s="455" t="str">
        <f t="shared" si="57"/>
        <v xml:space="preserve">(na,na,na,na,na,na); </v>
      </c>
      <c r="AF92" s="440">
        <v>0</v>
      </c>
      <c r="AG92" s="336">
        <v>1</v>
      </c>
      <c r="AH92" s="337">
        <f t="shared" si="65"/>
        <v>1.2237593405947058</v>
      </c>
      <c r="AI92" s="437" t="str">
        <f t="shared" si="58"/>
        <v xml:space="preserve">(na,na,na,na,na,na); </v>
      </c>
      <c r="AJ92" s="338"/>
      <c r="AK92" s="440">
        <v>0.16683103221564799</v>
      </c>
      <c r="AL92" s="216" t="s">
        <v>1012</v>
      </c>
      <c r="AM92" s="83">
        <v>2</v>
      </c>
      <c r="AN92" s="83">
        <v>2</v>
      </c>
      <c r="AO92" s="83">
        <v>4</v>
      </c>
      <c r="AP92" s="83">
        <v>1</v>
      </c>
      <c r="AQ92" s="83">
        <v>1</v>
      </c>
      <c r="AR92" s="83">
        <v>3</v>
      </c>
      <c r="AS92" s="104">
        <v>14</v>
      </c>
      <c r="AT92" s="104">
        <v>1.05</v>
      </c>
      <c r="AU92" s="107">
        <f t="shared" si="59"/>
        <v>1.2164594125584303</v>
      </c>
      <c r="AV92" s="107">
        <f t="shared" si="60"/>
        <v>1.2237593405947058</v>
      </c>
      <c r="AW92" s="107" t="str">
        <f t="shared" si="61"/>
        <v>(2,2,4,1,1,3)</v>
      </c>
      <c r="AX92" s="108">
        <v>1.05</v>
      </c>
      <c r="AY92" s="108">
        <v>1.02</v>
      </c>
      <c r="AZ92" s="108">
        <v>1.2</v>
      </c>
      <c r="BA92" s="108">
        <v>1</v>
      </c>
      <c r="BB92" s="108">
        <v>1</v>
      </c>
      <c r="BC92" s="108">
        <v>1.05</v>
      </c>
      <c r="BE92" s="691"/>
      <c r="BF92" s="339" t="s">
        <v>106</v>
      </c>
      <c r="BG92" s="339" t="s">
        <v>106</v>
      </c>
      <c r="BH92" s="339" t="s">
        <v>106</v>
      </c>
      <c r="BI92" s="339" t="s">
        <v>106</v>
      </c>
      <c r="BJ92" s="339" t="s">
        <v>106</v>
      </c>
      <c r="BK92" s="339" t="s">
        <v>106</v>
      </c>
      <c r="BL92" s="104">
        <v>14</v>
      </c>
      <c r="BM92" s="104">
        <v>1.05</v>
      </c>
      <c r="BN92" s="107">
        <f t="shared" si="62"/>
        <v>1</v>
      </c>
      <c r="BO92" s="107">
        <f t="shared" si="63"/>
        <v>1.05</v>
      </c>
      <c r="BP92" s="107" t="str">
        <f t="shared" si="64"/>
        <v>(na,na,na,na,na,na)</v>
      </c>
      <c r="BQ92" s="108">
        <v>1</v>
      </c>
      <c r="BR92" s="108">
        <v>1</v>
      </c>
      <c r="BS92" s="108">
        <v>1</v>
      </c>
      <c r="BT92" s="108">
        <v>1</v>
      </c>
      <c r="BU92" s="108">
        <v>1</v>
      </c>
      <c r="BV92" s="108">
        <v>1</v>
      </c>
    </row>
    <row r="93" spans="1:74" s="171" customFormat="1" ht="24">
      <c r="A93" s="333">
        <v>2178</v>
      </c>
      <c r="B93" s="216"/>
      <c r="C93" s="334"/>
      <c r="D93" s="342" t="s">
        <v>98</v>
      </c>
      <c r="E93" s="343">
        <v>4</v>
      </c>
      <c r="F93" s="437" t="s">
        <v>413</v>
      </c>
      <c r="G93" s="438" t="s">
        <v>98</v>
      </c>
      <c r="H93" s="439" t="s">
        <v>247</v>
      </c>
      <c r="I93" s="439" t="s">
        <v>258</v>
      </c>
      <c r="J93" s="335" t="s">
        <v>98</v>
      </c>
      <c r="K93" s="438" t="s">
        <v>96</v>
      </c>
      <c r="L93" s="440">
        <f t="shared" si="66"/>
        <v>4.6022353714661403E-5</v>
      </c>
      <c r="M93" s="336">
        <v>1</v>
      </c>
      <c r="N93" s="337">
        <f t="shared" si="48"/>
        <v>1.5688282451057278</v>
      </c>
      <c r="O93" s="437" t="str">
        <f t="shared" si="49"/>
        <v>(2,2,4,1,1,3); de Wild-Scholten (2014) Life Cycle Assessment of Photovoltaics Status 2011, Part 1 Data Collection (Table 30,31)</v>
      </c>
      <c r="P93" s="440">
        <f t="shared" si="67"/>
        <v>4.6022353714661403E-5</v>
      </c>
      <c r="Q93" s="336">
        <v>1</v>
      </c>
      <c r="R93" s="337">
        <f t="shared" si="50"/>
        <v>1.5688282451057278</v>
      </c>
      <c r="S93" s="455" t="str">
        <f t="shared" si="51"/>
        <v>(2,2,4,1,1,3); de Wild-Scholten (2014) Life Cycle Assessment of Photovoltaics Status 2011, Part 1 Data Collection (Table 30,31)</v>
      </c>
      <c r="T93" s="440">
        <f t="shared" si="68"/>
        <v>4.6022353714661403E-5</v>
      </c>
      <c r="U93" s="336">
        <v>1</v>
      </c>
      <c r="V93" s="337">
        <f t="shared" si="52"/>
        <v>1.5688282451057278</v>
      </c>
      <c r="W93" s="455" t="str">
        <f t="shared" si="53"/>
        <v>(2,2,4,1,1,3); de Wild-Scholten (2014) Life Cycle Assessment of Photovoltaics Status 2011, Part 1 Data Collection (Table 30,31)</v>
      </c>
      <c r="X93" s="440">
        <f t="shared" si="69"/>
        <v>4.6022353714661403E-5</v>
      </c>
      <c r="Y93" s="336">
        <v>1</v>
      </c>
      <c r="Z93" s="337">
        <f t="shared" si="54"/>
        <v>1.5688282451057278</v>
      </c>
      <c r="AA93" s="437" t="str">
        <f t="shared" si="55"/>
        <v>(2,2,4,1,1,3); de Wild-Scholten (2014) Life Cycle Assessment of Photovoltaics Status 2011, Part 1 Data Collection (Table 30,31)</v>
      </c>
      <c r="AB93" s="440">
        <v>0</v>
      </c>
      <c r="AC93" s="336">
        <v>1</v>
      </c>
      <c r="AD93" s="337">
        <f t="shared" si="56"/>
        <v>1.5</v>
      </c>
      <c r="AE93" s="455" t="str">
        <f t="shared" si="57"/>
        <v xml:space="preserve">(na,na,na,na,na,na); </v>
      </c>
      <c r="AF93" s="440">
        <v>0</v>
      </c>
      <c r="AG93" s="336">
        <v>1</v>
      </c>
      <c r="AH93" s="337">
        <f t="shared" si="65"/>
        <v>1.5688282451057278</v>
      </c>
      <c r="AI93" s="437" t="str">
        <f t="shared" si="58"/>
        <v xml:space="preserve">(na,na,na,na,na,na); </v>
      </c>
      <c r="AJ93" s="338"/>
      <c r="AK93" s="440">
        <v>4.6022353714661403E-5</v>
      </c>
      <c r="AL93" s="216" t="s">
        <v>1012</v>
      </c>
      <c r="AM93" s="83">
        <v>2</v>
      </c>
      <c r="AN93" s="83">
        <v>2</v>
      </c>
      <c r="AO93" s="83">
        <v>4</v>
      </c>
      <c r="AP93" s="83">
        <v>1</v>
      </c>
      <c r="AQ93" s="83">
        <v>1</v>
      </c>
      <c r="AR93" s="83">
        <v>3</v>
      </c>
      <c r="AS93" s="104">
        <v>31</v>
      </c>
      <c r="AT93" s="104">
        <v>1.5</v>
      </c>
      <c r="AU93" s="107">
        <f t="shared" si="59"/>
        <v>1.2164594125584303</v>
      </c>
      <c r="AV93" s="107">
        <f t="shared" si="60"/>
        <v>1.5688282451057278</v>
      </c>
      <c r="AW93" s="107" t="str">
        <f t="shared" si="61"/>
        <v>(2,2,4,1,1,3)</v>
      </c>
      <c r="AX93" s="108">
        <v>1.05</v>
      </c>
      <c r="AY93" s="108">
        <v>1.02</v>
      </c>
      <c r="AZ93" s="108">
        <v>1.2</v>
      </c>
      <c r="BA93" s="108">
        <v>1</v>
      </c>
      <c r="BB93" s="108">
        <v>1</v>
      </c>
      <c r="BC93" s="108">
        <v>1.05</v>
      </c>
      <c r="BE93" s="691"/>
      <c r="BF93" s="339" t="s">
        <v>106</v>
      </c>
      <c r="BG93" s="339" t="s">
        <v>106</v>
      </c>
      <c r="BH93" s="339" t="s">
        <v>106</v>
      </c>
      <c r="BI93" s="339" t="s">
        <v>106</v>
      </c>
      <c r="BJ93" s="339" t="s">
        <v>106</v>
      </c>
      <c r="BK93" s="339" t="s">
        <v>106</v>
      </c>
      <c r="BL93" s="104">
        <v>31</v>
      </c>
      <c r="BM93" s="104">
        <v>1.5</v>
      </c>
      <c r="BN93" s="107">
        <f t="shared" si="62"/>
        <v>1</v>
      </c>
      <c r="BO93" s="107">
        <f t="shared" si="63"/>
        <v>1.5</v>
      </c>
      <c r="BP93" s="107" t="str">
        <f t="shared" si="64"/>
        <v>(na,na,na,na,na,na)</v>
      </c>
      <c r="BQ93" s="108">
        <v>1</v>
      </c>
      <c r="BR93" s="108">
        <v>1</v>
      </c>
      <c r="BS93" s="108">
        <v>1</v>
      </c>
      <c r="BT93" s="108">
        <v>1</v>
      </c>
      <c r="BU93" s="108">
        <v>1</v>
      </c>
      <c r="BV93" s="108">
        <v>1</v>
      </c>
    </row>
    <row r="94" spans="1:74" s="171" customFormat="1" ht="24">
      <c r="A94" s="333">
        <v>6467</v>
      </c>
      <c r="B94" s="216"/>
      <c r="C94" s="334"/>
      <c r="D94" s="342" t="s">
        <v>98</v>
      </c>
      <c r="E94" s="343">
        <v>4</v>
      </c>
      <c r="F94" s="437" t="s">
        <v>1014</v>
      </c>
      <c r="G94" s="438" t="s">
        <v>98</v>
      </c>
      <c r="H94" s="439" t="s">
        <v>247</v>
      </c>
      <c r="I94" s="439" t="s">
        <v>258</v>
      </c>
      <c r="J94" s="335" t="s">
        <v>98</v>
      </c>
      <c r="K94" s="438" t="s">
        <v>96</v>
      </c>
      <c r="L94" s="440">
        <f t="shared" si="66"/>
        <v>1.1012491781722601E-2</v>
      </c>
      <c r="M94" s="336">
        <v>1</v>
      </c>
      <c r="N94" s="337">
        <f t="shared" si="48"/>
        <v>1.5688282451057278</v>
      </c>
      <c r="O94" s="437" t="str">
        <f t="shared" si="49"/>
        <v>(2,2,4,1,1,3); de Wild-Scholten (2014) Life Cycle Assessment of Photovoltaics Status 2011, Part 1 Data Collection (Table 30,31)</v>
      </c>
      <c r="P94" s="440">
        <f t="shared" si="67"/>
        <v>1.1012491781722601E-2</v>
      </c>
      <c r="Q94" s="336">
        <v>1</v>
      </c>
      <c r="R94" s="337">
        <f t="shared" si="50"/>
        <v>1.5688282451057278</v>
      </c>
      <c r="S94" s="455" t="str">
        <f t="shared" si="51"/>
        <v>(2,2,4,1,1,3); de Wild-Scholten (2014) Life Cycle Assessment of Photovoltaics Status 2011, Part 1 Data Collection (Table 30,31)</v>
      </c>
      <c r="T94" s="440">
        <f t="shared" si="68"/>
        <v>1.1012491781722601E-2</v>
      </c>
      <c r="U94" s="336">
        <v>1</v>
      </c>
      <c r="V94" s="337">
        <f t="shared" si="52"/>
        <v>1.5688282451057278</v>
      </c>
      <c r="W94" s="455" t="str">
        <f t="shared" si="53"/>
        <v>(2,2,4,1,1,3); de Wild-Scholten (2014) Life Cycle Assessment of Photovoltaics Status 2011, Part 1 Data Collection (Table 30,31)</v>
      </c>
      <c r="X94" s="440">
        <f t="shared" si="69"/>
        <v>1.1012491781722601E-2</v>
      </c>
      <c r="Y94" s="336">
        <v>1</v>
      </c>
      <c r="Z94" s="337">
        <f t="shared" si="54"/>
        <v>1.5688282451057278</v>
      </c>
      <c r="AA94" s="437" t="str">
        <f t="shared" si="55"/>
        <v>(2,2,4,1,1,3); de Wild-Scholten (2014) Life Cycle Assessment of Photovoltaics Status 2011, Part 1 Data Collection (Table 30,31)</v>
      </c>
      <c r="AB94" s="440">
        <v>0</v>
      </c>
      <c r="AC94" s="336">
        <v>1</v>
      </c>
      <c r="AD94" s="337">
        <f t="shared" si="56"/>
        <v>1.5</v>
      </c>
      <c r="AE94" s="455" t="str">
        <f t="shared" si="57"/>
        <v xml:space="preserve">(na,na,na,na,na,na); </v>
      </c>
      <c r="AF94" s="440">
        <v>0</v>
      </c>
      <c r="AG94" s="336">
        <v>1</v>
      </c>
      <c r="AH94" s="337">
        <f t="shared" si="65"/>
        <v>1.5688282451057278</v>
      </c>
      <c r="AI94" s="437" t="str">
        <f t="shared" si="58"/>
        <v xml:space="preserve">(na,na,na,na,na,na); </v>
      </c>
      <c r="AJ94" s="338"/>
      <c r="AK94" s="440">
        <v>1.1012491781722601E-2</v>
      </c>
      <c r="AL94" s="216" t="s">
        <v>1012</v>
      </c>
      <c r="AM94" s="83">
        <v>2</v>
      </c>
      <c r="AN94" s="83">
        <v>2</v>
      </c>
      <c r="AO94" s="83">
        <v>4</v>
      </c>
      <c r="AP94" s="83">
        <v>1</v>
      </c>
      <c r="AQ94" s="83">
        <v>1</v>
      </c>
      <c r="AR94" s="83">
        <v>3</v>
      </c>
      <c r="AS94" s="104">
        <v>31</v>
      </c>
      <c r="AT94" s="104">
        <v>1.5</v>
      </c>
      <c r="AU94" s="107">
        <f t="shared" si="59"/>
        <v>1.2164594125584303</v>
      </c>
      <c r="AV94" s="107">
        <f t="shared" si="60"/>
        <v>1.5688282451057278</v>
      </c>
      <c r="AW94" s="107" t="str">
        <f t="shared" si="61"/>
        <v>(2,2,4,1,1,3)</v>
      </c>
      <c r="AX94" s="108">
        <v>1.05</v>
      </c>
      <c r="AY94" s="108">
        <v>1.02</v>
      </c>
      <c r="AZ94" s="108">
        <v>1.2</v>
      </c>
      <c r="BA94" s="108">
        <v>1</v>
      </c>
      <c r="BB94" s="108">
        <v>1</v>
      </c>
      <c r="BC94" s="108">
        <v>1.05</v>
      </c>
      <c r="BE94" s="691"/>
      <c r="BF94" s="339" t="s">
        <v>106</v>
      </c>
      <c r="BG94" s="339" t="s">
        <v>106</v>
      </c>
      <c r="BH94" s="339" t="s">
        <v>106</v>
      </c>
      <c r="BI94" s="339" t="s">
        <v>106</v>
      </c>
      <c r="BJ94" s="339" t="s">
        <v>106</v>
      </c>
      <c r="BK94" s="339" t="s">
        <v>106</v>
      </c>
      <c r="BL94" s="104">
        <v>31</v>
      </c>
      <c r="BM94" s="104">
        <v>1.5</v>
      </c>
      <c r="BN94" s="107">
        <f t="shared" si="62"/>
        <v>1</v>
      </c>
      <c r="BO94" s="107">
        <f t="shared" si="63"/>
        <v>1.5</v>
      </c>
      <c r="BP94" s="107" t="str">
        <f t="shared" si="64"/>
        <v>(na,na,na,na,na,na)</v>
      </c>
      <c r="BQ94" s="108">
        <v>1</v>
      </c>
      <c r="BR94" s="108">
        <v>1</v>
      </c>
      <c r="BS94" s="108">
        <v>1</v>
      </c>
      <c r="BT94" s="108">
        <v>1</v>
      </c>
      <c r="BU94" s="108">
        <v>1</v>
      </c>
      <c r="BV94" s="108">
        <v>1</v>
      </c>
    </row>
    <row r="95" spans="1:74" s="171" customFormat="1" ht="24">
      <c r="A95" s="333">
        <v>63639</v>
      </c>
      <c r="B95" s="216"/>
      <c r="C95" s="334"/>
      <c r="D95" s="342" t="s">
        <v>98</v>
      </c>
      <c r="E95" s="343">
        <v>4</v>
      </c>
      <c r="F95" s="437" t="s">
        <v>1015</v>
      </c>
      <c r="G95" s="438" t="s">
        <v>98</v>
      </c>
      <c r="H95" s="439" t="s">
        <v>247</v>
      </c>
      <c r="I95" s="439" t="s">
        <v>258</v>
      </c>
      <c r="J95" s="335" t="s">
        <v>98</v>
      </c>
      <c r="K95" s="438" t="s">
        <v>96</v>
      </c>
      <c r="L95" s="440">
        <f t="shared" si="66"/>
        <v>1.47107166337936E-2</v>
      </c>
      <c r="M95" s="336">
        <v>1</v>
      </c>
      <c r="N95" s="337">
        <f t="shared" si="48"/>
        <v>1.5688282451057278</v>
      </c>
      <c r="O95" s="437" t="str">
        <f t="shared" si="49"/>
        <v>(2,2,4,1,1,3); de Wild-Scholten (2014) Life Cycle Assessment of Photovoltaics Status 2011, Part 1 Data Collection (Table 30,31)</v>
      </c>
      <c r="P95" s="440">
        <f t="shared" si="67"/>
        <v>1.47107166337936E-2</v>
      </c>
      <c r="Q95" s="336">
        <v>1</v>
      </c>
      <c r="R95" s="337">
        <f t="shared" si="50"/>
        <v>1.5688282451057278</v>
      </c>
      <c r="S95" s="455" t="str">
        <f t="shared" si="51"/>
        <v>(2,2,4,1,1,3); de Wild-Scholten (2014) Life Cycle Assessment of Photovoltaics Status 2011, Part 1 Data Collection (Table 30,31)</v>
      </c>
      <c r="T95" s="440">
        <f t="shared" si="68"/>
        <v>1.47107166337936E-2</v>
      </c>
      <c r="U95" s="336">
        <v>1</v>
      </c>
      <c r="V95" s="337">
        <f t="shared" si="52"/>
        <v>1.5688282451057278</v>
      </c>
      <c r="W95" s="455" t="str">
        <f t="shared" si="53"/>
        <v>(2,2,4,1,1,3); de Wild-Scholten (2014) Life Cycle Assessment of Photovoltaics Status 2011, Part 1 Data Collection (Table 30,31)</v>
      </c>
      <c r="X95" s="440">
        <f t="shared" si="69"/>
        <v>1.47107166337936E-2</v>
      </c>
      <c r="Y95" s="336">
        <v>1</v>
      </c>
      <c r="Z95" s="337">
        <f t="shared" si="54"/>
        <v>1.5688282451057278</v>
      </c>
      <c r="AA95" s="437" t="str">
        <f t="shared" si="55"/>
        <v>(2,2,4,1,1,3); de Wild-Scholten (2014) Life Cycle Assessment of Photovoltaics Status 2011, Part 1 Data Collection (Table 30,31)</v>
      </c>
      <c r="AB95" s="440">
        <v>0</v>
      </c>
      <c r="AC95" s="336">
        <v>1</v>
      </c>
      <c r="AD95" s="337">
        <f t="shared" si="56"/>
        <v>1.5</v>
      </c>
      <c r="AE95" s="455" t="str">
        <f t="shared" si="57"/>
        <v xml:space="preserve">(na,na,na,na,na,na); </v>
      </c>
      <c r="AF95" s="440">
        <v>0</v>
      </c>
      <c r="AG95" s="336">
        <v>1</v>
      </c>
      <c r="AH95" s="337">
        <f t="shared" si="65"/>
        <v>1.5688282451057278</v>
      </c>
      <c r="AI95" s="437" t="str">
        <f t="shared" si="58"/>
        <v xml:space="preserve">(na,na,na,na,na,na); </v>
      </c>
      <c r="AJ95" s="338"/>
      <c r="AK95" s="440">
        <v>1.47107166337936E-2</v>
      </c>
      <c r="AL95" s="216" t="s">
        <v>1012</v>
      </c>
      <c r="AM95" s="83">
        <v>2</v>
      </c>
      <c r="AN95" s="83">
        <v>2</v>
      </c>
      <c r="AO95" s="83">
        <v>4</v>
      </c>
      <c r="AP95" s="83">
        <v>1</v>
      </c>
      <c r="AQ95" s="83">
        <v>1</v>
      </c>
      <c r="AR95" s="83">
        <v>3</v>
      </c>
      <c r="AS95" s="104">
        <v>18</v>
      </c>
      <c r="AT95" s="104">
        <v>1.5</v>
      </c>
      <c r="AU95" s="107">
        <f t="shared" si="59"/>
        <v>1.2164594125584303</v>
      </c>
      <c r="AV95" s="107">
        <f t="shared" si="60"/>
        <v>1.5688282451057278</v>
      </c>
      <c r="AW95" s="107" t="str">
        <f t="shared" si="61"/>
        <v>(2,2,4,1,1,3)</v>
      </c>
      <c r="AX95" s="108">
        <v>1.05</v>
      </c>
      <c r="AY95" s="108">
        <v>1.02</v>
      </c>
      <c r="AZ95" s="108">
        <v>1.2</v>
      </c>
      <c r="BA95" s="108">
        <v>1</v>
      </c>
      <c r="BB95" s="108">
        <v>1</v>
      </c>
      <c r="BC95" s="108">
        <v>1.05</v>
      </c>
      <c r="BE95" s="691"/>
      <c r="BF95" s="339" t="s">
        <v>106</v>
      </c>
      <c r="BG95" s="339" t="s">
        <v>106</v>
      </c>
      <c r="BH95" s="339" t="s">
        <v>106</v>
      </c>
      <c r="BI95" s="339" t="s">
        <v>106</v>
      </c>
      <c r="BJ95" s="339" t="s">
        <v>106</v>
      </c>
      <c r="BK95" s="339" t="s">
        <v>106</v>
      </c>
      <c r="BL95" s="104">
        <v>18</v>
      </c>
      <c r="BM95" s="104">
        <v>1.5</v>
      </c>
      <c r="BN95" s="107">
        <f t="shared" si="62"/>
        <v>1</v>
      </c>
      <c r="BO95" s="107">
        <f t="shared" si="63"/>
        <v>1.5</v>
      </c>
      <c r="BP95" s="107" t="str">
        <f t="shared" si="64"/>
        <v>(na,na,na,na,na,na)</v>
      </c>
      <c r="BQ95" s="108">
        <v>1</v>
      </c>
      <c r="BR95" s="108">
        <v>1</v>
      </c>
      <c r="BS95" s="108">
        <v>1</v>
      </c>
      <c r="BT95" s="108">
        <v>1</v>
      </c>
      <c r="BU95" s="108">
        <v>1</v>
      </c>
      <c r="BV95" s="108">
        <v>1</v>
      </c>
    </row>
    <row r="96" spans="1:74" s="171" customFormat="1" ht="24">
      <c r="A96" s="333">
        <v>63065</v>
      </c>
      <c r="B96" s="216"/>
      <c r="C96" s="334"/>
      <c r="D96" s="342" t="s">
        <v>98</v>
      </c>
      <c r="E96" s="343">
        <v>4</v>
      </c>
      <c r="F96" s="437" t="s">
        <v>1016</v>
      </c>
      <c r="G96" s="438" t="s">
        <v>98</v>
      </c>
      <c r="H96" s="439" t="s">
        <v>247</v>
      </c>
      <c r="I96" s="439" t="s">
        <v>258</v>
      </c>
      <c r="J96" s="335" t="s">
        <v>98</v>
      </c>
      <c r="K96" s="438" t="s">
        <v>96</v>
      </c>
      <c r="L96" s="440">
        <f t="shared" si="66"/>
        <v>6.3280736357659395E-4</v>
      </c>
      <c r="M96" s="336">
        <v>1</v>
      </c>
      <c r="N96" s="337">
        <f t="shared" si="48"/>
        <v>1.5688282451057278</v>
      </c>
      <c r="O96" s="437" t="str">
        <f t="shared" si="49"/>
        <v>(2,2,4,1,1,3); de Wild-Scholten (2014) Life Cycle Assessment of Photovoltaics Status 2011, Part 1 Data Collection (Table 30,31)</v>
      </c>
      <c r="P96" s="440">
        <f t="shared" si="67"/>
        <v>6.3280736357659395E-4</v>
      </c>
      <c r="Q96" s="336">
        <v>1</v>
      </c>
      <c r="R96" s="337">
        <f t="shared" si="50"/>
        <v>1.5688282451057278</v>
      </c>
      <c r="S96" s="455" t="str">
        <f t="shared" si="51"/>
        <v>(2,2,4,1,1,3); de Wild-Scholten (2014) Life Cycle Assessment of Photovoltaics Status 2011, Part 1 Data Collection (Table 30,31)</v>
      </c>
      <c r="T96" s="440">
        <f t="shared" si="68"/>
        <v>6.3280736357659395E-4</v>
      </c>
      <c r="U96" s="336">
        <v>1</v>
      </c>
      <c r="V96" s="337">
        <f t="shared" si="52"/>
        <v>1.5688282451057278</v>
      </c>
      <c r="W96" s="455" t="str">
        <f t="shared" si="53"/>
        <v>(2,2,4,1,1,3); de Wild-Scholten (2014) Life Cycle Assessment of Photovoltaics Status 2011, Part 1 Data Collection (Table 30,31)</v>
      </c>
      <c r="X96" s="440">
        <f t="shared" si="69"/>
        <v>6.3280736357659395E-4</v>
      </c>
      <c r="Y96" s="336">
        <v>1</v>
      </c>
      <c r="Z96" s="337">
        <f t="shared" si="54"/>
        <v>1.5688282451057278</v>
      </c>
      <c r="AA96" s="437" t="str">
        <f t="shared" si="55"/>
        <v>(2,2,4,1,1,3); de Wild-Scholten (2014) Life Cycle Assessment of Photovoltaics Status 2011, Part 1 Data Collection (Table 30,31)</v>
      </c>
      <c r="AB96" s="440">
        <v>0</v>
      </c>
      <c r="AC96" s="336">
        <v>1</v>
      </c>
      <c r="AD96" s="337">
        <f t="shared" si="56"/>
        <v>1.5</v>
      </c>
      <c r="AE96" s="455" t="str">
        <f t="shared" si="57"/>
        <v xml:space="preserve">(na,na,na,na,na,na); </v>
      </c>
      <c r="AF96" s="440">
        <v>0</v>
      </c>
      <c r="AG96" s="336">
        <v>1</v>
      </c>
      <c r="AH96" s="337">
        <f t="shared" si="65"/>
        <v>1.5688282451057278</v>
      </c>
      <c r="AI96" s="437" t="str">
        <f t="shared" si="58"/>
        <v xml:space="preserve">(na,na,na,na,na,na); </v>
      </c>
      <c r="AJ96" s="338"/>
      <c r="AK96" s="440">
        <v>6.3280736357659395E-4</v>
      </c>
      <c r="AL96" s="216" t="s">
        <v>1012</v>
      </c>
      <c r="AM96" s="83">
        <v>2</v>
      </c>
      <c r="AN96" s="83">
        <v>2</v>
      </c>
      <c r="AO96" s="83">
        <v>4</v>
      </c>
      <c r="AP96" s="83">
        <v>1</v>
      </c>
      <c r="AQ96" s="83">
        <v>1</v>
      </c>
      <c r="AR96" s="83">
        <v>3</v>
      </c>
      <c r="AS96" s="104">
        <v>18</v>
      </c>
      <c r="AT96" s="104">
        <v>1.5</v>
      </c>
      <c r="AU96" s="107">
        <f t="shared" si="59"/>
        <v>1.2164594125584303</v>
      </c>
      <c r="AV96" s="107">
        <f t="shared" si="60"/>
        <v>1.5688282451057278</v>
      </c>
      <c r="AW96" s="107" t="str">
        <f t="shared" si="61"/>
        <v>(2,2,4,1,1,3)</v>
      </c>
      <c r="AX96" s="108">
        <v>1.05</v>
      </c>
      <c r="AY96" s="108">
        <v>1.02</v>
      </c>
      <c r="AZ96" s="108">
        <v>1.2</v>
      </c>
      <c r="BA96" s="108">
        <v>1</v>
      </c>
      <c r="BB96" s="108">
        <v>1</v>
      </c>
      <c r="BC96" s="108">
        <v>1.05</v>
      </c>
      <c r="BE96" s="691"/>
      <c r="BF96" s="339" t="s">
        <v>106</v>
      </c>
      <c r="BG96" s="339" t="s">
        <v>106</v>
      </c>
      <c r="BH96" s="339" t="s">
        <v>106</v>
      </c>
      <c r="BI96" s="339" t="s">
        <v>106</v>
      </c>
      <c r="BJ96" s="339" t="s">
        <v>106</v>
      </c>
      <c r="BK96" s="339" t="s">
        <v>106</v>
      </c>
      <c r="BL96" s="104">
        <v>18</v>
      </c>
      <c r="BM96" s="104">
        <v>1.5</v>
      </c>
      <c r="BN96" s="107">
        <f t="shared" si="62"/>
        <v>1</v>
      </c>
      <c r="BO96" s="107">
        <f t="shared" si="63"/>
        <v>1.5</v>
      </c>
      <c r="BP96" s="107" t="str">
        <f t="shared" si="64"/>
        <v>(na,na,na,na,na,na)</v>
      </c>
      <c r="BQ96" s="108">
        <v>1</v>
      </c>
      <c r="BR96" s="108">
        <v>1</v>
      </c>
      <c r="BS96" s="108">
        <v>1</v>
      </c>
      <c r="BT96" s="108">
        <v>1</v>
      </c>
      <c r="BU96" s="108">
        <v>1</v>
      </c>
      <c r="BV96" s="108">
        <v>1</v>
      </c>
    </row>
    <row r="97" spans="1:74" s="171" customFormat="1" ht="24">
      <c r="A97" s="333">
        <v>90397</v>
      </c>
      <c r="B97" s="216"/>
      <c r="C97" s="334"/>
      <c r="D97" s="342" t="s">
        <v>98</v>
      </c>
      <c r="E97" s="343">
        <v>4</v>
      </c>
      <c r="F97" s="437" t="s">
        <v>1017</v>
      </c>
      <c r="G97" s="438" t="s">
        <v>98</v>
      </c>
      <c r="H97" s="439" t="s">
        <v>247</v>
      </c>
      <c r="I97" s="439" t="s">
        <v>258</v>
      </c>
      <c r="J97" s="335" t="s">
        <v>98</v>
      </c>
      <c r="K97" s="438" t="s">
        <v>96</v>
      </c>
      <c r="L97" s="440">
        <f t="shared" si="66"/>
        <v>3.1188362919132097E-5</v>
      </c>
      <c r="M97" s="336">
        <v>1</v>
      </c>
      <c r="N97" s="337">
        <f t="shared" si="48"/>
        <v>1.5688282451057278</v>
      </c>
      <c r="O97" s="437" t="str">
        <f t="shared" si="49"/>
        <v>(2,2,4,1,1,3); de Wild-Scholten (2014) Life Cycle Assessment of Photovoltaics Status 2011, Part 1 Data Collection (Table 30,31)</v>
      </c>
      <c r="P97" s="440">
        <f t="shared" si="67"/>
        <v>3.1188362919132097E-5</v>
      </c>
      <c r="Q97" s="336">
        <v>1</v>
      </c>
      <c r="R97" s="337">
        <f t="shared" si="50"/>
        <v>1.5688282451057278</v>
      </c>
      <c r="S97" s="455" t="str">
        <f t="shared" si="51"/>
        <v>(2,2,4,1,1,3); de Wild-Scholten (2014) Life Cycle Assessment of Photovoltaics Status 2011, Part 1 Data Collection (Table 30,31)</v>
      </c>
      <c r="T97" s="440">
        <f t="shared" si="68"/>
        <v>3.1188362919132097E-5</v>
      </c>
      <c r="U97" s="336">
        <v>1</v>
      </c>
      <c r="V97" s="337">
        <f t="shared" si="52"/>
        <v>1.5688282451057278</v>
      </c>
      <c r="W97" s="455" t="str">
        <f t="shared" si="53"/>
        <v>(2,2,4,1,1,3); de Wild-Scholten (2014) Life Cycle Assessment of Photovoltaics Status 2011, Part 1 Data Collection (Table 30,31)</v>
      </c>
      <c r="X97" s="440">
        <f t="shared" si="69"/>
        <v>3.1188362919132097E-5</v>
      </c>
      <c r="Y97" s="336">
        <v>1</v>
      </c>
      <c r="Z97" s="337">
        <f t="shared" si="54"/>
        <v>1.5688282451057278</v>
      </c>
      <c r="AA97" s="437" t="str">
        <f t="shared" si="55"/>
        <v>(2,2,4,1,1,3); de Wild-Scholten (2014) Life Cycle Assessment of Photovoltaics Status 2011, Part 1 Data Collection (Table 30,31)</v>
      </c>
      <c r="AB97" s="440">
        <v>0</v>
      </c>
      <c r="AC97" s="336">
        <v>1</v>
      </c>
      <c r="AD97" s="337">
        <f t="shared" si="56"/>
        <v>1.5</v>
      </c>
      <c r="AE97" s="455" t="str">
        <f t="shared" si="57"/>
        <v xml:space="preserve">(na,na,na,na,na,na); </v>
      </c>
      <c r="AF97" s="440">
        <v>0</v>
      </c>
      <c r="AG97" s="336">
        <v>1</v>
      </c>
      <c r="AH97" s="337">
        <f t="shared" si="65"/>
        <v>1.5688282451057278</v>
      </c>
      <c r="AI97" s="437" t="str">
        <f t="shared" si="58"/>
        <v xml:space="preserve">(na,na,na,na,na,na); </v>
      </c>
      <c r="AJ97" s="338"/>
      <c r="AK97" s="440">
        <v>3.1188362919132097E-5</v>
      </c>
      <c r="AL97" s="216" t="s">
        <v>1012</v>
      </c>
      <c r="AM97" s="83">
        <v>2</v>
      </c>
      <c r="AN97" s="83">
        <v>2</v>
      </c>
      <c r="AO97" s="83">
        <v>4</v>
      </c>
      <c r="AP97" s="83">
        <v>1</v>
      </c>
      <c r="AQ97" s="83">
        <v>1</v>
      </c>
      <c r="AR97" s="83">
        <v>3</v>
      </c>
      <c r="AS97" s="104">
        <v>18</v>
      </c>
      <c r="AT97" s="104">
        <v>1.5</v>
      </c>
      <c r="AU97" s="107">
        <f t="shared" si="59"/>
        <v>1.2164594125584303</v>
      </c>
      <c r="AV97" s="107">
        <f t="shared" si="60"/>
        <v>1.5688282451057278</v>
      </c>
      <c r="AW97" s="107" t="str">
        <f t="shared" si="61"/>
        <v>(2,2,4,1,1,3)</v>
      </c>
      <c r="AX97" s="108">
        <v>1.05</v>
      </c>
      <c r="AY97" s="108">
        <v>1.02</v>
      </c>
      <c r="AZ97" s="108">
        <v>1.2</v>
      </c>
      <c r="BA97" s="108">
        <v>1</v>
      </c>
      <c r="BB97" s="108">
        <v>1</v>
      </c>
      <c r="BC97" s="108">
        <v>1.05</v>
      </c>
      <c r="BE97" s="691"/>
      <c r="BF97" s="339" t="s">
        <v>106</v>
      </c>
      <c r="BG97" s="339" t="s">
        <v>106</v>
      </c>
      <c r="BH97" s="339" t="s">
        <v>106</v>
      </c>
      <c r="BI97" s="339" t="s">
        <v>106</v>
      </c>
      <c r="BJ97" s="339" t="s">
        <v>106</v>
      </c>
      <c r="BK97" s="339" t="s">
        <v>106</v>
      </c>
      <c r="BL97" s="104">
        <v>18</v>
      </c>
      <c r="BM97" s="104">
        <v>1.5</v>
      </c>
      <c r="BN97" s="107">
        <f t="shared" si="62"/>
        <v>1</v>
      </c>
      <c r="BO97" s="107">
        <f t="shared" si="63"/>
        <v>1.5</v>
      </c>
      <c r="BP97" s="107" t="str">
        <f t="shared" si="64"/>
        <v>(na,na,na,na,na,na)</v>
      </c>
      <c r="BQ97" s="108">
        <v>1</v>
      </c>
      <c r="BR97" s="108">
        <v>1</v>
      </c>
      <c r="BS97" s="108">
        <v>1</v>
      </c>
      <c r="BT97" s="108">
        <v>1</v>
      </c>
      <c r="BU97" s="108">
        <v>1</v>
      </c>
      <c r="BV97" s="108">
        <v>1</v>
      </c>
    </row>
    <row r="98" spans="1:74" s="171" customFormat="1" ht="24">
      <c r="A98" s="333">
        <v>14622</v>
      </c>
      <c r="B98" s="216"/>
      <c r="C98" s="334"/>
      <c r="D98" s="342" t="s">
        <v>98</v>
      </c>
      <c r="E98" s="343">
        <v>4</v>
      </c>
      <c r="F98" s="437" t="s">
        <v>419</v>
      </c>
      <c r="G98" s="438" t="s">
        <v>98</v>
      </c>
      <c r="H98" s="439" t="s">
        <v>247</v>
      </c>
      <c r="I98" s="439" t="s">
        <v>258</v>
      </c>
      <c r="J98" s="335" t="s">
        <v>98</v>
      </c>
      <c r="K98" s="438" t="s">
        <v>96</v>
      </c>
      <c r="L98" s="440">
        <f t="shared" si="66"/>
        <v>3.3284023668638999E-4</v>
      </c>
      <c r="M98" s="336">
        <v>1</v>
      </c>
      <c r="N98" s="337">
        <f t="shared" si="48"/>
        <v>5.0597743275872213</v>
      </c>
      <c r="O98" s="437" t="str">
        <f t="shared" si="49"/>
        <v>(2,2,4,1,1,3); de Wild-Scholten (2014) Life Cycle Assessment of Photovoltaics Status 2011, Part 1 Data Collection (Table 30,31)</v>
      </c>
      <c r="P98" s="440">
        <f t="shared" si="67"/>
        <v>3.3284023668638999E-4</v>
      </c>
      <c r="Q98" s="336">
        <v>1</v>
      </c>
      <c r="R98" s="337">
        <f t="shared" si="50"/>
        <v>5.0597743275872213</v>
      </c>
      <c r="S98" s="455" t="str">
        <f t="shared" si="51"/>
        <v>(2,2,4,1,1,3); de Wild-Scholten (2014) Life Cycle Assessment of Photovoltaics Status 2011, Part 1 Data Collection (Table 30,31)</v>
      </c>
      <c r="T98" s="440">
        <f t="shared" si="68"/>
        <v>3.3284023668638999E-4</v>
      </c>
      <c r="U98" s="336">
        <v>1</v>
      </c>
      <c r="V98" s="337">
        <f t="shared" si="52"/>
        <v>5.0597743275872213</v>
      </c>
      <c r="W98" s="455" t="str">
        <f t="shared" si="53"/>
        <v>(2,2,4,1,1,3); de Wild-Scholten (2014) Life Cycle Assessment of Photovoltaics Status 2011, Part 1 Data Collection (Table 30,31)</v>
      </c>
      <c r="X98" s="440">
        <f t="shared" si="69"/>
        <v>3.3284023668638999E-4</v>
      </c>
      <c r="Y98" s="336">
        <v>1</v>
      </c>
      <c r="Z98" s="337">
        <f t="shared" si="54"/>
        <v>5.0597743275872213</v>
      </c>
      <c r="AA98" s="437" t="str">
        <f t="shared" si="55"/>
        <v>(2,2,4,1,1,3); de Wild-Scholten (2014) Life Cycle Assessment of Photovoltaics Status 2011, Part 1 Data Collection (Table 30,31)</v>
      </c>
      <c r="AB98" s="440">
        <v>0</v>
      </c>
      <c r="AC98" s="336">
        <v>1</v>
      </c>
      <c r="AD98" s="337">
        <f t="shared" si="56"/>
        <v>4.9999999999999991</v>
      </c>
      <c r="AE98" s="455" t="str">
        <f t="shared" si="57"/>
        <v xml:space="preserve">(na,na,na,na,na,na); </v>
      </c>
      <c r="AF98" s="440">
        <v>0</v>
      </c>
      <c r="AG98" s="336">
        <v>1</v>
      </c>
      <c r="AH98" s="337">
        <f t="shared" si="65"/>
        <v>5.0597743275872213</v>
      </c>
      <c r="AI98" s="437" t="str">
        <f t="shared" si="58"/>
        <v xml:space="preserve">(na,na,na,na,na,na); </v>
      </c>
      <c r="AJ98" s="338"/>
      <c r="AK98" s="440">
        <v>3.3284023668638999E-4</v>
      </c>
      <c r="AL98" s="216" t="s">
        <v>1012</v>
      </c>
      <c r="AM98" s="83">
        <v>2</v>
      </c>
      <c r="AN98" s="83">
        <v>2</v>
      </c>
      <c r="AO98" s="83">
        <v>4</v>
      </c>
      <c r="AP98" s="83">
        <v>1</v>
      </c>
      <c r="AQ98" s="83">
        <v>1</v>
      </c>
      <c r="AR98" s="83">
        <v>3</v>
      </c>
      <c r="AS98" s="104">
        <v>22</v>
      </c>
      <c r="AT98" s="104">
        <v>5</v>
      </c>
      <c r="AU98" s="107">
        <f t="shared" si="59"/>
        <v>1.2164594125584303</v>
      </c>
      <c r="AV98" s="107">
        <f t="shared" si="60"/>
        <v>5.0597743275872213</v>
      </c>
      <c r="AW98" s="107" t="str">
        <f t="shared" si="61"/>
        <v>(2,2,4,1,1,3)</v>
      </c>
      <c r="AX98" s="108">
        <v>1.05</v>
      </c>
      <c r="AY98" s="108">
        <v>1.02</v>
      </c>
      <c r="AZ98" s="108">
        <v>1.2</v>
      </c>
      <c r="BA98" s="108">
        <v>1</v>
      </c>
      <c r="BB98" s="108">
        <v>1</v>
      </c>
      <c r="BC98" s="108">
        <v>1.05</v>
      </c>
      <c r="BE98" s="691"/>
      <c r="BF98" s="339" t="s">
        <v>106</v>
      </c>
      <c r="BG98" s="339" t="s">
        <v>106</v>
      </c>
      <c r="BH98" s="339" t="s">
        <v>106</v>
      </c>
      <c r="BI98" s="339" t="s">
        <v>106</v>
      </c>
      <c r="BJ98" s="339" t="s">
        <v>106</v>
      </c>
      <c r="BK98" s="339" t="s">
        <v>106</v>
      </c>
      <c r="BL98" s="104">
        <v>22</v>
      </c>
      <c r="BM98" s="104">
        <v>5</v>
      </c>
      <c r="BN98" s="107">
        <f t="shared" si="62"/>
        <v>1</v>
      </c>
      <c r="BO98" s="107">
        <f t="shared" si="63"/>
        <v>4.9999999999999991</v>
      </c>
      <c r="BP98" s="107" t="str">
        <f t="shared" si="64"/>
        <v>(na,na,na,na,na,na)</v>
      </c>
      <c r="BQ98" s="108">
        <v>1</v>
      </c>
      <c r="BR98" s="108">
        <v>1</v>
      </c>
      <c r="BS98" s="108">
        <v>1</v>
      </c>
      <c r="BT98" s="108">
        <v>1</v>
      </c>
      <c r="BU98" s="108">
        <v>1</v>
      </c>
      <c r="BV98" s="108">
        <v>1</v>
      </c>
    </row>
    <row r="99" spans="1:74" s="171" customFormat="1" ht="24">
      <c r="A99" s="333">
        <v>14622</v>
      </c>
      <c r="B99" s="216"/>
      <c r="C99" s="334"/>
      <c r="D99" s="342" t="s">
        <v>98</v>
      </c>
      <c r="E99" s="343">
        <v>4</v>
      </c>
      <c r="F99" s="437" t="s">
        <v>419</v>
      </c>
      <c r="G99" s="438" t="s">
        <v>98</v>
      </c>
      <c r="H99" s="439" t="s">
        <v>247</v>
      </c>
      <c r="I99" s="439" t="s">
        <v>258</v>
      </c>
      <c r="J99" s="335" t="s">
        <v>98</v>
      </c>
      <c r="K99" s="438" t="s">
        <v>96</v>
      </c>
      <c r="L99" s="440">
        <f t="shared" si="66"/>
        <v>2.6298487836949398E-3</v>
      </c>
      <c r="M99" s="336">
        <v>1</v>
      </c>
      <c r="N99" s="337">
        <f t="shared" si="48"/>
        <v>5.0597743275872213</v>
      </c>
      <c r="O99" s="437" t="str">
        <f t="shared" si="49"/>
        <v>(2,2,4,1,1,3); de Wild-Scholten (2014) Life Cycle Assessment of Photovoltaics Status 2011, Part 1 Data Collection (Table 30,31)</v>
      </c>
      <c r="P99" s="440">
        <f t="shared" si="67"/>
        <v>2.6298487836949398E-3</v>
      </c>
      <c r="Q99" s="336">
        <v>1</v>
      </c>
      <c r="R99" s="337">
        <f t="shared" si="50"/>
        <v>5.0597743275872213</v>
      </c>
      <c r="S99" s="455" t="str">
        <f t="shared" si="51"/>
        <v>(2,2,4,1,1,3); de Wild-Scholten (2014) Life Cycle Assessment of Photovoltaics Status 2011, Part 1 Data Collection (Table 30,31)</v>
      </c>
      <c r="T99" s="440">
        <f t="shared" si="68"/>
        <v>2.6298487836949398E-3</v>
      </c>
      <c r="U99" s="336">
        <v>1</v>
      </c>
      <c r="V99" s="337">
        <f t="shared" si="52"/>
        <v>5.0597743275872213</v>
      </c>
      <c r="W99" s="455" t="str">
        <f t="shared" si="53"/>
        <v>(2,2,4,1,1,3); de Wild-Scholten (2014) Life Cycle Assessment of Photovoltaics Status 2011, Part 1 Data Collection (Table 30,31)</v>
      </c>
      <c r="X99" s="440">
        <f t="shared" si="69"/>
        <v>2.6298487836949398E-3</v>
      </c>
      <c r="Y99" s="336">
        <v>1</v>
      </c>
      <c r="Z99" s="337">
        <f t="shared" si="54"/>
        <v>5.0597743275872213</v>
      </c>
      <c r="AA99" s="437" t="str">
        <f t="shared" si="55"/>
        <v>(2,2,4,1,1,3); de Wild-Scholten (2014) Life Cycle Assessment of Photovoltaics Status 2011, Part 1 Data Collection (Table 30,31)</v>
      </c>
      <c r="AB99" s="440">
        <v>0</v>
      </c>
      <c r="AC99" s="336">
        <v>1</v>
      </c>
      <c r="AD99" s="337">
        <f t="shared" si="56"/>
        <v>4.9999999999999991</v>
      </c>
      <c r="AE99" s="455" t="str">
        <f t="shared" si="57"/>
        <v xml:space="preserve">(na,na,na,na,na,na); </v>
      </c>
      <c r="AF99" s="440">
        <v>0</v>
      </c>
      <c r="AG99" s="336">
        <v>1</v>
      </c>
      <c r="AH99" s="337">
        <f t="shared" si="65"/>
        <v>5.0597743275872213</v>
      </c>
      <c r="AI99" s="437" t="str">
        <f t="shared" si="58"/>
        <v xml:space="preserve">(na,na,na,na,na,na); </v>
      </c>
      <c r="AJ99" s="338"/>
      <c r="AK99" s="440">
        <v>2.6298487836949398E-3</v>
      </c>
      <c r="AL99" s="216" t="s">
        <v>1012</v>
      </c>
      <c r="AM99" s="83">
        <v>2</v>
      </c>
      <c r="AN99" s="83">
        <v>2</v>
      </c>
      <c r="AO99" s="83">
        <v>4</v>
      </c>
      <c r="AP99" s="83">
        <v>1</v>
      </c>
      <c r="AQ99" s="83">
        <v>1</v>
      </c>
      <c r="AR99" s="83">
        <v>3</v>
      </c>
      <c r="AS99" s="104">
        <v>22</v>
      </c>
      <c r="AT99" s="104">
        <v>5</v>
      </c>
      <c r="AU99" s="107">
        <f t="shared" si="59"/>
        <v>1.2164594125584303</v>
      </c>
      <c r="AV99" s="107">
        <f t="shared" si="60"/>
        <v>5.0597743275872213</v>
      </c>
      <c r="AW99" s="107" t="str">
        <f t="shared" si="61"/>
        <v>(2,2,4,1,1,3)</v>
      </c>
      <c r="AX99" s="108">
        <v>1.05</v>
      </c>
      <c r="AY99" s="108">
        <v>1.02</v>
      </c>
      <c r="AZ99" s="108">
        <v>1.2</v>
      </c>
      <c r="BA99" s="108">
        <v>1</v>
      </c>
      <c r="BB99" s="108">
        <v>1</v>
      </c>
      <c r="BC99" s="108">
        <v>1.05</v>
      </c>
      <c r="BE99" s="691"/>
      <c r="BF99" s="339" t="s">
        <v>106</v>
      </c>
      <c r="BG99" s="339" t="s">
        <v>106</v>
      </c>
      <c r="BH99" s="339" t="s">
        <v>106</v>
      </c>
      <c r="BI99" s="339" t="s">
        <v>106</v>
      </c>
      <c r="BJ99" s="339" t="s">
        <v>106</v>
      </c>
      <c r="BK99" s="339" t="s">
        <v>106</v>
      </c>
      <c r="BL99" s="104">
        <v>22</v>
      </c>
      <c r="BM99" s="104">
        <v>5</v>
      </c>
      <c r="BN99" s="107">
        <f t="shared" si="62"/>
        <v>1</v>
      </c>
      <c r="BO99" s="107">
        <f t="shared" si="63"/>
        <v>4.9999999999999991</v>
      </c>
      <c r="BP99" s="107" t="str">
        <f t="shared" si="64"/>
        <v>(na,na,na,na,na,na)</v>
      </c>
      <c r="BQ99" s="108">
        <v>1</v>
      </c>
      <c r="BR99" s="108">
        <v>1</v>
      </c>
      <c r="BS99" s="108">
        <v>1</v>
      </c>
      <c r="BT99" s="108">
        <v>1</v>
      </c>
      <c r="BU99" s="108">
        <v>1</v>
      </c>
      <c r="BV99" s="108">
        <v>1</v>
      </c>
    </row>
    <row r="100" spans="1:74" s="171" customFormat="1" ht="24">
      <c r="A100" s="333">
        <v>40899</v>
      </c>
      <c r="B100" s="216"/>
      <c r="C100" s="334"/>
      <c r="D100" s="342" t="s">
        <v>98</v>
      </c>
      <c r="E100" s="343">
        <v>4</v>
      </c>
      <c r="F100" s="437" t="s">
        <v>415</v>
      </c>
      <c r="G100" s="438" t="s">
        <v>98</v>
      </c>
      <c r="H100" s="439" t="s">
        <v>247</v>
      </c>
      <c r="I100" s="439" t="s">
        <v>258</v>
      </c>
      <c r="J100" s="335" t="s">
        <v>98</v>
      </c>
      <c r="K100" s="438" t="s">
        <v>96</v>
      </c>
      <c r="L100" s="440">
        <f t="shared" si="66"/>
        <v>1.2615055884286699E-2</v>
      </c>
      <c r="M100" s="336">
        <v>1</v>
      </c>
      <c r="N100" s="337">
        <f t="shared" si="48"/>
        <v>1.5688282451057278</v>
      </c>
      <c r="O100" s="437" t="str">
        <f t="shared" si="49"/>
        <v>(2,2,4,1,1,3); de Wild-Scholten (2014) Life Cycle Assessment of Photovoltaics Status 2011, Part 1 Data Collection (Table 30,31)</v>
      </c>
      <c r="P100" s="440">
        <f t="shared" si="67"/>
        <v>1.2615055884286699E-2</v>
      </c>
      <c r="Q100" s="336">
        <v>1</v>
      </c>
      <c r="R100" s="337">
        <f t="shared" si="50"/>
        <v>1.5688282451057278</v>
      </c>
      <c r="S100" s="455" t="str">
        <f t="shared" si="51"/>
        <v>(2,2,4,1,1,3); de Wild-Scholten (2014) Life Cycle Assessment of Photovoltaics Status 2011, Part 1 Data Collection (Table 30,31)</v>
      </c>
      <c r="T100" s="440">
        <f t="shared" si="68"/>
        <v>1.2615055884286699E-2</v>
      </c>
      <c r="U100" s="336">
        <v>1</v>
      </c>
      <c r="V100" s="337">
        <f t="shared" si="52"/>
        <v>1.5688282451057278</v>
      </c>
      <c r="W100" s="455" t="str">
        <f t="shared" si="53"/>
        <v>(2,2,4,1,1,3); de Wild-Scholten (2014) Life Cycle Assessment of Photovoltaics Status 2011, Part 1 Data Collection (Table 30,31)</v>
      </c>
      <c r="X100" s="440">
        <f t="shared" si="69"/>
        <v>1.2615055884286699E-2</v>
      </c>
      <c r="Y100" s="336">
        <v>1</v>
      </c>
      <c r="Z100" s="337">
        <f t="shared" si="54"/>
        <v>1.5688282451057278</v>
      </c>
      <c r="AA100" s="437" t="str">
        <f t="shared" si="55"/>
        <v>(2,2,4,1,1,3); de Wild-Scholten (2014) Life Cycle Assessment of Photovoltaics Status 2011, Part 1 Data Collection (Table 30,31)</v>
      </c>
      <c r="AB100" s="440">
        <v>3.1999999999999999E-6</v>
      </c>
      <c r="AC100" s="336">
        <v>1</v>
      </c>
      <c r="AD100" s="337">
        <f t="shared" si="56"/>
        <v>1.5804528752110836</v>
      </c>
      <c r="AE100" s="455" t="str">
        <f t="shared" si="57"/>
        <v>(2,4,1,3,1,5); Brailovsky (2026) GM 05</v>
      </c>
      <c r="AF100" s="440">
        <v>3.1999999999999999E-6</v>
      </c>
      <c r="AG100" s="336">
        <v>1</v>
      </c>
      <c r="AH100" s="337">
        <f t="shared" si="65"/>
        <v>1.5688282451057278</v>
      </c>
      <c r="AI100" s="437" t="str">
        <f t="shared" si="58"/>
        <v>(2,4,1,3,1,5); Brailovsky (2026) GM 05</v>
      </c>
      <c r="AJ100" s="338"/>
      <c r="AK100" s="440">
        <v>1.2615055884286699E-2</v>
      </c>
      <c r="AL100" s="216" t="s">
        <v>1012</v>
      </c>
      <c r="AM100" s="83">
        <v>2</v>
      </c>
      <c r="AN100" s="83">
        <v>2</v>
      </c>
      <c r="AO100" s="83">
        <v>4</v>
      </c>
      <c r="AP100" s="83">
        <v>1</v>
      </c>
      <c r="AQ100" s="83">
        <v>1</v>
      </c>
      <c r="AR100" s="83">
        <v>3</v>
      </c>
      <c r="AS100" s="104">
        <v>16</v>
      </c>
      <c r="AT100" s="104">
        <v>1.5</v>
      </c>
      <c r="AU100" s="107">
        <f t="shared" si="59"/>
        <v>1.2164594125584303</v>
      </c>
      <c r="AV100" s="107">
        <f t="shared" si="60"/>
        <v>1.5688282451057278</v>
      </c>
      <c r="AW100" s="107" t="str">
        <f t="shared" si="61"/>
        <v>(2,2,4,1,1,3)</v>
      </c>
      <c r="AX100" s="108">
        <v>1.05</v>
      </c>
      <c r="AY100" s="108">
        <v>1.02</v>
      </c>
      <c r="AZ100" s="108">
        <v>1.2</v>
      </c>
      <c r="BA100" s="108">
        <v>1</v>
      </c>
      <c r="BB100" s="108">
        <v>1</v>
      </c>
      <c r="BC100" s="108">
        <v>1.05</v>
      </c>
      <c r="BE100" s="691" t="s">
        <v>1044</v>
      </c>
      <c r="BF100" s="83">
        <v>2</v>
      </c>
      <c r="BG100" s="83">
        <v>4</v>
      </c>
      <c r="BH100" s="83">
        <v>1</v>
      </c>
      <c r="BI100" s="83">
        <v>3</v>
      </c>
      <c r="BJ100" s="83">
        <v>1</v>
      </c>
      <c r="BK100" s="83">
        <v>5</v>
      </c>
      <c r="BL100" s="104">
        <v>16</v>
      </c>
      <c r="BM100" s="104">
        <v>1.5</v>
      </c>
      <c r="BN100" s="107">
        <f t="shared" si="62"/>
        <v>1.2365959919080913</v>
      </c>
      <c r="BO100" s="107">
        <f t="shared" si="63"/>
        <v>1.5804528752110836</v>
      </c>
      <c r="BP100" s="107" t="str">
        <f t="shared" si="64"/>
        <v>(2,4,1,3,1,5)</v>
      </c>
      <c r="BQ100" s="108">
        <v>1.05</v>
      </c>
      <c r="BR100" s="108">
        <v>1.1000000000000001</v>
      </c>
      <c r="BS100" s="108">
        <v>1</v>
      </c>
      <c r="BT100" s="108">
        <v>1.02</v>
      </c>
      <c r="BU100" s="108">
        <v>1</v>
      </c>
      <c r="BV100" s="108">
        <v>1.2</v>
      </c>
    </row>
    <row r="101" spans="1:74" s="171" customFormat="1">
      <c r="A101" s="333">
        <v>26267</v>
      </c>
      <c r="B101" s="216"/>
      <c r="C101" s="334"/>
      <c r="D101" s="342" t="s">
        <v>98</v>
      </c>
      <c r="E101" s="343">
        <v>4</v>
      </c>
      <c r="F101" s="437" t="s">
        <v>181</v>
      </c>
      <c r="G101" s="438" t="s">
        <v>98</v>
      </c>
      <c r="H101" s="439" t="s">
        <v>247</v>
      </c>
      <c r="I101" s="439" t="s">
        <v>258</v>
      </c>
      <c r="J101" s="335" t="s">
        <v>98</v>
      </c>
      <c r="K101" s="438" t="s">
        <v>96</v>
      </c>
      <c r="L101" s="440">
        <f t="shared" si="66"/>
        <v>0</v>
      </c>
      <c r="M101" s="336">
        <v>1</v>
      </c>
      <c r="N101" s="337">
        <f t="shared" si="48"/>
        <v>1.5</v>
      </c>
      <c r="O101" s="437" t="str">
        <f t="shared" si="49"/>
        <v xml:space="preserve">(na,na,na,na,na,na); </v>
      </c>
      <c r="P101" s="440">
        <f t="shared" si="67"/>
        <v>0</v>
      </c>
      <c r="Q101" s="336">
        <v>1</v>
      </c>
      <c r="R101" s="337">
        <f t="shared" si="50"/>
        <v>1.5</v>
      </c>
      <c r="S101" s="455" t="str">
        <f t="shared" si="51"/>
        <v xml:space="preserve">(na,na,na,na,na,na); </v>
      </c>
      <c r="T101" s="440">
        <f t="shared" si="68"/>
        <v>0</v>
      </c>
      <c r="U101" s="336">
        <v>1</v>
      </c>
      <c r="V101" s="337">
        <f t="shared" si="52"/>
        <v>1.5</v>
      </c>
      <c r="W101" s="455" t="str">
        <f t="shared" si="53"/>
        <v xml:space="preserve">(na,na,na,na,na,na); </v>
      </c>
      <c r="X101" s="440">
        <f t="shared" si="69"/>
        <v>0</v>
      </c>
      <c r="Y101" s="336">
        <v>1</v>
      </c>
      <c r="Z101" s="337">
        <f t="shared" si="54"/>
        <v>1.5</v>
      </c>
      <c r="AA101" s="437" t="str">
        <f t="shared" si="55"/>
        <v xml:space="preserve">(na,na,na,na,na,na); </v>
      </c>
      <c r="AB101" s="440">
        <v>1.3300000000000001E-4</v>
      </c>
      <c r="AC101" s="336">
        <v>1</v>
      </c>
      <c r="AD101" s="337">
        <f t="shared" si="56"/>
        <v>1.5804528752110836</v>
      </c>
      <c r="AE101" s="455" t="str">
        <f t="shared" si="57"/>
        <v>(2,4,1,3,1,5); Brailovsky (2026) GM 05; iso DE</v>
      </c>
      <c r="AF101" s="440">
        <v>1.3300000000000001E-4</v>
      </c>
      <c r="AG101" s="336">
        <v>1</v>
      </c>
      <c r="AH101" s="337">
        <f t="shared" si="65"/>
        <v>1.5</v>
      </c>
      <c r="AI101" s="437" t="str">
        <f t="shared" si="58"/>
        <v>(2,4,1,3,1,5); Brailovsky (2026) GM 05; iso DE</v>
      </c>
      <c r="AJ101" s="338"/>
      <c r="AK101" s="440"/>
      <c r="AL101" s="216"/>
      <c r="AM101" s="339" t="s">
        <v>106</v>
      </c>
      <c r="AN101" s="339" t="s">
        <v>106</v>
      </c>
      <c r="AO101" s="339" t="s">
        <v>106</v>
      </c>
      <c r="AP101" s="339" t="s">
        <v>106</v>
      </c>
      <c r="AQ101" s="339" t="s">
        <v>106</v>
      </c>
      <c r="AR101" s="339" t="s">
        <v>106</v>
      </c>
      <c r="AS101" s="104">
        <v>16</v>
      </c>
      <c r="AT101" s="104">
        <v>1.5</v>
      </c>
      <c r="AU101" s="107">
        <f t="shared" si="59"/>
        <v>1</v>
      </c>
      <c r="AV101" s="107">
        <f t="shared" si="60"/>
        <v>1.5</v>
      </c>
      <c r="AW101" s="107" t="str">
        <f t="shared" si="61"/>
        <v>(na,na,na,na,na,na)</v>
      </c>
      <c r="AX101" s="108">
        <v>1</v>
      </c>
      <c r="AY101" s="108">
        <v>1</v>
      </c>
      <c r="AZ101" s="108">
        <v>1</v>
      </c>
      <c r="BA101" s="108">
        <v>1</v>
      </c>
      <c r="BB101" s="108">
        <v>1</v>
      </c>
      <c r="BC101" s="108">
        <v>1</v>
      </c>
      <c r="BE101" s="699" t="s">
        <v>1078</v>
      </c>
      <c r="BF101" s="83">
        <v>2</v>
      </c>
      <c r="BG101" s="83">
        <v>4</v>
      </c>
      <c r="BH101" s="83">
        <v>1</v>
      </c>
      <c r="BI101" s="83">
        <v>3</v>
      </c>
      <c r="BJ101" s="83">
        <v>1</v>
      </c>
      <c r="BK101" s="83">
        <v>5</v>
      </c>
      <c r="BL101" s="104">
        <v>16</v>
      </c>
      <c r="BM101" s="104">
        <v>1.5</v>
      </c>
      <c r="BN101" s="107">
        <f t="shared" si="62"/>
        <v>1.2365959919080913</v>
      </c>
      <c r="BO101" s="107">
        <f t="shared" si="63"/>
        <v>1.5804528752110836</v>
      </c>
      <c r="BP101" s="107" t="str">
        <f t="shared" si="64"/>
        <v>(2,4,1,3,1,5)</v>
      </c>
      <c r="BQ101" s="108">
        <v>1.05</v>
      </c>
      <c r="BR101" s="108">
        <v>1.1000000000000001</v>
      </c>
      <c r="BS101" s="108">
        <v>1</v>
      </c>
      <c r="BT101" s="108">
        <v>1.02</v>
      </c>
      <c r="BU101" s="108">
        <v>1</v>
      </c>
      <c r="BV101" s="108">
        <v>1.2</v>
      </c>
    </row>
    <row r="102" spans="1:74">
      <c r="A102" s="172"/>
      <c r="B102" s="173"/>
      <c r="C102" s="174"/>
      <c r="D102" s="175"/>
      <c r="E102" s="176"/>
      <c r="F102" s="444"/>
      <c r="G102" s="445"/>
      <c r="H102" s="446"/>
      <c r="I102" s="446"/>
      <c r="J102" s="143"/>
      <c r="K102" s="445"/>
      <c r="L102" s="462"/>
      <c r="M102" s="177"/>
      <c r="N102" s="178"/>
      <c r="O102" s="463"/>
      <c r="P102" s="462"/>
      <c r="Q102" s="177"/>
      <c r="R102" s="178"/>
      <c r="S102" s="463"/>
      <c r="T102" s="462"/>
      <c r="U102" s="177"/>
      <c r="V102" s="178"/>
      <c r="W102" s="463"/>
      <c r="X102" s="462"/>
      <c r="Y102" s="177"/>
      <c r="Z102" s="178"/>
      <c r="AA102" s="463"/>
      <c r="AB102" s="462"/>
      <c r="AC102" s="177"/>
      <c r="AD102" s="178"/>
      <c r="AE102" s="463"/>
      <c r="AF102" s="462"/>
      <c r="AG102" s="177"/>
      <c r="AH102" s="178"/>
      <c r="AI102" s="463"/>
      <c r="AJ102" s="112"/>
    </row>
    <row r="103" spans="1:74">
      <c r="A103" s="172"/>
      <c r="B103" s="390" t="s">
        <v>564</v>
      </c>
      <c r="C103" s="174"/>
      <c r="D103" s="175"/>
      <c r="E103" s="176"/>
      <c r="F103" s="444"/>
      <c r="G103" s="445"/>
      <c r="H103" s="446"/>
      <c r="I103" s="446"/>
      <c r="J103" s="143"/>
      <c r="K103" s="445"/>
      <c r="L103" s="462"/>
      <c r="M103" s="177"/>
      <c r="N103" s="178"/>
      <c r="O103" s="463"/>
      <c r="P103" s="462"/>
      <c r="Q103" s="177"/>
      <c r="R103" s="178"/>
      <c r="S103" s="463"/>
      <c r="T103" s="462"/>
      <c r="U103" s="177"/>
      <c r="V103" s="178"/>
      <c r="W103" s="463"/>
      <c r="X103" s="462"/>
      <c r="Y103" s="177"/>
      <c r="Z103" s="178"/>
      <c r="AA103" s="463"/>
      <c r="AB103" s="462"/>
      <c r="AC103" s="177"/>
      <c r="AD103" s="178"/>
      <c r="AE103" s="463"/>
      <c r="AF103" s="462"/>
      <c r="AG103" s="177"/>
      <c r="AH103" s="178"/>
      <c r="AI103" s="463"/>
      <c r="AJ103" s="112"/>
    </row>
    <row r="104" spans="1:74" ht="36" customHeight="1">
      <c r="B104" s="371" t="s">
        <v>544</v>
      </c>
      <c r="C104" s="353" t="s">
        <v>545</v>
      </c>
      <c r="D104" s="353"/>
      <c r="E104" s="353"/>
      <c r="F104" s="353"/>
    </row>
    <row r="105" spans="1:74">
      <c r="B105" s="355"/>
      <c r="C105" s="353"/>
      <c r="D105" s="353"/>
      <c r="E105" s="353"/>
      <c r="F105" s="353"/>
    </row>
    <row r="106" spans="1:74">
      <c r="B106" s="355"/>
      <c r="C106" s="353" t="s">
        <v>546</v>
      </c>
      <c r="D106" s="353"/>
      <c r="E106" s="353"/>
      <c r="F106" s="353" t="s">
        <v>547</v>
      </c>
    </row>
    <row r="107" spans="1:74">
      <c r="B107" s="355" t="s">
        <v>548</v>
      </c>
      <c r="C107" s="372">
        <v>2.5000000000000001E-2</v>
      </c>
      <c r="D107" s="372"/>
      <c r="E107" s="372"/>
      <c r="F107" s="372">
        <f t="shared" ref="F107:F112" si="70">C107/SUM($C$107:$C$112)</f>
        <v>0.29761904761904756</v>
      </c>
    </row>
    <row r="108" spans="1:74">
      <c r="B108" s="320" t="s">
        <v>665</v>
      </c>
      <c r="C108" s="363">
        <v>0.02</v>
      </c>
      <c r="D108" s="363"/>
      <c r="E108" s="363"/>
      <c r="F108" s="372">
        <f t="shared" si="70"/>
        <v>0.23809523809523805</v>
      </c>
    </row>
    <row r="109" spans="1:74">
      <c r="B109" s="320" t="s">
        <v>666</v>
      </c>
      <c r="C109" s="363">
        <v>2.1000000000000001E-2</v>
      </c>
      <c r="D109" s="363"/>
      <c r="E109" s="363"/>
      <c r="F109" s="372">
        <f t="shared" si="70"/>
        <v>0.24999999999999997</v>
      </c>
    </row>
    <row r="110" spans="1:74">
      <c r="B110" s="320" t="s">
        <v>1025</v>
      </c>
      <c r="C110" s="363">
        <v>6.0000000000000001E-3</v>
      </c>
      <c r="D110" s="363"/>
      <c r="E110" s="363"/>
      <c r="F110" s="372">
        <f t="shared" si="70"/>
        <v>7.1428571428571411E-2</v>
      </c>
    </row>
    <row r="111" spans="1:74">
      <c r="B111" s="320" t="s">
        <v>1026</v>
      </c>
      <c r="C111" s="363">
        <v>5.0000000000000001E-3</v>
      </c>
      <c r="D111" s="363"/>
      <c r="E111" s="363"/>
      <c r="F111" s="372">
        <f t="shared" si="70"/>
        <v>5.9523809523809514E-2</v>
      </c>
    </row>
    <row r="112" spans="1:74">
      <c r="B112" s="320" t="s">
        <v>1027</v>
      </c>
      <c r="C112" s="363">
        <v>7.0000000000000001E-3</v>
      </c>
      <c r="D112" s="363"/>
      <c r="E112" s="363"/>
      <c r="F112" s="372">
        <f t="shared" si="70"/>
        <v>8.3333333333333315E-2</v>
      </c>
    </row>
  </sheetData>
  <mergeCells count="2">
    <mergeCell ref="BF1:BK1"/>
    <mergeCell ref="AM1:AR1"/>
  </mergeCells>
  <conditionalFormatting sqref="D19:K21 M19:W21 Y19:AB21 L20:M20 V20:AA20 AB22:AB25 D22:AA38 D39:Z54">
    <cfRule type="expression" dxfId="307" priority="61">
      <formula>MOD(ROW(),2)=0</formula>
    </cfRule>
  </conditionalFormatting>
  <conditionalFormatting sqref="D13:AI14 AA13:AA71 AC14:AC16 AG14:AH16 D15:AC18 AD15:AI25 AB26:AI71 D55:K64 X55:Z64 L64:O64 T64:W64">
    <cfRule type="expression" dxfId="306" priority="48">
      <formula>MOD(ROW(),2)=0</formula>
    </cfRule>
  </conditionalFormatting>
  <conditionalFormatting sqref="L19">
    <cfRule type="expression" dxfId="305" priority="30">
      <formula>MOD(ROW(),2)=0</formula>
    </cfRule>
  </conditionalFormatting>
  <conditionalFormatting sqref="L21">
    <cfRule type="expression" dxfId="304" priority="25">
      <formula>MOD(ROW(),2)=0</formula>
    </cfRule>
  </conditionalFormatting>
  <conditionalFormatting sqref="L55:W63">
    <cfRule type="expression" dxfId="303" priority="2">
      <formula>MOD(ROW(),2)=0</formula>
    </cfRule>
  </conditionalFormatting>
  <conditionalFormatting sqref="P55:S55">
    <cfRule type="expression" dxfId="302" priority="62">
      <formula>MOD(ROW(),2)=0</formula>
    </cfRule>
  </conditionalFormatting>
  <conditionalFormatting sqref="Q56:S56 P57:S64">
    <cfRule type="expression" dxfId="301" priority="60">
      <formula>MOD(ROW(),2)=0</formula>
    </cfRule>
  </conditionalFormatting>
  <conditionalFormatting sqref="X19">
    <cfRule type="expression" dxfId="300" priority="28">
      <formula>MOD(ROW(),2)=0</formula>
    </cfRule>
  </conditionalFormatting>
  <conditionalFormatting sqref="X21">
    <cfRule type="expression" dxfId="299" priority="24">
      <formula>MOD(ROW(),2)=0</formula>
    </cfRule>
  </conditionalFormatting>
  <conditionalFormatting sqref="AC19:AC25">
    <cfRule type="expression" dxfId="298" priority="50">
      <formula>MOD(ROW(),2)=0</formula>
    </cfRule>
  </conditionalFormatting>
  <conditionalFormatting sqref="AK13:AR101 BE13:BK101 D65:Z71 D72:AI101">
    <cfRule type="expression" dxfId="297" priority="1">
      <formula>MOD(ROW(),2)=0</formula>
    </cfRule>
  </conditionalFormatting>
  <conditionalFormatting sqref="AS13:BC101 BL13:BV101">
    <cfRule type="expression" dxfId="296" priority="47">
      <formula>MOD(ROW(),2)=0</formula>
    </cfRule>
  </conditionalFormatting>
  <conditionalFormatting sqref="BF76 BH76">
    <cfRule type="expression" dxfId="295" priority="15">
      <formula>MOD(ROW(),2)=0</formula>
    </cfRule>
  </conditionalFormatting>
  <conditionalFormatting sqref="BF84 BH84">
    <cfRule type="expression" dxfId="294" priority="13">
      <formula>MOD(ROW(),2)=0</formula>
    </cfRule>
  </conditionalFormatting>
  <conditionalFormatting sqref="BF100:BF101 BH100:BH101">
    <cfRule type="expression" dxfId="293" priority="7">
      <formula>MOD(ROW(),2)=0</formula>
    </cfRule>
  </conditionalFormatting>
  <dataValidations count="1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M3 BF3" xr:uid="{00000000-0002-0000-1C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R3 BK3" xr:uid="{00000000-0002-0000-1C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Q3 BJ3" xr:uid="{00000000-0002-0000-1C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P3 BI3" xr:uid="{00000000-0002-0000-1C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O3 BH3" xr:uid="{00000000-0002-0000-1C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N3 BG3" xr:uid="{00000000-0002-0000-1C00-000005000000}"/>
    <dataValidation allowBlank="1" showInputMessage="1" showErrorMessage="1" prompt="Do not change." sqref="AS3:BC4 BL3:BV4" xr:uid="{00000000-0002-0000-1C00-000006000000}"/>
    <dataValidation allowBlank="1" showInputMessage="1" showErrorMessage="1" promptTitle="Remarks" prompt="A general comment (data source, calculation procedure, ...) can be made about each individual exchange. The remarks are added to the GeneralComment-field." sqref="AL3" xr:uid="{00000000-0002-0000-1C00-000007000000}"/>
    <dataValidation allowBlank="1" showInputMessage="1" showErrorMessage="1" prompt="always 1" sqref="L7:L12 P7:P13 T7:T13 X7:X13 AB7:AB13 AF7:AF13" xr:uid="{00000000-0002-0000-1C00-000008000000}"/>
    <dataValidation allowBlank="1" showInputMessage="1" showErrorMessage="1" promptTitle="Do not change" prompt="This field is automatically updated from the names-list" sqref="AS13:AS101 BL13:BL101" xr:uid="{00000000-0002-0000-1C00-000009000000}"/>
  </dataValidations>
  <pageMargins left="0.78740157480314965" right="0.78740157480314965" top="0.98425196850393704" bottom="0.98425196850393704" header="0.51181102362204722" footer="0.51181102362204722"/>
  <pageSetup paperSize="9" scale="14" orientation="portrait" r:id="rId1"/>
  <headerFooter alignWithMargins="0">
    <oddHeader>&amp;L&amp;C&amp;R</oddHeader>
    <oddFooter>&amp;L&amp;"Arial,Fett"&amp;F&amp;C&amp;D&amp;RSeite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8">
    <tabColor rgb="FF9CD9F0"/>
    <pageSetUpPr fitToPage="1"/>
  </sheetPr>
  <dimension ref="A1:BF47"/>
  <sheetViews>
    <sheetView topLeftCell="A11" workbookViewId="0"/>
  </sheetViews>
  <sheetFormatPr baseColWidth="10" defaultColWidth="11.42578125" defaultRowHeight="12"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5.7109375" style="109" hidden="1" customWidth="1" outlineLevel="1"/>
    <col min="15" max="15" width="40.7109375" style="109" hidden="1" customWidth="1" outlineLevel="1"/>
    <col min="16" max="16" width="15.7109375" style="277" customWidth="1" collapsed="1"/>
    <col min="17" max="18" width="5.7109375" style="109" hidden="1" customWidth="1" outlineLevel="1"/>
    <col min="19" max="19" width="40.7109375" style="109" hidden="1" customWidth="1" outlineLevel="1"/>
    <col min="20" max="20" width="15.7109375" style="277" customWidth="1" collapsed="1"/>
    <col min="21" max="22" width="5.7109375" style="109" hidden="1" customWidth="1" outlineLevel="1"/>
    <col min="23" max="23" width="40.7109375" style="109" hidden="1" customWidth="1" outlineLevel="1"/>
    <col min="24" max="24" width="15.7109375" style="277" customWidth="1" collapsed="1"/>
    <col min="25" max="26" width="5.7109375" style="109" hidden="1" customWidth="1" outlineLevel="1"/>
    <col min="27" max="27" width="40.7109375" style="109" hidden="1" customWidth="1" outlineLevel="1"/>
    <col min="28" max="28" width="15.7109375" style="361" customWidth="1" collapsed="1"/>
    <col min="29" max="30" width="5.7109375" style="109" hidden="1" customWidth="1" outlineLevel="1"/>
    <col min="31" max="31" width="40.7109375" style="109" hidden="1" customWidth="1" outlineLevel="1"/>
    <col min="32" max="32" width="15.7109375" style="361" customWidth="1" collapsed="1"/>
    <col min="33" max="34" width="5.7109375" style="109" hidden="1" customWidth="1" outlineLevel="1"/>
    <col min="35" max="35" width="40.7109375" style="109" hidden="1" customWidth="1" outlineLevel="1"/>
    <col min="36" max="36" width="4.140625" style="109" customWidth="1" collapsed="1"/>
    <col min="37" max="37" width="40.7109375" style="128" customWidth="1"/>
    <col min="38" max="38" width="4.7109375" style="402" hidden="1" customWidth="1" outlineLevel="1"/>
    <col min="39" max="47" width="4.7109375" style="395" hidden="1" customWidth="1" outlineLevel="1"/>
    <col min="48" max="48" width="12.7109375" style="395" hidden="1" customWidth="1" outlineLevel="1"/>
    <col min="49" max="54" width="4.7109375" style="277" hidden="1" customWidth="1" outlineLevel="1"/>
    <col min="55" max="55" width="11.42578125" style="277" customWidth="1" collapsed="1"/>
    <col min="56" max="56" width="11.42578125" style="277" customWidth="1"/>
    <col min="57" max="58" width="11.42578125" style="132" customWidth="1"/>
    <col min="59" max="60" width="11.42578125" style="277" customWidth="1"/>
    <col min="61" max="16384" width="11.42578125" style="277"/>
  </cols>
  <sheetData>
    <row r="1" spans="1:54" ht="12.75" customHeight="1">
      <c r="A1" s="77"/>
      <c r="B1" s="78"/>
      <c r="C1" s="79"/>
      <c r="D1" s="77"/>
      <c r="E1" s="77"/>
      <c r="F1" s="80" t="s">
        <v>65</v>
      </c>
      <c r="G1" s="77"/>
      <c r="H1" s="77"/>
      <c r="I1" s="77"/>
      <c r="J1" s="77"/>
      <c r="K1" s="77"/>
      <c r="L1" s="330" t="str">
        <f>A7</f>
        <v>Z-PV-082</v>
      </c>
      <c r="M1" s="81"/>
      <c r="N1" s="81"/>
      <c r="O1" s="81"/>
      <c r="P1" s="330" t="str">
        <f>A8</f>
        <v>Z-PV-081</v>
      </c>
      <c r="Q1" s="81"/>
      <c r="R1" s="81"/>
      <c r="S1" s="81"/>
      <c r="T1" s="330" t="str">
        <f>A9</f>
        <v>Z-PV-084</v>
      </c>
      <c r="U1" s="81"/>
      <c r="V1" s="81"/>
      <c r="W1" s="81"/>
      <c r="X1" s="330" t="str">
        <f>A10</f>
        <v>Z-PV-083</v>
      </c>
      <c r="Y1" s="81"/>
      <c r="Z1" s="81"/>
      <c r="AA1" s="81"/>
      <c r="AB1" s="333" t="str">
        <f>A11</f>
        <v>Z-PV-278</v>
      </c>
      <c r="AC1" s="546"/>
      <c r="AD1" s="546"/>
      <c r="AE1" s="546"/>
      <c r="AF1" s="333" t="str">
        <f>A12</f>
        <v>Z-PV-279</v>
      </c>
      <c r="AG1" s="546"/>
      <c r="AH1" s="546"/>
      <c r="AI1" s="546"/>
      <c r="AK1" s="378"/>
      <c r="AL1" s="1586"/>
      <c r="AM1" s="1588"/>
      <c r="AN1" s="1588"/>
      <c r="AO1" s="1588"/>
      <c r="AP1" s="1588"/>
      <c r="AQ1" s="1588"/>
      <c r="AR1" s="406"/>
      <c r="AS1" s="406"/>
      <c r="AT1" s="406"/>
      <c r="AU1" s="406"/>
      <c r="AV1" s="406"/>
      <c r="AW1" s="378"/>
      <c r="AX1" s="378"/>
      <c r="AY1" s="378"/>
      <c r="AZ1" s="378"/>
      <c r="BA1" s="378"/>
      <c r="BB1" s="378"/>
    </row>
    <row r="2" spans="1:54"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421"/>
      <c r="AK2" s="406"/>
      <c r="AL2" s="406"/>
      <c r="AM2" s="406"/>
      <c r="AN2" s="406"/>
      <c r="AO2" s="406"/>
      <c r="AP2" s="406"/>
      <c r="AQ2" s="406"/>
      <c r="AR2" s="406"/>
      <c r="AS2" s="378"/>
      <c r="AT2" s="378"/>
      <c r="AU2" s="378"/>
      <c r="AV2" s="378"/>
      <c r="AW2" s="378"/>
      <c r="AX2" s="378"/>
      <c r="AY2" s="378"/>
      <c r="AZ2" s="378"/>
      <c r="BA2" s="378"/>
      <c r="BB2" s="378"/>
    </row>
    <row r="3" spans="1:54" ht="105" customHeight="1">
      <c r="A3" s="83" t="s">
        <v>68</v>
      </c>
      <c r="B3" s="84"/>
      <c r="C3" s="79">
        <v>401</v>
      </c>
      <c r="D3" s="85" t="s">
        <v>69</v>
      </c>
      <c r="E3" s="85" t="s">
        <v>70</v>
      </c>
      <c r="F3" s="86" t="s">
        <v>71</v>
      </c>
      <c r="G3" s="85" t="s">
        <v>72</v>
      </c>
      <c r="H3" s="85" t="s">
        <v>73</v>
      </c>
      <c r="I3" s="85" t="s">
        <v>74</v>
      </c>
      <c r="J3" s="85" t="s">
        <v>75</v>
      </c>
      <c r="K3" s="85" t="s">
        <v>76</v>
      </c>
      <c r="L3" s="87" t="s">
        <v>1079</v>
      </c>
      <c r="M3" s="422" t="s">
        <v>78</v>
      </c>
      <c r="N3" s="422" t="s">
        <v>79</v>
      </c>
      <c r="O3" s="423" t="s">
        <v>80</v>
      </c>
      <c r="P3" s="87" t="s">
        <v>1080</v>
      </c>
      <c r="Q3" s="422" t="s">
        <v>78</v>
      </c>
      <c r="R3" s="422" t="s">
        <v>79</v>
      </c>
      <c r="S3" s="423" t="s">
        <v>80</v>
      </c>
      <c r="T3" s="87" t="s">
        <v>1081</v>
      </c>
      <c r="U3" s="422" t="s">
        <v>78</v>
      </c>
      <c r="V3" s="422" t="s">
        <v>79</v>
      </c>
      <c r="W3" s="423" t="s">
        <v>80</v>
      </c>
      <c r="X3" s="87" t="s">
        <v>1082</v>
      </c>
      <c r="Y3" s="422" t="s">
        <v>78</v>
      </c>
      <c r="Z3" s="422" t="s">
        <v>79</v>
      </c>
      <c r="AA3" s="423" t="s">
        <v>80</v>
      </c>
      <c r="AB3" s="106" t="s">
        <v>1083</v>
      </c>
      <c r="AC3" s="547" t="s">
        <v>78</v>
      </c>
      <c r="AD3" s="547" t="s">
        <v>79</v>
      </c>
      <c r="AE3" s="548" t="s">
        <v>80</v>
      </c>
      <c r="AF3" s="106" t="s">
        <v>1084</v>
      </c>
      <c r="AG3" s="547" t="s">
        <v>78</v>
      </c>
      <c r="AH3" s="547" t="s">
        <v>79</v>
      </c>
      <c r="AI3" s="548" t="s">
        <v>80</v>
      </c>
      <c r="AJ3" s="424"/>
      <c r="AK3" s="97" t="s">
        <v>363</v>
      </c>
      <c r="AL3" s="98" t="s">
        <v>364</v>
      </c>
      <c r="AM3" s="98" t="s">
        <v>365</v>
      </c>
      <c r="AN3" s="98" t="s">
        <v>366</v>
      </c>
      <c r="AO3" s="98" t="s">
        <v>367</v>
      </c>
      <c r="AP3" s="98" t="s">
        <v>368</v>
      </c>
      <c r="AQ3" s="98" t="s">
        <v>369</v>
      </c>
      <c r="AR3" s="99" t="s">
        <v>88</v>
      </c>
      <c r="AS3" s="99" t="s">
        <v>370</v>
      </c>
      <c r="AT3" s="99" t="s">
        <v>90</v>
      </c>
      <c r="AU3" s="99" t="s">
        <v>91</v>
      </c>
      <c r="AV3" s="99" t="s">
        <v>371</v>
      </c>
      <c r="AW3" s="100" t="s">
        <v>364</v>
      </c>
      <c r="AX3" s="100" t="s">
        <v>365</v>
      </c>
      <c r="AY3" s="100" t="s">
        <v>366</v>
      </c>
      <c r="AZ3" s="100" t="s">
        <v>367</v>
      </c>
      <c r="BA3" s="100" t="s">
        <v>368</v>
      </c>
      <c r="BB3" s="100" t="s">
        <v>369</v>
      </c>
    </row>
    <row r="4" spans="1:54" ht="12.75" customHeight="1">
      <c r="A4" s="77"/>
      <c r="B4" s="84"/>
      <c r="C4" s="79">
        <v>662</v>
      </c>
      <c r="D4" s="86"/>
      <c r="E4" s="86"/>
      <c r="F4" s="86" t="s">
        <v>72</v>
      </c>
      <c r="G4" s="86"/>
      <c r="H4" s="86"/>
      <c r="I4" s="86"/>
      <c r="J4" s="86"/>
      <c r="K4" s="86"/>
      <c r="L4" s="87" t="s">
        <v>93</v>
      </c>
      <c r="M4" s="425"/>
      <c r="N4" s="425"/>
      <c r="O4" s="426"/>
      <c r="P4" s="87" t="s">
        <v>93</v>
      </c>
      <c r="Q4" s="425"/>
      <c r="R4" s="425"/>
      <c r="S4" s="426"/>
      <c r="T4" s="87" t="s">
        <v>215</v>
      </c>
      <c r="U4" s="425"/>
      <c r="V4" s="425"/>
      <c r="W4" s="426"/>
      <c r="X4" s="87" t="s">
        <v>215</v>
      </c>
      <c r="Y4" s="425"/>
      <c r="Z4" s="425"/>
      <c r="AA4" s="426"/>
      <c r="AB4" s="106" t="s">
        <v>373</v>
      </c>
      <c r="AC4" s="425"/>
      <c r="AD4" s="425"/>
      <c r="AE4" s="426"/>
      <c r="AF4" s="106" t="s">
        <v>373</v>
      </c>
      <c r="AG4" s="425"/>
      <c r="AH4" s="425"/>
      <c r="AI4" s="426"/>
      <c r="AJ4" s="427"/>
      <c r="AK4" s="101"/>
      <c r="AL4" s="102" t="s">
        <v>94</v>
      </c>
      <c r="AM4" s="97"/>
      <c r="AN4" s="97"/>
      <c r="AO4" s="97"/>
      <c r="AP4" s="97"/>
      <c r="AQ4" s="97"/>
      <c r="AR4" s="103"/>
      <c r="AS4" s="103"/>
      <c r="AT4" s="103" t="s">
        <v>95</v>
      </c>
      <c r="AU4" s="103" t="s">
        <v>95</v>
      </c>
      <c r="AV4" s="104"/>
      <c r="AW4" s="105"/>
      <c r="AX4" s="105"/>
      <c r="AY4" s="105"/>
      <c r="AZ4" s="105"/>
      <c r="BA4" s="105"/>
      <c r="BB4" s="105"/>
    </row>
    <row r="5" spans="1:54" ht="12.75"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106">
        <v>0</v>
      </c>
      <c r="AC5" s="425"/>
      <c r="AD5" s="425"/>
      <c r="AE5" s="426"/>
      <c r="AF5" s="106">
        <v>0</v>
      </c>
      <c r="AG5" s="425"/>
      <c r="AH5" s="425"/>
      <c r="AI5" s="426"/>
      <c r="AJ5" s="427"/>
      <c r="AK5" s="101"/>
      <c r="AL5" s="97"/>
      <c r="AM5" s="97"/>
      <c r="AN5" s="97"/>
      <c r="AO5" s="97"/>
      <c r="AP5" s="97"/>
      <c r="AQ5" s="97"/>
      <c r="AR5" s="104"/>
      <c r="AS5" s="104"/>
      <c r="AT5" s="104"/>
      <c r="AU5" s="104"/>
      <c r="AV5" s="104"/>
      <c r="AW5" s="105"/>
      <c r="AX5" s="105"/>
      <c r="AY5" s="105"/>
      <c r="AZ5" s="105"/>
      <c r="BA5" s="105"/>
      <c r="BB5" s="105"/>
    </row>
    <row r="6" spans="1:54" ht="12.75" customHeigh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26"/>
      <c r="AB6" s="106" t="s">
        <v>679</v>
      </c>
      <c r="AC6" s="425"/>
      <c r="AD6" s="425"/>
      <c r="AE6" s="426"/>
      <c r="AF6" s="106" t="s">
        <v>679</v>
      </c>
      <c r="AG6" s="425"/>
      <c r="AH6" s="425"/>
      <c r="AI6" s="426"/>
      <c r="AJ6" s="427"/>
      <c r="AK6" s="101"/>
      <c r="AL6" s="106"/>
      <c r="AM6" s="106"/>
      <c r="AN6" s="106"/>
      <c r="AO6" s="106"/>
      <c r="AP6" s="106"/>
      <c r="AQ6" s="106"/>
      <c r="AR6" s="104"/>
      <c r="AS6" s="104"/>
      <c r="AT6" s="428"/>
      <c r="AU6" s="428"/>
      <c r="AV6" s="107"/>
      <c r="AW6" s="105"/>
      <c r="AX6" s="105"/>
      <c r="AY6" s="105"/>
      <c r="AZ6" s="105"/>
      <c r="BA6" s="105"/>
      <c r="BB6" s="105"/>
    </row>
    <row r="7" spans="1:54" ht="24" customHeight="1">
      <c r="A7" s="330" t="s">
        <v>1085</v>
      </c>
      <c r="B7" s="331" t="s">
        <v>97</v>
      </c>
      <c r="C7" s="88"/>
      <c r="D7" s="294" t="s">
        <v>98</v>
      </c>
      <c r="E7" s="295">
        <v>0</v>
      </c>
      <c r="F7" s="429" t="s">
        <v>1079</v>
      </c>
      <c r="G7" s="430" t="s">
        <v>93</v>
      </c>
      <c r="H7" s="431" t="s">
        <v>98</v>
      </c>
      <c r="I7" s="431" t="s">
        <v>98</v>
      </c>
      <c r="J7" s="89">
        <v>0</v>
      </c>
      <c r="K7" s="430" t="s">
        <v>679</v>
      </c>
      <c r="L7" s="90">
        <f t="shared" ref="L7:L12" si="0">IF($A7=L$1,1,0)</f>
        <v>1</v>
      </c>
      <c r="M7" s="91"/>
      <c r="N7" s="92"/>
      <c r="O7" s="93"/>
      <c r="P7" s="90">
        <f t="shared" ref="P7:P12" si="1">IF($A7=P$1,1,0)</f>
        <v>0</v>
      </c>
      <c r="Q7" s="91"/>
      <c r="R7" s="92"/>
      <c r="S7" s="93"/>
      <c r="T7" s="90">
        <f t="shared" ref="T7:T12" si="2">IF($A7=T$1,1,0)</f>
        <v>0</v>
      </c>
      <c r="U7" s="91"/>
      <c r="V7" s="92"/>
      <c r="W7" s="93"/>
      <c r="X7" s="90">
        <f t="shared" ref="X7:X12" si="3">IF($A7=X$1,1,0)</f>
        <v>0</v>
      </c>
      <c r="Y7" s="91"/>
      <c r="Z7" s="92"/>
      <c r="AA7" s="93"/>
      <c r="AB7" s="532">
        <f t="shared" ref="AB7:AB12" si="4">IF($A7=AB$1,1,0)</f>
        <v>0</v>
      </c>
      <c r="AC7" s="533"/>
      <c r="AD7" s="534"/>
      <c r="AE7" s="538"/>
      <c r="AF7" s="532">
        <f t="shared" ref="AF7:AF12" si="5">IF($A7=AF$1,1,0)</f>
        <v>0</v>
      </c>
      <c r="AG7" s="533"/>
      <c r="AH7" s="534"/>
      <c r="AI7" s="538"/>
      <c r="AJ7" s="427"/>
      <c r="AK7" s="101"/>
      <c r="AL7" s="97"/>
      <c r="AM7" s="97"/>
      <c r="AN7" s="97"/>
      <c r="AO7" s="97"/>
      <c r="AP7" s="97"/>
      <c r="AQ7" s="97"/>
      <c r="AR7" s="104"/>
      <c r="AS7" s="104"/>
      <c r="AT7" s="104"/>
      <c r="AU7" s="104"/>
      <c r="AV7" s="104"/>
      <c r="AW7" s="104"/>
      <c r="AX7" s="104"/>
      <c r="AY7" s="104"/>
      <c r="AZ7" s="104"/>
      <c r="BA7" s="104"/>
      <c r="BB7" s="104"/>
    </row>
    <row r="8" spans="1:54" ht="24" customHeight="1">
      <c r="A8" s="330" t="s">
        <v>1086</v>
      </c>
      <c r="B8" s="331"/>
      <c r="C8" s="88"/>
      <c r="D8" s="294" t="s">
        <v>98</v>
      </c>
      <c r="E8" s="295">
        <v>0</v>
      </c>
      <c r="F8" s="429" t="s">
        <v>1080</v>
      </c>
      <c r="G8" s="430" t="s">
        <v>93</v>
      </c>
      <c r="H8" s="431" t="s">
        <v>98</v>
      </c>
      <c r="I8" s="431" t="s">
        <v>98</v>
      </c>
      <c r="J8" s="89">
        <v>0</v>
      </c>
      <c r="K8" s="430" t="s">
        <v>679</v>
      </c>
      <c r="L8" s="90">
        <f t="shared" si="0"/>
        <v>0</v>
      </c>
      <c r="M8" s="91"/>
      <c r="N8" s="92"/>
      <c r="O8" s="93"/>
      <c r="P8" s="90">
        <f t="shared" si="1"/>
        <v>1</v>
      </c>
      <c r="Q8" s="91"/>
      <c r="R8" s="92"/>
      <c r="S8" s="93"/>
      <c r="T8" s="90">
        <f t="shared" si="2"/>
        <v>0</v>
      </c>
      <c r="U8" s="91"/>
      <c r="V8" s="92"/>
      <c r="W8" s="93"/>
      <c r="X8" s="90">
        <f t="shared" si="3"/>
        <v>0</v>
      </c>
      <c r="Y8" s="91"/>
      <c r="Z8" s="92"/>
      <c r="AA8" s="93"/>
      <c r="AB8" s="532">
        <f t="shared" si="4"/>
        <v>0</v>
      </c>
      <c r="AC8" s="533"/>
      <c r="AD8" s="534"/>
      <c r="AE8" s="538"/>
      <c r="AF8" s="532">
        <f t="shared" si="5"/>
        <v>0</v>
      </c>
      <c r="AG8" s="533"/>
      <c r="AH8" s="534"/>
      <c r="AI8" s="538"/>
      <c r="AJ8" s="427"/>
      <c r="AK8" s="101"/>
      <c r="AL8" s="97"/>
      <c r="AM8" s="97"/>
      <c r="AN8" s="97"/>
      <c r="AO8" s="97"/>
      <c r="AP8" s="97"/>
      <c r="AQ8" s="97"/>
      <c r="AR8" s="104"/>
      <c r="AS8" s="104"/>
      <c r="AT8" s="104"/>
      <c r="AU8" s="104"/>
      <c r="AV8" s="104"/>
      <c r="AW8" s="104"/>
      <c r="AX8" s="104"/>
      <c r="AY8" s="104"/>
      <c r="AZ8" s="104"/>
      <c r="BA8" s="104"/>
      <c r="BB8" s="104"/>
    </row>
    <row r="9" spans="1:54" ht="24" customHeight="1">
      <c r="A9" s="330" t="s">
        <v>1087</v>
      </c>
      <c r="B9" s="331"/>
      <c r="C9" s="88"/>
      <c r="D9" s="294" t="s">
        <v>98</v>
      </c>
      <c r="E9" s="295">
        <v>0</v>
      </c>
      <c r="F9" s="429" t="s">
        <v>1081</v>
      </c>
      <c r="G9" s="430" t="s">
        <v>215</v>
      </c>
      <c r="H9" s="431" t="s">
        <v>98</v>
      </c>
      <c r="I9" s="431" t="s">
        <v>98</v>
      </c>
      <c r="J9" s="89">
        <v>0</v>
      </c>
      <c r="K9" s="430" t="s">
        <v>679</v>
      </c>
      <c r="L9" s="90">
        <f t="shared" si="0"/>
        <v>0</v>
      </c>
      <c r="M9" s="91"/>
      <c r="N9" s="92"/>
      <c r="O9" s="93"/>
      <c r="P9" s="90">
        <f t="shared" si="1"/>
        <v>0</v>
      </c>
      <c r="Q9" s="91"/>
      <c r="R9" s="92"/>
      <c r="S9" s="93"/>
      <c r="T9" s="90">
        <f t="shared" si="2"/>
        <v>1</v>
      </c>
      <c r="U9" s="91"/>
      <c r="V9" s="92"/>
      <c r="W9" s="93"/>
      <c r="X9" s="90">
        <f t="shared" si="3"/>
        <v>0</v>
      </c>
      <c r="Y9" s="91"/>
      <c r="Z9" s="92"/>
      <c r="AA9" s="93"/>
      <c r="AB9" s="532">
        <f t="shared" si="4"/>
        <v>0</v>
      </c>
      <c r="AC9" s="533"/>
      <c r="AD9" s="534"/>
      <c r="AE9" s="538"/>
      <c r="AF9" s="532">
        <f t="shared" si="5"/>
        <v>0</v>
      </c>
      <c r="AG9" s="533"/>
      <c r="AH9" s="534"/>
      <c r="AI9" s="538"/>
      <c r="AJ9" s="427"/>
      <c r="AK9" s="101"/>
      <c r="AL9" s="97"/>
      <c r="AM9" s="97"/>
      <c r="AN9" s="97"/>
      <c r="AO9" s="97"/>
      <c r="AP9" s="97"/>
      <c r="AQ9" s="97"/>
      <c r="AR9" s="104"/>
      <c r="AS9" s="104"/>
      <c r="AT9" s="104"/>
      <c r="AU9" s="104"/>
      <c r="AV9" s="104"/>
      <c r="AW9" s="104"/>
      <c r="AX9" s="104"/>
      <c r="AY9" s="104"/>
      <c r="AZ9" s="104"/>
      <c r="BA9" s="104"/>
      <c r="BB9" s="104"/>
    </row>
    <row r="10" spans="1:54" ht="24" customHeight="1">
      <c r="A10" s="330" t="s">
        <v>1088</v>
      </c>
      <c r="B10" s="331"/>
      <c r="C10" s="88"/>
      <c r="D10" s="294" t="s">
        <v>98</v>
      </c>
      <c r="E10" s="295">
        <v>0</v>
      </c>
      <c r="F10" s="429" t="s">
        <v>1082</v>
      </c>
      <c r="G10" s="430" t="s">
        <v>215</v>
      </c>
      <c r="H10" s="431" t="s">
        <v>98</v>
      </c>
      <c r="I10" s="431" t="s">
        <v>98</v>
      </c>
      <c r="J10" s="89">
        <v>0</v>
      </c>
      <c r="K10" s="430" t="s">
        <v>679</v>
      </c>
      <c r="L10" s="90">
        <f t="shared" si="0"/>
        <v>0</v>
      </c>
      <c r="M10" s="91"/>
      <c r="N10" s="92"/>
      <c r="O10" s="93"/>
      <c r="P10" s="90">
        <f t="shared" si="1"/>
        <v>0</v>
      </c>
      <c r="Q10" s="91"/>
      <c r="R10" s="92"/>
      <c r="S10" s="93"/>
      <c r="T10" s="90">
        <f t="shared" si="2"/>
        <v>0</v>
      </c>
      <c r="U10" s="91"/>
      <c r="V10" s="92"/>
      <c r="W10" s="93"/>
      <c r="X10" s="90">
        <f t="shared" si="3"/>
        <v>1</v>
      </c>
      <c r="Y10" s="91"/>
      <c r="Z10" s="92"/>
      <c r="AA10" s="93"/>
      <c r="AB10" s="532">
        <f t="shared" si="4"/>
        <v>0</v>
      </c>
      <c r="AC10" s="533"/>
      <c r="AD10" s="534"/>
      <c r="AE10" s="538"/>
      <c r="AF10" s="532">
        <f t="shared" si="5"/>
        <v>0</v>
      </c>
      <c r="AG10" s="533"/>
      <c r="AH10" s="534"/>
      <c r="AI10" s="538"/>
      <c r="AJ10" s="427"/>
      <c r="AK10" s="101"/>
      <c r="AL10" s="97"/>
      <c r="AM10" s="97"/>
      <c r="AN10" s="97"/>
      <c r="AO10" s="97"/>
      <c r="AP10" s="97"/>
      <c r="AQ10" s="97"/>
      <c r="AR10" s="104"/>
      <c r="AS10" s="104"/>
      <c r="AT10" s="104"/>
      <c r="AU10" s="104"/>
      <c r="AV10" s="104"/>
      <c r="AW10" s="104"/>
      <c r="AX10" s="104"/>
      <c r="AY10" s="104"/>
      <c r="AZ10" s="104"/>
      <c r="BA10" s="104"/>
      <c r="BB10" s="104"/>
    </row>
    <row r="11" spans="1:54" ht="24" customHeight="1">
      <c r="A11" s="333" t="s">
        <v>1089</v>
      </c>
      <c r="B11" s="216"/>
      <c r="C11" s="165"/>
      <c r="D11" s="535" t="s">
        <v>98</v>
      </c>
      <c r="E11" s="536">
        <v>0</v>
      </c>
      <c r="F11" s="537" t="s">
        <v>1083</v>
      </c>
      <c r="G11" s="430" t="s">
        <v>373</v>
      </c>
      <c r="H11" s="539" t="s">
        <v>98</v>
      </c>
      <c r="I11" s="539" t="s">
        <v>98</v>
      </c>
      <c r="J11" s="540">
        <v>0</v>
      </c>
      <c r="K11" s="430" t="s">
        <v>679</v>
      </c>
      <c r="L11" s="532">
        <f t="shared" si="0"/>
        <v>0</v>
      </c>
      <c r="M11" s="533"/>
      <c r="N11" s="534"/>
      <c r="O11" s="538"/>
      <c r="P11" s="532">
        <f t="shared" si="1"/>
        <v>0</v>
      </c>
      <c r="Q11" s="533"/>
      <c r="R11" s="534"/>
      <c r="S11" s="538"/>
      <c r="T11" s="532">
        <f t="shared" si="2"/>
        <v>0</v>
      </c>
      <c r="U11" s="533"/>
      <c r="V11" s="534"/>
      <c r="W11" s="538"/>
      <c r="X11" s="532">
        <f t="shared" si="3"/>
        <v>0</v>
      </c>
      <c r="Y11" s="533"/>
      <c r="Z11" s="534"/>
      <c r="AA11" s="538"/>
      <c r="AB11" s="532">
        <f t="shared" si="4"/>
        <v>1</v>
      </c>
      <c r="AC11" s="533"/>
      <c r="AD11" s="534"/>
      <c r="AE11" s="538"/>
      <c r="AF11" s="532">
        <f t="shared" si="5"/>
        <v>0</v>
      </c>
      <c r="AG11" s="533"/>
      <c r="AH11" s="534"/>
      <c r="AI11" s="538"/>
      <c r="AJ11" s="559"/>
      <c r="AK11" s="101"/>
      <c r="AL11" s="97"/>
      <c r="AM11" s="97"/>
      <c r="AN11" s="97"/>
      <c r="AO11" s="97"/>
      <c r="AP11" s="97"/>
      <c r="AQ11" s="97"/>
      <c r="AR11" s="104"/>
      <c r="AS11" s="104"/>
      <c r="AT11" s="104"/>
      <c r="AU11" s="104"/>
      <c r="AV11" s="104"/>
      <c r="AW11" s="104"/>
      <c r="AX11" s="104"/>
      <c r="AY11" s="104"/>
      <c r="AZ11" s="104"/>
      <c r="BA11" s="104"/>
      <c r="BB11" s="104"/>
    </row>
    <row r="12" spans="1:54" s="361" customFormat="1" ht="24" customHeight="1">
      <c r="A12" s="333" t="s">
        <v>1090</v>
      </c>
      <c r="B12" s="216"/>
      <c r="C12" s="165"/>
      <c r="D12" s="535" t="s">
        <v>98</v>
      </c>
      <c r="E12" s="536">
        <v>0</v>
      </c>
      <c r="F12" s="537" t="s">
        <v>1084</v>
      </c>
      <c r="G12" s="430" t="s">
        <v>373</v>
      </c>
      <c r="H12" s="539" t="s">
        <v>98</v>
      </c>
      <c r="I12" s="539" t="s">
        <v>98</v>
      </c>
      <c r="J12" s="540">
        <v>0</v>
      </c>
      <c r="K12" s="430" t="s">
        <v>679</v>
      </c>
      <c r="L12" s="532">
        <f t="shared" si="0"/>
        <v>0</v>
      </c>
      <c r="M12" s="533"/>
      <c r="N12" s="534"/>
      <c r="O12" s="538"/>
      <c r="P12" s="532">
        <f t="shared" si="1"/>
        <v>0</v>
      </c>
      <c r="Q12" s="533"/>
      <c r="R12" s="534"/>
      <c r="S12" s="538"/>
      <c r="T12" s="532">
        <f t="shared" si="2"/>
        <v>0</v>
      </c>
      <c r="U12" s="533"/>
      <c r="V12" s="534"/>
      <c r="W12" s="538"/>
      <c r="X12" s="532">
        <f t="shared" si="3"/>
        <v>0</v>
      </c>
      <c r="Y12" s="533"/>
      <c r="Z12" s="534"/>
      <c r="AA12" s="538"/>
      <c r="AB12" s="532">
        <f t="shared" si="4"/>
        <v>0</v>
      </c>
      <c r="AC12" s="533"/>
      <c r="AD12" s="534"/>
      <c r="AE12" s="538"/>
      <c r="AF12" s="532">
        <f t="shared" si="5"/>
        <v>1</v>
      </c>
      <c r="AG12" s="533"/>
      <c r="AH12" s="534"/>
      <c r="AI12" s="538"/>
      <c r="AJ12" s="559"/>
      <c r="AK12" s="101"/>
      <c r="AL12" s="97"/>
      <c r="AM12" s="97"/>
      <c r="AN12" s="97"/>
      <c r="AO12" s="97"/>
      <c r="AP12" s="97"/>
      <c r="AQ12" s="97"/>
      <c r="AR12" s="104"/>
      <c r="AS12" s="104"/>
      <c r="AT12" s="104"/>
      <c r="AU12" s="104"/>
      <c r="AV12" s="104"/>
      <c r="AW12" s="104"/>
      <c r="AX12" s="104"/>
      <c r="AY12" s="104"/>
      <c r="AZ12" s="104"/>
      <c r="BA12" s="104"/>
      <c r="BB12" s="104"/>
    </row>
    <row r="13" spans="1:54" ht="24" customHeight="1">
      <c r="A13" s="330" t="s">
        <v>1042</v>
      </c>
      <c r="B13" s="331" t="s">
        <v>1091</v>
      </c>
      <c r="C13" s="88"/>
      <c r="D13" s="340">
        <v>5</v>
      </c>
      <c r="E13" s="341" t="s">
        <v>98</v>
      </c>
      <c r="F13" s="432" t="s">
        <v>1035</v>
      </c>
      <c r="G13" s="433" t="s">
        <v>93</v>
      </c>
      <c r="H13" s="434" t="s">
        <v>98</v>
      </c>
      <c r="I13" s="434" t="s">
        <v>98</v>
      </c>
      <c r="J13" s="94">
        <v>0</v>
      </c>
      <c r="K13" s="433" t="s">
        <v>679</v>
      </c>
      <c r="L13" s="376">
        <v>0.92229914374202904</v>
      </c>
      <c r="M13" s="95">
        <v>1</v>
      </c>
      <c r="N13" s="96">
        <f t="shared" ref="N13:N27" si="6">$AU13</f>
        <v>1.3000688016831126</v>
      </c>
      <c r="O13" s="377" t="str">
        <f t="shared" ref="O13:O27" si="7">$AV13&amp;"; "&amp;$AK13</f>
        <v>(4,1,1,1,1,5); Market share European cells</v>
      </c>
      <c r="P13" s="376">
        <v>0</v>
      </c>
      <c r="Q13" s="95">
        <v>1</v>
      </c>
      <c r="R13" s="96">
        <f t="shared" ref="R13:R27" si="8">$AU13</f>
        <v>1.3000688016831126</v>
      </c>
      <c r="S13" s="377" t="str">
        <f t="shared" ref="S13:S27" si="9">$AV13&amp;"; "&amp;$AK13</f>
        <v>(4,1,1,1,1,5); Market share European cells</v>
      </c>
      <c r="T13" s="376">
        <v>0</v>
      </c>
      <c r="U13" s="95">
        <v>1</v>
      </c>
      <c r="V13" s="96">
        <f t="shared" ref="V13:V27" si="10">$AU13</f>
        <v>1.3000688016831126</v>
      </c>
      <c r="W13" s="377" t="str">
        <f t="shared" ref="W13:W27" si="11">$AV13&amp;"; "&amp;$AK13</f>
        <v>(4,1,1,1,1,5); Market share European cells</v>
      </c>
      <c r="X13" s="376">
        <v>0</v>
      </c>
      <c r="Y13" s="95">
        <v>1</v>
      </c>
      <c r="Z13" s="96">
        <f t="shared" ref="Z13:Z27" si="12">$AU13</f>
        <v>1.3000688016831126</v>
      </c>
      <c r="AA13" s="432" t="str">
        <f t="shared" ref="AA13:AA27" si="13">$AV13&amp;"; "&amp;$AK13</f>
        <v>(4,1,1,1,1,5); Market share European cells</v>
      </c>
      <c r="AB13" s="549">
        <v>0</v>
      </c>
      <c r="AC13" s="336">
        <v>1</v>
      </c>
      <c r="AD13" s="337">
        <f t="shared" ref="AD13:AD27" si="14">$AU13</f>
        <v>1.3000688016831126</v>
      </c>
      <c r="AE13" s="437" t="str">
        <f t="shared" ref="AE13:AE27" si="15">$AV13&amp;"; "&amp;$AK13</f>
        <v>(4,1,1,1,1,5); Market share European cells</v>
      </c>
      <c r="AF13" s="549">
        <v>0</v>
      </c>
      <c r="AG13" s="336">
        <v>1</v>
      </c>
      <c r="AH13" s="337">
        <f t="shared" ref="AH13:AH27" si="16">$AU13</f>
        <v>1.3000688016831126</v>
      </c>
      <c r="AI13" s="437" t="str">
        <f t="shared" ref="AI13:AI27" si="17">$AV13&amp;"; "&amp;$AK13</f>
        <v>(4,1,1,1,1,5); Market share European cells</v>
      </c>
      <c r="AJ13" s="112"/>
      <c r="AK13" s="216" t="s">
        <v>1092</v>
      </c>
      <c r="AL13" s="339">
        <v>4</v>
      </c>
      <c r="AM13" s="339">
        <v>1</v>
      </c>
      <c r="AN13" s="339">
        <v>1</v>
      </c>
      <c r="AO13" s="339">
        <v>1</v>
      </c>
      <c r="AP13" s="339">
        <v>1</v>
      </c>
      <c r="AQ13" s="339">
        <v>5</v>
      </c>
      <c r="AR13" s="104">
        <v>3</v>
      </c>
      <c r="AS13" s="104">
        <v>1.05</v>
      </c>
      <c r="AT13" s="107">
        <f t="shared" ref="AT13:AT27" si="18">EXP(SQRT((LN(AW13)^2)+(LN(AX13)^2)+(LN(AY13)^2)+(LN(AZ13)^2)+(LN(BA13)^2)+(LN(BB13)^2)))</f>
        <v>1.2941338353151037</v>
      </c>
      <c r="AU13" s="107">
        <f t="shared" ref="AU13:AU27" si="19">EXP(SQRT((LN(AW13)^2)+(LN(AX13)^2)+(LN(AY13)^2)+(LN(AZ13)^2)+(LN(BA13)^2)+(LN(BB13)^2)+LN(AS13)^2))</f>
        <v>1.3000688016831126</v>
      </c>
      <c r="AV13" s="107" t="str">
        <f t="shared" ref="AV13:AV27" si="20">CONCATENATE("(",AL13,",",AM13,",",AN13,",",AO13,",",AP13,",",AQ13,")")</f>
        <v>(4,1,1,1,1,5)</v>
      </c>
      <c r="AW13" s="108">
        <v>1.2</v>
      </c>
      <c r="AX13" s="108">
        <v>1</v>
      </c>
      <c r="AY13" s="108">
        <v>1</v>
      </c>
      <c r="AZ13" s="108">
        <v>1</v>
      </c>
      <c r="BA13" s="108">
        <v>1</v>
      </c>
      <c r="BB13" s="108">
        <v>1.2</v>
      </c>
    </row>
    <row r="14" spans="1:54" ht="24" customHeight="1">
      <c r="A14" s="330" t="s">
        <v>951</v>
      </c>
      <c r="B14" s="331"/>
      <c r="C14" s="88"/>
      <c r="D14" s="340">
        <v>5</v>
      </c>
      <c r="E14" s="341" t="s">
        <v>98</v>
      </c>
      <c r="F14" s="432" t="s">
        <v>939</v>
      </c>
      <c r="G14" s="433" t="s">
        <v>93</v>
      </c>
      <c r="H14" s="434" t="s">
        <v>98</v>
      </c>
      <c r="I14" s="434" t="s">
        <v>98</v>
      </c>
      <c r="J14" s="94">
        <v>0</v>
      </c>
      <c r="K14" s="433" t="s">
        <v>679</v>
      </c>
      <c r="L14" s="376">
        <v>0</v>
      </c>
      <c r="M14" s="95">
        <v>1</v>
      </c>
      <c r="N14" s="96">
        <f t="shared" si="6"/>
        <v>1.3000688016831126</v>
      </c>
      <c r="O14" s="377" t="str">
        <f t="shared" si="7"/>
        <v>(4,1,1,1,1,5); Market share European cells</v>
      </c>
      <c r="P14" s="376">
        <v>0.46114957187101502</v>
      </c>
      <c r="Q14" s="95">
        <v>1</v>
      </c>
      <c r="R14" s="96">
        <f t="shared" si="8"/>
        <v>1.3000688016831126</v>
      </c>
      <c r="S14" s="377" t="str">
        <f t="shared" si="9"/>
        <v>(4,1,1,1,1,5); Market share European cells</v>
      </c>
      <c r="T14" s="376">
        <v>0</v>
      </c>
      <c r="U14" s="95">
        <v>1</v>
      </c>
      <c r="V14" s="96">
        <f t="shared" si="10"/>
        <v>1.3000688016831126</v>
      </c>
      <c r="W14" s="377" t="str">
        <f t="shared" si="11"/>
        <v>(4,1,1,1,1,5); Market share European cells</v>
      </c>
      <c r="X14" s="376">
        <v>0</v>
      </c>
      <c r="Y14" s="95">
        <v>1</v>
      </c>
      <c r="Z14" s="96">
        <f t="shared" si="12"/>
        <v>1.3000688016831126</v>
      </c>
      <c r="AA14" s="432" t="str">
        <f t="shared" si="13"/>
        <v>(4,1,1,1,1,5); Market share European cells</v>
      </c>
      <c r="AB14" s="549">
        <v>0</v>
      </c>
      <c r="AC14" s="336">
        <v>1</v>
      </c>
      <c r="AD14" s="337">
        <f t="shared" si="14"/>
        <v>1.3000688016831126</v>
      </c>
      <c r="AE14" s="437" t="str">
        <f t="shared" si="15"/>
        <v>(4,1,1,1,1,5); Market share European cells</v>
      </c>
      <c r="AF14" s="549">
        <v>0</v>
      </c>
      <c r="AG14" s="336">
        <v>1</v>
      </c>
      <c r="AH14" s="337">
        <f t="shared" si="16"/>
        <v>1.3000688016831126</v>
      </c>
      <c r="AI14" s="437" t="str">
        <f t="shared" si="17"/>
        <v>(4,1,1,1,1,5); Market share European cells</v>
      </c>
      <c r="AJ14" s="112"/>
      <c r="AK14" s="216" t="s">
        <v>1092</v>
      </c>
      <c r="AL14" s="339">
        <v>4</v>
      </c>
      <c r="AM14" s="339">
        <v>1</v>
      </c>
      <c r="AN14" s="339">
        <v>1</v>
      </c>
      <c r="AO14" s="339">
        <v>1</v>
      </c>
      <c r="AP14" s="339">
        <v>1</v>
      </c>
      <c r="AQ14" s="339">
        <v>5</v>
      </c>
      <c r="AR14" s="104">
        <v>3</v>
      </c>
      <c r="AS14" s="104">
        <v>1.05</v>
      </c>
      <c r="AT14" s="107">
        <f t="shared" si="18"/>
        <v>1.2941338353151037</v>
      </c>
      <c r="AU14" s="107">
        <f t="shared" si="19"/>
        <v>1.3000688016831126</v>
      </c>
      <c r="AV14" s="107" t="str">
        <f t="shared" si="20"/>
        <v>(4,1,1,1,1,5)</v>
      </c>
      <c r="AW14" s="108">
        <v>1.2</v>
      </c>
      <c r="AX14" s="108">
        <v>1</v>
      </c>
      <c r="AY14" s="108">
        <v>1</v>
      </c>
      <c r="AZ14" s="108">
        <v>1</v>
      </c>
      <c r="BA14" s="108">
        <v>1</v>
      </c>
      <c r="BB14" s="108">
        <v>1.2</v>
      </c>
    </row>
    <row r="15" spans="1:54" ht="24" customHeight="1">
      <c r="A15" s="330" t="s">
        <v>950</v>
      </c>
      <c r="B15" s="331"/>
      <c r="C15" s="88"/>
      <c r="D15" s="340">
        <v>5</v>
      </c>
      <c r="E15" s="341" t="s">
        <v>98</v>
      </c>
      <c r="F15" s="432" t="s">
        <v>938</v>
      </c>
      <c r="G15" s="433" t="s">
        <v>93</v>
      </c>
      <c r="H15" s="434" t="s">
        <v>98</v>
      </c>
      <c r="I15" s="434" t="s">
        <v>98</v>
      </c>
      <c r="J15" s="94">
        <v>0</v>
      </c>
      <c r="K15" s="433" t="s">
        <v>679</v>
      </c>
      <c r="L15" s="376">
        <v>0</v>
      </c>
      <c r="M15" s="95">
        <v>1</v>
      </c>
      <c r="N15" s="96">
        <f t="shared" si="6"/>
        <v>1.3000688016831126</v>
      </c>
      <c r="O15" s="377" t="str">
        <f t="shared" si="7"/>
        <v>(4,1,1,1,1,5); Market share European cells</v>
      </c>
      <c r="P15" s="376">
        <v>0.46114957187101502</v>
      </c>
      <c r="Q15" s="95">
        <v>1</v>
      </c>
      <c r="R15" s="96">
        <f t="shared" si="8"/>
        <v>1.3000688016831126</v>
      </c>
      <c r="S15" s="377" t="str">
        <f t="shared" si="9"/>
        <v>(4,1,1,1,1,5); Market share European cells</v>
      </c>
      <c r="T15" s="376">
        <v>0</v>
      </c>
      <c r="U15" s="95">
        <v>1</v>
      </c>
      <c r="V15" s="96">
        <f t="shared" si="10"/>
        <v>1.3000688016831126</v>
      </c>
      <c r="W15" s="377" t="str">
        <f t="shared" si="11"/>
        <v>(4,1,1,1,1,5); Market share European cells</v>
      </c>
      <c r="X15" s="376">
        <v>0</v>
      </c>
      <c r="Y15" s="95">
        <v>1</v>
      </c>
      <c r="Z15" s="96">
        <f t="shared" si="12"/>
        <v>1.3000688016831126</v>
      </c>
      <c r="AA15" s="432" t="str">
        <f t="shared" si="13"/>
        <v>(4,1,1,1,1,5); Market share European cells</v>
      </c>
      <c r="AB15" s="549">
        <v>0</v>
      </c>
      <c r="AC15" s="336">
        <v>1</v>
      </c>
      <c r="AD15" s="337">
        <f t="shared" si="14"/>
        <v>1.3000688016831126</v>
      </c>
      <c r="AE15" s="437" t="str">
        <f t="shared" si="15"/>
        <v>(4,1,1,1,1,5); Market share European cells</v>
      </c>
      <c r="AF15" s="549">
        <v>0</v>
      </c>
      <c r="AG15" s="336">
        <v>1</v>
      </c>
      <c r="AH15" s="337">
        <f t="shared" si="16"/>
        <v>1.3000688016831126</v>
      </c>
      <c r="AI15" s="437" t="str">
        <f t="shared" si="17"/>
        <v>(4,1,1,1,1,5); Market share European cells</v>
      </c>
      <c r="AJ15" s="112"/>
      <c r="AK15" s="216" t="s">
        <v>1092</v>
      </c>
      <c r="AL15" s="339">
        <v>4</v>
      </c>
      <c r="AM15" s="339">
        <v>1</v>
      </c>
      <c r="AN15" s="339">
        <v>1</v>
      </c>
      <c r="AO15" s="339">
        <v>1</v>
      </c>
      <c r="AP15" s="339">
        <v>1</v>
      </c>
      <c r="AQ15" s="339">
        <v>5</v>
      </c>
      <c r="AR15" s="104">
        <v>3</v>
      </c>
      <c r="AS15" s="104">
        <v>1.05</v>
      </c>
      <c r="AT15" s="107">
        <f t="shared" si="18"/>
        <v>1.2941338353151037</v>
      </c>
      <c r="AU15" s="107">
        <f t="shared" si="19"/>
        <v>1.3000688016831126</v>
      </c>
      <c r="AV15" s="107" t="str">
        <f t="shared" si="20"/>
        <v>(4,1,1,1,1,5)</v>
      </c>
      <c r="AW15" s="108">
        <v>1.2</v>
      </c>
      <c r="AX15" s="108">
        <v>1</v>
      </c>
      <c r="AY15" s="108">
        <v>1</v>
      </c>
      <c r="AZ15" s="108">
        <v>1</v>
      </c>
      <c r="BA15" s="108">
        <v>1</v>
      </c>
      <c r="BB15" s="108">
        <v>1.2</v>
      </c>
    </row>
    <row r="16" spans="1:54">
      <c r="A16" s="330" t="s">
        <v>1039</v>
      </c>
      <c r="B16" s="331"/>
      <c r="C16" s="88"/>
      <c r="D16" s="340">
        <v>5</v>
      </c>
      <c r="E16" s="341" t="s">
        <v>98</v>
      </c>
      <c r="F16" s="432" t="s">
        <v>1032</v>
      </c>
      <c r="G16" s="433" t="s">
        <v>372</v>
      </c>
      <c r="H16" s="434" t="s">
        <v>98</v>
      </c>
      <c r="I16" s="434" t="s">
        <v>98</v>
      </c>
      <c r="J16" s="94">
        <v>0</v>
      </c>
      <c r="K16" s="433" t="s">
        <v>679</v>
      </c>
      <c r="L16" s="376">
        <v>7.7700856257970505E-2</v>
      </c>
      <c r="M16" s="95">
        <v>1</v>
      </c>
      <c r="N16" s="96">
        <f t="shared" si="6"/>
        <v>1.3000688016831126</v>
      </c>
      <c r="O16" s="377" t="str">
        <f t="shared" si="7"/>
        <v>(4,1,1,1,1,5); Market share Chinese cells</v>
      </c>
      <c r="P16" s="376">
        <v>0</v>
      </c>
      <c r="Q16" s="95">
        <v>1</v>
      </c>
      <c r="R16" s="96">
        <f t="shared" si="8"/>
        <v>1.3000688016831126</v>
      </c>
      <c r="S16" s="377" t="str">
        <f t="shared" si="9"/>
        <v>(4,1,1,1,1,5); Market share Chinese cells</v>
      </c>
      <c r="T16" s="376">
        <v>0.77312427480142598</v>
      </c>
      <c r="U16" s="95">
        <v>1</v>
      </c>
      <c r="V16" s="96">
        <f t="shared" si="10"/>
        <v>1.3000688016831126</v>
      </c>
      <c r="W16" s="377" t="str">
        <f t="shared" si="11"/>
        <v>(4,1,1,1,1,5); Market share Chinese cells</v>
      </c>
      <c r="X16" s="376">
        <v>0</v>
      </c>
      <c r="Y16" s="95">
        <v>1</v>
      </c>
      <c r="Z16" s="96">
        <f t="shared" si="12"/>
        <v>1.3000688016831126</v>
      </c>
      <c r="AA16" s="432" t="str">
        <f t="shared" si="13"/>
        <v>(4,1,1,1,1,5); Market share Chinese cells</v>
      </c>
      <c r="AB16" s="549">
        <v>0.111411884004868</v>
      </c>
      <c r="AC16" s="336">
        <v>1</v>
      </c>
      <c r="AD16" s="337">
        <f t="shared" si="14"/>
        <v>1.3000688016831126</v>
      </c>
      <c r="AE16" s="437" t="str">
        <f t="shared" si="15"/>
        <v>(4,1,1,1,1,5); Market share Chinese cells</v>
      </c>
      <c r="AF16" s="549">
        <v>0</v>
      </c>
      <c r="AG16" s="336">
        <v>1</v>
      </c>
      <c r="AH16" s="337">
        <f t="shared" si="16"/>
        <v>1.3000688016831126</v>
      </c>
      <c r="AI16" s="437" t="str">
        <f t="shared" si="17"/>
        <v>(4,1,1,1,1,5); Market share Chinese cells</v>
      </c>
      <c r="AJ16" s="112"/>
      <c r="AK16" s="216" t="s">
        <v>1093</v>
      </c>
      <c r="AL16" s="339">
        <v>4</v>
      </c>
      <c r="AM16" s="339">
        <v>1</v>
      </c>
      <c r="AN16" s="339">
        <v>1</v>
      </c>
      <c r="AO16" s="339">
        <v>1</v>
      </c>
      <c r="AP16" s="339">
        <v>1</v>
      </c>
      <c r="AQ16" s="339">
        <v>5</v>
      </c>
      <c r="AR16" s="104">
        <v>3</v>
      </c>
      <c r="AS16" s="104">
        <v>1.05</v>
      </c>
      <c r="AT16" s="107">
        <f t="shared" si="18"/>
        <v>1.2941338353151037</v>
      </c>
      <c r="AU16" s="107">
        <f t="shared" si="19"/>
        <v>1.3000688016831126</v>
      </c>
      <c r="AV16" s="107" t="str">
        <f t="shared" si="20"/>
        <v>(4,1,1,1,1,5)</v>
      </c>
      <c r="AW16" s="108">
        <v>1.2</v>
      </c>
      <c r="AX16" s="108">
        <v>1</v>
      </c>
      <c r="AY16" s="108">
        <v>1</v>
      </c>
      <c r="AZ16" s="108">
        <v>1</v>
      </c>
      <c r="BA16" s="108">
        <v>1</v>
      </c>
      <c r="BB16" s="108">
        <v>1.2</v>
      </c>
    </row>
    <row r="17" spans="1:54" ht="24" customHeight="1">
      <c r="A17" s="330" t="s">
        <v>945</v>
      </c>
      <c r="B17" s="331"/>
      <c r="C17" s="88"/>
      <c r="D17" s="340">
        <v>5</v>
      </c>
      <c r="E17" s="341" t="s">
        <v>98</v>
      </c>
      <c r="F17" s="432" t="s">
        <v>933</v>
      </c>
      <c r="G17" s="433" t="s">
        <v>372</v>
      </c>
      <c r="H17" s="434" t="s">
        <v>98</v>
      </c>
      <c r="I17" s="434" t="s">
        <v>98</v>
      </c>
      <c r="J17" s="94">
        <v>0</v>
      </c>
      <c r="K17" s="433" t="s">
        <v>679</v>
      </c>
      <c r="L17" s="376">
        <v>0</v>
      </c>
      <c r="M17" s="95">
        <v>1</v>
      </c>
      <c r="N17" s="96">
        <f t="shared" si="6"/>
        <v>1.3000688016831126</v>
      </c>
      <c r="O17" s="377" t="str">
        <f t="shared" si="7"/>
        <v>(4,1,1,1,1,5); Market share Chinese cells</v>
      </c>
      <c r="P17" s="376">
        <v>3.8850428128985197E-2</v>
      </c>
      <c r="Q17" s="95">
        <v>1</v>
      </c>
      <c r="R17" s="96">
        <f t="shared" si="8"/>
        <v>1.3000688016831126</v>
      </c>
      <c r="S17" s="377" t="str">
        <f t="shared" si="9"/>
        <v>(4,1,1,1,1,5); Market share Chinese cells</v>
      </c>
      <c r="T17" s="376">
        <v>0</v>
      </c>
      <c r="U17" s="95">
        <v>1</v>
      </c>
      <c r="V17" s="96">
        <f t="shared" si="10"/>
        <v>1.3000688016831126</v>
      </c>
      <c r="W17" s="377" t="str">
        <f t="shared" si="11"/>
        <v>(4,1,1,1,1,5); Market share Chinese cells</v>
      </c>
      <c r="X17" s="376">
        <v>0.38656213740071299</v>
      </c>
      <c r="Y17" s="95">
        <v>1</v>
      </c>
      <c r="Z17" s="96">
        <f t="shared" si="12"/>
        <v>1.3000688016831126</v>
      </c>
      <c r="AA17" s="432" t="str">
        <f t="shared" si="13"/>
        <v>(4,1,1,1,1,5); Market share Chinese cells</v>
      </c>
      <c r="AB17" s="549">
        <v>0</v>
      </c>
      <c r="AC17" s="336">
        <v>1</v>
      </c>
      <c r="AD17" s="337">
        <f t="shared" si="14"/>
        <v>1.3000688016831126</v>
      </c>
      <c r="AE17" s="437" t="str">
        <f t="shared" si="15"/>
        <v>(4,1,1,1,1,5); Market share Chinese cells</v>
      </c>
      <c r="AF17" s="549">
        <v>5.5705942002433798E-2</v>
      </c>
      <c r="AG17" s="336">
        <v>1</v>
      </c>
      <c r="AH17" s="337">
        <f t="shared" si="16"/>
        <v>1.3000688016831126</v>
      </c>
      <c r="AI17" s="437" t="str">
        <f t="shared" si="17"/>
        <v>(4,1,1,1,1,5); Market share Chinese cells</v>
      </c>
      <c r="AJ17" s="112"/>
      <c r="AK17" s="216" t="s">
        <v>1093</v>
      </c>
      <c r="AL17" s="339">
        <v>4</v>
      </c>
      <c r="AM17" s="339">
        <v>1</v>
      </c>
      <c r="AN17" s="339">
        <v>1</v>
      </c>
      <c r="AO17" s="339">
        <v>1</v>
      </c>
      <c r="AP17" s="339">
        <v>1</v>
      </c>
      <c r="AQ17" s="339">
        <v>5</v>
      </c>
      <c r="AR17" s="104">
        <v>3</v>
      </c>
      <c r="AS17" s="104">
        <v>1.05</v>
      </c>
      <c r="AT17" s="107">
        <f t="shared" si="18"/>
        <v>1.2941338353151037</v>
      </c>
      <c r="AU17" s="107">
        <f t="shared" si="19"/>
        <v>1.3000688016831126</v>
      </c>
      <c r="AV17" s="107" t="str">
        <f t="shared" si="20"/>
        <v>(4,1,1,1,1,5)</v>
      </c>
      <c r="AW17" s="108">
        <v>1.2</v>
      </c>
      <c r="AX17" s="108">
        <v>1</v>
      </c>
      <c r="AY17" s="108">
        <v>1</v>
      </c>
      <c r="AZ17" s="108">
        <v>1</v>
      </c>
      <c r="BA17" s="108">
        <v>1</v>
      </c>
      <c r="BB17" s="108">
        <v>1.2</v>
      </c>
    </row>
    <row r="18" spans="1:54" ht="24" customHeight="1">
      <c r="A18" s="330" t="s">
        <v>944</v>
      </c>
      <c r="B18" s="331"/>
      <c r="C18" s="88"/>
      <c r="D18" s="340">
        <v>5</v>
      </c>
      <c r="E18" s="341" t="s">
        <v>98</v>
      </c>
      <c r="F18" s="432" t="s">
        <v>932</v>
      </c>
      <c r="G18" s="433" t="s">
        <v>372</v>
      </c>
      <c r="H18" s="434" t="s">
        <v>98</v>
      </c>
      <c r="I18" s="434" t="s">
        <v>98</v>
      </c>
      <c r="J18" s="94">
        <v>0</v>
      </c>
      <c r="K18" s="433" t="s">
        <v>679</v>
      </c>
      <c r="L18" s="376">
        <v>0</v>
      </c>
      <c r="M18" s="95">
        <v>1</v>
      </c>
      <c r="N18" s="96">
        <f t="shared" si="6"/>
        <v>1.3000688016831126</v>
      </c>
      <c r="O18" s="377" t="str">
        <f t="shared" si="7"/>
        <v>(4,1,1,1,1,5); Market share Chinese cells</v>
      </c>
      <c r="P18" s="376">
        <v>3.8850428128985197E-2</v>
      </c>
      <c r="Q18" s="95">
        <v>1</v>
      </c>
      <c r="R18" s="96">
        <f t="shared" si="8"/>
        <v>1.3000688016831126</v>
      </c>
      <c r="S18" s="377" t="str">
        <f t="shared" si="9"/>
        <v>(4,1,1,1,1,5); Market share Chinese cells</v>
      </c>
      <c r="T18" s="376">
        <v>0</v>
      </c>
      <c r="U18" s="95">
        <v>1</v>
      </c>
      <c r="V18" s="96">
        <f t="shared" si="10"/>
        <v>1.3000688016831126</v>
      </c>
      <c r="W18" s="377" t="str">
        <f t="shared" si="11"/>
        <v>(4,1,1,1,1,5); Market share Chinese cells</v>
      </c>
      <c r="X18" s="376">
        <v>0.38656213740071299</v>
      </c>
      <c r="Y18" s="95">
        <v>1</v>
      </c>
      <c r="Z18" s="96">
        <f t="shared" si="12"/>
        <v>1.3000688016831126</v>
      </c>
      <c r="AA18" s="432" t="str">
        <f t="shared" si="13"/>
        <v>(4,1,1,1,1,5); Market share Chinese cells</v>
      </c>
      <c r="AB18" s="549">
        <v>0</v>
      </c>
      <c r="AC18" s="336">
        <v>1</v>
      </c>
      <c r="AD18" s="337">
        <f t="shared" si="14"/>
        <v>1.3000688016831126</v>
      </c>
      <c r="AE18" s="437" t="str">
        <f t="shared" si="15"/>
        <v>(4,1,1,1,1,5); Market share Chinese cells</v>
      </c>
      <c r="AF18" s="549">
        <v>5.5705942002433798E-2</v>
      </c>
      <c r="AG18" s="336">
        <v>1</v>
      </c>
      <c r="AH18" s="337">
        <f t="shared" si="16"/>
        <v>1.3000688016831126</v>
      </c>
      <c r="AI18" s="437" t="str">
        <f t="shared" si="17"/>
        <v>(4,1,1,1,1,5); Market share Chinese cells</v>
      </c>
      <c r="AJ18" s="112"/>
      <c r="AK18" s="216" t="s">
        <v>1093</v>
      </c>
      <c r="AL18" s="339">
        <v>4</v>
      </c>
      <c r="AM18" s="339">
        <v>1</v>
      </c>
      <c r="AN18" s="339">
        <v>1</v>
      </c>
      <c r="AO18" s="339">
        <v>1</v>
      </c>
      <c r="AP18" s="339">
        <v>1</v>
      </c>
      <c r="AQ18" s="339">
        <v>5</v>
      </c>
      <c r="AR18" s="104">
        <v>3</v>
      </c>
      <c r="AS18" s="104">
        <v>1.05</v>
      </c>
      <c r="AT18" s="107">
        <f t="shared" si="18"/>
        <v>1.2941338353151037</v>
      </c>
      <c r="AU18" s="107">
        <f t="shared" si="19"/>
        <v>1.3000688016831126</v>
      </c>
      <c r="AV18" s="107" t="str">
        <f t="shared" si="20"/>
        <v>(4,1,1,1,1,5)</v>
      </c>
      <c r="AW18" s="108">
        <v>1.2</v>
      </c>
      <c r="AX18" s="108">
        <v>1</v>
      </c>
      <c r="AY18" s="108">
        <v>1</v>
      </c>
      <c r="AZ18" s="108">
        <v>1</v>
      </c>
      <c r="BA18" s="108">
        <v>1</v>
      </c>
      <c r="BB18" s="108">
        <v>1.2</v>
      </c>
    </row>
    <row r="19" spans="1:54">
      <c r="A19" s="330" t="s">
        <v>1040</v>
      </c>
      <c r="B19" s="331"/>
      <c r="C19" s="88"/>
      <c r="D19" s="340">
        <v>5</v>
      </c>
      <c r="E19" s="341" t="s">
        <v>98</v>
      </c>
      <c r="F19" s="432" t="s">
        <v>1033</v>
      </c>
      <c r="G19" s="433" t="s">
        <v>215</v>
      </c>
      <c r="H19" s="434" t="s">
        <v>98</v>
      </c>
      <c r="I19" s="434" t="s">
        <v>98</v>
      </c>
      <c r="J19" s="94">
        <v>0</v>
      </c>
      <c r="K19" s="433" t="s">
        <v>679</v>
      </c>
      <c r="L19" s="376">
        <v>0</v>
      </c>
      <c r="M19" s="95">
        <v>1</v>
      </c>
      <c r="N19" s="96">
        <f t="shared" si="6"/>
        <v>1.3000688016831126</v>
      </c>
      <c r="O19" s="377" t="str">
        <f t="shared" si="7"/>
        <v>(4,1,1,1,1,5); Market share US cells</v>
      </c>
      <c r="P19" s="376">
        <v>0</v>
      </c>
      <c r="Q19" s="95">
        <v>1</v>
      </c>
      <c r="R19" s="96">
        <f t="shared" si="8"/>
        <v>1.3000688016831126</v>
      </c>
      <c r="S19" s="377" t="str">
        <f t="shared" si="9"/>
        <v>(4,1,1,1,1,5); Market share US cells</v>
      </c>
      <c r="T19" s="376">
        <v>0.22687572519857399</v>
      </c>
      <c r="U19" s="95">
        <v>1</v>
      </c>
      <c r="V19" s="96">
        <f t="shared" si="10"/>
        <v>1.3000688016831126</v>
      </c>
      <c r="W19" s="377" t="str">
        <f t="shared" si="11"/>
        <v>(4,1,1,1,1,5); Market share US cells</v>
      </c>
      <c r="X19" s="376">
        <v>0</v>
      </c>
      <c r="Y19" s="95">
        <v>1</v>
      </c>
      <c r="Z19" s="96">
        <f t="shared" si="12"/>
        <v>1.3000688016831126</v>
      </c>
      <c r="AA19" s="432" t="str">
        <f t="shared" si="13"/>
        <v>(4,1,1,1,1,5); Market share US cells</v>
      </c>
      <c r="AB19" s="549">
        <v>0</v>
      </c>
      <c r="AC19" s="336">
        <v>1</v>
      </c>
      <c r="AD19" s="337">
        <f t="shared" si="14"/>
        <v>1.3000688016831126</v>
      </c>
      <c r="AE19" s="437" t="str">
        <f t="shared" si="15"/>
        <v>(4,1,1,1,1,5); Market share US cells</v>
      </c>
      <c r="AF19" s="549">
        <v>0</v>
      </c>
      <c r="AG19" s="336">
        <v>1</v>
      </c>
      <c r="AH19" s="337">
        <f t="shared" si="16"/>
        <v>1.3000688016831126</v>
      </c>
      <c r="AI19" s="437" t="str">
        <f t="shared" si="17"/>
        <v>(4,1,1,1,1,5); Market share US cells</v>
      </c>
      <c r="AJ19" s="112"/>
      <c r="AK19" s="216" t="s">
        <v>1094</v>
      </c>
      <c r="AL19" s="339">
        <v>4</v>
      </c>
      <c r="AM19" s="339">
        <v>1</v>
      </c>
      <c r="AN19" s="339">
        <v>1</v>
      </c>
      <c r="AO19" s="339">
        <v>1</v>
      </c>
      <c r="AP19" s="339">
        <v>1</v>
      </c>
      <c r="AQ19" s="339">
        <v>5</v>
      </c>
      <c r="AR19" s="104">
        <v>3</v>
      </c>
      <c r="AS19" s="104">
        <v>1.05</v>
      </c>
      <c r="AT19" s="107">
        <f t="shared" si="18"/>
        <v>1.2941338353151037</v>
      </c>
      <c r="AU19" s="107">
        <f t="shared" si="19"/>
        <v>1.3000688016831126</v>
      </c>
      <c r="AV19" s="107" t="str">
        <f t="shared" si="20"/>
        <v>(4,1,1,1,1,5)</v>
      </c>
      <c r="AW19" s="108">
        <v>1.2</v>
      </c>
      <c r="AX19" s="108">
        <v>1</v>
      </c>
      <c r="AY19" s="108">
        <v>1</v>
      </c>
      <c r="AZ19" s="108">
        <v>1</v>
      </c>
      <c r="BA19" s="108">
        <v>1</v>
      </c>
      <c r="BB19" s="108">
        <v>1.2</v>
      </c>
    </row>
    <row r="20" spans="1:54" ht="24" customHeight="1">
      <c r="A20" s="330" t="s">
        <v>947</v>
      </c>
      <c r="B20" s="331"/>
      <c r="C20" s="88"/>
      <c r="D20" s="340">
        <v>5</v>
      </c>
      <c r="E20" s="341" t="s">
        <v>98</v>
      </c>
      <c r="F20" s="432" t="s">
        <v>935</v>
      </c>
      <c r="G20" s="433" t="s">
        <v>215</v>
      </c>
      <c r="H20" s="434" t="s">
        <v>98</v>
      </c>
      <c r="I20" s="434" t="s">
        <v>98</v>
      </c>
      <c r="J20" s="94">
        <v>0</v>
      </c>
      <c r="K20" s="433" t="s">
        <v>679</v>
      </c>
      <c r="L20" s="376">
        <v>0</v>
      </c>
      <c r="M20" s="95">
        <v>1</v>
      </c>
      <c r="N20" s="96">
        <f t="shared" si="6"/>
        <v>1.3000688016831126</v>
      </c>
      <c r="O20" s="377" t="str">
        <f t="shared" si="7"/>
        <v>(4,1,1,1,1,5); Market share US cells</v>
      </c>
      <c r="P20" s="376">
        <v>0</v>
      </c>
      <c r="Q20" s="95">
        <v>1</v>
      </c>
      <c r="R20" s="96">
        <f t="shared" si="8"/>
        <v>1.3000688016831126</v>
      </c>
      <c r="S20" s="377" t="str">
        <f t="shared" si="9"/>
        <v>(4,1,1,1,1,5); Market share US cells</v>
      </c>
      <c r="T20" s="376">
        <v>0</v>
      </c>
      <c r="U20" s="95">
        <v>1</v>
      </c>
      <c r="V20" s="96">
        <f t="shared" si="10"/>
        <v>1.3000688016831126</v>
      </c>
      <c r="W20" s="377" t="str">
        <f t="shared" si="11"/>
        <v>(4,1,1,1,1,5); Market share US cells</v>
      </c>
      <c r="X20" s="376">
        <v>0.113437862599287</v>
      </c>
      <c r="Y20" s="95">
        <v>1</v>
      </c>
      <c r="Z20" s="96">
        <f t="shared" si="12"/>
        <v>1.3000688016831126</v>
      </c>
      <c r="AA20" s="432" t="str">
        <f t="shared" si="13"/>
        <v>(4,1,1,1,1,5); Market share US cells</v>
      </c>
      <c r="AB20" s="549">
        <v>0</v>
      </c>
      <c r="AC20" s="336">
        <v>1</v>
      </c>
      <c r="AD20" s="337">
        <f t="shared" si="14"/>
        <v>1.3000688016831126</v>
      </c>
      <c r="AE20" s="437" t="str">
        <f t="shared" si="15"/>
        <v>(4,1,1,1,1,5); Market share US cells</v>
      </c>
      <c r="AF20" s="549">
        <v>0</v>
      </c>
      <c r="AG20" s="336">
        <v>1</v>
      </c>
      <c r="AH20" s="337">
        <f t="shared" si="16"/>
        <v>1.3000688016831126</v>
      </c>
      <c r="AI20" s="437" t="str">
        <f t="shared" si="17"/>
        <v>(4,1,1,1,1,5); Market share US cells</v>
      </c>
      <c r="AJ20" s="112"/>
      <c r="AK20" s="216" t="s">
        <v>1094</v>
      </c>
      <c r="AL20" s="339">
        <v>4</v>
      </c>
      <c r="AM20" s="339">
        <v>1</v>
      </c>
      <c r="AN20" s="339">
        <v>1</v>
      </c>
      <c r="AO20" s="339">
        <v>1</v>
      </c>
      <c r="AP20" s="339">
        <v>1</v>
      </c>
      <c r="AQ20" s="339">
        <v>5</v>
      </c>
      <c r="AR20" s="104">
        <v>3</v>
      </c>
      <c r="AS20" s="104">
        <v>1.05</v>
      </c>
      <c r="AT20" s="107">
        <f t="shared" si="18"/>
        <v>1.2941338353151037</v>
      </c>
      <c r="AU20" s="107">
        <f t="shared" si="19"/>
        <v>1.3000688016831126</v>
      </c>
      <c r="AV20" s="107" t="str">
        <f t="shared" si="20"/>
        <v>(4,1,1,1,1,5)</v>
      </c>
      <c r="AW20" s="108">
        <v>1.2</v>
      </c>
      <c r="AX20" s="108">
        <v>1</v>
      </c>
      <c r="AY20" s="108">
        <v>1</v>
      </c>
      <c r="AZ20" s="108">
        <v>1</v>
      </c>
      <c r="BA20" s="108">
        <v>1</v>
      </c>
      <c r="BB20" s="108">
        <v>1.2</v>
      </c>
    </row>
    <row r="21" spans="1:54" ht="24" customHeight="1">
      <c r="A21" s="330" t="s">
        <v>946</v>
      </c>
      <c r="B21" s="331"/>
      <c r="C21" s="88"/>
      <c r="D21" s="340">
        <v>5</v>
      </c>
      <c r="E21" s="341" t="s">
        <v>98</v>
      </c>
      <c r="F21" s="432" t="s">
        <v>934</v>
      </c>
      <c r="G21" s="433" t="s">
        <v>215</v>
      </c>
      <c r="H21" s="434" t="s">
        <v>98</v>
      </c>
      <c r="I21" s="434" t="s">
        <v>98</v>
      </c>
      <c r="J21" s="94">
        <v>0</v>
      </c>
      <c r="K21" s="433" t="s">
        <v>679</v>
      </c>
      <c r="L21" s="376">
        <v>0</v>
      </c>
      <c r="M21" s="95">
        <v>1</v>
      </c>
      <c r="N21" s="96">
        <f t="shared" si="6"/>
        <v>1.3000688016831126</v>
      </c>
      <c r="O21" s="377" t="str">
        <f t="shared" si="7"/>
        <v>(4,1,1,1,1,5); Market share US cells</v>
      </c>
      <c r="P21" s="376">
        <v>0</v>
      </c>
      <c r="Q21" s="95">
        <v>1</v>
      </c>
      <c r="R21" s="96">
        <f t="shared" si="8"/>
        <v>1.3000688016831126</v>
      </c>
      <c r="S21" s="377" t="str">
        <f t="shared" si="9"/>
        <v>(4,1,1,1,1,5); Market share US cells</v>
      </c>
      <c r="T21" s="376">
        <v>0</v>
      </c>
      <c r="U21" s="95">
        <v>1</v>
      </c>
      <c r="V21" s="96">
        <f t="shared" si="10"/>
        <v>1.3000688016831126</v>
      </c>
      <c r="W21" s="377" t="str">
        <f t="shared" si="11"/>
        <v>(4,1,1,1,1,5); Market share US cells</v>
      </c>
      <c r="X21" s="376">
        <v>0.113437862599287</v>
      </c>
      <c r="Y21" s="95">
        <v>1</v>
      </c>
      <c r="Z21" s="96">
        <f t="shared" si="12"/>
        <v>1.3000688016831126</v>
      </c>
      <c r="AA21" s="432" t="str">
        <f t="shared" si="13"/>
        <v>(4,1,1,1,1,5); Market share US cells</v>
      </c>
      <c r="AB21" s="549">
        <v>0</v>
      </c>
      <c r="AC21" s="336">
        <v>1</v>
      </c>
      <c r="AD21" s="337">
        <f t="shared" si="14"/>
        <v>1.3000688016831126</v>
      </c>
      <c r="AE21" s="437" t="str">
        <f t="shared" si="15"/>
        <v>(4,1,1,1,1,5); Market share US cells</v>
      </c>
      <c r="AF21" s="549">
        <v>0</v>
      </c>
      <c r="AG21" s="336">
        <v>1</v>
      </c>
      <c r="AH21" s="337">
        <f t="shared" si="16"/>
        <v>1.3000688016831126</v>
      </c>
      <c r="AI21" s="437" t="str">
        <f t="shared" si="17"/>
        <v>(4,1,1,1,1,5); Market share US cells</v>
      </c>
      <c r="AJ21" s="112"/>
      <c r="AK21" s="216" t="s">
        <v>1094</v>
      </c>
      <c r="AL21" s="339">
        <v>4</v>
      </c>
      <c r="AM21" s="339">
        <v>1</v>
      </c>
      <c r="AN21" s="339">
        <v>1</v>
      </c>
      <c r="AO21" s="339">
        <v>1</v>
      </c>
      <c r="AP21" s="339">
        <v>1</v>
      </c>
      <c r="AQ21" s="339">
        <v>5</v>
      </c>
      <c r="AR21" s="104">
        <v>3</v>
      </c>
      <c r="AS21" s="104">
        <v>1.05</v>
      </c>
      <c r="AT21" s="107">
        <f t="shared" si="18"/>
        <v>1.2941338353151037</v>
      </c>
      <c r="AU21" s="107">
        <f t="shared" si="19"/>
        <v>1.3000688016831126</v>
      </c>
      <c r="AV21" s="107" t="str">
        <f t="shared" si="20"/>
        <v>(4,1,1,1,1,5)</v>
      </c>
      <c r="AW21" s="108">
        <v>1.2</v>
      </c>
      <c r="AX21" s="108">
        <v>1</v>
      </c>
      <c r="AY21" s="108">
        <v>1</v>
      </c>
      <c r="AZ21" s="108">
        <v>1</v>
      </c>
      <c r="BA21" s="108">
        <v>1</v>
      </c>
      <c r="BB21" s="108">
        <v>1.2</v>
      </c>
    </row>
    <row r="22" spans="1:54" ht="24" customHeight="1">
      <c r="A22" s="330" t="s">
        <v>1041</v>
      </c>
      <c r="B22" s="331"/>
      <c r="C22" s="88"/>
      <c r="D22" s="340">
        <v>5</v>
      </c>
      <c r="E22" s="341" t="s">
        <v>98</v>
      </c>
      <c r="F22" s="432" t="s">
        <v>1034</v>
      </c>
      <c r="G22" s="433" t="s">
        <v>373</v>
      </c>
      <c r="H22" s="434" t="s">
        <v>98</v>
      </c>
      <c r="I22" s="434" t="s">
        <v>98</v>
      </c>
      <c r="J22" s="94">
        <v>0</v>
      </c>
      <c r="K22" s="433" t="s">
        <v>679</v>
      </c>
      <c r="L22" s="376">
        <v>0</v>
      </c>
      <c r="M22" s="95">
        <v>1</v>
      </c>
      <c r="N22" s="96">
        <f t="shared" si="6"/>
        <v>1.3000688016831126</v>
      </c>
      <c r="O22" s="377" t="str">
        <f t="shared" si="7"/>
        <v>(4,1,1,1,1,5); Market share APAC cells</v>
      </c>
      <c r="P22" s="376">
        <v>0</v>
      </c>
      <c r="Q22" s="95">
        <v>1</v>
      </c>
      <c r="R22" s="96">
        <f t="shared" si="8"/>
        <v>1.3000688016831126</v>
      </c>
      <c r="S22" s="377" t="str">
        <f t="shared" si="9"/>
        <v>(4,1,1,1,1,5); Market share APAC cells</v>
      </c>
      <c r="T22" s="376">
        <v>0</v>
      </c>
      <c r="U22" s="95">
        <v>1</v>
      </c>
      <c r="V22" s="96">
        <f t="shared" si="10"/>
        <v>1.3000688016831126</v>
      </c>
      <c r="W22" s="377" t="str">
        <f t="shared" si="11"/>
        <v>(4,1,1,1,1,5); Market share APAC cells</v>
      </c>
      <c r="X22" s="376">
        <v>0</v>
      </c>
      <c r="Y22" s="95">
        <v>1</v>
      </c>
      <c r="Z22" s="96">
        <f t="shared" si="12"/>
        <v>1.3000688016831126</v>
      </c>
      <c r="AA22" s="432" t="str">
        <f t="shared" si="13"/>
        <v>(4,1,1,1,1,5); Market share APAC cells</v>
      </c>
      <c r="AB22" s="549">
        <v>0.88858811599513199</v>
      </c>
      <c r="AC22" s="336">
        <v>1</v>
      </c>
      <c r="AD22" s="337">
        <f t="shared" si="14"/>
        <v>1.3000688016831126</v>
      </c>
      <c r="AE22" s="437" t="str">
        <f t="shared" si="15"/>
        <v>(4,1,1,1,1,5); Market share APAC cells</v>
      </c>
      <c r="AF22" s="549">
        <v>0</v>
      </c>
      <c r="AG22" s="336">
        <v>1</v>
      </c>
      <c r="AH22" s="337">
        <f t="shared" si="16"/>
        <v>1.3000688016831126</v>
      </c>
      <c r="AI22" s="437" t="str">
        <f t="shared" si="17"/>
        <v>(4,1,1,1,1,5); Market share APAC cells</v>
      </c>
      <c r="AJ22" s="112"/>
      <c r="AK22" s="216" t="s">
        <v>1095</v>
      </c>
      <c r="AL22" s="339">
        <v>4</v>
      </c>
      <c r="AM22" s="339">
        <v>1</v>
      </c>
      <c r="AN22" s="339">
        <v>1</v>
      </c>
      <c r="AO22" s="339">
        <v>1</v>
      </c>
      <c r="AP22" s="339">
        <v>1</v>
      </c>
      <c r="AQ22" s="339">
        <v>5</v>
      </c>
      <c r="AR22" s="104">
        <v>3</v>
      </c>
      <c r="AS22" s="104">
        <v>1.05</v>
      </c>
      <c r="AT22" s="107">
        <f t="shared" si="18"/>
        <v>1.2941338353151037</v>
      </c>
      <c r="AU22" s="107">
        <f t="shared" si="19"/>
        <v>1.3000688016831126</v>
      </c>
      <c r="AV22" s="107" t="str">
        <f t="shared" si="20"/>
        <v>(4,1,1,1,1,5)</v>
      </c>
      <c r="AW22" s="108">
        <v>1.2</v>
      </c>
      <c r="AX22" s="108">
        <v>1</v>
      </c>
      <c r="AY22" s="108">
        <v>1</v>
      </c>
      <c r="AZ22" s="108">
        <v>1</v>
      </c>
      <c r="BA22" s="108">
        <v>1</v>
      </c>
      <c r="BB22" s="108">
        <v>1.2</v>
      </c>
    </row>
    <row r="23" spans="1:54" ht="24" customHeight="1">
      <c r="A23" s="330" t="s">
        <v>949</v>
      </c>
      <c r="B23" s="331"/>
      <c r="C23" s="88"/>
      <c r="D23" s="340">
        <v>5</v>
      </c>
      <c r="E23" s="341" t="s">
        <v>98</v>
      </c>
      <c r="F23" s="432" t="s">
        <v>937</v>
      </c>
      <c r="G23" s="433" t="s">
        <v>373</v>
      </c>
      <c r="H23" s="434" t="s">
        <v>98</v>
      </c>
      <c r="I23" s="434" t="s">
        <v>98</v>
      </c>
      <c r="J23" s="94">
        <v>0</v>
      </c>
      <c r="K23" s="433" t="s">
        <v>679</v>
      </c>
      <c r="L23" s="376">
        <v>0</v>
      </c>
      <c r="M23" s="95">
        <v>1</v>
      </c>
      <c r="N23" s="96">
        <f t="shared" si="6"/>
        <v>1.3000688016831126</v>
      </c>
      <c r="O23" s="377" t="str">
        <f t="shared" si="7"/>
        <v>(4,1,1,1,1,5); Market share APAC cells</v>
      </c>
      <c r="P23" s="376">
        <v>0</v>
      </c>
      <c r="Q23" s="95">
        <v>1</v>
      </c>
      <c r="R23" s="96">
        <f t="shared" si="8"/>
        <v>1.3000688016831126</v>
      </c>
      <c r="S23" s="377" t="str">
        <f t="shared" si="9"/>
        <v>(4,1,1,1,1,5); Market share APAC cells</v>
      </c>
      <c r="T23" s="376">
        <v>0</v>
      </c>
      <c r="U23" s="95">
        <v>1</v>
      </c>
      <c r="V23" s="96">
        <f t="shared" si="10"/>
        <v>1.3000688016831126</v>
      </c>
      <c r="W23" s="377" t="str">
        <f t="shared" si="11"/>
        <v>(4,1,1,1,1,5); Market share APAC cells</v>
      </c>
      <c r="X23" s="376">
        <v>0</v>
      </c>
      <c r="Y23" s="95">
        <v>1</v>
      </c>
      <c r="Z23" s="96">
        <f t="shared" si="12"/>
        <v>1.3000688016831126</v>
      </c>
      <c r="AA23" s="432" t="str">
        <f t="shared" si="13"/>
        <v>(4,1,1,1,1,5); Market share APAC cells</v>
      </c>
      <c r="AB23" s="549">
        <v>0</v>
      </c>
      <c r="AC23" s="336">
        <v>1</v>
      </c>
      <c r="AD23" s="337">
        <f t="shared" si="14"/>
        <v>1.3000688016831126</v>
      </c>
      <c r="AE23" s="437" t="str">
        <f t="shared" si="15"/>
        <v>(4,1,1,1,1,5); Market share APAC cells</v>
      </c>
      <c r="AF23" s="549">
        <v>0.44429405799756599</v>
      </c>
      <c r="AG23" s="336">
        <v>1</v>
      </c>
      <c r="AH23" s="337">
        <f t="shared" si="16"/>
        <v>1.3000688016831126</v>
      </c>
      <c r="AI23" s="437" t="str">
        <f t="shared" si="17"/>
        <v>(4,1,1,1,1,5); Market share APAC cells</v>
      </c>
      <c r="AJ23" s="112"/>
      <c r="AK23" s="216" t="s">
        <v>1095</v>
      </c>
      <c r="AL23" s="339">
        <v>4</v>
      </c>
      <c r="AM23" s="339">
        <v>1</v>
      </c>
      <c r="AN23" s="339">
        <v>1</v>
      </c>
      <c r="AO23" s="339">
        <v>1</v>
      </c>
      <c r="AP23" s="339">
        <v>1</v>
      </c>
      <c r="AQ23" s="339">
        <v>5</v>
      </c>
      <c r="AR23" s="104">
        <v>3</v>
      </c>
      <c r="AS23" s="104">
        <v>1.05</v>
      </c>
      <c r="AT23" s="107">
        <f t="shared" si="18"/>
        <v>1.2941338353151037</v>
      </c>
      <c r="AU23" s="107">
        <f t="shared" si="19"/>
        <v>1.3000688016831126</v>
      </c>
      <c r="AV23" s="107" t="str">
        <f t="shared" si="20"/>
        <v>(4,1,1,1,1,5)</v>
      </c>
      <c r="AW23" s="108">
        <v>1.2</v>
      </c>
      <c r="AX23" s="108">
        <v>1</v>
      </c>
      <c r="AY23" s="108">
        <v>1</v>
      </c>
      <c r="AZ23" s="108">
        <v>1</v>
      </c>
      <c r="BA23" s="108">
        <v>1</v>
      </c>
      <c r="BB23" s="108">
        <v>1.2</v>
      </c>
    </row>
    <row r="24" spans="1:54" ht="24" customHeight="1">
      <c r="A24" s="330" t="s">
        <v>948</v>
      </c>
      <c r="B24" s="331"/>
      <c r="C24" s="88"/>
      <c r="D24" s="340">
        <v>5</v>
      </c>
      <c r="E24" s="341" t="s">
        <v>98</v>
      </c>
      <c r="F24" s="432" t="s">
        <v>936</v>
      </c>
      <c r="G24" s="433" t="s">
        <v>373</v>
      </c>
      <c r="H24" s="434" t="s">
        <v>98</v>
      </c>
      <c r="I24" s="434" t="s">
        <v>98</v>
      </c>
      <c r="J24" s="94">
        <v>0</v>
      </c>
      <c r="K24" s="433" t="s">
        <v>679</v>
      </c>
      <c r="L24" s="376">
        <v>0</v>
      </c>
      <c r="M24" s="95">
        <v>1</v>
      </c>
      <c r="N24" s="96">
        <f t="shared" si="6"/>
        <v>1.3000688016831126</v>
      </c>
      <c r="O24" s="377" t="str">
        <f t="shared" si="7"/>
        <v>(4,1,1,1,1,5); Market share APAC cells</v>
      </c>
      <c r="P24" s="376">
        <v>0</v>
      </c>
      <c r="Q24" s="95">
        <v>1</v>
      </c>
      <c r="R24" s="96">
        <f t="shared" si="8"/>
        <v>1.3000688016831126</v>
      </c>
      <c r="S24" s="377" t="str">
        <f t="shared" si="9"/>
        <v>(4,1,1,1,1,5); Market share APAC cells</v>
      </c>
      <c r="T24" s="376">
        <v>0</v>
      </c>
      <c r="U24" s="95">
        <v>1</v>
      </c>
      <c r="V24" s="96">
        <f t="shared" si="10"/>
        <v>1.3000688016831126</v>
      </c>
      <c r="W24" s="377" t="str">
        <f t="shared" si="11"/>
        <v>(4,1,1,1,1,5); Market share APAC cells</v>
      </c>
      <c r="X24" s="376">
        <v>0</v>
      </c>
      <c r="Y24" s="95">
        <v>1</v>
      </c>
      <c r="Z24" s="96">
        <f t="shared" si="12"/>
        <v>1.3000688016831126</v>
      </c>
      <c r="AA24" s="432" t="str">
        <f t="shared" si="13"/>
        <v>(4,1,1,1,1,5); Market share APAC cells</v>
      </c>
      <c r="AB24" s="549">
        <v>0</v>
      </c>
      <c r="AC24" s="336">
        <v>1</v>
      </c>
      <c r="AD24" s="337">
        <f t="shared" si="14"/>
        <v>1.3000688016831126</v>
      </c>
      <c r="AE24" s="437" t="str">
        <f t="shared" si="15"/>
        <v>(4,1,1,1,1,5); Market share APAC cells</v>
      </c>
      <c r="AF24" s="549">
        <v>0.44429405799756599</v>
      </c>
      <c r="AG24" s="336">
        <v>1</v>
      </c>
      <c r="AH24" s="337">
        <f t="shared" si="16"/>
        <v>1.3000688016831126</v>
      </c>
      <c r="AI24" s="437" t="str">
        <f t="shared" si="17"/>
        <v>(4,1,1,1,1,5); Market share APAC cells</v>
      </c>
      <c r="AJ24" s="112"/>
      <c r="AK24" s="216" t="s">
        <v>1095</v>
      </c>
      <c r="AL24" s="339">
        <v>4</v>
      </c>
      <c r="AM24" s="339">
        <v>1</v>
      </c>
      <c r="AN24" s="339">
        <v>1</v>
      </c>
      <c r="AO24" s="339">
        <v>1</v>
      </c>
      <c r="AP24" s="339">
        <v>1</v>
      </c>
      <c r="AQ24" s="339">
        <v>5</v>
      </c>
      <c r="AR24" s="104">
        <v>3</v>
      </c>
      <c r="AS24" s="104">
        <v>1.05</v>
      </c>
      <c r="AT24" s="107">
        <f t="shared" si="18"/>
        <v>1.2941338353151037</v>
      </c>
      <c r="AU24" s="107">
        <f t="shared" si="19"/>
        <v>1.3000688016831126</v>
      </c>
      <c r="AV24" s="107" t="str">
        <f t="shared" si="20"/>
        <v>(4,1,1,1,1,5)</v>
      </c>
      <c r="AW24" s="108">
        <v>1.2</v>
      </c>
      <c r="AX24" s="108">
        <v>1</v>
      </c>
      <c r="AY24" s="108">
        <v>1</v>
      </c>
      <c r="AZ24" s="108">
        <v>1</v>
      </c>
      <c r="BA24" s="108">
        <v>1</v>
      </c>
      <c r="BB24" s="108">
        <v>1.2</v>
      </c>
    </row>
    <row r="25" spans="1:54" ht="39.75" customHeight="1">
      <c r="A25" s="330">
        <v>269599</v>
      </c>
      <c r="B25" s="331" t="s">
        <v>322</v>
      </c>
      <c r="C25" s="88"/>
      <c r="D25" s="340">
        <v>5</v>
      </c>
      <c r="E25" s="341" t="s">
        <v>98</v>
      </c>
      <c r="F25" s="432" t="s">
        <v>244</v>
      </c>
      <c r="G25" s="433" t="s">
        <v>245</v>
      </c>
      <c r="H25" s="434" t="s">
        <v>98</v>
      </c>
      <c r="I25" s="434" t="s">
        <v>98</v>
      </c>
      <c r="J25" s="94">
        <v>0</v>
      </c>
      <c r="K25" s="433" t="s">
        <v>115</v>
      </c>
      <c r="L25" s="435">
        <f>SUM(L16:L18)*L29/1000*L$35+SUM(L22:L24)*L29/1000*L$38</f>
        <v>0.60865283329765119</v>
      </c>
      <c r="M25" s="95">
        <v>1</v>
      </c>
      <c r="N25" s="96">
        <f t="shared" si="6"/>
        <v>2.0949941301068096</v>
      </c>
      <c r="O25" s="432" t="str">
        <f t="shared" si="7"/>
        <v>(4,5,na,na,na,na); Transport distance CN-EU: 19994 km, CN-US: 20755 km, CN-APAC: 4584 km, APAC-EU: 15026 km, APAC-US: 18411 km</v>
      </c>
      <c r="P25" s="435">
        <f>SUM(P16:P18)*P29/1000*P$35+SUM(P22:P24)*P29/1000*P$38</f>
        <v>0.51780807061153633</v>
      </c>
      <c r="Q25" s="95">
        <v>1</v>
      </c>
      <c r="R25" s="96">
        <f t="shared" si="8"/>
        <v>2.0949941301068096</v>
      </c>
      <c r="S25" s="432" t="str">
        <f t="shared" si="9"/>
        <v>(4,5,na,na,na,na); Transport distance CN-EU: 19994 km, CN-US: 20755 km, CN-APAC: 4584 km, APAC-EU: 15026 km, APAC-US: 18411 km</v>
      </c>
      <c r="T25" s="435">
        <f>SUM(T16:T18)*T29/1000*T$36+SUM(T22:T24)*T29/1000*T$39</f>
        <v>6.2866553070778561</v>
      </c>
      <c r="U25" s="95">
        <v>1</v>
      </c>
      <c r="V25" s="96">
        <f t="shared" si="10"/>
        <v>2.0949941301068096</v>
      </c>
      <c r="W25" s="432" t="str">
        <f t="shared" si="11"/>
        <v>(4,5,na,na,na,na); Transport distance CN-EU: 19994 km, CN-US: 20755 km, CN-APAC: 4584 km, APAC-EU: 15026 km, APAC-US: 18411 km</v>
      </c>
      <c r="X25" s="435">
        <f>SUM(X16:X18)*X29/1000*X$36+SUM(X22:X24)*X29/1000*X$39</f>
        <v>5.3483376352999343</v>
      </c>
      <c r="Y25" s="95">
        <v>1</v>
      </c>
      <c r="Z25" s="96">
        <f t="shared" si="12"/>
        <v>2.0949941301068096</v>
      </c>
      <c r="AA25" s="432" t="str">
        <f t="shared" si="13"/>
        <v>(4,5,na,na,na,na); Transport distance CN-EU: 19994 km, CN-US: 20755 km, CN-APAC: 4584 km, APAC-EU: 15026 km, APAC-US: 18411 km</v>
      </c>
      <c r="AB25" s="440">
        <f>SUM(AB16:AB18)*AB29/1000*AB41</f>
        <v>0.2000726336524711</v>
      </c>
      <c r="AC25" s="336">
        <v>1</v>
      </c>
      <c r="AD25" s="337">
        <f t="shared" si="14"/>
        <v>2.0949941301068096</v>
      </c>
      <c r="AE25" s="437" t="str">
        <f t="shared" si="15"/>
        <v>(4,5,na,na,na,na); Transport distance CN-EU: 19994 km, CN-US: 20755 km, CN-APAC: 4584 km, APAC-EU: 15026 km, APAC-US: 18411 km</v>
      </c>
      <c r="AF25" s="440">
        <f>SUM(AF16:AF18)*AF29/1000*AF41</f>
        <v>0.17021069934474645</v>
      </c>
      <c r="AG25" s="336">
        <v>1</v>
      </c>
      <c r="AH25" s="337">
        <f t="shared" si="16"/>
        <v>2.0949941301068096</v>
      </c>
      <c r="AI25" s="437" t="str">
        <f t="shared" si="17"/>
        <v>(4,5,na,na,na,na); Transport distance CN-EU: 19994 km, CN-US: 20755 km, CN-APAC: 4584 km, APAC-EU: 15026 km, APAC-US: 18411 km</v>
      </c>
      <c r="AJ25" s="112"/>
      <c r="AK25" s="216" t="s">
        <v>1096</v>
      </c>
      <c r="AL25" s="339">
        <v>4</v>
      </c>
      <c r="AM25" s="339">
        <v>5</v>
      </c>
      <c r="AN25" s="339" t="s">
        <v>106</v>
      </c>
      <c r="AO25" s="339" t="s">
        <v>106</v>
      </c>
      <c r="AP25" s="339" t="s">
        <v>106</v>
      </c>
      <c r="AQ25" s="339" t="s">
        <v>106</v>
      </c>
      <c r="AR25" s="104">
        <v>5</v>
      </c>
      <c r="AS25" s="104">
        <v>2</v>
      </c>
      <c r="AT25" s="107">
        <f t="shared" si="18"/>
        <v>1.2941338353151037</v>
      </c>
      <c r="AU25" s="107">
        <f t="shared" si="19"/>
        <v>2.0949941301068096</v>
      </c>
      <c r="AV25" s="107" t="str">
        <f t="shared" si="20"/>
        <v>(4,5,na,na,na,na)</v>
      </c>
      <c r="AW25" s="108">
        <v>1.2</v>
      </c>
      <c r="AX25" s="108">
        <v>1.2</v>
      </c>
      <c r="AY25" s="108">
        <v>1</v>
      </c>
      <c r="AZ25" s="108">
        <v>1</v>
      </c>
      <c r="BA25" s="108">
        <v>1</v>
      </c>
      <c r="BB25" s="108">
        <v>1</v>
      </c>
    </row>
    <row r="26" spans="1:54">
      <c r="A26" s="330">
        <v>160371</v>
      </c>
      <c r="B26" s="331"/>
      <c r="C26" s="88"/>
      <c r="D26" s="340">
        <v>5</v>
      </c>
      <c r="E26" s="341" t="s">
        <v>98</v>
      </c>
      <c r="F26" s="432" t="s">
        <v>242</v>
      </c>
      <c r="G26" s="433" t="s">
        <v>93</v>
      </c>
      <c r="H26" s="434" t="s">
        <v>98</v>
      </c>
      <c r="I26" s="434" t="s">
        <v>98</v>
      </c>
      <c r="J26" s="94">
        <v>0</v>
      </c>
      <c r="K26" s="433" t="s">
        <v>115</v>
      </c>
      <c r="L26" s="435">
        <f>L29*200/1000</f>
        <v>7.8355589210370599E-2</v>
      </c>
      <c r="M26" s="95">
        <v>1</v>
      </c>
      <c r="N26" s="96">
        <f t="shared" si="6"/>
        <v>2.0949941301068096</v>
      </c>
      <c r="O26" s="432" t="str">
        <f t="shared" si="7"/>
        <v>(4,5,na,na,na,na); Standard distance 200km</v>
      </c>
      <c r="P26" s="435">
        <f>P29*200/1000</f>
        <v>6.6660589174996204E-2</v>
      </c>
      <c r="Q26" s="95">
        <v>1</v>
      </c>
      <c r="R26" s="96">
        <f t="shared" si="8"/>
        <v>2.0949941301068096</v>
      </c>
      <c r="S26" s="432" t="str">
        <f t="shared" si="9"/>
        <v>(4,5,na,na,na,na); Standard distance 200km</v>
      </c>
      <c r="T26" s="435">
        <f>T29*200/1000</f>
        <v>7.8355589210370599E-2</v>
      </c>
      <c r="U26" s="95">
        <v>1</v>
      </c>
      <c r="V26" s="96">
        <f t="shared" si="10"/>
        <v>2.0949941301068096</v>
      </c>
      <c r="W26" s="432" t="str">
        <f t="shared" si="11"/>
        <v>(4,5,na,na,na,na); Standard distance 200km</v>
      </c>
      <c r="X26" s="435">
        <f>X29*200/1000</f>
        <v>6.6660589174996204E-2</v>
      </c>
      <c r="Y26" s="95">
        <v>1</v>
      </c>
      <c r="Z26" s="96">
        <f t="shared" si="12"/>
        <v>2.0949941301068096</v>
      </c>
      <c r="AA26" s="432" t="str">
        <f t="shared" si="13"/>
        <v>(4,5,na,na,na,na); Standard distance 200km</v>
      </c>
      <c r="AB26" s="440">
        <f>AB29*200/1000</f>
        <v>7.8355589210370599E-2</v>
      </c>
      <c r="AC26" s="336">
        <v>1</v>
      </c>
      <c r="AD26" s="337">
        <f t="shared" si="14"/>
        <v>2.0949941301068096</v>
      </c>
      <c r="AE26" s="437" t="str">
        <f t="shared" si="15"/>
        <v>(4,5,na,na,na,na); Standard distance 200km</v>
      </c>
      <c r="AF26" s="440">
        <f>AF29*200/1000</f>
        <v>6.6660589174996204E-2</v>
      </c>
      <c r="AG26" s="336">
        <v>1</v>
      </c>
      <c r="AH26" s="337">
        <f t="shared" si="16"/>
        <v>2.0949941301068096</v>
      </c>
      <c r="AI26" s="437" t="str">
        <f t="shared" si="17"/>
        <v>(4,5,na,na,na,na); Standard distance 200km</v>
      </c>
      <c r="AJ26" s="113"/>
      <c r="AK26" s="216" t="s">
        <v>562</v>
      </c>
      <c r="AL26" s="339">
        <v>4</v>
      </c>
      <c r="AM26" s="339">
        <v>5</v>
      </c>
      <c r="AN26" s="339" t="s">
        <v>106</v>
      </c>
      <c r="AO26" s="339" t="s">
        <v>106</v>
      </c>
      <c r="AP26" s="339" t="s">
        <v>106</v>
      </c>
      <c r="AQ26" s="339" t="s">
        <v>106</v>
      </c>
      <c r="AR26" s="104">
        <v>5</v>
      </c>
      <c r="AS26" s="104">
        <v>2</v>
      </c>
      <c r="AT26" s="107">
        <f t="shared" si="18"/>
        <v>1.2941338353151037</v>
      </c>
      <c r="AU26" s="107">
        <f t="shared" si="19"/>
        <v>2.0949941301068096</v>
      </c>
      <c r="AV26" s="107" t="str">
        <f t="shared" si="20"/>
        <v>(4,5,na,na,na,na)</v>
      </c>
      <c r="AW26" s="108">
        <v>1.2</v>
      </c>
      <c r="AX26" s="108">
        <v>1.2</v>
      </c>
      <c r="AY26" s="108">
        <v>1</v>
      </c>
      <c r="AZ26" s="108">
        <v>1</v>
      </c>
      <c r="BA26" s="108">
        <v>1</v>
      </c>
      <c r="BB26" s="108">
        <v>1</v>
      </c>
    </row>
    <row r="27" spans="1:54">
      <c r="A27" s="330">
        <v>269641</v>
      </c>
      <c r="B27" s="331"/>
      <c r="C27" s="88"/>
      <c r="D27" s="340">
        <v>5</v>
      </c>
      <c r="E27" s="341" t="s">
        <v>98</v>
      </c>
      <c r="F27" s="432" t="s">
        <v>240</v>
      </c>
      <c r="G27" s="433" t="s">
        <v>93</v>
      </c>
      <c r="H27" s="434" t="s">
        <v>98</v>
      </c>
      <c r="I27" s="434" t="s">
        <v>98</v>
      </c>
      <c r="J27" s="94">
        <v>0</v>
      </c>
      <c r="K27" s="433" t="s">
        <v>115</v>
      </c>
      <c r="L27" s="435">
        <f>L29*50/1000</f>
        <v>1.958889730259265E-2</v>
      </c>
      <c r="M27" s="95">
        <v>1</v>
      </c>
      <c r="N27" s="96">
        <f t="shared" si="6"/>
        <v>2.0949941301068096</v>
      </c>
      <c r="O27" s="432" t="str">
        <f t="shared" si="7"/>
        <v>(4,5,na,na,na,na); Standard distance 50km</v>
      </c>
      <c r="P27" s="435">
        <f>P29*50/1000</f>
        <v>1.6665147293749051E-2</v>
      </c>
      <c r="Q27" s="95">
        <v>1</v>
      </c>
      <c r="R27" s="96">
        <f t="shared" si="8"/>
        <v>2.0949941301068096</v>
      </c>
      <c r="S27" s="432" t="str">
        <f t="shared" si="9"/>
        <v>(4,5,na,na,na,na); Standard distance 50km</v>
      </c>
      <c r="T27" s="435">
        <f>T29*50/1000</f>
        <v>1.958889730259265E-2</v>
      </c>
      <c r="U27" s="95">
        <v>1</v>
      </c>
      <c r="V27" s="96">
        <f t="shared" si="10"/>
        <v>2.0949941301068096</v>
      </c>
      <c r="W27" s="432" t="str">
        <f t="shared" si="11"/>
        <v>(4,5,na,na,na,na); Standard distance 50km</v>
      </c>
      <c r="X27" s="435">
        <f>X29*50/1000</f>
        <v>1.6665147293749051E-2</v>
      </c>
      <c r="Y27" s="95">
        <v>1</v>
      </c>
      <c r="Z27" s="96">
        <f t="shared" si="12"/>
        <v>2.0949941301068096</v>
      </c>
      <c r="AA27" s="432" t="str">
        <f t="shared" si="13"/>
        <v>(4,5,na,na,na,na); Standard distance 50km</v>
      </c>
      <c r="AB27" s="440">
        <f>AB29*50/1000</f>
        <v>1.958889730259265E-2</v>
      </c>
      <c r="AC27" s="336">
        <v>1</v>
      </c>
      <c r="AD27" s="337">
        <f t="shared" si="14"/>
        <v>2.0949941301068096</v>
      </c>
      <c r="AE27" s="437" t="str">
        <f t="shared" si="15"/>
        <v>(4,5,na,na,na,na); Standard distance 50km</v>
      </c>
      <c r="AF27" s="440">
        <f>AF29*50/1000</f>
        <v>1.6665147293749051E-2</v>
      </c>
      <c r="AG27" s="336">
        <v>1</v>
      </c>
      <c r="AH27" s="337">
        <f t="shared" si="16"/>
        <v>2.0949941301068096</v>
      </c>
      <c r="AI27" s="437" t="str">
        <f t="shared" si="17"/>
        <v>(4,5,na,na,na,na); Standard distance 50km</v>
      </c>
      <c r="AJ27" s="112"/>
      <c r="AK27" s="216" t="s">
        <v>563</v>
      </c>
      <c r="AL27" s="339">
        <v>4</v>
      </c>
      <c r="AM27" s="339">
        <v>5</v>
      </c>
      <c r="AN27" s="339" t="s">
        <v>106</v>
      </c>
      <c r="AO27" s="339" t="s">
        <v>106</v>
      </c>
      <c r="AP27" s="339" t="s">
        <v>106</v>
      </c>
      <c r="AQ27" s="339" t="s">
        <v>106</v>
      </c>
      <c r="AR27" s="104">
        <v>5</v>
      </c>
      <c r="AS27" s="104">
        <v>2</v>
      </c>
      <c r="AT27" s="107">
        <f t="shared" si="18"/>
        <v>1.2941338353151037</v>
      </c>
      <c r="AU27" s="107">
        <f t="shared" si="19"/>
        <v>2.0949941301068096</v>
      </c>
      <c r="AV27" s="107" t="str">
        <f t="shared" si="20"/>
        <v>(4,5,na,na,na,na)</v>
      </c>
      <c r="AW27" s="108">
        <v>1.2</v>
      </c>
      <c r="AX27" s="108">
        <v>1.2</v>
      </c>
      <c r="AY27" s="108">
        <v>1</v>
      </c>
      <c r="AZ27" s="108">
        <v>1</v>
      </c>
      <c r="BA27" s="108">
        <v>1</v>
      </c>
      <c r="BB27" s="108">
        <v>1</v>
      </c>
    </row>
    <row r="28" spans="1:54">
      <c r="AC28" s="202"/>
      <c r="AD28" s="202"/>
      <c r="AE28" s="202"/>
      <c r="AG28" s="202"/>
      <c r="AH28" s="202"/>
      <c r="AI28" s="202"/>
      <c r="AJ28" s="112"/>
    </row>
    <row r="29" spans="1:54">
      <c r="F29" s="126" t="s">
        <v>1097</v>
      </c>
      <c r="K29" s="277" t="s">
        <v>902</v>
      </c>
      <c r="L29" s="135">
        <v>0.39177794605185301</v>
      </c>
      <c r="M29" s="127"/>
      <c r="N29" s="127"/>
      <c r="O29" s="134"/>
      <c r="P29" s="135">
        <v>0.33330294587498099</v>
      </c>
      <c r="Q29" s="127"/>
      <c r="R29" s="127"/>
      <c r="S29" s="134"/>
      <c r="T29" s="135">
        <f>L29</f>
        <v>0.39177794605185301</v>
      </c>
      <c r="U29" s="127"/>
      <c r="V29" s="127"/>
      <c r="W29" s="134"/>
      <c r="X29" s="135">
        <f>P29</f>
        <v>0.33330294587498099</v>
      </c>
      <c r="Y29" s="127"/>
      <c r="Z29" s="127"/>
      <c r="AA29" s="134"/>
      <c r="AB29" s="550">
        <f>T29</f>
        <v>0.39177794605185301</v>
      </c>
      <c r="AC29" s="551"/>
      <c r="AD29" s="551"/>
      <c r="AE29" s="552"/>
      <c r="AF29" s="550">
        <f>X29</f>
        <v>0.33330294587498099</v>
      </c>
      <c r="AG29" s="551"/>
      <c r="AH29" s="551"/>
      <c r="AI29" s="552"/>
      <c r="AJ29" s="112"/>
    </row>
    <row r="30" spans="1:54">
      <c r="L30" s="135"/>
      <c r="O30" s="136"/>
      <c r="S30" s="136"/>
      <c r="W30" s="136"/>
      <c r="AA30" s="136"/>
      <c r="AC30" s="202"/>
      <c r="AD30" s="202"/>
      <c r="AE30" s="553"/>
      <c r="AG30" s="202"/>
      <c r="AH30" s="202"/>
      <c r="AI30" s="553"/>
      <c r="AJ30" s="112"/>
    </row>
    <row r="31" spans="1:54">
      <c r="F31" s="126" t="s">
        <v>568</v>
      </c>
      <c r="L31" s="129">
        <f>SUM(L13:L24)</f>
        <v>0.99999999999999956</v>
      </c>
      <c r="M31" s="129"/>
      <c r="N31" s="129"/>
      <c r="O31" s="129"/>
      <c r="P31" s="129">
        <f>SUM(P13:P24)</f>
        <v>1.0000000000000004</v>
      </c>
      <c r="Q31" s="129"/>
      <c r="R31" s="129"/>
      <c r="S31" s="129"/>
      <c r="T31" s="129">
        <f>SUM(T13:T24)</f>
        <v>1</v>
      </c>
      <c r="U31" s="129"/>
      <c r="V31" s="129"/>
      <c r="W31" s="129"/>
      <c r="X31" s="129">
        <f>SUM(X13:X24)</f>
        <v>1</v>
      </c>
      <c r="Y31" s="129"/>
      <c r="Z31" s="129"/>
      <c r="AA31" s="129"/>
      <c r="AB31" s="554">
        <f>SUM(AB13:AB24)</f>
        <v>1</v>
      </c>
      <c r="AC31" s="554"/>
      <c r="AD31" s="554"/>
      <c r="AE31" s="554"/>
      <c r="AF31" s="554">
        <f>SUM(AF13:AF24)</f>
        <v>0.99999999999999956</v>
      </c>
      <c r="AG31" s="554"/>
      <c r="AH31" s="554"/>
      <c r="AI31" s="554"/>
      <c r="AJ31" s="112"/>
    </row>
    <row r="35" spans="6:32" s="128" customFormat="1">
      <c r="F35" s="126" t="s">
        <v>571</v>
      </c>
      <c r="G35" s="277"/>
      <c r="H35" s="130">
        <f>L35</f>
        <v>19994.192000000003</v>
      </c>
      <c r="I35" s="277"/>
      <c r="J35" s="277"/>
      <c r="K35" s="277" t="s">
        <v>168</v>
      </c>
      <c r="L35" s="131">
        <f>1.852*10796</f>
        <v>19994.192000000003</v>
      </c>
      <c r="M35" s="137"/>
      <c r="N35" s="137"/>
      <c r="O35" s="137"/>
      <c r="P35" s="131">
        <f>1.852*10796</f>
        <v>19994.192000000003</v>
      </c>
      <c r="Q35" s="137"/>
      <c r="R35" s="137"/>
      <c r="S35" s="137"/>
      <c r="T35" s="138"/>
      <c r="U35" s="138"/>
      <c r="V35" s="138"/>
      <c r="W35" s="138"/>
      <c r="X35" s="138"/>
      <c r="Y35" s="137"/>
      <c r="Z35" s="137"/>
      <c r="AA35" s="137"/>
      <c r="AB35" s="555"/>
      <c r="AC35" s="556"/>
      <c r="AD35" s="556"/>
      <c r="AE35" s="556"/>
      <c r="AF35" s="555"/>
    </row>
    <row r="36" spans="6:32" s="128" customFormat="1">
      <c r="F36" s="126" t="s">
        <v>570</v>
      </c>
      <c r="G36" s="277"/>
      <c r="H36" s="130">
        <f>T36</f>
        <v>20755.364000000001</v>
      </c>
      <c r="I36" s="277"/>
      <c r="J36" s="277"/>
      <c r="K36" s="277" t="s">
        <v>168</v>
      </c>
      <c r="L36" s="133"/>
      <c r="M36" s="137"/>
      <c r="N36" s="137"/>
      <c r="O36" s="137"/>
      <c r="P36" s="133"/>
      <c r="Q36" s="137"/>
      <c r="R36" s="137"/>
      <c r="S36" s="137"/>
      <c r="T36" s="131">
        <f>1.852*11207</f>
        <v>20755.364000000001</v>
      </c>
      <c r="U36" s="137"/>
      <c r="V36" s="137"/>
      <c r="W36" s="137"/>
      <c r="X36" s="131">
        <f>1.852*11207</f>
        <v>20755.364000000001</v>
      </c>
      <c r="Y36" s="137"/>
      <c r="Z36" s="137"/>
      <c r="AA36" s="137"/>
      <c r="AB36" s="557"/>
      <c r="AC36" s="556"/>
      <c r="AD36" s="556"/>
      <c r="AE36" s="556"/>
      <c r="AF36" s="557"/>
    </row>
    <row r="37" spans="6:32" s="128" customFormat="1">
      <c r="F37" s="126"/>
      <c r="G37" s="277"/>
      <c r="H37" s="130"/>
      <c r="I37" s="277"/>
      <c r="J37" s="277"/>
      <c r="K37" s="277"/>
      <c r="L37" s="133"/>
      <c r="M37" s="137"/>
      <c r="N37" s="137"/>
      <c r="O37" s="137"/>
      <c r="P37" s="133"/>
      <c r="Q37" s="137"/>
      <c r="R37" s="137"/>
      <c r="S37" s="137"/>
      <c r="T37" s="131"/>
      <c r="U37" s="137"/>
      <c r="V37" s="137"/>
      <c r="W37" s="137"/>
      <c r="X37" s="131"/>
      <c r="Y37" s="137"/>
      <c r="Z37" s="137"/>
      <c r="AA37" s="137"/>
      <c r="AB37" s="557"/>
      <c r="AC37" s="556"/>
      <c r="AD37" s="556"/>
      <c r="AE37" s="556"/>
      <c r="AF37" s="557"/>
    </row>
    <row r="38" spans="6:32" s="128" customFormat="1">
      <c r="F38" s="126" t="s">
        <v>1098</v>
      </c>
      <c r="G38" s="277"/>
      <c r="H38" s="130">
        <f>L38</f>
        <v>15026</v>
      </c>
      <c r="I38" s="277"/>
      <c r="J38" s="277"/>
      <c r="K38" s="277" t="s">
        <v>168</v>
      </c>
      <c r="L38" s="133">
        <v>15026</v>
      </c>
      <c r="M38" s="137"/>
      <c r="N38" s="137"/>
      <c r="O38" s="137"/>
      <c r="P38" s="133">
        <v>15026</v>
      </c>
      <c r="Q38" s="137"/>
      <c r="R38" s="137"/>
      <c r="S38" s="137"/>
      <c r="T38" s="133"/>
      <c r="U38" s="137"/>
      <c r="V38" s="137"/>
      <c r="W38" s="137"/>
      <c r="X38" s="133"/>
      <c r="Y38" s="137"/>
      <c r="Z38" s="137"/>
      <c r="AA38" s="137"/>
      <c r="AB38" s="558"/>
      <c r="AC38" s="556"/>
      <c r="AD38" s="556"/>
      <c r="AE38" s="556"/>
      <c r="AF38" s="558"/>
    </row>
    <row r="39" spans="6:32">
      <c r="F39" s="126" t="s">
        <v>1099</v>
      </c>
      <c r="H39" s="277">
        <f>T39</f>
        <v>18411</v>
      </c>
      <c r="K39" s="277" t="s">
        <v>168</v>
      </c>
      <c r="T39" s="277">
        <v>18411</v>
      </c>
      <c r="X39" s="277">
        <v>18411</v>
      </c>
      <c r="AC39" s="202"/>
      <c r="AD39" s="202"/>
      <c r="AE39" s="202"/>
    </row>
    <row r="40" spans="6:32">
      <c r="AC40" s="202"/>
      <c r="AD40" s="202"/>
      <c r="AE40" s="202"/>
    </row>
    <row r="41" spans="6:32" ht="24">
      <c r="F41" s="126" t="s">
        <v>1100</v>
      </c>
      <c r="H41" s="133">
        <f>AB41</f>
        <v>4583.7</v>
      </c>
      <c r="K41" s="277" t="s">
        <v>168</v>
      </c>
      <c r="AB41" s="558">
        <f>1.852*2475</f>
        <v>4583.7</v>
      </c>
      <c r="AC41" s="202"/>
      <c r="AD41" s="202"/>
      <c r="AE41" s="202"/>
      <c r="AF41" s="558">
        <f>1.852*2475</f>
        <v>4583.7</v>
      </c>
    </row>
    <row r="42" spans="6:32">
      <c r="AC42" s="202"/>
      <c r="AD42" s="202"/>
      <c r="AE42" s="202"/>
    </row>
    <row r="43" spans="6:32">
      <c r="AC43" s="202"/>
      <c r="AD43" s="202"/>
      <c r="AE43" s="202"/>
    </row>
    <row r="44" spans="6:32">
      <c r="AC44" s="202"/>
      <c r="AD44" s="202"/>
      <c r="AE44" s="202"/>
    </row>
    <row r="45" spans="6:32">
      <c r="F45" s="346" t="s">
        <v>1101</v>
      </c>
      <c r="AC45" s="202"/>
      <c r="AD45" s="202"/>
      <c r="AE45" s="202"/>
    </row>
    <row r="46" spans="6:32">
      <c r="F46" s="126" t="s">
        <v>1019</v>
      </c>
      <c r="G46" s="281">
        <v>0.5</v>
      </c>
      <c r="AC46" s="202"/>
      <c r="AD46" s="202"/>
      <c r="AE46" s="202"/>
    </row>
    <row r="47" spans="6:32">
      <c r="F47" s="126" t="s">
        <v>1018</v>
      </c>
      <c r="G47" s="281">
        <v>0.5</v>
      </c>
      <c r="AC47" s="202"/>
      <c r="AD47" s="202"/>
      <c r="AE47" s="202"/>
    </row>
  </sheetData>
  <mergeCells count="1">
    <mergeCell ref="AL1:AQ1"/>
  </mergeCells>
  <conditionalFormatting sqref="D13:AI27">
    <cfRule type="expression" dxfId="292" priority="6">
      <formula>MOD(ROW(),2)=0</formula>
    </cfRule>
  </conditionalFormatting>
  <conditionalFormatting sqref="AK13:AQ27">
    <cfRule type="expression" dxfId="291" priority="1">
      <formula>MOD(ROW(),2)=0</formula>
    </cfRule>
  </conditionalFormatting>
  <conditionalFormatting sqref="AR13:BB27">
    <cfRule type="expression" dxfId="290" priority="2">
      <formula>MOD(ROW(),2)=0</formula>
    </cfRule>
  </conditionalFormatting>
  <dataValidations disablePrompts="1" count="10">
    <dataValidation allowBlank="1" showInputMessage="1" showErrorMessage="1" prompt="always 1" sqref="X7:X12 AB7:AB12 L7:L12 P7:P12 T7:T12 AF7:AF12" xr:uid="{00000000-0002-0000-1D00-000000000000}"/>
    <dataValidation allowBlank="1" showInputMessage="1" showErrorMessage="1" promptTitle="Do not change" prompt="This field is automatically updated from the names-list" sqref="AR13:AR27" xr:uid="{00000000-0002-0000-1D00-000001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L3" xr:uid="{00000000-0002-0000-1D00-000002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Q3" xr:uid="{00000000-0002-0000-1D00-000003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P3" xr:uid="{00000000-0002-0000-1D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O3" xr:uid="{00000000-0002-0000-1D00-000005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N3" xr:uid="{00000000-0002-0000-1D00-000006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M3" xr:uid="{00000000-0002-0000-1D00-000007000000}"/>
    <dataValidation allowBlank="1" showInputMessage="1" showErrorMessage="1" prompt="Do not change." sqref="AR3:BB4" xr:uid="{00000000-0002-0000-1D00-000008000000}"/>
    <dataValidation allowBlank="1" showInputMessage="1" showErrorMessage="1" promptTitle="Remarks" prompt="A general comment (data source, calculation procedure, ...) can be made about each individual exchange. The remarks are added to the GeneralComment-field." sqref="AK3" xr:uid="{00000000-0002-0000-1D00-000009000000}"/>
  </dataValidations>
  <pageMargins left="0.78740157499999996" right="0.78740157499999996" top="0.984251969" bottom="0.984251969" header="0.4921259845" footer="0.4921259845"/>
  <pageSetup paperSize="9" scale="3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4">
    <tabColor rgb="FF9CD9F0"/>
  </sheetPr>
  <dimension ref="A1:BK126"/>
  <sheetViews>
    <sheetView showGridLines="0" topLeftCell="A91" workbookViewId="0">
      <selection activeCell="P101" sqref="P101"/>
    </sheetView>
  </sheetViews>
  <sheetFormatPr baseColWidth="10" defaultColWidth="11.42578125" defaultRowHeight="12.75" outlineLevelCol="1"/>
  <cols>
    <col min="1" max="1" width="7" style="401" customWidth="1"/>
    <col min="2" max="2" width="29.42578125" style="309" customWidth="1"/>
    <col min="3" max="3" width="5.85546875" style="310" hidden="1" customWidth="1" outlineLevel="1"/>
    <col min="4" max="5" width="5" style="11" hidden="1" customWidth="1" outlineLevel="1"/>
    <col min="6" max="6" width="62.5703125" style="11" customWidth="1" collapsed="1"/>
    <col min="7" max="7" width="6.42578125" style="11" customWidth="1"/>
    <col min="8" max="9" width="6.42578125" style="11" hidden="1" customWidth="1" outlineLevel="1"/>
    <col min="10" max="10" width="2" style="11" customWidth="1" collapsed="1"/>
    <col min="11" max="11" width="5.140625" style="11" customWidth="1"/>
    <col min="12" max="12" width="12.85546875" style="11" customWidth="1"/>
    <col min="13" max="14" width="5" style="20" hidden="1" customWidth="1" outlineLevel="1"/>
    <col min="15" max="15" width="56.42578125" style="20" hidden="1" customWidth="1" outlineLevel="1"/>
    <col min="16" max="16" width="12.85546875" style="11" customWidth="1" collapsed="1"/>
    <col min="17" max="18" width="5" style="20" hidden="1" customWidth="1" outlineLevel="1"/>
    <col min="19" max="19" width="93.42578125" style="20" hidden="1" customWidth="1" outlineLevel="1"/>
    <col min="20" max="20" width="6.28515625" style="401" customWidth="1" collapsed="1"/>
    <col min="21" max="21" width="11.28515625" style="401" hidden="1" customWidth="1" outlineLevel="1"/>
    <col min="22" max="22" width="8.140625" style="401" hidden="1" customWidth="1" outlineLevel="1"/>
    <col min="23" max="24" width="7.28515625" style="401" hidden="1" customWidth="1" outlineLevel="1"/>
    <col min="25" max="25" width="7.7109375" style="401" hidden="1" customWidth="1" outlineLevel="1"/>
    <col min="26" max="26" width="40.28515625" style="9" customWidth="1" collapsed="1"/>
    <col min="27" max="27" width="4" style="396" hidden="1" customWidth="1" outlineLevel="1"/>
    <col min="28" max="28" width="6.28515625" style="396" hidden="1" customWidth="1" outlineLevel="1"/>
    <col min="29" max="29" width="5.85546875" style="396" hidden="1" customWidth="1" outlineLevel="1"/>
    <col min="30" max="30" width="4.7109375" style="396" hidden="1" customWidth="1" outlineLevel="1"/>
    <col min="31" max="31" width="5.28515625" style="396" hidden="1" customWidth="1" outlineLevel="1"/>
    <col min="32" max="32" width="5.85546875" style="396" hidden="1" customWidth="1" outlineLevel="1"/>
    <col min="33" max="34" width="6.85546875" style="396" hidden="1" customWidth="1" outlineLevel="1"/>
    <col min="35" max="35" width="8.28515625" style="396" hidden="1" customWidth="1" outlineLevel="1"/>
    <col min="36" max="36" width="9.140625" style="396" hidden="1" customWidth="1" outlineLevel="1"/>
    <col min="37" max="37" width="12.140625" style="396" hidden="1" customWidth="1" outlineLevel="1"/>
    <col min="38" max="40" width="5.42578125" style="401" hidden="1" customWidth="1" outlineLevel="1"/>
    <col min="41" max="41" width="5.85546875" style="401" hidden="1" customWidth="1" outlineLevel="1"/>
    <col min="42" max="42" width="5.42578125" style="401" hidden="1" customWidth="1" outlineLevel="1"/>
    <col min="43" max="43" width="5.28515625" style="401" hidden="1" customWidth="1" outlineLevel="1"/>
    <col min="44" max="44" width="11.42578125" style="401" customWidth="1" collapsed="1"/>
    <col min="45" max="45" width="46" style="401" bestFit="1" customWidth="1"/>
    <col min="46" max="46" width="6.140625" style="401" hidden="1" customWidth="1" outlineLevel="1"/>
    <col min="47" max="47" width="5.85546875" style="401" hidden="1" customWidth="1" outlineLevel="1"/>
    <col min="48" max="48" width="5.5703125" style="401" hidden="1" customWidth="1" outlineLevel="1"/>
    <col min="49" max="49" width="4.28515625" style="401" hidden="1" customWidth="1" outlineLevel="1"/>
    <col min="50" max="50" width="4.85546875" style="401" hidden="1" customWidth="1" outlineLevel="1"/>
    <col min="51" max="51" width="5.7109375" style="401" hidden="1" customWidth="1" outlineLevel="1"/>
    <col min="52" max="52" width="5.28515625" style="401" hidden="1" customWidth="1" outlineLevel="1"/>
    <col min="53" max="53" width="6.7109375" style="401" hidden="1" customWidth="1" outlineLevel="1"/>
    <col min="54" max="54" width="8.28515625" style="401" hidden="1" customWidth="1" outlineLevel="1"/>
    <col min="55" max="55" width="6.7109375" style="401" hidden="1" customWidth="1" outlineLevel="1"/>
    <col min="56" max="56" width="11.42578125" style="401" hidden="1" customWidth="1" outlineLevel="1"/>
    <col min="57" max="57" width="4.42578125" style="401" hidden="1" customWidth="1" outlineLevel="1"/>
    <col min="58" max="58" width="5.85546875" style="401" hidden="1" customWidth="1" outlineLevel="1"/>
    <col min="59" max="59" width="5.5703125" style="401" hidden="1" customWidth="1" outlineLevel="1"/>
    <col min="60" max="60" width="4.42578125" style="401" hidden="1" customWidth="1" outlineLevel="1"/>
    <col min="61" max="61" width="4.85546875" style="401" hidden="1" customWidth="1" outlineLevel="1"/>
    <col min="62" max="62" width="5.7109375" style="401" hidden="1" customWidth="1" outlineLevel="1"/>
    <col min="63" max="63" width="11.42578125" style="401" customWidth="1" collapsed="1"/>
    <col min="64" max="64" width="11.42578125" style="401" customWidth="1"/>
    <col min="65" max="16384" width="11.42578125" style="401"/>
  </cols>
  <sheetData>
    <row r="1" spans="1:62">
      <c r="A1" s="1502"/>
      <c r="B1" s="1503"/>
      <c r="C1" s="1504"/>
      <c r="D1" s="1536"/>
      <c r="E1" s="1536"/>
      <c r="F1" s="1537" t="s">
        <v>65</v>
      </c>
      <c r="G1" s="1536"/>
      <c r="H1" s="1536"/>
      <c r="I1" s="1536"/>
      <c r="J1" s="1536"/>
      <c r="K1" s="1536"/>
      <c r="L1" s="1489">
        <v>269079</v>
      </c>
      <c r="M1" s="1538"/>
      <c r="N1" s="1538"/>
      <c r="O1" s="1538"/>
      <c r="P1" s="1489" t="s">
        <v>1102</v>
      </c>
      <c r="Q1" s="896"/>
      <c r="R1" s="896"/>
      <c r="S1" s="896"/>
      <c r="T1" s="24"/>
      <c r="U1" s="24"/>
      <c r="V1" s="24"/>
      <c r="W1" s="24"/>
      <c r="X1" s="24"/>
      <c r="Y1" s="24"/>
      <c r="Z1" s="400" t="s">
        <v>1103</v>
      </c>
      <c r="AS1" s="613" t="s">
        <v>1104</v>
      </c>
      <c r="BA1" s="396"/>
      <c r="BB1" s="396"/>
      <c r="BC1" s="396"/>
      <c r="BD1" s="396"/>
    </row>
    <row r="2" spans="1:62" ht="38.25" customHeight="1">
      <c r="A2" s="1502"/>
      <c r="B2" s="1505"/>
      <c r="C2" s="1504" t="s">
        <v>67</v>
      </c>
      <c r="D2" s="1514">
        <v>3503</v>
      </c>
      <c r="E2" s="1514">
        <v>3504</v>
      </c>
      <c r="F2" s="1514">
        <v>3702</v>
      </c>
      <c r="G2" s="1514">
        <v>3703</v>
      </c>
      <c r="H2" s="1514">
        <v>3506</v>
      </c>
      <c r="I2" s="1514">
        <v>3507</v>
      </c>
      <c r="J2" s="1514">
        <v>3508</v>
      </c>
      <c r="K2" s="1514">
        <v>3706</v>
      </c>
      <c r="L2" s="1514">
        <v>3707</v>
      </c>
      <c r="M2" s="1515">
        <v>3708</v>
      </c>
      <c r="N2" s="1515">
        <v>3709</v>
      </c>
      <c r="O2" s="1516">
        <v>3792</v>
      </c>
      <c r="P2" s="1514">
        <v>3707</v>
      </c>
      <c r="Q2" s="883">
        <v>3708</v>
      </c>
      <c r="R2" s="883">
        <v>3709</v>
      </c>
      <c r="S2" s="884">
        <v>3792</v>
      </c>
      <c r="T2" s="13"/>
      <c r="U2" s="13"/>
      <c r="V2" s="13"/>
      <c r="W2" s="13"/>
      <c r="X2" s="13"/>
      <c r="Y2" s="13"/>
      <c r="Z2" s="700" t="s">
        <v>81</v>
      </c>
      <c r="AA2" s="314" t="s">
        <v>82</v>
      </c>
      <c r="AB2" s="300" t="s">
        <v>83</v>
      </c>
      <c r="AC2" s="300" t="s">
        <v>84</v>
      </c>
      <c r="AD2" s="300" t="s">
        <v>85</v>
      </c>
      <c r="AE2" s="300" t="s">
        <v>86</v>
      </c>
      <c r="AF2" s="300" t="s">
        <v>87</v>
      </c>
      <c r="AG2" s="241" t="s">
        <v>88</v>
      </c>
      <c r="AH2" s="241" t="s">
        <v>89</v>
      </c>
      <c r="AI2" s="242" t="s">
        <v>90</v>
      </c>
      <c r="AJ2" s="242" t="s">
        <v>91</v>
      </c>
      <c r="AK2" s="243" t="s">
        <v>92</v>
      </c>
      <c r="AL2" s="24" t="s">
        <v>82</v>
      </c>
      <c r="AM2" s="24" t="s">
        <v>83</v>
      </c>
      <c r="AN2" s="24" t="s">
        <v>84</v>
      </c>
      <c r="AO2" s="24" t="s">
        <v>85</v>
      </c>
      <c r="AP2" s="24" t="s">
        <v>86</v>
      </c>
      <c r="AQ2" s="24" t="s">
        <v>87</v>
      </c>
      <c r="AS2" s="700" t="s">
        <v>81</v>
      </c>
      <c r="AT2" s="300" t="s">
        <v>82</v>
      </c>
      <c r="AU2" s="300" t="s">
        <v>83</v>
      </c>
      <c r="AV2" s="300" t="s">
        <v>84</v>
      </c>
      <c r="AW2" s="300" t="s">
        <v>85</v>
      </c>
      <c r="AX2" s="300" t="s">
        <v>86</v>
      </c>
      <c r="AY2" s="300" t="s">
        <v>87</v>
      </c>
      <c r="AZ2" s="241" t="s">
        <v>88</v>
      </c>
      <c r="BA2" s="241" t="s">
        <v>89</v>
      </c>
      <c r="BB2" s="242" t="s">
        <v>90</v>
      </c>
      <c r="BC2" s="242" t="s">
        <v>91</v>
      </c>
      <c r="BD2" s="243" t="s">
        <v>92</v>
      </c>
      <c r="BE2" s="24" t="s">
        <v>82</v>
      </c>
      <c r="BF2" s="24" t="s">
        <v>83</v>
      </c>
      <c r="BG2" s="24" t="s">
        <v>84</v>
      </c>
      <c r="BH2" s="24" t="s">
        <v>85</v>
      </c>
      <c r="BI2" s="24" t="s">
        <v>86</v>
      </c>
      <c r="BJ2" s="24" t="s">
        <v>87</v>
      </c>
    </row>
    <row r="3" spans="1:62" ht="101.25" customHeight="1">
      <c r="A3" s="1502"/>
      <c r="B3" s="1506"/>
      <c r="C3" s="1504">
        <v>401</v>
      </c>
      <c r="D3" s="1507" t="s">
        <v>69</v>
      </c>
      <c r="E3" s="1507" t="s">
        <v>70</v>
      </c>
      <c r="F3" s="1508" t="s">
        <v>71</v>
      </c>
      <c r="G3" s="1509" t="s">
        <v>72</v>
      </c>
      <c r="H3" s="1509" t="s">
        <v>73</v>
      </c>
      <c r="I3" s="1509" t="s">
        <v>74</v>
      </c>
      <c r="J3" s="1509" t="s">
        <v>75</v>
      </c>
      <c r="K3" s="1509" t="s">
        <v>76</v>
      </c>
      <c r="L3" s="1517" t="s">
        <v>1105</v>
      </c>
      <c r="M3" s="1510" t="s">
        <v>78</v>
      </c>
      <c r="N3" s="1510" t="s">
        <v>79</v>
      </c>
      <c r="O3" s="1511" t="s">
        <v>80</v>
      </c>
      <c r="P3" s="1517" t="s">
        <v>1104</v>
      </c>
      <c r="Q3" s="879" t="s">
        <v>78</v>
      </c>
      <c r="R3" s="879" t="s">
        <v>79</v>
      </c>
      <c r="S3" s="880" t="s">
        <v>80</v>
      </c>
      <c r="T3" s="247"/>
      <c r="U3" s="19" t="s">
        <v>1106</v>
      </c>
      <c r="V3" s="247" t="s">
        <v>1107</v>
      </c>
      <c r="W3" s="247" t="s">
        <v>783</v>
      </c>
      <c r="X3" s="247" t="s">
        <v>1108</v>
      </c>
      <c r="Y3" s="247" t="s">
        <v>1109</v>
      </c>
      <c r="Z3" s="684"/>
      <c r="AA3" s="25" t="s">
        <v>668</v>
      </c>
      <c r="AB3" s="300"/>
      <c r="AC3" s="300"/>
      <c r="AD3" s="300"/>
      <c r="AE3" s="300"/>
      <c r="AF3" s="300"/>
      <c r="AG3" s="26"/>
      <c r="AH3" s="26"/>
      <c r="AI3" s="242" t="s">
        <v>95</v>
      </c>
      <c r="AJ3" s="242" t="s">
        <v>95</v>
      </c>
      <c r="AK3" s="400"/>
      <c r="AS3" s="684"/>
      <c r="AT3" s="25" t="s">
        <v>668</v>
      </c>
      <c r="AU3" s="300"/>
      <c r="AV3" s="300"/>
      <c r="AW3" s="300"/>
      <c r="AX3" s="300"/>
      <c r="AY3" s="300"/>
      <c r="AZ3" s="26"/>
      <c r="BA3" s="26"/>
      <c r="BB3" s="242" t="s">
        <v>95</v>
      </c>
      <c r="BC3" s="242" t="s">
        <v>95</v>
      </c>
      <c r="BD3" s="400"/>
    </row>
    <row r="4" spans="1:62">
      <c r="A4" s="1502"/>
      <c r="B4" s="1506"/>
      <c r="C4" s="1504">
        <v>662</v>
      </c>
      <c r="D4" s="1508"/>
      <c r="E4" s="1508"/>
      <c r="F4" s="1508" t="s">
        <v>72</v>
      </c>
      <c r="G4" s="1508"/>
      <c r="H4" s="1508"/>
      <c r="I4" s="1508"/>
      <c r="J4" s="1508"/>
      <c r="K4" s="1508"/>
      <c r="L4" s="1517" t="s">
        <v>154</v>
      </c>
      <c r="M4" s="1512"/>
      <c r="N4" s="1512"/>
      <c r="O4" s="1513"/>
      <c r="P4" s="1517" t="s">
        <v>340</v>
      </c>
      <c r="Q4" s="881"/>
      <c r="R4" s="881"/>
      <c r="S4" s="882"/>
      <c r="T4" s="247"/>
      <c r="U4" s="19" t="s">
        <v>340</v>
      </c>
      <c r="V4" s="247" t="s">
        <v>340</v>
      </c>
      <c r="W4" s="247" t="s">
        <v>93</v>
      </c>
      <c r="X4" s="247" t="s">
        <v>215</v>
      </c>
      <c r="Y4" s="247" t="s">
        <v>340</v>
      </c>
      <c r="Z4" s="684"/>
      <c r="AA4" s="27" t="s">
        <v>94</v>
      </c>
      <c r="AI4" s="28"/>
      <c r="AJ4" s="28"/>
      <c r="AK4" s="28"/>
      <c r="AS4" s="684"/>
      <c r="AT4" s="27" t="s">
        <v>94</v>
      </c>
      <c r="AU4" s="396"/>
      <c r="AV4" s="396"/>
      <c r="AW4" s="396"/>
      <c r="AX4" s="396"/>
      <c r="AY4" s="396"/>
      <c r="AZ4" s="396"/>
      <c r="BA4" s="396"/>
      <c r="BB4" s="28"/>
      <c r="BC4" s="28"/>
      <c r="BD4" s="28"/>
    </row>
    <row r="5" spans="1:62">
      <c r="A5" s="1502"/>
      <c r="B5" s="1506"/>
      <c r="C5" s="1504">
        <v>493</v>
      </c>
      <c r="D5" s="1508"/>
      <c r="E5" s="1508"/>
      <c r="F5" s="1508" t="s">
        <v>75</v>
      </c>
      <c r="G5" s="1508"/>
      <c r="H5" s="1508"/>
      <c r="I5" s="1508"/>
      <c r="J5" s="1508"/>
      <c r="K5" s="1508"/>
      <c r="L5" s="1517">
        <v>1</v>
      </c>
      <c r="M5" s="1512"/>
      <c r="N5" s="1512"/>
      <c r="O5" s="1513"/>
      <c r="P5" s="1517">
        <v>1</v>
      </c>
      <c r="Q5" s="881"/>
      <c r="R5" s="881"/>
      <c r="S5" s="882"/>
      <c r="T5" s="247"/>
      <c r="U5" s="19">
        <v>1</v>
      </c>
      <c r="V5" s="247">
        <v>1</v>
      </c>
      <c r="W5" s="247">
        <v>1</v>
      </c>
      <c r="X5" s="247"/>
      <c r="Y5" s="247"/>
      <c r="Z5" s="684"/>
      <c r="AS5" s="684"/>
      <c r="AT5" s="396"/>
      <c r="AU5" s="396"/>
      <c r="AV5" s="396"/>
      <c r="AW5" s="396"/>
      <c r="AX5" s="396"/>
      <c r="AY5" s="396"/>
      <c r="AZ5" s="396"/>
      <c r="BA5" s="396"/>
      <c r="BB5" s="396"/>
      <c r="BC5" s="396"/>
      <c r="BD5" s="396"/>
    </row>
    <row r="6" spans="1:62" ht="13.5">
      <c r="A6" s="1502"/>
      <c r="B6" s="1506"/>
      <c r="C6" s="1504">
        <v>403</v>
      </c>
      <c r="D6" s="1508"/>
      <c r="E6" s="1508"/>
      <c r="F6" s="1508" t="s">
        <v>76</v>
      </c>
      <c r="G6" s="1508"/>
      <c r="H6" s="1508"/>
      <c r="I6" s="1508"/>
      <c r="J6" s="1508"/>
      <c r="K6" s="1508"/>
      <c r="L6" s="1517" t="s">
        <v>144</v>
      </c>
      <c r="M6" s="1512"/>
      <c r="N6" s="1512"/>
      <c r="O6" s="1513"/>
      <c r="P6" s="1517" t="s">
        <v>144</v>
      </c>
      <c r="Q6" s="881"/>
      <c r="R6" s="881"/>
      <c r="S6" s="882"/>
      <c r="T6" s="248"/>
      <c r="U6" s="19" t="s">
        <v>374</v>
      </c>
      <c r="V6" s="248" t="s">
        <v>374</v>
      </c>
      <c r="W6" s="248" t="s">
        <v>374</v>
      </c>
      <c r="X6" s="248" t="s">
        <v>374</v>
      </c>
      <c r="Y6" s="248" t="s">
        <v>374</v>
      </c>
      <c r="Z6" s="684"/>
      <c r="AA6" s="10"/>
      <c r="AB6" s="10"/>
      <c r="AC6" s="10"/>
      <c r="AD6" s="10"/>
      <c r="AE6" s="10"/>
      <c r="AF6" s="10"/>
      <c r="AI6" s="450"/>
      <c r="AJ6" s="450"/>
      <c r="AK6" s="244"/>
      <c r="AS6" s="684"/>
      <c r="AT6" s="10"/>
      <c r="AU6" s="10"/>
      <c r="AV6" s="10"/>
      <c r="AW6" s="10"/>
      <c r="AX6" s="10"/>
      <c r="AY6" s="10"/>
      <c r="AZ6" s="396"/>
      <c r="BA6" s="396"/>
      <c r="BB6" s="450"/>
      <c r="BC6" s="450"/>
      <c r="BD6" s="244"/>
    </row>
    <row r="7" spans="1:62">
      <c r="A7" s="1518"/>
      <c r="B7" s="1521" t="s">
        <v>97</v>
      </c>
      <c r="C7" s="1522"/>
      <c r="D7" s="1525" t="s">
        <v>98</v>
      </c>
      <c r="E7" s="1526">
        <v>0</v>
      </c>
      <c r="F7" s="1527" t="s">
        <v>1105</v>
      </c>
      <c r="G7" s="1528" t="s">
        <v>154</v>
      </c>
      <c r="H7" s="1529" t="s">
        <v>98</v>
      </c>
      <c r="I7" s="1529" t="s">
        <v>98</v>
      </c>
      <c r="J7" s="1530">
        <v>1</v>
      </c>
      <c r="K7" s="1528" t="s">
        <v>144</v>
      </c>
      <c r="L7" s="1528">
        <v>1</v>
      </c>
      <c r="M7" s="1531"/>
      <c r="N7" s="1532"/>
      <c r="O7" s="1533"/>
      <c r="P7" s="1528">
        <v>0</v>
      </c>
      <c r="Q7" s="891"/>
      <c r="R7" s="892"/>
      <c r="S7" s="893"/>
      <c r="T7" s="451"/>
      <c r="U7" s="451"/>
      <c r="V7" s="451"/>
      <c r="W7" s="451"/>
      <c r="X7" s="451"/>
      <c r="Y7" s="451"/>
      <c r="Z7" s="401"/>
      <c r="AA7" s="21">
        <v>1</v>
      </c>
      <c r="AB7" s="21">
        <v>1</v>
      </c>
      <c r="AC7" s="21">
        <v>1</v>
      </c>
      <c r="AD7" s="21">
        <v>1</v>
      </c>
      <c r="AE7" s="21">
        <v>1</v>
      </c>
      <c r="AF7" s="21">
        <v>1</v>
      </c>
      <c r="AG7" s="21">
        <v>45</v>
      </c>
      <c r="AH7" s="6">
        <v>1</v>
      </c>
      <c r="AI7" s="245">
        <f t="shared" ref="AI7:AI38" si="0">EXP(SQRT((LN(AL7)^2)+(LN(AM7)^2)+(LN(AN7)^2)+(LN(AO7)^2)+(LN(AP7)^2)+(LN(AQ7)^2)))</f>
        <v>1</v>
      </c>
      <c r="AJ7" s="245">
        <f t="shared" ref="AJ7:AJ38" si="1">EXP(SQRT((LN(AL7)^2)+(LN(AM7)^2)+(LN(AN7)^2)+(LN(AO7)^2)+(LN(AP7)^2)+(LN(AQ7)^2)+LN(AH7)^2))</f>
        <v>1</v>
      </c>
      <c r="AK7" s="246" t="str">
        <f t="shared" ref="AK7:AK38" si="2">CONCATENATE("(",AA7,",",AB7,",",AC7,",",AD7,",",AE7,",",AF7,")")</f>
        <v>(1,1,1,1,1,1)</v>
      </c>
      <c r="AL7" s="30">
        <v>1</v>
      </c>
      <c r="AM7" s="30">
        <v>1</v>
      </c>
      <c r="AN7" s="30">
        <v>1</v>
      </c>
      <c r="AO7" s="30">
        <v>1</v>
      </c>
      <c r="AP7" s="30">
        <v>1</v>
      </c>
      <c r="AQ7" s="30">
        <v>1</v>
      </c>
      <c r="AT7" s="21">
        <v>1</v>
      </c>
      <c r="AU7" s="21">
        <v>1</v>
      </c>
      <c r="AV7" s="21">
        <v>1</v>
      </c>
      <c r="AW7" s="21">
        <v>1</v>
      </c>
      <c r="AX7" s="21">
        <v>1</v>
      </c>
      <c r="AY7" s="21">
        <v>1</v>
      </c>
      <c r="AZ7" s="21">
        <v>45</v>
      </c>
      <c r="BA7" s="6">
        <v>1</v>
      </c>
      <c r="BB7" s="245">
        <f t="shared" ref="BB7:BB38" si="3">EXP(SQRT((LN(BE7)^2)+(LN(BF7)^2)+(LN(BG7)^2)+(LN(BH7)^2)+(LN(BI7)^2)+(LN(BJ7)^2)))</f>
        <v>1</v>
      </c>
      <c r="BC7" s="245">
        <f t="shared" ref="BC7:BC38" si="4">EXP(SQRT((LN(BE7)^2)+(LN(BF7)^2)+(LN(BG7)^2)+(LN(BH7)^2)+(LN(BI7)^2)+(LN(BJ7)^2)+LN(BA7)^2))</f>
        <v>1</v>
      </c>
      <c r="BD7" s="246" t="str">
        <f t="shared" ref="BD7:BD38" si="5">CONCATENATE("(",AT7,",",AU7,",",AV7,",",AW7,",",AX7,",",AY7,")")</f>
        <v>(1,1,1,1,1,1)</v>
      </c>
      <c r="BE7" s="30">
        <v>1</v>
      </c>
      <c r="BF7" s="30">
        <v>1</v>
      </c>
      <c r="BG7" s="30">
        <v>1</v>
      </c>
      <c r="BH7" s="30">
        <v>1</v>
      </c>
      <c r="BI7" s="30">
        <v>1</v>
      </c>
      <c r="BJ7" s="30">
        <v>1</v>
      </c>
    </row>
    <row r="8" spans="1:62">
      <c r="A8" s="1518"/>
      <c r="B8" s="1521"/>
      <c r="C8" s="1522"/>
      <c r="D8" s="1525" t="s">
        <v>98</v>
      </c>
      <c r="E8" s="1526">
        <v>0</v>
      </c>
      <c r="F8" s="1527" t="s">
        <v>1104</v>
      </c>
      <c r="G8" s="1528" t="s">
        <v>340</v>
      </c>
      <c r="H8" s="1529" t="s">
        <v>98</v>
      </c>
      <c r="I8" s="1529" t="s">
        <v>98</v>
      </c>
      <c r="J8" s="1530">
        <v>1</v>
      </c>
      <c r="K8" s="1528" t="s">
        <v>144</v>
      </c>
      <c r="L8" s="1528">
        <v>0</v>
      </c>
      <c r="M8" s="1531"/>
      <c r="N8" s="1532"/>
      <c r="O8" s="1533"/>
      <c r="P8" s="1528">
        <v>1</v>
      </c>
      <c r="Q8" s="891"/>
      <c r="R8" s="892"/>
      <c r="S8" s="893"/>
      <c r="T8" s="451"/>
      <c r="U8" s="451"/>
      <c r="V8" s="451"/>
      <c r="W8" s="451"/>
      <c r="X8" s="451"/>
      <c r="Y8" s="451"/>
      <c r="Z8" s="401"/>
      <c r="AA8" s="21">
        <v>1</v>
      </c>
      <c r="AB8" s="21">
        <v>1</v>
      </c>
      <c r="AC8" s="21">
        <v>1</v>
      </c>
      <c r="AD8" s="21">
        <v>1</v>
      </c>
      <c r="AE8" s="21">
        <v>1</v>
      </c>
      <c r="AF8" s="21">
        <v>1</v>
      </c>
      <c r="AG8" s="21">
        <v>45</v>
      </c>
      <c r="AH8" s="6">
        <v>1</v>
      </c>
      <c r="AI8" s="245">
        <f t="shared" si="0"/>
        <v>1</v>
      </c>
      <c r="AJ8" s="245">
        <f t="shared" si="1"/>
        <v>1</v>
      </c>
      <c r="AK8" s="246" t="str">
        <f t="shared" si="2"/>
        <v>(1,1,1,1,1,1)</v>
      </c>
      <c r="AL8" s="30">
        <v>1</v>
      </c>
      <c r="AM8" s="30">
        <v>1</v>
      </c>
      <c r="AN8" s="30">
        <v>1</v>
      </c>
      <c r="AO8" s="30">
        <v>1</v>
      </c>
      <c r="AP8" s="30">
        <v>1</v>
      </c>
      <c r="AQ8" s="30">
        <v>1</v>
      </c>
      <c r="AT8" s="21">
        <v>1</v>
      </c>
      <c r="AU8" s="21">
        <v>1</v>
      </c>
      <c r="AV8" s="21">
        <v>1</v>
      </c>
      <c r="AW8" s="21">
        <v>1</v>
      </c>
      <c r="AX8" s="21">
        <v>1</v>
      </c>
      <c r="AY8" s="21">
        <v>1</v>
      </c>
      <c r="AZ8" s="21">
        <v>45</v>
      </c>
      <c r="BA8" s="6">
        <v>1</v>
      </c>
      <c r="BB8" s="245">
        <f t="shared" si="3"/>
        <v>1</v>
      </c>
      <c r="BC8" s="245">
        <f t="shared" si="4"/>
        <v>1</v>
      </c>
      <c r="BD8" s="246" t="str">
        <f t="shared" si="5"/>
        <v>(1,1,1,1,1,1)</v>
      </c>
      <c r="BE8" s="30">
        <v>1</v>
      </c>
      <c r="BF8" s="30">
        <v>1</v>
      </c>
      <c r="BG8" s="30">
        <v>1</v>
      </c>
      <c r="BH8" s="30">
        <v>1</v>
      </c>
      <c r="BI8" s="30">
        <v>1</v>
      </c>
      <c r="BJ8" s="30">
        <v>1</v>
      </c>
    </row>
    <row r="9" spans="1:62">
      <c r="A9" s="1519">
        <v>267976</v>
      </c>
      <c r="B9" s="1523" t="s">
        <v>582</v>
      </c>
      <c r="C9" s="1522"/>
      <c r="D9" s="1539">
        <v>5</v>
      </c>
      <c r="E9" s="1540" t="s">
        <v>98</v>
      </c>
      <c r="F9" s="1541" t="s">
        <v>784</v>
      </c>
      <c r="G9" s="1542" t="s">
        <v>103</v>
      </c>
      <c r="H9" s="1543" t="s">
        <v>98</v>
      </c>
      <c r="I9" s="1543" t="s">
        <v>98</v>
      </c>
      <c r="J9" s="1544">
        <v>1</v>
      </c>
      <c r="K9" s="1542" t="s">
        <v>679</v>
      </c>
      <c r="L9" s="1542">
        <v>799.14566553155214</v>
      </c>
      <c r="M9" s="1545">
        <v>1</v>
      </c>
      <c r="N9" s="1546">
        <v>3.0708070945678916</v>
      </c>
      <c r="O9" s="1547" t="s">
        <v>3190</v>
      </c>
      <c r="P9" s="1542">
        <v>0</v>
      </c>
      <c r="Q9" s="903">
        <v>1</v>
      </c>
      <c r="R9" s="904">
        <f t="shared" ref="R9:R40" si="6">EXP(SQRT((LN(BC9)^2)+(LN(BC$8)^2)))</f>
        <v>3.0000000000000004</v>
      </c>
      <c r="S9" s="905" t="str">
        <f t="shared" ref="S9:S40" si="7">BD9&amp;"; "&amp;AS9</f>
        <v xml:space="preserve">(1,1,1,1,1,1); </v>
      </c>
      <c r="T9" s="452"/>
      <c r="U9" s="452">
        <f>U119</f>
        <v>980</v>
      </c>
      <c r="V9" s="452">
        <f>V119</f>
        <v>4262</v>
      </c>
      <c r="W9" s="452">
        <f>W119</f>
        <v>4200</v>
      </c>
      <c r="X9" s="452">
        <f>200000*0.0929</f>
        <v>18580</v>
      </c>
      <c r="Y9" s="452">
        <v>22600</v>
      </c>
      <c r="Z9" s="401" t="s">
        <v>785</v>
      </c>
      <c r="AA9" s="21">
        <v>3</v>
      </c>
      <c r="AB9" s="21">
        <v>4</v>
      </c>
      <c r="AC9" s="21">
        <v>1</v>
      </c>
      <c r="AD9" s="21">
        <v>3</v>
      </c>
      <c r="AE9" s="21">
        <v>1</v>
      </c>
      <c r="AF9" s="315">
        <v>5</v>
      </c>
      <c r="AG9" s="297">
        <v>9</v>
      </c>
      <c r="AH9" s="6">
        <v>3</v>
      </c>
      <c r="AI9" s="245">
        <f t="shared" si="0"/>
        <v>1.2555818742947564</v>
      </c>
      <c r="AJ9" s="245">
        <f t="shared" si="1"/>
        <v>3.0708070945678916</v>
      </c>
      <c r="AK9" s="246" t="str">
        <f t="shared" si="2"/>
        <v>(3,4,1,3,1,5)</v>
      </c>
      <c r="AL9" s="30">
        <v>1.1000000000000001</v>
      </c>
      <c r="AM9" s="30">
        <v>1.1000000000000001</v>
      </c>
      <c r="AN9" s="30">
        <v>1</v>
      </c>
      <c r="AO9" s="30">
        <v>1.02</v>
      </c>
      <c r="AP9" s="30">
        <v>1</v>
      </c>
      <c r="AQ9" s="30">
        <v>1.2</v>
      </c>
      <c r="AT9" s="21">
        <v>1</v>
      </c>
      <c r="AU9" s="21">
        <v>1</v>
      </c>
      <c r="AV9" s="21">
        <v>1</v>
      </c>
      <c r="AW9" s="21">
        <v>1</v>
      </c>
      <c r="AX9" s="21">
        <v>1</v>
      </c>
      <c r="AY9" s="21">
        <v>1</v>
      </c>
      <c r="AZ9" s="297">
        <v>9</v>
      </c>
      <c r="BA9" s="6">
        <v>3</v>
      </c>
      <c r="BB9" s="245">
        <f t="shared" si="3"/>
        <v>1</v>
      </c>
      <c r="BC9" s="245">
        <f t="shared" si="4"/>
        <v>3.0000000000000004</v>
      </c>
      <c r="BD9" s="246" t="str">
        <f t="shared" si="5"/>
        <v>(1,1,1,1,1,1)</v>
      </c>
      <c r="BE9" s="30">
        <v>1</v>
      </c>
      <c r="BF9" s="30">
        <v>1</v>
      </c>
      <c r="BG9" s="30">
        <v>1</v>
      </c>
      <c r="BH9" s="30">
        <v>1</v>
      </c>
      <c r="BI9" s="30">
        <v>1</v>
      </c>
      <c r="BJ9" s="30">
        <v>1</v>
      </c>
    </row>
    <row r="10" spans="1:62">
      <c r="A10" s="1519">
        <v>264499</v>
      </c>
      <c r="B10" s="1523"/>
      <c r="C10" s="1522"/>
      <c r="D10" s="1534">
        <v>5</v>
      </c>
      <c r="E10" s="1535" t="s">
        <v>98</v>
      </c>
      <c r="F10" s="1494" t="s">
        <v>510</v>
      </c>
      <c r="G10" s="1495" t="s">
        <v>93</v>
      </c>
      <c r="H10" s="1497" t="s">
        <v>98</v>
      </c>
      <c r="I10" s="1497" t="s">
        <v>98</v>
      </c>
      <c r="J10" s="1498">
        <v>1</v>
      </c>
      <c r="K10" s="1495" t="s">
        <v>96</v>
      </c>
      <c r="L10" s="1495">
        <v>4000</v>
      </c>
      <c r="M10" s="1499">
        <v>1</v>
      </c>
      <c r="N10" s="1500">
        <v>3.0708070945678916</v>
      </c>
      <c r="O10" s="1501" t="s">
        <v>3234</v>
      </c>
      <c r="P10" s="1495">
        <v>3011000</v>
      </c>
      <c r="Q10" s="873">
        <v>1</v>
      </c>
      <c r="R10" s="874">
        <f t="shared" si="6"/>
        <v>3.287562838530901</v>
      </c>
      <c r="S10" s="875" t="str">
        <f t="shared" si="7"/>
        <v>(2,4,1,3,4,5); Brailovsky et al. (2024) from process equipment A1-A3</v>
      </c>
      <c r="T10" s="452"/>
      <c r="U10" s="452"/>
      <c r="V10" s="452"/>
      <c r="W10" s="452"/>
      <c r="X10" s="452"/>
      <c r="Y10" s="452"/>
      <c r="Z10" s="401" t="s">
        <v>1110</v>
      </c>
      <c r="AA10" s="21">
        <v>3</v>
      </c>
      <c r="AB10" s="21">
        <v>4</v>
      </c>
      <c r="AC10" s="21">
        <v>1</v>
      </c>
      <c r="AD10" s="21">
        <v>3</v>
      </c>
      <c r="AE10" s="21">
        <v>1</v>
      </c>
      <c r="AF10" s="315">
        <v>5</v>
      </c>
      <c r="AG10" s="297">
        <v>9</v>
      </c>
      <c r="AH10" s="6">
        <v>3</v>
      </c>
      <c r="AI10" s="245">
        <f t="shared" si="0"/>
        <v>1.2555818742947564</v>
      </c>
      <c r="AJ10" s="245">
        <f t="shared" si="1"/>
        <v>3.0708070945678916</v>
      </c>
      <c r="AK10" s="246" t="str">
        <f t="shared" si="2"/>
        <v>(3,4,1,3,1,5)</v>
      </c>
      <c r="AL10" s="30">
        <v>1.1000000000000001</v>
      </c>
      <c r="AM10" s="30">
        <v>1.1000000000000001</v>
      </c>
      <c r="AN10" s="30">
        <v>1</v>
      </c>
      <c r="AO10" s="30">
        <v>1.02</v>
      </c>
      <c r="AP10" s="30">
        <v>1</v>
      </c>
      <c r="AQ10" s="30">
        <v>1.2</v>
      </c>
      <c r="AS10" s="303" t="s">
        <v>926</v>
      </c>
      <c r="AT10" s="21">
        <v>2</v>
      </c>
      <c r="AU10" s="21">
        <v>4</v>
      </c>
      <c r="AV10" s="21">
        <v>1</v>
      </c>
      <c r="AW10" s="21">
        <v>3</v>
      </c>
      <c r="AX10" s="21">
        <v>4</v>
      </c>
      <c r="AY10" s="21">
        <v>5</v>
      </c>
      <c r="AZ10" s="297">
        <v>9</v>
      </c>
      <c r="BA10" s="6">
        <v>3</v>
      </c>
      <c r="BB10" s="245">
        <f t="shared" si="3"/>
        <v>1.5804528752110836</v>
      </c>
      <c r="BC10" s="245">
        <f t="shared" si="4"/>
        <v>3.287562838530901</v>
      </c>
      <c r="BD10" s="246" t="str">
        <f t="shared" si="5"/>
        <v>(2,4,1,3,4,5)</v>
      </c>
      <c r="BE10" s="30">
        <v>1.05</v>
      </c>
      <c r="BF10" s="30">
        <v>1.1000000000000001</v>
      </c>
      <c r="BG10" s="30">
        <v>1</v>
      </c>
      <c r="BH10" s="30">
        <v>1.02</v>
      </c>
      <c r="BI10" s="30">
        <v>1.5</v>
      </c>
      <c r="BJ10" s="30">
        <v>1.2</v>
      </c>
    </row>
    <row r="11" spans="1:62">
      <c r="A11" s="1520">
        <v>257118</v>
      </c>
      <c r="B11" s="1524" t="s">
        <v>716</v>
      </c>
      <c r="C11" s="1490"/>
      <c r="D11" s="1548">
        <v>5</v>
      </c>
      <c r="E11" s="1549" t="s">
        <v>98</v>
      </c>
      <c r="F11" s="1541" t="s">
        <v>717</v>
      </c>
      <c r="G11" s="1542" t="s">
        <v>103</v>
      </c>
      <c r="H11" s="1550" t="s">
        <v>98</v>
      </c>
      <c r="I11" s="1543" t="s">
        <v>98</v>
      </c>
      <c r="J11" s="1544">
        <v>1</v>
      </c>
      <c r="K11" s="1542" t="s">
        <v>168</v>
      </c>
      <c r="L11" s="1542">
        <v>0</v>
      </c>
      <c r="M11" s="1545">
        <v>1</v>
      </c>
      <c r="N11" s="1546">
        <v>3.0708070945678916</v>
      </c>
      <c r="O11" s="1547" t="s">
        <v>3196</v>
      </c>
      <c r="P11" s="1542">
        <v>1.53</v>
      </c>
      <c r="Q11" s="903">
        <v>1</v>
      </c>
      <c r="R11" s="904">
        <f t="shared" si="6"/>
        <v>3.0616345979734279</v>
      </c>
      <c r="S11" s="905" t="str">
        <f t="shared" si="7"/>
        <v>(2,4,1,3,1,5); Brailovsky et al. (2024)</v>
      </c>
      <c r="U11" s="452"/>
      <c r="V11" s="452"/>
      <c r="W11" s="452"/>
      <c r="X11" s="452"/>
      <c r="Y11" s="452"/>
      <c r="Z11" s="22"/>
      <c r="AA11" s="21">
        <v>3</v>
      </c>
      <c r="AB11" s="21">
        <v>4</v>
      </c>
      <c r="AC11" s="21">
        <v>1</v>
      </c>
      <c r="AD11" s="21">
        <v>3</v>
      </c>
      <c r="AE11" s="21">
        <v>1</v>
      </c>
      <c r="AF11" s="315">
        <v>5</v>
      </c>
      <c r="AG11" s="297">
        <v>9</v>
      </c>
      <c r="AH11" s="6">
        <v>3</v>
      </c>
      <c r="AI11" s="245">
        <f t="shared" si="0"/>
        <v>1.2555818742947564</v>
      </c>
      <c r="AJ11" s="245">
        <f t="shared" si="1"/>
        <v>3.0708070945678916</v>
      </c>
      <c r="AK11" s="246" t="str">
        <f t="shared" si="2"/>
        <v>(3,4,1,3,1,5)</v>
      </c>
      <c r="AL11" s="30">
        <v>1.1000000000000001</v>
      </c>
      <c r="AM11" s="30">
        <v>1.1000000000000001</v>
      </c>
      <c r="AN11" s="30">
        <v>1</v>
      </c>
      <c r="AO11" s="30">
        <v>1.02</v>
      </c>
      <c r="AP11" s="30">
        <v>1</v>
      </c>
      <c r="AQ11" s="30">
        <v>1.2</v>
      </c>
      <c r="AS11" s="303" t="s">
        <v>673</v>
      </c>
      <c r="AT11" s="21">
        <v>2</v>
      </c>
      <c r="AU11" s="21">
        <v>4</v>
      </c>
      <c r="AV11" s="21">
        <v>1</v>
      </c>
      <c r="AW11" s="21">
        <v>3</v>
      </c>
      <c r="AX11" s="21">
        <v>1</v>
      </c>
      <c r="AY11" s="21">
        <v>5</v>
      </c>
      <c r="AZ11" s="297">
        <v>9</v>
      </c>
      <c r="BA11" s="6">
        <v>3</v>
      </c>
      <c r="BB11" s="245">
        <f t="shared" si="3"/>
        <v>1.2365959919080913</v>
      </c>
      <c r="BC11" s="245">
        <f t="shared" si="4"/>
        <v>3.0616345979734279</v>
      </c>
      <c r="BD11" s="246" t="str">
        <f t="shared" si="5"/>
        <v>(2,4,1,3,1,5)</v>
      </c>
      <c r="BE11" s="30">
        <v>1.05</v>
      </c>
      <c r="BF11" s="30">
        <v>1.1000000000000001</v>
      </c>
      <c r="BG11" s="30">
        <v>1</v>
      </c>
      <c r="BH11" s="30">
        <v>1.02</v>
      </c>
      <c r="BI11" s="30">
        <v>1</v>
      </c>
      <c r="BJ11" s="30">
        <v>1.2</v>
      </c>
    </row>
    <row r="12" spans="1:62">
      <c r="A12" s="1489">
        <v>268743</v>
      </c>
      <c r="B12" s="1524" t="s">
        <v>671</v>
      </c>
      <c r="C12" s="1490"/>
      <c r="D12" s="1492">
        <v>5</v>
      </c>
      <c r="E12" s="1493" t="s">
        <v>98</v>
      </c>
      <c r="F12" s="1494" t="s">
        <v>672</v>
      </c>
      <c r="G12" s="1495" t="s">
        <v>103</v>
      </c>
      <c r="H12" s="1496" t="s">
        <v>98</v>
      </c>
      <c r="I12" s="1497" t="s">
        <v>98</v>
      </c>
      <c r="J12" s="1498">
        <v>0</v>
      </c>
      <c r="K12" s="1495" t="s">
        <v>96</v>
      </c>
      <c r="L12" s="1495">
        <v>0</v>
      </c>
      <c r="M12" s="1499">
        <v>1</v>
      </c>
      <c r="N12" s="1500">
        <v>1.2620910621938648</v>
      </c>
      <c r="O12" s="1501" t="s">
        <v>3196</v>
      </c>
      <c r="P12" s="1495">
        <v>19030978.300000001</v>
      </c>
      <c r="Q12" s="873">
        <v>1</v>
      </c>
      <c r="R12" s="874">
        <f t="shared" si="6"/>
        <v>1.2434566510799234</v>
      </c>
      <c r="S12" s="875" t="str">
        <f t="shared" si="7"/>
        <v>(2,4,1,3,1,5); Brailovsky et al. (2024)</v>
      </c>
      <c r="U12" s="452"/>
      <c r="V12" s="452"/>
      <c r="W12" s="452"/>
      <c r="X12" s="452"/>
      <c r="Y12" s="452"/>
      <c r="Z12" s="303"/>
      <c r="AA12" s="21">
        <v>3</v>
      </c>
      <c r="AB12" s="21">
        <v>4</v>
      </c>
      <c r="AC12" s="21">
        <v>1</v>
      </c>
      <c r="AD12" s="21">
        <v>3</v>
      </c>
      <c r="AE12" s="21">
        <v>1</v>
      </c>
      <c r="AF12" s="315">
        <v>5</v>
      </c>
      <c r="AG12" s="297">
        <v>3</v>
      </c>
      <c r="AH12" s="6">
        <v>1.05</v>
      </c>
      <c r="AI12" s="245">
        <f t="shared" si="0"/>
        <v>1.2555818742947564</v>
      </c>
      <c r="AJ12" s="245">
        <f t="shared" si="1"/>
        <v>1.2620910621938648</v>
      </c>
      <c r="AK12" s="246" t="str">
        <f t="shared" si="2"/>
        <v>(3,4,1,3,1,5)</v>
      </c>
      <c r="AL12" s="30">
        <v>1.1000000000000001</v>
      </c>
      <c r="AM12" s="30">
        <v>1.1000000000000001</v>
      </c>
      <c r="AN12" s="30">
        <v>1</v>
      </c>
      <c r="AO12" s="30">
        <v>1.02</v>
      </c>
      <c r="AP12" s="30">
        <v>1</v>
      </c>
      <c r="AQ12" s="30">
        <v>1.2</v>
      </c>
      <c r="AS12" s="303" t="s">
        <v>673</v>
      </c>
      <c r="AT12" s="21">
        <v>2</v>
      </c>
      <c r="AU12" s="21">
        <v>4</v>
      </c>
      <c r="AV12" s="21">
        <v>1</v>
      </c>
      <c r="AW12" s="21">
        <v>3</v>
      </c>
      <c r="AX12" s="21">
        <v>1</v>
      </c>
      <c r="AY12" s="21">
        <v>5</v>
      </c>
      <c r="AZ12" s="297">
        <v>3</v>
      </c>
      <c r="BA12" s="6">
        <v>1.05</v>
      </c>
      <c r="BB12" s="245">
        <f t="shared" si="3"/>
        <v>1.2365959919080913</v>
      </c>
      <c r="BC12" s="245">
        <f t="shared" si="4"/>
        <v>1.2434566510799234</v>
      </c>
      <c r="BD12" s="246" t="str">
        <f t="shared" si="5"/>
        <v>(2,4,1,3,1,5)</v>
      </c>
      <c r="BE12" s="30">
        <v>1.05</v>
      </c>
      <c r="BF12" s="30">
        <v>1.1000000000000001</v>
      </c>
      <c r="BG12" s="30">
        <v>1</v>
      </c>
      <c r="BH12" s="30">
        <v>1.02</v>
      </c>
      <c r="BI12" s="30">
        <v>1</v>
      </c>
      <c r="BJ12" s="30">
        <v>1.2</v>
      </c>
    </row>
    <row r="13" spans="1:62">
      <c r="A13" s="1489">
        <v>269089</v>
      </c>
      <c r="B13" s="1524" t="s">
        <v>674</v>
      </c>
      <c r="C13" s="1490"/>
      <c r="D13" s="1548">
        <v>5</v>
      </c>
      <c r="E13" s="1549" t="s">
        <v>98</v>
      </c>
      <c r="F13" s="1541" t="s">
        <v>675</v>
      </c>
      <c r="G13" s="1542" t="s">
        <v>93</v>
      </c>
      <c r="H13" s="1550" t="s">
        <v>98</v>
      </c>
      <c r="I13" s="1543" t="s">
        <v>98</v>
      </c>
      <c r="J13" s="1544">
        <v>0</v>
      </c>
      <c r="K13" s="1542" t="s">
        <v>96</v>
      </c>
      <c r="L13" s="1542">
        <v>0</v>
      </c>
      <c r="M13" s="1545">
        <v>1</v>
      </c>
      <c r="N13" s="1546">
        <v>1.2620910621938648</v>
      </c>
      <c r="O13" s="1547" t="s">
        <v>3196</v>
      </c>
      <c r="P13" s="1542">
        <v>14394.7</v>
      </c>
      <c r="Q13" s="903">
        <v>1</v>
      </c>
      <c r="R13" s="904">
        <f t="shared" si="6"/>
        <v>1.3285812705862265</v>
      </c>
      <c r="S13" s="905" t="str">
        <f t="shared" si="7"/>
        <v>(2,4,1,3,3,5); Brailovsky et al. (2024) AlMg3 iso AlLi</v>
      </c>
      <c r="U13" s="452"/>
      <c r="V13" s="452"/>
      <c r="W13" s="452"/>
      <c r="X13" s="452"/>
      <c r="Y13" s="452"/>
      <c r="Z13" s="303"/>
      <c r="AA13" s="21">
        <v>3</v>
      </c>
      <c r="AB13" s="21">
        <v>4</v>
      </c>
      <c r="AC13" s="21">
        <v>1</v>
      </c>
      <c r="AD13" s="21">
        <v>3</v>
      </c>
      <c r="AE13" s="21">
        <v>1</v>
      </c>
      <c r="AF13" s="315">
        <v>5</v>
      </c>
      <c r="AG13" s="297">
        <v>3</v>
      </c>
      <c r="AH13" s="6">
        <v>1.05</v>
      </c>
      <c r="AI13" s="245">
        <f t="shared" si="0"/>
        <v>1.2555818742947564</v>
      </c>
      <c r="AJ13" s="245">
        <f t="shared" si="1"/>
        <v>1.2620910621938648</v>
      </c>
      <c r="AK13" s="246" t="str">
        <f t="shared" si="2"/>
        <v>(3,4,1,3,1,5)</v>
      </c>
      <c r="AL13" s="30">
        <v>1.1000000000000001</v>
      </c>
      <c r="AM13" s="30">
        <v>1.1000000000000001</v>
      </c>
      <c r="AN13" s="30">
        <v>1</v>
      </c>
      <c r="AO13" s="30">
        <v>1.02</v>
      </c>
      <c r="AP13" s="30">
        <v>1</v>
      </c>
      <c r="AQ13" s="30">
        <v>1.2</v>
      </c>
      <c r="AS13" s="303" t="s">
        <v>676</v>
      </c>
      <c r="AT13" s="21">
        <v>2</v>
      </c>
      <c r="AU13" s="21">
        <v>4</v>
      </c>
      <c r="AV13" s="21">
        <v>1</v>
      </c>
      <c r="AW13" s="21">
        <v>3</v>
      </c>
      <c r="AX13" s="21">
        <v>3</v>
      </c>
      <c r="AY13" s="21">
        <v>5</v>
      </c>
      <c r="AZ13" s="297">
        <v>3</v>
      </c>
      <c r="BA13" s="6">
        <v>1.05</v>
      </c>
      <c r="BB13" s="245">
        <f t="shared" si="3"/>
        <v>1.3229855584076429</v>
      </c>
      <c r="BC13" s="245">
        <f t="shared" si="4"/>
        <v>1.3285812705862265</v>
      </c>
      <c r="BD13" s="246" t="str">
        <f t="shared" si="5"/>
        <v>(2,4,1,3,3,5)</v>
      </c>
      <c r="BE13" s="30">
        <v>1.05</v>
      </c>
      <c r="BF13" s="30">
        <v>1.1000000000000001</v>
      </c>
      <c r="BG13" s="30">
        <v>1</v>
      </c>
      <c r="BH13" s="30">
        <v>1.02</v>
      </c>
      <c r="BI13" s="30">
        <v>1.2</v>
      </c>
      <c r="BJ13" s="30">
        <v>1.2</v>
      </c>
    </row>
    <row r="14" spans="1:62">
      <c r="A14" s="1489">
        <v>263015</v>
      </c>
      <c r="B14" s="1521"/>
      <c r="C14" s="1490"/>
      <c r="D14" s="1492">
        <v>5</v>
      </c>
      <c r="E14" s="1493" t="s">
        <v>98</v>
      </c>
      <c r="F14" s="1494" t="s">
        <v>677</v>
      </c>
      <c r="G14" s="1495" t="s">
        <v>103</v>
      </c>
      <c r="H14" s="1496" t="s">
        <v>98</v>
      </c>
      <c r="I14" s="1497" t="s">
        <v>98</v>
      </c>
      <c r="J14" s="1498">
        <v>0</v>
      </c>
      <c r="K14" s="1495" t="s">
        <v>96</v>
      </c>
      <c r="L14" s="1495">
        <v>0</v>
      </c>
      <c r="M14" s="1499">
        <v>1</v>
      </c>
      <c r="N14" s="1500">
        <v>1.2620910621938648</v>
      </c>
      <c r="O14" s="1501" t="s">
        <v>3196</v>
      </c>
      <c r="P14" s="1495">
        <v>86313.2</v>
      </c>
      <c r="Q14" s="873">
        <v>1</v>
      </c>
      <c r="R14" s="874">
        <f t="shared" si="6"/>
        <v>1.2434566510799234</v>
      </c>
      <c r="S14" s="875" t="str">
        <f t="shared" si="7"/>
        <v>(2,4,1,3,1,5); Brailovsky et al. (2024)</v>
      </c>
      <c r="U14" s="452"/>
      <c r="V14" s="452"/>
      <c r="W14" s="452"/>
      <c r="X14" s="452"/>
      <c r="Y14" s="452"/>
      <c r="Z14" s="22"/>
      <c r="AA14" s="21">
        <v>3</v>
      </c>
      <c r="AB14" s="21">
        <v>4</v>
      </c>
      <c r="AC14" s="21">
        <v>1</v>
      </c>
      <c r="AD14" s="21">
        <v>3</v>
      </c>
      <c r="AE14" s="21">
        <v>1</v>
      </c>
      <c r="AF14" s="315">
        <v>5</v>
      </c>
      <c r="AG14" s="297">
        <v>3</v>
      </c>
      <c r="AH14" s="6">
        <v>1.05</v>
      </c>
      <c r="AI14" s="245">
        <f t="shared" si="0"/>
        <v>1.2555818742947564</v>
      </c>
      <c r="AJ14" s="245">
        <f t="shared" si="1"/>
        <v>1.2620910621938648</v>
      </c>
      <c r="AK14" s="246" t="str">
        <f t="shared" si="2"/>
        <v>(3,4,1,3,1,5)</v>
      </c>
      <c r="AL14" s="30">
        <v>1.1000000000000001</v>
      </c>
      <c r="AM14" s="30">
        <v>1.1000000000000001</v>
      </c>
      <c r="AN14" s="30">
        <v>1</v>
      </c>
      <c r="AO14" s="30">
        <v>1.02</v>
      </c>
      <c r="AP14" s="30">
        <v>1</v>
      </c>
      <c r="AQ14" s="30">
        <v>1.2</v>
      </c>
      <c r="AS14" s="22" t="s">
        <v>673</v>
      </c>
      <c r="AT14" s="21">
        <v>2</v>
      </c>
      <c r="AU14" s="21">
        <v>4</v>
      </c>
      <c r="AV14" s="21">
        <v>1</v>
      </c>
      <c r="AW14" s="21">
        <v>3</v>
      </c>
      <c r="AX14" s="21">
        <v>1</v>
      </c>
      <c r="AY14" s="21">
        <v>5</v>
      </c>
      <c r="AZ14" s="297">
        <v>3</v>
      </c>
      <c r="BA14" s="6">
        <v>1.05</v>
      </c>
      <c r="BB14" s="245">
        <f t="shared" si="3"/>
        <v>1.2365959919080913</v>
      </c>
      <c r="BC14" s="245">
        <f t="shared" si="4"/>
        <v>1.2434566510799234</v>
      </c>
      <c r="BD14" s="246" t="str">
        <f t="shared" si="5"/>
        <v>(2,4,1,3,1,5)</v>
      </c>
      <c r="BE14" s="30">
        <v>1.05</v>
      </c>
      <c r="BF14" s="30">
        <v>1.1000000000000001</v>
      </c>
      <c r="BG14" s="30">
        <v>1</v>
      </c>
      <c r="BH14" s="30">
        <v>1.02</v>
      </c>
      <c r="BI14" s="30">
        <v>1</v>
      </c>
      <c r="BJ14" s="30">
        <v>1.2</v>
      </c>
    </row>
    <row r="15" spans="1:62">
      <c r="A15" s="1489">
        <v>268459</v>
      </c>
      <c r="B15" s="1521"/>
      <c r="C15" s="1490"/>
      <c r="D15" s="1548">
        <v>5</v>
      </c>
      <c r="E15" s="1549" t="s">
        <v>98</v>
      </c>
      <c r="F15" s="1541" t="s">
        <v>678</v>
      </c>
      <c r="G15" s="1542" t="s">
        <v>93</v>
      </c>
      <c r="H15" s="1550" t="s">
        <v>98</v>
      </c>
      <c r="I15" s="1543" t="s">
        <v>98</v>
      </c>
      <c r="J15" s="1544">
        <v>0</v>
      </c>
      <c r="K15" s="1542" t="s">
        <v>679</v>
      </c>
      <c r="L15" s="1542">
        <v>0</v>
      </c>
      <c r="M15" s="1545">
        <v>1</v>
      </c>
      <c r="N15" s="1546">
        <v>1.2620910621938648</v>
      </c>
      <c r="O15" s="1547" t="s">
        <v>3196</v>
      </c>
      <c r="P15" s="1542">
        <v>61678.8</v>
      </c>
      <c r="Q15" s="903">
        <v>1</v>
      </c>
      <c r="R15" s="904">
        <f t="shared" si="6"/>
        <v>1.2434566510799234</v>
      </c>
      <c r="S15" s="905" t="str">
        <f t="shared" si="7"/>
        <v>(2,4,1,3,1,5); RER iso GLO, prod iso market</v>
      </c>
      <c r="U15" s="452"/>
      <c r="V15" s="452"/>
      <c r="W15" s="452"/>
      <c r="X15" s="452"/>
      <c r="Y15" s="452"/>
      <c r="Z15" s="303"/>
      <c r="AA15" s="21">
        <v>3</v>
      </c>
      <c r="AB15" s="21">
        <v>4</v>
      </c>
      <c r="AC15" s="21">
        <v>1</v>
      </c>
      <c r="AD15" s="21">
        <v>3</v>
      </c>
      <c r="AE15" s="21">
        <v>1</v>
      </c>
      <c r="AF15" s="315">
        <v>5</v>
      </c>
      <c r="AG15" s="297">
        <v>3</v>
      </c>
      <c r="AH15" s="6">
        <v>1.05</v>
      </c>
      <c r="AI15" s="245">
        <f t="shared" si="0"/>
        <v>1.2555818742947564</v>
      </c>
      <c r="AJ15" s="245">
        <f t="shared" si="1"/>
        <v>1.2620910621938648</v>
      </c>
      <c r="AK15" s="246" t="str">
        <f t="shared" si="2"/>
        <v>(3,4,1,3,1,5)</v>
      </c>
      <c r="AL15" s="30">
        <v>1.1000000000000001</v>
      </c>
      <c r="AM15" s="30">
        <v>1.1000000000000001</v>
      </c>
      <c r="AN15" s="30">
        <v>1</v>
      </c>
      <c r="AO15" s="30">
        <v>1.02</v>
      </c>
      <c r="AP15" s="30">
        <v>1</v>
      </c>
      <c r="AQ15" s="30">
        <v>1.2</v>
      </c>
      <c r="AS15" s="303" t="s">
        <v>680</v>
      </c>
      <c r="AT15" s="21">
        <v>2</v>
      </c>
      <c r="AU15" s="21">
        <v>4</v>
      </c>
      <c r="AV15" s="21">
        <v>1</v>
      </c>
      <c r="AW15" s="21">
        <v>3</v>
      </c>
      <c r="AX15" s="21">
        <v>1</v>
      </c>
      <c r="AY15" s="21">
        <v>5</v>
      </c>
      <c r="AZ15" s="297">
        <v>3</v>
      </c>
      <c r="BA15" s="6">
        <v>1.05</v>
      </c>
      <c r="BB15" s="245">
        <f t="shared" si="3"/>
        <v>1.2365959919080913</v>
      </c>
      <c r="BC15" s="245">
        <f t="shared" si="4"/>
        <v>1.2434566510799234</v>
      </c>
      <c r="BD15" s="246" t="str">
        <f t="shared" si="5"/>
        <v>(2,4,1,3,1,5)</v>
      </c>
      <c r="BE15" s="30">
        <v>1.05</v>
      </c>
      <c r="BF15" s="30">
        <v>1.1000000000000001</v>
      </c>
      <c r="BG15" s="30">
        <v>1</v>
      </c>
      <c r="BH15" s="30">
        <v>1.02</v>
      </c>
      <c r="BI15" s="30">
        <v>1</v>
      </c>
      <c r="BJ15" s="30">
        <v>1.2</v>
      </c>
    </row>
    <row r="16" spans="1:62">
      <c r="A16" s="1489">
        <v>269423</v>
      </c>
      <c r="B16" s="1521"/>
      <c r="C16" s="1490"/>
      <c r="D16" s="1492">
        <v>5</v>
      </c>
      <c r="E16" s="1493" t="s">
        <v>98</v>
      </c>
      <c r="F16" s="1494" t="s">
        <v>681</v>
      </c>
      <c r="G16" s="1495" t="s">
        <v>93</v>
      </c>
      <c r="H16" s="1496" t="s">
        <v>98</v>
      </c>
      <c r="I16" s="1497" t="s">
        <v>98</v>
      </c>
      <c r="J16" s="1498">
        <v>0</v>
      </c>
      <c r="K16" s="1495" t="s">
        <v>96</v>
      </c>
      <c r="L16" s="1495">
        <v>0</v>
      </c>
      <c r="M16" s="1499">
        <v>1</v>
      </c>
      <c r="N16" s="1500">
        <v>1.2620910621938648</v>
      </c>
      <c r="O16" s="1501" t="s">
        <v>3196</v>
      </c>
      <c r="P16" s="1495">
        <v>14394.7</v>
      </c>
      <c r="Q16" s="873">
        <v>1</v>
      </c>
      <c r="R16" s="874">
        <f t="shared" si="6"/>
        <v>1.2434566510799234</v>
      </c>
      <c r="S16" s="875" t="str">
        <f t="shared" si="7"/>
        <v>(2,4,1,3,1,5); RER iso GLO, prod iso market</v>
      </c>
      <c r="U16" s="452"/>
      <c r="V16" s="452"/>
      <c r="W16" s="452"/>
      <c r="X16" s="452"/>
      <c r="Y16" s="452"/>
      <c r="Z16" s="303"/>
      <c r="AA16" s="21">
        <v>3</v>
      </c>
      <c r="AB16" s="21">
        <v>4</v>
      </c>
      <c r="AC16" s="21">
        <v>1</v>
      </c>
      <c r="AD16" s="21">
        <v>3</v>
      </c>
      <c r="AE16" s="21">
        <v>1</v>
      </c>
      <c r="AF16" s="315">
        <v>5</v>
      </c>
      <c r="AG16" s="297">
        <v>3</v>
      </c>
      <c r="AH16" s="6">
        <v>1.05</v>
      </c>
      <c r="AI16" s="245">
        <f t="shared" si="0"/>
        <v>1.2555818742947564</v>
      </c>
      <c r="AJ16" s="245">
        <f t="shared" si="1"/>
        <v>1.2620910621938648</v>
      </c>
      <c r="AK16" s="246" t="str">
        <f t="shared" si="2"/>
        <v>(3,4,1,3,1,5)</v>
      </c>
      <c r="AL16" s="30">
        <v>1.1000000000000001</v>
      </c>
      <c r="AM16" s="30">
        <v>1.1000000000000001</v>
      </c>
      <c r="AN16" s="30">
        <v>1</v>
      </c>
      <c r="AO16" s="30">
        <v>1.02</v>
      </c>
      <c r="AP16" s="30">
        <v>1</v>
      </c>
      <c r="AQ16" s="30">
        <v>1.2</v>
      </c>
      <c r="AS16" s="303" t="s">
        <v>680</v>
      </c>
      <c r="AT16" s="21">
        <v>2</v>
      </c>
      <c r="AU16" s="21">
        <v>4</v>
      </c>
      <c r="AV16" s="21">
        <v>1</v>
      </c>
      <c r="AW16" s="21">
        <v>3</v>
      </c>
      <c r="AX16" s="21">
        <v>1</v>
      </c>
      <c r="AY16" s="21">
        <v>5</v>
      </c>
      <c r="AZ16" s="297">
        <v>3</v>
      </c>
      <c r="BA16" s="6">
        <v>1.05</v>
      </c>
      <c r="BB16" s="245">
        <f t="shared" si="3"/>
        <v>1.2365959919080913</v>
      </c>
      <c r="BC16" s="245">
        <f t="shared" si="4"/>
        <v>1.2434566510799234</v>
      </c>
      <c r="BD16" s="246" t="str">
        <f t="shared" si="5"/>
        <v>(2,4,1,3,1,5)</v>
      </c>
      <c r="BE16" s="30">
        <v>1.05</v>
      </c>
      <c r="BF16" s="30">
        <v>1.1000000000000001</v>
      </c>
      <c r="BG16" s="30">
        <v>1</v>
      </c>
      <c r="BH16" s="30">
        <v>1.02</v>
      </c>
      <c r="BI16" s="30">
        <v>1</v>
      </c>
      <c r="BJ16" s="30">
        <v>1.2</v>
      </c>
    </row>
    <row r="17" spans="1:62">
      <c r="A17" s="1489">
        <v>269445</v>
      </c>
      <c r="B17" s="1524"/>
      <c r="C17" s="1490"/>
      <c r="D17" s="1548">
        <v>5</v>
      </c>
      <c r="E17" s="1549" t="s">
        <v>98</v>
      </c>
      <c r="F17" s="1541" t="s">
        <v>682</v>
      </c>
      <c r="G17" s="1542" t="s">
        <v>93</v>
      </c>
      <c r="H17" s="1550" t="s">
        <v>98</v>
      </c>
      <c r="I17" s="1543" t="s">
        <v>98</v>
      </c>
      <c r="J17" s="1544">
        <v>0</v>
      </c>
      <c r="K17" s="1542" t="s">
        <v>96</v>
      </c>
      <c r="L17" s="1542">
        <v>0</v>
      </c>
      <c r="M17" s="1545">
        <v>1</v>
      </c>
      <c r="N17" s="1546">
        <v>1.2620910621938648</v>
      </c>
      <c r="O17" s="1547" t="s">
        <v>3196</v>
      </c>
      <c r="P17" s="1542">
        <v>483438</v>
      </c>
      <c r="Q17" s="903">
        <v>1</v>
      </c>
      <c r="R17" s="904">
        <f t="shared" si="6"/>
        <v>1.2434566510799234</v>
      </c>
      <c r="S17" s="905" t="str">
        <f t="shared" si="7"/>
        <v>(2,4,1,3,1,5); Brailovsky et al. (2024)</v>
      </c>
      <c r="U17" s="452"/>
      <c r="V17" s="452"/>
      <c r="W17" s="452"/>
      <c r="X17" s="452"/>
      <c r="Y17" s="452"/>
      <c r="Z17" s="303"/>
      <c r="AA17" s="21">
        <v>3</v>
      </c>
      <c r="AB17" s="21">
        <v>4</v>
      </c>
      <c r="AC17" s="21">
        <v>1</v>
      </c>
      <c r="AD17" s="21">
        <v>3</v>
      </c>
      <c r="AE17" s="21">
        <v>1</v>
      </c>
      <c r="AF17" s="315">
        <v>5</v>
      </c>
      <c r="AG17" s="297">
        <v>3</v>
      </c>
      <c r="AH17" s="6">
        <v>1.05</v>
      </c>
      <c r="AI17" s="245">
        <f t="shared" si="0"/>
        <v>1.2555818742947564</v>
      </c>
      <c r="AJ17" s="245">
        <f t="shared" si="1"/>
        <v>1.2620910621938648</v>
      </c>
      <c r="AK17" s="246" t="str">
        <f t="shared" si="2"/>
        <v>(3,4,1,3,1,5)</v>
      </c>
      <c r="AL17" s="30">
        <v>1.1000000000000001</v>
      </c>
      <c r="AM17" s="30">
        <v>1.1000000000000001</v>
      </c>
      <c r="AN17" s="30">
        <v>1</v>
      </c>
      <c r="AO17" s="30">
        <v>1.02</v>
      </c>
      <c r="AP17" s="30">
        <v>1</v>
      </c>
      <c r="AQ17" s="30">
        <v>1.2</v>
      </c>
      <c r="AS17" s="303" t="s">
        <v>673</v>
      </c>
      <c r="AT17" s="21">
        <v>2</v>
      </c>
      <c r="AU17" s="21">
        <v>4</v>
      </c>
      <c r="AV17" s="21">
        <v>1</v>
      </c>
      <c r="AW17" s="21">
        <v>3</v>
      </c>
      <c r="AX17" s="21">
        <v>1</v>
      </c>
      <c r="AY17" s="21">
        <v>5</v>
      </c>
      <c r="AZ17" s="297">
        <v>3</v>
      </c>
      <c r="BA17" s="6">
        <v>1.05</v>
      </c>
      <c r="BB17" s="245">
        <f t="shared" si="3"/>
        <v>1.2365959919080913</v>
      </c>
      <c r="BC17" s="245">
        <f t="shared" si="4"/>
        <v>1.2434566510799234</v>
      </c>
      <c r="BD17" s="246" t="str">
        <f t="shared" si="5"/>
        <v>(2,4,1,3,1,5)</v>
      </c>
      <c r="BE17" s="30">
        <v>1.05</v>
      </c>
      <c r="BF17" s="30">
        <v>1.1000000000000001</v>
      </c>
      <c r="BG17" s="30">
        <v>1</v>
      </c>
      <c r="BH17" s="30">
        <v>1.02</v>
      </c>
      <c r="BI17" s="30">
        <v>1</v>
      </c>
      <c r="BJ17" s="30">
        <v>1.2</v>
      </c>
    </row>
    <row r="18" spans="1:62">
      <c r="A18" s="1489">
        <v>266627</v>
      </c>
      <c r="B18" s="1524"/>
      <c r="C18" s="1490"/>
      <c r="D18" s="1492">
        <v>5</v>
      </c>
      <c r="E18" s="1493" t="s">
        <v>98</v>
      </c>
      <c r="F18" s="1494" t="s">
        <v>634</v>
      </c>
      <c r="G18" s="1495" t="s">
        <v>93</v>
      </c>
      <c r="H18" s="1496" t="s">
        <v>98</v>
      </c>
      <c r="I18" s="1497" t="s">
        <v>98</v>
      </c>
      <c r="J18" s="1498">
        <v>0</v>
      </c>
      <c r="K18" s="1495" t="s">
        <v>96</v>
      </c>
      <c r="L18" s="1495">
        <v>0</v>
      </c>
      <c r="M18" s="1499">
        <v>1</v>
      </c>
      <c r="N18" s="1500">
        <v>1.2620910621938648</v>
      </c>
      <c r="O18" s="1501" t="s">
        <v>3196</v>
      </c>
      <c r="P18" s="1495">
        <v>483438</v>
      </c>
      <c r="Q18" s="873">
        <v>1</v>
      </c>
      <c r="R18" s="874">
        <f t="shared" si="6"/>
        <v>1.2434566510799234</v>
      </c>
      <c r="S18" s="875" t="str">
        <f t="shared" si="7"/>
        <v>(2,4,1,3,1,5); Brailovsky et al. (2024)</v>
      </c>
      <c r="U18" s="452"/>
      <c r="V18" s="452"/>
      <c r="W18" s="452"/>
      <c r="X18" s="452"/>
      <c r="Y18" s="452"/>
      <c r="Z18" s="303"/>
      <c r="AA18" s="21">
        <v>3</v>
      </c>
      <c r="AB18" s="21">
        <v>4</v>
      </c>
      <c r="AC18" s="21">
        <v>1</v>
      </c>
      <c r="AD18" s="21">
        <v>3</v>
      </c>
      <c r="AE18" s="21">
        <v>1</v>
      </c>
      <c r="AF18" s="315">
        <v>5</v>
      </c>
      <c r="AG18" s="297">
        <v>3</v>
      </c>
      <c r="AH18" s="6">
        <v>1.05</v>
      </c>
      <c r="AI18" s="245">
        <f t="shared" si="0"/>
        <v>1.2555818742947564</v>
      </c>
      <c r="AJ18" s="245">
        <f t="shared" si="1"/>
        <v>1.2620910621938648</v>
      </c>
      <c r="AK18" s="246" t="str">
        <f t="shared" si="2"/>
        <v>(3,4,1,3,1,5)</v>
      </c>
      <c r="AL18" s="30">
        <v>1.1000000000000001</v>
      </c>
      <c r="AM18" s="30">
        <v>1.1000000000000001</v>
      </c>
      <c r="AN18" s="30">
        <v>1</v>
      </c>
      <c r="AO18" s="30">
        <v>1.02</v>
      </c>
      <c r="AP18" s="30">
        <v>1</v>
      </c>
      <c r="AQ18" s="30">
        <v>1.2</v>
      </c>
      <c r="AS18" s="303" t="s">
        <v>673</v>
      </c>
      <c r="AT18" s="21">
        <v>2</v>
      </c>
      <c r="AU18" s="21">
        <v>4</v>
      </c>
      <c r="AV18" s="21">
        <v>1</v>
      </c>
      <c r="AW18" s="21">
        <v>3</v>
      </c>
      <c r="AX18" s="21">
        <v>1</v>
      </c>
      <c r="AY18" s="21">
        <v>5</v>
      </c>
      <c r="AZ18" s="297">
        <v>3</v>
      </c>
      <c r="BA18" s="6">
        <v>1.05</v>
      </c>
      <c r="BB18" s="245">
        <f t="shared" si="3"/>
        <v>1.2365959919080913</v>
      </c>
      <c r="BC18" s="245">
        <f t="shared" si="4"/>
        <v>1.2434566510799234</v>
      </c>
      <c r="BD18" s="246" t="str">
        <f t="shared" si="5"/>
        <v>(2,4,1,3,1,5)</v>
      </c>
      <c r="BE18" s="30">
        <v>1.05</v>
      </c>
      <c r="BF18" s="30">
        <v>1.1000000000000001</v>
      </c>
      <c r="BG18" s="30">
        <v>1</v>
      </c>
      <c r="BH18" s="30">
        <v>1.02</v>
      </c>
      <c r="BI18" s="30">
        <v>1</v>
      </c>
      <c r="BJ18" s="30">
        <v>1.2</v>
      </c>
    </row>
    <row r="19" spans="1:62">
      <c r="A19" s="1489">
        <v>268933</v>
      </c>
      <c r="B19" s="1521"/>
      <c r="C19" s="1490"/>
      <c r="D19" s="1548">
        <v>5</v>
      </c>
      <c r="E19" s="1549" t="s">
        <v>98</v>
      </c>
      <c r="F19" s="1541" t="s">
        <v>683</v>
      </c>
      <c r="G19" s="1542" t="s">
        <v>93</v>
      </c>
      <c r="H19" s="1550" t="s">
        <v>98</v>
      </c>
      <c r="I19" s="1543" t="s">
        <v>98</v>
      </c>
      <c r="J19" s="1544">
        <v>0</v>
      </c>
      <c r="K19" s="1542" t="s">
        <v>679</v>
      </c>
      <c r="L19" s="1542">
        <v>0</v>
      </c>
      <c r="M19" s="1545">
        <v>1</v>
      </c>
      <c r="N19" s="1546">
        <v>1.2620910621938648</v>
      </c>
      <c r="O19" s="1547" t="s">
        <v>3196</v>
      </c>
      <c r="P19" s="1542">
        <v>3710</v>
      </c>
      <c r="Q19" s="903">
        <v>1</v>
      </c>
      <c r="R19" s="904">
        <f t="shared" si="6"/>
        <v>1.2434566510799234</v>
      </c>
      <c r="S19" s="905" t="str">
        <f t="shared" si="7"/>
        <v>(2,4,1,3,1,5); Brailovsky et al. (2024)</v>
      </c>
      <c r="U19" s="452"/>
      <c r="V19" s="452"/>
      <c r="W19" s="452"/>
      <c r="X19" s="452"/>
      <c r="Y19" s="452"/>
      <c r="Z19" s="22"/>
      <c r="AA19" s="21">
        <v>3</v>
      </c>
      <c r="AB19" s="21">
        <v>4</v>
      </c>
      <c r="AC19" s="21">
        <v>1</v>
      </c>
      <c r="AD19" s="21">
        <v>3</v>
      </c>
      <c r="AE19" s="21">
        <v>1</v>
      </c>
      <c r="AF19" s="315">
        <v>5</v>
      </c>
      <c r="AG19" s="297">
        <v>3</v>
      </c>
      <c r="AH19" s="6">
        <v>1.05</v>
      </c>
      <c r="AI19" s="245">
        <f t="shared" si="0"/>
        <v>1.2555818742947564</v>
      </c>
      <c r="AJ19" s="245">
        <f t="shared" si="1"/>
        <v>1.2620910621938648</v>
      </c>
      <c r="AK19" s="246" t="str">
        <f t="shared" si="2"/>
        <v>(3,4,1,3,1,5)</v>
      </c>
      <c r="AL19" s="30">
        <v>1.1000000000000001</v>
      </c>
      <c r="AM19" s="30">
        <v>1.1000000000000001</v>
      </c>
      <c r="AN19" s="30">
        <v>1</v>
      </c>
      <c r="AO19" s="30">
        <v>1.02</v>
      </c>
      <c r="AP19" s="30">
        <v>1</v>
      </c>
      <c r="AQ19" s="30">
        <v>1.2</v>
      </c>
      <c r="AS19" s="303" t="s">
        <v>673</v>
      </c>
      <c r="AT19" s="21">
        <v>2</v>
      </c>
      <c r="AU19" s="21">
        <v>4</v>
      </c>
      <c r="AV19" s="21">
        <v>1</v>
      </c>
      <c r="AW19" s="21">
        <v>3</v>
      </c>
      <c r="AX19" s="21">
        <v>1</v>
      </c>
      <c r="AY19" s="21">
        <v>5</v>
      </c>
      <c r="AZ19" s="297">
        <v>3</v>
      </c>
      <c r="BA19" s="6">
        <v>1.05</v>
      </c>
      <c r="BB19" s="245">
        <f t="shared" si="3"/>
        <v>1.2365959919080913</v>
      </c>
      <c r="BC19" s="245">
        <f t="shared" si="4"/>
        <v>1.2434566510799234</v>
      </c>
      <c r="BD19" s="246" t="str">
        <f t="shared" si="5"/>
        <v>(2,4,1,3,1,5)</v>
      </c>
      <c r="BE19" s="30">
        <v>1.05</v>
      </c>
      <c r="BF19" s="30">
        <v>1.1000000000000001</v>
      </c>
      <c r="BG19" s="30">
        <v>1</v>
      </c>
      <c r="BH19" s="30">
        <v>1.02</v>
      </c>
      <c r="BI19" s="30">
        <v>1</v>
      </c>
      <c r="BJ19" s="30">
        <v>1.2</v>
      </c>
    </row>
    <row r="20" spans="1:62" ht="14.25" customHeight="1">
      <c r="A20" s="1489">
        <v>256002</v>
      </c>
      <c r="B20" s="1524" t="s">
        <v>684</v>
      </c>
      <c r="C20" s="1490"/>
      <c r="D20" s="1492">
        <v>5</v>
      </c>
      <c r="E20" s="1493" t="s">
        <v>98</v>
      </c>
      <c r="F20" s="1494" t="s">
        <v>685</v>
      </c>
      <c r="G20" s="1495" t="s">
        <v>103</v>
      </c>
      <c r="H20" s="1496" t="s">
        <v>98</v>
      </c>
      <c r="I20" s="1497" t="s">
        <v>98</v>
      </c>
      <c r="J20" s="1498">
        <v>0</v>
      </c>
      <c r="K20" s="1495" t="s">
        <v>679</v>
      </c>
      <c r="L20" s="1495">
        <v>0</v>
      </c>
      <c r="M20" s="1499">
        <v>1</v>
      </c>
      <c r="N20" s="1500">
        <v>1.2620910621938648</v>
      </c>
      <c r="O20" s="1501" t="s">
        <v>3196</v>
      </c>
      <c r="P20" s="1495">
        <v>2898.5</v>
      </c>
      <c r="Q20" s="873">
        <v>1</v>
      </c>
      <c r="R20" s="874">
        <f t="shared" si="6"/>
        <v>1.3285812705862265</v>
      </c>
      <c r="S20" s="875" t="str">
        <f t="shared" si="7"/>
        <v>(2,4,1,3,3,5); Brailovsky et al. (2024): CH iso RER; iso bisphenol A epoxy based vinyl ester resin; Assumption 200g/m^2</v>
      </c>
      <c r="U20" s="452"/>
      <c r="V20" s="452"/>
      <c r="W20" s="452"/>
      <c r="X20" s="452"/>
      <c r="Y20" s="452"/>
      <c r="Z20" s="303"/>
      <c r="AA20" s="21">
        <v>3</v>
      </c>
      <c r="AB20" s="21">
        <v>4</v>
      </c>
      <c r="AC20" s="21">
        <v>1</v>
      </c>
      <c r="AD20" s="21">
        <v>3</v>
      </c>
      <c r="AE20" s="21">
        <v>1</v>
      </c>
      <c r="AF20" s="315">
        <v>5</v>
      </c>
      <c r="AG20" s="297">
        <v>3</v>
      </c>
      <c r="AH20" s="6">
        <v>1.05</v>
      </c>
      <c r="AI20" s="245">
        <f t="shared" si="0"/>
        <v>1.2555818742947564</v>
      </c>
      <c r="AJ20" s="245">
        <f t="shared" si="1"/>
        <v>1.2620910621938648</v>
      </c>
      <c r="AK20" s="246" t="str">
        <f t="shared" si="2"/>
        <v>(3,4,1,3,1,5)</v>
      </c>
      <c r="AL20" s="30">
        <v>1.1000000000000001</v>
      </c>
      <c r="AM20" s="30">
        <v>1.1000000000000001</v>
      </c>
      <c r="AN20" s="30">
        <v>1</v>
      </c>
      <c r="AO20" s="30">
        <v>1.02</v>
      </c>
      <c r="AP20" s="30">
        <v>1</v>
      </c>
      <c r="AQ20" s="30">
        <v>1.2</v>
      </c>
      <c r="AS20" s="303" t="s">
        <v>686</v>
      </c>
      <c r="AT20" s="21">
        <v>2</v>
      </c>
      <c r="AU20" s="21">
        <v>4</v>
      </c>
      <c r="AV20" s="21">
        <v>1</v>
      </c>
      <c r="AW20" s="21">
        <v>3</v>
      </c>
      <c r="AX20" s="21">
        <v>3</v>
      </c>
      <c r="AY20" s="21">
        <v>5</v>
      </c>
      <c r="AZ20" s="297">
        <v>3</v>
      </c>
      <c r="BA20" s="6">
        <v>1.05</v>
      </c>
      <c r="BB20" s="245">
        <f t="shared" si="3"/>
        <v>1.3229855584076429</v>
      </c>
      <c r="BC20" s="245">
        <f t="shared" si="4"/>
        <v>1.3285812705862265</v>
      </c>
      <c r="BD20" s="246" t="str">
        <f t="shared" si="5"/>
        <v>(2,4,1,3,3,5)</v>
      </c>
      <c r="BE20" s="30">
        <v>1.05</v>
      </c>
      <c r="BF20" s="30">
        <v>1.1000000000000001</v>
      </c>
      <c r="BG20" s="30">
        <v>1</v>
      </c>
      <c r="BH20" s="30">
        <v>1.02</v>
      </c>
      <c r="BI20" s="30">
        <v>1.2</v>
      </c>
      <c r="BJ20" s="30">
        <v>1.2</v>
      </c>
    </row>
    <row r="21" spans="1:62">
      <c r="A21" s="1489">
        <v>77572</v>
      </c>
      <c r="B21" s="1524"/>
      <c r="C21" s="1490"/>
      <c r="D21" s="1548">
        <v>5</v>
      </c>
      <c r="E21" s="1549" t="s">
        <v>98</v>
      </c>
      <c r="F21" s="1541" t="s">
        <v>687</v>
      </c>
      <c r="G21" s="1542" t="s">
        <v>103</v>
      </c>
      <c r="H21" s="1550" t="s">
        <v>98</v>
      </c>
      <c r="I21" s="1543" t="s">
        <v>98</v>
      </c>
      <c r="J21" s="1544">
        <v>0</v>
      </c>
      <c r="K21" s="1542" t="s">
        <v>104</v>
      </c>
      <c r="L21" s="1542">
        <v>0</v>
      </c>
      <c r="M21" s="1545">
        <v>1</v>
      </c>
      <c r="N21" s="1546">
        <v>2.0741629046031922</v>
      </c>
      <c r="O21" s="1547" t="s">
        <v>3196</v>
      </c>
      <c r="P21" s="1542">
        <v>287883.3</v>
      </c>
      <c r="Q21" s="903">
        <v>1</v>
      </c>
      <c r="R21" s="904">
        <f t="shared" si="6"/>
        <v>2.0646254680556719</v>
      </c>
      <c r="S21" s="905" t="str">
        <f t="shared" si="7"/>
        <v>(2,4,1,3,1,5); Brailovsky et al. (2024)</v>
      </c>
      <c r="U21" s="452"/>
      <c r="V21" s="452"/>
      <c r="W21" s="452"/>
      <c r="X21" s="452"/>
      <c r="Y21" s="452"/>
      <c r="Z21" s="303"/>
      <c r="AA21" s="21">
        <v>3</v>
      </c>
      <c r="AB21" s="21">
        <v>4</v>
      </c>
      <c r="AC21" s="21">
        <v>1</v>
      </c>
      <c r="AD21" s="21">
        <v>3</v>
      </c>
      <c r="AE21" s="21">
        <v>1</v>
      </c>
      <c r="AF21" s="315">
        <v>5</v>
      </c>
      <c r="AG21" s="297">
        <v>5</v>
      </c>
      <c r="AH21" s="6">
        <v>2</v>
      </c>
      <c r="AI21" s="245">
        <f t="shared" si="0"/>
        <v>1.2555818742947564</v>
      </c>
      <c r="AJ21" s="245">
        <f t="shared" si="1"/>
        <v>2.0741629046031922</v>
      </c>
      <c r="AK21" s="246" t="str">
        <f t="shared" si="2"/>
        <v>(3,4,1,3,1,5)</v>
      </c>
      <c r="AL21" s="30">
        <v>1.1000000000000001</v>
      </c>
      <c r="AM21" s="30">
        <v>1.1000000000000001</v>
      </c>
      <c r="AN21" s="30">
        <v>1</v>
      </c>
      <c r="AO21" s="30">
        <v>1.02</v>
      </c>
      <c r="AP21" s="30">
        <v>1</v>
      </c>
      <c r="AQ21" s="30">
        <v>1.2</v>
      </c>
      <c r="AS21" s="303" t="s">
        <v>673</v>
      </c>
      <c r="AT21" s="21">
        <v>2</v>
      </c>
      <c r="AU21" s="21">
        <v>4</v>
      </c>
      <c r="AV21" s="21">
        <v>1</v>
      </c>
      <c r="AW21" s="21">
        <v>3</v>
      </c>
      <c r="AX21" s="21">
        <v>1</v>
      </c>
      <c r="AY21" s="21">
        <v>5</v>
      </c>
      <c r="AZ21" s="297">
        <v>5</v>
      </c>
      <c r="BA21" s="6">
        <v>2</v>
      </c>
      <c r="BB21" s="245">
        <f t="shared" si="3"/>
        <v>1.2365959919080913</v>
      </c>
      <c r="BC21" s="245">
        <f t="shared" si="4"/>
        <v>2.0646254680556719</v>
      </c>
      <c r="BD21" s="246" t="str">
        <f t="shared" si="5"/>
        <v>(2,4,1,3,1,5)</v>
      </c>
      <c r="BE21" s="30">
        <v>1.05</v>
      </c>
      <c r="BF21" s="30">
        <v>1.1000000000000001</v>
      </c>
      <c r="BG21" s="30">
        <v>1</v>
      </c>
      <c r="BH21" s="30">
        <v>1.02</v>
      </c>
      <c r="BI21" s="30">
        <v>1</v>
      </c>
      <c r="BJ21" s="30">
        <v>1.2</v>
      </c>
    </row>
    <row r="22" spans="1:62">
      <c r="A22" s="1489">
        <v>79235</v>
      </c>
      <c r="B22" s="1524"/>
      <c r="C22" s="1490"/>
      <c r="D22" s="1492">
        <v>5</v>
      </c>
      <c r="E22" s="1493" t="s">
        <v>98</v>
      </c>
      <c r="F22" s="1494" t="s">
        <v>688</v>
      </c>
      <c r="G22" s="1495" t="s">
        <v>340</v>
      </c>
      <c r="H22" s="1496" t="s">
        <v>98</v>
      </c>
      <c r="I22" s="1497" t="s">
        <v>98</v>
      </c>
      <c r="J22" s="1498">
        <v>0</v>
      </c>
      <c r="K22" s="1495" t="s">
        <v>109</v>
      </c>
      <c r="L22" s="1495">
        <v>0</v>
      </c>
      <c r="M22" s="1499">
        <v>1</v>
      </c>
      <c r="N22" s="1500">
        <v>1.2620910621938648</v>
      </c>
      <c r="O22" s="1501" t="s">
        <v>3196</v>
      </c>
      <c r="P22" s="1495">
        <v>109859.6</v>
      </c>
      <c r="Q22" s="873">
        <v>1</v>
      </c>
      <c r="R22" s="874">
        <f t="shared" si="6"/>
        <v>1.2434566510799234</v>
      </c>
      <c r="S22" s="875" t="str">
        <f t="shared" si="7"/>
        <v>(2,4,1,3,1,5); Brailovsky et al. (2024)</v>
      </c>
      <c r="U22" s="452"/>
      <c r="V22" s="452"/>
      <c r="W22" s="452"/>
      <c r="X22" s="452"/>
      <c r="Y22" s="452"/>
      <c r="Z22" s="303"/>
      <c r="AA22" s="21">
        <v>3</v>
      </c>
      <c r="AB22" s="21">
        <v>4</v>
      </c>
      <c r="AC22" s="21">
        <v>1</v>
      </c>
      <c r="AD22" s="21">
        <v>3</v>
      </c>
      <c r="AE22" s="21">
        <v>1</v>
      </c>
      <c r="AF22" s="315">
        <v>5</v>
      </c>
      <c r="AG22" s="297">
        <v>3</v>
      </c>
      <c r="AH22" s="6">
        <v>1.05</v>
      </c>
      <c r="AI22" s="245">
        <f t="shared" si="0"/>
        <v>1.2555818742947564</v>
      </c>
      <c r="AJ22" s="245">
        <f t="shared" si="1"/>
        <v>1.2620910621938648</v>
      </c>
      <c r="AK22" s="246" t="str">
        <f t="shared" si="2"/>
        <v>(3,4,1,3,1,5)</v>
      </c>
      <c r="AL22" s="30">
        <v>1.1000000000000001</v>
      </c>
      <c r="AM22" s="30">
        <v>1.1000000000000001</v>
      </c>
      <c r="AN22" s="30">
        <v>1</v>
      </c>
      <c r="AO22" s="30">
        <v>1.02</v>
      </c>
      <c r="AP22" s="30">
        <v>1</v>
      </c>
      <c r="AQ22" s="30">
        <v>1.2</v>
      </c>
      <c r="AS22" s="303" t="s">
        <v>673</v>
      </c>
      <c r="AT22" s="21">
        <v>2</v>
      </c>
      <c r="AU22" s="21">
        <v>4</v>
      </c>
      <c r="AV22" s="21">
        <v>1</v>
      </c>
      <c r="AW22" s="21">
        <v>3</v>
      </c>
      <c r="AX22" s="21">
        <v>1</v>
      </c>
      <c r="AY22" s="21">
        <v>5</v>
      </c>
      <c r="AZ22" s="297">
        <v>3</v>
      </c>
      <c r="BA22" s="6">
        <v>1.05</v>
      </c>
      <c r="BB22" s="245">
        <f t="shared" si="3"/>
        <v>1.2365959919080913</v>
      </c>
      <c r="BC22" s="245">
        <f t="shared" si="4"/>
        <v>1.2434566510799234</v>
      </c>
      <c r="BD22" s="246" t="str">
        <f t="shared" si="5"/>
        <v>(2,4,1,3,1,5)</v>
      </c>
      <c r="BE22" s="30">
        <v>1.05</v>
      </c>
      <c r="BF22" s="30">
        <v>1.1000000000000001</v>
      </c>
      <c r="BG22" s="30">
        <v>1</v>
      </c>
      <c r="BH22" s="30">
        <v>1.02</v>
      </c>
      <c r="BI22" s="30">
        <v>1</v>
      </c>
      <c r="BJ22" s="30">
        <v>1.2</v>
      </c>
    </row>
    <row r="23" spans="1:62">
      <c r="A23" s="1489">
        <v>268949</v>
      </c>
      <c r="B23" s="1521"/>
      <c r="C23" s="1490"/>
      <c r="D23" s="1548">
        <v>5</v>
      </c>
      <c r="E23" s="1549" t="s">
        <v>98</v>
      </c>
      <c r="F23" s="1541" t="s">
        <v>689</v>
      </c>
      <c r="G23" s="1542" t="s">
        <v>93</v>
      </c>
      <c r="H23" s="1550" t="s">
        <v>98</v>
      </c>
      <c r="I23" s="1543" t="s">
        <v>98</v>
      </c>
      <c r="J23" s="1544">
        <v>0</v>
      </c>
      <c r="K23" s="1542" t="s">
        <v>119</v>
      </c>
      <c r="L23" s="1542">
        <v>0</v>
      </c>
      <c r="M23" s="1545">
        <v>1</v>
      </c>
      <c r="N23" s="1546">
        <v>1.2620910621938648</v>
      </c>
      <c r="O23" s="1547" t="s">
        <v>3196</v>
      </c>
      <c r="P23" s="1542">
        <v>1024.7</v>
      </c>
      <c r="Q23" s="903">
        <v>1</v>
      </c>
      <c r="R23" s="904">
        <f t="shared" si="6"/>
        <v>1.2434566510799234</v>
      </c>
      <c r="S23" s="905" t="str">
        <f t="shared" si="7"/>
        <v>(2,4,1,3,1,5); Brailovsky et al. (2024)</v>
      </c>
      <c r="U23" s="452"/>
      <c r="V23" s="452"/>
      <c r="W23" s="452"/>
      <c r="X23" s="452"/>
      <c r="Y23" s="452"/>
      <c r="Z23" s="22"/>
      <c r="AA23" s="21">
        <v>3</v>
      </c>
      <c r="AB23" s="21">
        <v>4</v>
      </c>
      <c r="AC23" s="21">
        <v>1</v>
      </c>
      <c r="AD23" s="21">
        <v>3</v>
      </c>
      <c r="AE23" s="21">
        <v>1</v>
      </c>
      <c r="AF23" s="315">
        <v>5</v>
      </c>
      <c r="AG23" s="297">
        <v>2</v>
      </c>
      <c r="AH23" s="6">
        <v>1.05</v>
      </c>
      <c r="AI23" s="245">
        <f t="shared" si="0"/>
        <v>1.2555818742947564</v>
      </c>
      <c r="AJ23" s="245">
        <f t="shared" si="1"/>
        <v>1.2620910621938648</v>
      </c>
      <c r="AK23" s="246" t="str">
        <f t="shared" si="2"/>
        <v>(3,4,1,3,1,5)</v>
      </c>
      <c r="AL23" s="30">
        <v>1.1000000000000001</v>
      </c>
      <c r="AM23" s="30">
        <v>1.1000000000000001</v>
      </c>
      <c r="AN23" s="30">
        <v>1</v>
      </c>
      <c r="AO23" s="30">
        <v>1.02</v>
      </c>
      <c r="AP23" s="30">
        <v>1</v>
      </c>
      <c r="AQ23" s="30">
        <v>1.2</v>
      </c>
      <c r="AS23" s="303" t="s">
        <v>673</v>
      </c>
      <c r="AT23" s="21">
        <v>2</v>
      </c>
      <c r="AU23" s="21">
        <v>4</v>
      </c>
      <c r="AV23" s="21">
        <v>1</v>
      </c>
      <c r="AW23" s="21">
        <v>3</v>
      </c>
      <c r="AX23" s="21">
        <v>1</v>
      </c>
      <c r="AY23" s="21">
        <v>5</v>
      </c>
      <c r="AZ23" s="297">
        <v>2</v>
      </c>
      <c r="BA23" s="6">
        <v>1.05</v>
      </c>
      <c r="BB23" s="245">
        <f t="shared" si="3"/>
        <v>1.2365959919080913</v>
      </c>
      <c r="BC23" s="245">
        <f t="shared" si="4"/>
        <v>1.2434566510799234</v>
      </c>
      <c r="BD23" s="246" t="str">
        <f t="shared" si="5"/>
        <v>(2,4,1,3,1,5)</v>
      </c>
      <c r="BE23" s="30">
        <v>1.05</v>
      </c>
      <c r="BF23" s="30">
        <v>1.1000000000000001</v>
      </c>
      <c r="BG23" s="30">
        <v>1</v>
      </c>
      <c r="BH23" s="30">
        <v>1.02</v>
      </c>
      <c r="BI23" s="30">
        <v>1</v>
      </c>
      <c r="BJ23" s="30">
        <v>1.2</v>
      </c>
    </row>
    <row r="24" spans="1:62" ht="15.75" customHeight="1">
      <c r="A24" s="1489">
        <v>267287</v>
      </c>
      <c r="B24" s="1524"/>
      <c r="C24" s="1490"/>
      <c r="D24" s="1492">
        <v>5</v>
      </c>
      <c r="E24" s="1493" t="s">
        <v>98</v>
      </c>
      <c r="F24" s="1494" t="s">
        <v>690</v>
      </c>
      <c r="G24" s="1495" t="s">
        <v>154</v>
      </c>
      <c r="H24" s="1496" t="s">
        <v>98</v>
      </c>
      <c r="I24" s="1497" t="s">
        <v>98</v>
      </c>
      <c r="J24" s="1498">
        <v>0</v>
      </c>
      <c r="K24" s="1495" t="s">
        <v>104</v>
      </c>
      <c r="L24" s="1495">
        <v>0</v>
      </c>
      <c r="M24" s="1499">
        <v>1</v>
      </c>
      <c r="N24" s="1500">
        <v>1.2620910621938648</v>
      </c>
      <c r="O24" s="1501" t="s">
        <v>3196</v>
      </c>
      <c r="P24" s="1495">
        <v>29928.678856089366</v>
      </c>
      <c r="Q24" s="873">
        <v>1</v>
      </c>
      <c r="R24" s="874">
        <f t="shared" si="6"/>
        <v>1.2434566510799234</v>
      </c>
      <c r="S24" s="875" t="str">
        <f t="shared" si="7"/>
        <v>(2,4,1,3,1,5); Brailovsky et al. (2024): From machine operation, diesel, &lt;18.64kW, energy density 45.5MJ/kg</v>
      </c>
      <c r="U24" s="452"/>
      <c r="V24" s="452"/>
      <c r="W24" s="452"/>
      <c r="X24" s="452"/>
      <c r="Y24" s="452"/>
      <c r="Z24" s="303"/>
      <c r="AA24" s="21">
        <v>3</v>
      </c>
      <c r="AB24" s="21">
        <v>4</v>
      </c>
      <c r="AC24" s="21">
        <v>1</v>
      </c>
      <c r="AD24" s="21">
        <v>3</v>
      </c>
      <c r="AE24" s="21">
        <v>1</v>
      </c>
      <c r="AF24" s="315">
        <v>5</v>
      </c>
      <c r="AG24" s="297">
        <v>1</v>
      </c>
      <c r="AH24" s="6">
        <v>1.05</v>
      </c>
      <c r="AI24" s="245">
        <f t="shared" si="0"/>
        <v>1.2555818742947564</v>
      </c>
      <c r="AJ24" s="245">
        <f t="shared" si="1"/>
        <v>1.2620910621938648</v>
      </c>
      <c r="AK24" s="246" t="str">
        <f t="shared" si="2"/>
        <v>(3,4,1,3,1,5)</v>
      </c>
      <c r="AL24" s="30">
        <v>1.1000000000000001</v>
      </c>
      <c r="AM24" s="30">
        <v>1.1000000000000001</v>
      </c>
      <c r="AN24" s="30">
        <v>1</v>
      </c>
      <c r="AO24" s="30">
        <v>1.02</v>
      </c>
      <c r="AP24" s="30">
        <v>1</v>
      </c>
      <c r="AQ24" s="30">
        <v>1.2</v>
      </c>
      <c r="AS24" s="303" t="s">
        <v>691</v>
      </c>
      <c r="AT24" s="21">
        <v>2</v>
      </c>
      <c r="AU24" s="21">
        <v>4</v>
      </c>
      <c r="AV24" s="21">
        <v>1</v>
      </c>
      <c r="AW24" s="21">
        <v>3</v>
      </c>
      <c r="AX24" s="21">
        <v>1</v>
      </c>
      <c r="AY24" s="21">
        <v>5</v>
      </c>
      <c r="AZ24" s="297">
        <v>1</v>
      </c>
      <c r="BA24" s="6">
        <v>1.05</v>
      </c>
      <c r="BB24" s="245">
        <f t="shared" si="3"/>
        <v>1.2365959919080913</v>
      </c>
      <c r="BC24" s="245">
        <f t="shared" si="4"/>
        <v>1.2434566510799234</v>
      </c>
      <c r="BD24" s="246" t="str">
        <f t="shared" si="5"/>
        <v>(2,4,1,3,1,5)</v>
      </c>
      <c r="BE24" s="30">
        <v>1.05</v>
      </c>
      <c r="BF24" s="30">
        <v>1.1000000000000001</v>
      </c>
      <c r="BG24" s="30">
        <v>1</v>
      </c>
      <c r="BH24" s="30">
        <v>1.02</v>
      </c>
      <c r="BI24" s="30">
        <v>1</v>
      </c>
      <c r="BJ24" s="30">
        <v>1.2</v>
      </c>
    </row>
    <row r="25" spans="1:62" ht="12" customHeight="1">
      <c r="A25" s="1489">
        <v>267287</v>
      </c>
      <c r="B25" s="1524"/>
      <c r="C25" s="1490"/>
      <c r="D25" s="1548">
        <v>5</v>
      </c>
      <c r="E25" s="1549" t="s">
        <v>98</v>
      </c>
      <c r="F25" s="1541" t="s">
        <v>690</v>
      </c>
      <c r="G25" s="1542" t="s">
        <v>154</v>
      </c>
      <c r="H25" s="1550" t="s">
        <v>98</v>
      </c>
      <c r="I25" s="1543" t="s">
        <v>98</v>
      </c>
      <c r="J25" s="1544">
        <v>0</v>
      </c>
      <c r="K25" s="1542" t="s">
        <v>104</v>
      </c>
      <c r="L25" s="1542">
        <v>0</v>
      </c>
      <c r="M25" s="1545">
        <v>1</v>
      </c>
      <c r="N25" s="1546">
        <v>1.2620910621938648</v>
      </c>
      <c r="O25" s="1547" t="s">
        <v>3196</v>
      </c>
      <c r="P25" s="1542">
        <v>262150.61863985186</v>
      </c>
      <c r="Q25" s="903">
        <v>1</v>
      </c>
      <c r="R25" s="904">
        <f t="shared" si="6"/>
        <v>1.2434566510799234</v>
      </c>
      <c r="S25" s="905" t="str">
        <f t="shared" si="7"/>
        <v>(2,4,1,3,1,5); Brailovsky et al. (2024): From machine operation, diesel,  &gt;= 18.64 kW and &lt; 74.57 kW, energy density 45.5MJ/kg</v>
      </c>
      <c r="U25" s="452"/>
      <c r="V25" s="452"/>
      <c r="W25" s="452"/>
      <c r="X25" s="452"/>
      <c r="Y25" s="452"/>
      <c r="Z25" s="303"/>
      <c r="AA25" s="21">
        <v>3</v>
      </c>
      <c r="AB25" s="21">
        <v>4</v>
      </c>
      <c r="AC25" s="21">
        <v>1</v>
      </c>
      <c r="AD25" s="21">
        <v>3</v>
      </c>
      <c r="AE25" s="21">
        <v>1</v>
      </c>
      <c r="AF25" s="315">
        <v>5</v>
      </c>
      <c r="AG25" s="297">
        <v>1</v>
      </c>
      <c r="AH25" s="6">
        <v>1.05</v>
      </c>
      <c r="AI25" s="245">
        <f t="shared" si="0"/>
        <v>1.2555818742947564</v>
      </c>
      <c r="AJ25" s="245">
        <f t="shared" si="1"/>
        <v>1.2620910621938648</v>
      </c>
      <c r="AK25" s="246" t="str">
        <f t="shared" si="2"/>
        <v>(3,4,1,3,1,5)</v>
      </c>
      <c r="AL25" s="30">
        <v>1.1000000000000001</v>
      </c>
      <c r="AM25" s="30">
        <v>1.1000000000000001</v>
      </c>
      <c r="AN25" s="30">
        <v>1</v>
      </c>
      <c r="AO25" s="30">
        <v>1.02</v>
      </c>
      <c r="AP25" s="30">
        <v>1</v>
      </c>
      <c r="AQ25" s="30">
        <v>1.2</v>
      </c>
      <c r="AS25" s="303" t="s">
        <v>692</v>
      </c>
      <c r="AT25" s="21">
        <v>2</v>
      </c>
      <c r="AU25" s="21">
        <v>4</v>
      </c>
      <c r="AV25" s="21">
        <v>1</v>
      </c>
      <c r="AW25" s="21">
        <v>3</v>
      </c>
      <c r="AX25" s="21">
        <v>1</v>
      </c>
      <c r="AY25" s="21">
        <v>5</v>
      </c>
      <c r="AZ25" s="297">
        <v>1</v>
      </c>
      <c r="BA25" s="6">
        <v>1.05</v>
      </c>
      <c r="BB25" s="245">
        <f t="shared" si="3"/>
        <v>1.2365959919080913</v>
      </c>
      <c r="BC25" s="245">
        <f t="shared" si="4"/>
        <v>1.2434566510799234</v>
      </c>
      <c r="BD25" s="246" t="str">
        <f t="shared" si="5"/>
        <v>(2,4,1,3,1,5)</v>
      </c>
      <c r="BE25" s="30">
        <v>1.05</v>
      </c>
      <c r="BF25" s="30">
        <v>1.1000000000000001</v>
      </c>
      <c r="BG25" s="30">
        <v>1</v>
      </c>
      <c r="BH25" s="30">
        <v>1.02</v>
      </c>
      <c r="BI25" s="30">
        <v>1</v>
      </c>
      <c r="BJ25" s="30">
        <v>1.2</v>
      </c>
    </row>
    <row r="26" spans="1:62" ht="14.25" customHeight="1">
      <c r="A26" s="1489">
        <v>267287</v>
      </c>
      <c r="B26" s="1524"/>
      <c r="C26" s="1490"/>
      <c r="D26" s="1492">
        <v>5</v>
      </c>
      <c r="E26" s="1493" t="s">
        <v>98</v>
      </c>
      <c r="F26" s="1494" t="s">
        <v>690</v>
      </c>
      <c r="G26" s="1495" t="s">
        <v>154</v>
      </c>
      <c r="H26" s="1496" t="s">
        <v>98</v>
      </c>
      <c r="I26" s="1497" t="s">
        <v>98</v>
      </c>
      <c r="J26" s="1498">
        <v>0</v>
      </c>
      <c r="K26" s="1495" t="s">
        <v>104</v>
      </c>
      <c r="L26" s="1495">
        <v>0</v>
      </c>
      <c r="M26" s="1499">
        <v>1</v>
      </c>
      <c r="N26" s="1500">
        <v>1.2620910621938648</v>
      </c>
      <c r="O26" s="1501" t="s">
        <v>3196</v>
      </c>
      <c r="P26" s="1495">
        <v>19536806.728831366</v>
      </c>
      <c r="Q26" s="873">
        <v>1</v>
      </c>
      <c r="R26" s="874">
        <f t="shared" si="6"/>
        <v>1.2434566510799234</v>
      </c>
      <c r="S26" s="875" t="str">
        <f t="shared" si="7"/>
        <v>(2,4,1,3,1,5); Brailovsky et al. (2024): From machine operation, diesel,  &gt;= 74.57 kW, energy density 45.5MJ/kg</v>
      </c>
      <c r="U26" s="452"/>
      <c r="V26" s="452"/>
      <c r="W26" s="452"/>
      <c r="X26" s="452"/>
      <c r="Y26" s="452"/>
      <c r="Z26" s="303"/>
      <c r="AA26" s="21">
        <v>3</v>
      </c>
      <c r="AB26" s="21">
        <v>4</v>
      </c>
      <c r="AC26" s="21">
        <v>1</v>
      </c>
      <c r="AD26" s="21">
        <v>3</v>
      </c>
      <c r="AE26" s="21">
        <v>1</v>
      </c>
      <c r="AF26" s="315">
        <v>5</v>
      </c>
      <c r="AG26" s="297">
        <v>1</v>
      </c>
      <c r="AH26" s="6">
        <v>1.05</v>
      </c>
      <c r="AI26" s="245">
        <f t="shared" si="0"/>
        <v>1.2555818742947564</v>
      </c>
      <c r="AJ26" s="245">
        <f t="shared" si="1"/>
        <v>1.2620910621938648</v>
      </c>
      <c r="AK26" s="246" t="str">
        <f t="shared" si="2"/>
        <v>(3,4,1,3,1,5)</v>
      </c>
      <c r="AL26" s="30">
        <v>1.1000000000000001</v>
      </c>
      <c r="AM26" s="30">
        <v>1.1000000000000001</v>
      </c>
      <c r="AN26" s="30">
        <v>1</v>
      </c>
      <c r="AO26" s="30">
        <v>1.02</v>
      </c>
      <c r="AP26" s="30">
        <v>1</v>
      </c>
      <c r="AQ26" s="30">
        <v>1.2</v>
      </c>
      <c r="AS26" s="303" t="s">
        <v>693</v>
      </c>
      <c r="AT26" s="21">
        <v>2</v>
      </c>
      <c r="AU26" s="21">
        <v>4</v>
      </c>
      <c r="AV26" s="21">
        <v>1</v>
      </c>
      <c r="AW26" s="21">
        <v>3</v>
      </c>
      <c r="AX26" s="21">
        <v>1</v>
      </c>
      <c r="AY26" s="21">
        <v>5</v>
      </c>
      <c r="AZ26" s="297">
        <v>1</v>
      </c>
      <c r="BA26" s="6">
        <v>1.05</v>
      </c>
      <c r="BB26" s="245">
        <f t="shared" si="3"/>
        <v>1.2365959919080913</v>
      </c>
      <c r="BC26" s="245">
        <f t="shared" si="4"/>
        <v>1.2434566510799234</v>
      </c>
      <c r="BD26" s="246" t="str">
        <f t="shared" si="5"/>
        <v>(2,4,1,3,1,5)</v>
      </c>
      <c r="BE26" s="30">
        <v>1.05</v>
      </c>
      <c r="BF26" s="30">
        <v>1.1000000000000001</v>
      </c>
      <c r="BG26" s="30">
        <v>1</v>
      </c>
      <c r="BH26" s="30">
        <v>1.02</v>
      </c>
      <c r="BI26" s="30">
        <v>1</v>
      </c>
      <c r="BJ26" s="30">
        <v>1.2</v>
      </c>
    </row>
    <row r="27" spans="1:62">
      <c r="A27" s="1489">
        <v>160371</v>
      </c>
      <c r="B27" s="1524"/>
      <c r="C27" s="1490"/>
      <c r="D27" s="1548">
        <v>5</v>
      </c>
      <c r="E27" s="1549" t="s">
        <v>98</v>
      </c>
      <c r="F27" s="1541" t="s">
        <v>242</v>
      </c>
      <c r="G27" s="1542" t="s">
        <v>93</v>
      </c>
      <c r="H27" s="1550" t="s">
        <v>98</v>
      </c>
      <c r="I27" s="1543" t="s">
        <v>98</v>
      </c>
      <c r="J27" s="1544">
        <v>0</v>
      </c>
      <c r="K27" s="1542" t="s">
        <v>115</v>
      </c>
      <c r="L27" s="1542">
        <v>0</v>
      </c>
      <c r="M27" s="1545">
        <v>1</v>
      </c>
      <c r="N27" s="1546">
        <v>2.0741629046031922</v>
      </c>
      <c r="O27" s="1547" t="s">
        <v>3196</v>
      </c>
      <c r="P27" s="1542">
        <v>207806.5</v>
      </c>
      <c r="Q27" s="903">
        <v>1</v>
      </c>
      <c r="R27" s="904">
        <f t="shared" si="6"/>
        <v>2.0646254680556719</v>
      </c>
      <c r="S27" s="905" t="str">
        <f t="shared" si="7"/>
        <v>(2,4,1,3,1,5); Brailovsky et al. (2024)</v>
      </c>
      <c r="U27" s="452"/>
      <c r="V27" s="452"/>
      <c r="W27" s="452"/>
      <c r="X27" s="452"/>
      <c r="Y27" s="452"/>
      <c r="Z27" s="303"/>
      <c r="AA27" s="21">
        <v>3</v>
      </c>
      <c r="AB27" s="21">
        <v>4</v>
      </c>
      <c r="AC27" s="21">
        <v>1</v>
      </c>
      <c r="AD27" s="21">
        <v>3</v>
      </c>
      <c r="AE27" s="21">
        <v>1</v>
      </c>
      <c r="AF27" s="315">
        <v>5</v>
      </c>
      <c r="AG27" s="297">
        <v>5</v>
      </c>
      <c r="AH27" s="6">
        <v>2</v>
      </c>
      <c r="AI27" s="245">
        <f t="shared" si="0"/>
        <v>1.2555818742947564</v>
      </c>
      <c r="AJ27" s="245">
        <f t="shared" si="1"/>
        <v>2.0741629046031922</v>
      </c>
      <c r="AK27" s="246" t="str">
        <f t="shared" si="2"/>
        <v>(3,4,1,3,1,5)</v>
      </c>
      <c r="AL27" s="30">
        <v>1.1000000000000001</v>
      </c>
      <c r="AM27" s="30">
        <v>1.1000000000000001</v>
      </c>
      <c r="AN27" s="30">
        <v>1</v>
      </c>
      <c r="AO27" s="30">
        <v>1.02</v>
      </c>
      <c r="AP27" s="30">
        <v>1</v>
      </c>
      <c r="AQ27" s="30">
        <v>1.2</v>
      </c>
      <c r="AS27" s="303" t="s">
        <v>673</v>
      </c>
      <c r="AT27" s="21">
        <v>2</v>
      </c>
      <c r="AU27" s="21">
        <v>4</v>
      </c>
      <c r="AV27" s="21">
        <v>1</v>
      </c>
      <c r="AW27" s="21">
        <v>3</v>
      </c>
      <c r="AX27" s="21">
        <v>1</v>
      </c>
      <c r="AY27" s="21">
        <v>5</v>
      </c>
      <c r="AZ27" s="297">
        <v>5</v>
      </c>
      <c r="BA27" s="6">
        <v>2</v>
      </c>
      <c r="BB27" s="245">
        <f t="shared" si="3"/>
        <v>1.2365959919080913</v>
      </c>
      <c r="BC27" s="245">
        <f t="shared" si="4"/>
        <v>2.0646254680556719</v>
      </c>
      <c r="BD27" s="246" t="str">
        <f t="shared" si="5"/>
        <v>(2,4,1,3,1,5)</v>
      </c>
      <c r="BE27" s="30">
        <v>1.05</v>
      </c>
      <c r="BF27" s="30">
        <v>1.1000000000000001</v>
      </c>
      <c r="BG27" s="30">
        <v>1</v>
      </c>
      <c r="BH27" s="30">
        <v>1.02</v>
      </c>
      <c r="BI27" s="30">
        <v>1</v>
      </c>
      <c r="BJ27" s="30">
        <v>1.2</v>
      </c>
    </row>
    <row r="28" spans="1:62">
      <c r="A28" s="1489">
        <v>269641</v>
      </c>
      <c r="B28" s="1524"/>
      <c r="C28" s="1490"/>
      <c r="D28" s="1492">
        <v>5</v>
      </c>
      <c r="E28" s="1493" t="s">
        <v>98</v>
      </c>
      <c r="F28" s="1494" t="s">
        <v>240</v>
      </c>
      <c r="G28" s="1495" t="s">
        <v>93</v>
      </c>
      <c r="H28" s="1496" t="s">
        <v>98</v>
      </c>
      <c r="I28" s="1497" t="s">
        <v>98</v>
      </c>
      <c r="J28" s="1498">
        <v>0</v>
      </c>
      <c r="K28" s="1495" t="s">
        <v>115</v>
      </c>
      <c r="L28" s="1495">
        <v>0</v>
      </c>
      <c r="M28" s="1499">
        <v>1</v>
      </c>
      <c r="N28" s="1500">
        <v>2.0741629046031922</v>
      </c>
      <c r="O28" s="1501" t="s">
        <v>3196</v>
      </c>
      <c r="P28" s="1495">
        <v>384549.2</v>
      </c>
      <c r="Q28" s="873">
        <v>1</v>
      </c>
      <c r="R28" s="874">
        <f t="shared" si="6"/>
        <v>2.0646254680556719</v>
      </c>
      <c r="S28" s="875" t="str">
        <f t="shared" si="7"/>
        <v>(2,4,1,3,1,5); Brailovsky et al. (2024)</v>
      </c>
      <c r="U28" s="452"/>
      <c r="V28" s="452"/>
      <c r="W28" s="452"/>
      <c r="X28" s="452"/>
      <c r="Y28" s="452"/>
      <c r="Z28" s="303"/>
      <c r="AA28" s="21">
        <v>3</v>
      </c>
      <c r="AB28" s="21">
        <v>4</v>
      </c>
      <c r="AC28" s="21">
        <v>1</v>
      </c>
      <c r="AD28" s="21">
        <v>3</v>
      </c>
      <c r="AE28" s="21">
        <v>1</v>
      </c>
      <c r="AF28" s="315">
        <v>5</v>
      </c>
      <c r="AG28" s="297">
        <v>5</v>
      </c>
      <c r="AH28" s="6">
        <v>2</v>
      </c>
      <c r="AI28" s="245">
        <f t="shared" si="0"/>
        <v>1.2555818742947564</v>
      </c>
      <c r="AJ28" s="245">
        <f t="shared" si="1"/>
        <v>2.0741629046031922</v>
      </c>
      <c r="AK28" s="246" t="str">
        <f t="shared" si="2"/>
        <v>(3,4,1,3,1,5)</v>
      </c>
      <c r="AL28" s="30">
        <v>1.1000000000000001</v>
      </c>
      <c r="AM28" s="30">
        <v>1.1000000000000001</v>
      </c>
      <c r="AN28" s="30">
        <v>1</v>
      </c>
      <c r="AO28" s="30">
        <v>1.02</v>
      </c>
      <c r="AP28" s="30">
        <v>1</v>
      </c>
      <c r="AQ28" s="30">
        <v>1.2</v>
      </c>
      <c r="AS28" s="303" t="s">
        <v>673</v>
      </c>
      <c r="AT28" s="21">
        <v>2</v>
      </c>
      <c r="AU28" s="21">
        <v>4</v>
      </c>
      <c r="AV28" s="21">
        <v>1</v>
      </c>
      <c r="AW28" s="21">
        <v>3</v>
      </c>
      <c r="AX28" s="21">
        <v>1</v>
      </c>
      <c r="AY28" s="21">
        <v>5</v>
      </c>
      <c r="AZ28" s="297">
        <v>5</v>
      </c>
      <c r="BA28" s="6">
        <v>2</v>
      </c>
      <c r="BB28" s="245">
        <f t="shared" si="3"/>
        <v>1.2365959919080913</v>
      </c>
      <c r="BC28" s="245">
        <f t="shared" si="4"/>
        <v>2.0646254680556719</v>
      </c>
      <c r="BD28" s="246" t="str">
        <f t="shared" si="5"/>
        <v>(2,4,1,3,1,5)</v>
      </c>
      <c r="BE28" s="30">
        <v>1.05</v>
      </c>
      <c r="BF28" s="30">
        <v>1.1000000000000001</v>
      </c>
      <c r="BG28" s="30">
        <v>1</v>
      </c>
      <c r="BH28" s="30">
        <v>1.02</v>
      </c>
      <c r="BI28" s="30">
        <v>1</v>
      </c>
      <c r="BJ28" s="30">
        <v>1.2</v>
      </c>
    </row>
    <row r="29" spans="1:62">
      <c r="A29" s="1489">
        <v>261895</v>
      </c>
      <c r="B29" s="1524"/>
      <c r="C29" s="1490"/>
      <c r="D29" s="1548">
        <v>5</v>
      </c>
      <c r="E29" s="1549" t="s">
        <v>98</v>
      </c>
      <c r="F29" s="1541" t="s">
        <v>694</v>
      </c>
      <c r="G29" s="1542" t="s">
        <v>245</v>
      </c>
      <c r="H29" s="1550" t="s">
        <v>98</v>
      </c>
      <c r="I29" s="1543" t="s">
        <v>98</v>
      </c>
      <c r="J29" s="1544">
        <v>0</v>
      </c>
      <c r="K29" s="1542" t="s">
        <v>115</v>
      </c>
      <c r="L29" s="1542">
        <v>0</v>
      </c>
      <c r="M29" s="1545">
        <v>1</v>
      </c>
      <c r="N29" s="1546">
        <v>2.0741629046031922</v>
      </c>
      <c r="O29" s="1547" t="s">
        <v>3196</v>
      </c>
      <c r="P29" s="1542">
        <v>231.9</v>
      </c>
      <c r="Q29" s="903">
        <v>1</v>
      </c>
      <c r="R29" s="904">
        <f t="shared" si="6"/>
        <v>2.0646254680556719</v>
      </c>
      <c r="S29" s="905" t="str">
        <f t="shared" si="7"/>
        <v>(2,4,1,3,1,5); Brailovsky et al. (2024)</v>
      </c>
      <c r="U29" s="452"/>
      <c r="V29" s="452"/>
      <c r="W29" s="452"/>
      <c r="X29" s="452"/>
      <c r="Y29" s="452"/>
      <c r="Z29" s="303"/>
      <c r="AA29" s="21">
        <v>3</v>
      </c>
      <c r="AB29" s="21">
        <v>4</v>
      </c>
      <c r="AC29" s="21">
        <v>1</v>
      </c>
      <c r="AD29" s="21">
        <v>3</v>
      </c>
      <c r="AE29" s="21">
        <v>1</v>
      </c>
      <c r="AF29" s="315">
        <v>5</v>
      </c>
      <c r="AG29" s="297">
        <v>5</v>
      </c>
      <c r="AH29" s="6">
        <v>2</v>
      </c>
      <c r="AI29" s="245">
        <f t="shared" si="0"/>
        <v>1.2555818742947564</v>
      </c>
      <c r="AJ29" s="245">
        <f t="shared" si="1"/>
        <v>2.0741629046031922</v>
      </c>
      <c r="AK29" s="246" t="str">
        <f t="shared" si="2"/>
        <v>(3,4,1,3,1,5)</v>
      </c>
      <c r="AL29" s="30">
        <v>1.1000000000000001</v>
      </c>
      <c r="AM29" s="30">
        <v>1.1000000000000001</v>
      </c>
      <c r="AN29" s="30">
        <v>1</v>
      </c>
      <c r="AO29" s="30">
        <v>1.02</v>
      </c>
      <c r="AP29" s="30">
        <v>1</v>
      </c>
      <c r="AQ29" s="30">
        <v>1.2</v>
      </c>
      <c r="AS29" s="303" t="s">
        <v>673</v>
      </c>
      <c r="AT29" s="21">
        <v>2</v>
      </c>
      <c r="AU29" s="21">
        <v>4</v>
      </c>
      <c r="AV29" s="21">
        <v>1</v>
      </c>
      <c r="AW29" s="21">
        <v>3</v>
      </c>
      <c r="AX29" s="21">
        <v>1</v>
      </c>
      <c r="AY29" s="21">
        <v>5</v>
      </c>
      <c r="AZ29" s="297">
        <v>5</v>
      </c>
      <c r="BA29" s="6">
        <v>2</v>
      </c>
      <c r="BB29" s="245">
        <f t="shared" si="3"/>
        <v>1.2365959919080913</v>
      </c>
      <c r="BC29" s="245">
        <f t="shared" si="4"/>
        <v>2.0646254680556719</v>
      </c>
      <c r="BD29" s="246" t="str">
        <f t="shared" si="5"/>
        <v>(2,4,1,3,1,5)</v>
      </c>
      <c r="BE29" s="30">
        <v>1.05</v>
      </c>
      <c r="BF29" s="30">
        <v>1.1000000000000001</v>
      </c>
      <c r="BG29" s="30">
        <v>1</v>
      </c>
      <c r="BH29" s="30">
        <v>1.02</v>
      </c>
      <c r="BI29" s="30">
        <v>1</v>
      </c>
      <c r="BJ29" s="30">
        <v>1.2</v>
      </c>
    </row>
    <row r="30" spans="1:62">
      <c r="A30" s="1489">
        <v>258103</v>
      </c>
      <c r="B30" s="1524" t="s">
        <v>695</v>
      </c>
      <c r="C30" s="1490"/>
      <c r="D30" s="1492">
        <v>5</v>
      </c>
      <c r="E30" s="1493" t="s">
        <v>98</v>
      </c>
      <c r="F30" s="1494" t="s">
        <v>696</v>
      </c>
      <c r="G30" s="1495" t="s">
        <v>103</v>
      </c>
      <c r="H30" s="1496" t="s">
        <v>98</v>
      </c>
      <c r="I30" s="1497" t="s">
        <v>98</v>
      </c>
      <c r="J30" s="1498">
        <v>0</v>
      </c>
      <c r="K30" s="1495" t="s">
        <v>679</v>
      </c>
      <c r="L30" s="1495">
        <v>0</v>
      </c>
      <c r="M30" s="1499">
        <v>1</v>
      </c>
      <c r="N30" s="1500">
        <v>1.2620910621938648</v>
      </c>
      <c r="O30" s="1501" t="s">
        <v>3196</v>
      </c>
      <c r="P30" s="1495">
        <v>30.2</v>
      </c>
      <c r="Q30" s="873">
        <v>1</v>
      </c>
      <c r="R30" s="874">
        <f t="shared" si="6"/>
        <v>1.2434566510799234</v>
      </c>
      <c r="S30" s="875" t="str">
        <f t="shared" si="7"/>
        <v>(2,4,1,3,1,5); Brailovsky et al. (2024)</v>
      </c>
      <c r="U30" s="452"/>
      <c r="V30" s="452"/>
      <c r="W30" s="452"/>
      <c r="X30" s="452"/>
      <c r="Y30" s="452"/>
      <c r="Z30" s="303"/>
      <c r="AA30" s="21">
        <v>3</v>
      </c>
      <c r="AB30" s="21">
        <v>4</v>
      </c>
      <c r="AC30" s="21">
        <v>1</v>
      </c>
      <c r="AD30" s="21">
        <v>3</v>
      </c>
      <c r="AE30" s="21">
        <v>1</v>
      </c>
      <c r="AF30" s="315">
        <v>5</v>
      </c>
      <c r="AG30" s="297">
        <v>3</v>
      </c>
      <c r="AH30" s="6">
        <v>1.05</v>
      </c>
      <c r="AI30" s="245">
        <f t="shared" si="0"/>
        <v>1.2555818742947564</v>
      </c>
      <c r="AJ30" s="245">
        <f t="shared" si="1"/>
        <v>1.2620910621938648</v>
      </c>
      <c r="AK30" s="246" t="str">
        <f t="shared" si="2"/>
        <v>(3,4,1,3,1,5)</v>
      </c>
      <c r="AL30" s="30">
        <v>1.1000000000000001</v>
      </c>
      <c r="AM30" s="30">
        <v>1.1000000000000001</v>
      </c>
      <c r="AN30" s="30">
        <v>1</v>
      </c>
      <c r="AO30" s="30">
        <v>1.02</v>
      </c>
      <c r="AP30" s="30">
        <v>1</v>
      </c>
      <c r="AQ30" s="30">
        <v>1.2</v>
      </c>
      <c r="AS30" s="303" t="s">
        <v>673</v>
      </c>
      <c r="AT30" s="21">
        <v>2</v>
      </c>
      <c r="AU30" s="21">
        <v>4</v>
      </c>
      <c r="AV30" s="21">
        <v>1</v>
      </c>
      <c r="AW30" s="21">
        <v>3</v>
      </c>
      <c r="AX30" s="21">
        <v>1</v>
      </c>
      <c r="AY30" s="21">
        <v>5</v>
      </c>
      <c r="AZ30" s="297">
        <v>3</v>
      </c>
      <c r="BA30" s="6">
        <v>1.05</v>
      </c>
      <c r="BB30" s="245">
        <f t="shared" si="3"/>
        <v>1.2365959919080913</v>
      </c>
      <c r="BC30" s="245">
        <f t="shared" si="4"/>
        <v>1.2434566510799234</v>
      </c>
      <c r="BD30" s="246" t="str">
        <f t="shared" si="5"/>
        <v>(2,4,1,3,1,5)</v>
      </c>
      <c r="BE30" s="30">
        <v>1.05</v>
      </c>
      <c r="BF30" s="30">
        <v>1.1000000000000001</v>
      </c>
      <c r="BG30" s="30">
        <v>1</v>
      </c>
      <c r="BH30" s="30">
        <v>1.02</v>
      </c>
      <c r="BI30" s="30">
        <v>1</v>
      </c>
      <c r="BJ30" s="30">
        <v>1.2</v>
      </c>
    </row>
    <row r="31" spans="1:62">
      <c r="A31" s="1489">
        <v>79235</v>
      </c>
      <c r="B31" s="1524"/>
      <c r="C31" s="1490"/>
      <c r="D31" s="1548">
        <v>5</v>
      </c>
      <c r="E31" s="1549" t="s">
        <v>98</v>
      </c>
      <c r="F31" s="1541" t="s">
        <v>688</v>
      </c>
      <c r="G31" s="1542" t="s">
        <v>340</v>
      </c>
      <c r="H31" s="1550" t="s">
        <v>98</v>
      </c>
      <c r="I31" s="1543" t="s">
        <v>98</v>
      </c>
      <c r="J31" s="1544">
        <v>0</v>
      </c>
      <c r="K31" s="1542" t="s">
        <v>109</v>
      </c>
      <c r="L31" s="1542">
        <v>0</v>
      </c>
      <c r="M31" s="1545">
        <v>1</v>
      </c>
      <c r="N31" s="1546">
        <v>1.2620910621938648</v>
      </c>
      <c r="O31" s="1547" t="s">
        <v>3196</v>
      </c>
      <c r="P31" s="1542">
        <v>896.9</v>
      </c>
      <c r="Q31" s="903">
        <v>1</v>
      </c>
      <c r="R31" s="904">
        <f t="shared" si="6"/>
        <v>1.2434566510799234</v>
      </c>
      <c r="S31" s="905" t="str">
        <f t="shared" si="7"/>
        <v>(2,4,1,3,1,5); Brailovsky et al. (2024)</v>
      </c>
      <c r="U31" s="452"/>
      <c r="V31" s="452"/>
      <c r="W31" s="452"/>
      <c r="X31" s="452"/>
      <c r="Y31" s="452"/>
      <c r="Z31" s="303"/>
      <c r="AA31" s="21">
        <v>3</v>
      </c>
      <c r="AB31" s="21">
        <v>4</v>
      </c>
      <c r="AC31" s="21">
        <v>1</v>
      </c>
      <c r="AD31" s="21">
        <v>3</v>
      </c>
      <c r="AE31" s="21">
        <v>1</v>
      </c>
      <c r="AF31" s="315">
        <v>5</v>
      </c>
      <c r="AG31" s="297">
        <v>3</v>
      </c>
      <c r="AH31" s="6">
        <v>1.05</v>
      </c>
      <c r="AI31" s="245">
        <f t="shared" si="0"/>
        <v>1.2555818742947564</v>
      </c>
      <c r="AJ31" s="245">
        <f t="shared" si="1"/>
        <v>1.2620910621938648</v>
      </c>
      <c r="AK31" s="246" t="str">
        <f t="shared" si="2"/>
        <v>(3,4,1,3,1,5)</v>
      </c>
      <c r="AL31" s="30">
        <v>1.1000000000000001</v>
      </c>
      <c r="AM31" s="30">
        <v>1.1000000000000001</v>
      </c>
      <c r="AN31" s="30">
        <v>1</v>
      </c>
      <c r="AO31" s="30">
        <v>1.02</v>
      </c>
      <c r="AP31" s="30">
        <v>1</v>
      </c>
      <c r="AQ31" s="30">
        <v>1.2</v>
      </c>
      <c r="AS31" s="303" t="s">
        <v>673</v>
      </c>
      <c r="AT31" s="21">
        <v>2</v>
      </c>
      <c r="AU31" s="21">
        <v>4</v>
      </c>
      <c r="AV31" s="21">
        <v>1</v>
      </c>
      <c r="AW31" s="21">
        <v>3</v>
      </c>
      <c r="AX31" s="21">
        <v>1</v>
      </c>
      <c r="AY31" s="21">
        <v>5</v>
      </c>
      <c r="AZ31" s="297">
        <v>3</v>
      </c>
      <c r="BA31" s="6">
        <v>1.05</v>
      </c>
      <c r="BB31" s="245">
        <f t="shared" si="3"/>
        <v>1.2365959919080913</v>
      </c>
      <c r="BC31" s="245">
        <f t="shared" si="4"/>
        <v>1.2434566510799234</v>
      </c>
      <c r="BD31" s="246" t="str">
        <f t="shared" si="5"/>
        <v>(2,4,1,3,1,5)</v>
      </c>
      <c r="BE31" s="30">
        <v>1.05</v>
      </c>
      <c r="BF31" s="30">
        <v>1.1000000000000001</v>
      </c>
      <c r="BG31" s="30">
        <v>1</v>
      </c>
      <c r="BH31" s="30">
        <v>1.02</v>
      </c>
      <c r="BI31" s="30">
        <v>1</v>
      </c>
      <c r="BJ31" s="30">
        <v>1.2</v>
      </c>
    </row>
    <row r="32" spans="1:62">
      <c r="A32" s="1489">
        <v>263665</v>
      </c>
      <c r="B32" s="1524"/>
      <c r="C32" s="1490"/>
      <c r="D32" s="1492">
        <v>5</v>
      </c>
      <c r="E32" s="1493" t="s">
        <v>98</v>
      </c>
      <c r="F32" s="1494" t="s">
        <v>697</v>
      </c>
      <c r="G32" s="1495" t="s">
        <v>93</v>
      </c>
      <c r="H32" s="1496" t="s">
        <v>98</v>
      </c>
      <c r="I32" s="1497" t="s">
        <v>98</v>
      </c>
      <c r="J32" s="1498">
        <v>0</v>
      </c>
      <c r="K32" s="1495" t="s">
        <v>679</v>
      </c>
      <c r="L32" s="1495">
        <v>0</v>
      </c>
      <c r="M32" s="1499">
        <v>1</v>
      </c>
      <c r="N32" s="1500">
        <v>1.2620910621938648</v>
      </c>
      <c r="O32" s="1501" t="s">
        <v>3196</v>
      </c>
      <c r="P32" s="1495">
        <v>1299.9000000000001</v>
      </c>
      <c r="Q32" s="873">
        <v>1</v>
      </c>
      <c r="R32" s="874">
        <f t="shared" si="6"/>
        <v>1.2434566510799234</v>
      </c>
      <c r="S32" s="875" t="str">
        <f t="shared" si="7"/>
        <v>(2,4,1,3,1,5); Brailovsky et al. (2024)</v>
      </c>
      <c r="U32" s="452"/>
      <c r="V32" s="452"/>
      <c r="W32" s="452"/>
      <c r="X32" s="452"/>
      <c r="Y32" s="452"/>
      <c r="Z32" s="303"/>
      <c r="AA32" s="21">
        <v>3</v>
      </c>
      <c r="AB32" s="21">
        <v>4</v>
      </c>
      <c r="AC32" s="21">
        <v>1</v>
      </c>
      <c r="AD32" s="21">
        <v>3</v>
      </c>
      <c r="AE32" s="21">
        <v>1</v>
      </c>
      <c r="AF32" s="315">
        <v>5</v>
      </c>
      <c r="AG32" s="297">
        <v>3</v>
      </c>
      <c r="AH32" s="6">
        <v>1.05</v>
      </c>
      <c r="AI32" s="245">
        <f t="shared" si="0"/>
        <v>1.2555818742947564</v>
      </c>
      <c r="AJ32" s="245">
        <f t="shared" si="1"/>
        <v>1.2620910621938648</v>
      </c>
      <c r="AK32" s="246" t="str">
        <f t="shared" si="2"/>
        <v>(3,4,1,3,1,5)</v>
      </c>
      <c r="AL32" s="30">
        <v>1.1000000000000001</v>
      </c>
      <c r="AM32" s="30">
        <v>1.1000000000000001</v>
      </c>
      <c r="AN32" s="30">
        <v>1</v>
      </c>
      <c r="AO32" s="30">
        <v>1.02</v>
      </c>
      <c r="AP32" s="30">
        <v>1</v>
      </c>
      <c r="AQ32" s="30">
        <v>1.2</v>
      </c>
      <c r="AS32" s="303" t="s">
        <v>673</v>
      </c>
      <c r="AT32" s="21">
        <v>2</v>
      </c>
      <c r="AU32" s="21">
        <v>4</v>
      </c>
      <c r="AV32" s="21">
        <v>1</v>
      </c>
      <c r="AW32" s="21">
        <v>3</v>
      </c>
      <c r="AX32" s="21">
        <v>1</v>
      </c>
      <c r="AY32" s="21">
        <v>5</v>
      </c>
      <c r="AZ32" s="297">
        <v>3</v>
      </c>
      <c r="BA32" s="6">
        <v>1.05</v>
      </c>
      <c r="BB32" s="245">
        <f t="shared" si="3"/>
        <v>1.2365959919080913</v>
      </c>
      <c r="BC32" s="245">
        <f t="shared" si="4"/>
        <v>1.2434566510799234</v>
      </c>
      <c r="BD32" s="246" t="str">
        <f t="shared" si="5"/>
        <v>(2,4,1,3,1,5)</v>
      </c>
      <c r="BE32" s="30">
        <v>1.05</v>
      </c>
      <c r="BF32" s="30">
        <v>1.1000000000000001</v>
      </c>
      <c r="BG32" s="30">
        <v>1</v>
      </c>
      <c r="BH32" s="30">
        <v>1.02</v>
      </c>
      <c r="BI32" s="30">
        <v>1</v>
      </c>
      <c r="BJ32" s="30">
        <v>1.2</v>
      </c>
    </row>
    <row r="33" spans="1:62">
      <c r="A33" s="1489">
        <v>269445</v>
      </c>
      <c r="B33" s="1524"/>
      <c r="C33" s="1490"/>
      <c r="D33" s="1548">
        <v>5</v>
      </c>
      <c r="E33" s="1549" t="s">
        <v>98</v>
      </c>
      <c r="F33" s="1541" t="s">
        <v>682</v>
      </c>
      <c r="G33" s="1542" t="s">
        <v>93</v>
      </c>
      <c r="H33" s="1550" t="s">
        <v>98</v>
      </c>
      <c r="I33" s="1543" t="s">
        <v>98</v>
      </c>
      <c r="J33" s="1544">
        <v>0</v>
      </c>
      <c r="K33" s="1542" t="s">
        <v>96</v>
      </c>
      <c r="L33" s="1542">
        <v>0</v>
      </c>
      <c r="M33" s="1545">
        <v>1</v>
      </c>
      <c r="N33" s="1546">
        <v>1.2620910621938648</v>
      </c>
      <c r="O33" s="1547" t="s">
        <v>3196</v>
      </c>
      <c r="P33" s="1542">
        <v>360</v>
      </c>
      <c r="Q33" s="903">
        <v>1</v>
      </c>
      <c r="R33" s="904">
        <f t="shared" si="6"/>
        <v>1.2434566510799234</v>
      </c>
      <c r="S33" s="905" t="str">
        <f t="shared" si="7"/>
        <v>(2,4,1,3,1,5); Brailovsky et al. (2024)</v>
      </c>
      <c r="U33" s="452"/>
      <c r="V33" s="452"/>
      <c r="W33" s="452"/>
      <c r="X33" s="452"/>
      <c r="Y33" s="452"/>
      <c r="Z33" s="303"/>
      <c r="AA33" s="21">
        <v>3</v>
      </c>
      <c r="AB33" s="21">
        <v>4</v>
      </c>
      <c r="AC33" s="21">
        <v>1</v>
      </c>
      <c r="AD33" s="21">
        <v>3</v>
      </c>
      <c r="AE33" s="21">
        <v>1</v>
      </c>
      <c r="AF33" s="315">
        <v>5</v>
      </c>
      <c r="AG33" s="297">
        <v>3</v>
      </c>
      <c r="AH33" s="6">
        <v>1.05</v>
      </c>
      <c r="AI33" s="245">
        <f t="shared" si="0"/>
        <v>1.2555818742947564</v>
      </c>
      <c r="AJ33" s="245">
        <f t="shared" si="1"/>
        <v>1.2620910621938648</v>
      </c>
      <c r="AK33" s="246" t="str">
        <f t="shared" si="2"/>
        <v>(3,4,1,3,1,5)</v>
      </c>
      <c r="AL33" s="30">
        <v>1.1000000000000001</v>
      </c>
      <c r="AM33" s="30">
        <v>1.1000000000000001</v>
      </c>
      <c r="AN33" s="30">
        <v>1</v>
      </c>
      <c r="AO33" s="30">
        <v>1.02</v>
      </c>
      <c r="AP33" s="30">
        <v>1</v>
      </c>
      <c r="AQ33" s="30">
        <v>1.2</v>
      </c>
      <c r="AS33" s="303" t="s">
        <v>673</v>
      </c>
      <c r="AT33" s="21">
        <v>2</v>
      </c>
      <c r="AU33" s="21">
        <v>4</v>
      </c>
      <c r="AV33" s="21">
        <v>1</v>
      </c>
      <c r="AW33" s="21">
        <v>3</v>
      </c>
      <c r="AX33" s="21">
        <v>1</v>
      </c>
      <c r="AY33" s="21">
        <v>5</v>
      </c>
      <c r="AZ33" s="297">
        <v>3</v>
      </c>
      <c r="BA33" s="6">
        <v>1.05</v>
      </c>
      <c r="BB33" s="245">
        <f t="shared" si="3"/>
        <v>1.2365959919080913</v>
      </c>
      <c r="BC33" s="245">
        <f t="shared" si="4"/>
        <v>1.2434566510799234</v>
      </c>
      <c r="BD33" s="246" t="str">
        <f t="shared" si="5"/>
        <v>(2,4,1,3,1,5)</v>
      </c>
      <c r="BE33" s="30">
        <v>1.05</v>
      </c>
      <c r="BF33" s="30">
        <v>1.1000000000000001</v>
      </c>
      <c r="BG33" s="30">
        <v>1</v>
      </c>
      <c r="BH33" s="30">
        <v>1.02</v>
      </c>
      <c r="BI33" s="30">
        <v>1</v>
      </c>
      <c r="BJ33" s="30">
        <v>1.2</v>
      </c>
    </row>
    <row r="34" spans="1:62">
      <c r="A34" s="1489">
        <v>266627</v>
      </c>
      <c r="B34" s="1524"/>
      <c r="C34" s="1490"/>
      <c r="D34" s="1492">
        <v>5</v>
      </c>
      <c r="E34" s="1493" t="s">
        <v>98</v>
      </c>
      <c r="F34" s="1494" t="s">
        <v>634</v>
      </c>
      <c r="G34" s="1495" t="s">
        <v>93</v>
      </c>
      <c r="H34" s="1496" t="s">
        <v>98</v>
      </c>
      <c r="I34" s="1497" t="s">
        <v>98</v>
      </c>
      <c r="J34" s="1498">
        <v>0</v>
      </c>
      <c r="K34" s="1495" t="s">
        <v>96</v>
      </c>
      <c r="L34" s="1495">
        <v>0</v>
      </c>
      <c r="M34" s="1499">
        <v>1</v>
      </c>
      <c r="N34" s="1500">
        <v>1.2620910621938648</v>
      </c>
      <c r="O34" s="1501" t="s">
        <v>3196</v>
      </c>
      <c r="P34" s="1495">
        <v>360</v>
      </c>
      <c r="Q34" s="873">
        <v>1</v>
      </c>
      <c r="R34" s="874">
        <f t="shared" si="6"/>
        <v>1.2434566510799234</v>
      </c>
      <c r="S34" s="875" t="str">
        <f t="shared" si="7"/>
        <v>(2,4,1,3,1,5); Brailovsky et al. (2024)</v>
      </c>
      <c r="U34" s="452"/>
      <c r="V34" s="452"/>
      <c r="W34" s="452"/>
      <c r="X34" s="452"/>
      <c r="Y34" s="452"/>
      <c r="Z34" s="303"/>
      <c r="AA34" s="21">
        <v>3</v>
      </c>
      <c r="AB34" s="21">
        <v>4</v>
      </c>
      <c r="AC34" s="21">
        <v>1</v>
      </c>
      <c r="AD34" s="21">
        <v>3</v>
      </c>
      <c r="AE34" s="21">
        <v>1</v>
      </c>
      <c r="AF34" s="315">
        <v>5</v>
      </c>
      <c r="AG34" s="297">
        <v>3</v>
      </c>
      <c r="AH34" s="6">
        <v>1.05</v>
      </c>
      <c r="AI34" s="245">
        <f t="shared" si="0"/>
        <v>1.2555818742947564</v>
      </c>
      <c r="AJ34" s="245">
        <f t="shared" si="1"/>
        <v>1.2620910621938648</v>
      </c>
      <c r="AK34" s="246" t="str">
        <f t="shared" si="2"/>
        <v>(3,4,1,3,1,5)</v>
      </c>
      <c r="AL34" s="30">
        <v>1.1000000000000001</v>
      </c>
      <c r="AM34" s="30">
        <v>1.1000000000000001</v>
      </c>
      <c r="AN34" s="30">
        <v>1</v>
      </c>
      <c r="AO34" s="30">
        <v>1.02</v>
      </c>
      <c r="AP34" s="30">
        <v>1</v>
      </c>
      <c r="AQ34" s="30">
        <v>1.2</v>
      </c>
      <c r="AS34" s="303" t="s">
        <v>673</v>
      </c>
      <c r="AT34" s="21">
        <v>2</v>
      </c>
      <c r="AU34" s="21">
        <v>4</v>
      </c>
      <c r="AV34" s="21">
        <v>1</v>
      </c>
      <c r="AW34" s="21">
        <v>3</v>
      </c>
      <c r="AX34" s="21">
        <v>1</v>
      </c>
      <c r="AY34" s="21">
        <v>5</v>
      </c>
      <c r="AZ34" s="297">
        <v>3</v>
      </c>
      <c r="BA34" s="6">
        <v>1.05</v>
      </c>
      <c r="BB34" s="245">
        <f t="shared" si="3"/>
        <v>1.2365959919080913</v>
      </c>
      <c r="BC34" s="245">
        <f t="shared" si="4"/>
        <v>1.2434566510799234</v>
      </c>
      <c r="BD34" s="246" t="str">
        <f t="shared" si="5"/>
        <v>(2,4,1,3,1,5)</v>
      </c>
      <c r="BE34" s="30">
        <v>1.05</v>
      </c>
      <c r="BF34" s="30">
        <v>1.1000000000000001</v>
      </c>
      <c r="BG34" s="30">
        <v>1</v>
      </c>
      <c r="BH34" s="30">
        <v>1.02</v>
      </c>
      <c r="BI34" s="30">
        <v>1</v>
      </c>
      <c r="BJ34" s="30">
        <v>1.2</v>
      </c>
    </row>
    <row r="35" spans="1:62">
      <c r="A35" s="1489">
        <v>255515</v>
      </c>
      <c r="B35" s="1524"/>
      <c r="C35" s="1490"/>
      <c r="D35" s="1548">
        <v>5</v>
      </c>
      <c r="E35" s="1549" t="s">
        <v>98</v>
      </c>
      <c r="F35" s="1541" t="s">
        <v>698</v>
      </c>
      <c r="G35" s="1542" t="s">
        <v>103</v>
      </c>
      <c r="H35" s="1550" t="s">
        <v>98</v>
      </c>
      <c r="I35" s="1543" t="s">
        <v>98</v>
      </c>
      <c r="J35" s="1544">
        <v>0</v>
      </c>
      <c r="K35" s="1542" t="s">
        <v>679</v>
      </c>
      <c r="L35" s="1542">
        <v>0</v>
      </c>
      <c r="M35" s="1545">
        <v>1</v>
      </c>
      <c r="N35" s="1546">
        <v>1.2620910621938648</v>
      </c>
      <c r="O35" s="1547" t="s">
        <v>3196</v>
      </c>
      <c r="P35" s="1542">
        <v>117</v>
      </c>
      <c r="Q35" s="903">
        <v>1</v>
      </c>
      <c r="R35" s="904">
        <f t="shared" si="6"/>
        <v>1.2434566510799234</v>
      </c>
      <c r="S35" s="905" t="str">
        <f t="shared" si="7"/>
        <v>(2,4,1,3,1,5); Brailovsky et al. (2024)</v>
      </c>
      <c r="U35" s="452"/>
      <c r="V35" s="452"/>
      <c r="W35" s="452"/>
      <c r="X35" s="452"/>
      <c r="Y35" s="452"/>
      <c r="Z35" s="303"/>
      <c r="AA35" s="21">
        <v>3</v>
      </c>
      <c r="AB35" s="21">
        <v>4</v>
      </c>
      <c r="AC35" s="21">
        <v>1</v>
      </c>
      <c r="AD35" s="21">
        <v>3</v>
      </c>
      <c r="AE35" s="21">
        <v>1</v>
      </c>
      <c r="AF35" s="315">
        <v>5</v>
      </c>
      <c r="AG35" s="297">
        <v>3</v>
      </c>
      <c r="AH35" s="6">
        <v>1.05</v>
      </c>
      <c r="AI35" s="245">
        <f t="shared" si="0"/>
        <v>1.2555818742947564</v>
      </c>
      <c r="AJ35" s="245">
        <f t="shared" si="1"/>
        <v>1.2620910621938648</v>
      </c>
      <c r="AK35" s="246" t="str">
        <f t="shared" si="2"/>
        <v>(3,4,1,3,1,5)</v>
      </c>
      <c r="AL35" s="30">
        <v>1.1000000000000001</v>
      </c>
      <c r="AM35" s="30">
        <v>1.1000000000000001</v>
      </c>
      <c r="AN35" s="30">
        <v>1</v>
      </c>
      <c r="AO35" s="30">
        <v>1.02</v>
      </c>
      <c r="AP35" s="30">
        <v>1</v>
      </c>
      <c r="AQ35" s="30">
        <v>1.2</v>
      </c>
      <c r="AS35" s="303" t="s">
        <v>673</v>
      </c>
      <c r="AT35" s="21">
        <v>2</v>
      </c>
      <c r="AU35" s="21">
        <v>4</v>
      </c>
      <c r="AV35" s="21">
        <v>1</v>
      </c>
      <c r="AW35" s="21">
        <v>3</v>
      </c>
      <c r="AX35" s="21">
        <v>1</v>
      </c>
      <c r="AY35" s="21">
        <v>5</v>
      </c>
      <c r="AZ35" s="297">
        <v>3</v>
      </c>
      <c r="BA35" s="6">
        <v>1.05</v>
      </c>
      <c r="BB35" s="245">
        <f t="shared" si="3"/>
        <v>1.2365959919080913</v>
      </c>
      <c r="BC35" s="245">
        <f t="shared" si="4"/>
        <v>1.2434566510799234</v>
      </c>
      <c r="BD35" s="246" t="str">
        <f t="shared" si="5"/>
        <v>(2,4,1,3,1,5)</v>
      </c>
      <c r="BE35" s="30">
        <v>1.05</v>
      </c>
      <c r="BF35" s="30">
        <v>1.1000000000000001</v>
      </c>
      <c r="BG35" s="30">
        <v>1</v>
      </c>
      <c r="BH35" s="30">
        <v>1.02</v>
      </c>
      <c r="BI35" s="30">
        <v>1</v>
      </c>
      <c r="BJ35" s="30">
        <v>1.2</v>
      </c>
    </row>
    <row r="36" spans="1:62">
      <c r="A36" s="1489">
        <v>79235</v>
      </c>
      <c r="B36" s="1524" t="s">
        <v>699</v>
      </c>
      <c r="C36" s="1490"/>
      <c r="D36" s="1492">
        <v>5</v>
      </c>
      <c r="E36" s="1493" t="s">
        <v>98</v>
      </c>
      <c r="F36" s="1494" t="s">
        <v>688</v>
      </c>
      <c r="G36" s="1495" t="s">
        <v>340</v>
      </c>
      <c r="H36" s="1496" t="s">
        <v>98</v>
      </c>
      <c r="I36" s="1497" t="s">
        <v>98</v>
      </c>
      <c r="J36" s="1498">
        <v>0</v>
      </c>
      <c r="K36" s="1495" t="s">
        <v>109</v>
      </c>
      <c r="L36" s="1495">
        <v>0</v>
      </c>
      <c r="M36" s="1499">
        <v>1</v>
      </c>
      <c r="N36" s="1500">
        <v>1.2620910621938648</v>
      </c>
      <c r="O36" s="1501" t="s">
        <v>3196</v>
      </c>
      <c r="P36" s="1495">
        <v>209375</v>
      </c>
      <c r="Q36" s="873">
        <v>1</v>
      </c>
      <c r="R36" s="874">
        <f t="shared" si="6"/>
        <v>1.2434566510799234</v>
      </c>
      <c r="S36" s="875" t="str">
        <f t="shared" si="7"/>
        <v>(2,4,1,3,1,5); Brailovsky et al. (2024)</v>
      </c>
      <c r="U36" s="452"/>
      <c r="V36" s="452"/>
      <c r="W36" s="452"/>
      <c r="X36" s="452"/>
      <c r="Y36" s="452"/>
      <c r="Z36" s="303"/>
      <c r="AA36" s="21">
        <v>3</v>
      </c>
      <c r="AB36" s="21">
        <v>4</v>
      </c>
      <c r="AC36" s="21">
        <v>1</v>
      </c>
      <c r="AD36" s="21">
        <v>3</v>
      </c>
      <c r="AE36" s="21">
        <v>1</v>
      </c>
      <c r="AF36" s="315">
        <v>5</v>
      </c>
      <c r="AG36" s="297">
        <v>3</v>
      </c>
      <c r="AH36" s="6">
        <v>1.05</v>
      </c>
      <c r="AI36" s="245">
        <f t="shared" si="0"/>
        <v>1.2555818742947564</v>
      </c>
      <c r="AJ36" s="245">
        <f t="shared" si="1"/>
        <v>1.2620910621938648</v>
      </c>
      <c r="AK36" s="246" t="str">
        <f t="shared" si="2"/>
        <v>(3,4,1,3,1,5)</v>
      </c>
      <c r="AL36" s="30">
        <v>1.1000000000000001</v>
      </c>
      <c r="AM36" s="30">
        <v>1.1000000000000001</v>
      </c>
      <c r="AN36" s="30">
        <v>1</v>
      </c>
      <c r="AO36" s="30">
        <v>1.02</v>
      </c>
      <c r="AP36" s="30">
        <v>1</v>
      </c>
      <c r="AQ36" s="30">
        <v>1.2</v>
      </c>
      <c r="AS36" s="303" t="s">
        <v>673</v>
      </c>
      <c r="AT36" s="21">
        <v>2</v>
      </c>
      <c r="AU36" s="21">
        <v>4</v>
      </c>
      <c r="AV36" s="21">
        <v>1</v>
      </c>
      <c r="AW36" s="21">
        <v>3</v>
      </c>
      <c r="AX36" s="21">
        <v>1</v>
      </c>
      <c r="AY36" s="21">
        <v>5</v>
      </c>
      <c r="AZ36" s="297">
        <v>3</v>
      </c>
      <c r="BA36" s="6">
        <v>1.05</v>
      </c>
      <c r="BB36" s="245">
        <f t="shared" si="3"/>
        <v>1.2365959919080913</v>
      </c>
      <c r="BC36" s="245">
        <f t="shared" si="4"/>
        <v>1.2434566510799234</v>
      </c>
      <c r="BD36" s="246" t="str">
        <f t="shared" si="5"/>
        <v>(2,4,1,3,1,5)</v>
      </c>
      <c r="BE36" s="30">
        <v>1.05</v>
      </c>
      <c r="BF36" s="30">
        <v>1.1000000000000001</v>
      </c>
      <c r="BG36" s="30">
        <v>1</v>
      </c>
      <c r="BH36" s="30">
        <v>1.02</v>
      </c>
      <c r="BI36" s="30">
        <v>1</v>
      </c>
      <c r="BJ36" s="30">
        <v>1.2</v>
      </c>
    </row>
    <row r="37" spans="1:62" ht="15" customHeight="1">
      <c r="A37" s="1489">
        <v>267287</v>
      </c>
      <c r="B37" s="1524"/>
      <c r="C37" s="1490"/>
      <c r="D37" s="1548">
        <v>5</v>
      </c>
      <c r="E37" s="1549" t="s">
        <v>98</v>
      </c>
      <c r="F37" s="1541" t="s">
        <v>690</v>
      </c>
      <c r="G37" s="1542" t="s">
        <v>154</v>
      </c>
      <c r="H37" s="1550" t="s">
        <v>98</v>
      </c>
      <c r="I37" s="1543" t="s">
        <v>98</v>
      </c>
      <c r="J37" s="1544">
        <v>0</v>
      </c>
      <c r="K37" s="1542" t="s">
        <v>104</v>
      </c>
      <c r="L37" s="1542">
        <v>0</v>
      </c>
      <c r="M37" s="1545">
        <v>1</v>
      </c>
      <c r="N37" s="1546">
        <v>1.2620910621938648</v>
      </c>
      <c r="O37" s="1547" t="s">
        <v>3196</v>
      </c>
      <c r="P37" s="1542">
        <v>4385776.6298862547</v>
      </c>
      <c r="Q37" s="903">
        <v>1</v>
      </c>
      <c r="R37" s="904">
        <f t="shared" si="6"/>
        <v>1.2434566510799234</v>
      </c>
      <c r="S37" s="905" t="str">
        <f t="shared" si="7"/>
        <v>(2,4,1,3,1,5); Brailovsky et al. (2024): From machine operation, diesel,  &gt;= 18.64 kW and &lt; 74.57 kW, energy density 45.5MJ/kg</v>
      </c>
      <c r="U37" s="452"/>
      <c r="V37" s="452"/>
      <c r="W37" s="452"/>
      <c r="X37" s="452"/>
      <c r="Y37" s="452"/>
      <c r="Z37" s="303"/>
      <c r="AA37" s="21">
        <v>3</v>
      </c>
      <c r="AB37" s="21">
        <v>4</v>
      </c>
      <c r="AC37" s="21">
        <v>1</v>
      </c>
      <c r="AD37" s="21">
        <v>3</v>
      </c>
      <c r="AE37" s="21">
        <v>1</v>
      </c>
      <c r="AF37" s="315">
        <v>5</v>
      </c>
      <c r="AG37" s="297">
        <v>1</v>
      </c>
      <c r="AH37" s="6">
        <v>1.05</v>
      </c>
      <c r="AI37" s="245">
        <f t="shared" si="0"/>
        <v>1.2555818742947564</v>
      </c>
      <c r="AJ37" s="245">
        <f t="shared" si="1"/>
        <v>1.2620910621938648</v>
      </c>
      <c r="AK37" s="246" t="str">
        <f t="shared" si="2"/>
        <v>(3,4,1,3,1,5)</v>
      </c>
      <c r="AL37" s="30">
        <v>1.1000000000000001</v>
      </c>
      <c r="AM37" s="30">
        <v>1.1000000000000001</v>
      </c>
      <c r="AN37" s="30">
        <v>1</v>
      </c>
      <c r="AO37" s="30">
        <v>1.02</v>
      </c>
      <c r="AP37" s="30">
        <v>1</v>
      </c>
      <c r="AQ37" s="30">
        <v>1.2</v>
      </c>
      <c r="AS37" s="303" t="s">
        <v>692</v>
      </c>
      <c r="AT37" s="21">
        <v>2</v>
      </c>
      <c r="AU37" s="21">
        <v>4</v>
      </c>
      <c r="AV37" s="21">
        <v>1</v>
      </c>
      <c r="AW37" s="21">
        <v>3</v>
      </c>
      <c r="AX37" s="21">
        <v>1</v>
      </c>
      <c r="AY37" s="21">
        <v>5</v>
      </c>
      <c r="AZ37" s="297">
        <v>1</v>
      </c>
      <c r="BA37" s="6">
        <v>1.05</v>
      </c>
      <c r="BB37" s="245">
        <f t="shared" si="3"/>
        <v>1.2365959919080913</v>
      </c>
      <c r="BC37" s="245">
        <f t="shared" si="4"/>
        <v>1.2434566510799234</v>
      </c>
      <c r="BD37" s="246" t="str">
        <f t="shared" si="5"/>
        <v>(2,4,1,3,1,5)</v>
      </c>
      <c r="BE37" s="30">
        <v>1.05</v>
      </c>
      <c r="BF37" s="30">
        <v>1.1000000000000001</v>
      </c>
      <c r="BG37" s="30">
        <v>1</v>
      </c>
      <c r="BH37" s="30">
        <v>1.02</v>
      </c>
      <c r="BI37" s="30">
        <v>1</v>
      </c>
      <c r="BJ37" s="30">
        <v>1.2</v>
      </c>
    </row>
    <row r="38" spans="1:62" ht="15" customHeight="1">
      <c r="A38" s="1489">
        <v>267287</v>
      </c>
      <c r="B38" s="1524"/>
      <c r="C38" s="1490"/>
      <c r="D38" s="1492">
        <v>5</v>
      </c>
      <c r="E38" s="1493" t="s">
        <v>98</v>
      </c>
      <c r="F38" s="1494" t="s">
        <v>690</v>
      </c>
      <c r="G38" s="1495" t="s">
        <v>154</v>
      </c>
      <c r="H38" s="1496" t="s">
        <v>98</v>
      </c>
      <c r="I38" s="1497" t="s">
        <v>98</v>
      </c>
      <c r="J38" s="1498">
        <v>0</v>
      </c>
      <c r="K38" s="1495" t="s">
        <v>104</v>
      </c>
      <c r="L38" s="1495">
        <v>0</v>
      </c>
      <c r="M38" s="1499">
        <v>1</v>
      </c>
      <c r="N38" s="1500">
        <v>1.2620910621938648</v>
      </c>
      <c r="O38" s="1501" t="s">
        <v>3196</v>
      </c>
      <c r="P38" s="1495">
        <v>23798382.101835158</v>
      </c>
      <c r="Q38" s="873">
        <v>1</v>
      </c>
      <c r="R38" s="874">
        <f t="shared" si="6"/>
        <v>1.2434566510799234</v>
      </c>
      <c r="S38" s="875" t="str">
        <f t="shared" si="7"/>
        <v>(2,4,1,3,1,5); Brailovsky et al. (2024): From machine operation, diesel,  &gt;= 74.57 kW, energy density 45.5MJ/kg</v>
      </c>
      <c r="U38" s="452"/>
      <c r="V38" s="452"/>
      <c r="W38" s="452"/>
      <c r="X38" s="452"/>
      <c r="Y38" s="452"/>
      <c r="Z38" s="303"/>
      <c r="AA38" s="21">
        <v>3</v>
      </c>
      <c r="AB38" s="21">
        <v>4</v>
      </c>
      <c r="AC38" s="21">
        <v>1</v>
      </c>
      <c r="AD38" s="21">
        <v>3</v>
      </c>
      <c r="AE38" s="21">
        <v>1</v>
      </c>
      <c r="AF38" s="315">
        <v>5</v>
      </c>
      <c r="AG38" s="297">
        <v>1</v>
      </c>
      <c r="AH38" s="6">
        <v>1.05</v>
      </c>
      <c r="AI38" s="245">
        <f t="shared" si="0"/>
        <v>1.2555818742947564</v>
      </c>
      <c r="AJ38" s="245">
        <f t="shared" si="1"/>
        <v>1.2620910621938648</v>
      </c>
      <c r="AK38" s="246" t="str">
        <f t="shared" si="2"/>
        <v>(3,4,1,3,1,5)</v>
      </c>
      <c r="AL38" s="30">
        <v>1.1000000000000001</v>
      </c>
      <c r="AM38" s="30">
        <v>1.1000000000000001</v>
      </c>
      <c r="AN38" s="30">
        <v>1</v>
      </c>
      <c r="AO38" s="30">
        <v>1.02</v>
      </c>
      <c r="AP38" s="30">
        <v>1</v>
      </c>
      <c r="AQ38" s="30">
        <v>1.2</v>
      </c>
      <c r="AS38" s="303" t="s">
        <v>693</v>
      </c>
      <c r="AT38" s="21">
        <v>2</v>
      </c>
      <c r="AU38" s="21">
        <v>4</v>
      </c>
      <c r="AV38" s="21">
        <v>1</v>
      </c>
      <c r="AW38" s="21">
        <v>3</v>
      </c>
      <c r="AX38" s="21">
        <v>1</v>
      </c>
      <c r="AY38" s="21">
        <v>5</v>
      </c>
      <c r="AZ38" s="297">
        <v>1</v>
      </c>
      <c r="BA38" s="6">
        <v>1.05</v>
      </c>
      <c r="BB38" s="245">
        <f t="shared" si="3"/>
        <v>1.2365959919080913</v>
      </c>
      <c r="BC38" s="245">
        <f t="shared" si="4"/>
        <v>1.2434566510799234</v>
      </c>
      <c r="BD38" s="246" t="str">
        <f t="shared" si="5"/>
        <v>(2,4,1,3,1,5)</v>
      </c>
      <c r="BE38" s="30">
        <v>1.05</v>
      </c>
      <c r="BF38" s="30">
        <v>1.1000000000000001</v>
      </c>
      <c r="BG38" s="30">
        <v>1</v>
      </c>
      <c r="BH38" s="30">
        <v>1.02</v>
      </c>
      <c r="BI38" s="30">
        <v>1</v>
      </c>
      <c r="BJ38" s="30">
        <v>1.2</v>
      </c>
    </row>
    <row r="39" spans="1:62">
      <c r="A39" s="1489">
        <v>265477</v>
      </c>
      <c r="B39" s="1524"/>
      <c r="C39" s="1490"/>
      <c r="D39" s="1548">
        <v>5</v>
      </c>
      <c r="E39" s="1549" t="s">
        <v>98</v>
      </c>
      <c r="F39" s="1541" t="s">
        <v>700</v>
      </c>
      <c r="G39" s="1542" t="s">
        <v>103</v>
      </c>
      <c r="H39" s="1550" t="s">
        <v>98</v>
      </c>
      <c r="I39" s="1543" t="s">
        <v>98</v>
      </c>
      <c r="J39" s="1544">
        <v>0</v>
      </c>
      <c r="K39" s="1542" t="s">
        <v>115</v>
      </c>
      <c r="L39" s="1542">
        <v>0</v>
      </c>
      <c r="M39" s="1545">
        <v>1</v>
      </c>
      <c r="N39" s="1546">
        <v>2.0741629046031922</v>
      </c>
      <c r="O39" s="1547" t="s">
        <v>3196</v>
      </c>
      <c r="P39" s="1542">
        <v>230274.8</v>
      </c>
      <c r="Q39" s="903">
        <v>1</v>
      </c>
      <c r="R39" s="904">
        <f t="shared" si="6"/>
        <v>2.0646254680556719</v>
      </c>
      <c r="S39" s="905" t="str">
        <f t="shared" si="7"/>
        <v>(2,4,1,3,1,5); Brailovsky et al. (2024)</v>
      </c>
      <c r="U39" s="452"/>
      <c r="V39" s="452"/>
      <c r="W39" s="452"/>
      <c r="X39" s="452"/>
      <c r="Y39" s="452"/>
      <c r="Z39" s="303"/>
      <c r="AA39" s="21">
        <v>3</v>
      </c>
      <c r="AB39" s="21">
        <v>4</v>
      </c>
      <c r="AC39" s="21">
        <v>1</v>
      </c>
      <c r="AD39" s="21">
        <v>3</v>
      </c>
      <c r="AE39" s="21">
        <v>1</v>
      </c>
      <c r="AF39" s="315">
        <v>5</v>
      </c>
      <c r="AG39" s="297">
        <v>5</v>
      </c>
      <c r="AH39" s="6">
        <v>2</v>
      </c>
      <c r="AI39" s="245">
        <f t="shared" ref="AI39:AI70" si="8">EXP(SQRT((LN(AL39)^2)+(LN(AM39)^2)+(LN(AN39)^2)+(LN(AO39)^2)+(LN(AP39)^2)+(LN(AQ39)^2)))</f>
        <v>1.2555818742947564</v>
      </c>
      <c r="AJ39" s="245">
        <f t="shared" ref="AJ39:AJ70" si="9">EXP(SQRT((LN(AL39)^2)+(LN(AM39)^2)+(LN(AN39)^2)+(LN(AO39)^2)+(LN(AP39)^2)+(LN(AQ39)^2)+LN(AH39)^2))</f>
        <v>2.0741629046031922</v>
      </c>
      <c r="AK39" s="246" t="str">
        <f t="shared" ref="AK39:AK70" si="10">CONCATENATE("(",AA39,",",AB39,",",AC39,",",AD39,",",AE39,",",AF39,")")</f>
        <v>(3,4,1,3,1,5)</v>
      </c>
      <c r="AL39" s="30">
        <v>1.1000000000000001</v>
      </c>
      <c r="AM39" s="30">
        <v>1.1000000000000001</v>
      </c>
      <c r="AN39" s="30">
        <v>1</v>
      </c>
      <c r="AO39" s="30">
        <v>1.02</v>
      </c>
      <c r="AP39" s="30">
        <v>1</v>
      </c>
      <c r="AQ39" s="30">
        <v>1.2</v>
      </c>
      <c r="AS39" s="303" t="s">
        <v>673</v>
      </c>
      <c r="AT39" s="21">
        <v>2</v>
      </c>
      <c r="AU39" s="21">
        <v>4</v>
      </c>
      <c r="AV39" s="21">
        <v>1</v>
      </c>
      <c r="AW39" s="21">
        <v>3</v>
      </c>
      <c r="AX39" s="21">
        <v>1</v>
      </c>
      <c r="AY39" s="21">
        <v>5</v>
      </c>
      <c r="AZ39" s="297">
        <v>5</v>
      </c>
      <c r="BA39" s="6">
        <v>2</v>
      </c>
      <c r="BB39" s="245">
        <f t="shared" ref="BB39:BB70" si="11">EXP(SQRT((LN(BE39)^2)+(LN(BF39)^2)+(LN(BG39)^2)+(LN(BH39)^2)+(LN(BI39)^2)+(LN(BJ39)^2)))</f>
        <v>1.2365959919080913</v>
      </c>
      <c r="BC39" s="245">
        <f t="shared" ref="BC39:BC70" si="12">EXP(SQRT((LN(BE39)^2)+(LN(BF39)^2)+(LN(BG39)^2)+(LN(BH39)^2)+(LN(BI39)^2)+(LN(BJ39)^2)+LN(BA39)^2))</f>
        <v>2.0646254680556719</v>
      </c>
      <c r="BD39" s="246" t="str">
        <f t="shared" ref="BD39:BD70" si="13">CONCATENATE("(",AT39,",",AU39,",",AV39,",",AW39,",",AX39,",",AY39,")")</f>
        <v>(2,4,1,3,1,5)</v>
      </c>
      <c r="BE39" s="30">
        <v>1.05</v>
      </c>
      <c r="BF39" s="30">
        <v>1.1000000000000001</v>
      </c>
      <c r="BG39" s="30">
        <v>1</v>
      </c>
      <c r="BH39" s="30">
        <v>1.02</v>
      </c>
      <c r="BI39" s="30">
        <v>1</v>
      </c>
      <c r="BJ39" s="30">
        <v>1.2</v>
      </c>
    </row>
    <row r="40" spans="1:62">
      <c r="A40" s="1489">
        <v>269641</v>
      </c>
      <c r="B40" s="1524"/>
      <c r="C40" s="1490"/>
      <c r="D40" s="1492">
        <v>5</v>
      </c>
      <c r="E40" s="1493" t="s">
        <v>98</v>
      </c>
      <c r="F40" s="1494" t="s">
        <v>240</v>
      </c>
      <c r="G40" s="1495" t="s">
        <v>93</v>
      </c>
      <c r="H40" s="1496" t="s">
        <v>98</v>
      </c>
      <c r="I40" s="1497" t="s">
        <v>98</v>
      </c>
      <c r="J40" s="1498">
        <v>0</v>
      </c>
      <c r="K40" s="1495" t="s">
        <v>115</v>
      </c>
      <c r="L40" s="1495">
        <v>0</v>
      </c>
      <c r="M40" s="1499">
        <v>1</v>
      </c>
      <c r="N40" s="1500">
        <v>2.0741629046031922</v>
      </c>
      <c r="O40" s="1501" t="s">
        <v>3196</v>
      </c>
      <c r="P40" s="1495">
        <v>1137196.1000000001</v>
      </c>
      <c r="Q40" s="873">
        <v>1</v>
      </c>
      <c r="R40" s="874">
        <f t="shared" si="6"/>
        <v>2.0646254680556719</v>
      </c>
      <c r="S40" s="875" t="str">
        <f t="shared" si="7"/>
        <v>(2,4,1,3,1,5); Brailovsky et al. (2024)</v>
      </c>
      <c r="U40" s="452"/>
      <c r="V40" s="452"/>
      <c r="W40" s="452"/>
      <c r="X40" s="452"/>
      <c r="Y40" s="452"/>
      <c r="Z40" s="303"/>
      <c r="AA40" s="21">
        <v>3</v>
      </c>
      <c r="AB40" s="21">
        <v>4</v>
      </c>
      <c r="AC40" s="21">
        <v>1</v>
      </c>
      <c r="AD40" s="21">
        <v>3</v>
      </c>
      <c r="AE40" s="21">
        <v>1</v>
      </c>
      <c r="AF40" s="315">
        <v>5</v>
      </c>
      <c r="AG40" s="297">
        <v>5</v>
      </c>
      <c r="AH40" s="6">
        <v>2</v>
      </c>
      <c r="AI40" s="245">
        <f t="shared" si="8"/>
        <v>1.2555818742947564</v>
      </c>
      <c r="AJ40" s="245">
        <f t="shared" si="9"/>
        <v>2.0741629046031922</v>
      </c>
      <c r="AK40" s="246" t="str">
        <f t="shared" si="10"/>
        <v>(3,4,1,3,1,5)</v>
      </c>
      <c r="AL40" s="30">
        <v>1.1000000000000001</v>
      </c>
      <c r="AM40" s="30">
        <v>1.1000000000000001</v>
      </c>
      <c r="AN40" s="30">
        <v>1</v>
      </c>
      <c r="AO40" s="30">
        <v>1.02</v>
      </c>
      <c r="AP40" s="30">
        <v>1</v>
      </c>
      <c r="AQ40" s="30">
        <v>1.2</v>
      </c>
      <c r="AS40" s="303" t="s">
        <v>673</v>
      </c>
      <c r="AT40" s="21">
        <v>2</v>
      </c>
      <c r="AU40" s="21">
        <v>4</v>
      </c>
      <c r="AV40" s="21">
        <v>1</v>
      </c>
      <c r="AW40" s="21">
        <v>3</v>
      </c>
      <c r="AX40" s="21">
        <v>1</v>
      </c>
      <c r="AY40" s="21">
        <v>5</v>
      </c>
      <c r="AZ40" s="297">
        <v>5</v>
      </c>
      <c r="BA40" s="6">
        <v>2</v>
      </c>
      <c r="BB40" s="245">
        <f t="shared" si="11"/>
        <v>1.2365959919080913</v>
      </c>
      <c r="BC40" s="245">
        <f t="shared" si="12"/>
        <v>2.0646254680556719</v>
      </c>
      <c r="BD40" s="246" t="str">
        <f t="shared" si="13"/>
        <v>(2,4,1,3,1,5)</v>
      </c>
      <c r="BE40" s="30">
        <v>1.05</v>
      </c>
      <c r="BF40" s="30">
        <v>1.1000000000000001</v>
      </c>
      <c r="BG40" s="30">
        <v>1</v>
      </c>
      <c r="BH40" s="30">
        <v>1.02</v>
      </c>
      <c r="BI40" s="30">
        <v>1</v>
      </c>
      <c r="BJ40" s="30">
        <v>1.2</v>
      </c>
    </row>
    <row r="41" spans="1:62">
      <c r="A41" s="1489">
        <v>269643</v>
      </c>
      <c r="B41" s="1524" t="s">
        <v>701</v>
      </c>
      <c r="C41" s="1490"/>
      <c r="D41" s="1548">
        <v>5</v>
      </c>
      <c r="E41" s="1549" t="s">
        <v>98</v>
      </c>
      <c r="F41" s="1541" t="s">
        <v>702</v>
      </c>
      <c r="G41" s="1542" t="s">
        <v>103</v>
      </c>
      <c r="H41" s="1550" t="s">
        <v>98</v>
      </c>
      <c r="I41" s="1543" t="s">
        <v>98</v>
      </c>
      <c r="J41" s="1544">
        <v>0</v>
      </c>
      <c r="K41" s="1542" t="s">
        <v>119</v>
      </c>
      <c r="L41" s="1542">
        <v>0</v>
      </c>
      <c r="M41" s="1545">
        <v>1</v>
      </c>
      <c r="N41" s="1546">
        <v>1.2620910621938648</v>
      </c>
      <c r="O41" s="1547" t="s">
        <v>3196</v>
      </c>
      <c r="P41" s="1542">
        <v>27138.7</v>
      </c>
      <c r="Q41" s="903">
        <v>1</v>
      </c>
      <c r="R41" s="904">
        <f t="shared" ref="R41:R72" si="14">EXP(SQRT((LN(BC41)^2)+(LN(BC$8)^2)))</f>
        <v>1.2434566510799234</v>
      </c>
      <c r="S41" s="905" t="str">
        <f t="shared" ref="S41:S72" si="15">BD41&amp;"; "&amp;AS41</f>
        <v>(2,4,1,3,1,5); Brailovsky et al. (2024) CH iso RER</v>
      </c>
      <c r="U41" s="452"/>
      <c r="V41" s="452"/>
      <c r="W41" s="452"/>
      <c r="X41" s="452"/>
      <c r="Y41" s="452"/>
      <c r="Z41" s="303"/>
      <c r="AA41" s="21">
        <v>3</v>
      </c>
      <c r="AB41" s="21">
        <v>4</v>
      </c>
      <c r="AC41" s="21">
        <v>1</v>
      </c>
      <c r="AD41" s="21">
        <v>3</v>
      </c>
      <c r="AE41" s="21">
        <v>1</v>
      </c>
      <c r="AF41" s="315">
        <v>5</v>
      </c>
      <c r="AG41" s="297">
        <v>3</v>
      </c>
      <c r="AH41" s="6">
        <v>1.05</v>
      </c>
      <c r="AI41" s="245">
        <f t="shared" si="8"/>
        <v>1.2555818742947564</v>
      </c>
      <c r="AJ41" s="245">
        <f t="shared" si="9"/>
        <v>1.2620910621938648</v>
      </c>
      <c r="AK41" s="246" t="str">
        <f t="shared" si="10"/>
        <v>(3,4,1,3,1,5)</v>
      </c>
      <c r="AL41" s="30">
        <v>1.1000000000000001</v>
      </c>
      <c r="AM41" s="30">
        <v>1.1000000000000001</v>
      </c>
      <c r="AN41" s="30">
        <v>1</v>
      </c>
      <c r="AO41" s="30">
        <v>1.02</v>
      </c>
      <c r="AP41" s="30">
        <v>1</v>
      </c>
      <c r="AQ41" s="30">
        <v>1.2</v>
      </c>
      <c r="AS41" s="303" t="s">
        <v>703</v>
      </c>
      <c r="AT41" s="21">
        <v>2</v>
      </c>
      <c r="AU41" s="21">
        <v>4</v>
      </c>
      <c r="AV41" s="21">
        <v>1</v>
      </c>
      <c r="AW41" s="21">
        <v>3</v>
      </c>
      <c r="AX41" s="21">
        <v>1</v>
      </c>
      <c r="AY41" s="21">
        <v>5</v>
      </c>
      <c r="AZ41" s="297">
        <v>3</v>
      </c>
      <c r="BA41" s="6">
        <v>1.05</v>
      </c>
      <c r="BB41" s="245">
        <f t="shared" si="11"/>
        <v>1.2365959919080913</v>
      </c>
      <c r="BC41" s="245">
        <f t="shared" si="12"/>
        <v>1.2434566510799234</v>
      </c>
      <c r="BD41" s="246" t="str">
        <f t="shared" si="13"/>
        <v>(2,4,1,3,1,5)</v>
      </c>
      <c r="BE41" s="30">
        <v>1.05</v>
      </c>
      <c r="BF41" s="30">
        <v>1.1000000000000001</v>
      </c>
      <c r="BG41" s="30">
        <v>1</v>
      </c>
      <c r="BH41" s="30">
        <v>1.02</v>
      </c>
      <c r="BI41" s="30">
        <v>1</v>
      </c>
      <c r="BJ41" s="30">
        <v>1.2</v>
      </c>
    </row>
    <row r="42" spans="1:62">
      <c r="A42" s="1489">
        <v>265101</v>
      </c>
      <c r="B42" s="1524"/>
      <c r="C42" s="1490"/>
      <c r="D42" s="1492">
        <v>5</v>
      </c>
      <c r="E42" s="1493" t="s">
        <v>98</v>
      </c>
      <c r="F42" s="1494" t="s">
        <v>704</v>
      </c>
      <c r="G42" s="1495" t="s">
        <v>103</v>
      </c>
      <c r="H42" s="1496" t="s">
        <v>98</v>
      </c>
      <c r="I42" s="1497" t="s">
        <v>98</v>
      </c>
      <c r="J42" s="1498">
        <v>0</v>
      </c>
      <c r="K42" s="1495" t="s">
        <v>119</v>
      </c>
      <c r="L42" s="1495">
        <v>0</v>
      </c>
      <c r="M42" s="1499">
        <v>1</v>
      </c>
      <c r="N42" s="1500">
        <v>1.2620910621938648</v>
      </c>
      <c r="O42" s="1501" t="s">
        <v>3196</v>
      </c>
      <c r="P42" s="1495">
        <v>1356.9</v>
      </c>
      <c r="Q42" s="873">
        <v>1</v>
      </c>
      <c r="R42" s="874">
        <f t="shared" si="14"/>
        <v>1.2434566510799234</v>
      </c>
      <c r="S42" s="875" t="str">
        <f t="shared" si="15"/>
        <v>(2,4,1,3,1,5); Brailovsky et al. (2024)</v>
      </c>
      <c r="U42" s="452"/>
      <c r="V42" s="452"/>
      <c r="W42" s="452"/>
      <c r="X42" s="452"/>
      <c r="Y42" s="452"/>
      <c r="Z42" s="303"/>
      <c r="AA42" s="21">
        <v>3</v>
      </c>
      <c r="AB42" s="21">
        <v>4</v>
      </c>
      <c r="AC42" s="21">
        <v>1</v>
      </c>
      <c r="AD42" s="21">
        <v>3</v>
      </c>
      <c r="AE42" s="21">
        <v>1</v>
      </c>
      <c r="AF42" s="315">
        <v>5</v>
      </c>
      <c r="AG42" s="297">
        <v>3</v>
      </c>
      <c r="AH42" s="6">
        <v>1.05</v>
      </c>
      <c r="AI42" s="245">
        <f t="shared" si="8"/>
        <v>1.2555818742947564</v>
      </c>
      <c r="AJ42" s="245">
        <f t="shared" si="9"/>
        <v>1.2620910621938648</v>
      </c>
      <c r="AK42" s="246" t="str">
        <f t="shared" si="10"/>
        <v>(3,4,1,3,1,5)</v>
      </c>
      <c r="AL42" s="30">
        <v>1.1000000000000001</v>
      </c>
      <c r="AM42" s="30">
        <v>1.1000000000000001</v>
      </c>
      <c r="AN42" s="30">
        <v>1</v>
      </c>
      <c r="AO42" s="30">
        <v>1.02</v>
      </c>
      <c r="AP42" s="30">
        <v>1</v>
      </c>
      <c r="AQ42" s="30">
        <v>1.2</v>
      </c>
      <c r="AS42" s="303" t="s">
        <v>673</v>
      </c>
      <c r="AT42" s="21">
        <v>2</v>
      </c>
      <c r="AU42" s="21">
        <v>4</v>
      </c>
      <c r="AV42" s="21">
        <v>1</v>
      </c>
      <c r="AW42" s="21">
        <v>3</v>
      </c>
      <c r="AX42" s="21">
        <v>1</v>
      </c>
      <c r="AY42" s="21">
        <v>5</v>
      </c>
      <c r="AZ42" s="297">
        <v>3</v>
      </c>
      <c r="BA42" s="6">
        <v>1.05</v>
      </c>
      <c r="BB42" s="245">
        <f t="shared" si="11"/>
        <v>1.2365959919080913</v>
      </c>
      <c r="BC42" s="245">
        <f t="shared" si="12"/>
        <v>1.2434566510799234</v>
      </c>
      <c r="BD42" s="246" t="str">
        <f t="shared" si="13"/>
        <v>(2,4,1,3,1,5)</v>
      </c>
      <c r="BE42" s="30">
        <v>1.05</v>
      </c>
      <c r="BF42" s="30">
        <v>1.1000000000000001</v>
      </c>
      <c r="BG42" s="30">
        <v>1</v>
      </c>
      <c r="BH42" s="30">
        <v>1.02</v>
      </c>
      <c r="BI42" s="30">
        <v>1</v>
      </c>
      <c r="BJ42" s="30">
        <v>1.2</v>
      </c>
    </row>
    <row r="43" spans="1:62">
      <c r="A43" s="1489">
        <v>79235</v>
      </c>
      <c r="B43" s="1524" t="s">
        <v>705</v>
      </c>
      <c r="C43" s="1490"/>
      <c r="D43" s="1548">
        <v>5</v>
      </c>
      <c r="E43" s="1549" t="s">
        <v>98</v>
      </c>
      <c r="F43" s="1541" t="s">
        <v>688</v>
      </c>
      <c r="G43" s="1542" t="s">
        <v>340</v>
      </c>
      <c r="H43" s="1550" t="s">
        <v>98</v>
      </c>
      <c r="I43" s="1543" t="s">
        <v>98</v>
      </c>
      <c r="J43" s="1544">
        <v>0</v>
      </c>
      <c r="K43" s="1542" t="s">
        <v>109</v>
      </c>
      <c r="L43" s="1542">
        <v>0</v>
      </c>
      <c r="M43" s="1545">
        <v>1</v>
      </c>
      <c r="N43" s="1546">
        <v>1.2620910621938648</v>
      </c>
      <c r="O43" s="1547" t="s">
        <v>3196</v>
      </c>
      <c r="P43" s="1542">
        <v>123.3</v>
      </c>
      <c r="Q43" s="903">
        <v>1</v>
      </c>
      <c r="R43" s="904">
        <f t="shared" si="14"/>
        <v>1.2434566510799234</v>
      </c>
      <c r="S43" s="905" t="str">
        <f t="shared" si="15"/>
        <v>(2,4,1,3,1,5); Brailovsky et al. (2024) DE iso Europe w/o Switzerland</v>
      </c>
      <c r="U43" s="452"/>
      <c r="V43" s="452"/>
      <c r="W43" s="452"/>
      <c r="X43" s="452"/>
      <c r="Y43" s="452"/>
      <c r="Z43" s="303"/>
      <c r="AA43" s="21">
        <v>3</v>
      </c>
      <c r="AB43" s="21">
        <v>4</v>
      </c>
      <c r="AC43" s="21">
        <v>1</v>
      </c>
      <c r="AD43" s="21">
        <v>3</v>
      </c>
      <c r="AE43" s="21">
        <v>1</v>
      </c>
      <c r="AF43" s="315">
        <v>5</v>
      </c>
      <c r="AG43" s="297">
        <v>3</v>
      </c>
      <c r="AH43" s="6">
        <v>1.05</v>
      </c>
      <c r="AI43" s="245">
        <f t="shared" si="8"/>
        <v>1.2555818742947564</v>
      </c>
      <c r="AJ43" s="245">
        <f t="shared" si="9"/>
        <v>1.2620910621938648</v>
      </c>
      <c r="AK43" s="246" t="str">
        <f t="shared" si="10"/>
        <v>(3,4,1,3,1,5)</v>
      </c>
      <c r="AL43" s="30">
        <v>1.1000000000000001</v>
      </c>
      <c r="AM43" s="30">
        <v>1.1000000000000001</v>
      </c>
      <c r="AN43" s="30">
        <v>1</v>
      </c>
      <c r="AO43" s="30">
        <v>1.02</v>
      </c>
      <c r="AP43" s="30">
        <v>1</v>
      </c>
      <c r="AQ43" s="30">
        <v>1.2</v>
      </c>
      <c r="AS43" s="303" t="s">
        <v>706</v>
      </c>
      <c r="AT43" s="21">
        <v>2</v>
      </c>
      <c r="AU43" s="21">
        <v>4</v>
      </c>
      <c r="AV43" s="21">
        <v>1</v>
      </c>
      <c r="AW43" s="21">
        <v>3</v>
      </c>
      <c r="AX43" s="21">
        <v>1</v>
      </c>
      <c r="AY43" s="21">
        <v>5</v>
      </c>
      <c r="AZ43" s="297">
        <v>3</v>
      </c>
      <c r="BA43" s="6">
        <v>1.05</v>
      </c>
      <c r="BB43" s="245">
        <f t="shared" si="11"/>
        <v>1.2365959919080913</v>
      </c>
      <c r="BC43" s="245">
        <f t="shared" si="12"/>
        <v>1.2434566510799234</v>
      </c>
      <c r="BD43" s="246" t="str">
        <f t="shared" si="13"/>
        <v>(2,4,1,3,1,5)</v>
      </c>
      <c r="BE43" s="30">
        <v>1.05</v>
      </c>
      <c r="BF43" s="30">
        <v>1.1000000000000001</v>
      </c>
      <c r="BG43" s="30">
        <v>1</v>
      </c>
      <c r="BH43" s="30">
        <v>1.02</v>
      </c>
      <c r="BI43" s="30">
        <v>1</v>
      </c>
      <c r="BJ43" s="30">
        <v>1.2</v>
      </c>
    </row>
    <row r="44" spans="1:62">
      <c r="A44" s="1489">
        <v>263587</v>
      </c>
      <c r="B44" s="1524"/>
      <c r="C44" s="1490"/>
      <c r="D44" s="1492">
        <v>5</v>
      </c>
      <c r="E44" s="1493" t="s">
        <v>98</v>
      </c>
      <c r="F44" s="1494" t="s">
        <v>707</v>
      </c>
      <c r="G44" s="1495" t="s">
        <v>103</v>
      </c>
      <c r="H44" s="1496" t="s">
        <v>98</v>
      </c>
      <c r="I44" s="1497" t="s">
        <v>98</v>
      </c>
      <c r="J44" s="1498">
        <v>0</v>
      </c>
      <c r="K44" s="1495" t="s">
        <v>96</v>
      </c>
      <c r="L44" s="1495">
        <v>0</v>
      </c>
      <c r="M44" s="1499">
        <v>1</v>
      </c>
      <c r="N44" s="1500">
        <v>1.2620910621938648</v>
      </c>
      <c r="O44" s="1501" t="s">
        <v>3196</v>
      </c>
      <c r="P44" s="1495">
        <v>8011.9</v>
      </c>
      <c r="Q44" s="873">
        <v>1</v>
      </c>
      <c r="R44" s="874">
        <f t="shared" si="14"/>
        <v>1.2434566510799234</v>
      </c>
      <c r="S44" s="875" t="str">
        <f t="shared" si="15"/>
        <v>(2,4,1,3,1,5); Brailovsky et al. (2024)</v>
      </c>
      <c r="U44" s="452"/>
      <c r="V44" s="452"/>
      <c r="W44" s="452"/>
      <c r="X44" s="452"/>
      <c r="Y44" s="452"/>
      <c r="Z44" s="303"/>
      <c r="AA44" s="21">
        <v>3</v>
      </c>
      <c r="AB44" s="21">
        <v>4</v>
      </c>
      <c r="AC44" s="21">
        <v>1</v>
      </c>
      <c r="AD44" s="21">
        <v>3</v>
      </c>
      <c r="AE44" s="21">
        <v>1</v>
      </c>
      <c r="AF44" s="315">
        <v>5</v>
      </c>
      <c r="AG44" s="297">
        <v>3</v>
      </c>
      <c r="AH44" s="6">
        <v>1.05</v>
      </c>
      <c r="AI44" s="245">
        <f t="shared" si="8"/>
        <v>1.2555818742947564</v>
      </c>
      <c r="AJ44" s="245">
        <f t="shared" si="9"/>
        <v>1.2620910621938648</v>
      </c>
      <c r="AK44" s="246" t="str">
        <f t="shared" si="10"/>
        <v>(3,4,1,3,1,5)</v>
      </c>
      <c r="AL44" s="30">
        <v>1.1000000000000001</v>
      </c>
      <c r="AM44" s="30">
        <v>1.1000000000000001</v>
      </c>
      <c r="AN44" s="30">
        <v>1</v>
      </c>
      <c r="AO44" s="30">
        <v>1.02</v>
      </c>
      <c r="AP44" s="30">
        <v>1</v>
      </c>
      <c r="AQ44" s="30">
        <v>1.2</v>
      </c>
      <c r="AS44" s="303" t="s">
        <v>673</v>
      </c>
      <c r="AT44" s="21">
        <v>2</v>
      </c>
      <c r="AU44" s="21">
        <v>4</v>
      </c>
      <c r="AV44" s="21">
        <v>1</v>
      </c>
      <c r="AW44" s="21">
        <v>3</v>
      </c>
      <c r="AX44" s="21">
        <v>1</v>
      </c>
      <c r="AY44" s="21">
        <v>5</v>
      </c>
      <c r="AZ44" s="297">
        <v>3</v>
      </c>
      <c r="BA44" s="6">
        <v>1.05</v>
      </c>
      <c r="BB44" s="245">
        <f t="shared" si="11"/>
        <v>1.2365959919080913</v>
      </c>
      <c r="BC44" s="245">
        <f t="shared" si="12"/>
        <v>1.2434566510799234</v>
      </c>
      <c r="BD44" s="246" t="str">
        <f t="shared" si="13"/>
        <v>(2,4,1,3,1,5)</v>
      </c>
      <c r="BE44" s="30">
        <v>1.05</v>
      </c>
      <c r="BF44" s="30">
        <v>1.1000000000000001</v>
      </c>
      <c r="BG44" s="30">
        <v>1</v>
      </c>
      <c r="BH44" s="30">
        <v>1.02</v>
      </c>
      <c r="BI44" s="30">
        <v>1</v>
      </c>
      <c r="BJ44" s="30">
        <v>1.2</v>
      </c>
    </row>
    <row r="45" spans="1:62" ht="16.5" customHeight="1">
      <c r="A45" s="1489">
        <v>257828</v>
      </c>
      <c r="B45" s="1524"/>
      <c r="C45" s="1490"/>
      <c r="D45" s="1548">
        <v>5</v>
      </c>
      <c r="E45" s="1549" t="s">
        <v>98</v>
      </c>
      <c r="F45" s="1541" t="s">
        <v>708</v>
      </c>
      <c r="G45" s="1542" t="s">
        <v>103</v>
      </c>
      <c r="H45" s="1550" t="s">
        <v>98</v>
      </c>
      <c r="I45" s="1543" t="s">
        <v>98</v>
      </c>
      <c r="J45" s="1544">
        <v>0</v>
      </c>
      <c r="K45" s="1542" t="s">
        <v>679</v>
      </c>
      <c r="L45" s="1542">
        <v>0</v>
      </c>
      <c r="M45" s="1545">
        <v>1</v>
      </c>
      <c r="N45" s="1546">
        <v>1.2620910621938648</v>
      </c>
      <c r="O45" s="1547" t="s">
        <v>3196</v>
      </c>
      <c r="P45" s="1542">
        <v>1232.5999999999999</v>
      </c>
      <c r="Q45" s="903">
        <v>1</v>
      </c>
      <c r="R45" s="904">
        <f t="shared" si="14"/>
        <v>1.2434566510799234</v>
      </c>
      <c r="S45" s="905" t="str">
        <f t="shared" si="15"/>
        <v>(2,4,1,3,1,5); Brailovsky et al. (2024) CH iso GLO; Flächengewicht = 10kg/m2</v>
      </c>
      <c r="U45" s="452"/>
      <c r="V45" s="452"/>
      <c r="W45" s="452"/>
      <c r="X45" s="452"/>
      <c r="Y45" s="452"/>
      <c r="Z45" s="303"/>
      <c r="AA45" s="21">
        <v>3</v>
      </c>
      <c r="AB45" s="21">
        <v>4</v>
      </c>
      <c r="AC45" s="21">
        <v>1</v>
      </c>
      <c r="AD45" s="21">
        <v>3</v>
      </c>
      <c r="AE45" s="21">
        <v>1</v>
      </c>
      <c r="AF45" s="315">
        <v>5</v>
      </c>
      <c r="AG45" s="297">
        <v>3</v>
      </c>
      <c r="AH45" s="6">
        <v>1.05</v>
      </c>
      <c r="AI45" s="245">
        <f t="shared" si="8"/>
        <v>1.2555818742947564</v>
      </c>
      <c r="AJ45" s="245">
        <f t="shared" si="9"/>
        <v>1.2620910621938648</v>
      </c>
      <c r="AK45" s="246" t="str">
        <f t="shared" si="10"/>
        <v>(3,4,1,3,1,5)</v>
      </c>
      <c r="AL45" s="30">
        <v>1.1000000000000001</v>
      </c>
      <c r="AM45" s="30">
        <v>1.1000000000000001</v>
      </c>
      <c r="AN45" s="30">
        <v>1</v>
      </c>
      <c r="AO45" s="30">
        <v>1.02</v>
      </c>
      <c r="AP45" s="30">
        <v>1</v>
      </c>
      <c r="AQ45" s="30">
        <v>1.2</v>
      </c>
      <c r="AS45" s="303" t="s">
        <v>709</v>
      </c>
      <c r="AT45" s="21">
        <v>2</v>
      </c>
      <c r="AU45" s="21">
        <v>4</v>
      </c>
      <c r="AV45" s="21">
        <v>1</v>
      </c>
      <c r="AW45" s="21">
        <v>3</v>
      </c>
      <c r="AX45" s="21">
        <v>1</v>
      </c>
      <c r="AY45" s="21">
        <v>5</v>
      </c>
      <c r="AZ45" s="297">
        <v>3</v>
      </c>
      <c r="BA45" s="6">
        <v>1.05</v>
      </c>
      <c r="BB45" s="245">
        <f t="shared" si="11"/>
        <v>1.2365959919080913</v>
      </c>
      <c r="BC45" s="245">
        <f t="shared" si="12"/>
        <v>1.2434566510799234</v>
      </c>
      <c r="BD45" s="246" t="str">
        <f t="shared" si="13"/>
        <v>(2,4,1,3,1,5)</v>
      </c>
      <c r="BE45" s="30">
        <v>1.05</v>
      </c>
      <c r="BF45" s="30">
        <v>1.1000000000000001</v>
      </c>
      <c r="BG45" s="30">
        <v>1</v>
      </c>
      <c r="BH45" s="30">
        <v>1.02</v>
      </c>
      <c r="BI45" s="30">
        <v>1</v>
      </c>
      <c r="BJ45" s="30">
        <v>1.2</v>
      </c>
    </row>
    <row r="46" spans="1:62">
      <c r="A46" s="1489">
        <v>254233</v>
      </c>
      <c r="B46" s="1524"/>
      <c r="C46" s="1490"/>
      <c r="D46" s="1492">
        <v>5</v>
      </c>
      <c r="E46" s="1493" t="s">
        <v>98</v>
      </c>
      <c r="F46" s="1494" t="s">
        <v>710</v>
      </c>
      <c r="G46" s="1495" t="s">
        <v>103</v>
      </c>
      <c r="H46" s="1496" t="s">
        <v>98</v>
      </c>
      <c r="I46" s="1497" t="s">
        <v>98</v>
      </c>
      <c r="J46" s="1498">
        <v>0</v>
      </c>
      <c r="K46" s="1495" t="s">
        <v>104</v>
      </c>
      <c r="L46" s="1495">
        <v>0</v>
      </c>
      <c r="M46" s="1499">
        <v>1</v>
      </c>
      <c r="N46" s="1500">
        <v>1.2620910621938648</v>
      </c>
      <c r="O46" s="1501" t="s">
        <v>3196</v>
      </c>
      <c r="P46" s="1495">
        <v>110.9</v>
      </c>
      <c r="Q46" s="873">
        <v>1</v>
      </c>
      <c r="R46" s="874">
        <f t="shared" si="14"/>
        <v>1.2434566510799234</v>
      </c>
      <c r="S46" s="875" t="str">
        <f t="shared" si="15"/>
        <v>(2,4,1,3,1,5); Brailovsky et al. (2024) CH iso RER</v>
      </c>
      <c r="U46" s="452"/>
      <c r="V46" s="452"/>
      <c r="W46" s="452"/>
      <c r="X46" s="452"/>
      <c r="Y46" s="452"/>
      <c r="Z46" s="303"/>
      <c r="AA46" s="21">
        <v>3</v>
      </c>
      <c r="AB46" s="21">
        <v>4</v>
      </c>
      <c r="AC46" s="21">
        <v>1</v>
      </c>
      <c r="AD46" s="21">
        <v>3</v>
      </c>
      <c r="AE46" s="21">
        <v>1</v>
      </c>
      <c r="AF46" s="315">
        <v>5</v>
      </c>
      <c r="AG46" s="297">
        <v>1</v>
      </c>
      <c r="AH46" s="6">
        <v>1.05</v>
      </c>
      <c r="AI46" s="245">
        <f t="shared" si="8"/>
        <v>1.2555818742947564</v>
      </c>
      <c r="AJ46" s="245">
        <f t="shared" si="9"/>
        <v>1.2620910621938648</v>
      </c>
      <c r="AK46" s="246" t="str">
        <f t="shared" si="10"/>
        <v>(3,4,1,3,1,5)</v>
      </c>
      <c r="AL46" s="30">
        <v>1.1000000000000001</v>
      </c>
      <c r="AM46" s="30">
        <v>1.1000000000000001</v>
      </c>
      <c r="AN46" s="30">
        <v>1</v>
      </c>
      <c r="AO46" s="30">
        <v>1.02</v>
      </c>
      <c r="AP46" s="30">
        <v>1</v>
      </c>
      <c r="AQ46" s="30">
        <v>1.2</v>
      </c>
      <c r="AS46" s="303" t="s">
        <v>703</v>
      </c>
      <c r="AT46" s="21">
        <v>2</v>
      </c>
      <c r="AU46" s="21">
        <v>4</v>
      </c>
      <c r="AV46" s="21">
        <v>1</v>
      </c>
      <c r="AW46" s="21">
        <v>3</v>
      </c>
      <c r="AX46" s="21">
        <v>1</v>
      </c>
      <c r="AY46" s="21">
        <v>5</v>
      </c>
      <c r="AZ46" s="297">
        <v>1</v>
      </c>
      <c r="BA46" s="6">
        <v>1.05</v>
      </c>
      <c r="BB46" s="245">
        <f t="shared" si="11"/>
        <v>1.2365959919080913</v>
      </c>
      <c r="BC46" s="245">
        <f t="shared" si="12"/>
        <v>1.2434566510799234</v>
      </c>
      <c r="BD46" s="246" t="str">
        <f t="shared" si="13"/>
        <v>(2,4,1,3,1,5)</v>
      </c>
      <c r="BE46" s="30">
        <v>1.05</v>
      </c>
      <c r="BF46" s="30">
        <v>1.1000000000000001</v>
      </c>
      <c r="BG46" s="30">
        <v>1</v>
      </c>
      <c r="BH46" s="30">
        <v>1.02</v>
      </c>
      <c r="BI46" s="30">
        <v>1</v>
      </c>
      <c r="BJ46" s="30">
        <v>1.2</v>
      </c>
    </row>
    <row r="47" spans="1:62">
      <c r="A47" s="1489">
        <v>269445</v>
      </c>
      <c r="B47" s="1524"/>
      <c r="C47" s="1490"/>
      <c r="D47" s="1548">
        <v>5</v>
      </c>
      <c r="E47" s="1549" t="s">
        <v>98</v>
      </c>
      <c r="F47" s="1541" t="s">
        <v>682</v>
      </c>
      <c r="G47" s="1542" t="s">
        <v>93</v>
      </c>
      <c r="H47" s="1550" t="s">
        <v>98</v>
      </c>
      <c r="I47" s="1543" t="s">
        <v>98</v>
      </c>
      <c r="J47" s="1544">
        <v>0</v>
      </c>
      <c r="K47" s="1542" t="s">
        <v>96</v>
      </c>
      <c r="L47" s="1542">
        <v>0</v>
      </c>
      <c r="M47" s="1545">
        <v>1</v>
      </c>
      <c r="N47" s="1546">
        <v>1.2620910621938648</v>
      </c>
      <c r="O47" s="1547" t="s">
        <v>3196</v>
      </c>
      <c r="P47" s="1542">
        <v>8011.9</v>
      </c>
      <c r="Q47" s="903">
        <v>1</v>
      </c>
      <c r="R47" s="904">
        <f t="shared" si="14"/>
        <v>1.2434566510799234</v>
      </c>
      <c r="S47" s="905" t="str">
        <f t="shared" si="15"/>
        <v>(2,4,1,3,1,5); Brailovsky et al. (2024)</v>
      </c>
      <c r="U47" s="452"/>
      <c r="V47" s="452"/>
      <c r="W47" s="452"/>
      <c r="X47" s="452"/>
      <c r="Y47" s="452"/>
      <c r="Z47" s="303"/>
      <c r="AA47" s="21">
        <v>3</v>
      </c>
      <c r="AB47" s="21">
        <v>4</v>
      </c>
      <c r="AC47" s="21">
        <v>1</v>
      </c>
      <c r="AD47" s="21">
        <v>3</v>
      </c>
      <c r="AE47" s="21">
        <v>1</v>
      </c>
      <c r="AF47" s="315">
        <v>5</v>
      </c>
      <c r="AG47" s="297">
        <v>3</v>
      </c>
      <c r="AH47" s="6">
        <v>1.05</v>
      </c>
      <c r="AI47" s="245">
        <f t="shared" si="8"/>
        <v>1.2555818742947564</v>
      </c>
      <c r="AJ47" s="245">
        <f t="shared" si="9"/>
        <v>1.2620910621938648</v>
      </c>
      <c r="AK47" s="246" t="str">
        <f t="shared" si="10"/>
        <v>(3,4,1,3,1,5)</v>
      </c>
      <c r="AL47" s="30">
        <v>1.1000000000000001</v>
      </c>
      <c r="AM47" s="30">
        <v>1.1000000000000001</v>
      </c>
      <c r="AN47" s="30">
        <v>1</v>
      </c>
      <c r="AO47" s="30">
        <v>1.02</v>
      </c>
      <c r="AP47" s="30">
        <v>1</v>
      </c>
      <c r="AQ47" s="30">
        <v>1.2</v>
      </c>
      <c r="AS47" s="303" t="s">
        <v>673</v>
      </c>
      <c r="AT47" s="21">
        <v>2</v>
      </c>
      <c r="AU47" s="21">
        <v>4</v>
      </c>
      <c r="AV47" s="21">
        <v>1</v>
      </c>
      <c r="AW47" s="21">
        <v>3</v>
      </c>
      <c r="AX47" s="21">
        <v>1</v>
      </c>
      <c r="AY47" s="21">
        <v>5</v>
      </c>
      <c r="AZ47" s="297">
        <v>3</v>
      </c>
      <c r="BA47" s="6">
        <v>1.05</v>
      </c>
      <c r="BB47" s="245">
        <f t="shared" si="11"/>
        <v>1.2365959919080913</v>
      </c>
      <c r="BC47" s="245">
        <f t="shared" si="12"/>
        <v>1.2434566510799234</v>
      </c>
      <c r="BD47" s="246" t="str">
        <f t="shared" si="13"/>
        <v>(2,4,1,3,1,5)</v>
      </c>
      <c r="BE47" s="30">
        <v>1.05</v>
      </c>
      <c r="BF47" s="30">
        <v>1.1000000000000001</v>
      </c>
      <c r="BG47" s="30">
        <v>1</v>
      </c>
      <c r="BH47" s="30">
        <v>1.02</v>
      </c>
      <c r="BI47" s="30">
        <v>1</v>
      </c>
      <c r="BJ47" s="30">
        <v>1.2</v>
      </c>
    </row>
    <row r="48" spans="1:62">
      <c r="A48" s="1489">
        <v>266627</v>
      </c>
      <c r="B48" s="1524"/>
      <c r="C48" s="1490"/>
      <c r="D48" s="1492">
        <v>5</v>
      </c>
      <c r="E48" s="1493" t="s">
        <v>98</v>
      </c>
      <c r="F48" s="1494" t="s">
        <v>634</v>
      </c>
      <c r="G48" s="1495" t="s">
        <v>93</v>
      </c>
      <c r="H48" s="1496" t="s">
        <v>98</v>
      </c>
      <c r="I48" s="1497" t="s">
        <v>98</v>
      </c>
      <c r="J48" s="1498">
        <v>0</v>
      </c>
      <c r="K48" s="1495" t="s">
        <v>96</v>
      </c>
      <c r="L48" s="1495">
        <v>0</v>
      </c>
      <c r="M48" s="1499">
        <v>1</v>
      </c>
      <c r="N48" s="1500">
        <v>1.2620910621938648</v>
      </c>
      <c r="O48" s="1501" t="s">
        <v>3196</v>
      </c>
      <c r="P48" s="1495">
        <v>8011.9</v>
      </c>
      <c r="Q48" s="873">
        <v>1</v>
      </c>
      <c r="R48" s="874">
        <f t="shared" si="14"/>
        <v>1.2434566510799234</v>
      </c>
      <c r="S48" s="875" t="str">
        <f t="shared" si="15"/>
        <v>(2,4,1,3,1,5); Brailovsky et al. (2024)</v>
      </c>
      <c r="U48" s="452"/>
      <c r="V48" s="452"/>
      <c r="W48" s="452"/>
      <c r="X48" s="452"/>
      <c r="Y48" s="452"/>
      <c r="Z48" s="303"/>
      <c r="AA48" s="21">
        <v>3</v>
      </c>
      <c r="AB48" s="21">
        <v>4</v>
      </c>
      <c r="AC48" s="21">
        <v>1</v>
      </c>
      <c r="AD48" s="21">
        <v>3</v>
      </c>
      <c r="AE48" s="21">
        <v>1</v>
      </c>
      <c r="AF48" s="315">
        <v>5</v>
      </c>
      <c r="AG48" s="297">
        <v>3</v>
      </c>
      <c r="AH48" s="6">
        <v>1.05</v>
      </c>
      <c r="AI48" s="245">
        <f t="shared" si="8"/>
        <v>1.2555818742947564</v>
      </c>
      <c r="AJ48" s="245">
        <f t="shared" si="9"/>
        <v>1.2620910621938648</v>
      </c>
      <c r="AK48" s="246" t="str">
        <f t="shared" si="10"/>
        <v>(3,4,1,3,1,5)</v>
      </c>
      <c r="AL48" s="30">
        <v>1.1000000000000001</v>
      </c>
      <c r="AM48" s="30">
        <v>1.1000000000000001</v>
      </c>
      <c r="AN48" s="30">
        <v>1</v>
      </c>
      <c r="AO48" s="30">
        <v>1.02</v>
      </c>
      <c r="AP48" s="30">
        <v>1</v>
      </c>
      <c r="AQ48" s="30">
        <v>1.2</v>
      </c>
      <c r="AS48" s="303" t="s">
        <v>673</v>
      </c>
      <c r="AT48" s="21">
        <v>2</v>
      </c>
      <c r="AU48" s="21">
        <v>4</v>
      </c>
      <c r="AV48" s="21">
        <v>1</v>
      </c>
      <c r="AW48" s="21">
        <v>3</v>
      </c>
      <c r="AX48" s="21">
        <v>1</v>
      </c>
      <c r="AY48" s="21">
        <v>5</v>
      </c>
      <c r="AZ48" s="297">
        <v>3</v>
      </c>
      <c r="BA48" s="6">
        <v>1.05</v>
      </c>
      <c r="BB48" s="245">
        <f t="shared" si="11"/>
        <v>1.2365959919080913</v>
      </c>
      <c r="BC48" s="245">
        <f t="shared" si="12"/>
        <v>1.2434566510799234</v>
      </c>
      <c r="BD48" s="246" t="str">
        <f t="shared" si="13"/>
        <v>(2,4,1,3,1,5)</v>
      </c>
      <c r="BE48" s="30">
        <v>1.05</v>
      </c>
      <c r="BF48" s="30">
        <v>1.1000000000000001</v>
      </c>
      <c r="BG48" s="30">
        <v>1</v>
      </c>
      <c r="BH48" s="30">
        <v>1.02</v>
      </c>
      <c r="BI48" s="30">
        <v>1</v>
      </c>
      <c r="BJ48" s="30">
        <v>1.2</v>
      </c>
    </row>
    <row r="49" spans="1:62">
      <c r="A49" s="1489">
        <v>267017</v>
      </c>
      <c r="B49" s="1524" t="s">
        <v>714</v>
      </c>
      <c r="C49" s="1490"/>
      <c r="D49" s="1548">
        <v>5</v>
      </c>
      <c r="E49" s="1549" t="s">
        <v>98</v>
      </c>
      <c r="F49" s="1541" t="s">
        <v>715</v>
      </c>
      <c r="G49" s="1542" t="s">
        <v>93</v>
      </c>
      <c r="H49" s="1550" t="s">
        <v>98</v>
      </c>
      <c r="I49" s="1543" t="s">
        <v>98</v>
      </c>
      <c r="J49" s="1544">
        <v>0</v>
      </c>
      <c r="K49" s="1542" t="s">
        <v>96</v>
      </c>
      <c r="L49" s="1542">
        <v>0</v>
      </c>
      <c r="M49" s="1545">
        <v>1</v>
      </c>
      <c r="N49" s="1546">
        <v>1.2620910621938648</v>
      </c>
      <c r="O49" s="1547" t="s">
        <v>3196</v>
      </c>
      <c r="P49" s="1542">
        <v>917.1</v>
      </c>
      <c r="Q49" s="903">
        <v>1</v>
      </c>
      <c r="R49" s="904">
        <f t="shared" si="14"/>
        <v>1.2434566510799234</v>
      </c>
      <c r="S49" s="905" t="str">
        <f t="shared" si="15"/>
        <v>(2,4,1,3,1,5); Brailovsky et al. (2024)</v>
      </c>
      <c r="U49" s="452"/>
      <c r="V49" s="452"/>
      <c r="W49" s="452"/>
      <c r="X49" s="452"/>
      <c r="Y49" s="452"/>
      <c r="Z49" s="303"/>
      <c r="AA49" s="21">
        <v>3</v>
      </c>
      <c r="AB49" s="21">
        <v>4</v>
      </c>
      <c r="AC49" s="21">
        <v>1</v>
      </c>
      <c r="AD49" s="21">
        <v>3</v>
      </c>
      <c r="AE49" s="21">
        <v>1</v>
      </c>
      <c r="AF49" s="315">
        <v>5</v>
      </c>
      <c r="AG49" s="297">
        <v>3</v>
      </c>
      <c r="AH49" s="6">
        <v>1.05</v>
      </c>
      <c r="AI49" s="245">
        <f t="shared" si="8"/>
        <v>1.2555818742947564</v>
      </c>
      <c r="AJ49" s="245">
        <f t="shared" si="9"/>
        <v>1.2620910621938648</v>
      </c>
      <c r="AK49" s="246" t="str">
        <f t="shared" si="10"/>
        <v>(3,4,1,3,1,5)</v>
      </c>
      <c r="AL49" s="30">
        <v>1.1000000000000001</v>
      </c>
      <c r="AM49" s="30">
        <v>1.1000000000000001</v>
      </c>
      <c r="AN49" s="30">
        <v>1</v>
      </c>
      <c r="AO49" s="30">
        <v>1.02</v>
      </c>
      <c r="AP49" s="30">
        <v>1</v>
      </c>
      <c r="AQ49" s="30">
        <v>1.2</v>
      </c>
      <c r="AS49" s="303" t="s">
        <v>673</v>
      </c>
      <c r="AT49" s="21">
        <v>2</v>
      </c>
      <c r="AU49" s="21">
        <v>4</v>
      </c>
      <c r="AV49" s="21">
        <v>1</v>
      </c>
      <c r="AW49" s="21">
        <v>3</v>
      </c>
      <c r="AX49" s="21">
        <v>1</v>
      </c>
      <c r="AY49" s="21">
        <v>5</v>
      </c>
      <c r="AZ49" s="297">
        <v>3</v>
      </c>
      <c r="BA49" s="6">
        <v>1.05</v>
      </c>
      <c r="BB49" s="245">
        <f t="shared" si="11"/>
        <v>1.2365959919080913</v>
      </c>
      <c r="BC49" s="245">
        <f t="shared" si="12"/>
        <v>1.2434566510799234</v>
      </c>
      <c r="BD49" s="246" t="str">
        <f t="shared" si="13"/>
        <v>(2,4,1,3,1,5)</v>
      </c>
      <c r="BE49" s="30">
        <v>1.05</v>
      </c>
      <c r="BF49" s="30">
        <v>1.1000000000000001</v>
      </c>
      <c r="BG49" s="30">
        <v>1</v>
      </c>
      <c r="BH49" s="30">
        <v>1.02</v>
      </c>
      <c r="BI49" s="30">
        <v>1</v>
      </c>
      <c r="BJ49" s="30">
        <v>1.2</v>
      </c>
    </row>
    <row r="50" spans="1:62" ht="12" customHeight="1">
      <c r="A50" s="1489">
        <v>267287</v>
      </c>
      <c r="B50" s="1524"/>
      <c r="C50" s="1490"/>
      <c r="D50" s="1492">
        <v>5</v>
      </c>
      <c r="E50" s="1493" t="s">
        <v>98</v>
      </c>
      <c r="F50" s="1494" t="s">
        <v>690</v>
      </c>
      <c r="G50" s="1495" t="s">
        <v>154</v>
      </c>
      <c r="H50" s="1496" t="s">
        <v>98</v>
      </c>
      <c r="I50" s="1497" t="s">
        <v>98</v>
      </c>
      <c r="J50" s="1498">
        <v>0</v>
      </c>
      <c r="K50" s="1495" t="s">
        <v>104</v>
      </c>
      <c r="L50" s="1495">
        <v>0</v>
      </c>
      <c r="M50" s="1499">
        <v>1</v>
      </c>
      <c r="N50" s="1500">
        <v>1.2620910621938648</v>
      </c>
      <c r="O50" s="1501" t="s">
        <v>3196</v>
      </c>
      <c r="P50" s="1495">
        <v>26423.146176550868</v>
      </c>
      <c r="Q50" s="873">
        <v>1</v>
      </c>
      <c r="R50" s="874">
        <f t="shared" si="14"/>
        <v>1.2434566510799234</v>
      </c>
      <c r="S50" s="875" t="str">
        <f t="shared" si="15"/>
        <v>(2,4,1,3,1,5); Brailovsky et al. (2024): From machine operation, diesel, &lt;18.64kW, energy density 45.5MJ/kg</v>
      </c>
      <c r="U50" s="452"/>
      <c r="V50" s="452"/>
      <c r="W50" s="452"/>
      <c r="X50" s="452"/>
      <c r="Y50" s="452"/>
      <c r="Z50" s="303"/>
      <c r="AA50" s="21">
        <v>3</v>
      </c>
      <c r="AB50" s="21">
        <v>4</v>
      </c>
      <c r="AC50" s="21">
        <v>1</v>
      </c>
      <c r="AD50" s="21">
        <v>3</v>
      </c>
      <c r="AE50" s="21">
        <v>1</v>
      </c>
      <c r="AF50" s="315">
        <v>5</v>
      </c>
      <c r="AG50" s="297">
        <v>1</v>
      </c>
      <c r="AH50" s="6">
        <v>1.05</v>
      </c>
      <c r="AI50" s="245">
        <f t="shared" si="8"/>
        <v>1.2555818742947564</v>
      </c>
      <c r="AJ50" s="245">
        <f t="shared" si="9"/>
        <v>1.2620910621938648</v>
      </c>
      <c r="AK50" s="246" t="str">
        <f t="shared" si="10"/>
        <v>(3,4,1,3,1,5)</v>
      </c>
      <c r="AL50" s="30">
        <v>1.1000000000000001</v>
      </c>
      <c r="AM50" s="30">
        <v>1.1000000000000001</v>
      </c>
      <c r="AN50" s="30">
        <v>1</v>
      </c>
      <c r="AO50" s="30">
        <v>1.02</v>
      </c>
      <c r="AP50" s="30">
        <v>1</v>
      </c>
      <c r="AQ50" s="30">
        <v>1.2</v>
      </c>
      <c r="AS50" s="303" t="s">
        <v>691</v>
      </c>
      <c r="AT50" s="21">
        <v>2</v>
      </c>
      <c r="AU50" s="21">
        <v>4</v>
      </c>
      <c r="AV50" s="21">
        <v>1</v>
      </c>
      <c r="AW50" s="21">
        <v>3</v>
      </c>
      <c r="AX50" s="21">
        <v>1</v>
      </c>
      <c r="AY50" s="21">
        <v>5</v>
      </c>
      <c r="AZ50" s="297">
        <v>1</v>
      </c>
      <c r="BA50" s="6">
        <v>1.05</v>
      </c>
      <c r="BB50" s="245">
        <f t="shared" si="11"/>
        <v>1.2365959919080913</v>
      </c>
      <c r="BC50" s="245">
        <f t="shared" si="12"/>
        <v>1.2434566510799234</v>
      </c>
      <c r="BD50" s="246" t="str">
        <f t="shared" si="13"/>
        <v>(2,4,1,3,1,5)</v>
      </c>
      <c r="BE50" s="30">
        <v>1.05</v>
      </c>
      <c r="BF50" s="30">
        <v>1.1000000000000001</v>
      </c>
      <c r="BG50" s="30">
        <v>1</v>
      </c>
      <c r="BH50" s="30">
        <v>1.02</v>
      </c>
      <c r="BI50" s="30">
        <v>1</v>
      </c>
      <c r="BJ50" s="30">
        <v>1.2</v>
      </c>
    </row>
    <row r="51" spans="1:62" ht="14.25" customHeight="1">
      <c r="A51" s="1489">
        <v>267287</v>
      </c>
      <c r="B51" s="1524"/>
      <c r="C51" s="1490"/>
      <c r="D51" s="1548">
        <v>5</v>
      </c>
      <c r="E51" s="1549" t="s">
        <v>98</v>
      </c>
      <c r="F51" s="1541" t="s">
        <v>690</v>
      </c>
      <c r="G51" s="1542" t="s">
        <v>154</v>
      </c>
      <c r="H51" s="1550" t="s">
        <v>98</v>
      </c>
      <c r="I51" s="1543" t="s">
        <v>98</v>
      </c>
      <c r="J51" s="1544">
        <v>0</v>
      </c>
      <c r="K51" s="1542" t="s">
        <v>104</v>
      </c>
      <c r="L51" s="1542">
        <v>0</v>
      </c>
      <c r="M51" s="1545">
        <v>1</v>
      </c>
      <c r="N51" s="1546">
        <v>1.2620910621938648</v>
      </c>
      <c r="O51" s="1547" t="s">
        <v>3196</v>
      </c>
      <c r="P51" s="1542">
        <v>610475.61321687</v>
      </c>
      <c r="Q51" s="903">
        <v>1</v>
      </c>
      <c r="R51" s="904">
        <f t="shared" si="14"/>
        <v>1.2434566510799234</v>
      </c>
      <c r="S51" s="905" t="str">
        <f t="shared" si="15"/>
        <v>(2,4,1,3,1,5); Brailovsky et al. (2024): From machine operation, diesel,  &gt;= 74.57 kW, energy density 45.5MJ/kg</v>
      </c>
      <c r="U51" s="452"/>
      <c r="V51" s="452"/>
      <c r="W51" s="452"/>
      <c r="X51" s="452"/>
      <c r="Y51" s="452"/>
      <c r="Z51" s="303"/>
      <c r="AA51" s="21">
        <v>3</v>
      </c>
      <c r="AB51" s="21">
        <v>4</v>
      </c>
      <c r="AC51" s="21">
        <v>1</v>
      </c>
      <c r="AD51" s="21">
        <v>3</v>
      </c>
      <c r="AE51" s="21">
        <v>1</v>
      </c>
      <c r="AF51" s="315">
        <v>5</v>
      </c>
      <c r="AG51" s="297">
        <v>1</v>
      </c>
      <c r="AH51" s="6">
        <v>1.05</v>
      </c>
      <c r="AI51" s="245">
        <f t="shared" si="8"/>
        <v>1.2555818742947564</v>
      </c>
      <c r="AJ51" s="245">
        <f t="shared" si="9"/>
        <v>1.2620910621938648</v>
      </c>
      <c r="AK51" s="246" t="str">
        <f t="shared" si="10"/>
        <v>(3,4,1,3,1,5)</v>
      </c>
      <c r="AL51" s="30">
        <v>1.1000000000000001</v>
      </c>
      <c r="AM51" s="30">
        <v>1.1000000000000001</v>
      </c>
      <c r="AN51" s="30">
        <v>1</v>
      </c>
      <c r="AO51" s="30">
        <v>1.02</v>
      </c>
      <c r="AP51" s="30">
        <v>1</v>
      </c>
      <c r="AQ51" s="30">
        <v>1.2</v>
      </c>
      <c r="AS51" s="303" t="s">
        <v>693</v>
      </c>
      <c r="AT51" s="21">
        <v>2</v>
      </c>
      <c r="AU51" s="21">
        <v>4</v>
      </c>
      <c r="AV51" s="21">
        <v>1</v>
      </c>
      <c r="AW51" s="21">
        <v>3</v>
      </c>
      <c r="AX51" s="21">
        <v>1</v>
      </c>
      <c r="AY51" s="21">
        <v>5</v>
      </c>
      <c r="AZ51" s="297">
        <v>1</v>
      </c>
      <c r="BA51" s="6">
        <v>1.05</v>
      </c>
      <c r="BB51" s="245">
        <f t="shared" si="11"/>
        <v>1.2365959919080913</v>
      </c>
      <c r="BC51" s="245">
        <f t="shared" si="12"/>
        <v>1.2434566510799234</v>
      </c>
      <c r="BD51" s="246" t="str">
        <f t="shared" si="13"/>
        <v>(2,4,1,3,1,5)</v>
      </c>
      <c r="BE51" s="30">
        <v>1.05</v>
      </c>
      <c r="BF51" s="30">
        <v>1.1000000000000001</v>
      </c>
      <c r="BG51" s="30">
        <v>1</v>
      </c>
      <c r="BH51" s="30">
        <v>1.02</v>
      </c>
      <c r="BI51" s="30">
        <v>1</v>
      </c>
      <c r="BJ51" s="30">
        <v>1.2</v>
      </c>
    </row>
    <row r="52" spans="1:62">
      <c r="A52" s="1489">
        <v>160371</v>
      </c>
      <c r="B52" s="1524"/>
      <c r="C52" s="1490"/>
      <c r="D52" s="1492">
        <v>5</v>
      </c>
      <c r="E52" s="1493" t="s">
        <v>98</v>
      </c>
      <c r="F52" s="1494" t="s">
        <v>242</v>
      </c>
      <c r="G52" s="1495" t="s">
        <v>93</v>
      </c>
      <c r="H52" s="1496" t="s">
        <v>98</v>
      </c>
      <c r="I52" s="1497" t="s">
        <v>98</v>
      </c>
      <c r="J52" s="1498">
        <v>0</v>
      </c>
      <c r="K52" s="1495" t="s">
        <v>115</v>
      </c>
      <c r="L52" s="1495">
        <v>0</v>
      </c>
      <c r="M52" s="1499">
        <v>1</v>
      </c>
      <c r="N52" s="1500">
        <v>2.0741629046031922</v>
      </c>
      <c r="O52" s="1501" t="s">
        <v>3196</v>
      </c>
      <c r="P52" s="1495">
        <v>136399</v>
      </c>
      <c r="Q52" s="873">
        <v>1</v>
      </c>
      <c r="R52" s="874">
        <f t="shared" si="14"/>
        <v>2.0646254680556719</v>
      </c>
      <c r="S52" s="875" t="str">
        <f t="shared" si="15"/>
        <v>(2,4,1,3,1,5); Brailovsky et al. (2024)</v>
      </c>
      <c r="U52" s="452"/>
      <c r="V52" s="452"/>
      <c r="W52" s="452"/>
      <c r="X52" s="452"/>
      <c r="Y52" s="452"/>
      <c r="Z52" s="303"/>
      <c r="AA52" s="21">
        <v>3</v>
      </c>
      <c r="AB52" s="21">
        <v>4</v>
      </c>
      <c r="AC52" s="21">
        <v>1</v>
      </c>
      <c r="AD52" s="21">
        <v>3</v>
      </c>
      <c r="AE52" s="21">
        <v>1</v>
      </c>
      <c r="AF52" s="315">
        <v>5</v>
      </c>
      <c r="AG52" s="297">
        <v>5</v>
      </c>
      <c r="AH52" s="6">
        <v>2</v>
      </c>
      <c r="AI52" s="245">
        <f t="shared" si="8"/>
        <v>1.2555818742947564</v>
      </c>
      <c r="AJ52" s="245">
        <f t="shared" si="9"/>
        <v>2.0741629046031922</v>
      </c>
      <c r="AK52" s="246" t="str">
        <f t="shared" si="10"/>
        <v>(3,4,1,3,1,5)</v>
      </c>
      <c r="AL52" s="30">
        <v>1.1000000000000001</v>
      </c>
      <c r="AM52" s="30">
        <v>1.1000000000000001</v>
      </c>
      <c r="AN52" s="30">
        <v>1</v>
      </c>
      <c r="AO52" s="30">
        <v>1.02</v>
      </c>
      <c r="AP52" s="30">
        <v>1</v>
      </c>
      <c r="AQ52" s="30">
        <v>1.2</v>
      </c>
      <c r="AS52" s="303" t="s">
        <v>673</v>
      </c>
      <c r="AT52" s="21">
        <v>2</v>
      </c>
      <c r="AU52" s="21">
        <v>4</v>
      </c>
      <c r="AV52" s="21">
        <v>1</v>
      </c>
      <c r="AW52" s="21">
        <v>3</v>
      </c>
      <c r="AX52" s="21">
        <v>1</v>
      </c>
      <c r="AY52" s="21">
        <v>5</v>
      </c>
      <c r="AZ52" s="297">
        <v>5</v>
      </c>
      <c r="BA52" s="6">
        <v>2</v>
      </c>
      <c r="BB52" s="245">
        <f t="shared" si="11"/>
        <v>1.2365959919080913</v>
      </c>
      <c r="BC52" s="245">
        <f t="shared" si="12"/>
        <v>2.0646254680556719</v>
      </c>
      <c r="BD52" s="246" t="str">
        <f t="shared" si="13"/>
        <v>(2,4,1,3,1,5)</v>
      </c>
      <c r="BE52" s="30">
        <v>1.05</v>
      </c>
      <c r="BF52" s="30">
        <v>1.1000000000000001</v>
      </c>
      <c r="BG52" s="30">
        <v>1</v>
      </c>
      <c r="BH52" s="30">
        <v>1.02</v>
      </c>
      <c r="BI52" s="30">
        <v>1</v>
      </c>
      <c r="BJ52" s="30">
        <v>1.2</v>
      </c>
    </row>
    <row r="53" spans="1:62">
      <c r="A53" s="1489">
        <v>269641</v>
      </c>
      <c r="B53" s="1524"/>
      <c r="C53" s="1490"/>
      <c r="D53" s="1548">
        <v>5</v>
      </c>
      <c r="E53" s="1549" t="s">
        <v>98</v>
      </c>
      <c r="F53" s="1541" t="s">
        <v>240</v>
      </c>
      <c r="G53" s="1542" t="s">
        <v>93</v>
      </c>
      <c r="H53" s="1550" t="s">
        <v>98</v>
      </c>
      <c r="I53" s="1543" t="s">
        <v>98</v>
      </c>
      <c r="J53" s="1544">
        <v>0</v>
      </c>
      <c r="K53" s="1542" t="s">
        <v>115</v>
      </c>
      <c r="L53" s="1542">
        <v>0</v>
      </c>
      <c r="M53" s="1545">
        <v>1</v>
      </c>
      <c r="N53" s="1546">
        <v>2.0741629046031922</v>
      </c>
      <c r="O53" s="1547" t="s">
        <v>3196</v>
      </c>
      <c r="P53" s="1542">
        <v>20327.7</v>
      </c>
      <c r="Q53" s="903">
        <v>1</v>
      </c>
      <c r="R53" s="904">
        <f t="shared" si="14"/>
        <v>2.0646254680556719</v>
      </c>
      <c r="S53" s="905" t="str">
        <f t="shared" si="15"/>
        <v>(2,4,1,3,1,5); Brailovsky et al. (2024)</v>
      </c>
      <c r="U53" s="452"/>
      <c r="V53" s="452"/>
      <c r="W53" s="452"/>
      <c r="X53" s="452"/>
      <c r="Y53" s="452"/>
      <c r="Z53" s="303"/>
      <c r="AA53" s="21">
        <v>3</v>
      </c>
      <c r="AB53" s="21">
        <v>4</v>
      </c>
      <c r="AC53" s="21">
        <v>1</v>
      </c>
      <c r="AD53" s="21">
        <v>3</v>
      </c>
      <c r="AE53" s="21">
        <v>1</v>
      </c>
      <c r="AF53" s="315">
        <v>5</v>
      </c>
      <c r="AG53" s="297">
        <v>5</v>
      </c>
      <c r="AH53" s="6">
        <v>2</v>
      </c>
      <c r="AI53" s="245">
        <f t="shared" si="8"/>
        <v>1.2555818742947564</v>
      </c>
      <c r="AJ53" s="245">
        <f t="shared" si="9"/>
        <v>2.0741629046031922</v>
      </c>
      <c r="AK53" s="246" t="str">
        <f t="shared" si="10"/>
        <v>(3,4,1,3,1,5)</v>
      </c>
      <c r="AL53" s="30">
        <v>1.1000000000000001</v>
      </c>
      <c r="AM53" s="30">
        <v>1.1000000000000001</v>
      </c>
      <c r="AN53" s="30">
        <v>1</v>
      </c>
      <c r="AO53" s="30">
        <v>1.02</v>
      </c>
      <c r="AP53" s="30">
        <v>1</v>
      </c>
      <c r="AQ53" s="30">
        <v>1.2</v>
      </c>
      <c r="AS53" s="303" t="s">
        <v>673</v>
      </c>
      <c r="AT53" s="21">
        <v>2</v>
      </c>
      <c r="AU53" s="21">
        <v>4</v>
      </c>
      <c r="AV53" s="21">
        <v>1</v>
      </c>
      <c r="AW53" s="21">
        <v>3</v>
      </c>
      <c r="AX53" s="21">
        <v>1</v>
      </c>
      <c r="AY53" s="21">
        <v>5</v>
      </c>
      <c r="AZ53" s="297">
        <v>5</v>
      </c>
      <c r="BA53" s="6">
        <v>2</v>
      </c>
      <c r="BB53" s="245">
        <f t="shared" si="11"/>
        <v>1.2365959919080913</v>
      </c>
      <c r="BC53" s="245">
        <f t="shared" si="12"/>
        <v>2.0646254680556719</v>
      </c>
      <c r="BD53" s="246" t="str">
        <f t="shared" si="13"/>
        <v>(2,4,1,3,1,5)</v>
      </c>
      <c r="BE53" s="30">
        <v>1.05</v>
      </c>
      <c r="BF53" s="30">
        <v>1.1000000000000001</v>
      </c>
      <c r="BG53" s="30">
        <v>1</v>
      </c>
      <c r="BH53" s="30">
        <v>1.02</v>
      </c>
      <c r="BI53" s="30">
        <v>1</v>
      </c>
      <c r="BJ53" s="30">
        <v>1.2</v>
      </c>
    </row>
    <row r="54" spans="1:62">
      <c r="A54" s="1489">
        <v>269641</v>
      </c>
      <c r="B54" s="1524"/>
      <c r="C54" s="1490"/>
      <c r="D54" s="1492">
        <v>5</v>
      </c>
      <c r="E54" s="1493" t="s">
        <v>98</v>
      </c>
      <c r="F54" s="1494" t="s">
        <v>240</v>
      </c>
      <c r="G54" s="1495" t="s">
        <v>93</v>
      </c>
      <c r="H54" s="1496" t="s">
        <v>98</v>
      </c>
      <c r="I54" s="1497" t="s">
        <v>98</v>
      </c>
      <c r="J54" s="1498">
        <v>0</v>
      </c>
      <c r="K54" s="1495" t="s">
        <v>115</v>
      </c>
      <c r="L54" s="1495">
        <v>0</v>
      </c>
      <c r="M54" s="1499">
        <v>1</v>
      </c>
      <c r="N54" s="1500">
        <v>2.0741629046031922</v>
      </c>
      <c r="O54" s="1501" t="s">
        <v>3196</v>
      </c>
      <c r="P54" s="1495">
        <v>29863</v>
      </c>
      <c r="Q54" s="873">
        <v>1</v>
      </c>
      <c r="R54" s="874">
        <f t="shared" si="14"/>
        <v>2.0646254680556719</v>
      </c>
      <c r="S54" s="875" t="str">
        <f t="shared" si="15"/>
        <v>(2,4,1,3,1,5); Brailovsky et al. (2024)</v>
      </c>
      <c r="U54" s="452"/>
      <c r="V54" s="452"/>
      <c r="W54" s="452"/>
      <c r="X54" s="452"/>
      <c r="Y54" s="452"/>
      <c r="Z54" s="303"/>
      <c r="AA54" s="21">
        <v>3</v>
      </c>
      <c r="AB54" s="21">
        <v>4</v>
      </c>
      <c r="AC54" s="21">
        <v>1</v>
      </c>
      <c r="AD54" s="21">
        <v>3</v>
      </c>
      <c r="AE54" s="21">
        <v>1</v>
      </c>
      <c r="AF54" s="315">
        <v>5</v>
      </c>
      <c r="AG54" s="297">
        <v>5</v>
      </c>
      <c r="AH54" s="6">
        <v>2</v>
      </c>
      <c r="AI54" s="245">
        <f t="shared" si="8"/>
        <v>1.2555818742947564</v>
      </c>
      <c r="AJ54" s="245">
        <f t="shared" si="9"/>
        <v>2.0741629046031922</v>
      </c>
      <c r="AK54" s="246" t="str">
        <f t="shared" si="10"/>
        <v>(3,4,1,3,1,5)</v>
      </c>
      <c r="AL54" s="30">
        <v>1.1000000000000001</v>
      </c>
      <c r="AM54" s="30">
        <v>1.1000000000000001</v>
      </c>
      <c r="AN54" s="30">
        <v>1</v>
      </c>
      <c r="AO54" s="30">
        <v>1.02</v>
      </c>
      <c r="AP54" s="30">
        <v>1</v>
      </c>
      <c r="AQ54" s="30">
        <v>1.2</v>
      </c>
      <c r="AS54" s="303" t="s">
        <v>673</v>
      </c>
      <c r="AT54" s="21">
        <v>2</v>
      </c>
      <c r="AU54" s="21">
        <v>4</v>
      </c>
      <c r="AV54" s="21">
        <v>1</v>
      </c>
      <c r="AW54" s="21">
        <v>3</v>
      </c>
      <c r="AX54" s="21">
        <v>1</v>
      </c>
      <c r="AY54" s="21">
        <v>5</v>
      </c>
      <c r="AZ54" s="297">
        <v>5</v>
      </c>
      <c r="BA54" s="6">
        <v>2</v>
      </c>
      <c r="BB54" s="245">
        <f t="shared" si="11"/>
        <v>1.2365959919080913</v>
      </c>
      <c r="BC54" s="245">
        <f t="shared" si="12"/>
        <v>2.0646254680556719</v>
      </c>
      <c r="BD54" s="246" t="str">
        <f t="shared" si="13"/>
        <v>(2,4,1,3,1,5)</v>
      </c>
      <c r="BE54" s="30">
        <v>1.05</v>
      </c>
      <c r="BF54" s="30">
        <v>1.1000000000000001</v>
      </c>
      <c r="BG54" s="30">
        <v>1</v>
      </c>
      <c r="BH54" s="30">
        <v>1.02</v>
      </c>
      <c r="BI54" s="30">
        <v>1</v>
      </c>
      <c r="BJ54" s="30">
        <v>1.2</v>
      </c>
    </row>
    <row r="55" spans="1:62">
      <c r="A55" s="1489">
        <v>261895</v>
      </c>
      <c r="B55" s="1524"/>
      <c r="C55" s="1490"/>
      <c r="D55" s="1548">
        <v>5</v>
      </c>
      <c r="E55" s="1549" t="s">
        <v>98</v>
      </c>
      <c r="F55" s="1541" t="s">
        <v>694</v>
      </c>
      <c r="G55" s="1542" t="s">
        <v>245</v>
      </c>
      <c r="H55" s="1550" t="s">
        <v>98</v>
      </c>
      <c r="I55" s="1543" t="s">
        <v>98</v>
      </c>
      <c r="J55" s="1544">
        <v>0</v>
      </c>
      <c r="K55" s="1542" t="s">
        <v>115</v>
      </c>
      <c r="L55" s="1542">
        <v>0</v>
      </c>
      <c r="M55" s="1545">
        <v>1</v>
      </c>
      <c r="N55" s="1546">
        <v>2.0741629046031922</v>
      </c>
      <c r="O55" s="1547" t="s">
        <v>3196</v>
      </c>
      <c r="P55" s="1542">
        <v>88.9</v>
      </c>
      <c r="Q55" s="903">
        <v>1</v>
      </c>
      <c r="R55" s="904">
        <f t="shared" si="14"/>
        <v>2.0646254680556719</v>
      </c>
      <c r="S55" s="905" t="str">
        <f t="shared" si="15"/>
        <v>(2,4,1,3,1,5); Brailovsky et al. (2024)</v>
      </c>
      <c r="U55" s="452"/>
      <c r="V55" s="452"/>
      <c r="W55" s="452"/>
      <c r="X55" s="452"/>
      <c r="Y55" s="452"/>
      <c r="Z55" s="303"/>
      <c r="AA55" s="21">
        <v>3</v>
      </c>
      <c r="AB55" s="21">
        <v>4</v>
      </c>
      <c r="AC55" s="21">
        <v>1</v>
      </c>
      <c r="AD55" s="21">
        <v>3</v>
      </c>
      <c r="AE55" s="21">
        <v>1</v>
      </c>
      <c r="AF55" s="315">
        <v>5</v>
      </c>
      <c r="AG55" s="297">
        <v>5</v>
      </c>
      <c r="AH55" s="6">
        <v>2</v>
      </c>
      <c r="AI55" s="245">
        <f t="shared" si="8"/>
        <v>1.2555818742947564</v>
      </c>
      <c r="AJ55" s="245">
        <f t="shared" si="9"/>
        <v>2.0741629046031922</v>
      </c>
      <c r="AK55" s="246" t="str">
        <f t="shared" si="10"/>
        <v>(3,4,1,3,1,5)</v>
      </c>
      <c r="AL55" s="30">
        <v>1.1000000000000001</v>
      </c>
      <c r="AM55" s="30">
        <v>1.1000000000000001</v>
      </c>
      <c r="AN55" s="30">
        <v>1</v>
      </c>
      <c r="AO55" s="30">
        <v>1.02</v>
      </c>
      <c r="AP55" s="30">
        <v>1</v>
      </c>
      <c r="AQ55" s="30">
        <v>1.2</v>
      </c>
      <c r="AS55" s="303" t="s">
        <v>673</v>
      </c>
      <c r="AT55" s="21">
        <v>2</v>
      </c>
      <c r="AU55" s="21">
        <v>4</v>
      </c>
      <c r="AV55" s="21">
        <v>1</v>
      </c>
      <c r="AW55" s="21">
        <v>3</v>
      </c>
      <c r="AX55" s="21">
        <v>1</v>
      </c>
      <c r="AY55" s="21">
        <v>5</v>
      </c>
      <c r="AZ55" s="297">
        <v>5</v>
      </c>
      <c r="BA55" s="6">
        <v>2</v>
      </c>
      <c r="BB55" s="245">
        <f t="shared" si="11"/>
        <v>1.2365959919080913</v>
      </c>
      <c r="BC55" s="245">
        <f t="shared" si="12"/>
        <v>2.0646254680556719</v>
      </c>
      <c r="BD55" s="246" t="str">
        <f t="shared" si="13"/>
        <v>(2,4,1,3,1,5)</v>
      </c>
      <c r="BE55" s="30">
        <v>1.05</v>
      </c>
      <c r="BF55" s="30">
        <v>1.1000000000000001</v>
      </c>
      <c r="BG55" s="30">
        <v>1</v>
      </c>
      <c r="BH55" s="30">
        <v>1.02</v>
      </c>
      <c r="BI55" s="30">
        <v>1</v>
      </c>
      <c r="BJ55" s="30">
        <v>1.2</v>
      </c>
    </row>
    <row r="56" spans="1:62" ht="13.5" customHeight="1">
      <c r="A56" s="1489">
        <v>267287</v>
      </c>
      <c r="B56" s="1524" t="s">
        <v>718</v>
      </c>
      <c r="C56" s="1490"/>
      <c r="D56" s="1492">
        <v>5</v>
      </c>
      <c r="E56" s="1493" t="s">
        <v>98</v>
      </c>
      <c r="F56" s="1494" t="s">
        <v>690</v>
      </c>
      <c r="G56" s="1495" t="s">
        <v>154</v>
      </c>
      <c r="H56" s="1496" t="s">
        <v>98</v>
      </c>
      <c r="I56" s="1497" t="s">
        <v>98</v>
      </c>
      <c r="J56" s="1498">
        <v>0</v>
      </c>
      <c r="K56" s="1495" t="s">
        <v>104</v>
      </c>
      <c r="L56" s="1495">
        <v>0</v>
      </c>
      <c r="M56" s="1499">
        <v>1</v>
      </c>
      <c r="N56" s="1500">
        <v>1.2620910621938648</v>
      </c>
      <c r="O56" s="1501" t="s">
        <v>3196</v>
      </c>
      <c r="P56" s="1495">
        <v>2248835.6891218787</v>
      </c>
      <c r="Q56" s="873">
        <v>1</v>
      </c>
      <c r="R56" s="874">
        <f t="shared" si="14"/>
        <v>1.2434566510799234</v>
      </c>
      <c r="S56" s="875" t="str">
        <f t="shared" si="15"/>
        <v>(2,4,1,3,1,5); Brailovsky et al. (2024): From machine operation, diesel,  &gt;= 74.57 kW, energy density 45.5MJ/kg</v>
      </c>
      <c r="U56" s="452"/>
      <c r="V56" s="452"/>
      <c r="W56" s="452"/>
      <c r="X56" s="452"/>
      <c r="Y56" s="452"/>
      <c r="Z56" s="303"/>
      <c r="AA56" s="21">
        <v>3</v>
      </c>
      <c r="AB56" s="21">
        <v>4</v>
      </c>
      <c r="AC56" s="21">
        <v>1</v>
      </c>
      <c r="AD56" s="21">
        <v>3</v>
      </c>
      <c r="AE56" s="21">
        <v>1</v>
      </c>
      <c r="AF56" s="315">
        <v>5</v>
      </c>
      <c r="AG56" s="297">
        <v>1</v>
      </c>
      <c r="AH56" s="6">
        <v>1.05</v>
      </c>
      <c r="AI56" s="245">
        <f t="shared" si="8"/>
        <v>1.2555818742947564</v>
      </c>
      <c r="AJ56" s="245">
        <f t="shared" si="9"/>
        <v>1.2620910621938648</v>
      </c>
      <c r="AK56" s="246" t="str">
        <f t="shared" si="10"/>
        <v>(3,4,1,3,1,5)</v>
      </c>
      <c r="AL56" s="30">
        <v>1.1000000000000001</v>
      </c>
      <c r="AM56" s="30">
        <v>1.1000000000000001</v>
      </c>
      <c r="AN56" s="30">
        <v>1</v>
      </c>
      <c r="AO56" s="30">
        <v>1.02</v>
      </c>
      <c r="AP56" s="30">
        <v>1</v>
      </c>
      <c r="AQ56" s="30">
        <v>1.2</v>
      </c>
      <c r="AS56" s="303" t="s">
        <v>693</v>
      </c>
      <c r="AT56" s="21">
        <v>2</v>
      </c>
      <c r="AU56" s="21">
        <v>4</v>
      </c>
      <c r="AV56" s="21">
        <v>1</v>
      </c>
      <c r="AW56" s="21">
        <v>3</v>
      </c>
      <c r="AX56" s="21">
        <v>1</v>
      </c>
      <c r="AY56" s="21">
        <v>5</v>
      </c>
      <c r="AZ56" s="297">
        <v>1</v>
      </c>
      <c r="BA56" s="6">
        <v>1.05</v>
      </c>
      <c r="BB56" s="245">
        <f t="shared" si="11"/>
        <v>1.2365959919080913</v>
      </c>
      <c r="BC56" s="245">
        <f t="shared" si="12"/>
        <v>1.2434566510799234</v>
      </c>
      <c r="BD56" s="246" t="str">
        <f t="shared" si="13"/>
        <v>(2,4,1,3,1,5)</v>
      </c>
      <c r="BE56" s="30">
        <v>1.05</v>
      </c>
      <c r="BF56" s="30">
        <v>1.1000000000000001</v>
      </c>
      <c r="BG56" s="30">
        <v>1</v>
      </c>
      <c r="BH56" s="30">
        <v>1.02</v>
      </c>
      <c r="BI56" s="30">
        <v>1</v>
      </c>
      <c r="BJ56" s="30">
        <v>1.2</v>
      </c>
    </row>
    <row r="57" spans="1:62">
      <c r="A57" s="1489">
        <v>160371</v>
      </c>
      <c r="B57" s="1524"/>
      <c r="C57" s="1490"/>
      <c r="D57" s="1548">
        <v>5</v>
      </c>
      <c r="E57" s="1549" t="s">
        <v>98</v>
      </c>
      <c r="F57" s="1541" t="s">
        <v>242</v>
      </c>
      <c r="G57" s="1542" t="s">
        <v>93</v>
      </c>
      <c r="H57" s="1550" t="s">
        <v>98</v>
      </c>
      <c r="I57" s="1543" t="s">
        <v>98</v>
      </c>
      <c r="J57" s="1544">
        <v>0</v>
      </c>
      <c r="K57" s="1542" t="s">
        <v>115</v>
      </c>
      <c r="L57" s="1542">
        <v>0</v>
      </c>
      <c r="M57" s="1545">
        <v>1</v>
      </c>
      <c r="N57" s="1546">
        <v>2.0741629046031922</v>
      </c>
      <c r="O57" s="1547" t="s">
        <v>3196</v>
      </c>
      <c r="P57" s="1542">
        <v>12345.1</v>
      </c>
      <c r="Q57" s="903">
        <v>1</v>
      </c>
      <c r="R57" s="904">
        <f t="shared" si="14"/>
        <v>2.0646254680556719</v>
      </c>
      <c r="S57" s="905" t="str">
        <f t="shared" si="15"/>
        <v>(2,4,1,3,1,5); Brailovsky et al. (2024)</v>
      </c>
      <c r="U57" s="452"/>
      <c r="V57" s="452"/>
      <c r="W57" s="452"/>
      <c r="X57" s="452"/>
      <c r="Y57" s="452"/>
      <c r="Z57" s="303"/>
      <c r="AA57" s="21">
        <v>3</v>
      </c>
      <c r="AB57" s="21">
        <v>4</v>
      </c>
      <c r="AC57" s="21">
        <v>1</v>
      </c>
      <c r="AD57" s="21">
        <v>3</v>
      </c>
      <c r="AE57" s="21">
        <v>1</v>
      </c>
      <c r="AF57" s="315">
        <v>5</v>
      </c>
      <c r="AG57" s="297">
        <v>5</v>
      </c>
      <c r="AH57" s="6">
        <v>2</v>
      </c>
      <c r="AI57" s="245">
        <f t="shared" si="8"/>
        <v>1.2555818742947564</v>
      </c>
      <c r="AJ57" s="245">
        <f t="shared" si="9"/>
        <v>2.0741629046031922</v>
      </c>
      <c r="AK57" s="246" t="str">
        <f t="shared" si="10"/>
        <v>(3,4,1,3,1,5)</v>
      </c>
      <c r="AL57" s="30">
        <v>1.1000000000000001</v>
      </c>
      <c r="AM57" s="30">
        <v>1.1000000000000001</v>
      </c>
      <c r="AN57" s="30">
        <v>1</v>
      </c>
      <c r="AO57" s="30">
        <v>1.02</v>
      </c>
      <c r="AP57" s="30">
        <v>1</v>
      </c>
      <c r="AQ57" s="30">
        <v>1.2</v>
      </c>
      <c r="AS57" s="303" t="s">
        <v>673</v>
      </c>
      <c r="AT57" s="21">
        <v>2</v>
      </c>
      <c r="AU57" s="21">
        <v>4</v>
      </c>
      <c r="AV57" s="21">
        <v>1</v>
      </c>
      <c r="AW57" s="21">
        <v>3</v>
      </c>
      <c r="AX57" s="21">
        <v>1</v>
      </c>
      <c r="AY57" s="21">
        <v>5</v>
      </c>
      <c r="AZ57" s="297">
        <v>5</v>
      </c>
      <c r="BA57" s="6">
        <v>2</v>
      </c>
      <c r="BB57" s="245">
        <f t="shared" si="11"/>
        <v>1.2365959919080913</v>
      </c>
      <c r="BC57" s="245">
        <f t="shared" si="12"/>
        <v>2.0646254680556719</v>
      </c>
      <c r="BD57" s="246" t="str">
        <f t="shared" si="13"/>
        <v>(2,4,1,3,1,5)</v>
      </c>
      <c r="BE57" s="30">
        <v>1.05</v>
      </c>
      <c r="BF57" s="30">
        <v>1.1000000000000001</v>
      </c>
      <c r="BG57" s="30">
        <v>1</v>
      </c>
      <c r="BH57" s="30">
        <v>1.02</v>
      </c>
      <c r="BI57" s="30">
        <v>1</v>
      </c>
      <c r="BJ57" s="30">
        <v>1.2</v>
      </c>
    </row>
    <row r="58" spans="1:62">
      <c r="A58" s="1489">
        <v>269609</v>
      </c>
      <c r="B58" s="1524"/>
      <c r="C58" s="1490"/>
      <c r="D58" s="1492">
        <v>5</v>
      </c>
      <c r="E58" s="1493" t="s">
        <v>98</v>
      </c>
      <c r="F58" s="1494" t="s">
        <v>720</v>
      </c>
      <c r="G58" s="1495" t="s">
        <v>93</v>
      </c>
      <c r="H58" s="1496" t="s">
        <v>98</v>
      </c>
      <c r="I58" s="1497" t="s">
        <v>98</v>
      </c>
      <c r="J58" s="1498">
        <v>0</v>
      </c>
      <c r="K58" s="1495" t="s">
        <v>115</v>
      </c>
      <c r="L58" s="1495">
        <v>0</v>
      </c>
      <c r="M58" s="1499">
        <v>1</v>
      </c>
      <c r="N58" s="1500">
        <v>2.0741629046031922</v>
      </c>
      <c r="O58" s="1501" t="s">
        <v>3196</v>
      </c>
      <c r="P58" s="1495">
        <v>4366</v>
      </c>
      <c r="Q58" s="873">
        <v>1</v>
      </c>
      <c r="R58" s="874">
        <f t="shared" si="14"/>
        <v>2.0646254680556719</v>
      </c>
      <c r="S58" s="875" t="str">
        <f t="shared" si="15"/>
        <v>(2,4,1,3,1,5); Brailovsky et al. (2024)</v>
      </c>
      <c r="U58" s="452"/>
      <c r="V58" s="452"/>
      <c r="W58" s="452"/>
      <c r="X58" s="452"/>
      <c r="Y58" s="452"/>
      <c r="Z58" s="303"/>
      <c r="AA58" s="21">
        <v>3</v>
      </c>
      <c r="AB58" s="21">
        <v>4</v>
      </c>
      <c r="AC58" s="21">
        <v>1</v>
      </c>
      <c r="AD58" s="21">
        <v>3</v>
      </c>
      <c r="AE58" s="21">
        <v>1</v>
      </c>
      <c r="AF58" s="315">
        <v>5</v>
      </c>
      <c r="AG58" s="297">
        <v>5</v>
      </c>
      <c r="AH58" s="6">
        <v>2</v>
      </c>
      <c r="AI58" s="245">
        <f t="shared" si="8"/>
        <v>1.2555818742947564</v>
      </c>
      <c r="AJ58" s="245">
        <f t="shared" si="9"/>
        <v>2.0741629046031922</v>
      </c>
      <c r="AK58" s="246" t="str">
        <f t="shared" si="10"/>
        <v>(3,4,1,3,1,5)</v>
      </c>
      <c r="AL58" s="30">
        <v>1.1000000000000001</v>
      </c>
      <c r="AM58" s="30">
        <v>1.1000000000000001</v>
      </c>
      <c r="AN58" s="30">
        <v>1</v>
      </c>
      <c r="AO58" s="30">
        <v>1.02</v>
      </c>
      <c r="AP58" s="30">
        <v>1</v>
      </c>
      <c r="AQ58" s="30">
        <v>1.2</v>
      </c>
      <c r="AS58" s="303" t="s">
        <v>673</v>
      </c>
      <c r="AT58" s="21">
        <v>2</v>
      </c>
      <c r="AU58" s="21">
        <v>4</v>
      </c>
      <c r="AV58" s="21">
        <v>1</v>
      </c>
      <c r="AW58" s="21">
        <v>3</v>
      </c>
      <c r="AX58" s="21">
        <v>1</v>
      </c>
      <c r="AY58" s="21">
        <v>5</v>
      </c>
      <c r="AZ58" s="297">
        <v>5</v>
      </c>
      <c r="BA58" s="6">
        <v>2</v>
      </c>
      <c r="BB58" s="245">
        <f t="shared" si="11"/>
        <v>1.2365959919080913</v>
      </c>
      <c r="BC58" s="245">
        <f t="shared" si="12"/>
        <v>2.0646254680556719</v>
      </c>
      <c r="BD58" s="246" t="str">
        <f t="shared" si="13"/>
        <v>(2,4,1,3,1,5)</v>
      </c>
      <c r="BE58" s="30">
        <v>1.05</v>
      </c>
      <c r="BF58" s="30">
        <v>1.1000000000000001</v>
      </c>
      <c r="BG58" s="30">
        <v>1</v>
      </c>
      <c r="BH58" s="30">
        <v>1.02</v>
      </c>
      <c r="BI58" s="30">
        <v>1</v>
      </c>
      <c r="BJ58" s="30">
        <v>1.2</v>
      </c>
    </row>
    <row r="59" spans="1:62">
      <c r="A59" s="1489">
        <v>269641</v>
      </c>
      <c r="B59" s="1524"/>
      <c r="C59" s="1490"/>
      <c r="D59" s="1548">
        <v>5</v>
      </c>
      <c r="E59" s="1549" t="s">
        <v>98</v>
      </c>
      <c r="F59" s="1541" t="s">
        <v>240</v>
      </c>
      <c r="G59" s="1542" t="s">
        <v>93</v>
      </c>
      <c r="H59" s="1550" t="s">
        <v>98</v>
      </c>
      <c r="I59" s="1543" t="s">
        <v>98</v>
      </c>
      <c r="J59" s="1544">
        <v>0</v>
      </c>
      <c r="K59" s="1542" t="s">
        <v>115</v>
      </c>
      <c r="L59" s="1542">
        <v>0</v>
      </c>
      <c r="M59" s="1545">
        <v>1</v>
      </c>
      <c r="N59" s="1546">
        <v>2.0741629046031922</v>
      </c>
      <c r="O59" s="1547" t="s">
        <v>3196</v>
      </c>
      <c r="P59" s="1542">
        <v>1036085.1</v>
      </c>
      <c r="Q59" s="903">
        <v>1</v>
      </c>
      <c r="R59" s="904">
        <f t="shared" si="14"/>
        <v>2.0646254680556719</v>
      </c>
      <c r="S59" s="905" t="str">
        <f t="shared" si="15"/>
        <v>(2,4,1,3,1,5); Brailovsky et al. (2024) RER iso RoW</v>
      </c>
      <c r="U59" s="452"/>
      <c r="V59" s="452"/>
      <c r="W59" s="452"/>
      <c r="X59" s="452"/>
      <c r="Y59" s="452"/>
      <c r="Z59" s="303"/>
      <c r="AA59" s="21">
        <v>3</v>
      </c>
      <c r="AB59" s="21">
        <v>4</v>
      </c>
      <c r="AC59" s="21">
        <v>1</v>
      </c>
      <c r="AD59" s="21">
        <v>3</v>
      </c>
      <c r="AE59" s="21">
        <v>1</v>
      </c>
      <c r="AF59" s="315">
        <v>5</v>
      </c>
      <c r="AG59" s="297">
        <v>5</v>
      </c>
      <c r="AH59" s="6">
        <v>2</v>
      </c>
      <c r="AI59" s="245">
        <f t="shared" si="8"/>
        <v>1.2555818742947564</v>
      </c>
      <c r="AJ59" s="245">
        <f t="shared" si="9"/>
        <v>2.0741629046031922</v>
      </c>
      <c r="AK59" s="246" t="str">
        <f t="shared" si="10"/>
        <v>(3,4,1,3,1,5)</v>
      </c>
      <c r="AL59" s="30">
        <v>1.1000000000000001</v>
      </c>
      <c r="AM59" s="30">
        <v>1.1000000000000001</v>
      </c>
      <c r="AN59" s="30">
        <v>1</v>
      </c>
      <c r="AO59" s="30">
        <v>1.02</v>
      </c>
      <c r="AP59" s="30">
        <v>1</v>
      </c>
      <c r="AQ59" s="30">
        <v>1.2</v>
      </c>
      <c r="AS59" s="303" t="s">
        <v>719</v>
      </c>
      <c r="AT59" s="21">
        <v>2</v>
      </c>
      <c r="AU59" s="21">
        <v>4</v>
      </c>
      <c r="AV59" s="21">
        <v>1</v>
      </c>
      <c r="AW59" s="21">
        <v>3</v>
      </c>
      <c r="AX59" s="21">
        <v>1</v>
      </c>
      <c r="AY59" s="21">
        <v>5</v>
      </c>
      <c r="AZ59" s="297">
        <v>5</v>
      </c>
      <c r="BA59" s="6">
        <v>2</v>
      </c>
      <c r="BB59" s="245">
        <f t="shared" si="11"/>
        <v>1.2365959919080913</v>
      </c>
      <c r="BC59" s="245">
        <f t="shared" si="12"/>
        <v>2.0646254680556719</v>
      </c>
      <c r="BD59" s="246" t="str">
        <f t="shared" si="13"/>
        <v>(2,4,1,3,1,5)</v>
      </c>
      <c r="BE59" s="30">
        <v>1.05</v>
      </c>
      <c r="BF59" s="30">
        <v>1.1000000000000001</v>
      </c>
      <c r="BG59" s="30">
        <v>1</v>
      </c>
      <c r="BH59" s="30">
        <v>1.02</v>
      </c>
      <c r="BI59" s="30">
        <v>1</v>
      </c>
      <c r="BJ59" s="30">
        <v>1.2</v>
      </c>
    </row>
    <row r="60" spans="1:62">
      <c r="A60" s="1489">
        <v>79235</v>
      </c>
      <c r="B60" s="1524" t="s">
        <v>721</v>
      </c>
      <c r="C60" s="1490"/>
      <c r="D60" s="1492">
        <v>5</v>
      </c>
      <c r="E60" s="1493" t="s">
        <v>98</v>
      </c>
      <c r="F60" s="1494" t="s">
        <v>688</v>
      </c>
      <c r="G60" s="1495" t="s">
        <v>340</v>
      </c>
      <c r="H60" s="1496" t="s">
        <v>98</v>
      </c>
      <c r="I60" s="1497" t="s">
        <v>98</v>
      </c>
      <c r="J60" s="1498">
        <v>0</v>
      </c>
      <c r="K60" s="1495" t="s">
        <v>109</v>
      </c>
      <c r="L60" s="1495">
        <v>0</v>
      </c>
      <c r="M60" s="1499">
        <v>1</v>
      </c>
      <c r="N60" s="1500">
        <v>1.2620910621938648</v>
      </c>
      <c r="O60" s="1501" t="s">
        <v>3196</v>
      </c>
      <c r="P60" s="1495">
        <v>6142.7000000000007</v>
      </c>
      <c r="Q60" s="873">
        <v>1</v>
      </c>
      <c r="R60" s="874">
        <f t="shared" si="14"/>
        <v>1.2434566510799234</v>
      </c>
      <c r="S60" s="875" t="str">
        <f t="shared" si="15"/>
        <v>(2,4,1,3,1,5); Brailovsky et al. (2024)</v>
      </c>
      <c r="U60" s="452"/>
      <c r="V60" s="452"/>
      <c r="W60" s="452"/>
      <c r="X60" s="452"/>
      <c r="Y60" s="452"/>
      <c r="Z60" s="303"/>
      <c r="AA60" s="21">
        <v>3</v>
      </c>
      <c r="AB60" s="21">
        <v>4</v>
      </c>
      <c r="AC60" s="21">
        <v>1</v>
      </c>
      <c r="AD60" s="21">
        <v>3</v>
      </c>
      <c r="AE60" s="21">
        <v>1</v>
      </c>
      <c r="AF60" s="315">
        <v>5</v>
      </c>
      <c r="AG60" s="297">
        <v>3</v>
      </c>
      <c r="AH60" s="6">
        <v>1.05</v>
      </c>
      <c r="AI60" s="245">
        <f t="shared" si="8"/>
        <v>1.2555818742947564</v>
      </c>
      <c r="AJ60" s="245">
        <f t="shared" si="9"/>
        <v>1.2620910621938648</v>
      </c>
      <c r="AK60" s="246" t="str">
        <f t="shared" si="10"/>
        <v>(3,4,1,3,1,5)</v>
      </c>
      <c r="AL60" s="30">
        <v>1.1000000000000001</v>
      </c>
      <c r="AM60" s="30">
        <v>1.1000000000000001</v>
      </c>
      <c r="AN60" s="30">
        <v>1</v>
      </c>
      <c r="AO60" s="30">
        <v>1.02</v>
      </c>
      <c r="AP60" s="30">
        <v>1</v>
      </c>
      <c r="AQ60" s="30">
        <v>1.2</v>
      </c>
      <c r="AS60" s="303" t="s">
        <v>673</v>
      </c>
      <c r="AT60" s="21">
        <v>2</v>
      </c>
      <c r="AU60" s="21">
        <v>4</v>
      </c>
      <c r="AV60" s="21">
        <v>1</v>
      </c>
      <c r="AW60" s="21">
        <v>3</v>
      </c>
      <c r="AX60" s="21">
        <v>1</v>
      </c>
      <c r="AY60" s="21">
        <v>5</v>
      </c>
      <c r="AZ60" s="297">
        <v>3</v>
      </c>
      <c r="BA60" s="6">
        <v>1.05</v>
      </c>
      <c r="BB60" s="245">
        <f t="shared" si="11"/>
        <v>1.2365959919080913</v>
      </c>
      <c r="BC60" s="245">
        <f t="shared" si="12"/>
        <v>1.2434566510799234</v>
      </c>
      <c r="BD60" s="246" t="str">
        <f t="shared" si="13"/>
        <v>(2,4,1,3,1,5)</v>
      </c>
      <c r="BE60" s="30">
        <v>1.05</v>
      </c>
      <c r="BF60" s="30">
        <v>1.1000000000000001</v>
      </c>
      <c r="BG60" s="30">
        <v>1</v>
      </c>
      <c r="BH60" s="30">
        <v>1.02</v>
      </c>
      <c r="BI60" s="30">
        <v>1</v>
      </c>
      <c r="BJ60" s="30">
        <v>1.2</v>
      </c>
    </row>
    <row r="61" spans="1:62">
      <c r="A61" s="1489">
        <v>263631</v>
      </c>
      <c r="B61" s="1524"/>
      <c r="C61" s="1490"/>
      <c r="D61" s="1548">
        <v>5</v>
      </c>
      <c r="E61" s="1549" t="s">
        <v>98</v>
      </c>
      <c r="F61" s="1541" t="s">
        <v>722</v>
      </c>
      <c r="G61" s="1542" t="s">
        <v>103</v>
      </c>
      <c r="H61" s="1550" t="s">
        <v>98</v>
      </c>
      <c r="I61" s="1543" t="s">
        <v>98</v>
      </c>
      <c r="J61" s="1544">
        <v>0</v>
      </c>
      <c r="K61" s="1542" t="s">
        <v>96</v>
      </c>
      <c r="L61" s="1542">
        <v>0</v>
      </c>
      <c r="M61" s="1545">
        <v>1</v>
      </c>
      <c r="N61" s="1546">
        <v>1.2620910621938648</v>
      </c>
      <c r="O61" s="1547" t="s">
        <v>3196</v>
      </c>
      <c r="P61" s="1542">
        <v>2076615.6</v>
      </c>
      <c r="Q61" s="903">
        <v>1</v>
      </c>
      <c r="R61" s="904">
        <f t="shared" si="14"/>
        <v>1.2434566510799234</v>
      </c>
      <c r="S61" s="905" t="str">
        <f t="shared" si="15"/>
        <v>(2,4,1,3,1,5); Brailovsky et al. (2024)</v>
      </c>
      <c r="U61" s="452"/>
      <c r="V61" s="452"/>
      <c r="W61" s="452"/>
      <c r="X61" s="452"/>
      <c r="Y61" s="452"/>
      <c r="Z61" s="303"/>
      <c r="AA61" s="21">
        <v>3</v>
      </c>
      <c r="AB61" s="21">
        <v>4</v>
      </c>
      <c r="AC61" s="21">
        <v>1</v>
      </c>
      <c r="AD61" s="21">
        <v>3</v>
      </c>
      <c r="AE61" s="21">
        <v>1</v>
      </c>
      <c r="AF61" s="315">
        <v>5</v>
      </c>
      <c r="AG61" s="297">
        <v>3</v>
      </c>
      <c r="AH61" s="6">
        <v>1.05</v>
      </c>
      <c r="AI61" s="245">
        <f t="shared" si="8"/>
        <v>1.2555818742947564</v>
      </c>
      <c r="AJ61" s="245">
        <f t="shared" si="9"/>
        <v>1.2620910621938648</v>
      </c>
      <c r="AK61" s="246" t="str">
        <f t="shared" si="10"/>
        <v>(3,4,1,3,1,5)</v>
      </c>
      <c r="AL61" s="30">
        <v>1.1000000000000001</v>
      </c>
      <c r="AM61" s="30">
        <v>1.1000000000000001</v>
      </c>
      <c r="AN61" s="30">
        <v>1</v>
      </c>
      <c r="AO61" s="30">
        <v>1.02</v>
      </c>
      <c r="AP61" s="30">
        <v>1</v>
      </c>
      <c r="AQ61" s="30">
        <v>1.2</v>
      </c>
      <c r="AS61" s="303" t="s">
        <v>673</v>
      </c>
      <c r="AT61" s="21">
        <v>2</v>
      </c>
      <c r="AU61" s="21">
        <v>4</v>
      </c>
      <c r="AV61" s="21">
        <v>1</v>
      </c>
      <c r="AW61" s="21">
        <v>3</v>
      </c>
      <c r="AX61" s="21">
        <v>1</v>
      </c>
      <c r="AY61" s="21">
        <v>5</v>
      </c>
      <c r="AZ61" s="297">
        <v>3</v>
      </c>
      <c r="BA61" s="6">
        <v>1.05</v>
      </c>
      <c r="BB61" s="245">
        <f t="shared" si="11"/>
        <v>1.2365959919080913</v>
      </c>
      <c r="BC61" s="245">
        <f t="shared" si="12"/>
        <v>1.2434566510799234</v>
      </c>
      <c r="BD61" s="246" t="str">
        <f t="shared" si="13"/>
        <v>(2,4,1,3,1,5)</v>
      </c>
      <c r="BE61" s="30">
        <v>1.05</v>
      </c>
      <c r="BF61" s="30">
        <v>1.1000000000000001</v>
      </c>
      <c r="BG61" s="30">
        <v>1</v>
      </c>
      <c r="BH61" s="30">
        <v>1.02</v>
      </c>
      <c r="BI61" s="30">
        <v>1</v>
      </c>
      <c r="BJ61" s="30">
        <v>1.2</v>
      </c>
    </row>
    <row r="62" spans="1:62">
      <c r="A62" s="1489">
        <v>268132</v>
      </c>
      <c r="B62" s="1524" t="s">
        <v>723</v>
      </c>
      <c r="C62" s="1490"/>
      <c r="D62" s="1492">
        <v>5</v>
      </c>
      <c r="E62" s="1493" t="s">
        <v>98</v>
      </c>
      <c r="F62" s="1494" t="s">
        <v>724</v>
      </c>
      <c r="G62" s="1495" t="s">
        <v>103</v>
      </c>
      <c r="H62" s="1496" t="s">
        <v>98</v>
      </c>
      <c r="I62" s="1497" t="s">
        <v>98</v>
      </c>
      <c r="J62" s="1498">
        <v>1</v>
      </c>
      <c r="K62" s="1495" t="s">
        <v>725</v>
      </c>
      <c r="L62" s="1495">
        <v>0</v>
      </c>
      <c r="M62" s="1499">
        <v>1</v>
      </c>
      <c r="N62" s="1500">
        <v>3.0708070945678916</v>
      </c>
      <c r="O62" s="1501" t="s">
        <v>3196</v>
      </c>
      <c r="P62" s="1495">
        <v>48793.80000000001</v>
      </c>
      <c r="Q62" s="873">
        <v>1</v>
      </c>
      <c r="R62" s="874">
        <f t="shared" si="14"/>
        <v>3.0616345979734279</v>
      </c>
      <c r="S62" s="875" t="str">
        <f t="shared" si="15"/>
        <v>(2,4,1,3,1,5); Brailovsky et al. (2024)</v>
      </c>
      <c r="U62" s="452"/>
      <c r="V62" s="452"/>
      <c r="W62" s="452"/>
      <c r="X62" s="452"/>
      <c r="Y62" s="452"/>
      <c r="Z62" s="303"/>
      <c r="AA62" s="21">
        <v>3</v>
      </c>
      <c r="AB62" s="21">
        <v>4</v>
      </c>
      <c r="AC62" s="21">
        <v>1</v>
      </c>
      <c r="AD62" s="21">
        <v>3</v>
      </c>
      <c r="AE62" s="21">
        <v>1</v>
      </c>
      <c r="AF62" s="315">
        <v>5</v>
      </c>
      <c r="AG62" s="297">
        <v>9</v>
      </c>
      <c r="AH62" s="6">
        <v>3</v>
      </c>
      <c r="AI62" s="245">
        <f t="shared" si="8"/>
        <v>1.2555818742947564</v>
      </c>
      <c r="AJ62" s="245">
        <f t="shared" si="9"/>
        <v>3.0708070945678916</v>
      </c>
      <c r="AK62" s="246" t="str">
        <f t="shared" si="10"/>
        <v>(3,4,1,3,1,5)</v>
      </c>
      <c r="AL62" s="30">
        <v>1.1000000000000001</v>
      </c>
      <c r="AM62" s="30">
        <v>1.1000000000000001</v>
      </c>
      <c r="AN62" s="30">
        <v>1</v>
      </c>
      <c r="AO62" s="30">
        <v>1.02</v>
      </c>
      <c r="AP62" s="30">
        <v>1</v>
      </c>
      <c r="AQ62" s="30">
        <v>1.2</v>
      </c>
      <c r="AS62" s="303" t="s">
        <v>673</v>
      </c>
      <c r="AT62" s="21">
        <v>2</v>
      </c>
      <c r="AU62" s="21">
        <v>4</v>
      </c>
      <c r="AV62" s="21">
        <v>1</v>
      </c>
      <c r="AW62" s="21">
        <v>3</v>
      </c>
      <c r="AX62" s="21">
        <v>1</v>
      </c>
      <c r="AY62" s="21">
        <v>5</v>
      </c>
      <c r="AZ62" s="297">
        <v>9</v>
      </c>
      <c r="BA62" s="6">
        <v>3</v>
      </c>
      <c r="BB62" s="245">
        <f t="shared" si="11"/>
        <v>1.2365959919080913</v>
      </c>
      <c r="BC62" s="245">
        <f t="shared" si="12"/>
        <v>3.0616345979734279</v>
      </c>
      <c r="BD62" s="246" t="str">
        <f t="shared" si="13"/>
        <v>(2,4,1,3,1,5)</v>
      </c>
      <c r="BE62" s="30">
        <v>1.05</v>
      </c>
      <c r="BF62" s="30">
        <v>1.1000000000000001</v>
      </c>
      <c r="BG62" s="30">
        <v>1</v>
      </c>
      <c r="BH62" s="30">
        <v>1.02</v>
      </c>
      <c r="BI62" s="30">
        <v>1</v>
      </c>
      <c r="BJ62" s="30">
        <v>1.2</v>
      </c>
    </row>
    <row r="63" spans="1:62">
      <c r="A63" s="1489">
        <v>79235</v>
      </c>
      <c r="B63" s="1524" t="s">
        <v>726</v>
      </c>
      <c r="C63" s="1490"/>
      <c r="D63" s="1548">
        <v>5</v>
      </c>
      <c r="E63" s="1549" t="s">
        <v>98</v>
      </c>
      <c r="F63" s="1541" t="s">
        <v>688</v>
      </c>
      <c r="G63" s="1542" t="s">
        <v>340</v>
      </c>
      <c r="H63" s="1550" t="s">
        <v>98</v>
      </c>
      <c r="I63" s="1543" t="s">
        <v>98</v>
      </c>
      <c r="J63" s="1544">
        <v>0</v>
      </c>
      <c r="K63" s="1542" t="s">
        <v>109</v>
      </c>
      <c r="L63" s="1542">
        <v>0</v>
      </c>
      <c r="M63" s="1545">
        <v>1</v>
      </c>
      <c r="N63" s="1546">
        <v>1.2620910621938648</v>
      </c>
      <c r="O63" s="1547" t="s">
        <v>3196</v>
      </c>
      <c r="P63" s="1542">
        <v>6214.2</v>
      </c>
      <c r="Q63" s="903">
        <v>1</v>
      </c>
      <c r="R63" s="904">
        <f t="shared" si="14"/>
        <v>1.2434566510799234</v>
      </c>
      <c r="S63" s="905" t="str">
        <f t="shared" si="15"/>
        <v>(2,4,1,3,1,5); Brailovsky et al. (2024) DE iso RER</v>
      </c>
      <c r="U63" s="452"/>
      <c r="V63" s="452"/>
      <c r="W63" s="452"/>
      <c r="X63" s="452"/>
      <c r="Y63" s="452"/>
      <c r="Z63" s="303"/>
      <c r="AA63" s="21">
        <v>3</v>
      </c>
      <c r="AB63" s="21">
        <v>4</v>
      </c>
      <c r="AC63" s="21">
        <v>1</v>
      </c>
      <c r="AD63" s="21">
        <v>3</v>
      </c>
      <c r="AE63" s="21">
        <v>1</v>
      </c>
      <c r="AF63" s="315">
        <v>5</v>
      </c>
      <c r="AG63" s="297">
        <v>3</v>
      </c>
      <c r="AH63" s="6">
        <v>1.05</v>
      </c>
      <c r="AI63" s="245">
        <f t="shared" si="8"/>
        <v>1.2555818742947564</v>
      </c>
      <c r="AJ63" s="245">
        <f t="shared" si="9"/>
        <v>1.2620910621938648</v>
      </c>
      <c r="AK63" s="246" t="str">
        <f t="shared" si="10"/>
        <v>(3,4,1,3,1,5)</v>
      </c>
      <c r="AL63" s="30">
        <v>1.1000000000000001</v>
      </c>
      <c r="AM63" s="30">
        <v>1.1000000000000001</v>
      </c>
      <c r="AN63" s="30">
        <v>1</v>
      </c>
      <c r="AO63" s="30">
        <v>1.02</v>
      </c>
      <c r="AP63" s="30">
        <v>1</v>
      </c>
      <c r="AQ63" s="30">
        <v>1.2</v>
      </c>
      <c r="AS63" s="303" t="s">
        <v>727</v>
      </c>
      <c r="AT63" s="21">
        <v>2</v>
      </c>
      <c r="AU63" s="21">
        <v>4</v>
      </c>
      <c r="AV63" s="21">
        <v>1</v>
      </c>
      <c r="AW63" s="21">
        <v>3</v>
      </c>
      <c r="AX63" s="21">
        <v>1</v>
      </c>
      <c r="AY63" s="21">
        <v>5</v>
      </c>
      <c r="AZ63" s="297">
        <v>3</v>
      </c>
      <c r="BA63" s="6">
        <v>1.05</v>
      </c>
      <c r="BB63" s="245">
        <f t="shared" si="11"/>
        <v>1.2365959919080913</v>
      </c>
      <c r="BC63" s="245">
        <f t="shared" si="12"/>
        <v>1.2434566510799234</v>
      </c>
      <c r="BD63" s="246" t="str">
        <f t="shared" si="13"/>
        <v>(2,4,1,3,1,5)</v>
      </c>
      <c r="BE63" s="30">
        <v>1.05</v>
      </c>
      <c r="BF63" s="30">
        <v>1.1000000000000001</v>
      </c>
      <c r="BG63" s="30">
        <v>1</v>
      </c>
      <c r="BH63" s="30">
        <v>1.02</v>
      </c>
      <c r="BI63" s="30">
        <v>1</v>
      </c>
      <c r="BJ63" s="30">
        <v>1.2</v>
      </c>
    </row>
    <row r="64" spans="1:62">
      <c r="A64" s="1489">
        <v>254233</v>
      </c>
      <c r="B64" s="1524"/>
      <c r="C64" s="1490"/>
      <c r="D64" s="1492">
        <v>5</v>
      </c>
      <c r="E64" s="1493" t="s">
        <v>98</v>
      </c>
      <c r="F64" s="1494" t="s">
        <v>710</v>
      </c>
      <c r="G64" s="1495" t="s">
        <v>103</v>
      </c>
      <c r="H64" s="1496" t="s">
        <v>98</v>
      </c>
      <c r="I64" s="1497" t="s">
        <v>98</v>
      </c>
      <c r="J64" s="1498">
        <v>0</v>
      </c>
      <c r="K64" s="1495" t="s">
        <v>104</v>
      </c>
      <c r="L64" s="1495">
        <v>0</v>
      </c>
      <c r="M64" s="1499">
        <v>1</v>
      </c>
      <c r="N64" s="1500">
        <v>1.2620910621938648</v>
      </c>
      <c r="O64" s="1501" t="s">
        <v>3196</v>
      </c>
      <c r="P64" s="1495">
        <v>5592.8</v>
      </c>
      <c r="Q64" s="873">
        <v>1</v>
      </c>
      <c r="R64" s="874">
        <f t="shared" si="14"/>
        <v>1.2434566510799234</v>
      </c>
      <c r="S64" s="875" t="str">
        <f t="shared" si="15"/>
        <v>(2,4,1,3,1,5); Brailovsky et al. (2024)</v>
      </c>
      <c r="U64" s="452"/>
      <c r="V64" s="452"/>
      <c r="W64" s="452"/>
      <c r="X64" s="452"/>
      <c r="Y64" s="452"/>
      <c r="Z64" s="303"/>
      <c r="AA64" s="21">
        <v>3</v>
      </c>
      <c r="AB64" s="21">
        <v>4</v>
      </c>
      <c r="AC64" s="21">
        <v>1</v>
      </c>
      <c r="AD64" s="21">
        <v>3</v>
      </c>
      <c r="AE64" s="21">
        <v>1</v>
      </c>
      <c r="AF64" s="315">
        <v>5</v>
      </c>
      <c r="AG64" s="297">
        <v>1</v>
      </c>
      <c r="AH64" s="6">
        <v>1.05</v>
      </c>
      <c r="AI64" s="245">
        <f t="shared" si="8"/>
        <v>1.2555818742947564</v>
      </c>
      <c r="AJ64" s="245">
        <f t="shared" si="9"/>
        <v>1.2620910621938648</v>
      </c>
      <c r="AK64" s="246" t="str">
        <f t="shared" si="10"/>
        <v>(3,4,1,3,1,5)</v>
      </c>
      <c r="AL64" s="30">
        <v>1.1000000000000001</v>
      </c>
      <c r="AM64" s="30">
        <v>1.1000000000000001</v>
      </c>
      <c r="AN64" s="30">
        <v>1</v>
      </c>
      <c r="AO64" s="30">
        <v>1.02</v>
      </c>
      <c r="AP64" s="30">
        <v>1</v>
      </c>
      <c r="AQ64" s="30">
        <v>1.2</v>
      </c>
      <c r="AS64" s="303" t="s">
        <v>673</v>
      </c>
      <c r="AT64" s="21">
        <v>2</v>
      </c>
      <c r="AU64" s="21">
        <v>4</v>
      </c>
      <c r="AV64" s="21">
        <v>1</v>
      </c>
      <c r="AW64" s="21">
        <v>3</v>
      </c>
      <c r="AX64" s="21">
        <v>1</v>
      </c>
      <c r="AY64" s="21">
        <v>5</v>
      </c>
      <c r="AZ64" s="297">
        <v>1</v>
      </c>
      <c r="BA64" s="6">
        <v>1.05</v>
      </c>
      <c r="BB64" s="245">
        <f t="shared" si="11"/>
        <v>1.2365959919080913</v>
      </c>
      <c r="BC64" s="245">
        <f t="shared" si="12"/>
        <v>1.2434566510799234</v>
      </c>
      <c r="BD64" s="246" t="str">
        <f t="shared" si="13"/>
        <v>(2,4,1,3,1,5)</v>
      </c>
      <c r="BE64" s="30">
        <v>1.05</v>
      </c>
      <c r="BF64" s="30">
        <v>1.1000000000000001</v>
      </c>
      <c r="BG64" s="30">
        <v>1</v>
      </c>
      <c r="BH64" s="30">
        <v>1.02</v>
      </c>
      <c r="BI64" s="30">
        <v>1</v>
      </c>
      <c r="BJ64" s="30">
        <v>1.2</v>
      </c>
    </row>
    <row r="65" spans="1:62">
      <c r="A65" s="1489">
        <v>263015</v>
      </c>
      <c r="B65" s="1524"/>
      <c r="C65" s="1490"/>
      <c r="D65" s="1548">
        <v>5</v>
      </c>
      <c r="E65" s="1549" t="s">
        <v>98</v>
      </c>
      <c r="F65" s="1541" t="s">
        <v>677</v>
      </c>
      <c r="G65" s="1542" t="s">
        <v>103</v>
      </c>
      <c r="H65" s="1550" t="s">
        <v>98</v>
      </c>
      <c r="I65" s="1543" t="s">
        <v>98</v>
      </c>
      <c r="J65" s="1544">
        <v>0</v>
      </c>
      <c r="K65" s="1542" t="s">
        <v>96</v>
      </c>
      <c r="L65" s="1542">
        <v>0</v>
      </c>
      <c r="M65" s="1545">
        <v>1</v>
      </c>
      <c r="N65" s="1546">
        <v>1.2620910621938648</v>
      </c>
      <c r="O65" s="1547" t="s">
        <v>3196</v>
      </c>
      <c r="P65" s="1542">
        <v>297759.40000000002</v>
      </c>
      <c r="Q65" s="903">
        <v>1</v>
      </c>
      <c r="R65" s="904">
        <f t="shared" si="14"/>
        <v>1.2434566510799234</v>
      </c>
      <c r="S65" s="905" t="str">
        <f t="shared" si="15"/>
        <v>(2,4,1,3,1,5); Brailovsky et al. (2024)</v>
      </c>
      <c r="U65" s="452"/>
      <c r="V65" s="452"/>
      <c r="W65" s="452"/>
      <c r="X65" s="452"/>
      <c r="Y65" s="452"/>
      <c r="Z65" s="303"/>
      <c r="AA65" s="21">
        <v>3</v>
      </c>
      <c r="AB65" s="21">
        <v>4</v>
      </c>
      <c r="AC65" s="21">
        <v>1</v>
      </c>
      <c r="AD65" s="21">
        <v>3</v>
      </c>
      <c r="AE65" s="21">
        <v>1</v>
      </c>
      <c r="AF65" s="315">
        <v>5</v>
      </c>
      <c r="AG65" s="297">
        <v>3</v>
      </c>
      <c r="AH65" s="6">
        <v>1.05</v>
      </c>
      <c r="AI65" s="245">
        <f t="shared" si="8"/>
        <v>1.2555818742947564</v>
      </c>
      <c r="AJ65" s="245">
        <f t="shared" si="9"/>
        <v>1.2620910621938648</v>
      </c>
      <c r="AK65" s="246" t="str">
        <f t="shared" si="10"/>
        <v>(3,4,1,3,1,5)</v>
      </c>
      <c r="AL65" s="30">
        <v>1.1000000000000001</v>
      </c>
      <c r="AM65" s="30">
        <v>1.1000000000000001</v>
      </c>
      <c r="AN65" s="30">
        <v>1</v>
      </c>
      <c r="AO65" s="30">
        <v>1.02</v>
      </c>
      <c r="AP65" s="30">
        <v>1</v>
      </c>
      <c r="AQ65" s="30">
        <v>1.2</v>
      </c>
      <c r="AS65" s="303" t="s">
        <v>673</v>
      </c>
      <c r="AT65" s="21">
        <v>2</v>
      </c>
      <c r="AU65" s="21">
        <v>4</v>
      </c>
      <c r="AV65" s="21">
        <v>1</v>
      </c>
      <c r="AW65" s="21">
        <v>3</v>
      </c>
      <c r="AX65" s="21">
        <v>1</v>
      </c>
      <c r="AY65" s="21">
        <v>5</v>
      </c>
      <c r="AZ65" s="297">
        <v>3</v>
      </c>
      <c r="BA65" s="6">
        <v>1.05</v>
      </c>
      <c r="BB65" s="245">
        <f t="shared" si="11"/>
        <v>1.2365959919080913</v>
      </c>
      <c r="BC65" s="245">
        <f t="shared" si="12"/>
        <v>1.2434566510799234</v>
      </c>
      <c r="BD65" s="246" t="str">
        <f t="shared" si="13"/>
        <v>(2,4,1,3,1,5)</v>
      </c>
      <c r="BE65" s="30">
        <v>1.05</v>
      </c>
      <c r="BF65" s="30">
        <v>1.1000000000000001</v>
      </c>
      <c r="BG65" s="30">
        <v>1</v>
      </c>
      <c r="BH65" s="30">
        <v>1.02</v>
      </c>
      <c r="BI65" s="30">
        <v>1</v>
      </c>
      <c r="BJ65" s="30">
        <v>1.2</v>
      </c>
    </row>
    <row r="66" spans="1:62">
      <c r="A66" s="1489">
        <v>268459</v>
      </c>
      <c r="B66" s="1524"/>
      <c r="C66" s="1490"/>
      <c r="D66" s="1492">
        <v>5</v>
      </c>
      <c r="E66" s="1493" t="s">
        <v>98</v>
      </c>
      <c r="F66" s="1494" t="s">
        <v>678</v>
      </c>
      <c r="G66" s="1495" t="s">
        <v>93</v>
      </c>
      <c r="H66" s="1496" t="s">
        <v>98</v>
      </c>
      <c r="I66" s="1497" t="s">
        <v>98</v>
      </c>
      <c r="J66" s="1498">
        <v>0</v>
      </c>
      <c r="K66" s="1495" t="s">
        <v>679</v>
      </c>
      <c r="L66" s="1495">
        <v>0</v>
      </c>
      <c r="M66" s="1499">
        <v>1</v>
      </c>
      <c r="N66" s="1500">
        <v>1.2620910621938648</v>
      </c>
      <c r="O66" s="1501" t="s">
        <v>3196</v>
      </c>
      <c r="P66" s="1495">
        <v>186425.8</v>
      </c>
      <c r="Q66" s="873">
        <v>1</v>
      </c>
      <c r="R66" s="874">
        <f t="shared" si="14"/>
        <v>1.2434566510799234</v>
      </c>
      <c r="S66" s="875" t="str">
        <f t="shared" si="15"/>
        <v>(2,4,1,3,1,5); Brailovsky et al. (2024)</v>
      </c>
      <c r="U66" s="452"/>
      <c r="V66" s="452"/>
      <c r="W66" s="452"/>
      <c r="X66" s="452"/>
      <c r="Y66" s="452"/>
      <c r="Z66" s="303"/>
      <c r="AA66" s="21">
        <v>3</v>
      </c>
      <c r="AB66" s="21">
        <v>4</v>
      </c>
      <c r="AC66" s="21">
        <v>1</v>
      </c>
      <c r="AD66" s="21">
        <v>3</v>
      </c>
      <c r="AE66" s="21">
        <v>1</v>
      </c>
      <c r="AF66" s="315">
        <v>5</v>
      </c>
      <c r="AG66" s="297">
        <v>3</v>
      </c>
      <c r="AH66" s="6">
        <v>1.05</v>
      </c>
      <c r="AI66" s="245">
        <f t="shared" si="8"/>
        <v>1.2555818742947564</v>
      </c>
      <c r="AJ66" s="245">
        <f t="shared" si="9"/>
        <v>1.2620910621938648</v>
      </c>
      <c r="AK66" s="246" t="str">
        <f t="shared" si="10"/>
        <v>(3,4,1,3,1,5)</v>
      </c>
      <c r="AL66" s="30">
        <v>1.1000000000000001</v>
      </c>
      <c r="AM66" s="30">
        <v>1.1000000000000001</v>
      </c>
      <c r="AN66" s="30">
        <v>1</v>
      </c>
      <c r="AO66" s="30">
        <v>1.02</v>
      </c>
      <c r="AP66" s="30">
        <v>1</v>
      </c>
      <c r="AQ66" s="30">
        <v>1.2</v>
      </c>
      <c r="AS66" s="303" t="s">
        <v>673</v>
      </c>
      <c r="AT66" s="21">
        <v>2</v>
      </c>
      <c r="AU66" s="21">
        <v>4</v>
      </c>
      <c r="AV66" s="21">
        <v>1</v>
      </c>
      <c r="AW66" s="21">
        <v>3</v>
      </c>
      <c r="AX66" s="21">
        <v>1</v>
      </c>
      <c r="AY66" s="21">
        <v>5</v>
      </c>
      <c r="AZ66" s="297">
        <v>3</v>
      </c>
      <c r="BA66" s="6">
        <v>1.05</v>
      </c>
      <c r="BB66" s="245">
        <f t="shared" si="11"/>
        <v>1.2365959919080913</v>
      </c>
      <c r="BC66" s="245">
        <f t="shared" si="12"/>
        <v>1.2434566510799234</v>
      </c>
      <c r="BD66" s="246" t="str">
        <f t="shared" si="13"/>
        <v>(2,4,1,3,1,5)</v>
      </c>
      <c r="BE66" s="30">
        <v>1.05</v>
      </c>
      <c r="BF66" s="30">
        <v>1.1000000000000001</v>
      </c>
      <c r="BG66" s="30">
        <v>1</v>
      </c>
      <c r="BH66" s="30">
        <v>1.02</v>
      </c>
      <c r="BI66" s="30">
        <v>1</v>
      </c>
      <c r="BJ66" s="30">
        <v>1.2</v>
      </c>
    </row>
    <row r="67" spans="1:62">
      <c r="A67" s="1489">
        <v>269445</v>
      </c>
      <c r="B67" s="1524"/>
      <c r="C67" s="1490"/>
      <c r="D67" s="1548">
        <v>5</v>
      </c>
      <c r="E67" s="1549" t="s">
        <v>98</v>
      </c>
      <c r="F67" s="1541" t="s">
        <v>682</v>
      </c>
      <c r="G67" s="1542" t="s">
        <v>93</v>
      </c>
      <c r="H67" s="1550" t="s">
        <v>98</v>
      </c>
      <c r="I67" s="1543" t="s">
        <v>98</v>
      </c>
      <c r="J67" s="1544">
        <v>0</v>
      </c>
      <c r="K67" s="1542" t="s">
        <v>96</v>
      </c>
      <c r="L67" s="1542">
        <v>0</v>
      </c>
      <c r="M67" s="1545">
        <v>1</v>
      </c>
      <c r="N67" s="1546">
        <v>1.2620910621938648</v>
      </c>
      <c r="O67" s="1547" t="s">
        <v>3196</v>
      </c>
      <c r="P67" s="1542">
        <v>604541.69999999995</v>
      </c>
      <c r="Q67" s="903">
        <v>1</v>
      </c>
      <c r="R67" s="904">
        <f t="shared" si="14"/>
        <v>1.2434566510799234</v>
      </c>
      <c r="S67" s="905" t="str">
        <f t="shared" si="15"/>
        <v>(2,4,1,3,1,5); Brailovsky et al. (2024)</v>
      </c>
      <c r="U67" s="452"/>
      <c r="V67" s="452"/>
      <c r="W67" s="452"/>
      <c r="X67" s="452"/>
      <c r="Y67" s="452"/>
      <c r="Z67" s="303"/>
      <c r="AA67" s="21">
        <v>3</v>
      </c>
      <c r="AB67" s="21">
        <v>4</v>
      </c>
      <c r="AC67" s="21">
        <v>1</v>
      </c>
      <c r="AD67" s="21">
        <v>3</v>
      </c>
      <c r="AE67" s="21">
        <v>1</v>
      </c>
      <c r="AF67" s="315">
        <v>5</v>
      </c>
      <c r="AG67" s="297">
        <v>3</v>
      </c>
      <c r="AH67" s="6">
        <v>1.05</v>
      </c>
      <c r="AI67" s="245">
        <f t="shared" si="8"/>
        <v>1.2555818742947564</v>
      </c>
      <c r="AJ67" s="245">
        <f t="shared" si="9"/>
        <v>1.2620910621938648</v>
      </c>
      <c r="AK67" s="246" t="str">
        <f t="shared" si="10"/>
        <v>(3,4,1,3,1,5)</v>
      </c>
      <c r="AL67" s="30">
        <v>1.1000000000000001</v>
      </c>
      <c r="AM67" s="30">
        <v>1.1000000000000001</v>
      </c>
      <c r="AN67" s="30">
        <v>1</v>
      </c>
      <c r="AO67" s="30">
        <v>1.02</v>
      </c>
      <c r="AP67" s="30">
        <v>1</v>
      </c>
      <c r="AQ67" s="30">
        <v>1.2</v>
      </c>
      <c r="AS67" s="303" t="s">
        <v>673</v>
      </c>
      <c r="AT67" s="21">
        <v>2</v>
      </c>
      <c r="AU67" s="21">
        <v>4</v>
      </c>
      <c r="AV67" s="21">
        <v>1</v>
      </c>
      <c r="AW67" s="21">
        <v>3</v>
      </c>
      <c r="AX67" s="21">
        <v>1</v>
      </c>
      <c r="AY67" s="21">
        <v>5</v>
      </c>
      <c r="AZ67" s="297">
        <v>3</v>
      </c>
      <c r="BA67" s="6">
        <v>1.05</v>
      </c>
      <c r="BB67" s="245">
        <f t="shared" si="11"/>
        <v>1.2365959919080913</v>
      </c>
      <c r="BC67" s="245">
        <f t="shared" si="12"/>
        <v>1.2434566510799234</v>
      </c>
      <c r="BD67" s="246" t="str">
        <f t="shared" si="13"/>
        <v>(2,4,1,3,1,5)</v>
      </c>
      <c r="BE67" s="30">
        <v>1.05</v>
      </c>
      <c r="BF67" s="30">
        <v>1.1000000000000001</v>
      </c>
      <c r="BG67" s="30">
        <v>1</v>
      </c>
      <c r="BH67" s="30">
        <v>1.02</v>
      </c>
      <c r="BI67" s="30">
        <v>1</v>
      </c>
      <c r="BJ67" s="30">
        <v>1.2</v>
      </c>
    </row>
    <row r="68" spans="1:62">
      <c r="A68" s="1489">
        <v>266627</v>
      </c>
      <c r="B68" s="1524"/>
      <c r="C68" s="1490"/>
      <c r="D68" s="1492">
        <v>5</v>
      </c>
      <c r="E68" s="1493" t="s">
        <v>98</v>
      </c>
      <c r="F68" s="1494" t="s">
        <v>634</v>
      </c>
      <c r="G68" s="1495" t="s">
        <v>93</v>
      </c>
      <c r="H68" s="1496" t="s">
        <v>98</v>
      </c>
      <c r="I68" s="1497" t="s">
        <v>98</v>
      </c>
      <c r="J68" s="1498">
        <v>0</v>
      </c>
      <c r="K68" s="1495" t="s">
        <v>96</v>
      </c>
      <c r="L68" s="1495">
        <v>0</v>
      </c>
      <c r="M68" s="1499">
        <v>1</v>
      </c>
      <c r="N68" s="1500">
        <v>1.2620910621938648</v>
      </c>
      <c r="O68" s="1501" t="s">
        <v>3196</v>
      </c>
      <c r="P68" s="1495">
        <v>604541.69999999995</v>
      </c>
      <c r="Q68" s="873">
        <v>1</v>
      </c>
      <c r="R68" s="874">
        <f t="shared" si="14"/>
        <v>1.2434566510799234</v>
      </c>
      <c r="S68" s="875" t="str">
        <f t="shared" si="15"/>
        <v>(2,4,1,3,1,5); Brailovsky et al. (2024)</v>
      </c>
      <c r="U68" s="452"/>
      <c r="V68" s="452"/>
      <c r="W68" s="452"/>
      <c r="X68" s="452"/>
      <c r="Y68" s="452"/>
      <c r="Z68" s="303"/>
      <c r="AA68" s="21">
        <v>3</v>
      </c>
      <c r="AB68" s="21">
        <v>4</v>
      </c>
      <c r="AC68" s="21">
        <v>1</v>
      </c>
      <c r="AD68" s="21">
        <v>3</v>
      </c>
      <c r="AE68" s="21">
        <v>1</v>
      </c>
      <c r="AF68" s="315">
        <v>5</v>
      </c>
      <c r="AG68" s="297">
        <v>3</v>
      </c>
      <c r="AH68" s="6">
        <v>1.05</v>
      </c>
      <c r="AI68" s="245">
        <f t="shared" si="8"/>
        <v>1.2555818742947564</v>
      </c>
      <c r="AJ68" s="245">
        <f t="shared" si="9"/>
        <v>1.2620910621938648</v>
      </c>
      <c r="AK68" s="246" t="str">
        <f t="shared" si="10"/>
        <v>(3,4,1,3,1,5)</v>
      </c>
      <c r="AL68" s="30">
        <v>1.1000000000000001</v>
      </c>
      <c r="AM68" s="30">
        <v>1.1000000000000001</v>
      </c>
      <c r="AN68" s="30">
        <v>1</v>
      </c>
      <c r="AO68" s="30">
        <v>1.02</v>
      </c>
      <c r="AP68" s="30">
        <v>1</v>
      </c>
      <c r="AQ68" s="30">
        <v>1.2</v>
      </c>
      <c r="AS68" s="303" t="s">
        <v>673</v>
      </c>
      <c r="AT68" s="21">
        <v>2</v>
      </c>
      <c r="AU68" s="21">
        <v>4</v>
      </c>
      <c r="AV68" s="21">
        <v>1</v>
      </c>
      <c r="AW68" s="21">
        <v>3</v>
      </c>
      <c r="AX68" s="21">
        <v>1</v>
      </c>
      <c r="AY68" s="21">
        <v>5</v>
      </c>
      <c r="AZ68" s="297">
        <v>3</v>
      </c>
      <c r="BA68" s="6">
        <v>1.05</v>
      </c>
      <c r="BB68" s="245">
        <f t="shared" si="11"/>
        <v>1.2365959919080913</v>
      </c>
      <c r="BC68" s="245">
        <f t="shared" si="12"/>
        <v>1.2434566510799234</v>
      </c>
      <c r="BD68" s="246" t="str">
        <f t="shared" si="13"/>
        <v>(2,4,1,3,1,5)</v>
      </c>
      <c r="BE68" s="30">
        <v>1.05</v>
      </c>
      <c r="BF68" s="30">
        <v>1.1000000000000001</v>
      </c>
      <c r="BG68" s="30">
        <v>1</v>
      </c>
      <c r="BH68" s="30">
        <v>1.02</v>
      </c>
      <c r="BI68" s="30">
        <v>1</v>
      </c>
      <c r="BJ68" s="30">
        <v>1.2</v>
      </c>
    </row>
    <row r="69" spans="1:62" ht="15" customHeight="1">
      <c r="A69" s="1489">
        <v>267287</v>
      </c>
      <c r="B69" s="1524" t="s">
        <v>728</v>
      </c>
      <c r="C69" s="1490"/>
      <c r="D69" s="1548">
        <v>5</v>
      </c>
      <c r="E69" s="1549" t="s">
        <v>98</v>
      </c>
      <c r="F69" s="1541" t="s">
        <v>690</v>
      </c>
      <c r="G69" s="1542" t="s">
        <v>154</v>
      </c>
      <c r="H69" s="1550" t="s">
        <v>98</v>
      </c>
      <c r="I69" s="1543" t="s">
        <v>98</v>
      </c>
      <c r="J69" s="1544">
        <v>0</v>
      </c>
      <c r="K69" s="1542" t="s">
        <v>104</v>
      </c>
      <c r="L69" s="1542">
        <v>0</v>
      </c>
      <c r="M69" s="1545">
        <v>1</v>
      </c>
      <c r="N69" s="1546">
        <v>1.2620910621938648</v>
      </c>
      <c r="O69" s="1547" t="s">
        <v>3196</v>
      </c>
      <c r="P69" s="1542">
        <v>580133.88293770154</v>
      </c>
      <c r="Q69" s="903">
        <v>1</v>
      </c>
      <c r="R69" s="904">
        <f t="shared" si="14"/>
        <v>1.2434566510799234</v>
      </c>
      <c r="S69" s="905" t="str">
        <f t="shared" si="15"/>
        <v>(2,4,1,3,1,5); Brailovsky et al. (2024): From machine operation, diesel,  &gt;= 74.57 kW, energy density 45.5MJ/kg</v>
      </c>
      <c r="U69" s="452"/>
      <c r="V69" s="452"/>
      <c r="W69" s="452"/>
      <c r="X69" s="452"/>
      <c r="Y69" s="452"/>
      <c r="Z69" s="303"/>
      <c r="AA69" s="21">
        <v>3</v>
      </c>
      <c r="AB69" s="21">
        <v>4</v>
      </c>
      <c r="AC69" s="21">
        <v>1</v>
      </c>
      <c r="AD69" s="21">
        <v>3</v>
      </c>
      <c r="AE69" s="21">
        <v>1</v>
      </c>
      <c r="AF69" s="315">
        <v>5</v>
      </c>
      <c r="AG69" s="297">
        <v>1</v>
      </c>
      <c r="AH69" s="6">
        <v>1.05</v>
      </c>
      <c r="AI69" s="245">
        <f t="shared" si="8"/>
        <v>1.2555818742947564</v>
      </c>
      <c r="AJ69" s="245">
        <f t="shared" si="9"/>
        <v>1.2620910621938648</v>
      </c>
      <c r="AK69" s="246" t="str">
        <f t="shared" si="10"/>
        <v>(3,4,1,3,1,5)</v>
      </c>
      <c r="AL69" s="30">
        <v>1.1000000000000001</v>
      </c>
      <c r="AM69" s="30">
        <v>1.1000000000000001</v>
      </c>
      <c r="AN69" s="30">
        <v>1</v>
      </c>
      <c r="AO69" s="30">
        <v>1.02</v>
      </c>
      <c r="AP69" s="30">
        <v>1</v>
      </c>
      <c r="AQ69" s="30">
        <v>1.2</v>
      </c>
      <c r="AS69" s="303" t="s">
        <v>693</v>
      </c>
      <c r="AT69" s="21">
        <v>2</v>
      </c>
      <c r="AU69" s="21">
        <v>4</v>
      </c>
      <c r="AV69" s="21">
        <v>1</v>
      </c>
      <c r="AW69" s="21">
        <v>3</v>
      </c>
      <c r="AX69" s="21">
        <v>1</v>
      </c>
      <c r="AY69" s="21">
        <v>5</v>
      </c>
      <c r="AZ69" s="297">
        <v>1</v>
      </c>
      <c r="BA69" s="6">
        <v>1.05</v>
      </c>
      <c r="BB69" s="245">
        <f t="shared" si="11"/>
        <v>1.2365959919080913</v>
      </c>
      <c r="BC69" s="245">
        <f t="shared" si="12"/>
        <v>1.2434566510799234</v>
      </c>
      <c r="BD69" s="246" t="str">
        <f t="shared" si="13"/>
        <v>(2,4,1,3,1,5)</v>
      </c>
      <c r="BE69" s="30">
        <v>1.05</v>
      </c>
      <c r="BF69" s="30">
        <v>1.1000000000000001</v>
      </c>
      <c r="BG69" s="30">
        <v>1</v>
      </c>
      <c r="BH69" s="30">
        <v>1.02</v>
      </c>
      <c r="BI69" s="30">
        <v>1</v>
      </c>
      <c r="BJ69" s="30">
        <v>1.2</v>
      </c>
    </row>
    <row r="70" spans="1:62">
      <c r="A70" s="1489">
        <v>160371</v>
      </c>
      <c r="B70" s="1524"/>
      <c r="C70" s="1490"/>
      <c r="D70" s="1492">
        <v>5</v>
      </c>
      <c r="E70" s="1493" t="s">
        <v>98</v>
      </c>
      <c r="F70" s="1494" t="s">
        <v>242</v>
      </c>
      <c r="G70" s="1495" t="s">
        <v>93</v>
      </c>
      <c r="H70" s="1496" t="s">
        <v>98</v>
      </c>
      <c r="I70" s="1497" t="s">
        <v>98</v>
      </c>
      <c r="J70" s="1498">
        <v>0</v>
      </c>
      <c r="K70" s="1495" t="s">
        <v>115</v>
      </c>
      <c r="L70" s="1495">
        <v>0</v>
      </c>
      <c r="M70" s="1499">
        <v>1</v>
      </c>
      <c r="N70" s="1500">
        <v>2.0741629046031922</v>
      </c>
      <c r="O70" s="1501" t="s">
        <v>3196</v>
      </c>
      <c r="P70" s="1495">
        <v>225575.3</v>
      </c>
      <c r="Q70" s="873">
        <v>1</v>
      </c>
      <c r="R70" s="874">
        <f t="shared" si="14"/>
        <v>2.0646254680556719</v>
      </c>
      <c r="S70" s="875" t="str">
        <f t="shared" si="15"/>
        <v>(2,4,1,3,1,5); Brailovsky et al. (2024)</v>
      </c>
      <c r="U70" s="452"/>
      <c r="V70" s="452"/>
      <c r="W70" s="452"/>
      <c r="X70" s="452"/>
      <c r="Y70" s="452"/>
      <c r="Z70" s="303"/>
      <c r="AA70" s="21">
        <v>3</v>
      </c>
      <c r="AB70" s="21">
        <v>4</v>
      </c>
      <c r="AC70" s="21">
        <v>1</v>
      </c>
      <c r="AD70" s="21">
        <v>3</v>
      </c>
      <c r="AE70" s="21">
        <v>1</v>
      </c>
      <c r="AF70" s="315">
        <v>5</v>
      </c>
      <c r="AG70" s="297">
        <v>5</v>
      </c>
      <c r="AH70" s="6">
        <v>2</v>
      </c>
      <c r="AI70" s="245">
        <f t="shared" si="8"/>
        <v>1.2555818742947564</v>
      </c>
      <c r="AJ70" s="245">
        <f t="shared" si="9"/>
        <v>2.0741629046031922</v>
      </c>
      <c r="AK70" s="246" t="str">
        <f t="shared" si="10"/>
        <v>(3,4,1,3,1,5)</v>
      </c>
      <c r="AL70" s="30">
        <v>1.1000000000000001</v>
      </c>
      <c r="AM70" s="30">
        <v>1.1000000000000001</v>
      </c>
      <c r="AN70" s="30">
        <v>1</v>
      </c>
      <c r="AO70" s="30">
        <v>1.02</v>
      </c>
      <c r="AP70" s="30">
        <v>1</v>
      </c>
      <c r="AQ70" s="30">
        <v>1.2</v>
      </c>
      <c r="AS70" s="303" t="s">
        <v>673</v>
      </c>
      <c r="AT70" s="21">
        <v>2</v>
      </c>
      <c r="AU70" s="21">
        <v>4</v>
      </c>
      <c r="AV70" s="21">
        <v>1</v>
      </c>
      <c r="AW70" s="21">
        <v>3</v>
      </c>
      <c r="AX70" s="21">
        <v>1</v>
      </c>
      <c r="AY70" s="21">
        <v>5</v>
      </c>
      <c r="AZ70" s="297">
        <v>5</v>
      </c>
      <c r="BA70" s="6">
        <v>2</v>
      </c>
      <c r="BB70" s="245">
        <f t="shared" si="11"/>
        <v>1.2365959919080913</v>
      </c>
      <c r="BC70" s="245">
        <f t="shared" si="12"/>
        <v>2.0646254680556719</v>
      </c>
      <c r="BD70" s="246" t="str">
        <f t="shared" si="13"/>
        <v>(2,4,1,3,1,5)</v>
      </c>
      <c r="BE70" s="30">
        <v>1.05</v>
      </c>
      <c r="BF70" s="30">
        <v>1.1000000000000001</v>
      </c>
      <c r="BG70" s="30">
        <v>1</v>
      </c>
      <c r="BH70" s="30">
        <v>1.02</v>
      </c>
      <c r="BI70" s="30">
        <v>1</v>
      </c>
      <c r="BJ70" s="30">
        <v>1.2</v>
      </c>
    </row>
    <row r="71" spans="1:62">
      <c r="A71" s="1489">
        <v>269641</v>
      </c>
      <c r="B71" s="1524"/>
      <c r="C71" s="1490"/>
      <c r="D71" s="1548">
        <v>5</v>
      </c>
      <c r="E71" s="1549" t="s">
        <v>98</v>
      </c>
      <c r="F71" s="1541" t="s">
        <v>240</v>
      </c>
      <c r="G71" s="1542" t="s">
        <v>93</v>
      </c>
      <c r="H71" s="1550" t="s">
        <v>98</v>
      </c>
      <c r="I71" s="1543" t="s">
        <v>98</v>
      </c>
      <c r="J71" s="1544">
        <v>0</v>
      </c>
      <c r="K71" s="1542" t="s">
        <v>115</v>
      </c>
      <c r="L71" s="1542">
        <v>0</v>
      </c>
      <c r="M71" s="1545">
        <v>1</v>
      </c>
      <c r="N71" s="1546">
        <v>2.0741629046031922</v>
      </c>
      <c r="O71" s="1547" t="s">
        <v>3196</v>
      </c>
      <c r="P71" s="1542">
        <v>417314.29999999987</v>
      </c>
      <c r="Q71" s="903">
        <v>1</v>
      </c>
      <c r="R71" s="904">
        <f t="shared" si="14"/>
        <v>2.0646254680556719</v>
      </c>
      <c r="S71" s="905" t="str">
        <f t="shared" si="15"/>
        <v>(2,4,1,3,1,5); Brailovsky et al. (2024)</v>
      </c>
      <c r="U71" s="452"/>
      <c r="V71" s="452"/>
      <c r="W71" s="452"/>
      <c r="X71" s="452"/>
      <c r="Y71" s="452"/>
      <c r="Z71" s="303"/>
      <c r="AA71" s="21">
        <v>3</v>
      </c>
      <c r="AB71" s="21">
        <v>4</v>
      </c>
      <c r="AC71" s="21">
        <v>1</v>
      </c>
      <c r="AD71" s="21">
        <v>3</v>
      </c>
      <c r="AE71" s="21">
        <v>1</v>
      </c>
      <c r="AF71" s="315">
        <v>5</v>
      </c>
      <c r="AG71" s="297">
        <v>5</v>
      </c>
      <c r="AH71" s="6">
        <v>2</v>
      </c>
      <c r="AI71" s="245">
        <f t="shared" ref="AI71:AI102" si="16">EXP(SQRT((LN(AL71)^2)+(LN(AM71)^2)+(LN(AN71)^2)+(LN(AO71)^2)+(LN(AP71)^2)+(LN(AQ71)^2)))</f>
        <v>1.2555818742947564</v>
      </c>
      <c r="AJ71" s="245">
        <f t="shared" ref="AJ71:AJ102" si="17">EXP(SQRT((LN(AL71)^2)+(LN(AM71)^2)+(LN(AN71)^2)+(LN(AO71)^2)+(LN(AP71)^2)+(LN(AQ71)^2)+LN(AH71)^2))</f>
        <v>2.0741629046031922</v>
      </c>
      <c r="AK71" s="246" t="str">
        <f t="shared" ref="AK71:AK102" si="18">CONCATENATE("(",AA71,",",AB71,",",AC71,",",AD71,",",AE71,",",AF71,")")</f>
        <v>(3,4,1,3,1,5)</v>
      </c>
      <c r="AL71" s="30">
        <v>1.1000000000000001</v>
      </c>
      <c r="AM71" s="30">
        <v>1.1000000000000001</v>
      </c>
      <c r="AN71" s="30">
        <v>1</v>
      </c>
      <c r="AO71" s="30">
        <v>1.02</v>
      </c>
      <c r="AP71" s="30">
        <v>1</v>
      </c>
      <c r="AQ71" s="30">
        <v>1.2</v>
      </c>
      <c r="AS71" s="303" t="s">
        <v>673</v>
      </c>
      <c r="AT71" s="21">
        <v>2</v>
      </c>
      <c r="AU71" s="21">
        <v>4</v>
      </c>
      <c r="AV71" s="21">
        <v>1</v>
      </c>
      <c r="AW71" s="21">
        <v>3</v>
      </c>
      <c r="AX71" s="21">
        <v>1</v>
      </c>
      <c r="AY71" s="21">
        <v>5</v>
      </c>
      <c r="AZ71" s="297">
        <v>5</v>
      </c>
      <c r="BA71" s="6">
        <v>2</v>
      </c>
      <c r="BB71" s="245">
        <f t="shared" ref="BB71:BB102" si="19">EXP(SQRT((LN(BE71)^2)+(LN(BF71)^2)+(LN(BG71)^2)+(LN(BH71)^2)+(LN(BI71)^2)+(LN(BJ71)^2)))</f>
        <v>1.2365959919080913</v>
      </c>
      <c r="BC71" s="245">
        <f t="shared" ref="BC71:BC102" si="20">EXP(SQRT((LN(BE71)^2)+(LN(BF71)^2)+(LN(BG71)^2)+(LN(BH71)^2)+(LN(BI71)^2)+(LN(BJ71)^2)+LN(BA71)^2))</f>
        <v>2.0646254680556719</v>
      </c>
      <c r="BD71" s="246" t="str">
        <f t="shared" ref="BD71:BD102" si="21">CONCATENATE("(",AT71,",",AU71,",",AV71,",",AW71,",",AX71,",",AY71,")")</f>
        <v>(2,4,1,3,1,5)</v>
      </c>
      <c r="BE71" s="30">
        <v>1.05</v>
      </c>
      <c r="BF71" s="30">
        <v>1.1000000000000001</v>
      </c>
      <c r="BG71" s="30">
        <v>1</v>
      </c>
      <c r="BH71" s="30">
        <v>1.02</v>
      </c>
      <c r="BI71" s="30">
        <v>1</v>
      </c>
      <c r="BJ71" s="30">
        <v>1.2</v>
      </c>
    </row>
    <row r="72" spans="1:62">
      <c r="A72" s="1489">
        <v>77572</v>
      </c>
      <c r="B72" s="1524" t="s">
        <v>729</v>
      </c>
      <c r="C72" s="1490"/>
      <c r="D72" s="1492">
        <v>5</v>
      </c>
      <c r="E72" s="1493" t="s">
        <v>98</v>
      </c>
      <c r="F72" s="1494" t="s">
        <v>687</v>
      </c>
      <c r="G72" s="1495" t="s">
        <v>103</v>
      </c>
      <c r="H72" s="1496" t="s">
        <v>98</v>
      </c>
      <c r="I72" s="1497" t="s">
        <v>98</v>
      </c>
      <c r="J72" s="1498">
        <v>0</v>
      </c>
      <c r="K72" s="1495" t="s">
        <v>104</v>
      </c>
      <c r="L72" s="1495">
        <v>0</v>
      </c>
      <c r="M72" s="1499">
        <v>1</v>
      </c>
      <c r="N72" s="1500">
        <v>2.0741629046031922</v>
      </c>
      <c r="O72" s="1501" t="s">
        <v>3196</v>
      </c>
      <c r="P72" s="1495">
        <v>109369</v>
      </c>
      <c r="Q72" s="873">
        <v>1</v>
      </c>
      <c r="R72" s="874">
        <f t="shared" si="14"/>
        <v>2.0646254680556719</v>
      </c>
      <c r="S72" s="875" t="str">
        <f t="shared" si="15"/>
        <v>(2,4,1,3,1,5); Brailovsky et al. (2024)</v>
      </c>
      <c r="U72" s="452"/>
      <c r="V72" s="452"/>
      <c r="W72" s="452"/>
      <c r="X72" s="452"/>
      <c r="Y72" s="452"/>
      <c r="Z72" s="303"/>
      <c r="AA72" s="21">
        <v>3</v>
      </c>
      <c r="AB72" s="21">
        <v>4</v>
      </c>
      <c r="AC72" s="21">
        <v>1</v>
      </c>
      <c r="AD72" s="21">
        <v>3</v>
      </c>
      <c r="AE72" s="21">
        <v>1</v>
      </c>
      <c r="AF72" s="315">
        <v>5</v>
      </c>
      <c r="AG72" s="297">
        <v>5</v>
      </c>
      <c r="AH72" s="6">
        <v>2</v>
      </c>
      <c r="AI72" s="245">
        <f t="shared" si="16"/>
        <v>1.2555818742947564</v>
      </c>
      <c r="AJ72" s="245">
        <f t="shared" si="17"/>
        <v>2.0741629046031922</v>
      </c>
      <c r="AK72" s="246" t="str">
        <f t="shared" si="18"/>
        <v>(3,4,1,3,1,5)</v>
      </c>
      <c r="AL72" s="30">
        <v>1.1000000000000001</v>
      </c>
      <c r="AM72" s="30">
        <v>1.1000000000000001</v>
      </c>
      <c r="AN72" s="30">
        <v>1</v>
      </c>
      <c r="AO72" s="30">
        <v>1.02</v>
      </c>
      <c r="AP72" s="30">
        <v>1</v>
      </c>
      <c r="AQ72" s="30">
        <v>1.2</v>
      </c>
      <c r="AS72" s="303" t="s">
        <v>673</v>
      </c>
      <c r="AT72" s="21">
        <v>2</v>
      </c>
      <c r="AU72" s="21">
        <v>4</v>
      </c>
      <c r="AV72" s="21">
        <v>1</v>
      </c>
      <c r="AW72" s="21">
        <v>3</v>
      </c>
      <c r="AX72" s="21">
        <v>1</v>
      </c>
      <c r="AY72" s="21">
        <v>5</v>
      </c>
      <c r="AZ72" s="297">
        <v>5</v>
      </c>
      <c r="BA72" s="6">
        <v>2</v>
      </c>
      <c r="BB72" s="245">
        <f t="shared" si="19"/>
        <v>1.2365959919080913</v>
      </c>
      <c r="BC72" s="245">
        <f t="shared" si="20"/>
        <v>2.0646254680556719</v>
      </c>
      <c r="BD72" s="246" t="str">
        <f t="shared" si="21"/>
        <v>(2,4,1,3,1,5)</v>
      </c>
      <c r="BE72" s="30">
        <v>1.05</v>
      </c>
      <c r="BF72" s="30">
        <v>1.1000000000000001</v>
      </c>
      <c r="BG72" s="30">
        <v>1</v>
      </c>
      <c r="BH72" s="30">
        <v>1.02</v>
      </c>
      <c r="BI72" s="30">
        <v>1</v>
      </c>
      <c r="BJ72" s="30">
        <v>1.2</v>
      </c>
    </row>
    <row r="73" spans="1:62">
      <c r="A73" s="1489">
        <v>268893</v>
      </c>
      <c r="B73" s="1524"/>
      <c r="C73" s="1490"/>
      <c r="D73" s="1548">
        <v>5</v>
      </c>
      <c r="E73" s="1549" t="s">
        <v>98</v>
      </c>
      <c r="F73" s="1541" t="s">
        <v>730</v>
      </c>
      <c r="G73" s="1542" t="s">
        <v>93</v>
      </c>
      <c r="H73" s="1550" t="s">
        <v>98</v>
      </c>
      <c r="I73" s="1543" t="s">
        <v>98</v>
      </c>
      <c r="J73" s="1544">
        <v>0</v>
      </c>
      <c r="K73" s="1542" t="s">
        <v>119</v>
      </c>
      <c r="L73" s="1542">
        <v>0</v>
      </c>
      <c r="M73" s="1545">
        <v>1</v>
      </c>
      <c r="N73" s="1546">
        <v>2.0741629046031922</v>
      </c>
      <c r="O73" s="1547" t="s">
        <v>3196</v>
      </c>
      <c r="P73" s="1542">
        <v>18177.259999999998</v>
      </c>
      <c r="Q73" s="903">
        <v>1</v>
      </c>
      <c r="R73" s="904">
        <f t="shared" ref="R73:R104" si="22">EXP(SQRT((LN(BC73)^2)+(LN(BC$8)^2)))</f>
        <v>2.0646254680556719</v>
      </c>
      <c r="S73" s="905" t="str">
        <f t="shared" ref="S73:S104" si="23">BD73&amp;"; "&amp;AS73</f>
        <v>(2,4,1,3,1,5); Brailovsky et al. (2024)</v>
      </c>
      <c r="U73" s="452"/>
      <c r="V73" s="452"/>
      <c r="W73" s="452"/>
      <c r="X73" s="452"/>
      <c r="Y73" s="452"/>
      <c r="Z73" s="303"/>
      <c r="AA73" s="21">
        <v>3</v>
      </c>
      <c r="AB73" s="21">
        <v>4</v>
      </c>
      <c r="AC73" s="21">
        <v>1</v>
      </c>
      <c r="AD73" s="21">
        <v>3</v>
      </c>
      <c r="AE73" s="21">
        <v>1</v>
      </c>
      <c r="AF73" s="315">
        <v>5</v>
      </c>
      <c r="AG73" s="297">
        <v>5</v>
      </c>
      <c r="AH73" s="6">
        <v>2</v>
      </c>
      <c r="AI73" s="245">
        <f t="shared" si="16"/>
        <v>1.2555818742947564</v>
      </c>
      <c r="AJ73" s="245">
        <f t="shared" si="17"/>
        <v>2.0741629046031922</v>
      </c>
      <c r="AK73" s="246" t="str">
        <f t="shared" si="18"/>
        <v>(3,4,1,3,1,5)</v>
      </c>
      <c r="AL73" s="30">
        <v>1.1000000000000001</v>
      </c>
      <c r="AM73" s="30">
        <v>1.1000000000000001</v>
      </c>
      <c r="AN73" s="30">
        <v>1</v>
      </c>
      <c r="AO73" s="30">
        <v>1.02</v>
      </c>
      <c r="AP73" s="30">
        <v>1</v>
      </c>
      <c r="AQ73" s="30">
        <v>1.2</v>
      </c>
      <c r="AS73" s="303" t="s">
        <v>673</v>
      </c>
      <c r="AT73" s="21">
        <v>2</v>
      </c>
      <c r="AU73" s="21">
        <v>4</v>
      </c>
      <c r="AV73" s="21">
        <v>1</v>
      </c>
      <c r="AW73" s="21">
        <v>3</v>
      </c>
      <c r="AX73" s="21">
        <v>1</v>
      </c>
      <c r="AY73" s="21">
        <v>5</v>
      </c>
      <c r="AZ73" s="297">
        <v>5</v>
      </c>
      <c r="BA73" s="6">
        <v>2</v>
      </c>
      <c r="BB73" s="245">
        <f t="shared" si="19"/>
        <v>1.2365959919080913</v>
      </c>
      <c r="BC73" s="245">
        <f t="shared" si="20"/>
        <v>2.0646254680556719</v>
      </c>
      <c r="BD73" s="246" t="str">
        <f t="shared" si="21"/>
        <v>(2,4,1,3,1,5)</v>
      </c>
      <c r="BE73" s="30">
        <v>1.05</v>
      </c>
      <c r="BF73" s="30">
        <v>1.1000000000000001</v>
      </c>
      <c r="BG73" s="30">
        <v>1</v>
      </c>
      <c r="BH73" s="30">
        <v>1.02</v>
      </c>
      <c r="BI73" s="30">
        <v>1</v>
      </c>
      <c r="BJ73" s="30">
        <v>1.2</v>
      </c>
    </row>
    <row r="74" spans="1:62">
      <c r="A74" s="1489">
        <v>259813</v>
      </c>
      <c r="B74" s="1524" t="s">
        <v>731</v>
      </c>
      <c r="C74" s="1490"/>
      <c r="D74" s="1492">
        <v>5</v>
      </c>
      <c r="E74" s="1493" t="s">
        <v>98</v>
      </c>
      <c r="F74" s="1494" t="s">
        <v>732</v>
      </c>
      <c r="G74" s="1495" t="s">
        <v>103</v>
      </c>
      <c r="H74" s="1496" t="s">
        <v>98</v>
      </c>
      <c r="I74" s="1497" t="s">
        <v>98</v>
      </c>
      <c r="J74" s="1498">
        <v>1</v>
      </c>
      <c r="K74" s="1495" t="s">
        <v>168</v>
      </c>
      <c r="L74" s="1495">
        <v>0</v>
      </c>
      <c r="M74" s="1499">
        <v>1</v>
      </c>
      <c r="N74" s="1500">
        <v>3.0708070945678916</v>
      </c>
      <c r="O74" s="1501" t="s">
        <v>3196</v>
      </c>
      <c r="P74" s="1495">
        <v>1.53</v>
      </c>
      <c r="Q74" s="873">
        <v>1</v>
      </c>
      <c r="R74" s="874">
        <f t="shared" si="22"/>
        <v>3.0616345979734279</v>
      </c>
      <c r="S74" s="875" t="str">
        <f t="shared" si="23"/>
        <v>(2,4,1,3,1,5); Brailovsky et al. (2024)</v>
      </c>
      <c r="U74" s="452"/>
      <c r="V74" s="452"/>
      <c r="W74" s="452"/>
      <c r="X74" s="452"/>
      <c r="Y74" s="452"/>
      <c r="Z74" s="303"/>
      <c r="AA74" s="21">
        <v>3</v>
      </c>
      <c r="AB74" s="21">
        <v>4</v>
      </c>
      <c r="AC74" s="21">
        <v>1</v>
      </c>
      <c r="AD74" s="21">
        <v>3</v>
      </c>
      <c r="AE74" s="21">
        <v>1</v>
      </c>
      <c r="AF74" s="315">
        <v>5</v>
      </c>
      <c r="AG74" s="297">
        <v>9</v>
      </c>
      <c r="AH74" s="6">
        <v>3</v>
      </c>
      <c r="AI74" s="245">
        <f t="shared" si="16"/>
        <v>1.2555818742947564</v>
      </c>
      <c r="AJ74" s="245">
        <f t="shared" si="17"/>
        <v>3.0708070945678916</v>
      </c>
      <c r="AK74" s="246" t="str">
        <f t="shared" si="18"/>
        <v>(3,4,1,3,1,5)</v>
      </c>
      <c r="AL74" s="30">
        <v>1.1000000000000001</v>
      </c>
      <c r="AM74" s="30">
        <v>1.1000000000000001</v>
      </c>
      <c r="AN74" s="30">
        <v>1</v>
      </c>
      <c r="AO74" s="30">
        <v>1.02</v>
      </c>
      <c r="AP74" s="30">
        <v>1</v>
      </c>
      <c r="AQ74" s="30">
        <v>1.2</v>
      </c>
      <c r="AS74" s="303" t="s">
        <v>673</v>
      </c>
      <c r="AT74" s="21">
        <v>2</v>
      </c>
      <c r="AU74" s="21">
        <v>4</v>
      </c>
      <c r="AV74" s="21">
        <v>1</v>
      </c>
      <c r="AW74" s="21">
        <v>3</v>
      </c>
      <c r="AX74" s="21">
        <v>1</v>
      </c>
      <c r="AY74" s="21">
        <v>5</v>
      </c>
      <c r="AZ74" s="297">
        <v>9</v>
      </c>
      <c r="BA74" s="6">
        <v>3</v>
      </c>
      <c r="BB74" s="245">
        <f t="shared" si="19"/>
        <v>1.2365959919080913</v>
      </c>
      <c r="BC74" s="245">
        <f t="shared" si="20"/>
        <v>3.0616345979734279</v>
      </c>
      <c r="BD74" s="246" t="str">
        <f t="shared" si="21"/>
        <v>(2,4,1,3,1,5)</v>
      </c>
      <c r="BE74" s="30">
        <v>1.05</v>
      </c>
      <c r="BF74" s="30">
        <v>1.1000000000000001</v>
      </c>
      <c r="BG74" s="30">
        <v>1</v>
      </c>
      <c r="BH74" s="30">
        <v>1.02</v>
      </c>
      <c r="BI74" s="30">
        <v>1</v>
      </c>
      <c r="BJ74" s="30">
        <v>1.2</v>
      </c>
    </row>
    <row r="75" spans="1:62">
      <c r="A75" s="1489">
        <v>79235</v>
      </c>
      <c r="B75" s="1524" t="s">
        <v>733</v>
      </c>
      <c r="C75" s="1490"/>
      <c r="D75" s="1548">
        <v>5</v>
      </c>
      <c r="E75" s="1549" t="s">
        <v>98</v>
      </c>
      <c r="F75" s="1541" t="s">
        <v>688</v>
      </c>
      <c r="G75" s="1542" t="s">
        <v>340</v>
      </c>
      <c r="H75" s="1550" t="s">
        <v>98</v>
      </c>
      <c r="I75" s="1543" t="s">
        <v>98</v>
      </c>
      <c r="J75" s="1544">
        <v>0</v>
      </c>
      <c r="K75" s="1542" t="s">
        <v>109</v>
      </c>
      <c r="L75" s="1542">
        <v>0</v>
      </c>
      <c r="M75" s="1545">
        <v>1</v>
      </c>
      <c r="N75" s="1546">
        <v>1.2620910621938648</v>
      </c>
      <c r="O75" s="1547" t="s">
        <v>3196</v>
      </c>
      <c r="P75" s="1542">
        <v>1169.9000000000001</v>
      </c>
      <c r="Q75" s="903">
        <v>1</v>
      </c>
      <c r="R75" s="904">
        <f t="shared" si="22"/>
        <v>1.2434566510799234</v>
      </c>
      <c r="S75" s="905" t="str">
        <f t="shared" si="23"/>
        <v>(2,4,1,3,1,5); Brailovsky et al. (2024)</v>
      </c>
      <c r="U75" s="452"/>
      <c r="V75" s="452"/>
      <c r="W75" s="452"/>
      <c r="X75" s="452"/>
      <c r="Y75" s="452"/>
      <c r="Z75" s="303"/>
      <c r="AA75" s="21">
        <v>3</v>
      </c>
      <c r="AB75" s="21">
        <v>4</v>
      </c>
      <c r="AC75" s="21">
        <v>1</v>
      </c>
      <c r="AD75" s="21">
        <v>3</v>
      </c>
      <c r="AE75" s="21">
        <v>1</v>
      </c>
      <c r="AF75" s="315">
        <v>5</v>
      </c>
      <c r="AG75" s="297">
        <v>3</v>
      </c>
      <c r="AH75" s="6">
        <v>1.05</v>
      </c>
      <c r="AI75" s="245">
        <f t="shared" si="16"/>
        <v>1.2555818742947564</v>
      </c>
      <c r="AJ75" s="245">
        <f t="shared" si="17"/>
        <v>1.2620910621938648</v>
      </c>
      <c r="AK75" s="246" t="str">
        <f t="shared" si="18"/>
        <v>(3,4,1,3,1,5)</v>
      </c>
      <c r="AL75" s="30">
        <v>1.1000000000000001</v>
      </c>
      <c r="AM75" s="30">
        <v>1.1000000000000001</v>
      </c>
      <c r="AN75" s="30">
        <v>1</v>
      </c>
      <c r="AO75" s="30">
        <v>1.02</v>
      </c>
      <c r="AP75" s="30">
        <v>1</v>
      </c>
      <c r="AQ75" s="30">
        <v>1.2</v>
      </c>
      <c r="AS75" s="303" t="s">
        <v>673</v>
      </c>
      <c r="AT75" s="21">
        <v>2</v>
      </c>
      <c r="AU75" s="21">
        <v>4</v>
      </c>
      <c r="AV75" s="21">
        <v>1</v>
      </c>
      <c r="AW75" s="21">
        <v>3</v>
      </c>
      <c r="AX75" s="21">
        <v>1</v>
      </c>
      <c r="AY75" s="21">
        <v>5</v>
      </c>
      <c r="AZ75" s="297">
        <v>3</v>
      </c>
      <c r="BA75" s="6">
        <v>1.05</v>
      </c>
      <c r="BB75" s="245">
        <f t="shared" si="19"/>
        <v>1.2365959919080913</v>
      </c>
      <c r="BC75" s="245">
        <f t="shared" si="20"/>
        <v>1.2434566510799234</v>
      </c>
      <c r="BD75" s="246" t="str">
        <f t="shared" si="21"/>
        <v>(2,4,1,3,1,5)</v>
      </c>
      <c r="BE75" s="30">
        <v>1.05</v>
      </c>
      <c r="BF75" s="30">
        <v>1.1000000000000001</v>
      </c>
      <c r="BG75" s="30">
        <v>1</v>
      </c>
      <c r="BH75" s="30">
        <v>1.02</v>
      </c>
      <c r="BI75" s="30">
        <v>1</v>
      </c>
      <c r="BJ75" s="30">
        <v>1.2</v>
      </c>
    </row>
    <row r="76" spans="1:62">
      <c r="A76" s="1489">
        <v>254233</v>
      </c>
      <c r="B76" s="1524"/>
      <c r="C76" s="1490"/>
      <c r="D76" s="1492">
        <v>5</v>
      </c>
      <c r="E76" s="1493" t="s">
        <v>98</v>
      </c>
      <c r="F76" s="1494" t="s">
        <v>710</v>
      </c>
      <c r="G76" s="1495" t="s">
        <v>103</v>
      </c>
      <c r="H76" s="1496" t="s">
        <v>98</v>
      </c>
      <c r="I76" s="1497" t="s">
        <v>98</v>
      </c>
      <c r="J76" s="1498">
        <v>0</v>
      </c>
      <c r="K76" s="1495" t="s">
        <v>104</v>
      </c>
      <c r="L76" s="1495">
        <v>0</v>
      </c>
      <c r="M76" s="1499">
        <v>1</v>
      </c>
      <c r="N76" s="1500">
        <v>1.2620910621938648</v>
      </c>
      <c r="O76" s="1501" t="s">
        <v>3196</v>
      </c>
      <c r="P76" s="1495">
        <v>1052.9000000000001</v>
      </c>
      <c r="Q76" s="873">
        <v>1</v>
      </c>
      <c r="R76" s="874">
        <f t="shared" si="22"/>
        <v>1.2434566510799234</v>
      </c>
      <c r="S76" s="875" t="str">
        <f t="shared" si="23"/>
        <v>(2,4,1,3,1,5); Brailovsky et al. (2024)</v>
      </c>
      <c r="U76" s="452"/>
      <c r="V76" s="452"/>
      <c r="W76" s="452"/>
      <c r="X76" s="452"/>
      <c r="Y76" s="452"/>
      <c r="Z76" s="303"/>
      <c r="AA76" s="21">
        <v>3</v>
      </c>
      <c r="AB76" s="21">
        <v>4</v>
      </c>
      <c r="AC76" s="21">
        <v>1</v>
      </c>
      <c r="AD76" s="21">
        <v>3</v>
      </c>
      <c r="AE76" s="21">
        <v>1</v>
      </c>
      <c r="AF76" s="315">
        <v>5</v>
      </c>
      <c r="AG76" s="297">
        <v>1</v>
      </c>
      <c r="AH76" s="6">
        <v>1.05</v>
      </c>
      <c r="AI76" s="245">
        <f t="shared" si="16"/>
        <v>1.2555818742947564</v>
      </c>
      <c r="AJ76" s="245">
        <f t="shared" si="17"/>
        <v>1.2620910621938648</v>
      </c>
      <c r="AK76" s="246" t="str">
        <f t="shared" si="18"/>
        <v>(3,4,1,3,1,5)</v>
      </c>
      <c r="AL76" s="30">
        <v>1.1000000000000001</v>
      </c>
      <c r="AM76" s="30">
        <v>1.1000000000000001</v>
      </c>
      <c r="AN76" s="30">
        <v>1</v>
      </c>
      <c r="AO76" s="30">
        <v>1.02</v>
      </c>
      <c r="AP76" s="30">
        <v>1</v>
      </c>
      <c r="AQ76" s="30">
        <v>1.2</v>
      </c>
      <c r="AS76" s="303" t="s">
        <v>673</v>
      </c>
      <c r="AT76" s="21">
        <v>2</v>
      </c>
      <c r="AU76" s="21">
        <v>4</v>
      </c>
      <c r="AV76" s="21">
        <v>1</v>
      </c>
      <c r="AW76" s="21">
        <v>3</v>
      </c>
      <c r="AX76" s="21">
        <v>1</v>
      </c>
      <c r="AY76" s="21">
        <v>5</v>
      </c>
      <c r="AZ76" s="297">
        <v>1</v>
      </c>
      <c r="BA76" s="6">
        <v>1.05</v>
      </c>
      <c r="BB76" s="245">
        <f t="shared" si="19"/>
        <v>1.2365959919080913</v>
      </c>
      <c r="BC76" s="245">
        <f t="shared" si="20"/>
        <v>1.2434566510799234</v>
      </c>
      <c r="BD76" s="246" t="str">
        <f t="shared" si="21"/>
        <v>(2,4,1,3,1,5)</v>
      </c>
      <c r="BE76" s="30">
        <v>1.05</v>
      </c>
      <c r="BF76" s="30">
        <v>1.1000000000000001</v>
      </c>
      <c r="BG76" s="30">
        <v>1</v>
      </c>
      <c r="BH76" s="30">
        <v>1.02</v>
      </c>
      <c r="BI76" s="30">
        <v>1</v>
      </c>
      <c r="BJ76" s="30">
        <v>1.2</v>
      </c>
    </row>
    <row r="77" spans="1:62">
      <c r="A77" s="1489">
        <v>263015</v>
      </c>
      <c r="B77" s="1524"/>
      <c r="C77" s="1490"/>
      <c r="D77" s="1548">
        <v>5</v>
      </c>
      <c r="E77" s="1549" t="s">
        <v>98</v>
      </c>
      <c r="F77" s="1541" t="s">
        <v>677</v>
      </c>
      <c r="G77" s="1542" t="s">
        <v>103</v>
      </c>
      <c r="H77" s="1550" t="s">
        <v>98</v>
      </c>
      <c r="I77" s="1543" t="s">
        <v>98</v>
      </c>
      <c r="J77" s="1544">
        <v>0</v>
      </c>
      <c r="K77" s="1542" t="s">
        <v>96</v>
      </c>
      <c r="L77" s="1542">
        <v>0</v>
      </c>
      <c r="M77" s="1545">
        <v>1</v>
      </c>
      <c r="N77" s="1546">
        <v>1.2620910621938648</v>
      </c>
      <c r="O77" s="1547" t="s">
        <v>3196</v>
      </c>
      <c r="P77" s="1542">
        <v>56058.2</v>
      </c>
      <c r="Q77" s="903">
        <v>1</v>
      </c>
      <c r="R77" s="904">
        <f t="shared" si="22"/>
        <v>1.2434566510799234</v>
      </c>
      <c r="S77" s="905" t="str">
        <f t="shared" si="23"/>
        <v>(2,4,1,3,1,5); Brailovsky et al. (2024)</v>
      </c>
      <c r="U77" s="452"/>
      <c r="V77" s="452"/>
      <c r="W77" s="452"/>
      <c r="X77" s="452"/>
      <c r="Y77" s="452"/>
      <c r="Z77" s="303"/>
      <c r="AA77" s="21">
        <v>3</v>
      </c>
      <c r="AB77" s="21">
        <v>4</v>
      </c>
      <c r="AC77" s="21">
        <v>1</v>
      </c>
      <c r="AD77" s="21">
        <v>3</v>
      </c>
      <c r="AE77" s="21">
        <v>1</v>
      </c>
      <c r="AF77" s="315">
        <v>5</v>
      </c>
      <c r="AG77" s="297">
        <v>3</v>
      </c>
      <c r="AH77" s="6">
        <v>1.05</v>
      </c>
      <c r="AI77" s="245">
        <f t="shared" si="16"/>
        <v>1.2555818742947564</v>
      </c>
      <c r="AJ77" s="245">
        <f t="shared" si="17"/>
        <v>1.2620910621938648</v>
      </c>
      <c r="AK77" s="246" t="str">
        <f t="shared" si="18"/>
        <v>(3,4,1,3,1,5)</v>
      </c>
      <c r="AL77" s="30">
        <v>1.1000000000000001</v>
      </c>
      <c r="AM77" s="30">
        <v>1.1000000000000001</v>
      </c>
      <c r="AN77" s="30">
        <v>1</v>
      </c>
      <c r="AO77" s="30">
        <v>1.02</v>
      </c>
      <c r="AP77" s="30">
        <v>1</v>
      </c>
      <c r="AQ77" s="30">
        <v>1.2</v>
      </c>
      <c r="AS77" s="303" t="s">
        <v>673</v>
      </c>
      <c r="AT77" s="21">
        <v>2</v>
      </c>
      <c r="AU77" s="21">
        <v>4</v>
      </c>
      <c r="AV77" s="21">
        <v>1</v>
      </c>
      <c r="AW77" s="21">
        <v>3</v>
      </c>
      <c r="AX77" s="21">
        <v>1</v>
      </c>
      <c r="AY77" s="21">
        <v>5</v>
      </c>
      <c r="AZ77" s="297">
        <v>3</v>
      </c>
      <c r="BA77" s="6">
        <v>1.05</v>
      </c>
      <c r="BB77" s="245">
        <f t="shared" si="19"/>
        <v>1.2365959919080913</v>
      </c>
      <c r="BC77" s="245">
        <f t="shared" si="20"/>
        <v>1.2434566510799234</v>
      </c>
      <c r="BD77" s="246" t="str">
        <f t="shared" si="21"/>
        <v>(2,4,1,3,1,5)</v>
      </c>
      <c r="BE77" s="30">
        <v>1.05</v>
      </c>
      <c r="BF77" s="30">
        <v>1.1000000000000001</v>
      </c>
      <c r="BG77" s="30">
        <v>1</v>
      </c>
      <c r="BH77" s="30">
        <v>1.02</v>
      </c>
      <c r="BI77" s="30">
        <v>1</v>
      </c>
      <c r="BJ77" s="30">
        <v>1.2</v>
      </c>
    </row>
    <row r="78" spans="1:62">
      <c r="A78" s="1489">
        <v>268459</v>
      </c>
      <c r="B78" s="1524"/>
      <c r="C78" s="1490"/>
      <c r="D78" s="1492">
        <v>5</v>
      </c>
      <c r="E78" s="1493" t="s">
        <v>98</v>
      </c>
      <c r="F78" s="1494" t="s">
        <v>678</v>
      </c>
      <c r="G78" s="1495" t="s">
        <v>93</v>
      </c>
      <c r="H78" s="1496" t="s">
        <v>98</v>
      </c>
      <c r="I78" s="1497" t="s">
        <v>98</v>
      </c>
      <c r="J78" s="1498">
        <v>0</v>
      </c>
      <c r="K78" s="1495" t="s">
        <v>679</v>
      </c>
      <c r="L78" s="1495">
        <v>0</v>
      </c>
      <c r="M78" s="1499">
        <v>1</v>
      </c>
      <c r="N78" s="1500">
        <v>1.2620910621938648</v>
      </c>
      <c r="O78" s="1501" t="s">
        <v>3196</v>
      </c>
      <c r="P78" s="1495">
        <v>35097.800000000003</v>
      </c>
      <c r="Q78" s="873">
        <v>1</v>
      </c>
      <c r="R78" s="874">
        <f t="shared" si="22"/>
        <v>1.2434566510799234</v>
      </c>
      <c r="S78" s="875" t="str">
        <f t="shared" si="23"/>
        <v>(2,4,1,3,1,5); Brailovsky et al. (2024)</v>
      </c>
      <c r="U78" s="452"/>
      <c r="V78" s="452"/>
      <c r="W78" s="452"/>
      <c r="X78" s="452"/>
      <c r="Y78" s="452"/>
      <c r="Z78" s="303"/>
      <c r="AA78" s="21">
        <v>3</v>
      </c>
      <c r="AB78" s="21">
        <v>4</v>
      </c>
      <c r="AC78" s="21">
        <v>1</v>
      </c>
      <c r="AD78" s="21">
        <v>3</v>
      </c>
      <c r="AE78" s="21">
        <v>1</v>
      </c>
      <c r="AF78" s="315">
        <v>5</v>
      </c>
      <c r="AG78" s="297">
        <v>3</v>
      </c>
      <c r="AH78" s="6">
        <v>1.05</v>
      </c>
      <c r="AI78" s="245">
        <f t="shared" si="16"/>
        <v>1.2555818742947564</v>
      </c>
      <c r="AJ78" s="245">
        <f t="shared" si="17"/>
        <v>1.2620910621938648</v>
      </c>
      <c r="AK78" s="246" t="str">
        <f t="shared" si="18"/>
        <v>(3,4,1,3,1,5)</v>
      </c>
      <c r="AL78" s="30">
        <v>1.1000000000000001</v>
      </c>
      <c r="AM78" s="30">
        <v>1.1000000000000001</v>
      </c>
      <c r="AN78" s="30">
        <v>1</v>
      </c>
      <c r="AO78" s="30">
        <v>1.02</v>
      </c>
      <c r="AP78" s="30">
        <v>1</v>
      </c>
      <c r="AQ78" s="30">
        <v>1.2</v>
      </c>
      <c r="AS78" s="303" t="s">
        <v>673</v>
      </c>
      <c r="AT78" s="21">
        <v>2</v>
      </c>
      <c r="AU78" s="21">
        <v>4</v>
      </c>
      <c r="AV78" s="21">
        <v>1</v>
      </c>
      <c r="AW78" s="21">
        <v>3</v>
      </c>
      <c r="AX78" s="21">
        <v>1</v>
      </c>
      <c r="AY78" s="21">
        <v>5</v>
      </c>
      <c r="AZ78" s="297">
        <v>3</v>
      </c>
      <c r="BA78" s="6">
        <v>1.05</v>
      </c>
      <c r="BB78" s="245">
        <f t="shared" si="19"/>
        <v>1.2365959919080913</v>
      </c>
      <c r="BC78" s="245">
        <f t="shared" si="20"/>
        <v>1.2434566510799234</v>
      </c>
      <c r="BD78" s="246" t="str">
        <f t="shared" si="21"/>
        <v>(2,4,1,3,1,5)</v>
      </c>
      <c r="BE78" s="30">
        <v>1.05</v>
      </c>
      <c r="BF78" s="30">
        <v>1.1000000000000001</v>
      </c>
      <c r="BG78" s="30">
        <v>1</v>
      </c>
      <c r="BH78" s="30">
        <v>1.02</v>
      </c>
      <c r="BI78" s="30">
        <v>1</v>
      </c>
      <c r="BJ78" s="30">
        <v>1.2</v>
      </c>
    </row>
    <row r="79" spans="1:62">
      <c r="A79" s="1489">
        <v>269445</v>
      </c>
      <c r="B79" s="1524"/>
      <c r="C79" s="1490"/>
      <c r="D79" s="1548">
        <v>5</v>
      </c>
      <c r="E79" s="1549" t="s">
        <v>98</v>
      </c>
      <c r="F79" s="1541" t="s">
        <v>682</v>
      </c>
      <c r="G79" s="1542" t="s">
        <v>93</v>
      </c>
      <c r="H79" s="1550" t="s">
        <v>98</v>
      </c>
      <c r="I79" s="1543" t="s">
        <v>98</v>
      </c>
      <c r="J79" s="1544">
        <v>0</v>
      </c>
      <c r="K79" s="1542" t="s">
        <v>96</v>
      </c>
      <c r="L79" s="1542">
        <v>0</v>
      </c>
      <c r="M79" s="1545">
        <v>1</v>
      </c>
      <c r="N79" s="1546">
        <v>1.2620910621938648</v>
      </c>
      <c r="O79" s="1547" t="s">
        <v>3196</v>
      </c>
      <c r="P79" s="1542">
        <v>113815.2</v>
      </c>
      <c r="Q79" s="903">
        <v>1</v>
      </c>
      <c r="R79" s="904">
        <f t="shared" si="22"/>
        <v>1.2434566510799234</v>
      </c>
      <c r="S79" s="905" t="str">
        <f t="shared" si="23"/>
        <v>(2,4,1,3,1,5); Brailovsky et al. (2024)</v>
      </c>
      <c r="U79" s="452"/>
      <c r="V79" s="452"/>
      <c r="W79" s="452"/>
      <c r="X79" s="452"/>
      <c r="Y79" s="452"/>
      <c r="Z79" s="303"/>
      <c r="AA79" s="21">
        <v>3</v>
      </c>
      <c r="AB79" s="21">
        <v>4</v>
      </c>
      <c r="AC79" s="21">
        <v>1</v>
      </c>
      <c r="AD79" s="21">
        <v>3</v>
      </c>
      <c r="AE79" s="21">
        <v>1</v>
      </c>
      <c r="AF79" s="315">
        <v>5</v>
      </c>
      <c r="AG79" s="297">
        <v>3</v>
      </c>
      <c r="AH79" s="6">
        <v>1.05</v>
      </c>
      <c r="AI79" s="245">
        <f t="shared" si="16"/>
        <v>1.2555818742947564</v>
      </c>
      <c r="AJ79" s="245">
        <f t="shared" si="17"/>
        <v>1.2620910621938648</v>
      </c>
      <c r="AK79" s="246" t="str">
        <f t="shared" si="18"/>
        <v>(3,4,1,3,1,5)</v>
      </c>
      <c r="AL79" s="30">
        <v>1.1000000000000001</v>
      </c>
      <c r="AM79" s="30">
        <v>1.1000000000000001</v>
      </c>
      <c r="AN79" s="30">
        <v>1</v>
      </c>
      <c r="AO79" s="30">
        <v>1.02</v>
      </c>
      <c r="AP79" s="30">
        <v>1</v>
      </c>
      <c r="AQ79" s="30">
        <v>1.2</v>
      </c>
      <c r="AS79" s="303" t="s">
        <v>673</v>
      </c>
      <c r="AT79" s="21">
        <v>2</v>
      </c>
      <c r="AU79" s="21">
        <v>4</v>
      </c>
      <c r="AV79" s="21">
        <v>1</v>
      </c>
      <c r="AW79" s="21">
        <v>3</v>
      </c>
      <c r="AX79" s="21">
        <v>1</v>
      </c>
      <c r="AY79" s="21">
        <v>5</v>
      </c>
      <c r="AZ79" s="297">
        <v>3</v>
      </c>
      <c r="BA79" s="6">
        <v>1.05</v>
      </c>
      <c r="BB79" s="245">
        <f t="shared" si="19"/>
        <v>1.2365959919080913</v>
      </c>
      <c r="BC79" s="245">
        <f t="shared" si="20"/>
        <v>1.2434566510799234</v>
      </c>
      <c r="BD79" s="246" t="str">
        <f t="shared" si="21"/>
        <v>(2,4,1,3,1,5)</v>
      </c>
      <c r="BE79" s="30">
        <v>1.05</v>
      </c>
      <c r="BF79" s="30">
        <v>1.1000000000000001</v>
      </c>
      <c r="BG79" s="30">
        <v>1</v>
      </c>
      <c r="BH79" s="30">
        <v>1.02</v>
      </c>
      <c r="BI79" s="30">
        <v>1</v>
      </c>
      <c r="BJ79" s="30">
        <v>1.2</v>
      </c>
    </row>
    <row r="80" spans="1:62">
      <c r="A80" s="1489">
        <v>266627</v>
      </c>
      <c r="B80" s="1524"/>
      <c r="C80" s="1490"/>
      <c r="D80" s="1492">
        <v>5</v>
      </c>
      <c r="E80" s="1493" t="s">
        <v>98</v>
      </c>
      <c r="F80" s="1494" t="s">
        <v>634</v>
      </c>
      <c r="G80" s="1495" t="s">
        <v>93</v>
      </c>
      <c r="H80" s="1496" t="s">
        <v>98</v>
      </c>
      <c r="I80" s="1497" t="s">
        <v>98</v>
      </c>
      <c r="J80" s="1498">
        <v>0</v>
      </c>
      <c r="K80" s="1495" t="s">
        <v>96</v>
      </c>
      <c r="L80" s="1495">
        <v>0</v>
      </c>
      <c r="M80" s="1499">
        <v>1</v>
      </c>
      <c r="N80" s="1500">
        <v>1.2620910621938648</v>
      </c>
      <c r="O80" s="1501" t="s">
        <v>3196</v>
      </c>
      <c r="P80" s="1495">
        <v>113815.2</v>
      </c>
      <c r="Q80" s="873">
        <v>1</v>
      </c>
      <c r="R80" s="874">
        <f t="shared" si="22"/>
        <v>1.2434566510799234</v>
      </c>
      <c r="S80" s="875" t="str">
        <f t="shared" si="23"/>
        <v>(2,4,1,3,1,5); Brailovsky et al. (2024)</v>
      </c>
      <c r="U80" s="452"/>
      <c r="V80" s="452"/>
      <c r="W80" s="452"/>
      <c r="X80" s="452"/>
      <c r="Y80" s="452"/>
      <c r="Z80" s="303"/>
      <c r="AA80" s="21">
        <v>3</v>
      </c>
      <c r="AB80" s="21">
        <v>4</v>
      </c>
      <c r="AC80" s="21">
        <v>1</v>
      </c>
      <c r="AD80" s="21">
        <v>3</v>
      </c>
      <c r="AE80" s="21">
        <v>1</v>
      </c>
      <c r="AF80" s="315">
        <v>5</v>
      </c>
      <c r="AG80" s="297">
        <v>3</v>
      </c>
      <c r="AH80" s="6">
        <v>1.05</v>
      </c>
      <c r="AI80" s="245">
        <f t="shared" si="16"/>
        <v>1.2555818742947564</v>
      </c>
      <c r="AJ80" s="245">
        <f t="shared" si="17"/>
        <v>1.2620910621938648</v>
      </c>
      <c r="AK80" s="246" t="str">
        <f t="shared" si="18"/>
        <v>(3,4,1,3,1,5)</v>
      </c>
      <c r="AL80" s="30">
        <v>1.1000000000000001</v>
      </c>
      <c r="AM80" s="30">
        <v>1.1000000000000001</v>
      </c>
      <c r="AN80" s="30">
        <v>1</v>
      </c>
      <c r="AO80" s="30">
        <v>1.02</v>
      </c>
      <c r="AP80" s="30">
        <v>1</v>
      </c>
      <c r="AQ80" s="30">
        <v>1.2</v>
      </c>
      <c r="AS80" s="303" t="s">
        <v>673</v>
      </c>
      <c r="AT80" s="21">
        <v>2</v>
      </c>
      <c r="AU80" s="21">
        <v>4</v>
      </c>
      <c r="AV80" s="21">
        <v>1</v>
      </c>
      <c r="AW80" s="21">
        <v>3</v>
      </c>
      <c r="AX80" s="21">
        <v>1</v>
      </c>
      <c r="AY80" s="21">
        <v>5</v>
      </c>
      <c r="AZ80" s="297">
        <v>3</v>
      </c>
      <c r="BA80" s="6">
        <v>1.05</v>
      </c>
      <c r="BB80" s="245">
        <f t="shared" si="19"/>
        <v>1.2365959919080913</v>
      </c>
      <c r="BC80" s="245">
        <f t="shared" si="20"/>
        <v>1.2434566510799234</v>
      </c>
      <c r="BD80" s="246" t="str">
        <f t="shared" si="21"/>
        <v>(2,4,1,3,1,5)</v>
      </c>
      <c r="BE80" s="30">
        <v>1.05</v>
      </c>
      <c r="BF80" s="30">
        <v>1.1000000000000001</v>
      </c>
      <c r="BG80" s="30">
        <v>1</v>
      </c>
      <c r="BH80" s="30">
        <v>1.02</v>
      </c>
      <c r="BI80" s="30">
        <v>1</v>
      </c>
      <c r="BJ80" s="30">
        <v>1.2</v>
      </c>
    </row>
    <row r="81" spans="1:62" ht="18" customHeight="1">
      <c r="A81" s="1489">
        <v>267287</v>
      </c>
      <c r="B81" s="1524" t="s">
        <v>734</v>
      </c>
      <c r="C81" s="1490"/>
      <c r="D81" s="1548">
        <v>5</v>
      </c>
      <c r="E81" s="1549" t="s">
        <v>98</v>
      </c>
      <c r="F81" s="1541" t="s">
        <v>690</v>
      </c>
      <c r="G81" s="1542" t="s">
        <v>154</v>
      </c>
      <c r="H81" s="1550" t="s">
        <v>98</v>
      </c>
      <c r="I81" s="1543" t="s">
        <v>98</v>
      </c>
      <c r="J81" s="1544">
        <v>0</v>
      </c>
      <c r="K81" s="1542" t="s">
        <v>104</v>
      </c>
      <c r="L81" s="1542">
        <v>0</v>
      </c>
      <c r="M81" s="1545">
        <v>1</v>
      </c>
      <c r="N81" s="1546">
        <v>1.2620910621938648</v>
      </c>
      <c r="O81" s="1547" t="s">
        <v>3196</v>
      </c>
      <c r="P81" s="1542">
        <v>109230.22900500656</v>
      </c>
      <c r="Q81" s="903">
        <v>1</v>
      </c>
      <c r="R81" s="904">
        <f t="shared" si="22"/>
        <v>1.2434566510799234</v>
      </c>
      <c r="S81" s="905" t="str">
        <f t="shared" si="23"/>
        <v>(2,4,1,3,1,5); Brailovsky et al. (2024): From machine operation, diesel,  &gt;= 74.57 kW, energy density 45.5MJ/kg</v>
      </c>
      <c r="U81" s="452"/>
      <c r="V81" s="452"/>
      <c r="W81" s="452"/>
      <c r="X81" s="452"/>
      <c r="Y81" s="452"/>
      <c r="Z81" s="303"/>
      <c r="AA81" s="21">
        <v>3</v>
      </c>
      <c r="AB81" s="21">
        <v>4</v>
      </c>
      <c r="AC81" s="21">
        <v>1</v>
      </c>
      <c r="AD81" s="21">
        <v>3</v>
      </c>
      <c r="AE81" s="21">
        <v>1</v>
      </c>
      <c r="AF81" s="315">
        <v>5</v>
      </c>
      <c r="AG81" s="297">
        <v>1</v>
      </c>
      <c r="AH81" s="6">
        <v>1.05</v>
      </c>
      <c r="AI81" s="245">
        <f t="shared" si="16"/>
        <v>1.2555818742947564</v>
      </c>
      <c r="AJ81" s="245">
        <f t="shared" si="17"/>
        <v>1.2620910621938648</v>
      </c>
      <c r="AK81" s="246" t="str">
        <f t="shared" si="18"/>
        <v>(3,4,1,3,1,5)</v>
      </c>
      <c r="AL81" s="30">
        <v>1.1000000000000001</v>
      </c>
      <c r="AM81" s="30">
        <v>1.1000000000000001</v>
      </c>
      <c r="AN81" s="30">
        <v>1</v>
      </c>
      <c r="AO81" s="30">
        <v>1.02</v>
      </c>
      <c r="AP81" s="30">
        <v>1</v>
      </c>
      <c r="AQ81" s="30">
        <v>1.2</v>
      </c>
      <c r="AS81" s="303" t="s">
        <v>693</v>
      </c>
      <c r="AT81" s="21">
        <v>2</v>
      </c>
      <c r="AU81" s="21">
        <v>4</v>
      </c>
      <c r="AV81" s="21">
        <v>1</v>
      </c>
      <c r="AW81" s="21">
        <v>3</v>
      </c>
      <c r="AX81" s="21">
        <v>1</v>
      </c>
      <c r="AY81" s="21">
        <v>5</v>
      </c>
      <c r="AZ81" s="297">
        <v>1</v>
      </c>
      <c r="BA81" s="6">
        <v>1.05</v>
      </c>
      <c r="BB81" s="245">
        <f t="shared" si="19"/>
        <v>1.2365959919080913</v>
      </c>
      <c r="BC81" s="245">
        <f t="shared" si="20"/>
        <v>1.2434566510799234</v>
      </c>
      <c r="BD81" s="246" t="str">
        <f t="shared" si="21"/>
        <v>(2,4,1,3,1,5)</v>
      </c>
      <c r="BE81" s="30">
        <v>1.05</v>
      </c>
      <c r="BF81" s="30">
        <v>1.1000000000000001</v>
      </c>
      <c r="BG81" s="30">
        <v>1</v>
      </c>
      <c r="BH81" s="30">
        <v>1.02</v>
      </c>
      <c r="BI81" s="30">
        <v>1</v>
      </c>
      <c r="BJ81" s="30">
        <v>1.2</v>
      </c>
    </row>
    <row r="82" spans="1:62">
      <c r="A82" s="1489">
        <v>160371</v>
      </c>
      <c r="B82" s="1524"/>
      <c r="C82" s="1490"/>
      <c r="D82" s="1492">
        <v>5</v>
      </c>
      <c r="E82" s="1493" t="s">
        <v>98</v>
      </c>
      <c r="F82" s="1494" t="s">
        <v>242</v>
      </c>
      <c r="G82" s="1495" t="s">
        <v>93</v>
      </c>
      <c r="H82" s="1496" t="s">
        <v>98</v>
      </c>
      <c r="I82" s="1497" t="s">
        <v>98</v>
      </c>
      <c r="J82" s="1498">
        <v>0</v>
      </c>
      <c r="K82" s="1495" t="s">
        <v>115</v>
      </c>
      <c r="L82" s="1495">
        <v>0</v>
      </c>
      <c r="M82" s="1499">
        <v>1</v>
      </c>
      <c r="N82" s="1500">
        <v>2.0741629046031922</v>
      </c>
      <c r="O82" s="1501" t="s">
        <v>3196</v>
      </c>
      <c r="P82" s="1495">
        <v>42468.399999999987</v>
      </c>
      <c r="Q82" s="873">
        <v>1</v>
      </c>
      <c r="R82" s="874">
        <f t="shared" si="22"/>
        <v>2.0646254680556719</v>
      </c>
      <c r="S82" s="875" t="str">
        <f t="shared" si="23"/>
        <v>(2,4,1,3,1,5); Brailovsky et al. (2024)</v>
      </c>
      <c r="U82" s="452"/>
      <c r="V82" s="452"/>
      <c r="W82" s="452"/>
      <c r="X82" s="452"/>
      <c r="Y82" s="452"/>
      <c r="Z82" s="303"/>
      <c r="AA82" s="21">
        <v>3</v>
      </c>
      <c r="AB82" s="21">
        <v>4</v>
      </c>
      <c r="AC82" s="21">
        <v>1</v>
      </c>
      <c r="AD82" s="21">
        <v>3</v>
      </c>
      <c r="AE82" s="21">
        <v>1</v>
      </c>
      <c r="AF82" s="315">
        <v>5</v>
      </c>
      <c r="AG82" s="297">
        <v>5</v>
      </c>
      <c r="AH82" s="6">
        <v>2</v>
      </c>
      <c r="AI82" s="245">
        <f t="shared" si="16"/>
        <v>1.2555818742947564</v>
      </c>
      <c r="AJ82" s="245">
        <f t="shared" si="17"/>
        <v>2.0741629046031922</v>
      </c>
      <c r="AK82" s="246" t="str">
        <f t="shared" si="18"/>
        <v>(3,4,1,3,1,5)</v>
      </c>
      <c r="AL82" s="30">
        <v>1.1000000000000001</v>
      </c>
      <c r="AM82" s="30">
        <v>1.1000000000000001</v>
      </c>
      <c r="AN82" s="30">
        <v>1</v>
      </c>
      <c r="AO82" s="30">
        <v>1.02</v>
      </c>
      <c r="AP82" s="30">
        <v>1</v>
      </c>
      <c r="AQ82" s="30">
        <v>1.2</v>
      </c>
      <c r="AS82" s="303" t="s">
        <v>673</v>
      </c>
      <c r="AT82" s="21">
        <v>2</v>
      </c>
      <c r="AU82" s="21">
        <v>4</v>
      </c>
      <c r="AV82" s="21">
        <v>1</v>
      </c>
      <c r="AW82" s="21">
        <v>3</v>
      </c>
      <c r="AX82" s="21">
        <v>1</v>
      </c>
      <c r="AY82" s="21">
        <v>5</v>
      </c>
      <c r="AZ82" s="297">
        <v>5</v>
      </c>
      <c r="BA82" s="6">
        <v>2</v>
      </c>
      <c r="BB82" s="245">
        <f t="shared" si="19"/>
        <v>1.2365959919080913</v>
      </c>
      <c r="BC82" s="245">
        <f t="shared" si="20"/>
        <v>2.0646254680556719</v>
      </c>
      <c r="BD82" s="246" t="str">
        <f t="shared" si="21"/>
        <v>(2,4,1,3,1,5)</v>
      </c>
      <c r="BE82" s="30">
        <v>1.05</v>
      </c>
      <c r="BF82" s="30">
        <v>1.1000000000000001</v>
      </c>
      <c r="BG82" s="30">
        <v>1</v>
      </c>
      <c r="BH82" s="30">
        <v>1.02</v>
      </c>
      <c r="BI82" s="30">
        <v>1</v>
      </c>
      <c r="BJ82" s="30">
        <v>1.2</v>
      </c>
    </row>
    <row r="83" spans="1:62">
      <c r="A83" s="1489">
        <v>269641</v>
      </c>
      <c r="B83" s="1524"/>
      <c r="C83" s="1490"/>
      <c r="D83" s="1548">
        <v>5</v>
      </c>
      <c r="E83" s="1549" t="s">
        <v>98</v>
      </c>
      <c r="F83" s="1541" t="s">
        <v>240</v>
      </c>
      <c r="G83" s="1542" t="s">
        <v>93</v>
      </c>
      <c r="H83" s="1550" t="s">
        <v>98</v>
      </c>
      <c r="I83" s="1543" t="s">
        <v>98</v>
      </c>
      <c r="J83" s="1544">
        <v>0</v>
      </c>
      <c r="K83" s="1542" t="s">
        <v>115</v>
      </c>
      <c r="L83" s="1542">
        <v>0</v>
      </c>
      <c r="M83" s="1545">
        <v>1</v>
      </c>
      <c r="N83" s="1546">
        <v>2.0741629046031922</v>
      </c>
      <c r="O83" s="1547" t="s">
        <v>3196</v>
      </c>
      <c r="P83" s="1542">
        <v>78566.5</v>
      </c>
      <c r="Q83" s="903">
        <v>1</v>
      </c>
      <c r="R83" s="904">
        <f t="shared" si="22"/>
        <v>2.0646254680556719</v>
      </c>
      <c r="S83" s="905" t="str">
        <f t="shared" si="23"/>
        <v>(2,4,1,3,1,5); Brailovsky et al. (2024)</v>
      </c>
      <c r="U83" s="452"/>
      <c r="V83" s="452"/>
      <c r="W83" s="452"/>
      <c r="X83" s="452"/>
      <c r="Y83" s="452"/>
      <c r="Z83" s="303"/>
      <c r="AA83" s="21">
        <v>3</v>
      </c>
      <c r="AB83" s="21">
        <v>4</v>
      </c>
      <c r="AC83" s="21">
        <v>1</v>
      </c>
      <c r="AD83" s="21">
        <v>3</v>
      </c>
      <c r="AE83" s="21">
        <v>1</v>
      </c>
      <c r="AF83" s="315">
        <v>5</v>
      </c>
      <c r="AG83" s="297">
        <v>5</v>
      </c>
      <c r="AH83" s="6">
        <v>2</v>
      </c>
      <c r="AI83" s="245">
        <f t="shared" si="16"/>
        <v>1.2555818742947564</v>
      </c>
      <c r="AJ83" s="245">
        <f t="shared" si="17"/>
        <v>2.0741629046031922</v>
      </c>
      <c r="AK83" s="246" t="str">
        <f t="shared" si="18"/>
        <v>(3,4,1,3,1,5)</v>
      </c>
      <c r="AL83" s="30">
        <v>1.1000000000000001</v>
      </c>
      <c r="AM83" s="30">
        <v>1.1000000000000001</v>
      </c>
      <c r="AN83" s="30">
        <v>1</v>
      </c>
      <c r="AO83" s="30">
        <v>1.02</v>
      </c>
      <c r="AP83" s="30">
        <v>1</v>
      </c>
      <c r="AQ83" s="30">
        <v>1.2</v>
      </c>
      <c r="AS83" s="303" t="s">
        <v>673</v>
      </c>
      <c r="AT83" s="21">
        <v>2</v>
      </c>
      <c r="AU83" s="21">
        <v>4</v>
      </c>
      <c r="AV83" s="21">
        <v>1</v>
      </c>
      <c r="AW83" s="21">
        <v>3</v>
      </c>
      <c r="AX83" s="21">
        <v>1</v>
      </c>
      <c r="AY83" s="21">
        <v>5</v>
      </c>
      <c r="AZ83" s="297">
        <v>5</v>
      </c>
      <c r="BA83" s="6">
        <v>2</v>
      </c>
      <c r="BB83" s="245">
        <f t="shared" si="19"/>
        <v>1.2365959919080913</v>
      </c>
      <c r="BC83" s="245">
        <f t="shared" si="20"/>
        <v>2.0646254680556719</v>
      </c>
      <c r="BD83" s="246" t="str">
        <f t="shared" si="21"/>
        <v>(2,4,1,3,1,5)</v>
      </c>
      <c r="BE83" s="30">
        <v>1.05</v>
      </c>
      <c r="BF83" s="30">
        <v>1.1000000000000001</v>
      </c>
      <c r="BG83" s="30">
        <v>1</v>
      </c>
      <c r="BH83" s="30">
        <v>1.02</v>
      </c>
      <c r="BI83" s="30">
        <v>1</v>
      </c>
      <c r="BJ83" s="30">
        <v>1.2</v>
      </c>
    </row>
    <row r="84" spans="1:62">
      <c r="A84" s="1489">
        <v>267874</v>
      </c>
      <c r="B84" s="1524" t="s">
        <v>735</v>
      </c>
      <c r="C84" s="1490"/>
      <c r="D84" s="1492">
        <v>5</v>
      </c>
      <c r="E84" s="1493" t="s">
        <v>98</v>
      </c>
      <c r="F84" s="1494" t="s">
        <v>736</v>
      </c>
      <c r="G84" s="1495" t="s">
        <v>93</v>
      </c>
      <c r="H84" s="1496" t="s">
        <v>98</v>
      </c>
      <c r="I84" s="1497" t="s">
        <v>98</v>
      </c>
      <c r="J84" s="1498">
        <v>0</v>
      </c>
      <c r="K84" s="1495" t="s">
        <v>96</v>
      </c>
      <c r="L84" s="1495">
        <v>0</v>
      </c>
      <c r="M84" s="1499">
        <v>1</v>
      </c>
      <c r="N84" s="1500">
        <v>1.2620910621938648</v>
      </c>
      <c r="O84" s="1501" t="s">
        <v>3196</v>
      </c>
      <c r="P84" s="1495">
        <v>5181015.0000000009</v>
      </c>
      <c r="Q84" s="873">
        <v>1</v>
      </c>
      <c r="R84" s="874">
        <f t="shared" si="22"/>
        <v>1.2434566510799234</v>
      </c>
      <c r="S84" s="875" t="str">
        <f t="shared" si="23"/>
        <v>(2,4,1,3,1,5); Brailovsky et al. (2024)</v>
      </c>
      <c r="U84" s="452"/>
      <c r="V84" s="452"/>
      <c r="W84" s="452"/>
      <c r="X84" s="452"/>
      <c r="Y84" s="452"/>
      <c r="Z84" s="303"/>
      <c r="AA84" s="21">
        <v>3</v>
      </c>
      <c r="AB84" s="21">
        <v>4</v>
      </c>
      <c r="AC84" s="21">
        <v>1</v>
      </c>
      <c r="AD84" s="21">
        <v>3</v>
      </c>
      <c r="AE84" s="21">
        <v>1</v>
      </c>
      <c r="AF84" s="315">
        <v>5</v>
      </c>
      <c r="AG84" s="297">
        <v>3</v>
      </c>
      <c r="AH84" s="6">
        <v>1.05</v>
      </c>
      <c r="AI84" s="245">
        <f t="shared" si="16"/>
        <v>1.2555818742947564</v>
      </c>
      <c r="AJ84" s="245">
        <f t="shared" si="17"/>
        <v>1.2620910621938648</v>
      </c>
      <c r="AK84" s="246" t="str">
        <f t="shared" si="18"/>
        <v>(3,4,1,3,1,5)</v>
      </c>
      <c r="AL84" s="30">
        <v>1.1000000000000001</v>
      </c>
      <c r="AM84" s="30">
        <v>1.1000000000000001</v>
      </c>
      <c r="AN84" s="30">
        <v>1</v>
      </c>
      <c r="AO84" s="30">
        <v>1.02</v>
      </c>
      <c r="AP84" s="30">
        <v>1</v>
      </c>
      <c r="AQ84" s="30">
        <v>1.2</v>
      </c>
      <c r="AS84" s="303" t="s">
        <v>673</v>
      </c>
      <c r="AT84" s="21">
        <v>2</v>
      </c>
      <c r="AU84" s="21">
        <v>4</v>
      </c>
      <c r="AV84" s="21">
        <v>1</v>
      </c>
      <c r="AW84" s="21">
        <v>3</v>
      </c>
      <c r="AX84" s="21">
        <v>1</v>
      </c>
      <c r="AY84" s="21">
        <v>5</v>
      </c>
      <c r="AZ84" s="297">
        <v>3</v>
      </c>
      <c r="BA84" s="6">
        <v>1.05</v>
      </c>
      <c r="BB84" s="245">
        <f t="shared" si="19"/>
        <v>1.2365959919080913</v>
      </c>
      <c r="BC84" s="245">
        <f t="shared" si="20"/>
        <v>1.2434566510799234</v>
      </c>
      <c r="BD84" s="246" t="str">
        <f t="shared" si="21"/>
        <v>(2,4,1,3,1,5)</v>
      </c>
      <c r="BE84" s="30">
        <v>1.05</v>
      </c>
      <c r="BF84" s="30">
        <v>1.1000000000000001</v>
      </c>
      <c r="BG84" s="30">
        <v>1</v>
      </c>
      <c r="BH84" s="30">
        <v>1.02</v>
      </c>
      <c r="BI84" s="30">
        <v>1</v>
      </c>
      <c r="BJ84" s="30">
        <v>1.2</v>
      </c>
    </row>
    <row r="85" spans="1:62">
      <c r="A85" s="1489">
        <v>268459</v>
      </c>
      <c r="B85" s="1524"/>
      <c r="C85" s="1490"/>
      <c r="D85" s="1548">
        <v>5</v>
      </c>
      <c r="E85" s="1549" t="s">
        <v>98</v>
      </c>
      <c r="F85" s="1541" t="s">
        <v>678</v>
      </c>
      <c r="G85" s="1542" t="s">
        <v>93</v>
      </c>
      <c r="H85" s="1550" t="s">
        <v>98</v>
      </c>
      <c r="I85" s="1543" t="s">
        <v>98</v>
      </c>
      <c r="J85" s="1544">
        <v>0</v>
      </c>
      <c r="K85" s="1542" t="s">
        <v>679</v>
      </c>
      <c r="L85" s="1542">
        <v>0</v>
      </c>
      <c r="M85" s="1545">
        <v>1</v>
      </c>
      <c r="N85" s="1546">
        <v>1.2620910621938648</v>
      </c>
      <c r="O85" s="1547" t="s">
        <v>3196</v>
      </c>
      <c r="P85" s="1542">
        <v>444087</v>
      </c>
      <c r="Q85" s="903">
        <v>1</v>
      </c>
      <c r="R85" s="904">
        <f t="shared" si="22"/>
        <v>1.2434566510799234</v>
      </c>
      <c r="S85" s="905" t="str">
        <f t="shared" si="23"/>
        <v>(2,4,1,3,1,5); Brailovsky et al. (2024)</v>
      </c>
      <c r="U85" s="452"/>
      <c r="V85" s="452"/>
      <c r="W85" s="452"/>
      <c r="X85" s="452"/>
      <c r="Y85" s="452"/>
      <c r="Z85" s="303"/>
      <c r="AA85" s="21">
        <v>3</v>
      </c>
      <c r="AB85" s="21">
        <v>4</v>
      </c>
      <c r="AC85" s="21">
        <v>1</v>
      </c>
      <c r="AD85" s="21">
        <v>3</v>
      </c>
      <c r="AE85" s="21">
        <v>1</v>
      </c>
      <c r="AF85" s="315">
        <v>5</v>
      </c>
      <c r="AG85" s="297">
        <v>3</v>
      </c>
      <c r="AH85" s="6">
        <v>1.05</v>
      </c>
      <c r="AI85" s="245">
        <f t="shared" si="16"/>
        <v>1.2555818742947564</v>
      </c>
      <c r="AJ85" s="245">
        <f t="shared" si="17"/>
        <v>1.2620910621938648</v>
      </c>
      <c r="AK85" s="246" t="str">
        <f t="shared" si="18"/>
        <v>(3,4,1,3,1,5)</v>
      </c>
      <c r="AL85" s="30">
        <v>1.1000000000000001</v>
      </c>
      <c r="AM85" s="30">
        <v>1.1000000000000001</v>
      </c>
      <c r="AN85" s="30">
        <v>1</v>
      </c>
      <c r="AO85" s="30">
        <v>1.02</v>
      </c>
      <c r="AP85" s="30">
        <v>1</v>
      </c>
      <c r="AQ85" s="30">
        <v>1.2</v>
      </c>
      <c r="AS85" s="303" t="s">
        <v>673</v>
      </c>
      <c r="AT85" s="21">
        <v>2</v>
      </c>
      <c r="AU85" s="21">
        <v>4</v>
      </c>
      <c r="AV85" s="21">
        <v>1</v>
      </c>
      <c r="AW85" s="21">
        <v>3</v>
      </c>
      <c r="AX85" s="21">
        <v>1</v>
      </c>
      <c r="AY85" s="21">
        <v>5</v>
      </c>
      <c r="AZ85" s="297">
        <v>3</v>
      </c>
      <c r="BA85" s="6">
        <v>1.05</v>
      </c>
      <c r="BB85" s="245">
        <f t="shared" si="19"/>
        <v>1.2365959919080913</v>
      </c>
      <c r="BC85" s="245">
        <f t="shared" si="20"/>
        <v>1.2434566510799234</v>
      </c>
      <c r="BD85" s="246" t="str">
        <f t="shared" si="21"/>
        <v>(2,4,1,3,1,5)</v>
      </c>
      <c r="BE85" s="30">
        <v>1.05</v>
      </c>
      <c r="BF85" s="30">
        <v>1.1000000000000001</v>
      </c>
      <c r="BG85" s="30">
        <v>1</v>
      </c>
      <c r="BH85" s="30">
        <v>1.02</v>
      </c>
      <c r="BI85" s="30">
        <v>1</v>
      </c>
      <c r="BJ85" s="30">
        <v>1.2</v>
      </c>
    </row>
    <row r="86" spans="1:62">
      <c r="A86" s="1489">
        <v>261394</v>
      </c>
      <c r="B86" s="1524"/>
      <c r="C86" s="1490"/>
      <c r="D86" s="1492">
        <v>5</v>
      </c>
      <c r="E86" s="1493" t="s">
        <v>98</v>
      </c>
      <c r="F86" s="1494" t="s">
        <v>737</v>
      </c>
      <c r="G86" s="1495" t="s">
        <v>103</v>
      </c>
      <c r="H86" s="1496" t="s">
        <v>98</v>
      </c>
      <c r="I86" s="1497" t="s">
        <v>98</v>
      </c>
      <c r="J86" s="1498">
        <v>0</v>
      </c>
      <c r="K86" s="1495" t="s">
        <v>96</v>
      </c>
      <c r="L86" s="1495">
        <v>0</v>
      </c>
      <c r="M86" s="1499">
        <v>1</v>
      </c>
      <c r="N86" s="1500">
        <v>1.2620910621938648</v>
      </c>
      <c r="O86" s="1501" t="s">
        <v>3196</v>
      </c>
      <c r="P86" s="1495">
        <v>518101.49999999988</v>
      </c>
      <c r="Q86" s="873">
        <v>1</v>
      </c>
      <c r="R86" s="874">
        <f t="shared" si="22"/>
        <v>1.2434566510799234</v>
      </c>
      <c r="S86" s="875" t="str">
        <f t="shared" si="23"/>
        <v>(2,4,1,3,1,5); Brailovsky et al. (2024)</v>
      </c>
      <c r="U86" s="452"/>
      <c r="V86" s="452"/>
      <c r="W86" s="452"/>
      <c r="X86" s="452"/>
      <c r="Y86" s="452"/>
      <c r="Z86" s="303"/>
      <c r="AA86" s="21">
        <v>3</v>
      </c>
      <c r="AB86" s="21">
        <v>4</v>
      </c>
      <c r="AC86" s="21">
        <v>1</v>
      </c>
      <c r="AD86" s="21">
        <v>3</v>
      </c>
      <c r="AE86" s="21">
        <v>1</v>
      </c>
      <c r="AF86" s="315">
        <v>5</v>
      </c>
      <c r="AG86" s="297">
        <v>3</v>
      </c>
      <c r="AH86" s="6">
        <v>1.05</v>
      </c>
      <c r="AI86" s="245">
        <f t="shared" si="16"/>
        <v>1.2555818742947564</v>
      </c>
      <c r="AJ86" s="245">
        <f t="shared" si="17"/>
        <v>1.2620910621938648</v>
      </c>
      <c r="AK86" s="246" t="str">
        <f t="shared" si="18"/>
        <v>(3,4,1,3,1,5)</v>
      </c>
      <c r="AL86" s="30">
        <v>1.1000000000000001</v>
      </c>
      <c r="AM86" s="30">
        <v>1.1000000000000001</v>
      </c>
      <c r="AN86" s="30">
        <v>1</v>
      </c>
      <c r="AO86" s="30">
        <v>1.02</v>
      </c>
      <c r="AP86" s="30">
        <v>1</v>
      </c>
      <c r="AQ86" s="30">
        <v>1.2</v>
      </c>
      <c r="AS86" s="303" t="s">
        <v>673</v>
      </c>
      <c r="AT86" s="21">
        <v>2</v>
      </c>
      <c r="AU86" s="21">
        <v>4</v>
      </c>
      <c r="AV86" s="21">
        <v>1</v>
      </c>
      <c r="AW86" s="21">
        <v>3</v>
      </c>
      <c r="AX86" s="21">
        <v>1</v>
      </c>
      <c r="AY86" s="21">
        <v>5</v>
      </c>
      <c r="AZ86" s="297">
        <v>3</v>
      </c>
      <c r="BA86" s="6">
        <v>1.05</v>
      </c>
      <c r="BB86" s="245">
        <f t="shared" si="19"/>
        <v>1.2365959919080913</v>
      </c>
      <c r="BC86" s="245">
        <f t="shared" si="20"/>
        <v>1.2434566510799234</v>
      </c>
      <c r="BD86" s="246" t="str">
        <f t="shared" si="21"/>
        <v>(2,4,1,3,1,5)</v>
      </c>
      <c r="BE86" s="30">
        <v>1.05</v>
      </c>
      <c r="BF86" s="30">
        <v>1.1000000000000001</v>
      </c>
      <c r="BG86" s="30">
        <v>1</v>
      </c>
      <c r="BH86" s="30">
        <v>1.02</v>
      </c>
      <c r="BI86" s="30">
        <v>1</v>
      </c>
      <c r="BJ86" s="30">
        <v>1.2</v>
      </c>
    </row>
    <row r="87" spans="1:62">
      <c r="A87" s="1489">
        <v>266627</v>
      </c>
      <c r="B87" s="1524"/>
      <c r="C87" s="1490"/>
      <c r="D87" s="1548">
        <v>5</v>
      </c>
      <c r="E87" s="1549" t="s">
        <v>98</v>
      </c>
      <c r="F87" s="1541" t="s">
        <v>634</v>
      </c>
      <c r="G87" s="1542" t="s">
        <v>93</v>
      </c>
      <c r="H87" s="1550" t="s">
        <v>98</v>
      </c>
      <c r="I87" s="1543" t="s">
        <v>98</v>
      </c>
      <c r="J87" s="1544">
        <v>0</v>
      </c>
      <c r="K87" s="1542" t="s">
        <v>96</v>
      </c>
      <c r="L87" s="1542">
        <v>0</v>
      </c>
      <c r="M87" s="1545">
        <v>1</v>
      </c>
      <c r="N87" s="1546">
        <v>1.2620910621938648</v>
      </c>
      <c r="O87" s="1547" t="s">
        <v>3196</v>
      </c>
      <c r="P87" s="1542">
        <v>4662913.5</v>
      </c>
      <c r="Q87" s="903">
        <v>1</v>
      </c>
      <c r="R87" s="904">
        <f t="shared" si="22"/>
        <v>1.2434566510799234</v>
      </c>
      <c r="S87" s="905" t="str">
        <f t="shared" si="23"/>
        <v>(2,4,1,3,1,5); Brailovsky et al. (2024)</v>
      </c>
      <c r="U87" s="452"/>
      <c r="V87" s="452"/>
      <c r="W87" s="452"/>
      <c r="X87" s="452"/>
      <c r="Y87" s="452"/>
      <c r="Z87" s="303"/>
      <c r="AA87" s="21">
        <v>3</v>
      </c>
      <c r="AB87" s="21">
        <v>4</v>
      </c>
      <c r="AC87" s="21">
        <v>1</v>
      </c>
      <c r="AD87" s="21">
        <v>3</v>
      </c>
      <c r="AE87" s="21">
        <v>1</v>
      </c>
      <c r="AF87" s="315">
        <v>5</v>
      </c>
      <c r="AG87" s="297">
        <v>3</v>
      </c>
      <c r="AH87" s="6">
        <v>1.05</v>
      </c>
      <c r="AI87" s="245">
        <f t="shared" si="16"/>
        <v>1.2555818742947564</v>
      </c>
      <c r="AJ87" s="245">
        <f t="shared" si="17"/>
        <v>1.2620910621938648</v>
      </c>
      <c r="AK87" s="246" t="str">
        <f t="shared" si="18"/>
        <v>(3,4,1,3,1,5)</v>
      </c>
      <c r="AL87" s="30">
        <v>1.1000000000000001</v>
      </c>
      <c r="AM87" s="30">
        <v>1.1000000000000001</v>
      </c>
      <c r="AN87" s="30">
        <v>1</v>
      </c>
      <c r="AO87" s="30">
        <v>1.02</v>
      </c>
      <c r="AP87" s="30">
        <v>1</v>
      </c>
      <c r="AQ87" s="30">
        <v>1.2</v>
      </c>
      <c r="AS87" s="303" t="s">
        <v>673</v>
      </c>
      <c r="AT87" s="21">
        <v>2</v>
      </c>
      <c r="AU87" s="21">
        <v>4</v>
      </c>
      <c r="AV87" s="21">
        <v>1</v>
      </c>
      <c r="AW87" s="21">
        <v>3</v>
      </c>
      <c r="AX87" s="21">
        <v>1</v>
      </c>
      <c r="AY87" s="21">
        <v>5</v>
      </c>
      <c r="AZ87" s="297">
        <v>3</v>
      </c>
      <c r="BA87" s="6">
        <v>1.05</v>
      </c>
      <c r="BB87" s="245">
        <f t="shared" si="19"/>
        <v>1.2365959919080913</v>
      </c>
      <c r="BC87" s="245">
        <f t="shared" si="20"/>
        <v>1.2434566510799234</v>
      </c>
      <c r="BD87" s="246" t="str">
        <f t="shared" si="21"/>
        <v>(2,4,1,3,1,5)</v>
      </c>
      <c r="BE87" s="30">
        <v>1.05</v>
      </c>
      <c r="BF87" s="30">
        <v>1.1000000000000001</v>
      </c>
      <c r="BG87" s="30">
        <v>1</v>
      </c>
      <c r="BH87" s="30">
        <v>1.02</v>
      </c>
      <c r="BI87" s="30">
        <v>1</v>
      </c>
      <c r="BJ87" s="30">
        <v>1.2</v>
      </c>
    </row>
    <row r="88" spans="1:62">
      <c r="A88" s="1489">
        <v>160371</v>
      </c>
      <c r="B88" s="1524"/>
      <c r="C88" s="1490"/>
      <c r="D88" s="1492">
        <v>5</v>
      </c>
      <c r="E88" s="1493" t="s">
        <v>98</v>
      </c>
      <c r="F88" s="1494" t="s">
        <v>242</v>
      </c>
      <c r="G88" s="1495" t="s">
        <v>93</v>
      </c>
      <c r="H88" s="1496" t="s">
        <v>98</v>
      </c>
      <c r="I88" s="1497" t="s">
        <v>98</v>
      </c>
      <c r="J88" s="1498">
        <v>0</v>
      </c>
      <c r="K88" s="1495" t="s">
        <v>115</v>
      </c>
      <c r="L88" s="1495">
        <v>0</v>
      </c>
      <c r="M88" s="1499">
        <v>1</v>
      </c>
      <c r="N88" s="1500">
        <v>2.0741629046031922</v>
      </c>
      <c r="O88" s="1501" t="s">
        <v>3196</v>
      </c>
      <c r="P88" s="1495">
        <v>984392.9</v>
      </c>
      <c r="Q88" s="873">
        <v>1</v>
      </c>
      <c r="R88" s="874">
        <f t="shared" si="22"/>
        <v>2.0646254680556719</v>
      </c>
      <c r="S88" s="875" t="str">
        <f t="shared" si="23"/>
        <v>(2,4,1,3,1,5); Brailovsky et al. (2024)</v>
      </c>
      <c r="U88" s="452"/>
      <c r="V88" s="452"/>
      <c r="W88" s="452"/>
      <c r="X88" s="452"/>
      <c r="Y88" s="452"/>
      <c r="Z88" s="303"/>
      <c r="AA88" s="21">
        <v>3</v>
      </c>
      <c r="AB88" s="21">
        <v>4</v>
      </c>
      <c r="AC88" s="21">
        <v>1</v>
      </c>
      <c r="AD88" s="21">
        <v>3</v>
      </c>
      <c r="AE88" s="21">
        <v>1</v>
      </c>
      <c r="AF88" s="315">
        <v>5</v>
      </c>
      <c r="AG88" s="297">
        <v>5</v>
      </c>
      <c r="AH88" s="6">
        <v>2</v>
      </c>
      <c r="AI88" s="245">
        <f t="shared" si="16"/>
        <v>1.2555818742947564</v>
      </c>
      <c r="AJ88" s="245">
        <f t="shared" si="17"/>
        <v>2.0741629046031922</v>
      </c>
      <c r="AK88" s="246" t="str">
        <f t="shared" si="18"/>
        <v>(3,4,1,3,1,5)</v>
      </c>
      <c r="AL88" s="30">
        <v>1.1000000000000001</v>
      </c>
      <c r="AM88" s="30">
        <v>1.1000000000000001</v>
      </c>
      <c r="AN88" s="30">
        <v>1</v>
      </c>
      <c r="AO88" s="30">
        <v>1.02</v>
      </c>
      <c r="AP88" s="30">
        <v>1</v>
      </c>
      <c r="AQ88" s="30">
        <v>1.2</v>
      </c>
      <c r="AS88" s="303" t="s">
        <v>673</v>
      </c>
      <c r="AT88" s="21">
        <v>2</v>
      </c>
      <c r="AU88" s="21">
        <v>4</v>
      </c>
      <c r="AV88" s="21">
        <v>1</v>
      </c>
      <c r="AW88" s="21">
        <v>3</v>
      </c>
      <c r="AX88" s="21">
        <v>1</v>
      </c>
      <c r="AY88" s="21">
        <v>5</v>
      </c>
      <c r="AZ88" s="297">
        <v>5</v>
      </c>
      <c r="BA88" s="6">
        <v>2</v>
      </c>
      <c r="BB88" s="245">
        <f t="shared" si="19"/>
        <v>1.2365959919080913</v>
      </c>
      <c r="BC88" s="245">
        <f t="shared" si="20"/>
        <v>2.0646254680556719</v>
      </c>
      <c r="BD88" s="246" t="str">
        <f t="shared" si="21"/>
        <v>(2,4,1,3,1,5)</v>
      </c>
      <c r="BE88" s="30">
        <v>1.05</v>
      </c>
      <c r="BF88" s="30">
        <v>1.1000000000000001</v>
      </c>
      <c r="BG88" s="30">
        <v>1</v>
      </c>
      <c r="BH88" s="30">
        <v>1.02</v>
      </c>
      <c r="BI88" s="30">
        <v>1</v>
      </c>
      <c r="BJ88" s="30">
        <v>1.2</v>
      </c>
    </row>
    <row r="89" spans="1:62">
      <c r="A89" s="1489">
        <v>269641</v>
      </c>
      <c r="B89" s="1524"/>
      <c r="C89" s="1490"/>
      <c r="D89" s="1548">
        <v>5</v>
      </c>
      <c r="E89" s="1549" t="s">
        <v>98</v>
      </c>
      <c r="F89" s="1541" t="s">
        <v>240</v>
      </c>
      <c r="G89" s="1542" t="s">
        <v>93</v>
      </c>
      <c r="H89" s="1550" t="s">
        <v>98</v>
      </c>
      <c r="I89" s="1543" t="s">
        <v>98</v>
      </c>
      <c r="J89" s="1544">
        <v>0</v>
      </c>
      <c r="K89" s="1542" t="s">
        <v>115</v>
      </c>
      <c r="L89" s="1542">
        <v>0</v>
      </c>
      <c r="M89" s="1545">
        <v>1</v>
      </c>
      <c r="N89" s="1546">
        <v>2.0741629046031922</v>
      </c>
      <c r="O89" s="1547" t="s">
        <v>3196</v>
      </c>
      <c r="P89" s="1542">
        <v>2012824.3</v>
      </c>
      <c r="Q89" s="903">
        <v>1</v>
      </c>
      <c r="R89" s="904">
        <f t="shared" si="22"/>
        <v>2.0646254680556719</v>
      </c>
      <c r="S89" s="905" t="str">
        <f t="shared" si="23"/>
        <v>(2,4,1,3,1,5); Brailovsky et al. (2024)</v>
      </c>
      <c r="U89" s="452"/>
      <c r="V89" s="452"/>
      <c r="W89" s="452"/>
      <c r="X89" s="452"/>
      <c r="Y89" s="452"/>
      <c r="Z89" s="303"/>
      <c r="AA89" s="21">
        <v>3</v>
      </c>
      <c r="AB89" s="21">
        <v>4</v>
      </c>
      <c r="AC89" s="21">
        <v>1</v>
      </c>
      <c r="AD89" s="21">
        <v>3</v>
      </c>
      <c r="AE89" s="21">
        <v>1</v>
      </c>
      <c r="AF89" s="315">
        <v>5</v>
      </c>
      <c r="AG89" s="297">
        <v>5</v>
      </c>
      <c r="AH89" s="6">
        <v>2</v>
      </c>
      <c r="AI89" s="245">
        <f t="shared" si="16"/>
        <v>1.2555818742947564</v>
      </c>
      <c r="AJ89" s="245">
        <f t="shared" si="17"/>
        <v>2.0741629046031922</v>
      </c>
      <c r="AK89" s="246" t="str">
        <f t="shared" si="18"/>
        <v>(3,4,1,3,1,5)</v>
      </c>
      <c r="AL89" s="30">
        <v>1.1000000000000001</v>
      </c>
      <c r="AM89" s="30">
        <v>1.1000000000000001</v>
      </c>
      <c r="AN89" s="30">
        <v>1</v>
      </c>
      <c r="AO89" s="30">
        <v>1.02</v>
      </c>
      <c r="AP89" s="30">
        <v>1</v>
      </c>
      <c r="AQ89" s="30">
        <v>1.2</v>
      </c>
      <c r="AS89" s="303" t="s">
        <v>673</v>
      </c>
      <c r="AT89" s="21">
        <v>2</v>
      </c>
      <c r="AU89" s="21">
        <v>4</v>
      </c>
      <c r="AV89" s="21">
        <v>1</v>
      </c>
      <c r="AW89" s="21">
        <v>3</v>
      </c>
      <c r="AX89" s="21">
        <v>1</v>
      </c>
      <c r="AY89" s="21">
        <v>5</v>
      </c>
      <c r="AZ89" s="297">
        <v>5</v>
      </c>
      <c r="BA89" s="6">
        <v>2</v>
      </c>
      <c r="BB89" s="245">
        <f t="shared" si="19"/>
        <v>1.2365959919080913</v>
      </c>
      <c r="BC89" s="245">
        <f t="shared" si="20"/>
        <v>2.0646254680556719</v>
      </c>
      <c r="BD89" s="246" t="str">
        <f t="shared" si="21"/>
        <v>(2,4,1,3,1,5)</v>
      </c>
      <c r="BE89" s="30">
        <v>1.05</v>
      </c>
      <c r="BF89" s="30">
        <v>1.1000000000000001</v>
      </c>
      <c r="BG89" s="30">
        <v>1</v>
      </c>
      <c r="BH89" s="30">
        <v>1.02</v>
      </c>
      <c r="BI89" s="30">
        <v>1</v>
      </c>
      <c r="BJ89" s="30">
        <v>1.2</v>
      </c>
    </row>
    <row r="90" spans="1:62">
      <c r="A90" s="1489">
        <v>261895</v>
      </c>
      <c r="B90" s="1524"/>
      <c r="C90" s="1490"/>
      <c r="D90" s="1492">
        <v>5</v>
      </c>
      <c r="E90" s="1493" t="s">
        <v>98</v>
      </c>
      <c r="F90" s="1494" t="s">
        <v>694</v>
      </c>
      <c r="G90" s="1495" t="s">
        <v>245</v>
      </c>
      <c r="H90" s="1496" t="s">
        <v>98</v>
      </c>
      <c r="I90" s="1497" t="s">
        <v>98</v>
      </c>
      <c r="J90" s="1498">
        <v>0</v>
      </c>
      <c r="K90" s="1495" t="s">
        <v>115</v>
      </c>
      <c r="L90" s="1495">
        <v>0</v>
      </c>
      <c r="M90" s="1499">
        <v>1</v>
      </c>
      <c r="N90" s="1500">
        <v>2.0741629046031922</v>
      </c>
      <c r="O90" s="1501" t="s">
        <v>3196</v>
      </c>
      <c r="P90" s="1495">
        <v>2279646.6</v>
      </c>
      <c r="Q90" s="873">
        <v>1</v>
      </c>
      <c r="R90" s="874">
        <f t="shared" si="22"/>
        <v>2.0646254680556719</v>
      </c>
      <c r="S90" s="875" t="str">
        <f t="shared" si="23"/>
        <v>(2,4,1,3,1,5); Brailovsky et al. (2024)</v>
      </c>
      <c r="U90" s="452"/>
      <c r="V90" s="452"/>
      <c r="W90" s="452"/>
      <c r="X90" s="452"/>
      <c r="Y90" s="452"/>
      <c r="Z90" s="303"/>
      <c r="AA90" s="21">
        <v>3</v>
      </c>
      <c r="AB90" s="21">
        <v>4</v>
      </c>
      <c r="AC90" s="21">
        <v>1</v>
      </c>
      <c r="AD90" s="21">
        <v>3</v>
      </c>
      <c r="AE90" s="21">
        <v>1</v>
      </c>
      <c r="AF90" s="315">
        <v>5</v>
      </c>
      <c r="AG90" s="297">
        <v>5</v>
      </c>
      <c r="AH90" s="6">
        <v>2</v>
      </c>
      <c r="AI90" s="245">
        <f t="shared" si="16"/>
        <v>1.2555818742947564</v>
      </c>
      <c r="AJ90" s="245">
        <f t="shared" si="17"/>
        <v>2.0741629046031922</v>
      </c>
      <c r="AK90" s="246" t="str">
        <f t="shared" si="18"/>
        <v>(3,4,1,3,1,5)</v>
      </c>
      <c r="AL90" s="30">
        <v>1.1000000000000001</v>
      </c>
      <c r="AM90" s="30">
        <v>1.1000000000000001</v>
      </c>
      <c r="AN90" s="30">
        <v>1</v>
      </c>
      <c r="AO90" s="30">
        <v>1.02</v>
      </c>
      <c r="AP90" s="30">
        <v>1</v>
      </c>
      <c r="AQ90" s="30">
        <v>1.2</v>
      </c>
      <c r="AS90" s="303" t="s">
        <v>673</v>
      </c>
      <c r="AT90" s="21">
        <v>2</v>
      </c>
      <c r="AU90" s="21">
        <v>4</v>
      </c>
      <c r="AV90" s="21">
        <v>1</v>
      </c>
      <c r="AW90" s="21">
        <v>3</v>
      </c>
      <c r="AX90" s="21">
        <v>1</v>
      </c>
      <c r="AY90" s="21">
        <v>5</v>
      </c>
      <c r="AZ90" s="297">
        <v>5</v>
      </c>
      <c r="BA90" s="6">
        <v>2</v>
      </c>
      <c r="BB90" s="245">
        <f t="shared" si="19"/>
        <v>1.2365959919080913</v>
      </c>
      <c r="BC90" s="245">
        <f t="shared" si="20"/>
        <v>2.0646254680556719</v>
      </c>
      <c r="BD90" s="246" t="str">
        <f t="shared" si="21"/>
        <v>(2,4,1,3,1,5)</v>
      </c>
      <c r="BE90" s="30">
        <v>1.05</v>
      </c>
      <c r="BF90" s="30">
        <v>1.1000000000000001</v>
      </c>
      <c r="BG90" s="30">
        <v>1</v>
      </c>
      <c r="BH90" s="30">
        <v>1.02</v>
      </c>
      <c r="BI90" s="30">
        <v>1</v>
      </c>
      <c r="BJ90" s="30">
        <v>1.2</v>
      </c>
    </row>
    <row r="91" spans="1:62">
      <c r="A91" s="1489">
        <v>266163</v>
      </c>
      <c r="B91" s="1524"/>
      <c r="C91" s="1490"/>
      <c r="D91" s="1548">
        <v>5</v>
      </c>
      <c r="E91" s="1549" t="s">
        <v>98</v>
      </c>
      <c r="F91" s="1541" t="s">
        <v>738</v>
      </c>
      <c r="G91" s="1542" t="s">
        <v>93</v>
      </c>
      <c r="H91" s="1550" t="s">
        <v>98</v>
      </c>
      <c r="I91" s="1543" t="s">
        <v>98</v>
      </c>
      <c r="J91" s="1544">
        <v>0</v>
      </c>
      <c r="K91" s="1542" t="s">
        <v>739</v>
      </c>
      <c r="L91" s="1542">
        <v>0</v>
      </c>
      <c r="M91" s="1545">
        <v>1</v>
      </c>
      <c r="N91" s="1546">
        <v>1.2620910621938648</v>
      </c>
      <c r="O91" s="1547" t="s">
        <v>3196</v>
      </c>
      <c r="P91" s="1542">
        <v>414481.2</v>
      </c>
      <c r="Q91" s="903">
        <v>1</v>
      </c>
      <c r="R91" s="904">
        <f t="shared" si="22"/>
        <v>1.2434566510799234</v>
      </c>
      <c r="S91" s="905" t="str">
        <f t="shared" si="23"/>
        <v>(2,4,1,3,1,5); Brailovsky et al. (2024)</v>
      </c>
      <c r="U91" s="452"/>
      <c r="V91" s="452"/>
      <c r="W91" s="452"/>
      <c r="X91" s="452"/>
      <c r="Y91" s="452"/>
      <c r="Z91" s="303"/>
      <c r="AA91" s="21">
        <v>3</v>
      </c>
      <c r="AB91" s="21">
        <v>4</v>
      </c>
      <c r="AC91" s="21">
        <v>1</v>
      </c>
      <c r="AD91" s="21">
        <v>3</v>
      </c>
      <c r="AE91" s="21">
        <v>1</v>
      </c>
      <c r="AF91" s="315">
        <v>5</v>
      </c>
      <c r="AG91" s="297">
        <v>3</v>
      </c>
      <c r="AH91" s="6">
        <v>1.05</v>
      </c>
      <c r="AI91" s="245">
        <f t="shared" si="16"/>
        <v>1.2555818742947564</v>
      </c>
      <c r="AJ91" s="245">
        <f t="shared" si="17"/>
        <v>1.2620910621938648</v>
      </c>
      <c r="AK91" s="246" t="str">
        <f t="shared" si="18"/>
        <v>(3,4,1,3,1,5)</v>
      </c>
      <c r="AL91" s="30">
        <v>1.1000000000000001</v>
      </c>
      <c r="AM91" s="30">
        <v>1.1000000000000001</v>
      </c>
      <c r="AN91" s="30">
        <v>1</v>
      </c>
      <c r="AO91" s="30">
        <v>1.02</v>
      </c>
      <c r="AP91" s="30">
        <v>1</v>
      </c>
      <c r="AQ91" s="30">
        <v>1.2</v>
      </c>
      <c r="AS91" s="303" t="s">
        <v>673</v>
      </c>
      <c r="AT91" s="21">
        <v>2</v>
      </c>
      <c r="AU91" s="21">
        <v>4</v>
      </c>
      <c r="AV91" s="21">
        <v>1</v>
      </c>
      <c r="AW91" s="21">
        <v>3</v>
      </c>
      <c r="AX91" s="21">
        <v>1</v>
      </c>
      <c r="AY91" s="21">
        <v>5</v>
      </c>
      <c r="AZ91" s="297">
        <v>3</v>
      </c>
      <c r="BA91" s="6">
        <v>1.05</v>
      </c>
      <c r="BB91" s="245">
        <f t="shared" si="19"/>
        <v>1.2365959919080913</v>
      </c>
      <c r="BC91" s="245">
        <f t="shared" si="20"/>
        <v>1.2434566510799234</v>
      </c>
      <c r="BD91" s="246" t="str">
        <f t="shared" si="21"/>
        <v>(2,4,1,3,1,5)</v>
      </c>
      <c r="BE91" s="30">
        <v>1.05</v>
      </c>
      <c r="BF91" s="30">
        <v>1.1000000000000001</v>
      </c>
      <c r="BG91" s="30">
        <v>1</v>
      </c>
      <c r="BH91" s="30">
        <v>1.02</v>
      </c>
      <c r="BI91" s="30">
        <v>1</v>
      </c>
      <c r="BJ91" s="30">
        <v>1.2</v>
      </c>
    </row>
    <row r="92" spans="1:62">
      <c r="A92" s="1489">
        <v>79235</v>
      </c>
      <c r="B92" s="1524" t="s">
        <v>740</v>
      </c>
      <c r="C92" s="1490"/>
      <c r="D92" s="1492">
        <v>5</v>
      </c>
      <c r="E92" s="1493" t="s">
        <v>98</v>
      </c>
      <c r="F92" s="1494" t="s">
        <v>688</v>
      </c>
      <c r="G92" s="1495" t="s">
        <v>340</v>
      </c>
      <c r="H92" s="1496" t="s">
        <v>98</v>
      </c>
      <c r="I92" s="1497" t="s">
        <v>98</v>
      </c>
      <c r="J92" s="1498">
        <v>0</v>
      </c>
      <c r="K92" s="1495" t="s">
        <v>109</v>
      </c>
      <c r="L92" s="1495">
        <v>0</v>
      </c>
      <c r="M92" s="1499">
        <v>1</v>
      </c>
      <c r="N92" s="1500">
        <v>1.2620910621938648</v>
      </c>
      <c r="O92" s="1501" t="s">
        <v>3196</v>
      </c>
      <c r="P92" s="1495">
        <v>104687.5</v>
      </c>
      <c r="Q92" s="873">
        <v>1</v>
      </c>
      <c r="R92" s="874">
        <f t="shared" si="22"/>
        <v>1.2434566510799234</v>
      </c>
      <c r="S92" s="875" t="str">
        <f t="shared" si="23"/>
        <v>(2,4,1,3,1,5); Brailovsky et al. (2024)</v>
      </c>
      <c r="U92" s="452"/>
      <c r="V92" s="452"/>
      <c r="W92" s="452"/>
      <c r="X92" s="452"/>
      <c r="Y92" s="452"/>
      <c r="Z92" s="303"/>
      <c r="AA92" s="21">
        <v>3</v>
      </c>
      <c r="AB92" s="21">
        <v>4</v>
      </c>
      <c r="AC92" s="21">
        <v>1</v>
      </c>
      <c r="AD92" s="21">
        <v>3</v>
      </c>
      <c r="AE92" s="21">
        <v>1</v>
      </c>
      <c r="AF92" s="315">
        <v>5</v>
      </c>
      <c r="AG92" s="297">
        <v>3</v>
      </c>
      <c r="AH92" s="6">
        <v>1.05</v>
      </c>
      <c r="AI92" s="245">
        <f t="shared" si="16"/>
        <v>1.2555818742947564</v>
      </c>
      <c r="AJ92" s="245">
        <f t="shared" si="17"/>
        <v>1.2620910621938648</v>
      </c>
      <c r="AK92" s="246" t="str">
        <f t="shared" si="18"/>
        <v>(3,4,1,3,1,5)</v>
      </c>
      <c r="AL92" s="30">
        <v>1.1000000000000001</v>
      </c>
      <c r="AM92" s="30">
        <v>1.1000000000000001</v>
      </c>
      <c r="AN92" s="30">
        <v>1</v>
      </c>
      <c r="AO92" s="30">
        <v>1.02</v>
      </c>
      <c r="AP92" s="30">
        <v>1</v>
      </c>
      <c r="AQ92" s="30">
        <v>1.2</v>
      </c>
      <c r="AS92" s="303" t="s">
        <v>673</v>
      </c>
      <c r="AT92" s="21">
        <v>2</v>
      </c>
      <c r="AU92" s="21">
        <v>4</v>
      </c>
      <c r="AV92" s="21">
        <v>1</v>
      </c>
      <c r="AW92" s="21">
        <v>3</v>
      </c>
      <c r="AX92" s="21">
        <v>1</v>
      </c>
      <c r="AY92" s="21">
        <v>5</v>
      </c>
      <c r="AZ92" s="297">
        <v>3</v>
      </c>
      <c r="BA92" s="6">
        <v>1.05</v>
      </c>
      <c r="BB92" s="245">
        <f t="shared" si="19"/>
        <v>1.2365959919080913</v>
      </c>
      <c r="BC92" s="245">
        <f t="shared" si="20"/>
        <v>1.2434566510799234</v>
      </c>
      <c r="BD92" s="246" t="str">
        <f t="shared" si="21"/>
        <v>(2,4,1,3,1,5)</v>
      </c>
      <c r="BE92" s="30">
        <v>1.05</v>
      </c>
      <c r="BF92" s="30">
        <v>1.1000000000000001</v>
      </c>
      <c r="BG92" s="30">
        <v>1</v>
      </c>
      <c r="BH92" s="30">
        <v>1.02</v>
      </c>
      <c r="BI92" s="30">
        <v>1</v>
      </c>
      <c r="BJ92" s="30">
        <v>1.2</v>
      </c>
    </row>
    <row r="93" spans="1:62" ht="12.75" customHeight="1">
      <c r="A93" s="1489">
        <v>267287</v>
      </c>
      <c r="B93" s="1524"/>
      <c r="C93" s="1490"/>
      <c r="D93" s="1548">
        <v>5</v>
      </c>
      <c r="E93" s="1549" t="s">
        <v>98</v>
      </c>
      <c r="F93" s="1541" t="s">
        <v>690</v>
      </c>
      <c r="G93" s="1542" t="s">
        <v>154</v>
      </c>
      <c r="H93" s="1550" t="s">
        <v>98</v>
      </c>
      <c r="I93" s="1543" t="s">
        <v>98</v>
      </c>
      <c r="J93" s="1544">
        <v>0</v>
      </c>
      <c r="K93" s="1542" t="s">
        <v>104</v>
      </c>
      <c r="L93" s="1542">
        <v>0</v>
      </c>
      <c r="M93" s="1545">
        <v>1</v>
      </c>
      <c r="N93" s="1546">
        <v>1.2620910621938648</v>
      </c>
      <c r="O93" s="1547" t="s">
        <v>3196</v>
      </c>
      <c r="P93" s="1542">
        <v>267484.01785992581</v>
      </c>
      <c r="Q93" s="903">
        <v>1</v>
      </c>
      <c r="R93" s="904">
        <f t="shared" si="22"/>
        <v>1.2434566510799234</v>
      </c>
      <c r="S93" s="905" t="str">
        <f t="shared" si="23"/>
        <v>(2,4,1,3,1,5); Brailovsky et al. (2024): From machine operation, diesel, &lt;18.64kW, energy density 45.5MJ/kg</v>
      </c>
      <c r="U93" s="452"/>
      <c r="V93" s="452"/>
      <c r="W93" s="452"/>
      <c r="X93" s="452"/>
      <c r="Y93" s="452"/>
      <c r="Z93" s="303"/>
      <c r="AA93" s="21">
        <v>3</v>
      </c>
      <c r="AB93" s="21">
        <v>4</v>
      </c>
      <c r="AC93" s="21">
        <v>1</v>
      </c>
      <c r="AD93" s="21">
        <v>3</v>
      </c>
      <c r="AE93" s="21">
        <v>1</v>
      </c>
      <c r="AF93" s="315">
        <v>5</v>
      </c>
      <c r="AG93" s="297">
        <v>1</v>
      </c>
      <c r="AH93" s="6">
        <v>1.05</v>
      </c>
      <c r="AI93" s="245">
        <f t="shared" si="16"/>
        <v>1.2555818742947564</v>
      </c>
      <c r="AJ93" s="245">
        <f t="shared" si="17"/>
        <v>1.2620910621938648</v>
      </c>
      <c r="AK93" s="246" t="str">
        <f t="shared" si="18"/>
        <v>(3,4,1,3,1,5)</v>
      </c>
      <c r="AL93" s="30">
        <v>1.1000000000000001</v>
      </c>
      <c r="AM93" s="30">
        <v>1.1000000000000001</v>
      </c>
      <c r="AN93" s="30">
        <v>1</v>
      </c>
      <c r="AO93" s="30">
        <v>1.02</v>
      </c>
      <c r="AP93" s="30">
        <v>1</v>
      </c>
      <c r="AQ93" s="30">
        <v>1.2</v>
      </c>
      <c r="AS93" s="303" t="s">
        <v>691</v>
      </c>
      <c r="AT93" s="21">
        <v>2</v>
      </c>
      <c r="AU93" s="21">
        <v>4</v>
      </c>
      <c r="AV93" s="21">
        <v>1</v>
      </c>
      <c r="AW93" s="21">
        <v>3</v>
      </c>
      <c r="AX93" s="21">
        <v>1</v>
      </c>
      <c r="AY93" s="21">
        <v>5</v>
      </c>
      <c r="AZ93" s="297">
        <v>1</v>
      </c>
      <c r="BA93" s="6">
        <v>1.05</v>
      </c>
      <c r="BB93" s="245">
        <f t="shared" si="19"/>
        <v>1.2365959919080913</v>
      </c>
      <c r="BC93" s="245">
        <f t="shared" si="20"/>
        <v>1.2434566510799234</v>
      </c>
      <c r="BD93" s="246" t="str">
        <f t="shared" si="21"/>
        <v>(2,4,1,3,1,5)</v>
      </c>
      <c r="BE93" s="30">
        <v>1.05</v>
      </c>
      <c r="BF93" s="30">
        <v>1.1000000000000001</v>
      </c>
      <c r="BG93" s="30">
        <v>1</v>
      </c>
      <c r="BH93" s="30">
        <v>1.02</v>
      </c>
      <c r="BI93" s="30">
        <v>1</v>
      </c>
      <c r="BJ93" s="30">
        <v>1.2</v>
      </c>
    </row>
    <row r="94" spans="1:62" ht="10.5" customHeight="1">
      <c r="A94" s="1489">
        <v>267287</v>
      </c>
      <c r="B94" s="1524"/>
      <c r="C94" s="1490"/>
      <c r="D94" s="1492">
        <v>5</v>
      </c>
      <c r="E94" s="1493" t="s">
        <v>98</v>
      </c>
      <c r="F94" s="1494" t="s">
        <v>690</v>
      </c>
      <c r="G94" s="1495" t="s">
        <v>154</v>
      </c>
      <c r="H94" s="1496" t="s">
        <v>98</v>
      </c>
      <c r="I94" s="1497" t="s">
        <v>98</v>
      </c>
      <c r="J94" s="1498">
        <v>0</v>
      </c>
      <c r="K94" s="1495" t="s">
        <v>104</v>
      </c>
      <c r="L94" s="1495">
        <v>0</v>
      </c>
      <c r="M94" s="1499">
        <v>1</v>
      </c>
      <c r="N94" s="1500">
        <v>1.2620910621938648</v>
      </c>
      <c r="O94" s="1501" t="s">
        <v>3196</v>
      </c>
      <c r="P94" s="1495">
        <v>24184786.370919619</v>
      </c>
      <c r="Q94" s="873">
        <v>1</v>
      </c>
      <c r="R94" s="874">
        <f t="shared" si="22"/>
        <v>1.2434566510799234</v>
      </c>
      <c r="S94" s="875" t="str">
        <f t="shared" si="23"/>
        <v>(2,4,1,3,1,5); Brailovsky et al. (2024): From machine operation, diesel,  &gt;= 74.57 kW, energy density 45.5MJ/kg</v>
      </c>
      <c r="U94" s="452"/>
      <c r="V94" s="452"/>
      <c r="W94" s="452"/>
      <c r="X94" s="452"/>
      <c r="Y94" s="452"/>
      <c r="Z94" s="303"/>
      <c r="AA94" s="21">
        <v>3</v>
      </c>
      <c r="AB94" s="21">
        <v>4</v>
      </c>
      <c r="AC94" s="21">
        <v>1</v>
      </c>
      <c r="AD94" s="21">
        <v>3</v>
      </c>
      <c r="AE94" s="21">
        <v>1</v>
      </c>
      <c r="AF94" s="315">
        <v>5</v>
      </c>
      <c r="AG94" s="297">
        <v>1</v>
      </c>
      <c r="AH94" s="6">
        <v>1.05</v>
      </c>
      <c r="AI94" s="245">
        <f t="shared" si="16"/>
        <v>1.2555818742947564</v>
      </c>
      <c r="AJ94" s="245">
        <f t="shared" si="17"/>
        <v>1.2620910621938648</v>
      </c>
      <c r="AK94" s="246" t="str">
        <f t="shared" si="18"/>
        <v>(3,4,1,3,1,5)</v>
      </c>
      <c r="AL94" s="30">
        <v>1.1000000000000001</v>
      </c>
      <c r="AM94" s="30">
        <v>1.1000000000000001</v>
      </c>
      <c r="AN94" s="30">
        <v>1</v>
      </c>
      <c r="AO94" s="30">
        <v>1.02</v>
      </c>
      <c r="AP94" s="30">
        <v>1</v>
      </c>
      <c r="AQ94" s="30">
        <v>1.2</v>
      </c>
      <c r="AS94" s="303" t="s">
        <v>693</v>
      </c>
      <c r="AT94" s="21">
        <v>2</v>
      </c>
      <c r="AU94" s="21">
        <v>4</v>
      </c>
      <c r="AV94" s="21">
        <v>1</v>
      </c>
      <c r="AW94" s="21">
        <v>3</v>
      </c>
      <c r="AX94" s="21">
        <v>1</v>
      </c>
      <c r="AY94" s="21">
        <v>5</v>
      </c>
      <c r="AZ94" s="297">
        <v>1</v>
      </c>
      <c r="BA94" s="6">
        <v>1.05</v>
      </c>
      <c r="BB94" s="245">
        <f t="shared" si="19"/>
        <v>1.2365959919080913</v>
      </c>
      <c r="BC94" s="245">
        <f t="shared" si="20"/>
        <v>1.2434566510799234</v>
      </c>
      <c r="BD94" s="246" t="str">
        <f t="shared" si="21"/>
        <v>(2,4,1,3,1,5)</v>
      </c>
      <c r="BE94" s="30">
        <v>1.05</v>
      </c>
      <c r="BF94" s="30">
        <v>1.1000000000000001</v>
      </c>
      <c r="BG94" s="30">
        <v>1</v>
      </c>
      <c r="BH94" s="30">
        <v>1.02</v>
      </c>
      <c r="BI94" s="30">
        <v>1</v>
      </c>
      <c r="BJ94" s="30">
        <v>1.2</v>
      </c>
    </row>
    <row r="95" spans="1:62">
      <c r="A95" s="1489">
        <v>160371</v>
      </c>
      <c r="B95" s="1524"/>
      <c r="C95" s="1490"/>
      <c r="D95" s="1548">
        <v>5</v>
      </c>
      <c r="E95" s="1549" t="s">
        <v>98</v>
      </c>
      <c r="F95" s="1541" t="s">
        <v>242</v>
      </c>
      <c r="G95" s="1542" t="s">
        <v>93</v>
      </c>
      <c r="H95" s="1550" t="s">
        <v>98</v>
      </c>
      <c r="I95" s="1543" t="s">
        <v>98</v>
      </c>
      <c r="J95" s="1544">
        <v>0</v>
      </c>
      <c r="K95" s="1542" t="s">
        <v>115</v>
      </c>
      <c r="L95" s="1542">
        <v>0</v>
      </c>
      <c r="M95" s="1545">
        <v>1</v>
      </c>
      <c r="N95" s="1546">
        <v>2.0741629046031922</v>
      </c>
      <c r="O95" s="1547" t="s">
        <v>3196</v>
      </c>
      <c r="P95" s="1542">
        <v>2849558.3</v>
      </c>
      <c r="Q95" s="903">
        <v>1</v>
      </c>
      <c r="R95" s="904">
        <f t="shared" si="22"/>
        <v>2.0646254680556719</v>
      </c>
      <c r="S95" s="905" t="str">
        <f t="shared" si="23"/>
        <v>(2,4,1,3,1,5); Brailovsky et al. (2024)</v>
      </c>
      <c r="U95" s="452"/>
      <c r="V95" s="452"/>
      <c r="W95" s="452"/>
      <c r="X95" s="452"/>
      <c r="Y95" s="452"/>
      <c r="Z95" s="303"/>
      <c r="AA95" s="21">
        <v>3</v>
      </c>
      <c r="AB95" s="21">
        <v>4</v>
      </c>
      <c r="AC95" s="21">
        <v>1</v>
      </c>
      <c r="AD95" s="21">
        <v>3</v>
      </c>
      <c r="AE95" s="21">
        <v>1</v>
      </c>
      <c r="AF95" s="315">
        <v>5</v>
      </c>
      <c r="AG95" s="297">
        <v>5</v>
      </c>
      <c r="AH95" s="6">
        <v>2</v>
      </c>
      <c r="AI95" s="245">
        <f t="shared" si="16"/>
        <v>1.2555818742947564</v>
      </c>
      <c r="AJ95" s="245">
        <f t="shared" si="17"/>
        <v>2.0741629046031922</v>
      </c>
      <c r="AK95" s="246" t="str">
        <f t="shared" si="18"/>
        <v>(3,4,1,3,1,5)</v>
      </c>
      <c r="AL95" s="30">
        <v>1.1000000000000001</v>
      </c>
      <c r="AM95" s="30">
        <v>1.1000000000000001</v>
      </c>
      <c r="AN95" s="30">
        <v>1</v>
      </c>
      <c r="AO95" s="30">
        <v>1.02</v>
      </c>
      <c r="AP95" s="30">
        <v>1</v>
      </c>
      <c r="AQ95" s="30">
        <v>1.2</v>
      </c>
      <c r="AS95" s="303" t="s">
        <v>673</v>
      </c>
      <c r="AT95" s="21">
        <v>2</v>
      </c>
      <c r="AU95" s="21">
        <v>4</v>
      </c>
      <c r="AV95" s="21">
        <v>1</v>
      </c>
      <c r="AW95" s="21">
        <v>3</v>
      </c>
      <c r="AX95" s="21">
        <v>1</v>
      </c>
      <c r="AY95" s="21">
        <v>5</v>
      </c>
      <c r="AZ95" s="297">
        <v>5</v>
      </c>
      <c r="BA95" s="6">
        <v>2</v>
      </c>
      <c r="BB95" s="245">
        <f t="shared" si="19"/>
        <v>1.2365959919080913</v>
      </c>
      <c r="BC95" s="245">
        <f t="shared" si="20"/>
        <v>2.0646254680556719</v>
      </c>
      <c r="BD95" s="246" t="str">
        <f t="shared" si="21"/>
        <v>(2,4,1,3,1,5)</v>
      </c>
      <c r="BE95" s="30">
        <v>1.05</v>
      </c>
      <c r="BF95" s="30">
        <v>1.1000000000000001</v>
      </c>
      <c r="BG95" s="30">
        <v>1</v>
      </c>
      <c r="BH95" s="30">
        <v>1.02</v>
      </c>
      <c r="BI95" s="30">
        <v>1</v>
      </c>
      <c r="BJ95" s="30">
        <v>1.2</v>
      </c>
    </row>
    <row r="96" spans="1:62">
      <c r="A96" s="1489">
        <v>269641</v>
      </c>
      <c r="B96" s="1524"/>
      <c r="C96" s="1490"/>
      <c r="D96" s="1492">
        <v>5</v>
      </c>
      <c r="E96" s="1493" t="s">
        <v>98</v>
      </c>
      <c r="F96" s="1494" t="s">
        <v>240</v>
      </c>
      <c r="G96" s="1495" t="s">
        <v>93</v>
      </c>
      <c r="H96" s="1496" t="s">
        <v>98</v>
      </c>
      <c r="I96" s="1497" t="s">
        <v>98</v>
      </c>
      <c r="J96" s="1498">
        <v>0</v>
      </c>
      <c r="K96" s="1495" t="s">
        <v>115</v>
      </c>
      <c r="L96" s="1495">
        <v>0</v>
      </c>
      <c r="M96" s="1499">
        <v>1</v>
      </c>
      <c r="N96" s="1500">
        <v>2.0741629046031922</v>
      </c>
      <c r="O96" s="1501" t="s">
        <v>3196</v>
      </c>
      <c r="P96" s="1495">
        <v>5271682.8</v>
      </c>
      <c r="Q96" s="873">
        <v>1</v>
      </c>
      <c r="R96" s="874">
        <f t="shared" si="22"/>
        <v>2.0646254680556719</v>
      </c>
      <c r="S96" s="875" t="str">
        <f t="shared" si="23"/>
        <v>(2,4,1,3,1,5); Brailovsky et al. (2024)</v>
      </c>
      <c r="U96" s="452"/>
      <c r="V96" s="452"/>
      <c r="W96" s="452"/>
      <c r="X96" s="452"/>
      <c r="Y96" s="452"/>
      <c r="Z96" s="303"/>
      <c r="AA96" s="21">
        <v>3</v>
      </c>
      <c r="AB96" s="21">
        <v>4</v>
      </c>
      <c r="AC96" s="21">
        <v>1</v>
      </c>
      <c r="AD96" s="21">
        <v>3</v>
      </c>
      <c r="AE96" s="21">
        <v>1</v>
      </c>
      <c r="AF96" s="315">
        <v>5</v>
      </c>
      <c r="AG96" s="297">
        <v>5</v>
      </c>
      <c r="AH96" s="6">
        <v>2</v>
      </c>
      <c r="AI96" s="245">
        <f t="shared" si="16"/>
        <v>1.2555818742947564</v>
      </c>
      <c r="AJ96" s="245">
        <f t="shared" si="17"/>
        <v>2.0741629046031922</v>
      </c>
      <c r="AK96" s="246" t="str">
        <f t="shared" si="18"/>
        <v>(3,4,1,3,1,5)</v>
      </c>
      <c r="AL96" s="30">
        <v>1.1000000000000001</v>
      </c>
      <c r="AM96" s="30">
        <v>1.1000000000000001</v>
      </c>
      <c r="AN96" s="30">
        <v>1</v>
      </c>
      <c r="AO96" s="30">
        <v>1.02</v>
      </c>
      <c r="AP96" s="30">
        <v>1</v>
      </c>
      <c r="AQ96" s="30">
        <v>1.2</v>
      </c>
      <c r="AS96" s="303" t="s">
        <v>673</v>
      </c>
      <c r="AT96" s="21">
        <v>2</v>
      </c>
      <c r="AU96" s="21">
        <v>4</v>
      </c>
      <c r="AV96" s="21">
        <v>1</v>
      </c>
      <c r="AW96" s="21">
        <v>3</v>
      </c>
      <c r="AX96" s="21">
        <v>1</v>
      </c>
      <c r="AY96" s="21">
        <v>5</v>
      </c>
      <c r="AZ96" s="297">
        <v>5</v>
      </c>
      <c r="BA96" s="6">
        <v>2</v>
      </c>
      <c r="BB96" s="245">
        <f t="shared" si="19"/>
        <v>1.2365959919080913</v>
      </c>
      <c r="BC96" s="245">
        <f t="shared" si="20"/>
        <v>2.0646254680556719</v>
      </c>
      <c r="BD96" s="246" t="str">
        <f t="shared" si="21"/>
        <v>(2,4,1,3,1,5)</v>
      </c>
      <c r="BE96" s="30">
        <v>1.05</v>
      </c>
      <c r="BF96" s="30">
        <v>1.1000000000000001</v>
      </c>
      <c r="BG96" s="30">
        <v>1</v>
      </c>
      <c r="BH96" s="30">
        <v>1.02</v>
      </c>
      <c r="BI96" s="30">
        <v>1</v>
      </c>
      <c r="BJ96" s="30">
        <v>1.2</v>
      </c>
    </row>
    <row r="97" spans="1:62">
      <c r="A97" s="1489">
        <v>269641</v>
      </c>
      <c r="B97" s="1524" t="s">
        <v>741</v>
      </c>
      <c r="C97" s="1490"/>
      <c r="D97" s="1548">
        <v>5</v>
      </c>
      <c r="E97" s="1549" t="s">
        <v>98</v>
      </c>
      <c r="F97" s="1541" t="s">
        <v>240</v>
      </c>
      <c r="G97" s="1542" t="s">
        <v>93</v>
      </c>
      <c r="H97" s="1550" t="s">
        <v>98</v>
      </c>
      <c r="I97" s="1543" t="s">
        <v>98</v>
      </c>
      <c r="J97" s="1544">
        <v>0</v>
      </c>
      <c r="K97" s="1542" t="s">
        <v>115</v>
      </c>
      <c r="L97" s="1542">
        <v>0</v>
      </c>
      <c r="M97" s="1545">
        <v>1</v>
      </c>
      <c r="N97" s="1546">
        <v>2.0741629046031922</v>
      </c>
      <c r="O97" s="1547" t="s">
        <v>3196</v>
      </c>
      <c r="P97" s="1542">
        <v>33269748.800000001</v>
      </c>
      <c r="Q97" s="903">
        <v>1</v>
      </c>
      <c r="R97" s="904">
        <f t="shared" si="22"/>
        <v>2.0646254680556719</v>
      </c>
      <c r="S97" s="905" t="str">
        <f t="shared" si="23"/>
        <v>(2,4,1,3,1,5); Brailovsky et al. (2024)</v>
      </c>
      <c r="U97" s="452"/>
      <c r="V97" s="452"/>
      <c r="W97" s="452"/>
      <c r="X97" s="452"/>
      <c r="Y97" s="452"/>
      <c r="Z97" s="303"/>
      <c r="AA97" s="21">
        <v>3</v>
      </c>
      <c r="AB97" s="21">
        <v>4</v>
      </c>
      <c r="AC97" s="21">
        <v>1</v>
      </c>
      <c r="AD97" s="21">
        <v>3</v>
      </c>
      <c r="AE97" s="21">
        <v>1</v>
      </c>
      <c r="AF97" s="315">
        <v>5</v>
      </c>
      <c r="AG97" s="297">
        <v>5</v>
      </c>
      <c r="AH97" s="6">
        <v>2</v>
      </c>
      <c r="AI97" s="245">
        <f t="shared" si="16"/>
        <v>1.2555818742947564</v>
      </c>
      <c r="AJ97" s="245">
        <f t="shared" si="17"/>
        <v>2.0741629046031922</v>
      </c>
      <c r="AK97" s="246" t="str">
        <f t="shared" si="18"/>
        <v>(3,4,1,3,1,5)</v>
      </c>
      <c r="AL97" s="30">
        <v>1.1000000000000001</v>
      </c>
      <c r="AM97" s="30">
        <v>1.1000000000000001</v>
      </c>
      <c r="AN97" s="30">
        <v>1</v>
      </c>
      <c r="AO97" s="30">
        <v>1.02</v>
      </c>
      <c r="AP97" s="30">
        <v>1</v>
      </c>
      <c r="AQ97" s="30">
        <v>1.2</v>
      </c>
      <c r="AS97" s="303" t="s">
        <v>673</v>
      </c>
      <c r="AT97" s="21">
        <v>2</v>
      </c>
      <c r="AU97" s="21">
        <v>4</v>
      </c>
      <c r="AV97" s="21">
        <v>1</v>
      </c>
      <c r="AW97" s="21">
        <v>3</v>
      </c>
      <c r="AX97" s="21">
        <v>1</v>
      </c>
      <c r="AY97" s="21">
        <v>5</v>
      </c>
      <c r="AZ97" s="297">
        <v>5</v>
      </c>
      <c r="BA97" s="6">
        <v>2</v>
      </c>
      <c r="BB97" s="245">
        <f t="shared" si="19"/>
        <v>1.2365959919080913</v>
      </c>
      <c r="BC97" s="245">
        <f t="shared" si="20"/>
        <v>2.0646254680556719</v>
      </c>
      <c r="BD97" s="246" t="str">
        <f t="shared" si="21"/>
        <v>(2,4,1,3,1,5)</v>
      </c>
      <c r="BE97" s="30">
        <v>1.05</v>
      </c>
      <c r="BF97" s="30">
        <v>1.1000000000000001</v>
      </c>
      <c r="BG97" s="30">
        <v>1</v>
      </c>
      <c r="BH97" s="30">
        <v>1.02</v>
      </c>
      <c r="BI97" s="30">
        <v>1</v>
      </c>
      <c r="BJ97" s="30">
        <v>1.2</v>
      </c>
    </row>
    <row r="98" spans="1:62">
      <c r="A98" s="1489">
        <v>79235</v>
      </c>
      <c r="B98" s="1524" t="s">
        <v>742</v>
      </c>
      <c r="C98" s="1490"/>
      <c r="D98" s="1492">
        <v>5</v>
      </c>
      <c r="E98" s="1493" t="s">
        <v>98</v>
      </c>
      <c r="F98" s="1494" t="s">
        <v>688</v>
      </c>
      <c r="G98" s="1495" t="s">
        <v>340</v>
      </c>
      <c r="H98" s="1496" t="s">
        <v>98</v>
      </c>
      <c r="I98" s="1497" t="s">
        <v>98</v>
      </c>
      <c r="J98" s="1498">
        <v>0</v>
      </c>
      <c r="K98" s="1495" t="s">
        <v>109</v>
      </c>
      <c r="L98" s="1495">
        <v>0</v>
      </c>
      <c r="M98" s="1499">
        <v>1</v>
      </c>
      <c r="N98" s="1500">
        <v>1.2620910621938648</v>
      </c>
      <c r="O98" s="1501" t="s">
        <v>3196</v>
      </c>
      <c r="P98" s="1495">
        <v>371</v>
      </c>
      <c r="Q98" s="873">
        <v>1</v>
      </c>
      <c r="R98" s="874">
        <f t="shared" si="22"/>
        <v>1.2434566510799234</v>
      </c>
      <c r="S98" s="875" t="str">
        <f t="shared" si="23"/>
        <v>(2,4,1,3,1,5); Brailovsky et al. (2024)</v>
      </c>
      <c r="U98" s="452"/>
      <c r="V98" s="452"/>
      <c r="W98" s="452"/>
      <c r="X98" s="452"/>
      <c r="Y98" s="452"/>
      <c r="Z98" s="303"/>
      <c r="AA98" s="21">
        <v>3</v>
      </c>
      <c r="AB98" s="21">
        <v>4</v>
      </c>
      <c r="AC98" s="21">
        <v>1</v>
      </c>
      <c r="AD98" s="21">
        <v>3</v>
      </c>
      <c r="AE98" s="21">
        <v>1</v>
      </c>
      <c r="AF98" s="315">
        <v>5</v>
      </c>
      <c r="AG98" s="297">
        <v>3</v>
      </c>
      <c r="AH98" s="6">
        <v>1.05</v>
      </c>
      <c r="AI98" s="245">
        <f t="shared" si="16"/>
        <v>1.2555818742947564</v>
      </c>
      <c r="AJ98" s="245">
        <f t="shared" si="17"/>
        <v>1.2620910621938648</v>
      </c>
      <c r="AK98" s="246" t="str">
        <f t="shared" si="18"/>
        <v>(3,4,1,3,1,5)</v>
      </c>
      <c r="AL98" s="30">
        <v>1.1000000000000001</v>
      </c>
      <c r="AM98" s="30">
        <v>1.1000000000000001</v>
      </c>
      <c r="AN98" s="30">
        <v>1</v>
      </c>
      <c r="AO98" s="30">
        <v>1.02</v>
      </c>
      <c r="AP98" s="30">
        <v>1</v>
      </c>
      <c r="AQ98" s="30">
        <v>1.2</v>
      </c>
      <c r="AS98" s="303" t="s">
        <v>673</v>
      </c>
      <c r="AT98" s="21">
        <v>2</v>
      </c>
      <c r="AU98" s="21">
        <v>4</v>
      </c>
      <c r="AV98" s="21">
        <v>1</v>
      </c>
      <c r="AW98" s="21">
        <v>3</v>
      </c>
      <c r="AX98" s="21">
        <v>1</v>
      </c>
      <c r="AY98" s="21">
        <v>5</v>
      </c>
      <c r="AZ98" s="297">
        <v>3</v>
      </c>
      <c r="BA98" s="6">
        <v>1.05</v>
      </c>
      <c r="BB98" s="245">
        <f t="shared" si="19"/>
        <v>1.2365959919080913</v>
      </c>
      <c r="BC98" s="245">
        <f t="shared" si="20"/>
        <v>1.2434566510799234</v>
      </c>
      <c r="BD98" s="246" t="str">
        <f t="shared" si="21"/>
        <v>(2,4,1,3,1,5)</v>
      </c>
      <c r="BE98" s="30">
        <v>1.05</v>
      </c>
      <c r="BF98" s="30">
        <v>1.1000000000000001</v>
      </c>
      <c r="BG98" s="30">
        <v>1</v>
      </c>
      <c r="BH98" s="30">
        <v>1.02</v>
      </c>
      <c r="BI98" s="30">
        <v>1</v>
      </c>
      <c r="BJ98" s="30">
        <v>1.2</v>
      </c>
    </row>
    <row r="99" spans="1:62">
      <c r="A99" s="1489">
        <v>256348</v>
      </c>
      <c r="B99" s="1524"/>
      <c r="C99" s="1490"/>
      <c r="D99" s="1548">
        <v>5</v>
      </c>
      <c r="E99" s="1549" t="s">
        <v>98</v>
      </c>
      <c r="F99" s="1541" t="s">
        <v>743</v>
      </c>
      <c r="G99" s="1542" t="s">
        <v>103</v>
      </c>
      <c r="H99" s="1550" t="s">
        <v>98</v>
      </c>
      <c r="I99" s="1543" t="s">
        <v>98</v>
      </c>
      <c r="J99" s="1544">
        <v>0</v>
      </c>
      <c r="K99" s="1542" t="s">
        <v>96</v>
      </c>
      <c r="L99" s="1542">
        <v>0</v>
      </c>
      <c r="M99" s="1545">
        <v>1</v>
      </c>
      <c r="N99" s="1546">
        <v>1.2620910621938648</v>
      </c>
      <c r="O99" s="1547" t="s">
        <v>3196</v>
      </c>
      <c r="P99" s="1542">
        <v>26730</v>
      </c>
      <c r="Q99" s="903">
        <v>1</v>
      </c>
      <c r="R99" s="904">
        <f t="shared" si="22"/>
        <v>1.2434566510799234</v>
      </c>
      <c r="S99" s="905" t="str">
        <f t="shared" si="23"/>
        <v>(2,4,1,3,1,5); Brailovsky et al. (2024) Density: 900 kg/m^3</v>
      </c>
      <c r="U99" s="452"/>
      <c r="V99" s="452"/>
      <c r="W99" s="452"/>
      <c r="X99" s="452"/>
      <c r="Y99" s="452"/>
      <c r="Z99" s="303"/>
      <c r="AA99" s="21">
        <v>3</v>
      </c>
      <c r="AB99" s="21">
        <v>4</v>
      </c>
      <c r="AC99" s="21">
        <v>1</v>
      </c>
      <c r="AD99" s="21">
        <v>3</v>
      </c>
      <c r="AE99" s="21">
        <v>1</v>
      </c>
      <c r="AF99" s="315">
        <v>5</v>
      </c>
      <c r="AG99" s="297">
        <v>3</v>
      </c>
      <c r="AH99" s="6">
        <v>1.05</v>
      </c>
      <c r="AI99" s="245">
        <f t="shared" si="16"/>
        <v>1.2555818742947564</v>
      </c>
      <c r="AJ99" s="245">
        <f t="shared" si="17"/>
        <v>1.2620910621938648</v>
      </c>
      <c r="AK99" s="246" t="str">
        <f t="shared" si="18"/>
        <v>(3,4,1,3,1,5)</v>
      </c>
      <c r="AL99" s="30">
        <v>1.1000000000000001</v>
      </c>
      <c r="AM99" s="30">
        <v>1.1000000000000001</v>
      </c>
      <c r="AN99" s="30">
        <v>1</v>
      </c>
      <c r="AO99" s="30">
        <v>1.02</v>
      </c>
      <c r="AP99" s="30">
        <v>1</v>
      </c>
      <c r="AQ99" s="30">
        <v>1.2</v>
      </c>
      <c r="AS99" s="303" t="s">
        <v>744</v>
      </c>
      <c r="AT99" s="21">
        <v>2</v>
      </c>
      <c r="AU99" s="21">
        <v>4</v>
      </c>
      <c r="AV99" s="21">
        <v>1</v>
      </c>
      <c r="AW99" s="21">
        <v>3</v>
      </c>
      <c r="AX99" s="21">
        <v>1</v>
      </c>
      <c r="AY99" s="21">
        <v>5</v>
      </c>
      <c r="AZ99" s="297">
        <v>3</v>
      </c>
      <c r="BA99" s="6">
        <v>1.05</v>
      </c>
      <c r="BB99" s="245">
        <f t="shared" si="19"/>
        <v>1.2365959919080913</v>
      </c>
      <c r="BC99" s="245">
        <f t="shared" si="20"/>
        <v>1.2434566510799234</v>
      </c>
      <c r="BD99" s="246" t="str">
        <f t="shared" si="21"/>
        <v>(2,4,1,3,1,5)</v>
      </c>
      <c r="BE99" s="30">
        <v>1.05</v>
      </c>
      <c r="BF99" s="30">
        <v>1.1000000000000001</v>
      </c>
      <c r="BG99" s="30">
        <v>1</v>
      </c>
      <c r="BH99" s="30">
        <v>1.02</v>
      </c>
      <c r="BI99" s="30">
        <v>1</v>
      </c>
      <c r="BJ99" s="30">
        <v>1.2</v>
      </c>
    </row>
    <row r="100" spans="1:62">
      <c r="A100" s="1489">
        <v>254233</v>
      </c>
      <c r="B100" s="1524"/>
      <c r="C100" s="1490"/>
      <c r="D100" s="1492">
        <v>5</v>
      </c>
      <c r="E100" s="1493" t="s">
        <v>98</v>
      </c>
      <c r="F100" s="1494" t="s">
        <v>710</v>
      </c>
      <c r="G100" s="1495" t="s">
        <v>103</v>
      </c>
      <c r="H100" s="1496" t="s">
        <v>98</v>
      </c>
      <c r="I100" s="1497" t="s">
        <v>98</v>
      </c>
      <c r="J100" s="1498">
        <v>0</v>
      </c>
      <c r="K100" s="1495" t="s">
        <v>104</v>
      </c>
      <c r="L100" s="1495">
        <v>0</v>
      </c>
      <c r="M100" s="1499">
        <v>1</v>
      </c>
      <c r="N100" s="1500">
        <v>1.2620910621938648</v>
      </c>
      <c r="O100" s="1501" t="s">
        <v>3196</v>
      </c>
      <c r="P100" s="1495">
        <v>333.89999999999992</v>
      </c>
      <c r="Q100" s="873">
        <v>1</v>
      </c>
      <c r="R100" s="874">
        <f t="shared" si="22"/>
        <v>1.2434566510799234</v>
      </c>
      <c r="S100" s="875" t="str">
        <f t="shared" si="23"/>
        <v>(2,4,1,3,1,5); Brailovsky et al. (2024)</v>
      </c>
      <c r="U100" s="452"/>
      <c r="V100" s="452"/>
      <c r="W100" s="452"/>
      <c r="X100" s="452"/>
      <c r="Y100" s="452"/>
      <c r="Z100" s="303"/>
      <c r="AA100" s="21">
        <v>3</v>
      </c>
      <c r="AB100" s="21">
        <v>4</v>
      </c>
      <c r="AC100" s="21">
        <v>1</v>
      </c>
      <c r="AD100" s="21">
        <v>3</v>
      </c>
      <c r="AE100" s="21">
        <v>1</v>
      </c>
      <c r="AF100" s="315">
        <v>5</v>
      </c>
      <c r="AG100" s="297">
        <v>1</v>
      </c>
      <c r="AH100" s="6">
        <v>1.05</v>
      </c>
      <c r="AI100" s="245">
        <f t="shared" si="16"/>
        <v>1.2555818742947564</v>
      </c>
      <c r="AJ100" s="245">
        <f t="shared" si="17"/>
        <v>1.2620910621938648</v>
      </c>
      <c r="AK100" s="246" t="str">
        <f t="shared" si="18"/>
        <v>(3,4,1,3,1,5)</v>
      </c>
      <c r="AL100" s="30">
        <v>1.1000000000000001</v>
      </c>
      <c r="AM100" s="30">
        <v>1.1000000000000001</v>
      </c>
      <c r="AN100" s="30">
        <v>1</v>
      </c>
      <c r="AO100" s="30">
        <v>1.02</v>
      </c>
      <c r="AP100" s="30">
        <v>1</v>
      </c>
      <c r="AQ100" s="30">
        <v>1.2</v>
      </c>
      <c r="AS100" s="303" t="s">
        <v>673</v>
      </c>
      <c r="AT100" s="21">
        <v>2</v>
      </c>
      <c r="AU100" s="21">
        <v>4</v>
      </c>
      <c r="AV100" s="21">
        <v>1</v>
      </c>
      <c r="AW100" s="21">
        <v>3</v>
      </c>
      <c r="AX100" s="21">
        <v>1</v>
      </c>
      <c r="AY100" s="21">
        <v>5</v>
      </c>
      <c r="AZ100" s="297">
        <v>1</v>
      </c>
      <c r="BA100" s="6">
        <v>1.05</v>
      </c>
      <c r="BB100" s="245">
        <f t="shared" si="19"/>
        <v>1.2365959919080913</v>
      </c>
      <c r="BC100" s="245">
        <f t="shared" si="20"/>
        <v>1.2434566510799234</v>
      </c>
      <c r="BD100" s="246" t="str">
        <f t="shared" si="21"/>
        <v>(2,4,1,3,1,5)</v>
      </c>
      <c r="BE100" s="30">
        <v>1.05</v>
      </c>
      <c r="BF100" s="30">
        <v>1.1000000000000001</v>
      </c>
      <c r="BG100" s="30">
        <v>1</v>
      </c>
      <c r="BH100" s="30">
        <v>1.02</v>
      </c>
      <c r="BI100" s="30">
        <v>1</v>
      </c>
      <c r="BJ100" s="30">
        <v>1.2</v>
      </c>
    </row>
    <row r="101" spans="1:62">
      <c r="A101" s="1489">
        <v>266105</v>
      </c>
      <c r="B101" s="1524"/>
      <c r="C101" s="1490"/>
      <c r="D101" s="1548">
        <v>5</v>
      </c>
      <c r="E101" s="1549" t="s">
        <v>98</v>
      </c>
      <c r="F101" s="1541" t="s">
        <v>745</v>
      </c>
      <c r="G101" s="1542" t="s">
        <v>93</v>
      </c>
      <c r="H101" s="1550" t="s">
        <v>98</v>
      </c>
      <c r="I101" s="1543" t="s">
        <v>98</v>
      </c>
      <c r="J101" s="1544">
        <v>0</v>
      </c>
      <c r="K101" s="1542" t="s">
        <v>96</v>
      </c>
      <c r="L101" s="1542">
        <v>0</v>
      </c>
      <c r="M101" s="1545">
        <v>1</v>
      </c>
      <c r="N101" s="1546">
        <v>1.2620910621938648</v>
      </c>
      <c r="O101" s="1547" t="s">
        <v>3196</v>
      </c>
      <c r="P101" s="1542">
        <v>1113</v>
      </c>
      <c r="Q101" s="903">
        <v>1</v>
      </c>
      <c r="R101" s="904">
        <f t="shared" si="22"/>
        <v>1.2434566510799234</v>
      </c>
      <c r="S101" s="905" t="str">
        <f t="shared" si="23"/>
        <v>(2,4,1,3,1,5); Brailovsky et al. (2024)</v>
      </c>
      <c r="U101" s="452"/>
      <c r="V101" s="452"/>
      <c r="W101" s="452"/>
      <c r="X101" s="452"/>
      <c r="Y101" s="452"/>
      <c r="Z101" s="303"/>
      <c r="AA101" s="21">
        <v>3</v>
      </c>
      <c r="AB101" s="21">
        <v>4</v>
      </c>
      <c r="AC101" s="21">
        <v>1</v>
      </c>
      <c r="AD101" s="21">
        <v>3</v>
      </c>
      <c r="AE101" s="21">
        <v>1</v>
      </c>
      <c r="AF101" s="315">
        <v>5</v>
      </c>
      <c r="AG101" s="297">
        <v>3</v>
      </c>
      <c r="AH101" s="6">
        <v>1.05</v>
      </c>
      <c r="AI101" s="245">
        <f t="shared" si="16"/>
        <v>1.2555818742947564</v>
      </c>
      <c r="AJ101" s="245">
        <f t="shared" si="17"/>
        <v>1.2620910621938648</v>
      </c>
      <c r="AK101" s="246" t="str">
        <f t="shared" si="18"/>
        <v>(3,4,1,3,1,5)</v>
      </c>
      <c r="AL101" s="30">
        <v>1.1000000000000001</v>
      </c>
      <c r="AM101" s="30">
        <v>1.1000000000000001</v>
      </c>
      <c r="AN101" s="30">
        <v>1</v>
      </c>
      <c r="AO101" s="30">
        <v>1.02</v>
      </c>
      <c r="AP101" s="30">
        <v>1</v>
      </c>
      <c r="AQ101" s="30">
        <v>1.2</v>
      </c>
      <c r="AS101" s="303" t="s">
        <v>673</v>
      </c>
      <c r="AT101" s="21">
        <v>2</v>
      </c>
      <c r="AU101" s="21">
        <v>4</v>
      </c>
      <c r="AV101" s="21">
        <v>1</v>
      </c>
      <c r="AW101" s="21">
        <v>3</v>
      </c>
      <c r="AX101" s="21">
        <v>1</v>
      </c>
      <c r="AY101" s="21">
        <v>5</v>
      </c>
      <c r="AZ101" s="297">
        <v>3</v>
      </c>
      <c r="BA101" s="6">
        <v>1.05</v>
      </c>
      <c r="BB101" s="245">
        <f t="shared" si="19"/>
        <v>1.2365959919080913</v>
      </c>
      <c r="BC101" s="245">
        <f t="shared" si="20"/>
        <v>1.2434566510799234</v>
      </c>
      <c r="BD101" s="246" t="str">
        <f t="shared" si="21"/>
        <v>(2,4,1,3,1,5)</v>
      </c>
      <c r="BE101" s="30">
        <v>1.05</v>
      </c>
      <c r="BF101" s="30">
        <v>1.1000000000000001</v>
      </c>
      <c r="BG101" s="30">
        <v>1</v>
      </c>
      <c r="BH101" s="30">
        <v>1.02</v>
      </c>
      <c r="BI101" s="30">
        <v>1</v>
      </c>
      <c r="BJ101" s="30">
        <v>1.2</v>
      </c>
    </row>
    <row r="102" spans="1:62">
      <c r="A102" s="1489">
        <v>259385</v>
      </c>
      <c r="B102" s="1491" t="s">
        <v>511</v>
      </c>
      <c r="C102" s="1490"/>
      <c r="D102" s="1492">
        <v>5</v>
      </c>
      <c r="E102" s="1493" t="s">
        <v>98</v>
      </c>
      <c r="F102" s="1494" t="s">
        <v>747</v>
      </c>
      <c r="G102" s="1495" t="s">
        <v>103</v>
      </c>
      <c r="H102" s="1496" t="s">
        <v>98</v>
      </c>
      <c r="I102" s="1497" t="s">
        <v>98</v>
      </c>
      <c r="J102" s="1498">
        <v>0</v>
      </c>
      <c r="K102" s="1495" t="s">
        <v>96</v>
      </c>
      <c r="L102" s="1495">
        <v>0</v>
      </c>
      <c r="M102" s="1499">
        <v>1</v>
      </c>
      <c r="N102" s="1500">
        <v>1.2620910621938648</v>
      </c>
      <c r="O102" s="1501" t="s">
        <v>3196</v>
      </c>
      <c r="P102" s="1495">
        <v>86313.2</v>
      </c>
      <c r="Q102" s="873">
        <v>1</v>
      </c>
      <c r="R102" s="874">
        <f t="shared" si="22"/>
        <v>1.2434566510799234</v>
      </c>
      <c r="S102" s="875" t="str">
        <f t="shared" si="23"/>
        <v>(2,4,1,3,1,5); Brailovsky et al. (2024) from ceilings</v>
      </c>
      <c r="U102" s="452"/>
      <c r="V102" s="452"/>
      <c r="W102" s="452"/>
      <c r="X102" s="452"/>
      <c r="Y102" s="452"/>
      <c r="Z102" s="303"/>
      <c r="AA102" s="21">
        <v>3</v>
      </c>
      <c r="AB102" s="21">
        <v>4</v>
      </c>
      <c r="AC102" s="21">
        <v>1</v>
      </c>
      <c r="AD102" s="21">
        <v>3</v>
      </c>
      <c r="AE102" s="21">
        <v>1</v>
      </c>
      <c r="AF102" s="315">
        <v>5</v>
      </c>
      <c r="AG102" s="297">
        <v>6</v>
      </c>
      <c r="AH102" s="6">
        <v>1.05</v>
      </c>
      <c r="AI102" s="245">
        <f t="shared" si="16"/>
        <v>1.2555818742947564</v>
      </c>
      <c r="AJ102" s="245">
        <f t="shared" si="17"/>
        <v>1.2620910621938648</v>
      </c>
      <c r="AK102" s="246" t="str">
        <f t="shared" si="18"/>
        <v>(3,4,1,3,1,5)</v>
      </c>
      <c r="AL102" s="30">
        <v>1.1000000000000001</v>
      </c>
      <c r="AM102" s="30">
        <v>1.1000000000000001</v>
      </c>
      <c r="AN102" s="30">
        <v>1</v>
      </c>
      <c r="AO102" s="30">
        <v>1.02</v>
      </c>
      <c r="AP102" s="30">
        <v>1</v>
      </c>
      <c r="AQ102" s="30">
        <v>1.2</v>
      </c>
      <c r="AS102" s="303" t="s">
        <v>748</v>
      </c>
      <c r="AT102" s="21">
        <v>2</v>
      </c>
      <c r="AU102" s="21">
        <v>4</v>
      </c>
      <c r="AV102" s="21">
        <v>1</v>
      </c>
      <c r="AW102" s="21">
        <v>3</v>
      </c>
      <c r="AX102" s="21">
        <v>1</v>
      </c>
      <c r="AY102" s="21">
        <v>5</v>
      </c>
      <c r="AZ102" s="297">
        <v>6</v>
      </c>
      <c r="BA102" s="6">
        <v>1.05</v>
      </c>
      <c r="BB102" s="245">
        <f t="shared" si="19"/>
        <v>1.2365959919080913</v>
      </c>
      <c r="BC102" s="245">
        <f t="shared" si="20"/>
        <v>1.2434566510799234</v>
      </c>
      <c r="BD102" s="246" t="str">
        <f t="shared" si="21"/>
        <v>(2,4,1,3,1,5)</v>
      </c>
      <c r="BE102" s="30">
        <v>1.05</v>
      </c>
      <c r="BF102" s="30">
        <v>1.1000000000000001</v>
      </c>
      <c r="BG102" s="30">
        <v>1</v>
      </c>
      <c r="BH102" s="30">
        <v>1.02</v>
      </c>
      <c r="BI102" s="30">
        <v>1</v>
      </c>
      <c r="BJ102" s="30">
        <v>1.2</v>
      </c>
    </row>
    <row r="103" spans="1:62">
      <c r="A103" s="1489">
        <v>259385</v>
      </c>
      <c r="B103" s="1524"/>
      <c r="C103" s="1490"/>
      <c r="D103" s="1548">
        <v>5</v>
      </c>
      <c r="E103" s="1549" t="s">
        <v>98</v>
      </c>
      <c r="F103" s="1541" t="s">
        <v>747</v>
      </c>
      <c r="G103" s="1542" t="s">
        <v>103</v>
      </c>
      <c r="H103" s="1550" t="s">
        <v>98</v>
      </c>
      <c r="I103" s="1543" t="s">
        <v>98</v>
      </c>
      <c r="J103" s="1544">
        <v>0</v>
      </c>
      <c r="K103" s="1542" t="s">
        <v>96</v>
      </c>
      <c r="L103" s="1542">
        <v>0</v>
      </c>
      <c r="M103" s="1545">
        <v>1</v>
      </c>
      <c r="N103" s="1546">
        <v>1.2620910621938648</v>
      </c>
      <c r="O103" s="1547" t="s">
        <v>3196</v>
      </c>
      <c r="P103" s="1542">
        <v>297759.40000000002</v>
      </c>
      <c r="Q103" s="903">
        <v>1</v>
      </c>
      <c r="R103" s="904">
        <f t="shared" si="22"/>
        <v>1.2434566510799234</v>
      </c>
      <c r="S103" s="905" t="str">
        <f t="shared" si="23"/>
        <v>(2,4,1,3,1,5); Brailovsky et al. (2024) from roofing A1-A3</v>
      </c>
      <c r="U103" s="452"/>
      <c r="V103" s="452"/>
      <c r="W103" s="452"/>
      <c r="X103" s="452"/>
      <c r="Y103" s="452"/>
      <c r="Z103" s="303"/>
      <c r="AA103" s="21">
        <v>3</v>
      </c>
      <c r="AB103" s="21">
        <v>4</v>
      </c>
      <c r="AC103" s="21">
        <v>1</v>
      </c>
      <c r="AD103" s="21">
        <v>3</v>
      </c>
      <c r="AE103" s="21">
        <v>1</v>
      </c>
      <c r="AF103" s="315">
        <v>5</v>
      </c>
      <c r="AG103" s="297">
        <v>6</v>
      </c>
      <c r="AH103" s="6">
        <v>1.05</v>
      </c>
      <c r="AI103" s="245">
        <f t="shared" ref="AI103:AI121" si="24">EXP(SQRT((LN(AL103)^2)+(LN(AM103)^2)+(LN(AN103)^2)+(LN(AO103)^2)+(LN(AP103)^2)+(LN(AQ103)^2)))</f>
        <v>1.2555818742947564</v>
      </c>
      <c r="AJ103" s="245">
        <f t="shared" ref="AJ103:AJ121" si="25">EXP(SQRT((LN(AL103)^2)+(LN(AM103)^2)+(LN(AN103)^2)+(LN(AO103)^2)+(LN(AP103)^2)+(LN(AQ103)^2)+LN(AH103)^2))</f>
        <v>1.2620910621938648</v>
      </c>
      <c r="AK103" s="246" t="str">
        <f t="shared" ref="AK103:AK121" si="26">CONCATENATE("(",AA103,",",AB103,",",AC103,",",AD103,",",AE103,",",AF103,")")</f>
        <v>(3,4,1,3,1,5)</v>
      </c>
      <c r="AL103" s="30">
        <v>1.1000000000000001</v>
      </c>
      <c r="AM103" s="30">
        <v>1.1000000000000001</v>
      </c>
      <c r="AN103" s="30">
        <v>1</v>
      </c>
      <c r="AO103" s="30">
        <v>1.02</v>
      </c>
      <c r="AP103" s="30">
        <v>1</v>
      </c>
      <c r="AQ103" s="30">
        <v>1.2</v>
      </c>
      <c r="AS103" s="303" t="s">
        <v>749</v>
      </c>
      <c r="AT103" s="21">
        <v>2</v>
      </c>
      <c r="AU103" s="21">
        <v>4</v>
      </c>
      <c r="AV103" s="21">
        <v>1</v>
      </c>
      <c r="AW103" s="21">
        <v>3</v>
      </c>
      <c r="AX103" s="21">
        <v>1</v>
      </c>
      <c r="AY103" s="21">
        <v>5</v>
      </c>
      <c r="AZ103" s="297">
        <v>6</v>
      </c>
      <c r="BA103" s="6">
        <v>1.05</v>
      </c>
      <c r="BB103" s="245">
        <f t="shared" ref="BB103:BB121" si="27">EXP(SQRT((LN(BE103)^2)+(LN(BF103)^2)+(LN(BG103)^2)+(LN(BH103)^2)+(LN(BI103)^2)+(LN(BJ103)^2)))</f>
        <v>1.2365959919080913</v>
      </c>
      <c r="BC103" s="245">
        <f t="shared" ref="BC103:BC121" si="28">EXP(SQRT((LN(BE103)^2)+(LN(BF103)^2)+(LN(BG103)^2)+(LN(BH103)^2)+(LN(BI103)^2)+(LN(BJ103)^2)+LN(BA103)^2))</f>
        <v>1.2434566510799234</v>
      </c>
      <c r="BD103" s="246" t="str">
        <f t="shared" ref="BD103:BD121" si="29">CONCATENATE("(",AT103,",",AU103,",",AV103,",",AW103,",",AX103,",",AY103,")")</f>
        <v>(2,4,1,3,1,5)</v>
      </c>
      <c r="BE103" s="30">
        <v>1.05</v>
      </c>
      <c r="BF103" s="30">
        <v>1.1000000000000001</v>
      </c>
      <c r="BG103" s="30">
        <v>1</v>
      </c>
      <c r="BH103" s="30">
        <v>1.02</v>
      </c>
      <c r="BI103" s="30">
        <v>1</v>
      </c>
      <c r="BJ103" s="30">
        <v>1.2</v>
      </c>
    </row>
    <row r="104" spans="1:62">
      <c r="A104" s="1489">
        <v>259385</v>
      </c>
      <c r="B104" s="1524"/>
      <c r="C104" s="1490"/>
      <c r="D104" s="1492">
        <v>5</v>
      </c>
      <c r="E104" s="1493" t="s">
        <v>98</v>
      </c>
      <c r="F104" s="1494" t="s">
        <v>747</v>
      </c>
      <c r="G104" s="1495" t="s">
        <v>103</v>
      </c>
      <c r="H104" s="1496" t="s">
        <v>98</v>
      </c>
      <c r="I104" s="1497" t="s">
        <v>98</v>
      </c>
      <c r="J104" s="1498">
        <v>0</v>
      </c>
      <c r="K104" s="1495" t="s">
        <v>96</v>
      </c>
      <c r="L104" s="1495">
        <v>0</v>
      </c>
      <c r="M104" s="1499">
        <v>1</v>
      </c>
      <c r="N104" s="1500">
        <v>1.2620910621938648</v>
      </c>
      <c r="O104" s="1501" t="s">
        <v>3196</v>
      </c>
      <c r="P104" s="1495">
        <v>56058.2</v>
      </c>
      <c r="Q104" s="873">
        <v>1</v>
      </c>
      <c r="R104" s="874">
        <f t="shared" si="22"/>
        <v>1.2434566510799234</v>
      </c>
      <c r="S104" s="875" t="str">
        <f t="shared" si="23"/>
        <v>(2,4,1,3,1,5); Brailovsky et al. (2024) from siding A1-A3</v>
      </c>
      <c r="U104" s="452"/>
      <c r="V104" s="452"/>
      <c r="W104" s="452"/>
      <c r="X104" s="452"/>
      <c r="Y104" s="452"/>
      <c r="Z104" s="303"/>
      <c r="AA104" s="21">
        <v>3</v>
      </c>
      <c r="AB104" s="21">
        <v>4</v>
      </c>
      <c r="AC104" s="21">
        <v>1</v>
      </c>
      <c r="AD104" s="21">
        <v>3</v>
      </c>
      <c r="AE104" s="21">
        <v>1</v>
      </c>
      <c r="AF104" s="315">
        <v>5</v>
      </c>
      <c r="AG104" s="297">
        <v>6</v>
      </c>
      <c r="AH104" s="6">
        <v>1.05</v>
      </c>
      <c r="AI104" s="245">
        <f t="shared" si="24"/>
        <v>1.2555818742947564</v>
      </c>
      <c r="AJ104" s="245">
        <f t="shared" si="25"/>
        <v>1.2620910621938648</v>
      </c>
      <c r="AK104" s="246" t="str">
        <f t="shared" si="26"/>
        <v>(3,4,1,3,1,5)</v>
      </c>
      <c r="AL104" s="30">
        <v>1.1000000000000001</v>
      </c>
      <c r="AM104" s="30">
        <v>1.1000000000000001</v>
      </c>
      <c r="AN104" s="30">
        <v>1</v>
      </c>
      <c r="AO104" s="30">
        <v>1.02</v>
      </c>
      <c r="AP104" s="30">
        <v>1</v>
      </c>
      <c r="AQ104" s="30">
        <v>1.2</v>
      </c>
      <c r="AS104" s="303" t="s">
        <v>750</v>
      </c>
      <c r="AT104" s="21">
        <v>2</v>
      </c>
      <c r="AU104" s="21">
        <v>4</v>
      </c>
      <c r="AV104" s="21">
        <v>1</v>
      </c>
      <c r="AW104" s="21">
        <v>3</v>
      </c>
      <c r="AX104" s="21">
        <v>1</v>
      </c>
      <c r="AY104" s="21">
        <v>5</v>
      </c>
      <c r="AZ104" s="297">
        <v>6</v>
      </c>
      <c r="BA104" s="6">
        <v>1.05</v>
      </c>
      <c r="BB104" s="245">
        <f t="shared" si="27"/>
        <v>1.2365959919080913</v>
      </c>
      <c r="BC104" s="245">
        <f t="shared" si="28"/>
        <v>1.2434566510799234</v>
      </c>
      <c r="BD104" s="246" t="str">
        <f t="shared" si="29"/>
        <v>(2,4,1,3,1,5)</v>
      </c>
      <c r="BE104" s="30">
        <v>1.05</v>
      </c>
      <c r="BF104" s="30">
        <v>1.1000000000000001</v>
      </c>
      <c r="BG104" s="30">
        <v>1</v>
      </c>
      <c r="BH104" s="30">
        <v>1.02</v>
      </c>
      <c r="BI104" s="30">
        <v>1</v>
      </c>
      <c r="BJ104" s="30">
        <v>1.2</v>
      </c>
    </row>
    <row r="105" spans="1:62">
      <c r="A105" s="1489">
        <v>268269</v>
      </c>
      <c r="B105" s="1524"/>
      <c r="C105" s="1490"/>
      <c r="D105" s="1548">
        <v>5</v>
      </c>
      <c r="E105" s="1549" t="s">
        <v>98</v>
      </c>
      <c r="F105" s="1541" t="s">
        <v>751</v>
      </c>
      <c r="G105" s="1542" t="s">
        <v>103</v>
      </c>
      <c r="H105" s="1550" t="s">
        <v>98</v>
      </c>
      <c r="I105" s="1543" t="s">
        <v>98</v>
      </c>
      <c r="J105" s="1544">
        <v>0</v>
      </c>
      <c r="K105" s="1542" t="s">
        <v>96</v>
      </c>
      <c r="L105" s="1542">
        <v>0</v>
      </c>
      <c r="M105" s="1545">
        <v>1</v>
      </c>
      <c r="N105" s="1546">
        <v>1.2620910621938648</v>
      </c>
      <c r="O105" s="1547" t="s">
        <v>3196</v>
      </c>
      <c r="P105" s="1542">
        <v>483438</v>
      </c>
      <c r="Q105" s="903">
        <v>1</v>
      </c>
      <c r="R105" s="904">
        <f t="shared" ref="R105:R121" si="30">EXP(SQRT((LN(BC105)^2)+(LN(BC$8)^2)))</f>
        <v>1.2434566510799234</v>
      </c>
      <c r="S105" s="905" t="str">
        <f t="shared" ref="S105:S121" si="31">BD105&amp;"; "&amp;AS105</f>
        <v>(2,4,1,3,1,5); Brailovsky et al. (2024) from ceilings</v>
      </c>
      <c r="U105" s="452"/>
      <c r="V105" s="452"/>
      <c r="W105" s="452"/>
      <c r="X105" s="452"/>
      <c r="Y105" s="452"/>
      <c r="Z105" s="303"/>
      <c r="AA105" s="21">
        <v>3</v>
      </c>
      <c r="AB105" s="21">
        <v>4</v>
      </c>
      <c r="AC105" s="21">
        <v>1</v>
      </c>
      <c r="AD105" s="21">
        <v>3</v>
      </c>
      <c r="AE105" s="21">
        <v>1</v>
      </c>
      <c r="AF105" s="315">
        <v>5</v>
      </c>
      <c r="AG105" s="297">
        <v>6</v>
      </c>
      <c r="AH105" s="6">
        <v>1.05</v>
      </c>
      <c r="AI105" s="245">
        <f t="shared" si="24"/>
        <v>1.2555818742947564</v>
      </c>
      <c r="AJ105" s="245">
        <f t="shared" si="25"/>
        <v>1.2620910621938648</v>
      </c>
      <c r="AK105" s="246" t="str">
        <f t="shared" si="26"/>
        <v>(3,4,1,3,1,5)</v>
      </c>
      <c r="AL105" s="30">
        <v>1.1000000000000001</v>
      </c>
      <c r="AM105" s="30">
        <v>1.1000000000000001</v>
      </c>
      <c r="AN105" s="30">
        <v>1</v>
      </c>
      <c r="AO105" s="30">
        <v>1.02</v>
      </c>
      <c r="AP105" s="30">
        <v>1</v>
      </c>
      <c r="AQ105" s="30">
        <v>1.2</v>
      </c>
      <c r="AS105" s="303" t="s">
        <v>748</v>
      </c>
      <c r="AT105" s="21">
        <v>2</v>
      </c>
      <c r="AU105" s="21">
        <v>4</v>
      </c>
      <c r="AV105" s="21">
        <v>1</v>
      </c>
      <c r="AW105" s="21">
        <v>3</v>
      </c>
      <c r="AX105" s="21">
        <v>1</v>
      </c>
      <c r="AY105" s="21">
        <v>5</v>
      </c>
      <c r="AZ105" s="297">
        <v>6</v>
      </c>
      <c r="BA105" s="6">
        <v>1.05</v>
      </c>
      <c r="BB105" s="245">
        <f t="shared" si="27"/>
        <v>1.2365959919080913</v>
      </c>
      <c r="BC105" s="245">
        <f t="shared" si="28"/>
        <v>1.2434566510799234</v>
      </c>
      <c r="BD105" s="246" t="str">
        <f t="shared" si="29"/>
        <v>(2,4,1,3,1,5)</v>
      </c>
      <c r="BE105" s="30">
        <v>1.05</v>
      </c>
      <c r="BF105" s="30">
        <v>1.1000000000000001</v>
      </c>
      <c r="BG105" s="30">
        <v>1</v>
      </c>
      <c r="BH105" s="30">
        <v>1.02</v>
      </c>
      <c r="BI105" s="30">
        <v>1</v>
      </c>
      <c r="BJ105" s="30">
        <v>1.2</v>
      </c>
    </row>
    <row r="106" spans="1:62">
      <c r="A106" s="1489">
        <v>268269</v>
      </c>
      <c r="B106" s="1524"/>
      <c r="C106" s="1490"/>
      <c r="D106" s="1492">
        <v>5</v>
      </c>
      <c r="E106" s="1493" t="s">
        <v>98</v>
      </c>
      <c r="F106" s="1494" t="s">
        <v>751</v>
      </c>
      <c r="G106" s="1495" t="s">
        <v>103</v>
      </c>
      <c r="H106" s="1496" t="s">
        <v>98</v>
      </c>
      <c r="I106" s="1497" t="s">
        <v>98</v>
      </c>
      <c r="J106" s="1498">
        <v>0</v>
      </c>
      <c r="K106" s="1495" t="s">
        <v>96</v>
      </c>
      <c r="L106" s="1495">
        <v>0</v>
      </c>
      <c r="M106" s="1499">
        <v>1</v>
      </c>
      <c r="N106" s="1500">
        <v>1.2620910621938648</v>
      </c>
      <c r="O106" s="1501" t="s">
        <v>3196</v>
      </c>
      <c r="P106" s="1495">
        <v>604541.69999999995</v>
      </c>
      <c r="Q106" s="873">
        <v>1</v>
      </c>
      <c r="R106" s="874">
        <f t="shared" si="30"/>
        <v>1.2434566510799234</v>
      </c>
      <c r="S106" s="875" t="str">
        <f t="shared" si="31"/>
        <v>(2,4,1,3,1,5); Brailovsky et al. (2024) from roofing A1-A3</v>
      </c>
      <c r="U106" s="452"/>
      <c r="V106" s="452"/>
      <c r="W106" s="452"/>
      <c r="X106" s="452"/>
      <c r="Y106" s="452"/>
      <c r="Z106" s="303"/>
      <c r="AA106" s="21">
        <v>3</v>
      </c>
      <c r="AB106" s="21">
        <v>4</v>
      </c>
      <c r="AC106" s="21">
        <v>1</v>
      </c>
      <c r="AD106" s="21">
        <v>3</v>
      </c>
      <c r="AE106" s="21">
        <v>1</v>
      </c>
      <c r="AF106" s="315">
        <v>5</v>
      </c>
      <c r="AG106" s="297">
        <v>6</v>
      </c>
      <c r="AH106" s="6">
        <v>1.05</v>
      </c>
      <c r="AI106" s="245">
        <f t="shared" si="24"/>
        <v>1.2555818742947564</v>
      </c>
      <c r="AJ106" s="245">
        <f t="shared" si="25"/>
        <v>1.2620910621938648</v>
      </c>
      <c r="AK106" s="246" t="str">
        <f t="shared" si="26"/>
        <v>(3,4,1,3,1,5)</v>
      </c>
      <c r="AL106" s="30">
        <v>1.1000000000000001</v>
      </c>
      <c r="AM106" s="30">
        <v>1.1000000000000001</v>
      </c>
      <c r="AN106" s="30">
        <v>1</v>
      </c>
      <c r="AO106" s="30">
        <v>1.02</v>
      </c>
      <c r="AP106" s="30">
        <v>1</v>
      </c>
      <c r="AQ106" s="30">
        <v>1.2</v>
      </c>
      <c r="AS106" s="303" t="s">
        <v>749</v>
      </c>
      <c r="AT106" s="21">
        <v>2</v>
      </c>
      <c r="AU106" s="21">
        <v>4</v>
      </c>
      <c r="AV106" s="21">
        <v>1</v>
      </c>
      <c r="AW106" s="21">
        <v>3</v>
      </c>
      <c r="AX106" s="21">
        <v>1</v>
      </c>
      <c r="AY106" s="21">
        <v>5</v>
      </c>
      <c r="AZ106" s="297">
        <v>6</v>
      </c>
      <c r="BA106" s="6">
        <v>1.05</v>
      </c>
      <c r="BB106" s="245">
        <f t="shared" si="27"/>
        <v>1.2365959919080913</v>
      </c>
      <c r="BC106" s="245">
        <f t="shared" si="28"/>
        <v>1.2434566510799234</v>
      </c>
      <c r="BD106" s="246" t="str">
        <f t="shared" si="29"/>
        <v>(2,4,1,3,1,5)</v>
      </c>
      <c r="BE106" s="30">
        <v>1.05</v>
      </c>
      <c r="BF106" s="30">
        <v>1.1000000000000001</v>
      </c>
      <c r="BG106" s="30">
        <v>1</v>
      </c>
      <c r="BH106" s="30">
        <v>1.02</v>
      </c>
      <c r="BI106" s="30">
        <v>1</v>
      </c>
      <c r="BJ106" s="30">
        <v>1.2</v>
      </c>
    </row>
    <row r="107" spans="1:62">
      <c r="A107" s="1489">
        <v>268269</v>
      </c>
      <c r="B107" s="1524"/>
      <c r="C107" s="1490"/>
      <c r="D107" s="1548">
        <v>5</v>
      </c>
      <c r="E107" s="1549" t="s">
        <v>98</v>
      </c>
      <c r="F107" s="1541" t="s">
        <v>751</v>
      </c>
      <c r="G107" s="1542" t="s">
        <v>103</v>
      </c>
      <c r="H107" s="1550" t="s">
        <v>98</v>
      </c>
      <c r="I107" s="1543" t="s">
        <v>98</v>
      </c>
      <c r="J107" s="1544">
        <v>0</v>
      </c>
      <c r="K107" s="1542" t="s">
        <v>96</v>
      </c>
      <c r="L107" s="1542">
        <v>0</v>
      </c>
      <c r="M107" s="1545">
        <v>1</v>
      </c>
      <c r="N107" s="1546">
        <v>1.2620910621938648</v>
      </c>
      <c r="O107" s="1547" t="s">
        <v>3196</v>
      </c>
      <c r="P107" s="1542">
        <v>113815.2</v>
      </c>
      <c r="Q107" s="903">
        <v>1</v>
      </c>
      <c r="R107" s="904">
        <f t="shared" si="30"/>
        <v>1.2434566510799234</v>
      </c>
      <c r="S107" s="905" t="str">
        <f t="shared" si="31"/>
        <v>(2,4,1,3,1,5); Brailovsky et al. (2024) from siding A1-A3</v>
      </c>
      <c r="U107" s="452"/>
      <c r="V107" s="452"/>
      <c r="W107" s="452"/>
      <c r="X107" s="452"/>
      <c r="Y107" s="452"/>
      <c r="Z107" s="303"/>
      <c r="AA107" s="21">
        <v>3</v>
      </c>
      <c r="AB107" s="21">
        <v>4</v>
      </c>
      <c r="AC107" s="21">
        <v>1</v>
      </c>
      <c r="AD107" s="21">
        <v>3</v>
      </c>
      <c r="AE107" s="21">
        <v>1</v>
      </c>
      <c r="AF107" s="315">
        <v>5</v>
      </c>
      <c r="AG107" s="297">
        <v>6</v>
      </c>
      <c r="AH107" s="6">
        <v>1.05</v>
      </c>
      <c r="AI107" s="245">
        <f t="shared" si="24"/>
        <v>1.2555818742947564</v>
      </c>
      <c r="AJ107" s="245">
        <f t="shared" si="25"/>
        <v>1.2620910621938648</v>
      </c>
      <c r="AK107" s="246" t="str">
        <f t="shared" si="26"/>
        <v>(3,4,1,3,1,5)</v>
      </c>
      <c r="AL107" s="30">
        <v>1.1000000000000001</v>
      </c>
      <c r="AM107" s="30">
        <v>1.1000000000000001</v>
      </c>
      <c r="AN107" s="30">
        <v>1</v>
      </c>
      <c r="AO107" s="30">
        <v>1.02</v>
      </c>
      <c r="AP107" s="30">
        <v>1</v>
      </c>
      <c r="AQ107" s="30">
        <v>1.2</v>
      </c>
      <c r="AS107" s="303" t="s">
        <v>750</v>
      </c>
      <c r="AT107" s="21">
        <v>2</v>
      </c>
      <c r="AU107" s="21">
        <v>4</v>
      </c>
      <c r="AV107" s="21">
        <v>1</v>
      </c>
      <c r="AW107" s="21">
        <v>3</v>
      </c>
      <c r="AX107" s="21">
        <v>1</v>
      </c>
      <c r="AY107" s="21">
        <v>5</v>
      </c>
      <c r="AZ107" s="297">
        <v>6</v>
      </c>
      <c r="BA107" s="6">
        <v>1.05</v>
      </c>
      <c r="BB107" s="245">
        <f t="shared" si="27"/>
        <v>1.2365959919080913</v>
      </c>
      <c r="BC107" s="245">
        <f t="shared" si="28"/>
        <v>1.2434566510799234</v>
      </c>
      <c r="BD107" s="246" t="str">
        <f t="shared" si="29"/>
        <v>(2,4,1,3,1,5)</v>
      </c>
      <c r="BE107" s="30">
        <v>1.05</v>
      </c>
      <c r="BF107" s="30">
        <v>1.1000000000000001</v>
      </c>
      <c r="BG107" s="30">
        <v>1</v>
      </c>
      <c r="BH107" s="30">
        <v>1.02</v>
      </c>
      <c r="BI107" s="30">
        <v>1</v>
      </c>
      <c r="BJ107" s="30">
        <v>1.2</v>
      </c>
    </row>
    <row r="108" spans="1:62">
      <c r="A108" s="1489">
        <v>268269</v>
      </c>
      <c r="B108" s="1524"/>
      <c r="C108" s="1490"/>
      <c r="D108" s="1492">
        <v>5</v>
      </c>
      <c r="E108" s="1493" t="s">
        <v>98</v>
      </c>
      <c r="F108" s="1494" t="s">
        <v>751</v>
      </c>
      <c r="G108" s="1495" t="s">
        <v>103</v>
      </c>
      <c r="H108" s="1496" t="s">
        <v>98</v>
      </c>
      <c r="I108" s="1497" t="s">
        <v>98</v>
      </c>
      <c r="J108" s="1498">
        <v>0</v>
      </c>
      <c r="K108" s="1495" t="s">
        <v>96</v>
      </c>
      <c r="L108" s="1495">
        <v>0</v>
      </c>
      <c r="M108" s="1499">
        <v>1</v>
      </c>
      <c r="N108" s="1500">
        <v>1.2620910621938648</v>
      </c>
      <c r="O108" s="1501" t="s">
        <v>3196</v>
      </c>
      <c r="P108" s="1495">
        <v>6661282.7956499998</v>
      </c>
      <c r="Q108" s="873">
        <v>1</v>
      </c>
      <c r="R108" s="874">
        <f t="shared" si="30"/>
        <v>1.2434566510799234</v>
      </c>
      <c r="S108" s="875" t="str">
        <f t="shared" si="31"/>
        <v>(2,4,1,3,1,5); Brailovsky et al. (2024) from Ssteel A1-A3</v>
      </c>
      <c r="U108" s="452"/>
      <c r="V108" s="452"/>
      <c r="W108" s="452"/>
      <c r="X108" s="452"/>
      <c r="Y108" s="452"/>
      <c r="Z108" s="303"/>
      <c r="AA108" s="21">
        <v>3</v>
      </c>
      <c r="AB108" s="21">
        <v>4</v>
      </c>
      <c r="AC108" s="21">
        <v>1</v>
      </c>
      <c r="AD108" s="21">
        <v>3</v>
      </c>
      <c r="AE108" s="21">
        <v>1</v>
      </c>
      <c r="AF108" s="315">
        <v>5</v>
      </c>
      <c r="AG108" s="297">
        <v>6</v>
      </c>
      <c r="AH108" s="6">
        <v>1.05</v>
      </c>
      <c r="AI108" s="245">
        <f t="shared" si="24"/>
        <v>1.2555818742947564</v>
      </c>
      <c r="AJ108" s="245">
        <f t="shared" si="25"/>
        <v>1.2620910621938648</v>
      </c>
      <c r="AK108" s="246" t="str">
        <f t="shared" si="26"/>
        <v>(3,4,1,3,1,5)</v>
      </c>
      <c r="AL108" s="30">
        <v>1.1000000000000001</v>
      </c>
      <c r="AM108" s="30">
        <v>1.1000000000000001</v>
      </c>
      <c r="AN108" s="30">
        <v>1</v>
      </c>
      <c r="AO108" s="30">
        <v>1.02</v>
      </c>
      <c r="AP108" s="30">
        <v>1</v>
      </c>
      <c r="AQ108" s="30">
        <v>1.2</v>
      </c>
      <c r="AS108" s="303" t="s">
        <v>752</v>
      </c>
      <c r="AT108" s="21">
        <v>2</v>
      </c>
      <c r="AU108" s="21">
        <v>4</v>
      </c>
      <c r="AV108" s="21">
        <v>1</v>
      </c>
      <c r="AW108" s="21">
        <v>3</v>
      </c>
      <c r="AX108" s="21">
        <v>1</v>
      </c>
      <c r="AY108" s="21">
        <v>5</v>
      </c>
      <c r="AZ108" s="297">
        <v>6</v>
      </c>
      <c r="BA108" s="6">
        <v>1.05</v>
      </c>
      <c r="BB108" s="245">
        <f t="shared" si="27"/>
        <v>1.2365959919080913</v>
      </c>
      <c r="BC108" s="245">
        <f t="shared" si="28"/>
        <v>1.2434566510799234</v>
      </c>
      <c r="BD108" s="246" t="str">
        <f t="shared" si="29"/>
        <v>(2,4,1,3,1,5)</v>
      </c>
      <c r="BE108" s="30">
        <v>1.05</v>
      </c>
      <c r="BF108" s="30">
        <v>1.1000000000000001</v>
      </c>
      <c r="BG108" s="30">
        <v>1</v>
      </c>
      <c r="BH108" s="30">
        <v>1.02</v>
      </c>
      <c r="BI108" s="30">
        <v>1</v>
      </c>
      <c r="BJ108" s="30">
        <v>1.2</v>
      </c>
    </row>
    <row r="109" spans="1:62">
      <c r="A109" s="1489">
        <v>267245</v>
      </c>
      <c r="B109" s="1524"/>
      <c r="C109" s="1490"/>
      <c r="D109" s="1548">
        <v>5</v>
      </c>
      <c r="E109" s="1549" t="s">
        <v>98</v>
      </c>
      <c r="F109" s="1541" t="s">
        <v>753</v>
      </c>
      <c r="G109" s="1542" t="s">
        <v>103</v>
      </c>
      <c r="H109" s="1550" t="s">
        <v>98</v>
      </c>
      <c r="I109" s="1543" t="s">
        <v>98</v>
      </c>
      <c r="J109" s="1544">
        <v>0</v>
      </c>
      <c r="K109" s="1542" t="s">
        <v>96</v>
      </c>
      <c r="L109" s="1542">
        <v>0</v>
      </c>
      <c r="M109" s="1545">
        <v>1</v>
      </c>
      <c r="N109" s="1546">
        <v>1.2620910621938648</v>
      </c>
      <c r="O109" s="1547" t="s">
        <v>3196</v>
      </c>
      <c r="P109" s="1542">
        <v>6811801.1999999993</v>
      </c>
      <c r="Q109" s="903">
        <v>1</v>
      </c>
      <c r="R109" s="904">
        <f t="shared" si="30"/>
        <v>1.2434566510799234</v>
      </c>
      <c r="S109" s="905" t="str">
        <f t="shared" si="31"/>
        <v>(2,4,1,3,1,5); Brailovsky et al. (2024) from civil works A4A5</v>
      </c>
      <c r="U109" s="452"/>
      <c r="V109" s="452"/>
      <c r="W109" s="452"/>
      <c r="X109" s="452"/>
      <c r="Y109" s="452"/>
      <c r="Z109" s="303"/>
      <c r="AA109" s="21">
        <v>3</v>
      </c>
      <c r="AB109" s="21">
        <v>4</v>
      </c>
      <c r="AC109" s="21">
        <v>1</v>
      </c>
      <c r="AD109" s="21">
        <v>3</v>
      </c>
      <c r="AE109" s="21">
        <v>1</v>
      </c>
      <c r="AF109" s="315">
        <v>5</v>
      </c>
      <c r="AG109" s="297">
        <v>6</v>
      </c>
      <c r="AH109" s="6">
        <v>1.05</v>
      </c>
      <c r="AI109" s="245">
        <f t="shared" si="24"/>
        <v>1.2555818742947564</v>
      </c>
      <c r="AJ109" s="245">
        <f t="shared" si="25"/>
        <v>1.2620910621938648</v>
      </c>
      <c r="AK109" s="246" t="str">
        <f t="shared" si="26"/>
        <v>(3,4,1,3,1,5)</v>
      </c>
      <c r="AL109" s="30">
        <v>1.1000000000000001</v>
      </c>
      <c r="AM109" s="30">
        <v>1.1000000000000001</v>
      </c>
      <c r="AN109" s="30">
        <v>1</v>
      </c>
      <c r="AO109" s="30">
        <v>1.02</v>
      </c>
      <c r="AP109" s="30">
        <v>1</v>
      </c>
      <c r="AQ109" s="30">
        <v>1.2</v>
      </c>
      <c r="AS109" s="303" t="s">
        <v>754</v>
      </c>
      <c r="AT109" s="21">
        <v>2</v>
      </c>
      <c r="AU109" s="21">
        <v>4</v>
      </c>
      <c r="AV109" s="21">
        <v>1</v>
      </c>
      <c r="AW109" s="21">
        <v>3</v>
      </c>
      <c r="AX109" s="21">
        <v>1</v>
      </c>
      <c r="AY109" s="21">
        <v>5</v>
      </c>
      <c r="AZ109" s="297">
        <v>6</v>
      </c>
      <c r="BA109" s="6">
        <v>1.05</v>
      </c>
      <c r="BB109" s="245">
        <f t="shared" si="27"/>
        <v>1.2365959919080913</v>
      </c>
      <c r="BC109" s="245">
        <f t="shared" si="28"/>
        <v>1.2434566510799234</v>
      </c>
      <c r="BD109" s="246" t="str">
        <f t="shared" si="29"/>
        <v>(2,4,1,3,1,5)</v>
      </c>
      <c r="BE109" s="30">
        <v>1.05</v>
      </c>
      <c r="BF109" s="30">
        <v>1.1000000000000001</v>
      </c>
      <c r="BG109" s="30">
        <v>1</v>
      </c>
      <c r="BH109" s="30">
        <v>1.02</v>
      </c>
      <c r="BI109" s="30">
        <v>1</v>
      </c>
      <c r="BJ109" s="30">
        <v>1.2</v>
      </c>
    </row>
    <row r="110" spans="1:62">
      <c r="A110" s="1489">
        <v>255195</v>
      </c>
      <c r="B110" s="1524"/>
      <c r="C110" s="1490"/>
      <c r="D110" s="1492">
        <v>5</v>
      </c>
      <c r="E110" s="1493" t="s">
        <v>98</v>
      </c>
      <c r="F110" s="1494" t="s">
        <v>755</v>
      </c>
      <c r="G110" s="1495" t="s">
        <v>103</v>
      </c>
      <c r="H110" s="1496" t="s">
        <v>98</v>
      </c>
      <c r="I110" s="1497" t="s">
        <v>98</v>
      </c>
      <c r="J110" s="1498">
        <v>0</v>
      </c>
      <c r="K110" s="1495" t="s">
        <v>96</v>
      </c>
      <c r="L110" s="1495">
        <v>0</v>
      </c>
      <c r="M110" s="1499">
        <v>1</v>
      </c>
      <c r="N110" s="1500">
        <v>1.2620910621938648</v>
      </c>
      <c r="O110" s="1501" t="s">
        <v>3196</v>
      </c>
      <c r="P110" s="1495">
        <v>899182.4</v>
      </c>
      <c r="Q110" s="873">
        <v>1</v>
      </c>
      <c r="R110" s="874">
        <f t="shared" si="30"/>
        <v>1.2434566510799234</v>
      </c>
      <c r="S110" s="875" t="str">
        <f t="shared" si="31"/>
        <v>(2,4,1,3,1,5); Brailovsky et al. (2024) from earthworks</v>
      </c>
      <c r="U110" s="452"/>
      <c r="V110" s="452"/>
      <c r="W110" s="452"/>
      <c r="X110" s="452"/>
      <c r="Y110" s="452"/>
      <c r="Z110" s="303"/>
      <c r="AA110" s="21">
        <v>3</v>
      </c>
      <c r="AB110" s="21">
        <v>4</v>
      </c>
      <c r="AC110" s="21">
        <v>1</v>
      </c>
      <c r="AD110" s="21">
        <v>3</v>
      </c>
      <c r="AE110" s="21">
        <v>1</v>
      </c>
      <c r="AF110" s="315">
        <v>5</v>
      </c>
      <c r="AG110" s="297">
        <v>6</v>
      </c>
      <c r="AH110" s="6">
        <v>1.05</v>
      </c>
      <c r="AI110" s="245">
        <f t="shared" si="24"/>
        <v>1.2555818742947564</v>
      </c>
      <c r="AJ110" s="245">
        <f t="shared" si="25"/>
        <v>1.2620910621938648</v>
      </c>
      <c r="AK110" s="246" t="str">
        <f t="shared" si="26"/>
        <v>(3,4,1,3,1,5)</v>
      </c>
      <c r="AL110" s="30">
        <v>1.1000000000000001</v>
      </c>
      <c r="AM110" s="30">
        <v>1.1000000000000001</v>
      </c>
      <c r="AN110" s="30">
        <v>1</v>
      </c>
      <c r="AO110" s="30">
        <v>1.02</v>
      </c>
      <c r="AP110" s="30">
        <v>1</v>
      </c>
      <c r="AQ110" s="30">
        <v>1.2</v>
      </c>
      <c r="AS110" s="303" t="s">
        <v>756</v>
      </c>
      <c r="AT110" s="21">
        <v>2</v>
      </c>
      <c r="AU110" s="21">
        <v>4</v>
      </c>
      <c r="AV110" s="21">
        <v>1</v>
      </c>
      <c r="AW110" s="21">
        <v>3</v>
      </c>
      <c r="AX110" s="21">
        <v>1</v>
      </c>
      <c r="AY110" s="21">
        <v>5</v>
      </c>
      <c r="AZ110" s="297">
        <v>6</v>
      </c>
      <c r="BA110" s="6">
        <v>1.05</v>
      </c>
      <c r="BB110" s="245">
        <f t="shared" si="27"/>
        <v>1.2365959919080913</v>
      </c>
      <c r="BC110" s="245">
        <f t="shared" si="28"/>
        <v>1.2434566510799234</v>
      </c>
      <c r="BD110" s="246" t="str">
        <f t="shared" si="29"/>
        <v>(2,4,1,3,1,5)</v>
      </c>
      <c r="BE110" s="30">
        <v>1.05</v>
      </c>
      <c r="BF110" s="30">
        <v>1.1000000000000001</v>
      </c>
      <c r="BG110" s="30">
        <v>1</v>
      </c>
      <c r="BH110" s="30">
        <v>1.02</v>
      </c>
      <c r="BI110" s="30">
        <v>1</v>
      </c>
      <c r="BJ110" s="30">
        <v>1.2</v>
      </c>
    </row>
    <row r="111" spans="1:62">
      <c r="A111" s="1489">
        <v>268265</v>
      </c>
      <c r="B111" s="1524"/>
      <c r="C111" s="1490"/>
      <c r="D111" s="1548">
        <v>5</v>
      </c>
      <c r="E111" s="1549" t="s">
        <v>98</v>
      </c>
      <c r="F111" s="1541" t="s">
        <v>757</v>
      </c>
      <c r="G111" s="1542" t="s">
        <v>103</v>
      </c>
      <c r="H111" s="1550" t="s">
        <v>98</v>
      </c>
      <c r="I111" s="1543" t="s">
        <v>98</v>
      </c>
      <c r="J111" s="1544">
        <v>0</v>
      </c>
      <c r="K111" s="1542" t="s">
        <v>96</v>
      </c>
      <c r="L111" s="1542">
        <v>0</v>
      </c>
      <c r="M111" s="1545">
        <v>1</v>
      </c>
      <c r="N111" s="1546">
        <v>1.2620910621938648</v>
      </c>
      <c r="O111" s="1547" t="s">
        <v>3196</v>
      </c>
      <c r="P111" s="1542">
        <v>2849490</v>
      </c>
      <c r="Q111" s="903">
        <v>1</v>
      </c>
      <c r="R111" s="904">
        <f t="shared" si="30"/>
        <v>1.2434566510799234</v>
      </c>
      <c r="S111" s="905" t="str">
        <f t="shared" si="31"/>
        <v>(2,4,1,3,1,5); Brailovsky et al. (2024) from insitu concrete A1-A3</v>
      </c>
      <c r="U111" s="452"/>
      <c r="V111" s="452"/>
      <c r="W111" s="452"/>
      <c r="X111" s="452"/>
      <c r="Y111" s="452"/>
      <c r="Z111" s="303"/>
      <c r="AA111" s="21">
        <v>3</v>
      </c>
      <c r="AB111" s="21">
        <v>4</v>
      </c>
      <c r="AC111" s="21">
        <v>1</v>
      </c>
      <c r="AD111" s="21">
        <v>3</v>
      </c>
      <c r="AE111" s="21">
        <v>1</v>
      </c>
      <c r="AF111" s="315">
        <v>5</v>
      </c>
      <c r="AG111" s="297">
        <v>6</v>
      </c>
      <c r="AH111" s="6">
        <v>1.05</v>
      </c>
      <c r="AI111" s="245">
        <f t="shared" si="24"/>
        <v>1.2555818742947564</v>
      </c>
      <c r="AJ111" s="245">
        <f t="shared" si="25"/>
        <v>1.2620910621938648</v>
      </c>
      <c r="AK111" s="246" t="str">
        <f t="shared" si="26"/>
        <v>(3,4,1,3,1,5)</v>
      </c>
      <c r="AL111" s="30">
        <v>1.1000000000000001</v>
      </c>
      <c r="AM111" s="30">
        <v>1.1000000000000001</v>
      </c>
      <c r="AN111" s="30">
        <v>1</v>
      </c>
      <c r="AO111" s="30">
        <v>1.02</v>
      </c>
      <c r="AP111" s="30">
        <v>1</v>
      </c>
      <c r="AQ111" s="30">
        <v>1.2</v>
      </c>
      <c r="AS111" s="303" t="s">
        <v>758</v>
      </c>
      <c r="AT111" s="21">
        <v>2</v>
      </c>
      <c r="AU111" s="21">
        <v>4</v>
      </c>
      <c r="AV111" s="21">
        <v>1</v>
      </c>
      <c r="AW111" s="21">
        <v>3</v>
      </c>
      <c r="AX111" s="21">
        <v>1</v>
      </c>
      <c r="AY111" s="21">
        <v>5</v>
      </c>
      <c r="AZ111" s="297">
        <v>6</v>
      </c>
      <c r="BA111" s="6">
        <v>1.05</v>
      </c>
      <c r="BB111" s="245">
        <f t="shared" si="27"/>
        <v>1.2365959919080913</v>
      </c>
      <c r="BC111" s="245">
        <f t="shared" si="28"/>
        <v>1.2434566510799234</v>
      </c>
      <c r="BD111" s="246" t="str">
        <f t="shared" si="29"/>
        <v>(2,4,1,3,1,5)</v>
      </c>
      <c r="BE111" s="30">
        <v>1.05</v>
      </c>
      <c r="BF111" s="30">
        <v>1.1000000000000001</v>
      </c>
      <c r="BG111" s="30">
        <v>1</v>
      </c>
      <c r="BH111" s="30">
        <v>1.02</v>
      </c>
      <c r="BI111" s="30">
        <v>1</v>
      </c>
      <c r="BJ111" s="30">
        <v>1.2</v>
      </c>
    </row>
    <row r="112" spans="1:62">
      <c r="A112" s="1489">
        <v>264229</v>
      </c>
      <c r="B112" s="1524"/>
      <c r="C112" s="1490"/>
      <c r="D112" s="1492">
        <v>5</v>
      </c>
      <c r="E112" s="1493" t="s">
        <v>98</v>
      </c>
      <c r="F112" s="1494" t="s">
        <v>759</v>
      </c>
      <c r="G112" s="1495" t="s">
        <v>103</v>
      </c>
      <c r="H112" s="1496" t="s">
        <v>98</v>
      </c>
      <c r="I112" s="1497" t="s">
        <v>98</v>
      </c>
      <c r="J112" s="1498">
        <v>0</v>
      </c>
      <c r="K112" s="1495" t="s">
        <v>96</v>
      </c>
      <c r="L112" s="1495">
        <v>0</v>
      </c>
      <c r="M112" s="1499">
        <v>1</v>
      </c>
      <c r="N112" s="1500">
        <v>1.2620910621938648</v>
      </c>
      <c r="O112" s="1501" t="s">
        <v>3196</v>
      </c>
      <c r="P112" s="1495">
        <v>64590106</v>
      </c>
      <c r="Q112" s="873">
        <v>1</v>
      </c>
      <c r="R112" s="874">
        <f t="shared" si="30"/>
        <v>1.2434566510799234</v>
      </c>
      <c r="S112" s="875" t="str">
        <f t="shared" si="31"/>
        <v>(2,4,1,3,1,5); Brailovsky et al. (2024) from insitu concrete A1-A3</v>
      </c>
      <c r="U112" s="452"/>
      <c r="V112" s="452"/>
      <c r="W112" s="452"/>
      <c r="X112" s="452"/>
      <c r="Y112" s="452"/>
      <c r="Z112" s="303"/>
      <c r="AA112" s="21">
        <v>3</v>
      </c>
      <c r="AB112" s="21">
        <v>4</v>
      </c>
      <c r="AC112" s="21">
        <v>1</v>
      </c>
      <c r="AD112" s="21">
        <v>3</v>
      </c>
      <c r="AE112" s="21">
        <v>1</v>
      </c>
      <c r="AF112" s="315">
        <v>5</v>
      </c>
      <c r="AG112" s="297">
        <v>6</v>
      </c>
      <c r="AH112" s="6">
        <v>1.05</v>
      </c>
      <c r="AI112" s="245">
        <f t="shared" si="24"/>
        <v>1.2555818742947564</v>
      </c>
      <c r="AJ112" s="245">
        <f t="shared" si="25"/>
        <v>1.2620910621938648</v>
      </c>
      <c r="AK112" s="246" t="str">
        <f t="shared" si="26"/>
        <v>(3,4,1,3,1,5)</v>
      </c>
      <c r="AL112" s="30">
        <v>1.1000000000000001</v>
      </c>
      <c r="AM112" s="30">
        <v>1.1000000000000001</v>
      </c>
      <c r="AN112" s="30">
        <v>1</v>
      </c>
      <c r="AO112" s="30">
        <v>1.02</v>
      </c>
      <c r="AP112" s="30">
        <v>1</v>
      </c>
      <c r="AQ112" s="30">
        <v>1.2</v>
      </c>
      <c r="AS112" s="303" t="s">
        <v>758</v>
      </c>
      <c r="AT112" s="21">
        <v>2</v>
      </c>
      <c r="AU112" s="21">
        <v>4</v>
      </c>
      <c r="AV112" s="21">
        <v>1</v>
      </c>
      <c r="AW112" s="21">
        <v>3</v>
      </c>
      <c r="AX112" s="21">
        <v>1</v>
      </c>
      <c r="AY112" s="21">
        <v>5</v>
      </c>
      <c r="AZ112" s="297">
        <v>6</v>
      </c>
      <c r="BA112" s="6">
        <v>1.05</v>
      </c>
      <c r="BB112" s="245">
        <f t="shared" si="27"/>
        <v>1.2365959919080913</v>
      </c>
      <c r="BC112" s="245">
        <f t="shared" si="28"/>
        <v>1.2434566510799234</v>
      </c>
      <c r="BD112" s="246" t="str">
        <f t="shared" si="29"/>
        <v>(2,4,1,3,1,5)</v>
      </c>
      <c r="BE112" s="30">
        <v>1.05</v>
      </c>
      <c r="BF112" s="30">
        <v>1.1000000000000001</v>
      </c>
      <c r="BG112" s="30">
        <v>1</v>
      </c>
      <c r="BH112" s="30">
        <v>1.02</v>
      </c>
      <c r="BI112" s="30">
        <v>1</v>
      </c>
      <c r="BJ112" s="30">
        <v>1.2</v>
      </c>
    </row>
    <row r="113" spans="1:62">
      <c r="A113" s="1520">
        <v>116809</v>
      </c>
      <c r="B113" s="1523" t="s">
        <v>218</v>
      </c>
      <c r="C113" s="1522"/>
      <c r="D113" s="1552">
        <v>4</v>
      </c>
      <c r="E113" s="1553" t="s">
        <v>98</v>
      </c>
      <c r="F113" s="1541" t="s">
        <v>929</v>
      </c>
      <c r="G113" s="1542" t="s">
        <v>98</v>
      </c>
      <c r="H113" s="1550" t="s">
        <v>218</v>
      </c>
      <c r="I113" s="1543" t="s">
        <v>764</v>
      </c>
      <c r="J113" s="1544" t="s">
        <v>98</v>
      </c>
      <c r="K113" s="1542" t="s">
        <v>725</v>
      </c>
      <c r="L113" s="1542">
        <v>16466.138959991415</v>
      </c>
      <c r="M113" s="1545">
        <v>1</v>
      </c>
      <c r="N113" s="1546">
        <v>1.5919770563893134</v>
      </c>
      <c r="O113" s="1547" t="s">
        <v>3216</v>
      </c>
      <c r="P113" s="1542">
        <v>0</v>
      </c>
      <c r="Q113" s="903">
        <v>1</v>
      </c>
      <c r="R113" s="904">
        <f t="shared" si="30"/>
        <v>1.5</v>
      </c>
      <c r="S113" s="905" t="str">
        <f t="shared" si="31"/>
        <v xml:space="preserve">(1,1,1,1,1,1); </v>
      </c>
      <c r="T113" s="452"/>
      <c r="U113" s="452"/>
      <c r="V113" s="452"/>
      <c r="W113" s="452"/>
      <c r="X113" s="452"/>
      <c r="Y113" s="452"/>
      <c r="Z113" s="401" t="s">
        <v>789</v>
      </c>
      <c r="AA113" s="21">
        <v>3</v>
      </c>
      <c r="AB113" s="21">
        <v>4</v>
      </c>
      <c r="AC113" s="21">
        <v>1</v>
      </c>
      <c r="AD113" s="21">
        <v>3</v>
      </c>
      <c r="AE113" s="21">
        <v>1</v>
      </c>
      <c r="AF113" s="315">
        <v>5</v>
      </c>
      <c r="AG113" s="297">
        <v>7</v>
      </c>
      <c r="AH113" s="6">
        <v>1.5</v>
      </c>
      <c r="AI113" s="245">
        <f t="shared" si="24"/>
        <v>1.2555818742947564</v>
      </c>
      <c r="AJ113" s="245">
        <f t="shared" si="25"/>
        <v>1.5919770563893134</v>
      </c>
      <c r="AK113" s="246" t="str">
        <f t="shared" si="26"/>
        <v>(3,4,1,3,1,5)</v>
      </c>
      <c r="AL113" s="30">
        <v>1.1000000000000001</v>
      </c>
      <c r="AM113" s="30">
        <v>1.1000000000000001</v>
      </c>
      <c r="AN113" s="30">
        <v>1</v>
      </c>
      <c r="AO113" s="30">
        <v>1.02</v>
      </c>
      <c r="AP113" s="30">
        <v>1</v>
      </c>
      <c r="AQ113" s="30">
        <v>1.2</v>
      </c>
      <c r="AT113" s="21">
        <v>1</v>
      </c>
      <c r="AU113" s="21">
        <v>1</v>
      </c>
      <c r="AV113" s="21">
        <v>1</v>
      </c>
      <c r="AW113" s="21">
        <v>1</v>
      </c>
      <c r="AX113" s="21">
        <v>1</v>
      </c>
      <c r="AY113" s="21">
        <v>1</v>
      </c>
      <c r="AZ113" s="297">
        <v>7</v>
      </c>
      <c r="BA113" s="6">
        <v>1.5</v>
      </c>
      <c r="BB113" s="245">
        <f t="shared" si="27"/>
        <v>1</v>
      </c>
      <c r="BC113" s="245">
        <f t="shared" si="28"/>
        <v>1.5</v>
      </c>
      <c r="BD113" s="246" t="str">
        <f t="shared" si="29"/>
        <v>(1,1,1,1,1,1)</v>
      </c>
      <c r="BE113" s="30">
        <v>1</v>
      </c>
      <c r="BF113" s="30">
        <v>1</v>
      </c>
      <c r="BG113" s="30">
        <v>1</v>
      </c>
      <c r="BH113" s="30">
        <v>1</v>
      </c>
      <c r="BI113" s="30">
        <v>1</v>
      </c>
      <c r="BJ113" s="30">
        <v>1</v>
      </c>
    </row>
    <row r="114" spans="1:62">
      <c r="A114" s="1520">
        <v>113531</v>
      </c>
      <c r="B114" s="1523"/>
      <c r="C114" s="1522"/>
      <c r="D114" s="1554">
        <v>4</v>
      </c>
      <c r="E114" s="1555" t="s">
        <v>98</v>
      </c>
      <c r="F114" s="1494" t="s">
        <v>766</v>
      </c>
      <c r="G114" s="1495" t="s">
        <v>98</v>
      </c>
      <c r="H114" s="1496" t="s">
        <v>218</v>
      </c>
      <c r="I114" s="1497" t="s">
        <v>764</v>
      </c>
      <c r="J114" s="1498" t="s">
        <v>98</v>
      </c>
      <c r="K114" s="1495" t="s">
        <v>725</v>
      </c>
      <c r="L114" s="1495">
        <v>23323.321370988717</v>
      </c>
      <c r="M114" s="1499">
        <v>1</v>
      </c>
      <c r="N114" s="1500">
        <v>1.5919770563893134</v>
      </c>
      <c r="O114" s="1501" t="s">
        <v>3216</v>
      </c>
      <c r="P114" s="1495">
        <v>630052.5</v>
      </c>
      <c r="Q114" s="873">
        <v>1</v>
      </c>
      <c r="R114" s="874">
        <f t="shared" si="30"/>
        <v>1.5804528752110836</v>
      </c>
      <c r="S114" s="875" t="str">
        <f t="shared" si="31"/>
        <v>(2,4,1,3,1,5); Brailovsky et al. (2024)</v>
      </c>
      <c r="T114" s="452"/>
      <c r="U114" s="452"/>
      <c r="V114" s="452"/>
      <c r="W114" s="452"/>
      <c r="X114" s="452"/>
      <c r="Y114" s="452"/>
      <c r="Z114" s="401" t="s">
        <v>789</v>
      </c>
      <c r="AA114" s="21">
        <v>3</v>
      </c>
      <c r="AB114" s="21">
        <v>4</v>
      </c>
      <c r="AC114" s="21">
        <v>1</v>
      </c>
      <c r="AD114" s="21">
        <v>3</v>
      </c>
      <c r="AE114" s="21">
        <v>1</v>
      </c>
      <c r="AF114" s="315">
        <v>5</v>
      </c>
      <c r="AG114" s="297">
        <v>7</v>
      </c>
      <c r="AH114" s="6">
        <v>1.5</v>
      </c>
      <c r="AI114" s="245">
        <f t="shared" si="24"/>
        <v>1.2555818742947564</v>
      </c>
      <c r="AJ114" s="245">
        <f t="shared" si="25"/>
        <v>1.5919770563893134</v>
      </c>
      <c r="AK114" s="246" t="str">
        <f t="shared" si="26"/>
        <v>(3,4,1,3,1,5)</v>
      </c>
      <c r="AL114" s="30">
        <v>1.1000000000000001</v>
      </c>
      <c r="AM114" s="30">
        <v>1.1000000000000001</v>
      </c>
      <c r="AN114" s="30">
        <v>1</v>
      </c>
      <c r="AO114" s="30">
        <v>1.02</v>
      </c>
      <c r="AP114" s="30">
        <v>1</v>
      </c>
      <c r="AQ114" s="30">
        <v>1.2</v>
      </c>
      <c r="AS114" s="303" t="s">
        <v>673</v>
      </c>
      <c r="AT114" s="21">
        <v>2</v>
      </c>
      <c r="AU114" s="21">
        <v>4</v>
      </c>
      <c r="AV114" s="21">
        <v>1</v>
      </c>
      <c r="AW114" s="21">
        <v>3</v>
      </c>
      <c r="AX114" s="21">
        <v>1</v>
      </c>
      <c r="AY114" s="21">
        <v>5</v>
      </c>
      <c r="AZ114" s="297">
        <v>7</v>
      </c>
      <c r="BA114" s="6">
        <v>1.5</v>
      </c>
      <c r="BB114" s="245">
        <f t="shared" si="27"/>
        <v>1.2365959919080913</v>
      </c>
      <c r="BC114" s="245">
        <f t="shared" si="28"/>
        <v>1.5804528752110836</v>
      </c>
      <c r="BD114" s="246" t="str">
        <f t="shared" si="29"/>
        <v>(2,4,1,3,1,5)</v>
      </c>
      <c r="BE114" s="30">
        <v>1.05</v>
      </c>
      <c r="BF114" s="30">
        <v>1.1000000000000001</v>
      </c>
      <c r="BG114" s="30">
        <v>1</v>
      </c>
      <c r="BH114" s="30">
        <v>1.02</v>
      </c>
      <c r="BI114" s="30">
        <v>1</v>
      </c>
      <c r="BJ114" s="30">
        <v>1.2</v>
      </c>
    </row>
    <row r="115" spans="1:62">
      <c r="A115" s="1520">
        <v>131267</v>
      </c>
      <c r="B115" s="1523"/>
      <c r="C115" s="1522"/>
      <c r="D115" s="1552">
        <v>4</v>
      </c>
      <c r="E115" s="1553" t="s">
        <v>98</v>
      </c>
      <c r="F115" s="1541" t="s">
        <v>765</v>
      </c>
      <c r="G115" s="1542" t="s">
        <v>98</v>
      </c>
      <c r="H115" s="1550" t="s">
        <v>218</v>
      </c>
      <c r="I115" s="1543" t="s">
        <v>764</v>
      </c>
      <c r="J115" s="1544" t="s">
        <v>98</v>
      </c>
      <c r="K115" s="1542" t="s">
        <v>725</v>
      </c>
      <c r="L115" s="1542">
        <v>2870.2047283366305</v>
      </c>
      <c r="M115" s="1545">
        <v>1</v>
      </c>
      <c r="N115" s="1546">
        <v>1.5919770563893134</v>
      </c>
      <c r="O115" s="1547" t="s">
        <v>3216</v>
      </c>
      <c r="P115" s="1542">
        <v>1463813.6</v>
      </c>
      <c r="Q115" s="903">
        <v>1</v>
      </c>
      <c r="R115" s="904">
        <f t="shared" si="30"/>
        <v>1.5804528752110836</v>
      </c>
      <c r="S115" s="905" t="str">
        <f t="shared" si="31"/>
        <v>(2,4,1,3,1,5); Brailovsky et al. (2024)</v>
      </c>
      <c r="T115" s="452"/>
      <c r="U115" s="452"/>
      <c r="V115" s="452"/>
      <c r="W115" s="452"/>
      <c r="X115" s="452"/>
      <c r="Y115" s="452"/>
      <c r="Z115" s="401" t="s">
        <v>789</v>
      </c>
      <c r="AA115" s="21">
        <v>3</v>
      </c>
      <c r="AB115" s="21">
        <v>4</v>
      </c>
      <c r="AC115" s="21">
        <v>1</v>
      </c>
      <c r="AD115" s="21">
        <v>3</v>
      </c>
      <c r="AE115" s="21">
        <v>1</v>
      </c>
      <c r="AF115" s="315">
        <v>5</v>
      </c>
      <c r="AG115" s="297">
        <v>7</v>
      </c>
      <c r="AH115" s="6">
        <v>1.5</v>
      </c>
      <c r="AI115" s="245">
        <f t="shared" si="24"/>
        <v>1.2555818742947564</v>
      </c>
      <c r="AJ115" s="245">
        <f t="shared" si="25"/>
        <v>1.5919770563893134</v>
      </c>
      <c r="AK115" s="246" t="str">
        <f t="shared" si="26"/>
        <v>(3,4,1,3,1,5)</v>
      </c>
      <c r="AL115" s="30">
        <v>1.1000000000000001</v>
      </c>
      <c r="AM115" s="30">
        <v>1.1000000000000001</v>
      </c>
      <c r="AN115" s="30">
        <v>1</v>
      </c>
      <c r="AO115" s="30">
        <v>1.02</v>
      </c>
      <c r="AP115" s="30">
        <v>1</v>
      </c>
      <c r="AQ115" s="30">
        <v>1.2</v>
      </c>
      <c r="AS115" s="303" t="s">
        <v>673</v>
      </c>
      <c r="AT115" s="21">
        <v>2</v>
      </c>
      <c r="AU115" s="21">
        <v>4</v>
      </c>
      <c r="AV115" s="21">
        <v>1</v>
      </c>
      <c r="AW115" s="21">
        <v>3</v>
      </c>
      <c r="AX115" s="21">
        <v>1</v>
      </c>
      <c r="AY115" s="21">
        <v>5</v>
      </c>
      <c r="AZ115" s="297">
        <v>7</v>
      </c>
      <c r="BA115" s="6">
        <v>1.5</v>
      </c>
      <c r="BB115" s="245">
        <f t="shared" si="27"/>
        <v>1.2365959919080913</v>
      </c>
      <c r="BC115" s="245">
        <f t="shared" si="28"/>
        <v>1.5804528752110836</v>
      </c>
      <c r="BD115" s="246" t="str">
        <f t="shared" si="29"/>
        <v>(2,4,1,3,1,5)</v>
      </c>
      <c r="BE115" s="30">
        <v>1.05</v>
      </c>
      <c r="BF115" s="30">
        <v>1.1000000000000001</v>
      </c>
      <c r="BG115" s="30">
        <v>1</v>
      </c>
      <c r="BH115" s="30">
        <v>1.02</v>
      </c>
      <c r="BI115" s="30">
        <v>1</v>
      </c>
      <c r="BJ115" s="30">
        <v>1.2</v>
      </c>
    </row>
    <row r="116" spans="1:62">
      <c r="A116" s="1489">
        <v>113599</v>
      </c>
      <c r="B116" s="1523"/>
      <c r="C116" s="1490"/>
      <c r="D116" s="1492">
        <v>4</v>
      </c>
      <c r="E116" s="1493" t="s">
        <v>98</v>
      </c>
      <c r="F116" s="1494" t="s">
        <v>763</v>
      </c>
      <c r="G116" s="1495" t="s">
        <v>98</v>
      </c>
      <c r="H116" s="1496" t="s">
        <v>218</v>
      </c>
      <c r="I116" s="1497" t="s">
        <v>764</v>
      </c>
      <c r="J116" s="1498" t="s">
        <v>98</v>
      </c>
      <c r="K116" s="1495" t="s">
        <v>725</v>
      </c>
      <c r="L116" s="1495">
        <v>0</v>
      </c>
      <c r="M116" s="1499">
        <v>1</v>
      </c>
      <c r="N116" s="1500">
        <v>1.5919770563893134</v>
      </c>
      <c r="O116" s="1501" t="s">
        <v>3196</v>
      </c>
      <c r="P116" s="1495">
        <v>1850362.5</v>
      </c>
      <c r="Q116" s="873">
        <v>1</v>
      </c>
      <c r="R116" s="874">
        <f t="shared" si="30"/>
        <v>1.5804528752110836</v>
      </c>
      <c r="S116" s="875" t="str">
        <f t="shared" si="31"/>
        <v>(2,4,1,3,1,5); Brailovsky et al. (2024)</v>
      </c>
      <c r="U116" s="452"/>
      <c r="V116" s="452"/>
      <c r="W116" s="452"/>
      <c r="X116" s="452"/>
      <c r="Y116" s="452"/>
      <c r="Z116" s="22"/>
      <c r="AA116" s="21">
        <v>3</v>
      </c>
      <c r="AB116" s="21">
        <v>4</v>
      </c>
      <c r="AC116" s="21">
        <v>1</v>
      </c>
      <c r="AD116" s="21">
        <v>3</v>
      </c>
      <c r="AE116" s="21">
        <v>1</v>
      </c>
      <c r="AF116" s="315">
        <v>5</v>
      </c>
      <c r="AG116" s="297">
        <v>7</v>
      </c>
      <c r="AH116" s="6">
        <v>1.5</v>
      </c>
      <c r="AI116" s="245">
        <f t="shared" si="24"/>
        <v>1.2555818742947564</v>
      </c>
      <c r="AJ116" s="245">
        <f t="shared" si="25"/>
        <v>1.5919770563893134</v>
      </c>
      <c r="AK116" s="246" t="str">
        <f t="shared" si="26"/>
        <v>(3,4,1,3,1,5)</v>
      </c>
      <c r="AL116" s="30">
        <v>1.1000000000000001</v>
      </c>
      <c r="AM116" s="30">
        <v>1.1000000000000001</v>
      </c>
      <c r="AN116" s="30">
        <v>1</v>
      </c>
      <c r="AO116" s="30">
        <v>1.02</v>
      </c>
      <c r="AP116" s="30">
        <v>1</v>
      </c>
      <c r="AQ116" s="30">
        <v>1.2</v>
      </c>
      <c r="AS116" s="303" t="s">
        <v>673</v>
      </c>
      <c r="AT116" s="21">
        <v>2</v>
      </c>
      <c r="AU116" s="21">
        <v>4</v>
      </c>
      <c r="AV116" s="21">
        <v>1</v>
      </c>
      <c r="AW116" s="21">
        <v>3</v>
      </c>
      <c r="AX116" s="21">
        <v>1</v>
      </c>
      <c r="AY116" s="21">
        <v>5</v>
      </c>
      <c r="AZ116" s="297">
        <v>7</v>
      </c>
      <c r="BA116" s="6">
        <v>1.5</v>
      </c>
      <c r="BB116" s="245">
        <f t="shared" si="27"/>
        <v>1.2365959919080913</v>
      </c>
      <c r="BC116" s="245">
        <f t="shared" si="28"/>
        <v>1.5804528752110836</v>
      </c>
      <c r="BD116" s="246" t="str">
        <f t="shared" si="29"/>
        <v>(2,4,1,3,1,5)</v>
      </c>
      <c r="BE116" s="30">
        <v>1.05</v>
      </c>
      <c r="BF116" s="30">
        <v>1.1000000000000001</v>
      </c>
      <c r="BG116" s="30">
        <v>1</v>
      </c>
      <c r="BH116" s="30">
        <v>1.02</v>
      </c>
      <c r="BI116" s="30">
        <v>1</v>
      </c>
      <c r="BJ116" s="30">
        <v>1.2</v>
      </c>
    </row>
    <row r="117" spans="1:62">
      <c r="A117" s="1551">
        <v>54270</v>
      </c>
      <c r="B117" s="1523"/>
      <c r="C117" s="1522"/>
      <c r="D117" s="1552">
        <v>4</v>
      </c>
      <c r="E117" s="1553" t="s">
        <v>98</v>
      </c>
      <c r="F117" s="1541" t="s">
        <v>790</v>
      </c>
      <c r="G117" s="1542" t="s">
        <v>98</v>
      </c>
      <c r="H117" s="1543" t="s">
        <v>131</v>
      </c>
      <c r="I117" s="1556" t="s">
        <v>764</v>
      </c>
      <c r="J117" s="1544" t="s">
        <v>98</v>
      </c>
      <c r="K117" s="1542" t="s">
        <v>679</v>
      </c>
      <c r="L117" s="1542">
        <v>1706.3866023726705</v>
      </c>
      <c r="M117" s="1545">
        <v>1</v>
      </c>
      <c r="N117" s="1546">
        <v>2.0741629046031922</v>
      </c>
      <c r="O117" s="1547" t="s">
        <v>3235</v>
      </c>
      <c r="P117" s="1542">
        <v>0</v>
      </c>
      <c r="Q117" s="903">
        <v>1</v>
      </c>
      <c r="R117" s="904">
        <f t="shared" si="30"/>
        <v>2</v>
      </c>
      <c r="S117" s="905" t="str">
        <f t="shared" si="31"/>
        <v xml:space="preserve">(1,1,1,1,1,1); </v>
      </c>
      <c r="T117" s="452"/>
      <c r="U117" s="452">
        <v>7189</v>
      </c>
      <c r="V117" s="452">
        <v>6878</v>
      </c>
      <c r="W117" s="452"/>
      <c r="X117" s="452"/>
      <c r="Y117" s="452">
        <v>30000</v>
      </c>
      <c r="Z117" s="401" t="s">
        <v>1111</v>
      </c>
      <c r="AA117" s="21">
        <v>3</v>
      </c>
      <c r="AB117" s="21">
        <v>4</v>
      </c>
      <c r="AC117" s="21">
        <v>1</v>
      </c>
      <c r="AD117" s="21">
        <v>3</v>
      </c>
      <c r="AE117" s="21">
        <v>1</v>
      </c>
      <c r="AF117" s="315">
        <v>5</v>
      </c>
      <c r="AG117" s="21">
        <v>8</v>
      </c>
      <c r="AH117" s="6">
        <v>2</v>
      </c>
      <c r="AI117" s="245">
        <f t="shared" si="24"/>
        <v>1.2555818742947564</v>
      </c>
      <c r="AJ117" s="245">
        <f t="shared" si="25"/>
        <v>2.0741629046031922</v>
      </c>
      <c r="AK117" s="246" t="str">
        <f t="shared" si="26"/>
        <v>(3,4,1,3,1,5)</v>
      </c>
      <c r="AL117" s="30">
        <v>1.1000000000000001</v>
      </c>
      <c r="AM117" s="30">
        <v>1.1000000000000001</v>
      </c>
      <c r="AN117" s="30">
        <v>1</v>
      </c>
      <c r="AO117" s="30">
        <v>1.02</v>
      </c>
      <c r="AP117" s="30">
        <v>1</v>
      </c>
      <c r="AQ117" s="30">
        <v>1.2</v>
      </c>
      <c r="AT117" s="21">
        <v>1</v>
      </c>
      <c r="AU117" s="21">
        <v>1</v>
      </c>
      <c r="AV117" s="21">
        <v>1</v>
      </c>
      <c r="AW117" s="21">
        <v>1</v>
      </c>
      <c r="AX117" s="21">
        <v>1</v>
      </c>
      <c r="AY117" s="21">
        <v>1</v>
      </c>
      <c r="AZ117" s="21">
        <v>8</v>
      </c>
      <c r="BA117" s="6">
        <v>2</v>
      </c>
      <c r="BB117" s="245">
        <f t="shared" si="27"/>
        <v>1</v>
      </c>
      <c r="BC117" s="245">
        <f t="shared" si="28"/>
        <v>2</v>
      </c>
      <c r="BD117" s="246" t="str">
        <f t="shared" si="29"/>
        <v>(1,1,1,1,1,1)</v>
      </c>
      <c r="BE117" s="30">
        <v>1</v>
      </c>
      <c r="BF117" s="30">
        <v>1</v>
      </c>
      <c r="BG117" s="30">
        <v>1</v>
      </c>
      <c r="BH117" s="30">
        <v>1</v>
      </c>
      <c r="BI117" s="30">
        <v>1</v>
      </c>
      <c r="BJ117" s="30">
        <v>1</v>
      </c>
    </row>
    <row r="118" spans="1:62" ht="24">
      <c r="A118" s="1551">
        <v>1381</v>
      </c>
      <c r="B118" s="1521"/>
      <c r="C118" s="1490"/>
      <c r="D118" s="1492">
        <v>4</v>
      </c>
      <c r="E118" s="1493" t="s">
        <v>98</v>
      </c>
      <c r="F118" s="1494" t="s">
        <v>768</v>
      </c>
      <c r="G118" s="1495" t="s">
        <v>98</v>
      </c>
      <c r="H118" s="1496" t="s">
        <v>218</v>
      </c>
      <c r="I118" s="1497" t="s">
        <v>764</v>
      </c>
      <c r="J118" s="1498" t="s">
        <v>98</v>
      </c>
      <c r="K118" s="1495" t="s">
        <v>679</v>
      </c>
      <c r="L118" s="1495">
        <v>0</v>
      </c>
      <c r="M118" s="1499">
        <v>1</v>
      </c>
      <c r="N118" s="1500">
        <v>1.3385948990307144</v>
      </c>
      <c r="O118" s="1501" t="s">
        <v>3196</v>
      </c>
      <c r="P118" s="1495">
        <v>131474.29999999999</v>
      </c>
      <c r="Q118" s="873">
        <v>1</v>
      </c>
      <c r="R118" s="874">
        <f t="shared" si="30"/>
        <v>1.3229855584076429</v>
      </c>
      <c r="S118" s="875" t="str">
        <f t="shared" si="31"/>
        <v>(2,4,1,3,1,5); Brailovsky et al. (2024) iso from grassland, natural (non-use)</v>
      </c>
      <c r="U118" s="452"/>
      <c r="V118" s="452"/>
      <c r="W118" s="452"/>
      <c r="X118" s="452"/>
      <c r="Y118" s="452"/>
      <c r="Z118" s="304"/>
      <c r="AA118" s="21">
        <v>3</v>
      </c>
      <c r="AB118" s="21">
        <v>4</v>
      </c>
      <c r="AC118" s="21">
        <v>1</v>
      </c>
      <c r="AD118" s="21">
        <v>3</v>
      </c>
      <c r="AE118" s="21">
        <v>1</v>
      </c>
      <c r="AF118" s="315">
        <v>5</v>
      </c>
      <c r="AG118" s="297">
        <v>47</v>
      </c>
      <c r="AH118" s="6">
        <v>1.2</v>
      </c>
      <c r="AI118" s="245">
        <f t="shared" si="24"/>
        <v>1.2555818742947564</v>
      </c>
      <c r="AJ118" s="245">
        <f t="shared" si="25"/>
        <v>1.3385948990307144</v>
      </c>
      <c r="AK118" s="246" t="str">
        <f t="shared" si="26"/>
        <v>(3,4,1,3,1,5)</v>
      </c>
      <c r="AL118" s="30">
        <v>1.1000000000000001</v>
      </c>
      <c r="AM118" s="30">
        <v>1.1000000000000001</v>
      </c>
      <c r="AN118" s="30">
        <v>1</v>
      </c>
      <c r="AO118" s="30">
        <v>1.02</v>
      </c>
      <c r="AP118" s="30">
        <v>1</v>
      </c>
      <c r="AQ118" s="30">
        <v>1.2</v>
      </c>
      <c r="AS118" s="303" t="s">
        <v>769</v>
      </c>
      <c r="AT118" s="21">
        <v>2</v>
      </c>
      <c r="AU118" s="21">
        <v>4</v>
      </c>
      <c r="AV118" s="21">
        <v>1</v>
      </c>
      <c r="AW118" s="21">
        <v>3</v>
      </c>
      <c r="AX118" s="21">
        <v>1</v>
      </c>
      <c r="AY118" s="21">
        <v>5</v>
      </c>
      <c r="AZ118" s="297">
        <v>47</v>
      </c>
      <c r="BA118" s="6">
        <v>1.2</v>
      </c>
      <c r="BB118" s="245">
        <f t="shared" si="27"/>
        <v>1.2365959919080913</v>
      </c>
      <c r="BC118" s="245">
        <f t="shared" si="28"/>
        <v>1.3229855584076429</v>
      </c>
      <c r="BD118" s="246" t="str">
        <f t="shared" si="29"/>
        <v>(2,4,1,3,1,5)</v>
      </c>
      <c r="BE118" s="30">
        <v>1.05</v>
      </c>
      <c r="BF118" s="30">
        <v>1.1000000000000001</v>
      </c>
      <c r="BG118" s="30">
        <v>1</v>
      </c>
      <c r="BH118" s="30">
        <v>1.02</v>
      </c>
      <c r="BI118" s="30">
        <v>1</v>
      </c>
      <c r="BJ118" s="30">
        <v>1.2</v>
      </c>
    </row>
    <row r="119" spans="1:62">
      <c r="A119" s="1551">
        <v>20910</v>
      </c>
      <c r="B119" s="1521"/>
      <c r="C119" s="1490"/>
      <c r="D119" s="1548">
        <v>4</v>
      </c>
      <c r="E119" s="1549" t="s">
        <v>98</v>
      </c>
      <c r="F119" s="1541" t="s">
        <v>770</v>
      </c>
      <c r="G119" s="1542" t="s">
        <v>98</v>
      </c>
      <c r="H119" s="1550" t="s">
        <v>218</v>
      </c>
      <c r="I119" s="1543" t="s">
        <v>764</v>
      </c>
      <c r="J119" s="1544" t="s">
        <v>98</v>
      </c>
      <c r="K119" s="1542" t="s">
        <v>679</v>
      </c>
      <c r="L119" s="1542">
        <v>658.64555839965658</v>
      </c>
      <c r="M119" s="1545">
        <v>1</v>
      </c>
      <c r="N119" s="1546">
        <v>2.0741629046031922</v>
      </c>
      <c r="O119" s="1547" t="s">
        <v>3236</v>
      </c>
      <c r="P119" s="1542">
        <v>61678.8</v>
      </c>
      <c r="Q119" s="903">
        <v>1</v>
      </c>
      <c r="R119" s="904">
        <f t="shared" si="30"/>
        <v>2.0646254680556719</v>
      </c>
      <c r="S119" s="905" t="str">
        <f t="shared" si="31"/>
        <v>(2,4,1,3,1,5); Brailovsky et al. (2024)</v>
      </c>
      <c r="T119" s="452"/>
      <c r="U119" s="452">
        <v>980</v>
      </c>
      <c r="V119" s="452">
        <v>4262</v>
      </c>
      <c r="W119" s="452">
        <v>4200</v>
      </c>
      <c r="X119" s="452">
        <f>X9</f>
        <v>18580</v>
      </c>
      <c r="Y119" s="452">
        <v>13700</v>
      </c>
      <c r="Z119" s="401" t="s">
        <v>1112</v>
      </c>
      <c r="AA119" s="21">
        <v>3</v>
      </c>
      <c r="AB119" s="21">
        <v>4</v>
      </c>
      <c r="AC119" s="21">
        <v>1</v>
      </c>
      <c r="AD119" s="21">
        <v>3</v>
      </c>
      <c r="AE119" s="21">
        <v>1</v>
      </c>
      <c r="AF119" s="315">
        <v>5</v>
      </c>
      <c r="AG119" s="297">
        <v>8</v>
      </c>
      <c r="AH119" s="6">
        <v>2</v>
      </c>
      <c r="AI119" s="245">
        <f t="shared" si="24"/>
        <v>1.2555818742947564</v>
      </c>
      <c r="AJ119" s="245">
        <f t="shared" si="25"/>
        <v>2.0741629046031922</v>
      </c>
      <c r="AK119" s="246" t="str">
        <f t="shared" si="26"/>
        <v>(3,4,1,3,1,5)</v>
      </c>
      <c r="AL119" s="30">
        <v>1.1000000000000001</v>
      </c>
      <c r="AM119" s="30">
        <v>1.1000000000000001</v>
      </c>
      <c r="AN119" s="30">
        <v>1</v>
      </c>
      <c r="AO119" s="30">
        <v>1.02</v>
      </c>
      <c r="AP119" s="30">
        <v>1</v>
      </c>
      <c r="AQ119" s="30">
        <v>1.2</v>
      </c>
      <c r="AS119" s="303" t="s">
        <v>673</v>
      </c>
      <c r="AT119" s="21">
        <v>2</v>
      </c>
      <c r="AU119" s="21">
        <v>4</v>
      </c>
      <c r="AV119" s="21">
        <v>1</v>
      </c>
      <c r="AW119" s="21">
        <v>3</v>
      </c>
      <c r="AX119" s="21">
        <v>1</v>
      </c>
      <c r="AY119" s="21">
        <v>5</v>
      </c>
      <c r="AZ119" s="297">
        <v>8</v>
      </c>
      <c r="BA119" s="6">
        <v>2</v>
      </c>
      <c r="BB119" s="245">
        <f t="shared" si="27"/>
        <v>1.2365959919080913</v>
      </c>
      <c r="BC119" s="245">
        <f t="shared" si="28"/>
        <v>2.0646254680556719</v>
      </c>
      <c r="BD119" s="246" t="str">
        <f t="shared" si="29"/>
        <v>(2,4,1,3,1,5)</v>
      </c>
      <c r="BE119" s="30">
        <v>1.05</v>
      </c>
      <c r="BF119" s="30">
        <v>1.1000000000000001</v>
      </c>
      <c r="BG119" s="30">
        <v>1</v>
      </c>
      <c r="BH119" s="30">
        <v>1.02</v>
      </c>
      <c r="BI119" s="30">
        <v>1</v>
      </c>
      <c r="BJ119" s="30">
        <v>1.2</v>
      </c>
    </row>
    <row r="120" spans="1:62">
      <c r="A120" s="1551">
        <v>21292</v>
      </c>
      <c r="B120" s="1521"/>
      <c r="C120" s="1490"/>
      <c r="D120" s="1492">
        <v>4</v>
      </c>
      <c r="E120" s="1493" t="s">
        <v>98</v>
      </c>
      <c r="F120" s="1494" t="s">
        <v>771</v>
      </c>
      <c r="G120" s="1495" t="s">
        <v>98</v>
      </c>
      <c r="H120" s="1496" t="s">
        <v>218</v>
      </c>
      <c r="I120" s="1497" t="s">
        <v>764</v>
      </c>
      <c r="J120" s="1498" t="s">
        <v>98</v>
      </c>
      <c r="K120" s="1495" t="s">
        <v>679</v>
      </c>
      <c r="L120" s="1495">
        <v>932.93285483954867</v>
      </c>
      <c r="M120" s="1499">
        <v>1</v>
      </c>
      <c r="N120" s="1500">
        <v>2.0741629046031922</v>
      </c>
      <c r="O120" s="1501" t="s">
        <v>3237</v>
      </c>
      <c r="P120" s="1495">
        <v>21001.8</v>
      </c>
      <c r="Q120" s="873">
        <v>1</v>
      </c>
      <c r="R120" s="874">
        <f t="shared" si="30"/>
        <v>2.0646254680556719</v>
      </c>
      <c r="S120" s="875" t="str">
        <f t="shared" si="31"/>
        <v>(2,4,1,3,1,5); Brailovsky et al. (2024) iso to urban, green area</v>
      </c>
      <c r="T120" s="452"/>
      <c r="U120" s="452">
        <v>4700</v>
      </c>
      <c r="V120" s="452">
        <f>V117-V119</f>
        <v>2616</v>
      </c>
      <c r="W120" s="452"/>
      <c r="X120" s="452"/>
      <c r="Y120" s="452">
        <f>Y117-Y119</f>
        <v>16300</v>
      </c>
      <c r="Z120" s="401" t="s">
        <v>1113</v>
      </c>
      <c r="AA120" s="21">
        <v>3</v>
      </c>
      <c r="AB120" s="21">
        <v>4</v>
      </c>
      <c r="AC120" s="21">
        <v>1</v>
      </c>
      <c r="AD120" s="21">
        <v>3</v>
      </c>
      <c r="AE120" s="21">
        <v>1</v>
      </c>
      <c r="AF120" s="315">
        <v>5</v>
      </c>
      <c r="AG120" s="297">
        <v>8</v>
      </c>
      <c r="AH120" s="6">
        <v>2</v>
      </c>
      <c r="AI120" s="245">
        <f t="shared" si="24"/>
        <v>1.2555818742947564</v>
      </c>
      <c r="AJ120" s="245">
        <f t="shared" si="25"/>
        <v>2.0741629046031922</v>
      </c>
      <c r="AK120" s="246" t="str">
        <f t="shared" si="26"/>
        <v>(3,4,1,3,1,5)</v>
      </c>
      <c r="AL120" s="30">
        <v>1.1000000000000001</v>
      </c>
      <c r="AM120" s="30">
        <v>1.1000000000000001</v>
      </c>
      <c r="AN120" s="30">
        <v>1</v>
      </c>
      <c r="AO120" s="30">
        <v>1.02</v>
      </c>
      <c r="AP120" s="30">
        <v>1</v>
      </c>
      <c r="AQ120" s="30">
        <v>1.2</v>
      </c>
      <c r="AS120" s="303" t="s">
        <v>772</v>
      </c>
      <c r="AT120" s="21">
        <v>2</v>
      </c>
      <c r="AU120" s="21">
        <v>4</v>
      </c>
      <c r="AV120" s="21">
        <v>1</v>
      </c>
      <c r="AW120" s="21">
        <v>3</v>
      </c>
      <c r="AX120" s="21">
        <v>1</v>
      </c>
      <c r="AY120" s="21">
        <v>5</v>
      </c>
      <c r="AZ120" s="297">
        <v>8</v>
      </c>
      <c r="BA120" s="6">
        <v>2</v>
      </c>
      <c r="BB120" s="245">
        <f t="shared" si="27"/>
        <v>1.2365959919080913</v>
      </c>
      <c r="BC120" s="245">
        <f t="shared" si="28"/>
        <v>2.0646254680556719</v>
      </c>
      <c r="BD120" s="246" t="str">
        <f t="shared" si="29"/>
        <v>(2,4,1,3,1,5)</v>
      </c>
      <c r="BE120" s="30">
        <v>1.05</v>
      </c>
      <c r="BF120" s="30">
        <v>1.1000000000000001</v>
      </c>
      <c r="BG120" s="30">
        <v>1</v>
      </c>
      <c r="BH120" s="30">
        <v>1.02</v>
      </c>
      <c r="BI120" s="30">
        <v>1</v>
      </c>
      <c r="BJ120" s="30">
        <v>1.2</v>
      </c>
    </row>
    <row r="121" spans="1:62">
      <c r="A121" s="1551">
        <v>22234</v>
      </c>
      <c r="B121" s="1521"/>
      <c r="C121" s="1490"/>
      <c r="D121" s="1548">
        <v>4</v>
      </c>
      <c r="E121" s="1549" t="s">
        <v>98</v>
      </c>
      <c r="F121" s="1541" t="s">
        <v>773</v>
      </c>
      <c r="G121" s="1542" t="s">
        <v>98</v>
      </c>
      <c r="H121" s="1550" t="s">
        <v>218</v>
      </c>
      <c r="I121" s="1543" t="s">
        <v>764</v>
      </c>
      <c r="J121" s="1544" t="s">
        <v>98</v>
      </c>
      <c r="K121" s="1542" t="s">
        <v>679</v>
      </c>
      <c r="L121" s="1542">
        <v>114.80818913346522</v>
      </c>
      <c r="M121" s="1545">
        <v>1</v>
      </c>
      <c r="N121" s="1546">
        <v>2.0741629046031922</v>
      </c>
      <c r="O121" s="1547" t="s">
        <v>3238</v>
      </c>
      <c r="P121" s="1542">
        <v>48793.80000000001</v>
      </c>
      <c r="Q121" s="903">
        <v>1</v>
      </c>
      <c r="R121" s="904">
        <f t="shared" si="30"/>
        <v>2.0646254680556719</v>
      </c>
      <c r="S121" s="905" t="str">
        <f t="shared" si="31"/>
        <v>(2,4,1,3,1,5); Brailovsky et al. (2024)</v>
      </c>
      <c r="T121" s="452"/>
      <c r="U121" s="452">
        <v>1509</v>
      </c>
      <c r="V121" s="452">
        <v>0</v>
      </c>
      <c r="W121" s="452"/>
      <c r="X121" s="452"/>
      <c r="Y121" s="452"/>
      <c r="Z121" s="401" t="s">
        <v>1114</v>
      </c>
      <c r="AA121" s="21">
        <v>3</v>
      </c>
      <c r="AB121" s="21">
        <v>4</v>
      </c>
      <c r="AC121" s="21">
        <v>1</v>
      </c>
      <c r="AD121" s="21">
        <v>3</v>
      </c>
      <c r="AE121" s="21">
        <v>1</v>
      </c>
      <c r="AF121" s="315">
        <v>5</v>
      </c>
      <c r="AG121" s="297">
        <v>8</v>
      </c>
      <c r="AH121" s="6">
        <v>2</v>
      </c>
      <c r="AI121" s="245">
        <f t="shared" si="24"/>
        <v>1.2555818742947564</v>
      </c>
      <c r="AJ121" s="245">
        <f t="shared" si="25"/>
        <v>2.0741629046031922</v>
      </c>
      <c r="AK121" s="246" t="str">
        <f t="shared" si="26"/>
        <v>(3,4,1,3,1,5)</v>
      </c>
      <c r="AL121" s="30">
        <v>1.1000000000000001</v>
      </c>
      <c r="AM121" s="30">
        <v>1.1000000000000001</v>
      </c>
      <c r="AN121" s="30">
        <v>1</v>
      </c>
      <c r="AO121" s="30">
        <v>1.02</v>
      </c>
      <c r="AP121" s="30">
        <v>1</v>
      </c>
      <c r="AQ121" s="30">
        <v>1.2</v>
      </c>
      <c r="AS121" s="303" t="s">
        <v>673</v>
      </c>
      <c r="AT121" s="21">
        <v>2</v>
      </c>
      <c r="AU121" s="21">
        <v>4</v>
      </c>
      <c r="AV121" s="21">
        <v>1</v>
      </c>
      <c r="AW121" s="21">
        <v>3</v>
      </c>
      <c r="AX121" s="21">
        <v>1</v>
      </c>
      <c r="AY121" s="21">
        <v>5</v>
      </c>
      <c r="AZ121" s="297">
        <v>8</v>
      </c>
      <c r="BA121" s="6">
        <v>2</v>
      </c>
      <c r="BB121" s="245">
        <f t="shared" si="27"/>
        <v>1.2365959919080913</v>
      </c>
      <c r="BC121" s="245">
        <f t="shared" si="28"/>
        <v>2.0646254680556719</v>
      </c>
      <c r="BD121" s="246" t="str">
        <f t="shared" si="29"/>
        <v>(2,4,1,3,1,5)</v>
      </c>
      <c r="BE121" s="30">
        <v>1.05</v>
      </c>
      <c r="BF121" s="30">
        <v>1.1000000000000001</v>
      </c>
      <c r="BG121" s="30">
        <v>1</v>
      </c>
      <c r="BH121" s="30">
        <v>1.02</v>
      </c>
      <c r="BI121" s="30">
        <v>1</v>
      </c>
      <c r="BJ121" s="30">
        <v>1.2</v>
      </c>
    </row>
    <row r="122" spans="1:62">
      <c r="D122" s="308"/>
      <c r="E122" s="308"/>
      <c r="F122" s="308"/>
      <c r="G122" s="308"/>
      <c r="H122" s="308"/>
      <c r="I122" s="308"/>
      <c r="J122" s="308"/>
      <c r="K122" s="308"/>
      <c r="L122" s="308"/>
      <c r="M122" s="307"/>
      <c r="N122" s="307"/>
      <c r="O122" s="307"/>
      <c r="P122" s="308"/>
      <c r="Q122" s="307"/>
      <c r="R122" s="307"/>
      <c r="S122" s="307"/>
      <c r="T122" s="452"/>
      <c r="U122" s="452"/>
      <c r="V122" s="452"/>
      <c r="W122" s="452"/>
      <c r="X122" s="452"/>
      <c r="Y122" s="452"/>
      <c r="AS122" s="9"/>
      <c r="AT122" s="396"/>
      <c r="AU122" s="396"/>
      <c r="AV122" s="396"/>
      <c r="AW122" s="396"/>
      <c r="AX122" s="396"/>
      <c r="AY122" s="396"/>
      <c r="AZ122" s="396"/>
      <c r="BA122" s="396"/>
      <c r="BB122" s="396"/>
      <c r="BC122" s="396"/>
      <c r="BD122" s="396"/>
    </row>
    <row r="123" spans="1:62">
      <c r="A123" s="301"/>
      <c r="B123" s="29" t="s">
        <v>1115</v>
      </c>
      <c r="C123" s="23"/>
      <c r="D123" s="300"/>
      <c r="E123" s="21"/>
      <c r="F123" s="409" t="s">
        <v>1116</v>
      </c>
      <c r="G123" s="410"/>
      <c r="H123" s="411"/>
      <c r="I123" s="411"/>
      <c r="J123" s="2"/>
      <c r="K123" s="410" t="s">
        <v>679</v>
      </c>
      <c r="L123" s="410">
        <v>10000</v>
      </c>
      <c r="M123" s="311"/>
      <c r="N123" s="312"/>
      <c r="O123" s="313"/>
      <c r="P123" s="453"/>
      <c r="Q123" s="311"/>
      <c r="R123" s="312"/>
      <c r="S123" s="313"/>
      <c r="T123" s="452"/>
      <c r="U123" s="452">
        <f>18000*160/210*$U$124</f>
        <v>21906.102857142858</v>
      </c>
      <c r="V123" s="452">
        <f>90000*160/210*$U$124</f>
        <v>109530.51428571428</v>
      </c>
      <c r="W123" s="452">
        <f>30000000/210*$U$124</f>
        <v>228188.57142857145</v>
      </c>
      <c r="X123" s="452">
        <f>20000000/210*$U$124</f>
        <v>152125.71428571429</v>
      </c>
      <c r="Y123" s="452">
        <f>200000*80/210*$U$124</f>
        <v>121700.57142857142</v>
      </c>
      <c r="Z123" s="401"/>
      <c r="AA123" s="24"/>
      <c r="AB123" s="24"/>
      <c r="AC123" s="24"/>
      <c r="AD123" s="24"/>
      <c r="AE123" s="24"/>
      <c r="AF123" s="24"/>
      <c r="AG123" s="24"/>
      <c r="AH123" s="24"/>
      <c r="AI123" s="246"/>
      <c r="AJ123" s="246"/>
      <c r="AK123" s="246"/>
      <c r="AL123" s="30"/>
      <c r="AM123" s="30"/>
      <c r="AN123" s="30"/>
      <c r="AO123" s="30"/>
      <c r="AP123" s="30"/>
      <c r="AQ123" s="30"/>
      <c r="AT123" s="24"/>
      <c r="AU123" s="24"/>
      <c r="AV123" s="24"/>
      <c r="AW123" s="24"/>
      <c r="AX123" s="24"/>
      <c r="AY123" s="24"/>
      <c r="AZ123" s="24"/>
      <c r="BA123" s="24"/>
      <c r="BB123" s="246"/>
      <c r="BC123" s="246"/>
      <c r="BD123" s="246"/>
      <c r="BE123" s="30"/>
      <c r="BF123" s="30"/>
      <c r="BG123" s="30"/>
      <c r="BH123" s="30"/>
      <c r="BI123" s="30"/>
      <c r="BJ123" s="30"/>
    </row>
    <row r="124" spans="1:62">
      <c r="D124" s="308"/>
      <c r="E124" s="308"/>
      <c r="F124" s="308"/>
      <c r="G124" s="308"/>
      <c r="H124" s="308"/>
      <c r="I124" s="308"/>
      <c r="J124" s="308"/>
      <c r="K124" s="308"/>
      <c r="L124" s="308"/>
      <c r="M124" s="307"/>
      <c r="N124" s="307"/>
      <c r="O124" s="307"/>
      <c r="P124" s="308"/>
      <c r="Q124" s="307"/>
      <c r="R124" s="307"/>
      <c r="S124" s="307"/>
      <c r="T124" s="452"/>
      <c r="U124" s="465">
        <f>1.62*0.986</f>
        <v>1.5973200000000001</v>
      </c>
      <c r="V124" s="452"/>
      <c r="W124" s="452"/>
      <c r="X124" s="452"/>
      <c r="Y124" s="452"/>
    </row>
    <row r="125" spans="1:62">
      <c r="D125" s="308"/>
      <c r="E125" s="308"/>
      <c r="F125" s="308"/>
      <c r="G125" s="308"/>
      <c r="H125" s="308"/>
      <c r="I125" s="308"/>
      <c r="J125" s="308"/>
      <c r="K125" s="308"/>
      <c r="L125" s="453">
        <f>1/L123/25</f>
        <v>3.9999999999999998E-6</v>
      </c>
      <c r="M125" s="307"/>
      <c r="N125" s="307"/>
      <c r="O125" s="307"/>
      <c r="P125" s="453"/>
      <c r="Q125" s="307"/>
      <c r="R125" s="307"/>
      <c r="S125" s="307"/>
      <c r="T125" s="452"/>
      <c r="U125" s="452"/>
      <c r="V125" s="452"/>
      <c r="W125" s="452"/>
      <c r="X125" s="452"/>
      <c r="Y125" s="452"/>
    </row>
    <row r="126" spans="1:62">
      <c r="D126" s="308"/>
      <c r="E126" s="308"/>
      <c r="F126" s="308" t="s">
        <v>1117</v>
      </c>
      <c r="G126" s="308"/>
      <c r="H126" s="308"/>
      <c r="I126" s="308"/>
      <c r="J126" s="308"/>
      <c r="K126" s="308" t="s">
        <v>374</v>
      </c>
      <c r="L126" s="308">
        <v>25</v>
      </c>
      <c r="M126" s="307"/>
      <c r="N126" s="307"/>
      <c r="O126" s="307"/>
      <c r="P126" s="308"/>
      <c r="Q126" s="307"/>
      <c r="R126" s="307"/>
      <c r="S126" s="307"/>
      <c r="T126" s="452"/>
      <c r="U126" s="452"/>
      <c r="V126" s="452"/>
      <c r="W126" s="452"/>
      <c r="X126" s="452"/>
      <c r="Y126" s="452"/>
    </row>
  </sheetData>
  <conditionalFormatting sqref="A11">
    <cfRule type="cellIs" dxfId="289" priority="1910" stopIfTrue="1" operator="equal">
      <formula>#REF!</formula>
    </cfRule>
  </conditionalFormatting>
  <conditionalFormatting sqref="B7:B10">
    <cfRule type="cellIs" dxfId="288" priority="24" stopIfTrue="1" operator="notEqual">
      <formula>""</formula>
    </cfRule>
  </conditionalFormatting>
  <conditionalFormatting sqref="B113:B118">
    <cfRule type="cellIs" dxfId="287" priority="9" stopIfTrue="1" operator="notEqual">
      <formula>""</formula>
    </cfRule>
  </conditionalFormatting>
  <conditionalFormatting sqref="AA7:AF121">
    <cfRule type="cellIs" dxfId="286" priority="1" stopIfTrue="1" operator="notBetween">
      <formula>1</formula>
      <formula>5</formula>
    </cfRule>
  </conditionalFormatting>
  <conditionalFormatting sqref="AL7:AQ121 BE7:BJ121">
    <cfRule type="cellIs" dxfId="285" priority="8" stopIfTrue="1" operator="equal">
      <formula>0</formula>
    </cfRule>
  </conditionalFormatting>
  <conditionalFormatting sqref="AT7:AY121">
    <cfRule type="cellIs" dxfId="284" priority="2" stopIfTrue="1" operator="notBetween">
      <formula>1</formula>
      <formula>5</formula>
    </cfRule>
  </conditionalFormatting>
  <dataValidations count="1">
    <dataValidation allowBlank="1" showInputMessage="1" showErrorMessage="1" promptTitle="Do not change" prompt="This field is automatically updated from the names-list" sqref="AG9:AG116 AG118:AG121 AZ9:AZ116 AZ118:AZ121" xr:uid="{00000000-0002-0000-1E00-000000000000}"/>
  </dataValidations>
  <pageMargins left="0.78740157499999996" right="0.78740157499999996" top="0.984251969" bottom="0.984251969" header="0.4921259845" footer="0.492125984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60">
    <tabColor rgb="FF9CD9F0"/>
    <pageSetUpPr fitToPage="1"/>
  </sheetPr>
  <dimension ref="A1:EL152"/>
  <sheetViews>
    <sheetView topLeftCell="A98" zoomScale="118" zoomScaleNormal="118" workbookViewId="0">
      <selection activeCell="K127" sqref="K127"/>
    </sheetView>
  </sheetViews>
  <sheetFormatPr baseColWidth="10" defaultColWidth="11.42578125" defaultRowHeight="12" outlineLevelCol="1"/>
  <cols>
    <col min="1" max="1" width="12.7109375" style="277" customWidth="1"/>
    <col min="2" max="2" width="11.140625" style="124" customWidth="1"/>
    <col min="3" max="3" width="4.7109375" style="125" hidden="1" customWidth="1" outlineLevel="1"/>
    <col min="4" max="5" width="4.7109375" style="277" hidden="1" customWidth="1" outlineLevel="1"/>
    <col min="6" max="6" width="33.28515625" style="126" customWidth="1" collapsed="1"/>
    <col min="7" max="7" width="8.7109375" style="277" customWidth="1"/>
    <col min="8" max="8" width="8.7109375" style="277" hidden="1" customWidth="1" outlineLevel="1"/>
    <col min="9" max="9" width="20.7109375" style="277" hidden="1" customWidth="1" outlineLevel="1"/>
    <col min="10" max="10" width="12.140625" style="277" bestFit="1" customWidth="1" collapsed="1"/>
    <col min="11" max="11" width="16.5703125" style="277" customWidth="1"/>
    <col min="12" max="12" width="13.42578125" style="126" customWidth="1" collapsed="1"/>
    <col min="13" max="14" width="5.140625" style="120" hidden="1" customWidth="1" outlineLevel="1"/>
    <col min="15" max="15" width="104" style="120" hidden="1" customWidth="1" outlineLevel="1"/>
    <col min="16" max="16" width="12.42578125" style="126" customWidth="1" collapsed="1"/>
    <col min="17" max="18" width="5.140625" style="120" hidden="1" customWidth="1" outlineLevel="1"/>
    <col min="19" max="19" width="104" style="120" hidden="1" customWidth="1" outlineLevel="1"/>
    <col min="20" max="20" width="12.140625" style="126" customWidth="1" collapsed="1"/>
    <col min="21" max="22" width="5.140625" style="120" hidden="1" customWidth="1" outlineLevel="1"/>
    <col min="23" max="23" width="104" style="120" hidden="1" customWidth="1" outlineLevel="1"/>
    <col min="24" max="24" width="12.140625" style="126" customWidth="1" collapsed="1"/>
    <col min="25" max="26" width="5.140625" style="120" hidden="1" customWidth="1" outlineLevel="1"/>
    <col min="27" max="27" width="34.28515625" style="120" hidden="1" customWidth="1" outlineLevel="1"/>
    <col min="28" max="28" width="15.7109375" style="126" customWidth="1" collapsed="1"/>
    <col min="29" max="30" width="5.140625" style="120" hidden="1" customWidth="1" outlineLevel="1"/>
    <col min="31" max="31" width="38.42578125" style="120" hidden="1" customWidth="1" outlineLevel="1"/>
    <col min="32" max="32" width="13.28515625" style="126" customWidth="1" collapsed="1"/>
    <col min="33" max="34" width="5.140625" style="120" hidden="1" customWidth="1" outlineLevel="1"/>
    <col min="35" max="35" width="104" style="120" hidden="1" customWidth="1" outlineLevel="1"/>
    <col min="36" max="36" width="13.42578125" style="126" customWidth="1" collapsed="1"/>
    <col min="37" max="38" width="5.140625" style="120" hidden="1" customWidth="1" outlineLevel="1"/>
    <col min="39" max="39" width="104" style="120" hidden="1" customWidth="1" outlineLevel="1"/>
    <col min="40" max="40" width="13.28515625" style="126" customWidth="1" collapsed="1"/>
    <col min="41" max="42" width="5.140625" style="120" hidden="1" customWidth="1" outlineLevel="1"/>
    <col min="43" max="43" width="104" style="120" hidden="1" customWidth="1" outlineLevel="1"/>
    <col min="44" max="44" width="12.7109375" style="126" customWidth="1" collapsed="1"/>
    <col min="45" max="46" width="5.140625" style="120" hidden="1" customWidth="1" outlineLevel="1"/>
    <col min="47" max="47" width="104" style="120" hidden="1" customWidth="1" outlineLevel="1"/>
    <col min="48" max="48" width="12.7109375" style="126" customWidth="1" collapsed="1"/>
    <col min="49" max="50" width="5.140625" style="120" hidden="1" customWidth="1" outlineLevel="1"/>
    <col min="51" max="51" width="39.42578125" style="120" hidden="1" customWidth="1" outlineLevel="1"/>
    <col min="52" max="52" width="15.7109375" style="126" customWidth="1" collapsed="1"/>
    <col min="53" max="54" width="5.140625" style="120" hidden="1" customWidth="1" outlineLevel="1"/>
    <col min="55" max="55" width="104" style="120" hidden="1" customWidth="1" outlineLevel="1"/>
    <col min="56" max="56" width="15.7109375" style="126" customWidth="1" collapsed="1"/>
    <col min="57" max="58" width="5.140625" style="120" hidden="1" customWidth="1" outlineLevel="1"/>
    <col min="59" max="59" width="104" style="120" hidden="1" customWidth="1" outlineLevel="1"/>
    <col min="60" max="60" width="15.7109375" style="126" customWidth="1" collapsed="1"/>
    <col min="61" max="62" width="5.140625" style="120" hidden="1" customWidth="1" outlineLevel="1"/>
    <col min="63" max="63" width="104" style="120" hidden="1" customWidth="1" outlineLevel="1"/>
    <col min="64" max="64" width="15.7109375" style="126" customWidth="1" collapsed="1"/>
    <col min="65" max="66" width="5.140625" style="120" hidden="1" customWidth="1" outlineLevel="1"/>
    <col min="67" max="67" width="104" style="120" hidden="1" customWidth="1" outlineLevel="1"/>
    <col min="68" max="68" width="15.7109375" style="126" customWidth="1" collapsed="1"/>
    <col min="69" max="70" width="5.140625" style="120" hidden="1" customWidth="1" outlineLevel="1"/>
    <col min="71" max="71" width="51.7109375" style="120" hidden="1" customWidth="1" outlineLevel="1"/>
    <col min="72" max="72" width="13.140625" style="126" customWidth="1" collapsed="1"/>
    <col min="73" max="74" width="7.5703125" style="120" hidden="1" customWidth="1" outlineLevel="1"/>
    <col min="75" max="75" width="104" style="120" hidden="1" customWidth="1" outlineLevel="1"/>
    <col min="76" max="76" width="14" style="126" customWidth="1" collapsed="1"/>
    <col min="77" max="78" width="7.5703125" style="120" hidden="1" customWidth="1" outlineLevel="1"/>
    <col min="79" max="79" width="104" style="120" hidden="1" customWidth="1" outlineLevel="1"/>
    <col min="80" max="80" width="13.42578125" style="126" customWidth="1" collapsed="1"/>
    <col min="81" max="82" width="7.5703125" style="120" hidden="1" customWidth="1" outlineLevel="1"/>
    <col min="83" max="83" width="104" style="120" hidden="1" customWidth="1" outlineLevel="1"/>
    <col min="84" max="84" width="12.5703125" style="126" customWidth="1" collapsed="1"/>
    <col min="85" max="86" width="5.140625" style="120" hidden="1" customWidth="1" outlineLevel="1"/>
    <col min="87" max="87" width="104" style="120" hidden="1" customWidth="1" outlineLevel="1"/>
    <col min="88" max="88" width="13.5703125" style="126" customWidth="1" collapsed="1"/>
    <col min="89" max="89" width="5.140625" style="120" hidden="1" customWidth="1" outlineLevel="1"/>
    <col min="90" max="90" width="5.28515625" style="120" hidden="1" customWidth="1" outlineLevel="1"/>
    <col min="91" max="91" width="35.5703125" style="120" hidden="1" customWidth="1" outlineLevel="1"/>
    <col min="92" max="92" width="13.42578125" style="126" customWidth="1" collapsed="1"/>
    <col min="93" max="94" width="5.140625" style="120" hidden="1" customWidth="1" outlineLevel="1"/>
    <col min="95" max="95" width="78.140625" style="120" hidden="1" customWidth="1" outlineLevel="1"/>
    <col min="96" max="96" width="11.85546875" style="126" customWidth="1" collapsed="1"/>
    <col min="97" max="97" width="5.140625" style="120" hidden="1" customWidth="1" outlineLevel="1"/>
    <col min="98" max="98" width="5.28515625" style="120" hidden="1" customWidth="1" outlineLevel="1"/>
    <col min="99" max="99" width="42.140625" style="120" hidden="1" customWidth="1" outlineLevel="1"/>
    <col min="100" max="100" width="25.140625" style="109" customWidth="1" collapsed="1"/>
    <col min="101" max="101" width="10.7109375" style="126" hidden="1" customWidth="1" outlineLevel="1"/>
    <col min="102" max="102" width="12.7109375" style="128" hidden="1" customWidth="1" outlineLevel="1"/>
    <col min="103" max="103" width="11.42578125" style="402" hidden="1" customWidth="1" outlineLevel="1"/>
    <col min="104" max="104" width="10.42578125" style="395" hidden="1" customWidth="1" outlineLevel="1"/>
    <col min="105" max="105" width="48.85546875" style="395" customWidth="1" collapsed="1"/>
    <col min="106" max="106" width="4.42578125" style="395" hidden="1" customWidth="1" outlineLevel="1"/>
    <col min="107" max="112" width="3.140625" style="395" hidden="1" customWidth="1" outlineLevel="1"/>
    <col min="113" max="113" width="5" style="395" hidden="1" customWidth="1" outlineLevel="1"/>
    <col min="114" max="115" width="4.7109375" style="277" hidden="1" customWidth="1" outlineLevel="1"/>
    <col min="116" max="116" width="14.28515625" style="277" hidden="1" customWidth="1" outlineLevel="1"/>
    <col min="117" max="119" width="4.7109375" style="277" hidden="1" customWidth="1" outlineLevel="1"/>
    <col min="120" max="120" width="4.42578125" style="399" hidden="1" customWidth="1" outlineLevel="1"/>
    <col min="121" max="122" width="4.42578125" style="126" hidden="1" customWidth="1" outlineLevel="1"/>
    <col min="123" max="123" width="15.7109375" style="126" customWidth="1" collapsed="1"/>
    <col min="124" max="124" width="37.5703125" style="126" customWidth="1"/>
    <col min="125" max="125" width="4" style="126" hidden="1" customWidth="1" outlineLevel="1"/>
    <col min="126" max="126" width="3" style="402" hidden="1" customWidth="1" outlineLevel="1"/>
    <col min="127" max="127" width="3.28515625" style="395" hidden="1" customWidth="1" outlineLevel="1"/>
    <col min="128" max="128" width="2.5703125" style="395" hidden="1" customWidth="1" outlineLevel="1"/>
    <col min="129" max="129" width="3.28515625" style="395" hidden="1" customWidth="1" outlineLevel="1"/>
    <col min="130" max="130" width="3.42578125" style="395" hidden="1" customWidth="1" outlineLevel="1"/>
    <col min="131" max="134" width="4.7109375" style="395" hidden="1" customWidth="1" outlineLevel="1"/>
    <col min="135" max="135" width="16.42578125" style="395" hidden="1" customWidth="1" outlineLevel="1"/>
    <col min="136" max="136" width="4.5703125" style="395" hidden="1" customWidth="1" outlineLevel="1"/>
    <col min="137" max="141" width="4.7109375" style="277" hidden="1" customWidth="1" outlineLevel="1"/>
    <col min="142" max="142" width="4.7109375" style="277" customWidth="1" collapsed="1"/>
    <col min="143" max="144" width="11.7109375" style="399" bestFit="1" customWidth="1"/>
    <col min="145" max="147" width="8.85546875" style="399" bestFit="1" customWidth="1"/>
    <col min="148" max="148" width="8.5703125" style="399" bestFit="1" customWidth="1"/>
    <col min="149" max="149" width="8.85546875" style="399" bestFit="1" customWidth="1"/>
    <col min="150" max="150" width="8.5703125" style="399" bestFit="1" customWidth="1"/>
    <col min="151" max="154" width="8.85546875" style="399" bestFit="1" customWidth="1"/>
    <col min="155" max="155" width="14.5703125" style="399" bestFit="1" customWidth="1"/>
    <col min="156" max="156" width="8.5703125" style="399" bestFit="1" customWidth="1"/>
    <col min="157" max="157" width="8.85546875" style="399" bestFit="1" customWidth="1"/>
    <col min="158" max="158" width="8.5703125" style="399" bestFit="1" customWidth="1"/>
    <col min="159" max="159" width="8.85546875" style="399" bestFit="1" customWidth="1"/>
    <col min="160" max="160" width="8.140625" style="399" bestFit="1" customWidth="1"/>
    <col min="161" max="161" width="4.42578125" style="399" bestFit="1" customWidth="1"/>
    <col min="162" max="162" width="11.5703125" style="399" bestFit="1" customWidth="1"/>
    <col min="163" max="164" width="11.42578125" style="399" customWidth="1"/>
    <col min="165" max="16384" width="11.42578125" style="399"/>
  </cols>
  <sheetData>
    <row r="1" spans="1:141">
      <c r="A1" s="77"/>
      <c r="B1" s="78"/>
      <c r="C1" s="79"/>
      <c r="D1" s="77"/>
      <c r="E1" s="77"/>
      <c r="F1" s="80" t="s">
        <v>65</v>
      </c>
      <c r="G1" s="77"/>
      <c r="H1" s="77"/>
      <c r="I1" s="77"/>
      <c r="J1" s="77"/>
      <c r="K1" s="77"/>
      <c r="L1" s="330" t="str">
        <f>A7</f>
        <v>Z-PV-094</v>
      </c>
      <c r="M1" s="81"/>
      <c r="N1" s="81"/>
      <c r="O1" s="81"/>
      <c r="P1" s="330" t="str">
        <f>A8</f>
        <v>Z-PV-098</v>
      </c>
      <c r="Q1" s="81"/>
      <c r="R1" s="81"/>
      <c r="S1" s="81"/>
      <c r="T1" s="330" t="str">
        <f>A9</f>
        <v>Z-PV-102</v>
      </c>
      <c r="U1" s="81"/>
      <c r="V1" s="81"/>
      <c r="W1" s="81"/>
      <c r="X1" s="330" t="str">
        <f>A10</f>
        <v>Z-PV-106</v>
      </c>
      <c r="Y1" s="81"/>
      <c r="Z1" s="81"/>
      <c r="AA1" s="81"/>
      <c r="AB1" s="330" t="str">
        <f>A11</f>
        <v>Z-PV-140</v>
      </c>
      <c r="AC1" s="81"/>
      <c r="AD1" s="81"/>
      <c r="AE1" s="227"/>
      <c r="AF1" s="330" t="str">
        <f>A12</f>
        <v>Z-PV-095</v>
      </c>
      <c r="AG1" s="81"/>
      <c r="AH1" s="81"/>
      <c r="AI1" s="81"/>
      <c r="AJ1" s="330" t="str">
        <f>A13</f>
        <v>Z-PV-099</v>
      </c>
      <c r="AK1" s="81"/>
      <c r="AL1" s="81"/>
      <c r="AM1" s="81"/>
      <c r="AN1" s="330" t="str">
        <f>A14</f>
        <v>Z-PV-103</v>
      </c>
      <c r="AO1" s="81"/>
      <c r="AP1" s="81"/>
      <c r="AQ1" s="81"/>
      <c r="AR1" s="330" t="str">
        <f>A15</f>
        <v>Z-PV-107</v>
      </c>
      <c r="AS1" s="81"/>
      <c r="AT1" s="81"/>
      <c r="AU1" s="81"/>
      <c r="AV1" s="330" t="str">
        <f>A16</f>
        <v>Z-PV-141</v>
      </c>
      <c r="AW1" s="81"/>
      <c r="AX1" s="81"/>
      <c r="AY1" s="227"/>
      <c r="AZ1" s="330" t="str">
        <f>A17</f>
        <v>Z-PV-096</v>
      </c>
      <c r="BA1" s="81"/>
      <c r="BB1" s="81"/>
      <c r="BC1" s="81"/>
      <c r="BD1" s="330" t="str">
        <f>A18</f>
        <v>Z-PV-100</v>
      </c>
      <c r="BE1" s="81"/>
      <c r="BF1" s="81"/>
      <c r="BG1" s="81"/>
      <c r="BH1" s="330" t="str">
        <f>A19</f>
        <v>Z-PV-104</v>
      </c>
      <c r="BI1" s="81"/>
      <c r="BJ1" s="81"/>
      <c r="BK1" s="81"/>
      <c r="BL1" s="330" t="str">
        <f>A20</f>
        <v>Z-PV-108</v>
      </c>
      <c r="BM1" s="81"/>
      <c r="BN1" s="81"/>
      <c r="BO1" s="81"/>
      <c r="BP1" s="330" t="str">
        <f>A21</f>
        <v>Z-PV-142</v>
      </c>
      <c r="BQ1" s="81"/>
      <c r="BR1" s="81"/>
      <c r="BS1" s="227"/>
      <c r="BT1" s="330" t="str">
        <f>A22</f>
        <v>Z-PV-097</v>
      </c>
      <c r="BU1" s="81"/>
      <c r="BV1" s="81"/>
      <c r="BW1" s="81"/>
      <c r="BX1" s="330" t="str">
        <f>A23</f>
        <v>Z-PV-101</v>
      </c>
      <c r="BY1" s="81"/>
      <c r="BZ1" s="81"/>
      <c r="CA1" s="81"/>
      <c r="CB1" s="330" t="str">
        <f>A24</f>
        <v>Z-PV-105</v>
      </c>
      <c r="CC1" s="81"/>
      <c r="CD1" s="81"/>
      <c r="CE1" s="81"/>
      <c r="CF1" s="330" t="str">
        <f>A25</f>
        <v>Z-PV-109</v>
      </c>
      <c r="CG1" s="81"/>
      <c r="CH1" s="81"/>
      <c r="CI1" s="81"/>
      <c r="CJ1" s="330" t="str">
        <f>A26</f>
        <v>Z-PV-143</v>
      </c>
      <c r="CK1" s="81"/>
      <c r="CL1" s="81"/>
      <c r="CM1" s="227"/>
      <c r="CN1" s="330" t="str">
        <f>A27</f>
        <v>Z-PV-148</v>
      </c>
      <c r="CO1" s="81"/>
      <c r="CP1" s="81"/>
      <c r="CQ1" s="81"/>
      <c r="CR1" s="330" t="str">
        <f>A28</f>
        <v>Z-PV-149</v>
      </c>
      <c r="CS1" s="81"/>
      <c r="CT1" s="81"/>
      <c r="CU1" s="227"/>
      <c r="CV1" s="399"/>
      <c r="CW1" s="378"/>
      <c r="CX1" s="378"/>
      <c r="CY1" s="378"/>
      <c r="CZ1" s="378"/>
      <c r="DA1" s="378"/>
      <c r="DB1" s="1586"/>
      <c r="DC1" s="1588"/>
      <c r="DD1" s="1588"/>
      <c r="DE1" s="1588"/>
      <c r="DF1" s="1588"/>
      <c r="DG1" s="1588"/>
      <c r="DH1" s="406"/>
      <c r="DI1" s="406"/>
      <c r="DJ1" s="406"/>
      <c r="DK1" s="406"/>
      <c r="DL1" s="406"/>
      <c r="DM1" s="378"/>
      <c r="DN1" s="378"/>
      <c r="DO1" s="378"/>
      <c r="DP1" s="378"/>
      <c r="DQ1" s="378"/>
      <c r="DR1" s="378"/>
      <c r="DS1" s="399"/>
      <c r="DT1" s="378"/>
      <c r="DU1" s="1586"/>
      <c r="DV1" s="1592"/>
      <c r="DW1" s="1588"/>
      <c r="DX1" s="1588"/>
      <c r="DY1" s="1588"/>
      <c r="DZ1" s="1588"/>
      <c r="EA1" s="406"/>
      <c r="EB1" s="406"/>
      <c r="EC1" s="406"/>
      <c r="ED1" s="406"/>
      <c r="EE1" s="406"/>
      <c r="EF1" s="378"/>
      <c r="EG1" s="378"/>
      <c r="EH1" s="378"/>
      <c r="EI1" s="378"/>
      <c r="EJ1" s="378"/>
      <c r="EK1" s="378"/>
    </row>
    <row r="2" spans="1:14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82">
        <v>3707</v>
      </c>
      <c r="BA2" s="419">
        <v>3708</v>
      </c>
      <c r="BB2" s="419">
        <v>3709</v>
      </c>
      <c r="BC2" s="420">
        <v>3792</v>
      </c>
      <c r="BD2" s="82">
        <v>3707</v>
      </c>
      <c r="BE2" s="419">
        <v>3708</v>
      </c>
      <c r="BF2" s="419">
        <v>3709</v>
      </c>
      <c r="BG2" s="420">
        <v>3792</v>
      </c>
      <c r="BH2" s="82">
        <v>3707</v>
      </c>
      <c r="BI2" s="419">
        <v>3708</v>
      </c>
      <c r="BJ2" s="419">
        <v>3709</v>
      </c>
      <c r="BK2" s="420">
        <v>3792</v>
      </c>
      <c r="BL2" s="82">
        <v>3707</v>
      </c>
      <c r="BM2" s="419">
        <v>3708</v>
      </c>
      <c r="BN2" s="419">
        <v>3709</v>
      </c>
      <c r="BO2" s="420">
        <v>3792</v>
      </c>
      <c r="BP2" s="82">
        <v>3707</v>
      </c>
      <c r="BQ2" s="419">
        <v>3708</v>
      </c>
      <c r="BR2" s="419">
        <v>3709</v>
      </c>
      <c r="BS2" s="420">
        <v>3792</v>
      </c>
      <c r="BT2" s="82">
        <v>3707</v>
      </c>
      <c r="BU2" s="419">
        <v>3708</v>
      </c>
      <c r="BV2" s="419">
        <v>3709</v>
      </c>
      <c r="BW2" s="420">
        <v>3792</v>
      </c>
      <c r="BX2" s="82">
        <v>3707</v>
      </c>
      <c r="BY2" s="419">
        <v>3708</v>
      </c>
      <c r="BZ2" s="419">
        <v>3709</v>
      </c>
      <c r="CA2" s="420">
        <v>3792</v>
      </c>
      <c r="CB2" s="82">
        <v>3707</v>
      </c>
      <c r="CC2" s="419">
        <v>3708</v>
      </c>
      <c r="CD2" s="419">
        <v>3709</v>
      </c>
      <c r="CE2" s="420">
        <v>3792</v>
      </c>
      <c r="CF2" s="82">
        <v>3707</v>
      </c>
      <c r="CG2" s="419">
        <v>3708</v>
      </c>
      <c r="CH2" s="419">
        <v>3709</v>
      </c>
      <c r="CI2" s="420">
        <v>3792</v>
      </c>
      <c r="CJ2" s="82">
        <v>3707</v>
      </c>
      <c r="CK2" s="419">
        <v>3708</v>
      </c>
      <c r="CL2" s="419">
        <v>3709</v>
      </c>
      <c r="CM2" s="420">
        <v>3792</v>
      </c>
      <c r="CN2" s="82">
        <v>3707</v>
      </c>
      <c r="CO2" s="419">
        <v>3708</v>
      </c>
      <c r="CP2" s="419">
        <v>3709</v>
      </c>
      <c r="CQ2" s="420">
        <v>3792</v>
      </c>
      <c r="CR2" s="82">
        <v>3707</v>
      </c>
      <c r="CS2" s="419">
        <v>3708</v>
      </c>
      <c r="CT2" s="419">
        <v>3709</v>
      </c>
      <c r="CU2" s="420">
        <v>3792</v>
      </c>
      <c r="CV2" s="399"/>
      <c r="CW2" s="406" t="s">
        <v>1118</v>
      </c>
      <c r="CX2" s="406" t="s">
        <v>1119</v>
      </c>
      <c r="CY2" s="406" t="s">
        <v>1120</v>
      </c>
      <c r="CZ2" s="406" t="s">
        <v>1120</v>
      </c>
      <c r="DA2" s="399" t="s">
        <v>462</v>
      </c>
      <c r="DB2" s="406"/>
      <c r="DC2" s="406"/>
      <c r="DD2" s="406"/>
      <c r="DE2" s="406"/>
      <c r="DF2" s="406"/>
      <c r="DG2" s="406"/>
      <c r="DH2" s="406"/>
      <c r="DI2" s="378"/>
      <c r="DJ2" s="378"/>
      <c r="DK2" s="378"/>
      <c r="DL2" s="378"/>
      <c r="DM2" s="378"/>
      <c r="DN2" s="378"/>
      <c r="DO2" s="378"/>
      <c r="DP2" s="378"/>
      <c r="DQ2" s="378"/>
      <c r="DR2" s="378"/>
      <c r="DS2" s="399"/>
      <c r="DT2" s="399" t="s">
        <v>1121</v>
      </c>
      <c r="DU2" s="406"/>
      <c r="DV2" s="406"/>
      <c r="DW2" s="406"/>
      <c r="DX2" s="406"/>
      <c r="DY2" s="406"/>
      <c r="DZ2" s="406"/>
      <c r="EA2" s="406"/>
      <c r="EB2" s="378"/>
      <c r="EC2" s="378"/>
      <c r="ED2" s="378"/>
      <c r="EE2" s="378"/>
      <c r="EF2" s="378"/>
      <c r="EG2" s="378"/>
      <c r="EH2" s="378"/>
      <c r="EI2" s="378"/>
      <c r="EJ2" s="378"/>
      <c r="EK2" s="378"/>
    </row>
    <row r="3" spans="1:141" ht="117.75" customHeight="1">
      <c r="A3" s="83" t="s">
        <v>68</v>
      </c>
      <c r="B3" s="84"/>
      <c r="C3" s="79">
        <v>401</v>
      </c>
      <c r="D3" s="85" t="s">
        <v>69</v>
      </c>
      <c r="E3" s="85" t="s">
        <v>70</v>
      </c>
      <c r="F3" s="86" t="s">
        <v>71</v>
      </c>
      <c r="G3" s="85" t="s">
        <v>72</v>
      </c>
      <c r="H3" s="85" t="s">
        <v>73</v>
      </c>
      <c r="I3" s="85" t="s">
        <v>74</v>
      </c>
      <c r="J3" s="85" t="s">
        <v>75</v>
      </c>
      <c r="K3" s="85" t="s">
        <v>76</v>
      </c>
      <c r="L3" s="106" t="s">
        <v>1122</v>
      </c>
      <c r="M3" s="547" t="s">
        <v>78</v>
      </c>
      <c r="N3" s="547" t="s">
        <v>79</v>
      </c>
      <c r="O3" s="547" t="s">
        <v>80</v>
      </c>
      <c r="P3" s="106" t="s">
        <v>1123</v>
      </c>
      <c r="Q3" s="547" t="s">
        <v>78</v>
      </c>
      <c r="R3" s="547" t="s">
        <v>79</v>
      </c>
      <c r="S3" s="547" t="s">
        <v>80</v>
      </c>
      <c r="T3" s="106" t="s">
        <v>1124</v>
      </c>
      <c r="U3" s="547" t="s">
        <v>78</v>
      </c>
      <c r="V3" s="547" t="s">
        <v>79</v>
      </c>
      <c r="W3" s="547" t="s">
        <v>80</v>
      </c>
      <c r="X3" s="106" t="s">
        <v>1125</v>
      </c>
      <c r="Y3" s="547" t="s">
        <v>78</v>
      </c>
      <c r="Z3" s="547" t="s">
        <v>79</v>
      </c>
      <c r="AA3" s="547" t="s">
        <v>80</v>
      </c>
      <c r="AB3" s="87" t="s">
        <v>1126</v>
      </c>
      <c r="AC3" s="422" t="s">
        <v>78</v>
      </c>
      <c r="AD3" s="422" t="s">
        <v>79</v>
      </c>
      <c r="AE3" s="422" t="s">
        <v>80</v>
      </c>
      <c r="AF3" s="87" t="s">
        <v>1127</v>
      </c>
      <c r="AG3" s="422" t="s">
        <v>78</v>
      </c>
      <c r="AH3" s="422" t="s">
        <v>79</v>
      </c>
      <c r="AI3" s="422" t="s">
        <v>80</v>
      </c>
      <c r="AJ3" s="87" t="s">
        <v>1128</v>
      </c>
      <c r="AK3" s="422" t="s">
        <v>78</v>
      </c>
      <c r="AL3" s="422" t="s">
        <v>79</v>
      </c>
      <c r="AM3" s="422" t="s">
        <v>80</v>
      </c>
      <c r="AN3" s="87" t="s">
        <v>1129</v>
      </c>
      <c r="AO3" s="422" t="s">
        <v>78</v>
      </c>
      <c r="AP3" s="422" t="s">
        <v>79</v>
      </c>
      <c r="AQ3" s="422" t="s">
        <v>80</v>
      </c>
      <c r="AR3" s="87" t="s">
        <v>1130</v>
      </c>
      <c r="AS3" s="422" t="s">
        <v>78</v>
      </c>
      <c r="AT3" s="422" t="s">
        <v>79</v>
      </c>
      <c r="AU3" s="422" t="s">
        <v>80</v>
      </c>
      <c r="AV3" s="87" t="s">
        <v>1131</v>
      </c>
      <c r="AW3" s="422" t="s">
        <v>78</v>
      </c>
      <c r="AX3" s="422" t="s">
        <v>79</v>
      </c>
      <c r="AY3" s="422" t="s">
        <v>80</v>
      </c>
      <c r="AZ3" s="87" t="s">
        <v>1132</v>
      </c>
      <c r="BA3" s="422" t="s">
        <v>78</v>
      </c>
      <c r="BB3" s="422" t="s">
        <v>79</v>
      </c>
      <c r="BC3" s="422" t="s">
        <v>80</v>
      </c>
      <c r="BD3" s="87" t="s">
        <v>1133</v>
      </c>
      <c r="BE3" s="422" t="s">
        <v>78</v>
      </c>
      <c r="BF3" s="422" t="s">
        <v>79</v>
      </c>
      <c r="BG3" s="422" t="s">
        <v>80</v>
      </c>
      <c r="BH3" s="87" t="s">
        <v>1134</v>
      </c>
      <c r="BI3" s="422" t="s">
        <v>78</v>
      </c>
      <c r="BJ3" s="422" t="s">
        <v>79</v>
      </c>
      <c r="BK3" s="422" t="s">
        <v>80</v>
      </c>
      <c r="BL3" s="87" t="s">
        <v>1135</v>
      </c>
      <c r="BM3" s="422" t="s">
        <v>78</v>
      </c>
      <c r="BN3" s="422" t="s">
        <v>79</v>
      </c>
      <c r="BO3" s="422" t="s">
        <v>80</v>
      </c>
      <c r="BP3" s="87" t="s">
        <v>1136</v>
      </c>
      <c r="BQ3" s="422" t="s">
        <v>78</v>
      </c>
      <c r="BR3" s="422" t="s">
        <v>79</v>
      </c>
      <c r="BS3" s="422" t="s">
        <v>80</v>
      </c>
      <c r="BT3" s="87" t="s">
        <v>1137</v>
      </c>
      <c r="BU3" s="422" t="s">
        <v>78</v>
      </c>
      <c r="BV3" s="422" t="s">
        <v>79</v>
      </c>
      <c r="BW3" s="422" t="s">
        <v>80</v>
      </c>
      <c r="BX3" s="87" t="s">
        <v>1138</v>
      </c>
      <c r="BY3" s="422" t="s">
        <v>78</v>
      </c>
      <c r="BZ3" s="422" t="s">
        <v>79</v>
      </c>
      <c r="CA3" s="422" t="s">
        <v>80</v>
      </c>
      <c r="CB3" s="87" t="s">
        <v>1139</v>
      </c>
      <c r="CC3" s="422" t="s">
        <v>78</v>
      </c>
      <c r="CD3" s="422" t="s">
        <v>79</v>
      </c>
      <c r="CE3" s="422" t="s">
        <v>80</v>
      </c>
      <c r="CF3" s="87" t="s">
        <v>1140</v>
      </c>
      <c r="CG3" s="422" t="s">
        <v>78</v>
      </c>
      <c r="CH3" s="422" t="s">
        <v>79</v>
      </c>
      <c r="CI3" s="422" t="s">
        <v>80</v>
      </c>
      <c r="CJ3" s="87" t="s">
        <v>1141</v>
      </c>
      <c r="CK3" s="422" t="s">
        <v>78</v>
      </c>
      <c r="CL3" s="422" t="s">
        <v>79</v>
      </c>
      <c r="CM3" s="422" t="s">
        <v>80</v>
      </c>
      <c r="CN3" s="87" t="s">
        <v>1142</v>
      </c>
      <c r="CO3" s="422" t="s">
        <v>78</v>
      </c>
      <c r="CP3" s="422" t="s">
        <v>79</v>
      </c>
      <c r="CQ3" s="422" t="s">
        <v>80</v>
      </c>
      <c r="CR3" s="87" t="s">
        <v>1143</v>
      </c>
      <c r="CS3" s="422" t="s">
        <v>78</v>
      </c>
      <c r="CT3" s="422" t="s">
        <v>79</v>
      </c>
      <c r="CU3" s="422" t="s">
        <v>80</v>
      </c>
      <c r="CV3" s="399"/>
      <c r="CW3" s="87" t="s">
        <v>1144</v>
      </c>
      <c r="CX3" s="87" t="s">
        <v>1145</v>
      </c>
      <c r="CY3" s="87" t="s">
        <v>1146</v>
      </c>
      <c r="CZ3" s="87" t="s">
        <v>1147</v>
      </c>
      <c r="DA3" s="87" t="s">
        <v>363</v>
      </c>
      <c r="DB3" s="98" t="s">
        <v>364</v>
      </c>
      <c r="DC3" s="98" t="s">
        <v>365</v>
      </c>
      <c r="DD3" s="98" t="s">
        <v>366</v>
      </c>
      <c r="DE3" s="98" t="s">
        <v>367</v>
      </c>
      <c r="DF3" s="98" t="s">
        <v>368</v>
      </c>
      <c r="DG3" s="98" t="s">
        <v>369</v>
      </c>
      <c r="DH3" s="99" t="s">
        <v>88</v>
      </c>
      <c r="DI3" s="99" t="s">
        <v>370</v>
      </c>
      <c r="DJ3" s="99" t="s">
        <v>90</v>
      </c>
      <c r="DK3" s="99" t="s">
        <v>91</v>
      </c>
      <c r="DL3" s="99" t="s">
        <v>371</v>
      </c>
      <c r="DM3" s="100" t="s">
        <v>364</v>
      </c>
      <c r="DN3" s="100" t="s">
        <v>365</v>
      </c>
      <c r="DO3" s="100" t="s">
        <v>366</v>
      </c>
      <c r="DP3" s="100" t="s">
        <v>367</v>
      </c>
      <c r="DQ3" s="100" t="s">
        <v>368</v>
      </c>
      <c r="DR3" s="100" t="s">
        <v>369</v>
      </c>
      <c r="DS3" s="399"/>
      <c r="DT3" s="87" t="s">
        <v>363</v>
      </c>
      <c r="DU3" s="98" t="s">
        <v>364</v>
      </c>
      <c r="DV3" s="98" t="s">
        <v>365</v>
      </c>
      <c r="DW3" s="98" t="s">
        <v>366</v>
      </c>
      <c r="DX3" s="98" t="s">
        <v>367</v>
      </c>
      <c r="DY3" s="98" t="s">
        <v>368</v>
      </c>
      <c r="DZ3" s="98" t="s">
        <v>369</v>
      </c>
      <c r="EA3" s="99" t="s">
        <v>88</v>
      </c>
      <c r="EB3" s="99" t="s">
        <v>370</v>
      </c>
      <c r="EC3" s="99" t="s">
        <v>90</v>
      </c>
      <c r="ED3" s="99" t="s">
        <v>91</v>
      </c>
      <c r="EE3" s="99" t="s">
        <v>371</v>
      </c>
      <c r="EF3" s="100" t="s">
        <v>364</v>
      </c>
      <c r="EG3" s="100" t="s">
        <v>365</v>
      </c>
      <c r="EH3" s="100" t="s">
        <v>366</v>
      </c>
      <c r="EI3" s="100" t="s">
        <v>367</v>
      </c>
      <c r="EJ3" s="100" t="s">
        <v>368</v>
      </c>
      <c r="EK3" s="100" t="s">
        <v>369</v>
      </c>
    </row>
    <row r="4" spans="1:141" ht="24" customHeight="1">
      <c r="A4" s="77"/>
      <c r="B4" s="84"/>
      <c r="C4" s="79">
        <v>662</v>
      </c>
      <c r="D4" s="86"/>
      <c r="E4" s="86"/>
      <c r="F4" s="86" t="s">
        <v>72</v>
      </c>
      <c r="G4" s="86"/>
      <c r="H4" s="86"/>
      <c r="I4" s="86"/>
      <c r="J4" s="86"/>
      <c r="K4" s="86"/>
      <c r="L4" s="106" t="s">
        <v>372</v>
      </c>
      <c r="M4" s="425"/>
      <c r="N4" s="425"/>
      <c r="O4" s="426"/>
      <c r="P4" s="106" t="s">
        <v>372</v>
      </c>
      <c r="Q4" s="425"/>
      <c r="R4" s="425"/>
      <c r="S4" s="426"/>
      <c r="T4" s="106" t="s">
        <v>372</v>
      </c>
      <c r="U4" s="425"/>
      <c r="V4" s="425"/>
      <c r="W4" s="426"/>
      <c r="X4" s="106" t="s">
        <v>372</v>
      </c>
      <c r="Y4" s="425"/>
      <c r="Z4" s="425"/>
      <c r="AA4" s="426"/>
      <c r="AB4" s="87" t="s">
        <v>372</v>
      </c>
      <c r="AC4" s="425"/>
      <c r="AD4" s="425"/>
      <c r="AE4" s="454"/>
      <c r="AF4" s="87" t="s">
        <v>215</v>
      </c>
      <c r="AG4" s="425"/>
      <c r="AH4" s="425"/>
      <c r="AI4" s="426"/>
      <c r="AJ4" s="87" t="s">
        <v>215</v>
      </c>
      <c r="AK4" s="425"/>
      <c r="AL4" s="425"/>
      <c r="AM4" s="426"/>
      <c r="AN4" s="87" t="s">
        <v>215</v>
      </c>
      <c r="AO4" s="425"/>
      <c r="AP4" s="425"/>
      <c r="AQ4" s="426"/>
      <c r="AR4" s="87" t="s">
        <v>215</v>
      </c>
      <c r="AS4" s="425"/>
      <c r="AT4" s="425"/>
      <c r="AU4" s="426"/>
      <c r="AV4" s="87" t="s">
        <v>215</v>
      </c>
      <c r="AW4" s="425"/>
      <c r="AX4" s="425"/>
      <c r="AY4" s="454"/>
      <c r="AZ4" s="87" t="s">
        <v>373</v>
      </c>
      <c r="BA4" s="425"/>
      <c r="BB4" s="425"/>
      <c r="BC4" s="426"/>
      <c r="BD4" s="87" t="s">
        <v>373</v>
      </c>
      <c r="BE4" s="425"/>
      <c r="BF4" s="425"/>
      <c r="BG4" s="426"/>
      <c r="BH4" s="87" t="s">
        <v>373</v>
      </c>
      <c r="BI4" s="425"/>
      <c r="BJ4" s="425"/>
      <c r="BK4" s="426"/>
      <c r="BL4" s="87" t="s">
        <v>373</v>
      </c>
      <c r="BM4" s="425"/>
      <c r="BN4" s="425"/>
      <c r="BO4" s="426"/>
      <c r="BP4" s="87" t="s">
        <v>373</v>
      </c>
      <c r="BQ4" s="425"/>
      <c r="BR4" s="425"/>
      <c r="BS4" s="454"/>
      <c r="BT4" s="87" t="s">
        <v>93</v>
      </c>
      <c r="BU4" s="425"/>
      <c r="BV4" s="425"/>
      <c r="BW4" s="426"/>
      <c r="BX4" s="87" t="s">
        <v>93</v>
      </c>
      <c r="BY4" s="425"/>
      <c r="BZ4" s="425"/>
      <c r="CA4" s="426"/>
      <c r="CB4" s="87" t="s">
        <v>93</v>
      </c>
      <c r="CC4" s="425"/>
      <c r="CD4" s="425"/>
      <c r="CE4" s="426"/>
      <c r="CF4" s="87" t="s">
        <v>93</v>
      </c>
      <c r="CG4" s="425"/>
      <c r="CH4" s="425"/>
      <c r="CI4" s="426"/>
      <c r="CJ4" s="87" t="s">
        <v>93</v>
      </c>
      <c r="CK4" s="425"/>
      <c r="CL4" s="425"/>
      <c r="CM4" s="454"/>
      <c r="CN4" s="87" t="s">
        <v>340</v>
      </c>
      <c r="CO4" s="425"/>
      <c r="CP4" s="425"/>
      <c r="CQ4" s="426"/>
      <c r="CR4" s="87" t="s">
        <v>372</v>
      </c>
      <c r="CS4" s="425"/>
      <c r="CT4" s="425"/>
      <c r="CU4" s="454"/>
      <c r="CV4" s="399"/>
      <c r="CW4" s="87" t="s">
        <v>372</v>
      </c>
      <c r="CX4" s="87" t="s">
        <v>372</v>
      </c>
      <c r="CY4" s="87" t="s">
        <v>372</v>
      </c>
      <c r="CZ4" s="87" t="s">
        <v>372</v>
      </c>
      <c r="DA4" s="87"/>
      <c r="DB4" s="102" t="s">
        <v>94</v>
      </c>
      <c r="DC4" s="97"/>
      <c r="DD4" s="97"/>
      <c r="DE4" s="97"/>
      <c r="DF4" s="97"/>
      <c r="DG4" s="97"/>
      <c r="DH4" s="103"/>
      <c r="DI4" s="103"/>
      <c r="DJ4" s="103" t="s">
        <v>95</v>
      </c>
      <c r="DK4" s="103" t="s">
        <v>95</v>
      </c>
      <c r="DL4" s="104"/>
      <c r="DM4" s="105"/>
      <c r="DN4" s="105"/>
      <c r="DO4" s="105"/>
      <c r="DP4" s="105"/>
      <c r="DQ4" s="105"/>
      <c r="DR4" s="105"/>
      <c r="DS4" s="399"/>
      <c r="DT4" s="87"/>
      <c r="DU4" s="102" t="s">
        <v>94</v>
      </c>
      <c r="DV4" s="97"/>
      <c r="DW4" s="97"/>
      <c r="DX4" s="97"/>
      <c r="DY4" s="97"/>
      <c r="DZ4" s="97"/>
      <c r="EA4" s="103"/>
      <c r="EB4" s="103"/>
      <c r="EC4" s="103" t="s">
        <v>95</v>
      </c>
      <c r="ED4" s="103" t="s">
        <v>95</v>
      </c>
      <c r="EE4" s="104"/>
      <c r="EF4" s="105"/>
      <c r="EG4" s="105"/>
      <c r="EH4" s="105"/>
      <c r="EI4" s="105"/>
      <c r="EJ4" s="105"/>
      <c r="EK4" s="105"/>
    </row>
    <row r="5" spans="1:141">
      <c r="A5" s="77"/>
      <c r="B5" s="84"/>
      <c r="C5" s="79">
        <v>493</v>
      </c>
      <c r="D5" s="86"/>
      <c r="E5" s="86"/>
      <c r="F5" s="86" t="s">
        <v>75</v>
      </c>
      <c r="G5" s="86"/>
      <c r="H5" s="86"/>
      <c r="I5" s="86"/>
      <c r="J5" s="86"/>
      <c r="K5" s="86"/>
      <c r="L5" s="106">
        <v>1</v>
      </c>
      <c r="M5" s="425"/>
      <c r="N5" s="425"/>
      <c r="O5" s="426"/>
      <c r="P5" s="106">
        <v>1</v>
      </c>
      <c r="Q5" s="425"/>
      <c r="R5" s="425"/>
      <c r="S5" s="426"/>
      <c r="T5" s="106">
        <v>1</v>
      </c>
      <c r="U5" s="425"/>
      <c r="V5" s="425"/>
      <c r="W5" s="426"/>
      <c r="X5" s="106">
        <v>1</v>
      </c>
      <c r="Y5" s="425"/>
      <c r="Z5" s="425"/>
      <c r="AA5" s="426"/>
      <c r="AB5" s="87">
        <v>1</v>
      </c>
      <c r="AC5" s="425"/>
      <c r="AD5" s="425"/>
      <c r="AE5" s="454"/>
      <c r="AF5" s="87">
        <v>1</v>
      </c>
      <c r="AG5" s="425"/>
      <c r="AH5" s="425"/>
      <c r="AI5" s="426"/>
      <c r="AJ5" s="87">
        <v>1</v>
      </c>
      <c r="AK5" s="425"/>
      <c r="AL5" s="425"/>
      <c r="AM5" s="426"/>
      <c r="AN5" s="87">
        <v>1</v>
      </c>
      <c r="AO5" s="425"/>
      <c r="AP5" s="425"/>
      <c r="AQ5" s="426"/>
      <c r="AR5" s="87">
        <v>1</v>
      </c>
      <c r="AS5" s="425"/>
      <c r="AT5" s="425"/>
      <c r="AU5" s="426"/>
      <c r="AV5" s="87">
        <v>1</v>
      </c>
      <c r="AW5" s="425"/>
      <c r="AX5" s="425"/>
      <c r="AY5" s="454"/>
      <c r="AZ5" s="87">
        <v>1</v>
      </c>
      <c r="BA5" s="425"/>
      <c r="BB5" s="425"/>
      <c r="BC5" s="426"/>
      <c r="BD5" s="87">
        <v>1</v>
      </c>
      <c r="BE5" s="425"/>
      <c r="BF5" s="425"/>
      <c r="BG5" s="426"/>
      <c r="BH5" s="87">
        <v>1</v>
      </c>
      <c r="BI5" s="425"/>
      <c r="BJ5" s="425"/>
      <c r="BK5" s="426"/>
      <c r="BL5" s="87">
        <v>1</v>
      </c>
      <c r="BM5" s="425"/>
      <c r="BN5" s="425"/>
      <c r="BO5" s="426"/>
      <c r="BP5" s="87">
        <v>1</v>
      </c>
      <c r="BQ5" s="425"/>
      <c r="BR5" s="425"/>
      <c r="BS5" s="454"/>
      <c r="BT5" s="87">
        <v>1</v>
      </c>
      <c r="BU5" s="425"/>
      <c r="BV5" s="425"/>
      <c r="BW5" s="426"/>
      <c r="BX5" s="87">
        <v>1</v>
      </c>
      <c r="BY5" s="425"/>
      <c r="BZ5" s="425"/>
      <c r="CA5" s="426"/>
      <c r="CB5" s="87">
        <v>1</v>
      </c>
      <c r="CC5" s="425"/>
      <c r="CD5" s="425"/>
      <c r="CE5" s="426"/>
      <c r="CF5" s="87">
        <v>1</v>
      </c>
      <c r="CG5" s="425"/>
      <c r="CH5" s="425"/>
      <c r="CI5" s="426"/>
      <c r="CJ5" s="87">
        <v>1</v>
      </c>
      <c r="CK5" s="425"/>
      <c r="CL5" s="425"/>
      <c r="CM5" s="454"/>
      <c r="CN5" s="87">
        <v>1</v>
      </c>
      <c r="CO5" s="425"/>
      <c r="CP5" s="425"/>
      <c r="CQ5" s="426"/>
      <c r="CR5" s="87">
        <v>1</v>
      </c>
      <c r="CS5" s="425"/>
      <c r="CT5" s="425"/>
      <c r="CU5" s="454"/>
      <c r="CV5" s="399"/>
      <c r="CW5" s="87">
        <v>1</v>
      </c>
      <c r="CX5" s="87">
        <v>1</v>
      </c>
      <c r="CY5" s="87">
        <v>1</v>
      </c>
      <c r="CZ5" s="87">
        <v>1</v>
      </c>
      <c r="DA5" s="87"/>
      <c r="DB5" s="97"/>
      <c r="DC5" s="97"/>
      <c r="DD5" s="97"/>
      <c r="DE5" s="97"/>
      <c r="DF5" s="97"/>
      <c r="DG5" s="97"/>
      <c r="DH5" s="104"/>
      <c r="DI5" s="104"/>
      <c r="DJ5" s="104"/>
      <c r="DK5" s="104"/>
      <c r="DL5" s="104"/>
      <c r="DM5" s="105"/>
      <c r="DN5" s="105"/>
      <c r="DO5" s="105"/>
      <c r="DP5" s="105"/>
      <c r="DQ5" s="105"/>
      <c r="DR5" s="105"/>
      <c r="DS5" s="399"/>
      <c r="DT5" s="87"/>
      <c r="DU5" s="97"/>
      <c r="DV5" s="97"/>
      <c r="DW5" s="97"/>
      <c r="DX5" s="97"/>
      <c r="DY5" s="97"/>
      <c r="DZ5" s="97"/>
      <c r="EA5" s="104"/>
      <c r="EB5" s="104"/>
      <c r="EC5" s="104"/>
      <c r="ED5" s="104"/>
      <c r="EE5" s="104"/>
      <c r="EF5" s="105"/>
      <c r="EG5" s="105"/>
      <c r="EH5" s="105"/>
      <c r="EI5" s="105"/>
      <c r="EJ5" s="105"/>
      <c r="EK5" s="105"/>
    </row>
    <row r="6" spans="1:141">
      <c r="A6" s="77"/>
      <c r="B6" s="84"/>
      <c r="C6" s="79">
        <v>403</v>
      </c>
      <c r="D6" s="86"/>
      <c r="E6" s="86"/>
      <c r="F6" s="86" t="s">
        <v>76</v>
      </c>
      <c r="G6" s="86"/>
      <c r="H6" s="86"/>
      <c r="I6" s="86"/>
      <c r="J6" s="86"/>
      <c r="K6" s="86"/>
      <c r="L6" s="106" t="s">
        <v>679</v>
      </c>
      <c r="M6" s="425"/>
      <c r="N6" s="425"/>
      <c r="O6" s="426"/>
      <c r="P6" s="106" t="s">
        <v>679</v>
      </c>
      <c r="Q6" s="425"/>
      <c r="R6" s="425"/>
      <c r="S6" s="426"/>
      <c r="T6" s="106" t="s">
        <v>679</v>
      </c>
      <c r="U6" s="425"/>
      <c r="V6" s="425"/>
      <c r="W6" s="426"/>
      <c r="X6" s="106" t="s">
        <v>679</v>
      </c>
      <c r="Y6" s="425"/>
      <c r="Z6" s="425"/>
      <c r="AA6" s="426"/>
      <c r="AB6" s="87" t="s">
        <v>679</v>
      </c>
      <c r="AC6" s="425"/>
      <c r="AD6" s="425"/>
      <c r="AE6" s="454"/>
      <c r="AF6" s="87" t="s">
        <v>679</v>
      </c>
      <c r="AG6" s="425"/>
      <c r="AH6" s="425"/>
      <c r="AI6" s="426"/>
      <c r="AJ6" s="87" t="s">
        <v>679</v>
      </c>
      <c r="AK6" s="425"/>
      <c r="AL6" s="425"/>
      <c r="AM6" s="426"/>
      <c r="AN6" s="87" t="s">
        <v>679</v>
      </c>
      <c r="AO6" s="425"/>
      <c r="AP6" s="425"/>
      <c r="AQ6" s="426"/>
      <c r="AR6" s="87" t="s">
        <v>679</v>
      </c>
      <c r="AS6" s="425"/>
      <c r="AT6" s="425"/>
      <c r="AU6" s="426"/>
      <c r="AV6" s="87" t="s">
        <v>679</v>
      </c>
      <c r="AW6" s="425"/>
      <c r="AX6" s="425"/>
      <c r="AY6" s="454"/>
      <c r="AZ6" s="87" t="s">
        <v>679</v>
      </c>
      <c r="BA6" s="425"/>
      <c r="BB6" s="425"/>
      <c r="BC6" s="426"/>
      <c r="BD6" s="87" t="s">
        <v>679</v>
      </c>
      <c r="BE6" s="425"/>
      <c r="BF6" s="425"/>
      <c r="BG6" s="426"/>
      <c r="BH6" s="87" t="s">
        <v>679</v>
      </c>
      <c r="BI6" s="425"/>
      <c r="BJ6" s="425"/>
      <c r="BK6" s="426"/>
      <c r="BL6" s="87" t="s">
        <v>679</v>
      </c>
      <c r="BM6" s="425"/>
      <c r="BN6" s="425"/>
      <c r="BO6" s="426"/>
      <c r="BP6" s="87" t="s">
        <v>679</v>
      </c>
      <c r="BQ6" s="425"/>
      <c r="BR6" s="425"/>
      <c r="BS6" s="454"/>
      <c r="BT6" s="87" t="s">
        <v>679</v>
      </c>
      <c r="BU6" s="425"/>
      <c r="BV6" s="425"/>
      <c r="BW6" s="426"/>
      <c r="BX6" s="87" t="s">
        <v>679</v>
      </c>
      <c r="BY6" s="425"/>
      <c r="BZ6" s="425"/>
      <c r="CA6" s="426"/>
      <c r="CB6" s="87" t="s">
        <v>679</v>
      </c>
      <c r="CC6" s="425"/>
      <c r="CD6" s="425"/>
      <c r="CE6" s="426"/>
      <c r="CF6" s="87" t="s">
        <v>679</v>
      </c>
      <c r="CG6" s="425"/>
      <c r="CH6" s="425"/>
      <c r="CI6" s="426"/>
      <c r="CJ6" s="87" t="s">
        <v>679</v>
      </c>
      <c r="CK6" s="425"/>
      <c r="CL6" s="425"/>
      <c r="CM6" s="454"/>
      <c r="CN6" s="87" t="s">
        <v>679</v>
      </c>
      <c r="CO6" s="425"/>
      <c r="CP6" s="425"/>
      <c r="CQ6" s="426"/>
      <c r="CR6" s="87" t="s">
        <v>679</v>
      </c>
      <c r="CS6" s="425"/>
      <c r="CT6" s="425"/>
      <c r="CU6" s="454"/>
      <c r="CV6" s="399"/>
      <c r="CW6" s="87" t="s">
        <v>679</v>
      </c>
      <c r="CX6" s="87" t="s">
        <v>679</v>
      </c>
      <c r="CY6" s="87" t="s">
        <v>679</v>
      </c>
      <c r="CZ6" s="87" t="s">
        <v>679</v>
      </c>
      <c r="DA6" s="87"/>
      <c r="DB6" s="106"/>
      <c r="DC6" s="106"/>
      <c r="DD6" s="106"/>
      <c r="DE6" s="106"/>
      <c r="DF6" s="106"/>
      <c r="DG6" s="106"/>
      <c r="DH6" s="104"/>
      <c r="DI6" s="104"/>
      <c r="DJ6" s="428"/>
      <c r="DK6" s="428"/>
      <c r="DL6" s="107"/>
      <c r="DM6" s="105"/>
      <c r="DN6" s="105"/>
      <c r="DO6" s="105"/>
      <c r="DP6" s="105"/>
      <c r="DQ6" s="105"/>
      <c r="DR6" s="105"/>
      <c r="DS6" s="399"/>
      <c r="DT6" s="87"/>
      <c r="DU6" s="106"/>
      <c r="DV6" s="106"/>
      <c r="DW6" s="106"/>
      <c r="DX6" s="106"/>
      <c r="DY6" s="106"/>
      <c r="DZ6" s="106"/>
      <c r="EA6" s="104"/>
      <c r="EB6" s="104"/>
      <c r="EC6" s="428"/>
      <c r="ED6" s="428"/>
      <c r="EE6" s="107"/>
      <c r="EF6" s="105"/>
      <c r="EG6" s="105"/>
      <c r="EH6" s="105"/>
      <c r="EI6" s="105"/>
      <c r="EJ6" s="105"/>
      <c r="EK6" s="105"/>
    </row>
    <row r="7" spans="1:141" ht="24">
      <c r="A7" s="330" t="s">
        <v>1148</v>
      </c>
      <c r="B7" s="216" t="s">
        <v>97</v>
      </c>
      <c r="C7" s="165"/>
      <c r="D7" s="535" t="s">
        <v>98</v>
      </c>
      <c r="E7" s="536">
        <v>0</v>
      </c>
      <c r="F7" s="537" t="s">
        <v>1122</v>
      </c>
      <c r="G7" s="430" t="s">
        <v>372</v>
      </c>
      <c r="H7" s="539" t="s">
        <v>98</v>
      </c>
      <c r="I7" s="539" t="s">
        <v>98</v>
      </c>
      <c r="J7" s="540">
        <v>1</v>
      </c>
      <c r="K7" s="430" t="s">
        <v>679</v>
      </c>
      <c r="L7" s="532">
        <f t="shared" ref="L7:L28" si="0">IF($A7=L$1,1,0)</f>
        <v>1</v>
      </c>
      <c r="M7" s="533"/>
      <c r="N7" s="534"/>
      <c r="O7" s="538"/>
      <c r="P7" s="532">
        <f t="shared" ref="P7:P28" si="1">IF($A7=P$1,1,0)</f>
        <v>0</v>
      </c>
      <c r="Q7" s="533"/>
      <c r="R7" s="534"/>
      <c r="S7" s="538"/>
      <c r="T7" s="532">
        <f t="shared" ref="T7:T28" si="2">IF($A7=T$1,1,0)</f>
        <v>0</v>
      </c>
      <c r="U7" s="533"/>
      <c r="V7" s="534"/>
      <c r="W7" s="538"/>
      <c r="X7" s="532">
        <f t="shared" ref="X7:X28" si="3">IF($A7=X$1,1,0)</f>
        <v>0</v>
      </c>
      <c r="Y7" s="533"/>
      <c r="Z7" s="534"/>
      <c r="AA7" s="538"/>
      <c r="AB7" s="90">
        <f t="shared" ref="AB7:AB28" si="4">IF($A7=AB$1,1,0)</f>
        <v>0</v>
      </c>
      <c r="AC7" s="91"/>
      <c r="AD7" s="92"/>
      <c r="AE7" s="206"/>
      <c r="AF7" s="90">
        <f t="shared" ref="AF7:AF28" si="5">IF($A7=AF$1,1,0)</f>
        <v>0</v>
      </c>
      <c r="AG7" s="91"/>
      <c r="AH7" s="92"/>
      <c r="AI7" s="93"/>
      <c r="AJ7" s="90">
        <f t="shared" ref="AJ7:AJ28" si="6">IF($A7=AJ$1,1,0)</f>
        <v>0</v>
      </c>
      <c r="AK7" s="91"/>
      <c r="AL7" s="92"/>
      <c r="AM7" s="93"/>
      <c r="AN7" s="90">
        <f t="shared" ref="AN7:AN28" si="7">IF($A7=AN$1,1,0)</f>
        <v>0</v>
      </c>
      <c r="AO7" s="91"/>
      <c r="AP7" s="92"/>
      <c r="AQ7" s="93"/>
      <c r="AR7" s="90">
        <f t="shared" ref="AR7:AR28" si="8">IF($A7=AR$1,1,0)</f>
        <v>0</v>
      </c>
      <c r="AS7" s="91"/>
      <c r="AT7" s="92"/>
      <c r="AU7" s="93"/>
      <c r="AV7" s="90">
        <f t="shared" ref="AV7:AV28" si="9">IF($A7=AV$1,1,0)</f>
        <v>0</v>
      </c>
      <c r="AW7" s="91"/>
      <c r="AX7" s="92"/>
      <c r="AY7" s="206"/>
      <c r="AZ7" s="90">
        <f t="shared" ref="AZ7:AZ28" si="10">IF($A7=AZ$1,1,0)</f>
        <v>0</v>
      </c>
      <c r="BA7" s="91"/>
      <c r="BB7" s="92"/>
      <c r="BC7" s="93"/>
      <c r="BD7" s="90">
        <f t="shared" ref="BD7:BD28" si="11">IF($A7=BD$1,1,0)</f>
        <v>0</v>
      </c>
      <c r="BE7" s="91"/>
      <c r="BF7" s="92"/>
      <c r="BG7" s="93"/>
      <c r="BH7" s="90">
        <f t="shared" ref="BH7:BH28" si="12">IF($A7=BH$1,1,0)</f>
        <v>0</v>
      </c>
      <c r="BI7" s="91"/>
      <c r="BJ7" s="92"/>
      <c r="BK7" s="93"/>
      <c r="BL7" s="90">
        <f t="shared" ref="BL7:BL28" si="13">IF($A7=BL$1,1,0)</f>
        <v>0</v>
      </c>
      <c r="BM7" s="91"/>
      <c r="BN7" s="92"/>
      <c r="BO7" s="93"/>
      <c r="BP7" s="90">
        <f t="shared" ref="BP7:BP28" si="14">IF($A7=BP$1,1,0)</f>
        <v>0</v>
      </c>
      <c r="BQ7" s="91"/>
      <c r="BR7" s="92"/>
      <c r="BS7" s="206"/>
      <c r="BT7" s="90">
        <f t="shared" ref="BT7:BT28" si="15">IF($A7=BT$1,1,0)</f>
        <v>0</v>
      </c>
      <c r="BU7" s="91"/>
      <c r="BV7" s="92"/>
      <c r="BW7" s="93"/>
      <c r="BX7" s="90">
        <f t="shared" ref="BX7:BX28" si="16">IF($A7=BX$1,1,0)</f>
        <v>0</v>
      </c>
      <c r="BY7" s="91"/>
      <c r="BZ7" s="92"/>
      <c r="CA7" s="93"/>
      <c r="CB7" s="90">
        <f t="shared" ref="CB7:CB28" si="17">IF($A7=CB$1,1,0)</f>
        <v>0</v>
      </c>
      <c r="CC7" s="91"/>
      <c r="CD7" s="92"/>
      <c r="CE7" s="93"/>
      <c r="CF7" s="90">
        <f t="shared" ref="CF7:CF28" si="18">IF($A7=CF$1,1,0)</f>
        <v>0</v>
      </c>
      <c r="CG7" s="91"/>
      <c r="CH7" s="92"/>
      <c r="CI7" s="93"/>
      <c r="CJ7" s="90">
        <f t="shared" ref="CJ7:CJ28" si="19">IF($A7=CJ$1,1,0)</f>
        <v>0</v>
      </c>
      <c r="CK7" s="91"/>
      <c r="CL7" s="92"/>
      <c r="CM7" s="206"/>
      <c r="CN7" s="90">
        <f t="shared" ref="CN7:CN28" si="20">IF($A7=CN$1,1,0)</f>
        <v>0</v>
      </c>
      <c r="CO7" s="91"/>
      <c r="CP7" s="92"/>
      <c r="CQ7" s="93"/>
      <c r="CR7" s="90">
        <f t="shared" ref="CR7:CR28" si="21">IF($A7=CR$1,1,0)</f>
        <v>0</v>
      </c>
      <c r="CS7" s="91"/>
      <c r="CT7" s="92"/>
      <c r="CU7" s="206"/>
      <c r="CV7" s="399"/>
      <c r="CW7" s="90"/>
      <c r="CX7" s="90"/>
      <c r="CY7" s="90"/>
      <c r="CZ7" s="90"/>
      <c r="DA7" s="90"/>
      <c r="DB7" s="97"/>
      <c r="DC7" s="97"/>
      <c r="DD7" s="97"/>
      <c r="DE7" s="97"/>
      <c r="DF7" s="97"/>
      <c r="DG7" s="97"/>
      <c r="DH7" s="104"/>
      <c r="DI7" s="104"/>
      <c r="DJ7" s="104"/>
      <c r="DK7" s="104"/>
      <c r="DL7" s="104"/>
      <c r="DM7" s="104"/>
      <c r="DN7" s="104"/>
      <c r="DO7" s="104"/>
      <c r="DP7" s="104"/>
      <c r="DQ7" s="104"/>
      <c r="DR7" s="104"/>
      <c r="DS7" s="399"/>
      <c r="DT7" s="90"/>
      <c r="DU7" s="97"/>
      <c r="DV7" s="97"/>
      <c r="DW7" s="97"/>
      <c r="DX7" s="97"/>
      <c r="DY7" s="97"/>
      <c r="DZ7" s="97"/>
      <c r="EA7" s="104"/>
      <c r="EB7" s="104"/>
      <c r="EC7" s="104"/>
      <c r="ED7" s="104"/>
      <c r="EE7" s="104"/>
      <c r="EF7" s="104"/>
      <c r="EG7" s="104"/>
      <c r="EH7" s="104"/>
      <c r="EI7" s="104"/>
      <c r="EJ7" s="104"/>
      <c r="EK7" s="104"/>
    </row>
    <row r="8" spans="1:141" ht="24">
      <c r="A8" s="330" t="s">
        <v>1149</v>
      </c>
      <c r="B8" s="216"/>
      <c r="C8" s="165"/>
      <c r="D8" s="535" t="s">
        <v>98</v>
      </c>
      <c r="E8" s="536">
        <v>0</v>
      </c>
      <c r="F8" s="537" t="s">
        <v>1123</v>
      </c>
      <c r="G8" s="430" t="s">
        <v>372</v>
      </c>
      <c r="H8" s="539" t="s">
        <v>98</v>
      </c>
      <c r="I8" s="539" t="s">
        <v>98</v>
      </c>
      <c r="J8" s="540">
        <v>1</v>
      </c>
      <c r="K8" s="430" t="s">
        <v>679</v>
      </c>
      <c r="L8" s="532">
        <f t="shared" si="0"/>
        <v>0</v>
      </c>
      <c r="M8" s="533"/>
      <c r="N8" s="534"/>
      <c r="O8" s="538"/>
      <c r="P8" s="532">
        <f t="shared" si="1"/>
        <v>1</v>
      </c>
      <c r="Q8" s="533"/>
      <c r="R8" s="534"/>
      <c r="S8" s="538"/>
      <c r="T8" s="532">
        <f t="shared" si="2"/>
        <v>0</v>
      </c>
      <c r="U8" s="533"/>
      <c r="V8" s="534"/>
      <c r="W8" s="538"/>
      <c r="X8" s="532">
        <f t="shared" si="3"/>
        <v>0</v>
      </c>
      <c r="Y8" s="533"/>
      <c r="Z8" s="534"/>
      <c r="AA8" s="538"/>
      <c r="AB8" s="90">
        <f t="shared" si="4"/>
        <v>0</v>
      </c>
      <c r="AC8" s="91"/>
      <c r="AD8" s="92"/>
      <c r="AE8" s="206"/>
      <c r="AF8" s="90">
        <f t="shared" si="5"/>
        <v>0</v>
      </c>
      <c r="AG8" s="91"/>
      <c r="AH8" s="92"/>
      <c r="AI8" s="93"/>
      <c r="AJ8" s="90">
        <f t="shared" si="6"/>
        <v>0</v>
      </c>
      <c r="AK8" s="91"/>
      <c r="AL8" s="92"/>
      <c r="AM8" s="93"/>
      <c r="AN8" s="90">
        <f t="shared" si="7"/>
        <v>0</v>
      </c>
      <c r="AO8" s="91"/>
      <c r="AP8" s="92"/>
      <c r="AQ8" s="93"/>
      <c r="AR8" s="90">
        <f t="shared" si="8"/>
        <v>0</v>
      </c>
      <c r="AS8" s="91"/>
      <c r="AT8" s="92"/>
      <c r="AU8" s="93"/>
      <c r="AV8" s="90">
        <f t="shared" si="9"/>
        <v>0</v>
      </c>
      <c r="AW8" s="91"/>
      <c r="AX8" s="92"/>
      <c r="AY8" s="206"/>
      <c r="AZ8" s="90">
        <f t="shared" si="10"/>
        <v>0</v>
      </c>
      <c r="BA8" s="91"/>
      <c r="BB8" s="92"/>
      <c r="BC8" s="93"/>
      <c r="BD8" s="90">
        <f t="shared" si="11"/>
        <v>0</v>
      </c>
      <c r="BE8" s="91"/>
      <c r="BF8" s="92"/>
      <c r="BG8" s="93"/>
      <c r="BH8" s="90">
        <f t="shared" si="12"/>
        <v>0</v>
      </c>
      <c r="BI8" s="91"/>
      <c r="BJ8" s="92"/>
      <c r="BK8" s="93"/>
      <c r="BL8" s="90">
        <f t="shared" si="13"/>
        <v>0</v>
      </c>
      <c r="BM8" s="91"/>
      <c r="BN8" s="92"/>
      <c r="BO8" s="93"/>
      <c r="BP8" s="90">
        <f t="shared" si="14"/>
        <v>0</v>
      </c>
      <c r="BQ8" s="91"/>
      <c r="BR8" s="92"/>
      <c r="BS8" s="206"/>
      <c r="BT8" s="90">
        <f t="shared" si="15"/>
        <v>0</v>
      </c>
      <c r="BU8" s="91"/>
      <c r="BV8" s="92"/>
      <c r="BW8" s="93"/>
      <c r="BX8" s="90">
        <f t="shared" si="16"/>
        <v>0</v>
      </c>
      <c r="BY8" s="91"/>
      <c r="BZ8" s="92"/>
      <c r="CA8" s="93"/>
      <c r="CB8" s="90">
        <f t="shared" si="17"/>
        <v>0</v>
      </c>
      <c r="CC8" s="91"/>
      <c r="CD8" s="92"/>
      <c r="CE8" s="93"/>
      <c r="CF8" s="90">
        <f t="shared" si="18"/>
        <v>0</v>
      </c>
      <c r="CG8" s="91"/>
      <c r="CH8" s="92"/>
      <c r="CI8" s="93"/>
      <c r="CJ8" s="90">
        <f t="shared" si="19"/>
        <v>0</v>
      </c>
      <c r="CK8" s="91"/>
      <c r="CL8" s="92"/>
      <c r="CM8" s="206"/>
      <c r="CN8" s="90">
        <f t="shared" si="20"/>
        <v>0</v>
      </c>
      <c r="CO8" s="91"/>
      <c r="CP8" s="92"/>
      <c r="CQ8" s="93"/>
      <c r="CR8" s="90">
        <f t="shared" si="21"/>
        <v>0</v>
      </c>
      <c r="CS8" s="91"/>
      <c r="CT8" s="92"/>
      <c r="CU8" s="206"/>
      <c r="CV8" s="399"/>
      <c r="CW8" s="90"/>
      <c r="CX8" s="90"/>
      <c r="CY8" s="90"/>
      <c r="CZ8" s="90"/>
      <c r="DA8" s="90"/>
      <c r="DB8" s="97"/>
      <c r="DC8" s="97"/>
      <c r="DD8" s="97"/>
      <c r="DE8" s="97"/>
      <c r="DF8" s="97"/>
      <c r="DG8" s="97"/>
      <c r="DH8" s="104"/>
      <c r="DI8" s="104"/>
      <c r="DJ8" s="104"/>
      <c r="DK8" s="104"/>
      <c r="DL8" s="104"/>
      <c r="DM8" s="104"/>
      <c r="DN8" s="104"/>
      <c r="DO8" s="104"/>
      <c r="DP8" s="104"/>
      <c r="DQ8" s="104"/>
      <c r="DR8" s="104"/>
      <c r="DS8" s="399"/>
      <c r="DT8" s="90"/>
      <c r="DU8" s="97"/>
      <c r="DV8" s="97"/>
      <c r="DW8" s="97"/>
      <c r="DX8" s="97"/>
      <c r="DY8" s="97"/>
      <c r="DZ8" s="97"/>
      <c r="EA8" s="104"/>
      <c r="EB8" s="104"/>
      <c r="EC8" s="104"/>
      <c r="ED8" s="104"/>
      <c r="EE8" s="104"/>
      <c r="EF8" s="104"/>
      <c r="EG8" s="104"/>
      <c r="EH8" s="104"/>
      <c r="EI8" s="104"/>
      <c r="EJ8" s="104"/>
      <c r="EK8" s="104"/>
    </row>
    <row r="9" spans="1:141" ht="24">
      <c r="A9" s="330" t="s">
        <v>1150</v>
      </c>
      <c r="B9" s="216"/>
      <c r="C9" s="165"/>
      <c r="D9" s="535" t="s">
        <v>98</v>
      </c>
      <c r="E9" s="536">
        <v>0</v>
      </c>
      <c r="F9" s="537" t="s">
        <v>1124</v>
      </c>
      <c r="G9" s="430" t="s">
        <v>372</v>
      </c>
      <c r="H9" s="539" t="s">
        <v>98</v>
      </c>
      <c r="I9" s="539" t="s">
        <v>98</v>
      </c>
      <c r="J9" s="540">
        <v>1</v>
      </c>
      <c r="K9" s="430" t="s">
        <v>679</v>
      </c>
      <c r="L9" s="532">
        <f t="shared" si="0"/>
        <v>0</v>
      </c>
      <c r="M9" s="533"/>
      <c r="N9" s="534"/>
      <c r="O9" s="538"/>
      <c r="P9" s="532">
        <f t="shared" si="1"/>
        <v>0</v>
      </c>
      <c r="Q9" s="533"/>
      <c r="R9" s="534"/>
      <c r="S9" s="538"/>
      <c r="T9" s="532">
        <f t="shared" si="2"/>
        <v>1</v>
      </c>
      <c r="U9" s="533"/>
      <c r="V9" s="534"/>
      <c r="W9" s="538"/>
      <c r="X9" s="532">
        <f t="shared" si="3"/>
        <v>0</v>
      </c>
      <c r="Y9" s="533"/>
      <c r="Z9" s="534"/>
      <c r="AA9" s="538"/>
      <c r="AB9" s="90">
        <f t="shared" si="4"/>
        <v>0</v>
      </c>
      <c r="AC9" s="91"/>
      <c r="AD9" s="92"/>
      <c r="AE9" s="206"/>
      <c r="AF9" s="90">
        <f t="shared" si="5"/>
        <v>0</v>
      </c>
      <c r="AG9" s="91"/>
      <c r="AH9" s="92"/>
      <c r="AI9" s="93"/>
      <c r="AJ9" s="90">
        <f t="shared" si="6"/>
        <v>0</v>
      </c>
      <c r="AK9" s="91"/>
      <c r="AL9" s="92"/>
      <c r="AM9" s="93"/>
      <c r="AN9" s="90">
        <f t="shared" si="7"/>
        <v>0</v>
      </c>
      <c r="AO9" s="91"/>
      <c r="AP9" s="92"/>
      <c r="AQ9" s="93"/>
      <c r="AR9" s="90">
        <f t="shared" si="8"/>
        <v>0</v>
      </c>
      <c r="AS9" s="91"/>
      <c r="AT9" s="92"/>
      <c r="AU9" s="93"/>
      <c r="AV9" s="90">
        <f t="shared" si="9"/>
        <v>0</v>
      </c>
      <c r="AW9" s="91"/>
      <c r="AX9" s="92"/>
      <c r="AY9" s="206"/>
      <c r="AZ9" s="90">
        <f t="shared" si="10"/>
        <v>0</v>
      </c>
      <c r="BA9" s="91"/>
      <c r="BB9" s="92"/>
      <c r="BC9" s="93"/>
      <c r="BD9" s="90">
        <f t="shared" si="11"/>
        <v>0</v>
      </c>
      <c r="BE9" s="91"/>
      <c r="BF9" s="92"/>
      <c r="BG9" s="93"/>
      <c r="BH9" s="90">
        <f t="shared" si="12"/>
        <v>0</v>
      </c>
      <c r="BI9" s="91"/>
      <c r="BJ9" s="92"/>
      <c r="BK9" s="93"/>
      <c r="BL9" s="90">
        <f t="shared" si="13"/>
        <v>0</v>
      </c>
      <c r="BM9" s="91"/>
      <c r="BN9" s="92"/>
      <c r="BO9" s="93"/>
      <c r="BP9" s="90">
        <f t="shared" si="14"/>
        <v>0</v>
      </c>
      <c r="BQ9" s="91"/>
      <c r="BR9" s="92"/>
      <c r="BS9" s="206"/>
      <c r="BT9" s="90">
        <f t="shared" si="15"/>
        <v>0</v>
      </c>
      <c r="BU9" s="91"/>
      <c r="BV9" s="92"/>
      <c r="BW9" s="93"/>
      <c r="BX9" s="90">
        <f t="shared" si="16"/>
        <v>0</v>
      </c>
      <c r="BY9" s="91"/>
      <c r="BZ9" s="92"/>
      <c r="CA9" s="93"/>
      <c r="CB9" s="90">
        <f t="shared" si="17"/>
        <v>0</v>
      </c>
      <c r="CC9" s="91"/>
      <c r="CD9" s="92"/>
      <c r="CE9" s="93"/>
      <c r="CF9" s="90">
        <f t="shared" si="18"/>
        <v>0</v>
      </c>
      <c r="CG9" s="91"/>
      <c r="CH9" s="92"/>
      <c r="CI9" s="93"/>
      <c r="CJ9" s="90">
        <f t="shared" si="19"/>
        <v>0</v>
      </c>
      <c r="CK9" s="91"/>
      <c r="CL9" s="92"/>
      <c r="CM9" s="206"/>
      <c r="CN9" s="90">
        <f t="shared" si="20"/>
        <v>0</v>
      </c>
      <c r="CO9" s="91"/>
      <c r="CP9" s="92"/>
      <c r="CQ9" s="93"/>
      <c r="CR9" s="90">
        <f t="shared" si="21"/>
        <v>0</v>
      </c>
      <c r="CS9" s="91"/>
      <c r="CT9" s="92"/>
      <c r="CU9" s="206"/>
      <c r="CV9" s="399"/>
      <c r="CW9" s="90"/>
      <c r="CX9" s="90"/>
      <c r="CY9" s="90"/>
      <c r="CZ9" s="90"/>
      <c r="DA9" s="90"/>
      <c r="DB9" s="97"/>
      <c r="DC9" s="97"/>
      <c r="DD9" s="97"/>
      <c r="DE9" s="97"/>
      <c r="DF9" s="97"/>
      <c r="DG9" s="97"/>
      <c r="DH9" s="104"/>
      <c r="DI9" s="104"/>
      <c r="DJ9" s="104"/>
      <c r="DK9" s="104"/>
      <c r="DL9" s="104"/>
      <c r="DM9" s="104"/>
      <c r="DN9" s="104"/>
      <c r="DO9" s="104"/>
      <c r="DP9" s="104"/>
      <c r="DQ9" s="104"/>
      <c r="DR9" s="104"/>
      <c r="DS9" s="399"/>
      <c r="DT9" s="90"/>
      <c r="DU9" s="97"/>
      <c r="DV9" s="97"/>
      <c r="DW9" s="97"/>
      <c r="DX9" s="97"/>
      <c r="DY9" s="97"/>
      <c r="DZ9" s="97"/>
      <c r="EA9" s="104"/>
      <c r="EB9" s="104"/>
      <c r="EC9" s="104"/>
      <c r="ED9" s="104"/>
      <c r="EE9" s="104"/>
      <c r="EF9" s="104"/>
      <c r="EG9" s="104"/>
      <c r="EH9" s="104"/>
      <c r="EI9" s="104"/>
      <c r="EJ9" s="104"/>
      <c r="EK9" s="104"/>
    </row>
    <row r="10" spans="1:141" ht="24">
      <c r="A10" s="330" t="s">
        <v>1151</v>
      </c>
      <c r="B10" s="216"/>
      <c r="C10" s="165"/>
      <c r="D10" s="535" t="s">
        <v>98</v>
      </c>
      <c r="E10" s="536">
        <v>0</v>
      </c>
      <c r="F10" s="537" t="s">
        <v>1125</v>
      </c>
      <c r="G10" s="430" t="s">
        <v>372</v>
      </c>
      <c r="H10" s="539" t="s">
        <v>98</v>
      </c>
      <c r="I10" s="539" t="s">
        <v>98</v>
      </c>
      <c r="J10" s="540">
        <v>1</v>
      </c>
      <c r="K10" s="430" t="s">
        <v>679</v>
      </c>
      <c r="L10" s="532">
        <f t="shared" si="0"/>
        <v>0</v>
      </c>
      <c r="M10" s="533"/>
      <c r="N10" s="534"/>
      <c r="O10" s="538"/>
      <c r="P10" s="532">
        <f t="shared" si="1"/>
        <v>0</v>
      </c>
      <c r="Q10" s="533"/>
      <c r="R10" s="534"/>
      <c r="S10" s="538"/>
      <c r="T10" s="532">
        <f t="shared" si="2"/>
        <v>0</v>
      </c>
      <c r="U10" s="533"/>
      <c r="V10" s="534"/>
      <c r="W10" s="538"/>
      <c r="X10" s="532">
        <f t="shared" si="3"/>
        <v>1</v>
      </c>
      <c r="Y10" s="533"/>
      <c r="Z10" s="534"/>
      <c r="AA10" s="538"/>
      <c r="AB10" s="90">
        <f t="shared" si="4"/>
        <v>0</v>
      </c>
      <c r="AC10" s="91"/>
      <c r="AD10" s="92"/>
      <c r="AE10" s="206"/>
      <c r="AF10" s="90">
        <f t="shared" si="5"/>
        <v>0</v>
      </c>
      <c r="AG10" s="91"/>
      <c r="AH10" s="92"/>
      <c r="AI10" s="93"/>
      <c r="AJ10" s="90">
        <f t="shared" si="6"/>
        <v>0</v>
      </c>
      <c r="AK10" s="91"/>
      <c r="AL10" s="92"/>
      <c r="AM10" s="93"/>
      <c r="AN10" s="90">
        <f t="shared" si="7"/>
        <v>0</v>
      </c>
      <c r="AO10" s="91"/>
      <c r="AP10" s="92"/>
      <c r="AQ10" s="93"/>
      <c r="AR10" s="90">
        <f t="shared" si="8"/>
        <v>0</v>
      </c>
      <c r="AS10" s="91"/>
      <c r="AT10" s="92"/>
      <c r="AU10" s="93"/>
      <c r="AV10" s="90">
        <f t="shared" si="9"/>
        <v>0</v>
      </c>
      <c r="AW10" s="91"/>
      <c r="AX10" s="92"/>
      <c r="AY10" s="206"/>
      <c r="AZ10" s="90">
        <f t="shared" si="10"/>
        <v>0</v>
      </c>
      <c r="BA10" s="91"/>
      <c r="BB10" s="92"/>
      <c r="BC10" s="93"/>
      <c r="BD10" s="90">
        <f t="shared" si="11"/>
        <v>0</v>
      </c>
      <c r="BE10" s="91"/>
      <c r="BF10" s="92"/>
      <c r="BG10" s="93"/>
      <c r="BH10" s="90">
        <f t="shared" si="12"/>
        <v>0</v>
      </c>
      <c r="BI10" s="91"/>
      <c r="BJ10" s="92"/>
      <c r="BK10" s="93"/>
      <c r="BL10" s="90">
        <f t="shared" si="13"/>
        <v>0</v>
      </c>
      <c r="BM10" s="91"/>
      <c r="BN10" s="92"/>
      <c r="BO10" s="93"/>
      <c r="BP10" s="90">
        <f t="shared" si="14"/>
        <v>0</v>
      </c>
      <c r="BQ10" s="91"/>
      <c r="BR10" s="92"/>
      <c r="BS10" s="206"/>
      <c r="BT10" s="90">
        <f t="shared" si="15"/>
        <v>0</v>
      </c>
      <c r="BU10" s="91"/>
      <c r="BV10" s="92"/>
      <c r="BW10" s="93"/>
      <c r="BX10" s="90">
        <f t="shared" si="16"/>
        <v>0</v>
      </c>
      <c r="BY10" s="91"/>
      <c r="BZ10" s="92"/>
      <c r="CA10" s="93"/>
      <c r="CB10" s="90">
        <f t="shared" si="17"/>
        <v>0</v>
      </c>
      <c r="CC10" s="91"/>
      <c r="CD10" s="92"/>
      <c r="CE10" s="93"/>
      <c r="CF10" s="90">
        <f t="shared" si="18"/>
        <v>0</v>
      </c>
      <c r="CG10" s="91"/>
      <c r="CH10" s="92"/>
      <c r="CI10" s="93"/>
      <c r="CJ10" s="90">
        <f t="shared" si="19"/>
        <v>0</v>
      </c>
      <c r="CK10" s="91"/>
      <c r="CL10" s="92"/>
      <c r="CM10" s="206"/>
      <c r="CN10" s="90">
        <f t="shared" si="20"/>
        <v>0</v>
      </c>
      <c r="CO10" s="91"/>
      <c r="CP10" s="92"/>
      <c r="CQ10" s="93"/>
      <c r="CR10" s="90">
        <f t="shared" si="21"/>
        <v>0</v>
      </c>
      <c r="CS10" s="91"/>
      <c r="CT10" s="92"/>
      <c r="CU10" s="206"/>
      <c r="CV10" s="399"/>
      <c r="CW10" s="90"/>
      <c r="CX10" s="90"/>
      <c r="CY10" s="90"/>
      <c r="CZ10" s="90"/>
      <c r="DA10" s="90"/>
      <c r="DB10" s="97"/>
      <c r="DC10" s="97"/>
      <c r="DD10" s="97"/>
      <c r="DE10" s="97"/>
      <c r="DF10" s="97"/>
      <c r="DG10" s="97"/>
      <c r="DH10" s="104"/>
      <c r="DI10" s="104"/>
      <c r="DJ10" s="104"/>
      <c r="DK10" s="104"/>
      <c r="DL10" s="104"/>
      <c r="DM10" s="104"/>
      <c r="DN10" s="104"/>
      <c r="DO10" s="104"/>
      <c r="DP10" s="104"/>
      <c r="DQ10" s="104"/>
      <c r="DR10" s="104"/>
      <c r="DS10" s="399"/>
      <c r="DT10" s="90"/>
      <c r="DU10" s="97"/>
      <c r="DV10" s="97"/>
      <c r="DW10" s="97"/>
      <c r="DX10" s="97"/>
      <c r="DY10" s="97"/>
      <c r="DZ10" s="97"/>
      <c r="EA10" s="104"/>
      <c r="EB10" s="104"/>
      <c r="EC10" s="104"/>
      <c r="ED10" s="104"/>
      <c r="EE10" s="104"/>
      <c r="EF10" s="104"/>
      <c r="EG10" s="104"/>
      <c r="EH10" s="104"/>
      <c r="EI10" s="104"/>
      <c r="EJ10" s="104"/>
      <c r="EK10" s="104"/>
    </row>
    <row r="11" spans="1:141" ht="36">
      <c r="A11" s="330" t="s">
        <v>1152</v>
      </c>
      <c r="B11" s="216"/>
      <c r="C11" s="165"/>
      <c r="D11" s="535" t="s">
        <v>98</v>
      </c>
      <c r="E11" s="536">
        <v>0</v>
      </c>
      <c r="F11" s="537" t="s">
        <v>1126</v>
      </c>
      <c r="G11" s="430" t="s">
        <v>372</v>
      </c>
      <c r="H11" s="539" t="s">
        <v>98</v>
      </c>
      <c r="I11" s="539" t="s">
        <v>98</v>
      </c>
      <c r="J11" s="540">
        <v>1</v>
      </c>
      <c r="K11" s="430" t="s">
        <v>679</v>
      </c>
      <c r="L11" s="532">
        <f t="shared" si="0"/>
        <v>0</v>
      </c>
      <c r="M11" s="533"/>
      <c r="N11" s="534"/>
      <c r="O11" s="538"/>
      <c r="P11" s="532">
        <f t="shared" si="1"/>
        <v>0</v>
      </c>
      <c r="Q11" s="533"/>
      <c r="R11" s="534"/>
      <c r="S11" s="538"/>
      <c r="T11" s="532">
        <f t="shared" si="2"/>
        <v>0</v>
      </c>
      <c r="U11" s="533"/>
      <c r="V11" s="534"/>
      <c r="W11" s="538"/>
      <c r="X11" s="532">
        <f t="shared" si="3"/>
        <v>0</v>
      </c>
      <c r="Y11" s="533"/>
      <c r="Z11" s="534"/>
      <c r="AA11" s="538"/>
      <c r="AB11" s="90">
        <f t="shared" si="4"/>
        <v>1</v>
      </c>
      <c r="AC11" s="91"/>
      <c r="AD11" s="92"/>
      <c r="AE11" s="206"/>
      <c r="AF11" s="90">
        <f t="shared" si="5"/>
        <v>0</v>
      </c>
      <c r="AG11" s="91"/>
      <c r="AH11" s="92"/>
      <c r="AI11" s="93"/>
      <c r="AJ11" s="90">
        <f t="shared" si="6"/>
        <v>0</v>
      </c>
      <c r="AK11" s="91"/>
      <c r="AL11" s="92"/>
      <c r="AM11" s="93"/>
      <c r="AN11" s="90">
        <f t="shared" si="7"/>
        <v>0</v>
      </c>
      <c r="AO11" s="91"/>
      <c r="AP11" s="92"/>
      <c r="AQ11" s="93"/>
      <c r="AR11" s="90">
        <f t="shared" si="8"/>
        <v>0</v>
      </c>
      <c r="AS11" s="91"/>
      <c r="AT11" s="92"/>
      <c r="AU11" s="93"/>
      <c r="AV11" s="90">
        <f t="shared" si="9"/>
        <v>0</v>
      </c>
      <c r="AW11" s="91"/>
      <c r="AX11" s="92"/>
      <c r="AY11" s="206"/>
      <c r="AZ11" s="90">
        <f t="shared" si="10"/>
        <v>0</v>
      </c>
      <c r="BA11" s="91"/>
      <c r="BB11" s="92"/>
      <c r="BC11" s="93"/>
      <c r="BD11" s="90">
        <f t="shared" si="11"/>
        <v>0</v>
      </c>
      <c r="BE11" s="91"/>
      <c r="BF11" s="92"/>
      <c r="BG11" s="93"/>
      <c r="BH11" s="90">
        <f t="shared" si="12"/>
        <v>0</v>
      </c>
      <c r="BI11" s="91"/>
      <c r="BJ11" s="92"/>
      <c r="BK11" s="93"/>
      <c r="BL11" s="90">
        <f t="shared" si="13"/>
        <v>0</v>
      </c>
      <c r="BM11" s="91"/>
      <c r="BN11" s="92"/>
      <c r="BO11" s="93"/>
      <c r="BP11" s="90">
        <f t="shared" si="14"/>
        <v>0</v>
      </c>
      <c r="BQ11" s="91"/>
      <c r="BR11" s="92"/>
      <c r="BS11" s="206"/>
      <c r="BT11" s="90">
        <f t="shared" si="15"/>
        <v>0</v>
      </c>
      <c r="BU11" s="91"/>
      <c r="BV11" s="92"/>
      <c r="BW11" s="93"/>
      <c r="BX11" s="90">
        <f t="shared" si="16"/>
        <v>0</v>
      </c>
      <c r="BY11" s="91"/>
      <c r="BZ11" s="92"/>
      <c r="CA11" s="93"/>
      <c r="CB11" s="90">
        <f t="shared" si="17"/>
        <v>0</v>
      </c>
      <c r="CC11" s="91"/>
      <c r="CD11" s="92"/>
      <c r="CE11" s="93"/>
      <c r="CF11" s="90">
        <f t="shared" si="18"/>
        <v>0</v>
      </c>
      <c r="CG11" s="91"/>
      <c r="CH11" s="92"/>
      <c r="CI11" s="93"/>
      <c r="CJ11" s="90">
        <f t="shared" si="19"/>
        <v>0</v>
      </c>
      <c r="CK11" s="91"/>
      <c r="CL11" s="92"/>
      <c r="CM11" s="206"/>
      <c r="CN11" s="90">
        <f t="shared" si="20"/>
        <v>0</v>
      </c>
      <c r="CO11" s="91"/>
      <c r="CP11" s="92"/>
      <c r="CQ11" s="93"/>
      <c r="CR11" s="90">
        <f t="shared" si="21"/>
        <v>0</v>
      </c>
      <c r="CS11" s="91"/>
      <c r="CT11" s="92"/>
      <c r="CU11" s="206"/>
      <c r="CV11" s="399"/>
      <c r="CW11" s="90"/>
      <c r="CX11" s="90"/>
      <c r="CY11" s="90"/>
      <c r="CZ11" s="90"/>
      <c r="DA11" s="90"/>
      <c r="DB11" s="97"/>
      <c r="DC11" s="97"/>
      <c r="DD11" s="97"/>
      <c r="DE11" s="97"/>
      <c r="DF11" s="97"/>
      <c r="DG11" s="97"/>
      <c r="DH11" s="104"/>
      <c r="DI11" s="104"/>
      <c r="DJ11" s="104"/>
      <c r="DK11" s="104"/>
      <c r="DL11" s="104"/>
      <c r="DM11" s="104"/>
      <c r="DN11" s="104"/>
      <c r="DO11" s="104"/>
      <c r="DP11" s="104"/>
      <c r="DQ11" s="104"/>
      <c r="DR11" s="104"/>
      <c r="DS11" s="399"/>
      <c r="DT11" s="90"/>
      <c r="DU11" s="97"/>
      <c r="DV11" s="97"/>
      <c r="DW11" s="97"/>
      <c r="DX11" s="97"/>
      <c r="DY11" s="97"/>
      <c r="DZ11" s="97"/>
      <c r="EA11" s="104"/>
      <c r="EB11" s="104"/>
      <c r="EC11" s="104"/>
      <c r="ED11" s="104"/>
      <c r="EE11" s="104"/>
      <c r="EF11" s="104"/>
      <c r="EG11" s="104"/>
      <c r="EH11" s="104"/>
      <c r="EI11" s="104"/>
      <c r="EJ11" s="104"/>
      <c r="EK11" s="104"/>
    </row>
    <row r="12" spans="1:141" ht="24">
      <c r="A12" s="330" t="s">
        <v>1153</v>
      </c>
      <c r="B12" s="216"/>
      <c r="C12" s="165"/>
      <c r="D12" s="535" t="s">
        <v>98</v>
      </c>
      <c r="E12" s="536">
        <v>0</v>
      </c>
      <c r="F12" s="537" t="s">
        <v>1127</v>
      </c>
      <c r="G12" s="430" t="s">
        <v>215</v>
      </c>
      <c r="H12" s="539" t="s">
        <v>98</v>
      </c>
      <c r="I12" s="539" t="s">
        <v>98</v>
      </c>
      <c r="J12" s="540">
        <v>1</v>
      </c>
      <c r="K12" s="430" t="s">
        <v>679</v>
      </c>
      <c r="L12" s="532">
        <f t="shared" si="0"/>
        <v>0</v>
      </c>
      <c r="M12" s="533"/>
      <c r="N12" s="534"/>
      <c r="O12" s="538"/>
      <c r="P12" s="532">
        <f t="shared" si="1"/>
        <v>0</v>
      </c>
      <c r="Q12" s="533"/>
      <c r="R12" s="534"/>
      <c r="S12" s="538"/>
      <c r="T12" s="532">
        <f t="shared" si="2"/>
        <v>0</v>
      </c>
      <c r="U12" s="533"/>
      <c r="V12" s="534"/>
      <c r="W12" s="538"/>
      <c r="X12" s="532">
        <f t="shared" si="3"/>
        <v>0</v>
      </c>
      <c r="Y12" s="533"/>
      <c r="Z12" s="534"/>
      <c r="AA12" s="538"/>
      <c r="AB12" s="90">
        <f t="shared" si="4"/>
        <v>0</v>
      </c>
      <c r="AC12" s="91"/>
      <c r="AD12" s="92"/>
      <c r="AE12" s="206"/>
      <c r="AF12" s="90">
        <f t="shared" si="5"/>
        <v>1</v>
      </c>
      <c r="AG12" s="91"/>
      <c r="AH12" s="92"/>
      <c r="AI12" s="93"/>
      <c r="AJ12" s="90">
        <f t="shared" si="6"/>
        <v>0</v>
      </c>
      <c r="AK12" s="91"/>
      <c r="AL12" s="92"/>
      <c r="AM12" s="93"/>
      <c r="AN12" s="90">
        <f t="shared" si="7"/>
        <v>0</v>
      </c>
      <c r="AO12" s="91"/>
      <c r="AP12" s="92"/>
      <c r="AQ12" s="93"/>
      <c r="AR12" s="90">
        <f t="shared" si="8"/>
        <v>0</v>
      </c>
      <c r="AS12" s="91"/>
      <c r="AT12" s="92"/>
      <c r="AU12" s="93"/>
      <c r="AV12" s="90">
        <f t="shared" si="9"/>
        <v>0</v>
      </c>
      <c r="AW12" s="91"/>
      <c r="AX12" s="92"/>
      <c r="AY12" s="206"/>
      <c r="AZ12" s="90">
        <f t="shared" si="10"/>
        <v>0</v>
      </c>
      <c r="BA12" s="91"/>
      <c r="BB12" s="92"/>
      <c r="BC12" s="93"/>
      <c r="BD12" s="90">
        <f t="shared" si="11"/>
        <v>0</v>
      </c>
      <c r="BE12" s="91"/>
      <c r="BF12" s="92"/>
      <c r="BG12" s="93"/>
      <c r="BH12" s="90">
        <f t="shared" si="12"/>
        <v>0</v>
      </c>
      <c r="BI12" s="91"/>
      <c r="BJ12" s="92"/>
      <c r="BK12" s="93"/>
      <c r="BL12" s="90">
        <f t="shared" si="13"/>
        <v>0</v>
      </c>
      <c r="BM12" s="91"/>
      <c r="BN12" s="92"/>
      <c r="BO12" s="93"/>
      <c r="BP12" s="90">
        <f t="shared" si="14"/>
        <v>0</v>
      </c>
      <c r="BQ12" s="91"/>
      <c r="BR12" s="92"/>
      <c r="BS12" s="206"/>
      <c r="BT12" s="90">
        <f t="shared" si="15"/>
        <v>0</v>
      </c>
      <c r="BU12" s="91"/>
      <c r="BV12" s="92"/>
      <c r="BW12" s="93"/>
      <c r="BX12" s="90">
        <f t="shared" si="16"/>
        <v>0</v>
      </c>
      <c r="BY12" s="91"/>
      <c r="BZ12" s="92"/>
      <c r="CA12" s="93"/>
      <c r="CB12" s="90">
        <f t="shared" si="17"/>
        <v>0</v>
      </c>
      <c r="CC12" s="91"/>
      <c r="CD12" s="92"/>
      <c r="CE12" s="93"/>
      <c r="CF12" s="90">
        <f t="shared" si="18"/>
        <v>0</v>
      </c>
      <c r="CG12" s="91"/>
      <c r="CH12" s="92"/>
      <c r="CI12" s="93"/>
      <c r="CJ12" s="90">
        <f t="shared" si="19"/>
        <v>0</v>
      </c>
      <c r="CK12" s="91"/>
      <c r="CL12" s="92"/>
      <c r="CM12" s="206"/>
      <c r="CN12" s="90">
        <f t="shared" si="20"/>
        <v>0</v>
      </c>
      <c r="CO12" s="91"/>
      <c r="CP12" s="92"/>
      <c r="CQ12" s="93"/>
      <c r="CR12" s="90">
        <f t="shared" si="21"/>
        <v>0</v>
      </c>
      <c r="CS12" s="91"/>
      <c r="CT12" s="92"/>
      <c r="CU12" s="206"/>
      <c r="CV12" s="399"/>
      <c r="CW12" s="90"/>
      <c r="CX12" s="90"/>
      <c r="CY12" s="90"/>
      <c r="CZ12" s="90"/>
      <c r="DA12" s="90"/>
      <c r="DB12" s="97"/>
      <c r="DC12" s="97"/>
      <c r="DD12" s="97"/>
      <c r="DE12" s="97"/>
      <c r="DF12" s="97"/>
      <c r="DG12" s="97"/>
      <c r="DH12" s="104"/>
      <c r="DI12" s="104"/>
      <c r="DJ12" s="104"/>
      <c r="DK12" s="104"/>
      <c r="DL12" s="104"/>
      <c r="DM12" s="104"/>
      <c r="DN12" s="104"/>
      <c r="DO12" s="104"/>
      <c r="DP12" s="104"/>
      <c r="DQ12" s="104"/>
      <c r="DR12" s="104"/>
      <c r="DS12" s="399"/>
      <c r="DT12" s="90"/>
      <c r="DU12" s="97"/>
      <c r="DV12" s="97"/>
      <c r="DW12" s="97"/>
      <c r="DX12" s="97"/>
      <c r="DY12" s="97"/>
      <c r="DZ12" s="97"/>
      <c r="EA12" s="104"/>
      <c r="EB12" s="104"/>
      <c r="EC12" s="104"/>
      <c r="ED12" s="104"/>
      <c r="EE12" s="104"/>
      <c r="EF12" s="104"/>
      <c r="EG12" s="104"/>
      <c r="EH12" s="104"/>
      <c r="EI12" s="104"/>
      <c r="EJ12" s="104"/>
      <c r="EK12" s="104"/>
    </row>
    <row r="13" spans="1:141" ht="24">
      <c r="A13" s="330" t="s">
        <v>1154</v>
      </c>
      <c r="B13" s="216"/>
      <c r="C13" s="165"/>
      <c r="D13" s="535" t="s">
        <v>98</v>
      </c>
      <c r="E13" s="536">
        <v>0</v>
      </c>
      <c r="F13" s="537" t="s">
        <v>1128</v>
      </c>
      <c r="G13" s="430" t="s">
        <v>215</v>
      </c>
      <c r="H13" s="539" t="s">
        <v>98</v>
      </c>
      <c r="I13" s="539" t="s">
        <v>98</v>
      </c>
      <c r="J13" s="540">
        <v>1</v>
      </c>
      <c r="K13" s="430" t="s">
        <v>679</v>
      </c>
      <c r="L13" s="532">
        <f t="shared" si="0"/>
        <v>0</v>
      </c>
      <c r="M13" s="533"/>
      <c r="N13" s="534"/>
      <c r="O13" s="538"/>
      <c r="P13" s="532">
        <f t="shared" si="1"/>
        <v>0</v>
      </c>
      <c r="Q13" s="533"/>
      <c r="R13" s="534"/>
      <c r="S13" s="538"/>
      <c r="T13" s="532">
        <f t="shared" si="2"/>
        <v>0</v>
      </c>
      <c r="U13" s="533"/>
      <c r="V13" s="534"/>
      <c r="W13" s="538"/>
      <c r="X13" s="532">
        <f t="shared" si="3"/>
        <v>0</v>
      </c>
      <c r="Y13" s="533"/>
      <c r="Z13" s="534"/>
      <c r="AA13" s="538"/>
      <c r="AB13" s="90">
        <f t="shared" si="4"/>
        <v>0</v>
      </c>
      <c r="AC13" s="91"/>
      <c r="AD13" s="92"/>
      <c r="AE13" s="206"/>
      <c r="AF13" s="90">
        <f t="shared" si="5"/>
        <v>0</v>
      </c>
      <c r="AG13" s="91"/>
      <c r="AH13" s="92"/>
      <c r="AI13" s="93"/>
      <c r="AJ13" s="90">
        <f t="shared" si="6"/>
        <v>1</v>
      </c>
      <c r="AK13" s="91"/>
      <c r="AL13" s="92"/>
      <c r="AM13" s="93"/>
      <c r="AN13" s="90">
        <f t="shared" si="7"/>
        <v>0</v>
      </c>
      <c r="AO13" s="91"/>
      <c r="AP13" s="92"/>
      <c r="AQ13" s="93"/>
      <c r="AR13" s="90">
        <f t="shared" si="8"/>
        <v>0</v>
      </c>
      <c r="AS13" s="91"/>
      <c r="AT13" s="92"/>
      <c r="AU13" s="93"/>
      <c r="AV13" s="90">
        <f t="shared" si="9"/>
        <v>0</v>
      </c>
      <c r="AW13" s="91"/>
      <c r="AX13" s="92"/>
      <c r="AY13" s="206"/>
      <c r="AZ13" s="90">
        <f t="shared" si="10"/>
        <v>0</v>
      </c>
      <c r="BA13" s="91"/>
      <c r="BB13" s="92"/>
      <c r="BC13" s="93"/>
      <c r="BD13" s="90">
        <f t="shared" si="11"/>
        <v>0</v>
      </c>
      <c r="BE13" s="91"/>
      <c r="BF13" s="92"/>
      <c r="BG13" s="93"/>
      <c r="BH13" s="90">
        <f t="shared" si="12"/>
        <v>0</v>
      </c>
      <c r="BI13" s="91"/>
      <c r="BJ13" s="92"/>
      <c r="BK13" s="93"/>
      <c r="BL13" s="90">
        <f t="shared" si="13"/>
        <v>0</v>
      </c>
      <c r="BM13" s="91"/>
      <c r="BN13" s="92"/>
      <c r="BO13" s="93"/>
      <c r="BP13" s="90">
        <f t="shared" si="14"/>
        <v>0</v>
      </c>
      <c r="BQ13" s="91"/>
      <c r="BR13" s="92"/>
      <c r="BS13" s="206"/>
      <c r="BT13" s="90">
        <f t="shared" si="15"/>
        <v>0</v>
      </c>
      <c r="BU13" s="91"/>
      <c r="BV13" s="92"/>
      <c r="BW13" s="93"/>
      <c r="BX13" s="90">
        <f t="shared" si="16"/>
        <v>0</v>
      </c>
      <c r="BY13" s="91"/>
      <c r="BZ13" s="92"/>
      <c r="CA13" s="93"/>
      <c r="CB13" s="90">
        <f t="shared" si="17"/>
        <v>0</v>
      </c>
      <c r="CC13" s="91"/>
      <c r="CD13" s="92"/>
      <c r="CE13" s="93"/>
      <c r="CF13" s="90">
        <f t="shared" si="18"/>
        <v>0</v>
      </c>
      <c r="CG13" s="91"/>
      <c r="CH13" s="92"/>
      <c r="CI13" s="93"/>
      <c r="CJ13" s="90">
        <f t="shared" si="19"/>
        <v>0</v>
      </c>
      <c r="CK13" s="91"/>
      <c r="CL13" s="92"/>
      <c r="CM13" s="206"/>
      <c r="CN13" s="90">
        <f t="shared" si="20"/>
        <v>0</v>
      </c>
      <c r="CO13" s="91"/>
      <c r="CP13" s="92"/>
      <c r="CQ13" s="93"/>
      <c r="CR13" s="90">
        <f t="shared" si="21"/>
        <v>0</v>
      </c>
      <c r="CS13" s="91"/>
      <c r="CT13" s="92"/>
      <c r="CU13" s="206"/>
      <c r="CV13" s="399"/>
      <c r="CW13" s="90"/>
      <c r="CX13" s="90"/>
      <c r="CY13" s="90"/>
      <c r="CZ13" s="90"/>
      <c r="DA13" s="90"/>
      <c r="DB13" s="97"/>
      <c r="DC13" s="97"/>
      <c r="DD13" s="97"/>
      <c r="DE13" s="97"/>
      <c r="DF13" s="97"/>
      <c r="DG13" s="97"/>
      <c r="DH13" s="104"/>
      <c r="DI13" s="104"/>
      <c r="DJ13" s="104"/>
      <c r="DK13" s="104"/>
      <c r="DL13" s="104"/>
      <c r="DM13" s="104"/>
      <c r="DN13" s="104"/>
      <c r="DO13" s="104"/>
      <c r="DP13" s="104"/>
      <c r="DQ13" s="104"/>
      <c r="DR13" s="104"/>
      <c r="DS13" s="399"/>
      <c r="DT13" s="90"/>
      <c r="DU13" s="97"/>
      <c r="DV13" s="97"/>
      <c r="DW13" s="97"/>
      <c r="DX13" s="97"/>
      <c r="DY13" s="97"/>
      <c r="DZ13" s="97"/>
      <c r="EA13" s="104"/>
      <c r="EB13" s="104"/>
      <c r="EC13" s="104"/>
      <c r="ED13" s="104"/>
      <c r="EE13" s="104"/>
      <c r="EF13" s="104"/>
      <c r="EG13" s="104"/>
      <c r="EH13" s="104"/>
      <c r="EI13" s="104"/>
      <c r="EJ13" s="104"/>
      <c r="EK13" s="104"/>
    </row>
    <row r="14" spans="1:141" ht="24">
      <c r="A14" s="330" t="s">
        <v>1155</v>
      </c>
      <c r="B14" s="216"/>
      <c r="C14" s="165"/>
      <c r="D14" s="535" t="s">
        <v>98</v>
      </c>
      <c r="E14" s="536">
        <v>0</v>
      </c>
      <c r="F14" s="537" t="s">
        <v>1129</v>
      </c>
      <c r="G14" s="430" t="s">
        <v>215</v>
      </c>
      <c r="H14" s="539" t="s">
        <v>98</v>
      </c>
      <c r="I14" s="539" t="s">
        <v>98</v>
      </c>
      <c r="J14" s="540">
        <v>1</v>
      </c>
      <c r="K14" s="430" t="s">
        <v>679</v>
      </c>
      <c r="L14" s="532">
        <f t="shared" si="0"/>
        <v>0</v>
      </c>
      <c r="M14" s="533"/>
      <c r="N14" s="534"/>
      <c r="O14" s="538"/>
      <c r="P14" s="532">
        <f t="shared" si="1"/>
        <v>0</v>
      </c>
      <c r="Q14" s="533"/>
      <c r="R14" s="534"/>
      <c r="S14" s="538"/>
      <c r="T14" s="532">
        <f t="shared" si="2"/>
        <v>0</v>
      </c>
      <c r="U14" s="533"/>
      <c r="V14" s="534"/>
      <c r="W14" s="538"/>
      <c r="X14" s="532">
        <f t="shared" si="3"/>
        <v>0</v>
      </c>
      <c r="Y14" s="533"/>
      <c r="Z14" s="534"/>
      <c r="AA14" s="538"/>
      <c r="AB14" s="90">
        <f t="shared" si="4"/>
        <v>0</v>
      </c>
      <c r="AC14" s="91"/>
      <c r="AD14" s="92"/>
      <c r="AE14" s="206"/>
      <c r="AF14" s="90">
        <f t="shared" si="5"/>
        <v>0</v>
      </c>
      <c r="AG14" s="91"/>
      <c r="AH14" s="92"/>
      <c r="AI14" s="93"/>
      <c r="AJ14" s="90">
        <f t="shared" si="6"/>
        <v>0</v>
      </c>
      <c r="AK14" s="91"/>
      <c r="AL14" s="92"/>
      <c r="AM14" s="93"/>
      <c r="AN14" s="90">
        <f t="shared" si="7"/>
        <v>1</v>
      </c>
      <c r="AO14" s="91"/>
      <c r="AP14" s="92"/>
      <c r="AQ14" s="93"/>
      <c r="AR14" s="90">
        <f t="shared" si="8"/>
        <v>0</v>
      </c>
      <c r="AS14" s="91"/>
      <c r="AT14" s="92"/>
      <c r="AU14" s="93"/>
      <c r="AV14" s="90">
        <f t="shared" si="9"/>
        <v>0</v>
      </c>
      <c r="AW14" s="91"/>
      <c r="AX14" s="92"/>
      <c r="AY14" s="206"/>
      <c r="AZ14" s="90">
        <f t="shared" si="10"/>
        <v>0</v>
      </c>
      <c r="BA14" s="91"/>
      <c r="BB14" s="92"/>
      <c r="BC14" s="93"/>
      <c r="BD14" s="90">
        <f t="shared" si="11"/>
        <v>0</v>
      </c>
      <c r="BE14" s="91"/>
      <c r="BF14" s="92"/>
      <c r="BG14" s="93"/>
      <c r="BH14" s="90">
        <f t="shared" si="12"/>
        <v>0</v>
      </c>
      <c r="BI14" s="91"/>
      <c r="BJ14" s="92"/>
      <c r="BK14" s="93"/>
      <c r="BL14" s="90">
        <f t="shared" si="13"/>
        <v>0</v>
      </c>
      <c r="BM14" s="91"/>
      <c r="BN14" s="92"/>
      <c r="BO14" s="93"/>
      <c r="BP14" s="90">
        <f t="shared" si="14"/>
        <v>0</v>
      </c>
      <c r="BQ14" s="91"/>
      <c r="BR14" s="92"/>
      <c r="BS14" s="206"/>
      <c r="BT14" s="90">
        <f t="shared" si="15"/>
        <v>0</v>
      </c>
      <c r="BU14" s="91"/>
      <c r="BV14" s="92"/>
      <c r="BW14" s="93"/>
      <c r="BX14" s="90">
        <f t="shared" si="16"/>
        <v>0</v>
      </c>
      <c r="BY14" s="91"/>
      <c r="BZ14" s="92"/>
      <c r="CA14" s="93"/>
      <c r="CB14" s="90">
        <f t="shared" si="17"/>
        <v>0</v>
      </c>
      <c r="CC14" s="91"/>
      <c r="CD14" s="92"/>
      <c r="CE14" s="93"/>
      <c r="CF14" s="90">
        <f t="shared" si="18"/>
        <v>0</v>
      </c>
      <c r="CG14" s="91"/>
      <c r="CH14" s="92"/>
      <c r="CI14" s="93"/>
      <c r="CJ14" s="90">
        <f t="shared" si="19"/>
        <v>0</v>
      </c>
      <c r="CK14" s="91"/>
      <c r="CL14" s="92"/>
      <c r="CM14" s="206"/>
      <c r="CN14" s="90">
        <f t="shared" si="20"/>
        <v>0</v>
      </c>
      <c r="CO14" s="91"/>
      <c r="CP14" s="92"/>
      <c r="CQ14" s="93"/>
      <c r="CR14" s="90">
        <f t="shared" si="21"/>
        <v>0</v>
      </c>
      <c r="CS14" s="91"/>
      <c r="CT14" s="92"/>
      <c r="CU14" s="206"/>
      <c r="CV14" s="399"/>
      <c r="CW14" s="90"/>
      <c r="CX14" s="90"/>
      <c r="CY14" s="90"/>
      <c r="CZ14" s="90"/>
      <c r="DA14" s="90"/>
      <c r="DB14" s="97"/>
      <c r="DC14" s="97"/>
      <c r="DD14" s="97"/>
      <c r="DE14" s="97"/>
      <c r="DF14" s="97"/>
      <c r="DG14" s="97"/>
      <c r="DH14" s="104"/>
      <c r="DI14" s="104"/>
      <c r="DJ14" s="104"/>
      <c r="DK14" s="104"/>
      <c r="DL14" s="104"/>
      <c r="DM14" s="104"/>
      <c r="DN14" s="104"/>
      <c r="DO14" s="104"/>
      <c r="DP14" s="104"/>
      <c r="DQ14" s="104"/>
      <c r="DR14" s="104"/>
      <c r="DS14" s="399"/>
      <c r="DT14" s="90"/>
      <c r="DU14" s="97"/>
      <c r="DV14" s="97"/>
      <c r="DW14" s="97"/>
      <c r="DX14" s="97"/>
      <c r="DY14" s="97"/>
      <c r="DZ14" s="97"/>
      <c r="EA14" s="104"/>
      <c r="EB14" s="104"/>
      <c r="EC14" s="104"/>
      <c r="ED14" s="104"/>
      <c r="EE14" s="104"/>
      <c r="EF14" s="104"/>
      <c r="EG14" s="104"/>
      <c r="EH14" s="104"/>
      <c r="EI14" s="104"/>
      <c r="EJ14" s="104"/>
      <c r="EK14" s="104"/>
    </row>
    <row r="15" spans="1:141" ht="24">
      <c r="A15" s="330" t="s">
        <v>1156</v>
      </c>
      <c r="B15" s="216"/>
      <c r="C15" s="165"/>
      <c r="D15" s="535" t="s">
        <v>98</v>
      </c>
      <c r="E15" s="536">
        <v>0</v>
      </c>
      <c r="F15" s="537" t="s">
        <v>1130</v>
      </c>
      <c r="G15" s="430" t="s">
        <v>215</v>
      </c>
      <c r="H15" s="539" t="s">
        <v>98</v>
      </c>
      <c r="I15" s="539" t="s">
        <v>98</v>
      </c>
      <c r="J15" s="540">
        <v>1</v>
      </c>
      <c r="K15" s="430" t="s">
        <v>679</v>
      </c>
      <c r="L15" s="532">
        <f t="shared" si="0"/>
        <v>0</v>
      </c>
      <c r="M15" s="533"/>
      <c r="N15" s="534"/>
      <c r="O15" s="538"/>
      <c r="P15" s="532">
        <f t="shared" si="1"/>
        <v>0</v>
      </c>
      <c r="Q15" s="533"/>
      <c r="R15" s="534"/>
      <c r="S15" s="538"/>
      <c r="T15" s="532">
        <f t="shared" si="2"/>
        <v>0</v>
      </c>
      <c r="U15" s="533"/>
      <c r="V15" s="534"/>
      <c r="W15" s="538"/>
      <c r="X15" s="532">
        <f t="shared" si="3"/>
        <v>0</v>
      </c>
      <c r="Y15" s="533"/>
      <c r="Z15" s="534"/>
      <c r="AA15" s="538"/>
      <c r="AB15" s="90">
        <f t="shared" si="4"/>
        <v>0</v>
      </c>
      <c r="AC15" s="91"/>
      <c r="AD15" s="92"/>
      <c r="AE15" s="206"/>
      <c r="AF15" s="90">
        <f t="shared" si="5"/>
        <v>0</v>
      </c>
      <c r="AG15" s="91"/>
      <c r="AH15" s="92"/>
      <c r="AI15" s="93"/>
      <c r="AJ15" s="90">
        <f t="shared" si="6"/>
        <v>0</v>
      </c>
      <c r="AK15" s="91"/>
      <c r="AL15" s="92"/>
      <c r="AM15" s="93"/>
      <c r="AN15" s="90">
        <f t="shared" si="7"/>
        <v>0</v>
      </c>
      <c r="AO15" s="91"/>
      <c r="AP15" s="92"/>
      <c r="AQ15" s="93"/>
      <c r="AR15" s="90">
        <f t="shared" si="8"/>
        <v>1</v>
      </c>
      <c r="AS15" s="91"/>
      <c r="AT15" s="92"/>
      <c r="AU15" s="93"/>
      <c r="AV15" s="90">
        <f t="shared" si="9"/>
        <v>0</v>
      </c>
      <c r="AW15" s="91"/>
      <c r="AX15" s="92"/>
      <c r="AY15" s="206"/>
      <c r="AZ15" s="90">
        <f t="shared" si="10"/>
        <v>0</v>
      </c>
      <c r="BA15" s="91"/>
      <c r="BB15" s="92"/>
      <c r="BC15" s="93"/>
      <c r="BD15" s="90">
        <f t="shared" si="11"/>
        <v>0</v>
      </c>
      <c r="BE15" s="91"/>
      <c r="BF15" s="92"/>
      <c r="BG15" s="93"/>
      <c r="BH15" s="90">
        <f t="shared" si="12"/>
        <v>0</v>
      </c>
      <c r="BI15" s="91"/>
      <c r="BJ15" s="92"/>
      <c r="BK15" s="93"/>
      <c r="BL15" s="90">
        <f t="shared" si="13"/>
        <v>0</v>
      </c>
      <c r="BM15" s="91"/>
      <c r="BN15" s="92"/>
      <c r="BO15" s="93"/>
      <c r="BP15" s="90">
        <f t="shared" si="14"/>
        <v>0</v>
      </c>
      <c r="BQ15" s="91"/>
      <c r="BR15" s="92"/>
      <c r="BS15" s="206"/>
      <c r="BT15" s="90">
        <f t="shared" si="15"/>
        <v>0</v>
      </c>
      <c r="BU15" s="91"/>
      <c r="BV15" s="92"/>
      <c r="BW15" s="93"/>
      <c r="BX15" s="90">
        <f t="shared" si="16"/>
        <v>0</v>
      </c>
      <c r="BY15" s="91"/>
      <c r="BZ15" s="92"/>
      <c r="CA15" s="93"/>
      <c r="CB15" s="90">
        <f t="shared" si="17"/>
        <v>0</v>
      </c>
      <c r="CC15" s="91"/>
      <c r="CD15" s="92"/>
      <c r="CE15" s="93"/>
      <c r="CF15" s="90">
        <f t="shared" si="18"/>
        <v>0</v>
      </c>
      <c r="CG15" s="91"/>
      <c r="CH15" s="92"/>
      <c r="CI15" s="93"/>
      <c r="CJ15" s="90">
        <f t="shared" si="19"/>
        <v>0</v>
      </c>
      <c r="CK15" s="91"/>
      <c r="CL15" s="92"/>
      <c r="CM15" s="206"/>
      <c r="CN15" s="90">
        <f t="shared" si="20"/>
        <v>0</v>
      </c>
      <c r="CO15" s="91"/>
      <c r="CP15" s="92"/>
      <c r="CQ15" s="93"/>
      <c r="CR15" s="90">
        <f t="shared" si="21"/>
        <v>0</v>
      </c>
      <c r="CS15" s="91"/>
      <c r="CT15" s="92"/>
      <c r="CU15" s="206"/>
      <c r="CV15" s="399"/>
      <c r="CW15" s="90"/>
      <c r="CX15" s="90"/>
      <c r="CY15" s="90"/>
      <c r="CZ15" s="90"/>
      <c r="DA15" s="90"/>
      <c r="DB15" s="97"/>
      <c r="DC15" s="97"/>
      <c r="DD15" s="97"/>
      <c r="DE15" s="97"/>
      <c r="DF15" s="97"/>
      <c r="DG15" s="97"/>
      <c r="DH15" s="104"/>
      <c r="DI15" s="104"/>
      <c r="DJ15" s="104"/>
      <c r="DK15" s="104"/>
      <c r="DL15" s="104"/>
      <c r="DM15" s="104"/>
      <c r="DN15" s="104"/>
      <c r="DO15" s="104"/>
      <c r="DP15" s="104"/>
      <c r="DQ15" s="104"/>
      <c r="DR15" s="104"/>
      <c r="DS15" s="399"/>
      <c r="DT15" s="90"/>
      <c r="DU15" s="97"/>
      <c r="DV15" s="97"/>
      <c r="DW15" s="97"/>
      <c r="DX15" s="97"/>
      <c r="DY15" s="97"/>
      <c r="DZ15" s="97"/>
      <c r="EA15" s="104"/>
      <c r="EB15" s="104"/>
      <c r="EC15" s="104"/>
      <c r="ED15" s="104"/>
      <c r="EE15" s="104"/>
      <c r="EF15" s="104"/>
      <c r="EG15" s="104"/>
      <c r="EH15" s="104"/>
      <c r="EI15" s="104"/>
      <c r="EJ15" s="104"/>
      <c r="EK15" s="104"/>
    </row>
    <row r="16" spans="1:141" ht="36">
      <c r="A16" s="330" t="s">
        <v>1157</v>
      </c>
      <c r="B16" s="216"/>
      <c r="C16" s="165"/>
      <c r="D16" s="535" t="s">
        <v>98</v>
      </c>
      <c r="E16" s="536">
        <v>0</v>
      </c>
      <c r="F16" s="537" t="s">
        <v>1131</v>
      </c>
      <c r="G16" s="430" t="s">
        <v>215</v>
      </c>
      <c r="H16" s="539" t="s">
        <v>98</v>
      </c>
      <c r="I16" s="539" t="s">
        <v>98</v>
      </c>
      <c r="J16" s="540">
        <v>1</v>
      </c>
      <c r="K16" s="430" t="s">
        <v>679</v>
      </c>
      <c r="L16" s="532">
        <f t="shared" si="0"/>
        <v>0</v>
      </c>
      <c r="M16" s="533"/>
      <c r="N16" s="534"/>
      <c r="O16" s="538"/>
      <c r="P16" s="532">
        <f t="shared" si="1"/>
        <v>0</v>
      </c>
      <c r="Q16" s="533"/>
      <c r="R16" s="534"/>
      <c r="S16" s="538"/>
      <c r="T16" s="532">
        <f t="shared" si="2"/>
        <v>0</v>
      </c>
      <c r="U16" s="533"/>
      <c r="V16" s="534"/>
      <c r="W16" s="538"/>
      <c r="X16" s="532">
        <f t="shared" si="3"/>
        <v>0</v>
      </c>
      <c r="Y16" s="533"/>
      <c r="Z16" s="534"/>
      <c r="AA16" s="538"/>
      <c r="AB16" s="90">
        <f t="shared" si="4"/>
        <v>0</v>
      </c>
      <c r="AC16" s="91"/>
      <c r="AD16" s="92"/>
      <c r="AE16" s="206"/>
      <c r="AF16" s="90">
        <f t="shared" si="5"/>
        <v>0</v>
      </c>
      <c r="AG16" s="91"/>
      <c r="AH16" s="92"/>
      <c r="AI16" s="93"/>
      <c r="AJ16" s="90">
        <f t="shared" si="6"/>
        <v>0</v>
      </c>
      <c r="AK16" s="91"/>
      <c r="AL16" s="92"/>
      <c r="AM16" s="93"/>
      <c r="AN16" s="90">
        <f t="shared" si="7"/>
        <v>0</v>
      </c>
      <c r="AO16" s="91"/>
      <c r="AP16" s="92"/>
      <c r="AQ16" s="93"/>
      <c r="AR16" s="90">
        <f t="shared" si="8"/>
        <v>0</v>
      </c>
      <c r="AS16" s="91"/>
      <c r="AT16" s="92"/>
      <c r="AU16" s="93"/>
      <c r="AV16" s="90">
        <f t="shared" si="9"/>
        <v>1</v>
      </c>
      <c r="AW16" s="91"/>
      <c r="AX16" s="92"/>
      <c r="AY16" s="206"/>
      <c r="AZ16" s="90">
        <f t="shared" si="10"/>
        <v>0</v>
      </c>
      <c r="BA16" s="91"/>
      <c r="BB16" s="92"/>
      <c r="BC16" s="93"/>
      <c r="BD16" s="90">
        <f t="shared" si="11"/>
        <v>0</v>
      </c>
      <c r="BE16" s="91"/>
      <c r="BF16" s="92"/>
      <c r="BG16" s="93"/>
      <c r="BH16" s="90">
        <f t="shared" si="12"/>
        <v>0</v>
      </c>
      <c r="BI16" s="91"/>
      <c r="BJ16" s="92"/>
      <c r="BK16" s="93"/>
      <c r="BL16" s="90">
        <f t="shared" si="13"/>
        <v>0</v>
      </c>
      <c r="BM16" s="91"/>
      <c r="BN16" s="92"/>
      <c r="BO16" s="93"/>
      <c r="BP16" s="90">
        <f t="shared" si="14"/>
        <v>0</v>
      </c>
      <c r="BQ16" s="91"/>
      <c r="BR16" s="92"/>
      <c r="BS16" s="206"/>
      <c r="BT16" s="90">
        <f t="shared" si="15"/>
        <v>0</v>
      </c>
      <c r="BU16" s="91"/>
      <c r="BV16" s="92"/>
      <c r="BW16" s="93"/>
      <c r="BX16" s="90">
        <f t="shared" si="16"/>
        <v>0</v>
      </c>
      <c r="BY16" s="91"/>
      <c r="BZ16" s="92"/>
      <c r="CA16" s="93"/>
      <c r="CB16" s="90">
        <f t="shared" si="17"/>
        <v>0</v>
      </c>
      <c r="CC16" s="91"/>
      <c r="CD16" s="92"/>
      <c r="CE16" s="93"/>
      <c r="CF16" s="90">
        <f t="shared" si="18"/>
        <v>0</v>
      </c>
      <c r="CG16" s="91"/>
      <c r="CH16" s="92"/>
      <c r="CI16" s="93"/>
      <c r="CJ16" s="90">
        <f t="shared" si="19"/>
        <v>0</v>
      </c>
      <c r="CK16" s="91"/>
      <c r="CL16" s="92"/>
      <c r="CM16" s="206"/>
      <c r="CN16" s="90">
        <f t="shared" si="20"/>
        <v>0</v>
      </c>
      <c r="CO16" s="91"/>
      <c r="CP16" s="92"/>
      <c r="CQ16" s="93"/>
      <c r="CR16" s="90">
        <f t="shared" si="21"/>
        <v>0</v>
      </c>
      <c r="CS16" s="91"/>
      <c r="CT16" s="92"/>
      <c r="CU16" s="206"/>
      <c r="CV16" s="399"/>
      <c r="CW16" s="90"/>
      <c r="CX16" s="90"/>
      <c r="CY16" s="90"/>
      <c r="CZ16" s="90"/>
      <c r="DA16" s="90"/>
      <c r="DB16" s="97"/>
      <c r="DC16" s="97"/>
      <c r="DD16" s="97"/>
      <c r="DE16" s="97"/>
      <c r="DF16" s="97"/>
      <c r="DG16" s="97"/>
      <c r="DH16" s="104"/>
      <c r="DI16" s="104"/>
      <c r="DJ16" s="104"/>
      <c r="DK16" s="104"/>
      <c r="DL16" s="104"/>
      <c r="DM16" s="104"/>
      <c r="DN16" s="104"/>
      <c r="DO16" s="104"/>
      <c r="DP16" s="104"/>
      <c r="DQ16" s="104"/>
      <c r="DR16" s="104"/>
      <c r="DS16" s="399"/>
      <c r="DT16" s="90"/>
      <c r="DU16" s="97"/>
      <c r="DV16" s="97"/>
      <c r="DW16" s="97"/>
      <c r="DX16" s="97"/>
      <c r="DY16" s="97"/>
      <c r="DZ16" s="97"/>
      <c r="EA16" s="104"/>
      <c r="EB16" s="104"/>
      <c r="EC16" s="104"/>
      <c r="ED16" s="104"/>
      <c r="EE16" s="104"/>
      <c r="EF16" s="104"/>
      <c r="EG16" s="104"/>
      <c r="EH16" s="104"/>
      <c r="EI16" s="104"/>
      <c r="EJ16" s="104"/>
      <c r="EK16" s="104"/>
    </row>
    <row r="17" spans="1:141" ht="24">
      <c r="A17" s="330" t="s">
        <v>1158</v>
      </c>
      <c r="B17" s="216"/>
      <c r="C17" s="165"/>
      <c r="D17" s="535" t="s">
        <v>98</v>
      </c>
      <c r="E17" s="536">
        <v>0</v>
      </c>
      <c r="F17" s="537" t="s">
        <v>1132</v>
      </c>
      <c r="G17" s="430" t="s">
        <v>373</v>
      </c>
      <c r="H17" s="539" t="s">
        <v>98</v>
      </c>
      <c r="I17" s="539" t="s">
        <v>98</v>
      </c>
      <c r="J17" s="540">
        <v>1</v>
      </c>
      <c r="K17" s="430" t="s">
        <v>679</v>
      </c>
      <c r="L17" s="532">
        <f t="shared" si="0"/>
        <v>0</v>
      </c>
      <c r="M17" s="533"/>
      <c r="N17" s="534"/>
      <c r="O17" s="538"/>
      <c r="P17" s="532">
        <f t="shared" si="1"/>
        <v>0</v>
      </c>
      <c r="Q17" s="533"/>
      <c r="R17" s="534"/>
      <c r="S17" s="538"/>
      <c r="T17" s="532">
        <f t="shared" si="2"/>
        <v>0</v>
      </c>
      <c r="U17" s="533"/>
      <c r="V17" s="534"/>
      <c r="W17" s="538"/>
      <c r="X17" s="532">
        <f t="shared" si="3"/>
        <v>0</v>
      </c>
      <c r="Y17" s="533"/>
      <c r="Z17" s="534"/>
      <c r="AA17" s="538"/>
      <c r="AB17" s="90">
        <f t="shared" si="4"/>
        <v>0</v>
      </c>
      <c r="AC17" s="91"/>
      <c r="AD17" s="92"/>
      <c r="AE17" s="206"/>
      <c r="AF17" s="90">
        <f t="shared" si="5"/>
        <v>0</v>
      </c>
      <c r="AG17" s="91"/>
      <c r="AH17" s="92"/>
      <c r="AI17" s="93"/>
      <c r="AJ17" s="90">
        <f t="shared" si="6"/>
        <v>0</v>
      </c>
      <c r="AK17" s="91"/>
      <c r="AL17" s="92"/>
      <c r="AM17" s="93"/>
      <c r="AN17" s="90">
        <f t="shared" si="7"/>
        <v>0</v>
      </c>
      <c r="AO17" s="91"/>
      <c r="AP17" s="92"/>
      <c r="AQ17" s="93"/>
      <c r="AR17" s="90">
        <f t="shared" si="8"/>
        <v>0</v>
      </c>
      <c r="AS17" s="91"/>
      <c r="AT17" s="92"/>
      <c r="AU17" s="93"/>
      <c r="AV17" s="90">
        <f t="shared" si="9"/>
        <v>0</v>
      </c>
      <c r="AW17" s="91"/>
      <c r="AX17" s="92"/>
      <c r="AY17" s="206"/>
      <c r="AZ17" s="90">
        <f t="shared" si="10"/>
        <v>1</v>
      </c>
      <c r="BA17" s="91"/>
      <c r="BB17" s="92"/>
      <c r="BC17" s="93"/>
      <c r="BD17" s="90">
        <f t="shared" si="11"/>
        <v>0</v>
      </c>
      <c r="BE17" s="91"/>
      <c r="BF17" s="92"/>
      <c r="BG17" s="93"/>
      <c r="BH17" s="90">
        <f t="shared" si="12"/>
        <v>0</v>
      </c>
      <c r="BI17" s="91"/>
      <c r="BJ17" s="92"/>
      <c r="BK17" s="93"/>
      <c r="BL17" s="90">
        <f t="shared" si="13"/>
        <v>0</v>
      </c>
      <c r="BM17" s="91"/>
      <c r="BN17" s="92"/>
      <c r="BO17" s="93"/>
      <c r="BP17" s="90">
        <f t="shared" si="14"/>
        <v>0</v>
      </c>
      <c r="BQ17" s="91"/>
      <c r="BR17" s="92"/>
      <c r="BS17" s="206"/>
      <c r="BT17" s="90">
        <f t="shared" si="15"/>
        <v>0</v>
      </c>
      <c r="BU17" s="91"/>
      <c r="BV17" s="92"/>
      <c r="BW17" s="93"/>
      <c r="BX17" s="90">
        <f t="shared" si="16"/>
        <v>0</v>
      </c>
      <c r="BY17" s="91"/>
      <c r="BZ17" s="92"/>
      <c r="CA17" s="93"/>
      <c r="CB17" s="90">
        <f t="shared" si="17"/>
        <v>0</v>
      </c>
      <c r="CC17" s="91"/>
      <c r="CD17" s="92"/>
      <c r="CE17" s="93"/>
      <c r="CF17" s="90">
        <f t="shared" si="18"/>
        <v>0</v>
      </c>
      <c r="CG17" s="91"/>
      <c r="CH17" s="92"/>
      <c r="CI17" s="93"/>
      <c r="CJ17" s="90">
        <f t="shared" si="19"/>
        <v>0</v>
      </c>
      <c r="CK17" s="91"/>
      <c r="CL17" s="92"/>
      <c r="CM17" s="206"/>
      <c r="CN17" s="90">
        <f t="shared" si="20"/>
        <v>0</v>
      </c>
      <c r="CO17" s="91"/>
      <c r="CP17" s="92"/>
      <c r="CQ17" s="93"/>
      <c r="CR17" s="90">
        <f t="shared" si="21"/>
        <v>0</v>
      </c>
      <c r="CS17" s="91"/>
      <c r="CT17" s="92"/>
      <c r="CU17" s="206"/>
      <c r="CV17" s="399"/>
      <c r="CW17" s="90"/>
      <c r="CX17" s="90"/>
      <c r="CY17" s="90"/>
      <c r="CZ17" s="90"/>
      <c r="DA17" s="90"/>
      <c r="DB17" s="97"/>
      <c r="DC17" s="97"/>
      <c r="DD17" s="97"/>
      <c r="DE17" s="97"/>
      <c r="DF17" s="97"/>
      <c r="DG17" s="97"/>
      <c r="DH17" s="104"/>
      <c r="DI17" s="104"/>
      <c r="DJ17" s="104"/>
      <c r="DK17" s="104"/>
      <c r="DL17" s="104"/>
      <c r="DM17" s="104"/>
      <c r="DN17" s="104"/>
      <c r="DO17" s="104"/>
      <c r="DP17" s="104"/>
      <c r="DQ17" s="104"/>
      <c r="DR17" s="104"/>
      <c r="DS17" s="399"/>
      <c r="DT17" s="90"/>
      <c r="DU17" s="97"/>
      <c r="DV17" s="97"/>
      <c r="DW17" s="97"/>
      <c r="DX17" s="97"/>
      <c r="DY17" s="97"/>
      <c r="DZ17" s="97"/>
      <c r="EA17" s="104"/>
      <c r="EB17" s="104"/>
      <c r="EC17" s="104"/>
      <c r="ED17" s="104"/>
      <c r="EE17" s="104"/>
      <c r="EF17" s="104"/>
      <c r="EG17" s="104"/>
      <c r="EH17" s="104"/>
      <c r="EI17" s="104"/>
      <c r="EJ17" s="104"/>
      <c r="EK17" s="104"/>
    </row>
    <row r="18" spans="1:141" ht="24">
      <c r="A18" s="330" t="s">
        <v>1159</v>
      </c>
      <c r="B18" s="216"/>
      <c r="C18" s="165"/>
      <c r="D18" s="535" t="s">
        <v>98</v>
      </c>
      <c r="E18" s="536">
        <v>0</v>
      </c>
      <c r="F18" s="537" t="s">
        <v>1133</v>
      </c>
      <c r="G18" s="430" t="s">
        <v>373</v>
      </c>
      <c r="H18" s="539" t="s">
        <v>98</v>
      </c>
      <c r="I18" s="539" t="s">
        <v>98</v>
      </c>
      <c r="J18" s="540">
        <v>1</v>
      </c>
      <c r="K18" s="430" t="s">
        <v>679</v>
      </c>
      <c r="L18" s="532">
        <f t="shared" si="0"/>
        <v>0</v>
      </c>
      <c r="M18" s="533"/>
      <c r="N18" s="534"/>
      <c r="O18" s="538"/>
      <c r="P18" s="532">
        <f t="shared" si="1"/>
        <v>0</v>
      </c>
      <c r="Q18" s="533"/>
      <c r="R18" s="534"/>
      <c r="S18" s="538"/>
      <c r="T18" s="532">
        <f t="shared" si="2"/>
        <v>0</v>
      </c>
      <c r="U18" s="533"/>
      <c r="V18" s="534"/>
      <c r="W18" s="538"/>
      <c r="X18" s="532">
        <f t="shared" si="3"/>
        <v>0</v>
      </c>
      <c r="Y18" s="533"/>
      <c r="Z18" s="534"/>
      <c r="AA18" s="538"/>
      <c r="AB18" s="90">
        <f t="shared" si="4"/>
        <v>0</v>
      </c>
      <c r="AC18" s="91"/>
      <c r="AD18" s="92"/>
      <c r="AE18" s="206"/>
      <c r="AF18" s="90">
        <f t="shared" si="5"/>
        <v>0</v>
      </c>
      <c r="AG18" s="91"/>
      <c r="AH18" s="92"/>
      <c r="AI18" s="93"/>
      <c r="AJ18" s="90">
        <f t="shared" si="6"/>
        <v>0</v>
      </c>
      <c r="AK18" s="91"/>
      <c r="AL18" s="92"/>
      <c r="AM18" s="93"/>
      <c r="AN18" s="90">
        <f t="shared" si="7"/>
        <v>0</v>
      </c>
      <c r="AO18" s="91"/>
      <c r="AP18" s="92"/>
      <c r="AQ18" s="93"/>
      <c r="AR18" s="90">
        <f t="shared" si="8"/>
        <v>0</v>
      </c>
      <c r="AS18" s="91"/>
      <c r="AT18" s="92"/>
      <c r="AU18" s="93"/>
      <c r="AV18" s="90">
        <f t="shared" si="9"/>
        <v>0</v>
      </c>
      <c r="AW18" s="91"/>
      <c r="AX18" s="92"/>
      <c r="AY18" s="206"/>
      <c r="AZ18" s="90">
        <f t="shared" si="10"/>
        <v>0</v>
      </c>
      <c r="BA18" s="91"/>
      <c r="BB18" s="92"/>
      <c r="BC18" s="93"/>
      <c r="BD18" s="90">
        <f t="shared" si="11"/>
        <v>1</v>
      </c>
      <c r="BE18" s="91"/>
      <c r="BF18" s="92"/>
      <c r="BG18" s="93"/>
      <c r="BH18" s="90">
        <f t="shared" si="12"/>
        <v>0</v>
      </c>
      <c r="BI18" s="91"/>
      <c r="BJ18" s="92"/>
      <c r="BK18" s="93"/>
      <c r="BL18" s="90">
        <f t="shared" si="13"/>
        <v>0</v>
      </c>
      <c r="BM18" s="91"/>
      <c r="BN18" s="92"/>
      <c r="BO18" s="93"/>
      <c r="BP18" s="90">
        <f t="shared" si="14"/>
        <v>0</v>
      </c>
      <c r="BQ18" s="91"/>
      <c r="BR18" s="92"/>
      <c r="BS18" s="206"/>
      <c r="BT18" s="90">
        <f t="shared" si="15"/>
        <v>0</v>
      </c>
      <c r="BU18" s="91"/>
      <c r="BV18" s="92"/>
      <c r="BW18" s="93"/>
      <c r="BX18" s="90">
        <f t="shared" si="16"/>
        <v>0</v>
      </c>
      <c r="BY18" s="91"/>
      <c r="BZ18" s="92"/>
      <c r="CA18" s="93"/>
      <c r="CB18" s="90">
        <f t="shared" si="17"/>
        <v>0</v>
      </c>
      <c r="CC18" s="91"/>
      <c r="CD18" s="92"/>
      <c r="CE18" s="93"/>
      <c r="CF18" s="90">
        <f t="shared" si="18"/>
        <v>0</v>
      </c>
      <c r="CG18" s="91"/>
      <c r="CH18" s="92"/>
      <c r="CI18" s="93"/>
      <c r="CJ18" s="90">
        <f t="shared" si="19"/>
        <v>0</v>
      </c>
      <c r="CK18" s="91"/>
      <c r="CL18" s="92"/>
      <c r="CM18" s="206"/>
      <c r="CN18" s="90">
        <f t="shared" si="20"/>
        <v>0</v>
      </c>
      <c r="CO18" s="91"/>
      <c r="CP18" s="92"/>
      <c r="CQ18" s="93"/>
      <c r="CR18" s="90">
        <f t="shared" si="21"/>
        <v>0</v>
      </c>
      <c r="CS18" s="91"/>
      <c r="CT18" s="92"/>
      <c r="CU18" s="206"/>
      <c r="CV18" s="399"/>
      <c r="CW18" s="90"/>
      <c r="CX18" s="90"/>
      <c r="CY18" s="90"/>
      <c r="CZ18" s="90"/>
      <c r="DA18" s="90"/>
      <c r="DB18" s="97"/>
      <c r="DC18" s="97"/>
      <c r="DD18" s="97"/>
      <c r="DE18" s="97"/>
      <c r="DF18" s="97"/>
      <c r="DG18" s="97"/>
      <c r="DH18" s="104"/>
      <c r="DI18" s="104"/>
      <c r="DJ18" s="104"/>
      <c r="DK18" s="104"/>
      <c r="DL18" s="104"/>
      <c r="DM18" s="104"/>
      <c r="DN18" s="104"/>
      <c r="DO18" s="104"/>
      <c r="DP18" s="104"/>
      <c r="DQ18" s="104"/>
      <c r="DR18" s="104"/>
      <c r="DS18" s="399"/>
      <c r="DT18" s="90"/>
      <c r="DU18" s="97"/>
      <c r="DV18" s="97"/>
      <c r="DW18" s="97"/>
      <c r="DX18" s="97"/>
      <c r="DY18" s="97"/>
      <c r="DZ18" s="97"/>
      <c r="EA18" s="104"/>
      <c r="EB18" s="104"/>
      <c r="EC18" s="104"/>
      <c r="ED18" s="104"/>
      <c r="EE18" s="104"/>
      <c r="EF18" s="104"/>
      <c r="EG18" s="104"/>
      <c r="EH18" s="104"/>
      <c r="EI18" s="104"/>
      <c r="EJ18" s="104"/>
      <c r="EK18" s="104"/>
    </row>
    <row r="19" spans="1:141" ht="24">
      <c r="A19" s="330" t="s">
        <v>1160</v>
      </c>
      <c r="B19" s="216"/>
      <c r="C19" s="165"/>
      <c r="D19" s="535" t="s">
        <v>98</v>
      </c>
      <c r="E19" s="536">
        <v>0</v>
      </c>
      <c r="F19" s="537" t="s">
        <v>1134</v>
      </c>
      <c r="G19" s="430" t="s">
        <v>373</v>
      </c>
      <c r="H19" s="539" t="s">
        <v>98</v>
      </c>
      <c r="I19" s="539" t="s">
        <v>98</v>
      </c>
      <c r="J19" s="540">
        <v>1</v>
      </c>
      <c r="K19" s="430" t="s">
        <v>679</v>
      </c>
      <c r="L19" s="532">
        <f t="shared" si="0"/>
        <v>0</v>
      </c>
      <c r="M19" s="533"/>
      <c r="N19" s="534"/>
      <c r="O19" s="538"/>
      <c r="P19" s="532">
        <f t="shared" si="1"/>
        <v>0</v>
      </c>
      <c r="Q19" s="533"/>
      <c r="R19" s="534"/>
      <c r="S19" s="538"/>
      <c r="T19" s="532">
        <f t="shared" si="2"/>
        <v>0</v>
      </c>
      <c r="U19" s="533"/>
      <c r="V19" s="534"/>
      <c r="W19" s="538"/>
      <c r="X19" s="532">
        <f t="shared" si="3"/>
        <v>0</v>
      </c>
      <c r="Y19" s="533"/>
      <c r="Z19" s="534"/>
      <c r="AA19" s="538"/>
      <c r="AB19" s="90">
        <f t="shared" si="4"/>
        <v>0</v>
      </c>
      <c r="AC19" s="91"/>
      <c r="AD19" s="92"/>
      <c r="AE19" s="206"/>
      <c r="AF19" s="90">
        <f t="shared" si="5"/>
        <v>0</v>
      </c>
      <c r="AG19" s="91"/>
      <c r="AH19" s="92"/>
      <c r="AI19" s="93"/>
      <c r="AJ19" s="90">
        <f t="shared" si="6"/>
        <v>0</v>
      </c>
      <c r="AK19" s="91"/>
      <c r="AL19" s="92"/>
      <c r="AM19" s="93"/>
      <c r="AN19" s="90">
        <f t="shared" si="7"/>
        <v>0</v>
      </c>
      <c r="AO19" s="91"/>
      <c r="AP19" s="92"/>
      <c r="AQ19" s="93"/>
      <c r="AR19" s="90">
        <f t="shared" si="8"/>
        <v>0</v>
      </c>
      <c r="AS19" s="91"/>
      <c r="AT19" s="92"/>
      <c r="AU19" s="93"/>
      <c r="AV19" s="90">
        <f t="shared" si="9"/>
        <v>0</v>
      </c>
      <c r="AW19" s="91"/>
      <c r="AX19" s="92"/>
      <c r="AY19" s="206"/>
      <c r="AZ19" s="90">
        <f t="shared" si="10"/>
        <v>0</v>
      </c>
      <c r="BA19" s="91"/>
      <c r="BB19" s="92"/>
      <c r="BC19" s="93"/>
      <c r="BD19" s="90">
        <f t="shared" si="11"/>
        <v>0</v>
      </c>
      <c r="BE19" s="91"/>
      <c r="BF19" s="92"/>
      <c r="BG19" s="93"/>
      <c r="BH19" s="90">
        <f t="shared" si="12"/>
        <v>1</v>
      </c>
      <c r="BI19" s="91"/>
      <c r="BJ19" s="92"/>
      <c r="BK19" s="93"/>
      <c r="BL19" s="90">
        <f t="shared" si="13"/>
        <v>0</v>
      </c>
      <c r="BM19" s="91"/>
      <c r="BN19" s="92"/>
      <c r="BO19" s="93"/>
      <c r="BP19" s="90">
        <f t="shared" si="14"/>
        <v>0</v>
      </c>
      <c r="BQ19" s="91"/>
      <c r="BR19" s="92"/>
      <c r="BS19" s="206"/>
      <c r="BT19" s="90">
        <f t="shared" si="15"/>
        <v>0</v>
      </c>
      <c r="BU19" s="91"/>
      <c r="BV19" s="92"/>
      <c r="BW19" s="93"/>
      <c r="BX19" s="90">
        <f t="shared" si="16"/>
        <v>0</v>
      </c>
      <c r="BY19" s="91"/>
      <c r="BZ19" s="92"/>
      <c r="CA19" s="93"/>
      <c r="CB19" s="90">
        <f t="shared" si="17"/>
        <v>0</v>
      </c>
      <c r="CC19" s="91"/>
      <c r="CD19" s="92"/>
      <c r="CE19" s="93"/>
      <c r="CF19" s="90">
        <f t="shared" si="18"/>
        <v>0</v>
      </c>
      <c r="CG19" s="91"/>
      <c r="CH19" s="92"/>
      <c r="CI19" s="93"/>
      <c r="CJ19" s="90">
        <f t="shared" si="19"/>
        <v>0</v>
      </c>
      <c r="CK19" s="91"/>
      <c r="CL19" s="92"/>
      <c r="CM19" s="206"/>
      <c r="CN19" s="90">
        <f t="shared" si="20"/>
        <v>0</v>
      </c>
      <c r="CO19" s="91"/>
      <c r="CP19" s="92"/>
      <c r="CQ19" s="93"/>
      <c r="CR19" s="90">
        <f t="shared" si="21"/>
        <v>0</v>
      </c>
      <c r="CS19" s="91"/>
      <c r="CT19" s="92"/>
      <c r="CU19" s="206"/>
      <c r="CV19" s="399"/>
      <c r="CW19" s="90"/>
      <c r="CX19" s="90"/>
      <c r="CY19" s="90"/>
      <c r="CZ19" s="90"/>
      <c r="DA19" s="90"/>
      <c r="DB19" s="97"/>
      <c r="DC19" s="97"/>
      <c r="DD19" s="97"/>
      <c r="DE19" s="97"/>
      <c r="DF19" s="97"/>
      <c r="DG19" s="97"/>
      <c r="DH19" s="104"/>
      <c r="DI19" s="104"/>
      <c r="DJ19" s="104"/>
      <c r="DK19" s="104"/>
      <c r="DL19" s="104"/>
      <c r="DM19" s="104"/>
      <c r="DN19" s="104"/>
      <c r="DO19" s="104"/>
      <c r="DP19" s="104"/>
      <c r="DQ19" s="104"/>
      <c r="DR19" s="104"/>
      <c r="DS19" s="399"/>
      <c r="DT19" s="90"/>
      <c r="DU19" s="97"/>
      <c r="DV19" s="97"/>
      <c r="DW19" s="97"/>
      <c r="DX19" s="97"/>
      <c r="DY19" s="97"/>
      <c r="DZ19" s="97"/>
      <c r="EA19" s="104"/>
      <c r="EB19" s="104"/>
      <c r="EC19" s="104"/>
      <c r="ED19" s="104"/>
      <c r="EE19" s="104"/>
      <c r="EF19" s="104"/>
      <c r="EG19" s="104"/>
      <c r="EH19" s="104"/>
      <c r="EI19" s="104"/>
      <c r="EJ19" s="104"/>
      <c r="EK19" s="104"/>
    </row>
    <row r="20" spans="1:141" ht="24">
      <c r="A20" s="330" t="s">
        <v>1161</v>
      </c>
      <c r="B20" s="216"/>
      <c r="C20" s="165"/>
      <c r="D20" s="535" t="s">
        <v>98</v>
      </c>
      <c r="E20" s="536">
        <v>0</v>
      </c>
      <c r="F20" s="537" t="s">
        <v>1135</v>
      </c>
      <c r="G20" s="430" t="s">
        <v>373</v>
      </c>
      <c r="H20" s="539" t="s">
        <v>98</v>
      </c>
      <c r="I20" s="539" t="s">
        <v>98</v>
      </c>
      <c r="J20" s="540">
        <v>1</v>
      </c>
      <c r="K20" s="430" t="s">
        <v>679</v>
      </c>
      <c r="L20" s="532">
        <f t="shared" si="0"/>
        <v>0</v>
      </c>
      <c r="M20" s="533"/>
      <c r="N20" s="534"/>
      <c r="O20" s="538"/>
      <c r="P20" s="532">
        <f t="shared" si="1"/>
        <v>0</v>
      </c>
      <c r="Q20" s="533"/>
      <c r="R20" s="534"/>
      <c r="S20" s="538"/>
      <c r="T20" s="532">
        <f t="shared" si="2"/>
        <v>0</v>
      </c>
      <c r="U20" s="533"/>
      <c r="V20" s="534"/>
      <c r="W20" s="538"/>
      <c r="X20" s="532">
        <f t="shared" si="3"/>
        <v>0</v>
      </c>
      <c r="Y20" s="533"/>
      <c r="Z20" s="534"/>
      <c r="AA20" s="538"/>
      <c r="AB20" s="90">
        <f t="shared" si="4"/>
        <v>0</v>
      </c>
      <c r="AC20" s="91"/>
      <c r="AD20" s="92"/>
      <c r="AE20" s="206"/>
      <c r="AF20" s="90">
        <f t="shared" si="5"/>
        <v>0</v>
      </c>
      <c r="AG20" s="91"/>
      <c r="AH20" s="92"/>
      <c r="AI20" s="93"/>
      <c r="AJ20" s="90">
        <f t="shared" si="6"/>
        <v>0</v>
      </c>
      <c r="AK20" s="91"/>
      <c r="AL20" s="92"/>
      <c r="AM20" s="93"/>
      <c r="AN20" s="90">
        <f t="shared" si="7"/>
        <v>0</v>
      </c>
      <c r="AO20" s="91"/>
      <c r="AP20" s="92"/>
      <c r="AQ20" s="93"/>
      <c r="AR20" s="90">
        <f t="shared" si="8"/>
        <v>0</v>
      </c>
      <c r="AS20" s="91"/>
      <c r="AT20" s="92"/>
      <c r="AU20" s="93"/>
      <c r="AV20" s="90">
        <f t="shared" si="9"/>
        <v>0</v>
      </c>
      <c r="AW20" s="91"/>
      <c r="AX20" s="92"/>
      <c r="AY20" s="206"/>
      <c r="AZ20" s="90">
        <f t="shared" si="10"/>
        <v>0</v>
      </c>
      <c r="BA20" s="91"/>
      <c r="BB20" s="92"/>
      <c r="BC20" s="93"/>
      <c r="BD20" s="90">
        <f t="shared" si="11"/>
        <v>0</v>
      </c>
      <c r="BE20" s="91"/>
      <c r="BF20" s="92"/>
      <c r="BG20" s="93"/>
      <c r="BH20" s="90">
        <f t="shared" si="12"/>
        <v>0</v>
      </c>
      <c r="BI20" s="91"/>
      <c r="BJ20" s="92"/>
      <c r="BK20" s="93"/>
      <c r="BL20" s="90">
        <f t="shared" si="13"/>
        <v>1</v>
      </c>
      <c r="BM20" s="91"/>
      <c r="BN20" s="92"/>
      <c r="BO20" s="93"/>
      <c r="BP20" s="90">
        <f t="shared" si="14"/>
        <v>0</v>
      </c>
      <c r="BQ20" s="91"/>
      <c r="BR20" s="92"/>
      <c r="BS20" s="206"/>
      <c r="BT20" s="90">
        <f t="shared" si="15"/>
        <v>0</v>
      </c>
      <c r="BU20" s="91"/>
      <c r="BV20" s="92"/>
      <c r="BW20" s="93"/>
      <c r="BX20" s="90">
        <f t="shared" si="16"/>
        <v>0</v>
      </c>
      <c r="BY20" s="91"/>
      <c r="BZ20" s="92"/>
      <c r="CA20" s="93"/>
      <c r="CB20" s="90">
        <f t="shared" si="17"/>
        <v>0</v>
      </c>
      <c r="CC20" s="91"/>
      <c r="CD20" s="92"/>
      <c r="CE20" s="93"/>
      <c r="CF20" s="90">
        <f t="shared" si="18"/>
        <v>0</v>
      </c>
      <c r="CG20" s="91"/>
      <c r="CH20" s="92"/>
      <c r="CI20" s="93"/>
      <c r="CJ20" s="90">
        <f t="shared" si="19"/>
        <v>0</v>
      </c>
      <c r="CK20" s="91"/>
      <c r="CL20" s="92"/>
      <c r="CM20" s="206"/>
      <c r="CN20" s="90">
        <f t="shared" si="20"/>
        <v>0</v>
      </c>
      <c r="CO20" s="91"/>
      <c r="CP20" s="92"/>
      <c r="CQ20" s="93"/>
      <c r="CR20" s="90">
        <f t="shared" si="21"/>
        <v>0</v>
      </c>
      <c r="CS20" s="91"/>
      <c r="CT20" s="92"/>
      <c r="CU20" s="206"/>
      <c r="CV20" s="399"/>
      <c r="CW20" s="90"/>
      <c r="CX20" s="90"/>
      <c r="CY20" s="90"/>
      <c r="CZ20" s="90"/>
      <c r="DA20" s="90"/>
      <c r="DB20" s="97"/>
      <c r="DC20" s="97"/>
      <c r="DD20" s="97"/>
      <c r="DE20" s="97"/>
      <c r="DF20" s="97"/>
      <c r="DG20" s="97"/>
      <c r="DH20" s="104"/>
      <c r="DI20" s="104"/>
      <c r="DJ20" s="104"/>
      <c r="DK20" s="104"/>
      <c r="DL20" s="104"/>
      <c r="DM20" s="104"/>
      <c r="DN20" s="104"/>
      <c r="DO20" s="104"/>
      <c r="DP20" s="104"/>
      <c r="DQ20" s="104"/>
      <c r="DR20" s="104"/>
      <c r="DS20" s="399"/>
      <c r="DT20" s="90"/>
      <c r="DU20" s="97"/>
      <c r="DV20" s="97"/>
      <c r="DW20" s="97"/>
      <c r="DX20" s="97"/>
      <c r="DY20" s="97"/>
      <c r="DZ20" s="97"/>
      <c r="EA20" s="104"/>
      <c r="EB20" s="104"/>
      <c r="EC20" s="104"/>
      <c r="ED20" s="104"/>
      <c r="EE20" s="104"/>
      <c r="EF20" s="104"/>
      <c r="EG20" s="104"/>
      <c r="EH20" s="104"/>
      <c r="EI20" s="104"/>
      <c r="EJ20" s="104"/>
      <c r="EK20" s="104"/>
    </row>
    <row r="21" spans="1:141" ht="36">
      <c r="A21" s="330" t="s">
        <v>1162</v>
      </c>
      <c r="B21" s="216"/>
      <c r="C21" s="165"/>
      <c r="D21" s="535" t="s">
        <v>98</v>
      </c>
      <c r="E21" s="536">
        <v>0</v>
      </c>
      <c r="F21" s="537" t="s">
        <v>1136</v>
      </c>
      <c r="G21" s="430" t="s">
        <v>373</v>
      </c>
      <c r="H21" s="539" t="s">
        <v>98</v>
      </c>
      <c r="I21" s="539" t="s">
        <v>98</v>
      </c>
      <c r="J21" s="540">
        <v>1</v>
      </c>
      <c r="K21" s="430" t="s">
        <v>679</v>
      </c>
      <c r="L21" s="532">
        <f t="shared" si="0"/>
        <v>0</v>
      </c>
      <c r="M21" s="533"/>
      <c r="N21" s="534"/>
      <c r="O21" s="538"/>
      <c r="P21" s="532">
        <f t="shared" si="1"/>
        <v>0</v>
      </c>
      <c r="Q21" s="533"/>
      <c r="R21" s="534"/>
      <c r="S21" s="538"/>
      <c r="T21" s="532">
        <f t="shared" si="2"/>
        <v>0</v>
      </c>
      <c r="U21" s="533"/>
      <c r="V21" s="534"/>
      <c r="W21" s="538"/>
      <c r="X21" s="532">
        <f t="shared" si="3"/>
        <v>0</v>
      </c>
      <c r="Y21" s="533"/>
      <c r="Z21" s="534"/>
      <c r="AA21" s="538"/>
      <c r="AB21" s="90">
        <f t="shared" si="4"/>
        <v>0</v>
      </c>
      <c r="AC21" s="91"/>
      <c r="AD21" s="92"/>
      <c r="AE21" s="206"/>
      <c r="AF21" s="90">
        <f t="shared" si="5"/>
        <v>0</v>
      </c>
      <c r="AG21" s="91"/>
      <c r="AH21" s="92"/>
      <c r="AI21" s="93"/>
      <c r="AJ21" s="90">
        <f t="shared" si="6"/>
        <v>0</v>
      </c>
      <c r="AK21" s="91"/>
      <c r="AL21" s="92"/>
      <c r="AM21" s="93"/>
      <c r="AN21" s="90">
        <f t="shared" si="7"/>
        <v>0</v>
      </c>
      <c r="AO21" s="91"/>
      <c r="AP21" s="92"/>
      <c r="AQ21" s="93"/>
      <c r="AR21" s="90">
        <f t="shared" si="8"/>
        <v>0</v>
      </c>
      <c r="AS21" s="91"/>
      <c r="AT21" s="92"/>
      <c r="AU21" s="93"/>
      <c r="AV21" s="90">
        <f t="shared" si="9"/>
        <v>0</v>
      </c>
      <c r="AW21" s="91"/>
      <c r="AX21" s="92"/>
      <c r="AY21" s="206"/>
      <c r="AZ21" s="90">
        <f t="shared" si="10"/>
        <v>0</v>
      </c>
      <c r="BA21" s="91"/>
      <c r="BB21" s="92"/>
      <c r="BC21" s="93"/>
      <c r="BD21" s="90">
        <f t="shared" si="11"/>
        <v>0</v>
      </c>
      <c r="BE21" s="91"/>
      <c r="BF21" s="92"/>
      <c r="BG21" s="93"/>
      <c r="BH21" s="90">
        <f t="shared" si="12"/>
        <v>0</v>
      </c>
      <c r="BI21" s="91"/>
      <c r="BJ21" s="92"/>
      <c r="BK21" s="93"/>
      <c r="BL21" s="90">
        <f t="shared" si="13"/>
        <v>0</v>
      </c>
      <c r="BM21" s="91"/>
      <c r="BN21" s="92"/>
      <c r="BO21" s="93"/>
      <c r="BP21" s="90">
        <f t="shared" si="14"/>
        <v>1</v>
      </c>
      <c r="BQ21" s="91"/>
      <c r="BR21" s="92"/>
      <c r="BS21" s="206"/>
      <c r="BT21" s="90">
        <f t="shared" si="15"/>
        <v>0</v>
      </c>
      <c r="BU21" s="91"/>
      <c r="BV21" s="92"/>
      <c r="BW21" s="93"/>
      <c r="BX21" s="90">
        <f t="shared" si="16"/>
        <v>0</v>
      </c>
      <c r="BY21" s="91"/>
      <c r="BZ21" s="92"/>
      <c r="CA21" s="93"/>
      <c r="CB21" s="90">
        <f t="shared" si="17"/>
        <v>0</v>
      </c>
      <c r="CC21" s="91"/>
      <c r="CD21" s="92"/>
      <c r="CE21" s="93"/>
      <c r="CF21" s="90">
        <f t="shared" si="18"/>
        <v>0</v>
      </c>
      <c r="CG21" s="91"/>
      <c r="CH21" s="92"/>
      <c r="CI21" s="93"/>
      <c r="CJ21" s="90">
        <f t="shared" si="19"/>
        <v>0</v>
      </c>
      <c r="CK21" s="91"/>
      <c r="CL21" s="92"/>
      <c r="CM21" s="206"/>
      <c r="CN21" s="90">
        <f t="shared" si="20"/>
        <v>0</v>
      </c>
      <c r="CO21" s="91"/>
      <c r="CP21" s="92"/>
      <c r="CQ21" s="93"/>
      <c r="CR21" s="90">
        <f t="shared" si="21"/>
        <v>0</v>
      </c>
      <c r="CS21" s="91"/>
      <c r="CT21" s="92"/>
      <c r="CU21" s="206"/>
      <c r="CV21" s="399"/>
      <c r="CW21" s="90"/>
      <c r="CX21" s="90"/>
      <c r="CY21" s="90"/>
      <c r="CZ21" s="90"/>
      <c r="DA21" s="90"/>
      <c r="DB21" s="97"/>
      <c r="DC21" s="97"/>
      <c r="DD21" s="97"/>
      <c r="DE21" s="97"/>
      <c r="DF21" s="97"/>
      <c r="DG21" s="97"/>
      <c r="DH21" s="104"/>
      <c r="DI21" s="104"/>
      <c r="DJ21" s="104"/>
      <c r="DK21" s="104"/>
      <c r="DL21" s="104"/>
      <c r="DM21" s="104"/>
      <c r="DN21" s="104"/>
      <c r="DO21" s="104"/>
      <c r="DP21" s="104"/>
      <c r="DQ21" s="104"/>
      <c r="DR21" s="104"/>
      <c r="DS21" s="399"/>
      <c r="DT21" s="90"/>
      <c r="DU21" s="97"/>
      <c r="DV21" s="97"/>
      <c r="DW21" s="97"/>
      <c r="DX21" s="97"/>
      <c r="DY21" s="97"/>
      <c r="DZ21" s="97"/>
      <c r="EA21" s="104"/>
      <c r="EB21" s="104"/>
      <c r="EC21" s="104"/>
      <c r="ED21" s="104"/>
      <c r="EE21" s="104"/>
      <c r="EF21" s="104"/>
      <c r="EG21" s="104"/>
      <c r="EH21" s="104"/>
      <c r="EI21" s="104"/>
      <c r="EJ21" s="104"/>
      <c r="EK21" s="104"/>
    </row>
    <row r="22" spans="1:141" ht="24">
      <c r="A22" s="330" t="s">
        <v>1163</v>
      </c>
      <c r="B22" s="216"/>
      <c r="C22" s="165"/>
      <c r="D22" s="535" t="s">
        <v>98</v>
      </c>
      <c r="E22" s="536">
        <v>0</v>
      </c>
      <c r="F22" s="537" t="s">
        <v>1137</v>
      </c>
      <c r="G22" s="430" t="s">
        <v>93</v>
      </c>
      <c r="H22" s="539" t="s">
        <v>98</v>
      </c>
      <c r="I22" s="539" t="s">
        <v>98</v>
      </c>
      <c r="J22" s="540">
        <v>1</v>
      </c>
      <c r="K22" s="430" t="s">
        <v>679</v>
      </c>
      <c r="L22" s="532">
        <f t="shared" si="0"/>
        <v>0</v>
      </c>
      <c r="M22" s="533"/>
      <c r="N22" s="534"/>
      <c r="O22" s="538"/>
      <c r="P22" s="532">
        <f t="shared" si="1"/>
        <v>0</v>
      </c>
      <c r="Q22" s="533"/>
      <c r="R22" s="534"/>
      <c r="S22" s="538"/>
      <c r="T22" s="532">
        <f t="shared" si="2"/>
        <v>0</v>
      </c>
      <c r="U22" s="533"/>
      <c r="V22" s="534"/>
      <c r="W22" s="538"/>
      <c r="X22" s="532">
        <f t="shared" si="3"/>
        <v>0</v>
      </c>
      <c r="Y22" s="533"/>
      <c r="Z22" s="534"/>
      <c r="AA22" s="538"/>
      <c r="AB22" s="90">
        <f t="shared" si="4"/>
        <v>0</v>
      </c>
      <c r="AC22" s="91"/>
      <c r="AD22" s="92"/>
      <c r="AE22" s="206"/>
      <c r="AF22" s="90">
        <f t="shared" si="5"/>
        <v>0</v>
      </c>
      <c r="AG22" s="91"/>
      <c r="AH22" s="92"/>
      <c r="AI22" s="93"/>
      <c r="AJ22" s="90">
        <f t="shared" si="6"/>
        <v>0</v>
      </c>
      <c r="AK22" s="91"/>
      <c r="AL22" s="92"/>
      <c r="AM22" s="93"/>
      <c r="AN22" s="90">
        <f t="shared" si="7"/>
        <v>0</v>
      </c>
      <c r="AO22" s="91"/>
      <c r="AP22" s="92"/>
      <c r="AQ22" s="93"/>
      <c r="AR22" s="90">
        <f t="shared" si="8"/>
        <v>0</v>
      </c>
      <c r="AS22" s="91"/>
      <c r="AT22" s="92"/>
      <c r="AU22" s="93"/>
      <c r="AV22" s="90">
        <f t="shared" si="9"/>
        <v>0</v>
      </c>
      <c r="AW22" s="91"/>
      <c r="AX22" s="92"/>
      <c r="AY22" s="206"/>
      <c r="AZ22" s="90">
        <f t="shared" si="10"/>
        <v>0</v>
      </c>
      <c r="BA22" s="91"/>
      <c r="BB22" s="92"/>
      <c r="BC22" s="93"/>
      <c r="BD22" s="90">
        <f t="shared" si="11"/>
        <v>0</v>
      </c>
      <c r="BE22" s="91"/>
      <c r="BF22" s="92"/>
      <c r="BG22" s="93"/>
      <c r="BH22" s="90">
        <f t="shared" si="12"/>
        <v>0</v>
      </c>
      <c r="BI22" s="91"/>
      <c r="BJ22" s="92"/>
      <c r="BK22" s="93"/>
      <c r="BL22" s="90">
        <f t="shared" si="13"/>
        <v>0</v>
      </c>
      <c r="BM22" s="91"/>
      <c r="BN22" s="92"/>
      <c r="BO22" s="93"/>
      <c r="BP22" s="90">
        <f t="shared" si="14"/>
        <v>0</v>
      </c>
      <c r="BQ22" s="91"/>
      <c r="BR22" s="92"/>
      <c r="BS22" s="206"/>
      <c r="BT22" s="90">
        <f t="shared" si="15"/>
        <v>1</v>
      </c>
      <c r="BU22" s="91"/>
      <c r="BV22" s="92"/>
      <c r="BW22" s="93"/>
      <c r="BX22" s="90">
        <f t="shared" si="16"/>
        <v>0</v>
      </c>
      <c r="BY22" s="91"/>
      <c r="BZ22" s="92"/>
      <c r="CA22" s="93"/>
      <c r="CB22" s="90">
        <f t="shared" si="17"/>
        <v>0</v>
      </c>
      <c r="CC22" s="91"/>
      <c r="CD22" s="92"/>
      <c r="CE22" s="93"/>
      <c r="CF22" s="90">
        <f t="shared" si="18"/>
        <v>0</v>
      </c>
      <c r="CG22" s="91"/>
      <c r="CH22" s="92"/>
      <c r="CI22" s="93"/>
      <c r="CJ22" s="90">
        <f t="shared" si="19"/>
        <v>0</v>
      </c>
      <c r="CK22" s="91"/>
      <c r="CL22" s="92"/>
      <c r="CM22" s="206"/>
      <c r="CN22" s="90">
        <f t="shared" si="20"/>
        <v>0</v>
      </c>
      <c r="CO22" s="91"/>
      <c r="CP22" s="92"/>
      <c r="CQ22" s="93"/>
      <c r="CR22" s="90">
        <f t="shared" si="21"/>
        <v>0</v>
      </c>
      <c r="CS22" s="91"/>
      <c r="CT22" s="92"/>
      <c r="CU22" s="206"/>
      <c r="CV22" s="399"/>
      <c r="CW22" s="90"/>
      <c r="CX22" s="90"/>
      <c r="CY22" s="90"/>
      <c r="CZ22" s="90"/>
      <c r="DA22" s="90"/>
      <c r="DB22" s="97"/>
      <c r="DC22" s="97"/>
      <c r="DD22" s="97"/>
      <c r="DE22" s="97"/>
      <c r="DF22" s="97"/>
      <c r="DG22" s="97"/>
      <c r="DH22" s="104"/>
      <c r="DI22" s="104"/>
      <c r="DJ22" s="104"/>
      <c r="DK22" s="104"/>
      <c r="DL22" s="104"/>
      <c r="DM22" s="104"/>
      <c r="DN22" s="104"/>
      <c r="DO22" s="104"/>
      <c r="DP22" s="104"/>
      <c r="DQ22" s="104"/>
      <c r="DR22" s="104"/>
      <c r="DS22" s="399"/>
      <c r="DT22" s="90"/>
      <c r="DU22" s="97"/>
      <c r="DV22" s="97"/>
      <c r="DW22" s="97"/>
      <c r="DX22" s="97"/>
      <c r="DY22" s="97"/>
      <c r="DZ22" s="97"/>
      <c r="EA22" s="104"/>
      <c r="EB22" s="104"/>
      <c r="EC22" s="104"/>
      <c r="ED22" s="104"/>
      <c r="EE22" s="104"/>
      <c r="EF22" s="104"/>
      <c r="EG22" s="104"/>
      <c r="EH22" s="104"/>
      <c r="EI22" s="104"/>
      <c r="EJ22" s="104"/>
      <c r="EK22" s="104"/>
    </row>
    <row r="23" spans="1:141" ht="24">
      <c r="A23" s="330" t="s">
        <v>1164</v>
      </c>
      <c r="B23" s="216"/>
      <c r="C23" s="165"/>
      <c r="D23" s="535" t="s">
        <v>98</v>
      </c>
      <c r="E23" s="536">
        <v>0</v>
      </c>
      <c r="F23" s="537" t="s">
        <v>1138</v>
      </c>
      <c r="G23" s="430" t="s">
        <v>93</v>
      </c>
      <c r="H23" s="539" t="s">
        <v>98</v>
      </c>
      <c r="I23" s="539" t="s">
        <v>98</v>
      </c>
      <c r="J23" s="540">
        <v>1</v>
      </c>
      <c r="K23" s="430" t="s">
        <v>679</v>
      </c>
      <c r="L23" s="532">
        <f t="shared" si="0"/>
        <v>0</v>
      </c>
      <c r="M23" s="533"/>
      <c r="N23" s="534"/>
      <c r="O23" s="538"/>
      <c r="P23" s="532">
        <f t="shared" si="1"/>
        <v>0</v>
      </c>
      <c r="Q23" s="533"/>
      <c r="R23" s="534"/>
      <c r="S23" s="538"/>
      <c r="T23" s="532">
        <f t="shared" si="2"/>
        <v>0</v>
      </c>
      <c r="U23" s="533"/>
      <c r="V23" s="534"/>
      <c r="W23" s="538"/>
      <c r="X23" s="532">
        <f t="shared" si="3"/>
        <v>0</v>
      </c>
      <c r="Y23" s="533"/>
      <c r="Z23" s="534"/>
      <c r="AA23" s="538"/>
      <c r="AB23" s="90">
        <f t="shared" si="4"/>
        <v>0</v>
      </c>
      <c r="AC23" s="91"/>
      <c r="AD23" s="92"/>
      <c r="AE23" s="206"/>
      <c r="AF23" s="90">
        <f t="shared" si="5"/>
        <v>0</v>
      </c>
      <c r="AG23" s="91"/>
      <c r="AH23" s="92"/>
      <c r="AI23" s="93"/>
      <c r="AJ23" s="90">
        <f t="shared" si="6"/>
        <v>0</v>
      </c>
      <c r="AK23" s="91"/>
      <c r="AL23" s="92"/>
      <c r="AM23" s="93"/>
      <c r="AN23" s="90">
        <f t="shared" si="7"/>
        <v>0</v>
      </c>
      <c r="AO23" s="91"/>
      <c r="AP23" s="92"/>
      <c r="AQ23" s="93"/>
      <c r="AR23" s="90">
        <f t="shared" si="8"/>
        <v>0</v>
      </c>
      <c r="AS23" s="91"/>
      <c r="AT23" s="92"/>
      <c r="AU23" s="93"/>
      <c r="AV23" s="90">
        <f t="shared" si="9"/>
        <v>0</v>
      </c>
      <c r="AW23" s="91"/>
      <c r="AX23" s="92"/>
      <c r="AY23" s="206"/>
      <c r="AZ23" s="90">
        <f t="shared" si="10"/>
        <v>0</v>
      </c>
      <c r="BA23" s="91"/>
      <c r="BB23" s="92"/>
      <c r="BC23" s="93"/>
      <c r="BD23" s="90">
        <f t="shared" si="11"/>
        <v>0</v>
      </c>
      <c r="BE23" s="91"/>
      <c r="BF23" s="92"/>
      <c r="BG23" s="93"/>
      <c r="BH23" s="90">
        <f t="shared" si="12"/>
        <v>0</v>
      </c>
      <c r="BI23" s="91"/>
      <c r="BJ23" s="92"/>
      <c r="BK23" s="93"/>
      <c r="BL23" s="90">
        <f t="shared" si="13"/>
        <v>0</v>
      </c>
      <c r="BM23" s="91"/>
      <c r="BN23" s="92"/>
      <c r="BO23" s="93"/>
      <c r="BP23" s="90">
        <f t="shared" si="14"/>
        <v>0</v>
      </c>
      <c r="BQ23" s="91"/>
      <c r="BR23" s="92"/>
      <c r="BS23" s="206"/>
      <c r="BT23" s="90">
        <f t="shared" si="15"/>
        <v>0</v>
      </c>
      <c r="BU23" s="91"/>
      <c r="BV23" s="92"/>
      <c r="BW23" s="93"/>
      <c r="BX23" s="90">
        <f t="shared" si="16"/>
        <v>1</v>
      </c>
      <c r="BY23" s="91"/>
      <c r="BZ23" s="92"/>
      <c r="CA23" s="93"/>
      <c r="CB23" s="90">
        <f t="shared" si="17"/>
        <v>0</v>
      </c>
      <c r="CC23" s="91"/>
      <c r="CD23" s="92"/>
      <c r="CE23" s="93"/>
      <c r="CF23" s="90">
        <f t="shared" si="18"/>
        <v>0</v>
      </c>
      <c r="CG23" s="91"/>
      <c r="CH23" s="92"/>
      <c r="CI23" s="93"/>
      <c r="CJ23" s="90">
        <f t="shared" si="19"/>
        <v>0</v>
      </c>
      <c r="CK23" s="91"/>
      <c r="CL23" s="92"/>
      <c r="CM23" s="206"/>
      <c r="CN23" s="90">
        <f t="shared" si="20"/>
        <v>0</v>
      </c>
      <c r="CO23" s="91"/>
      <c r="CP23" s="92"/>
      <c r="CQ23" s="93"/>
      <c r="CR23" s="90">
        <f t="shared" si="21"/>
        <v>0</v>
      </c>
      <c r="CS23" s="91"/>
      <c r="CT23" s="92"/>
      <c r="CU23" s="206"/>
      <c r="CV23" s="399"/>
      <c r="CW23" s="90"/>
      <c r="CX23" s="90"/>
      <c r="CY23" s="90"/>
      <c r="CZ23" s="90"/>
      <c r="DA23" s="90"/>
      <c r="DB23" s="97"/>
      <c r="DC23" s="97"/>
      <c r="DD23" s="97"/>
      <c r="DE23" s="97"/>
      <c r="DF23" s="97"/>
      <c r="DG23" s="97"/>
      <c r="DH23" s="104"/>
      <c r="DI23" s="104"/>
      <c r="DJ23" s="104"/>
      <c r="DK23" s="104"/>
      <c r="DL23" s="104"/>
      <c r="DM23" s="104"/>
      <c r="DN23" s="104"/>
      <c r="DO23" s="104"/>
      <c r="DP23" s="104"/>
      <c r="DQ23" s="104"/>
      <c r="DR23" s="104"/>
      <c r="DS23" s="399"/>
      <c r="DT23" s="90"/>
      <c r="DU23" s="97"/>
      <c r="DV23" s="97"/>
      <c r="DW23" s="97"/>
      <c r="DX23" s="97"/>
      <c r="DY23" s="97"/>
      <c r="DZ23" s="97"/>
      <c r="EA23" s="104"/>
      <c r="EB23" s="104"/>
      <c r="EC23" s="104"/>
      <c r="ED23" s="104"/>
      <c r="EE23" s="104"/>
      <c r="EF23" s="104"/>
      <c r="EG23" s="104"/>
      <c r="EH23" s="104"/>
      <c r="EI23" s="104"/>
      <c r="EJ23" s="104"/>
      <c r="EK23" s="104"/>
    </row>
    <row r="24" spans="1:141" ht="24">
      <c r="A24" s="330" t="s">
        <v>1165</v>
      </c>
      <c r="B24" s="216"/>
      <c r="C24" s="165"/>
      <c r="D24" s="535" t="s">
        <v>98</v>
      </c>
      <c r="E24" s="536">
        <v>0</v>
      </c>
      <c r="F24" s="537" t="s">
        <v>1139</v>
      </c>
      <c r="G24" s="430" t="s">
        <v>93</v>
      </c>
      <c r="H24" s="539" t="s">
        <v>98</v>
      </c>
      <c r="I24" s="539" t="s">
        <v>98</v>
      </c>
      <c r="J24" s="540">
        <v>1</v>
      </c>
      <c r="K24" s="430" t="s">
        <v>679</v>
      </c>
      <c r="L24" s="532">
        <f t="shared" si="0"/>
        <v>0</v>
      </c>
      <c r="M24" s="533"/>
      <c r="N24" s="534"/>
      <c r="O24" s="538"/>
      <c r="P24" s="532">
        <f t="shared" si="1"/>
        <v>0</v>
      </c>
      <c r="Q24" s="533"/>
      <c r="R24" s="534"/>
      <c r="S24" s="538"/>
      <c r="T24" s="532">
        <f t="shared" si="2"/>
        <v>0</v>
      </c>
      <c r="U24" s="533"/>
      <c r="V24" s="534"/>
      <c r="W24" s="538"/>
      <c r="X24" s="532">
        <f t="shared" si="3"/>
        <v>0</v>
      </c>
      <c r="Y24" s="533"/>
      <c r="Z24" s="534"/>
      <c r="AA24" s="538"/>
      <c r="AB24" s="90">
        <f t="shared" si="4"/>
        <v>0</v>
      </c>
      <c r="AC24" s="91"/>
      <c r="AD24" s="92"/>
      <c r="AE24" s="206"/>
      <c r="AF24" s="90">
        <f t="shared" si="5"/>
        <v>0</v>
      </c>
      <c r="AG24" s="91"/>
      <c r="AH24" s="92"/>
      <c r="AI24" s="93"/>
      <c r="AJ24" s="90">
        <f t="shared" si="6"/>
        <v>0</v>
      </c>
      <c r="AK24" s="91"/>
      <c r="AL24" s="92"/>
      <c r="AM24" s="93"/>
      <c r="AN24" s="90">
        <f t="shared" si="7"/>
        <v>0</v>
      </c>
      <c r="AO24" s="91"/>
      <c r="AP24" s="92"/>
      <c r="AQ24" s="93"/>
      <c r="AR24" s="90">
        <f t="shared" si="8"/>
        <v>0</v>
      </c>
      <c r="AS24" s="91"/>
      <c r="AT24" s="92"/>
      <c r="AU24" s="93"/>
      <c r="AV24" s="90">
        <f t="shared" si="9"/>
        <v>0</v>
      </c>
      <c r="AW24" s="91"/>
      <c r="AX24" s="92"/>
      <c r="AY24" s="206"/>
      <c r="AZ24" s="90">
        <f t="shared" si="10"/>
        <v>0</v>
      </c>
      <c r="BA24" s="91"/>
      <c r="BB24" s="92"/>
      <c r="BC24" s="93"/>
      <c r="BD24" s="90">
        <f t="shared" si="11"/>
        <v>0</v>
      </c>
      <c r="BE24" s="91"/>
      <c r="BF24" s="92"/>
      <c r="BG24" s="93"/>
      <c r="BH24" s="90">
        <f t="shared" si="12"/>
        <v>0</v>
      </c>
      <c r="BI24" s="91"/>
      <c r="BJ24" s="92"/>
      <c r="BK24" s="93"/>
      <c r="BL24" s="90">
        <f t="shared" si="13"/>
        <v>0</v>
      </c>
      <c r="BM24" s="91"/>
      <c r="BN24" s="92"/>
      <c r="BO24" s="93"/>
      <c r="BP24" s="90">
        <f t="shared" si="14"/>
        <v>0</v>
      </c>
      <c r="BQ24" s="91"/>
      <c r="BR24" s="92"/>
      <c r="BS24" s="206"/>
      <c r="BT24" s="90">
        <f t="shared" si="15"/>
        <v>0</v>
      </c>
      <c r="BU24" s="91"/>
      <c r="BV24" s="92"/>
      <c r="BW24" s="93"/>
      <c r="BX24" s="90">
        <f t="shared" si="16"/>
        <v>0</v>
      </c>
      <c r="BY24" s="91"/>
      <c r="BZ24" s="92"/>
      <c r="CA24" s="93"/>
      <c r="CB24" s="90">
        <f t="shared" si="17"/>
        <v>1</v>
      </c>
      <c r="CC24" s="91"/>
      <c r="CD24" s="92"/>
      <c r="CE24" s="93"/>
      <c r="CF24" s="90">
        <f t="shared" si="18"/>
        <v>0</v>
      </c>
      <c r="CG24" s="91"/>
      <c r="CH24" s="92"/>
      <c r="CI24" s="93"/>
      <c r="CJ24" s="90">
        <f t="shared" si="19"/>
        <v>0</v>
      </c>
      <c r="CK24" s="91"/>
      <c r="CL24" s="92"/>
      <c r="CM24" s="206"/>
      <c r="CN24" s="90">
        <f t="shared" si="20"/>
        <v>0</v>
      </c>
      <c r="CO24" s="91"/>
      <c r="CP24" s="92"/>
      <c r="CQ24" s="93"/>
      <c r="CR24" s="90">
        <f t="shared" si="21"/>
        <v>0</v>
      </c>
      <c r="CS24" s="91"/>
      <c r="CT24" s="92"/>
      <c r="CU24" s="206"/>
      <c r="CV24" s="399"/>
      <c r="CW24" s="90"/>
      <c r="CX24" s="90"/>
      <c r="CY24" s="90"/>
      <c r="CZ24" s="90"/>
      <c r="DA24" s="90"/>
      <c r="DB24" s="97"/>
      <c r="DC24" s="97"/>
      <c r="DD24" s="97"/>
      <c r="DE24" s="97"/>
      <c r="DF24" s="97"/>
      <c r="DG24" s="97"/>
      <c r="DH24" s="104"/>
      <c r="DI24" s="104"/>
      <c r="DJ24" s="104"/>
      <c r="DK24" s="104"/>
      <c r="DL24" s="104"/>
      <c r="DM24" s="104"/>
      <c r="DN24" s="104"/>
      <c r="DO24" s="104"/>
      <c r="DP24" s="104"/>
      <c r="DQ24" s="104"/>
      <c r="DR24" s="104"/>
      <c r="DS24" s="399"/>
      <c r="DT24" s="90"/>
      <c r="DU24" s="97"/>
      <c r="DV24" s="97"/>
      <c r="DW24" s="97"/>
      <c r="DX24" s="97"/>
      <c r="DY24" s="97"/>
      <c r="DZ24" s="97"/>
      <c r="EA24" s="104"/>
      <c r="EB24" s="104"/>
      <c r="EC24" s="104"/>
      <c r="ED24" s="104"/>
      <c r="EE24" s="104"/>
      <c r="EF24" s="104"/>
      <c r="EG24" s="104"/>
      <c r="EH24" s="104"/>
      <c r="EI24" s="104"/>
      <c r="EJ24" s="104"/>
      <c r="EK24" s="104"/>
    </row>
    <row r="25" spans="1:141" ht="24">
      <c r="A25" s="330" t="s">
        <v>1166</v>
      </c>
      <c r="B25" s="216"/>
      <c r="C25" s="165"/>
      <c r="D25" s="535" t="s">
        <v>98</v>
      </c>
      <c r="E25" s="536">
        <v>0</v>
      </c>
      <c r="F25" s="537" t="s">
        <v>1140</v>
      </c>
      <c r="G25" s="430" t="s">
        <v>93</v>
      </c>
      <c r="H25" s="539" t="s">
        <v>98</v>
      </c>
      <c r="I25" s="539" t="s">
        <v>98</v>
      </c>
      <c r="J25" s="540">
        <v>1</v>
      </c>
      <c r="K25" s="430" t="s">
        <v>679</v>
      </c>
      <c r="L25" s="532">
        <f t="shared" si="0"/>
        <v>0</v>
      </c>
      <c r="M25" s="533"/>
      <c r="N25" s="534"/>
      <c r="O25" s="538"/>
      <c r="P25" s="532">
        <f t="shared" si="1"/>
        <v>0</v>
      </c>
      <c r="Q25" s="533"/>
      <c r="R25" s="534"/>
      <c r="S25" s="538"/>
      <c r="T25" s="532">
        <f t="shared" si="2"/>
        <v>0</v>
      </c>
      <c r="U25" s="533"/>
      <c r="V25" s="534"/>
      <c r="W25" s="538"/>
      <c r="X25" s="532">
        <f t="shared" si="3"/>
        <v>0</v>
      </c>
      <c r="Y25" s="533"/>
      <c r="Z25" s="534"/>
      <c r="AA25" s="538"/>
      <c r="AB25" s="90">
        <f t="shared" si="4"/>
        <v>0</v>
      </c>
      <c r="AC25" s="91"/>
      <c r="AD25" s="92"/>
      <c r="AE25" s="206"/>
      <c r="AF25" s="90">
        <f t="shared" si="5"/>
        <v>0</v>
      </c>
      <c r="AG25" s="91"/>
      <c r="AH25" s="92"/>
      <c r="AI25" s="93"/>
      <c r="AJ25" s="90">
        <f t="shared" si="6"/>
        <v>0</v>
      </c>
      <c r="AK25" s="91"/>
      <c r="AL25" s="92"/>
      <c r="AM25" s="93"/>
      <c r="AN25" s="90">
        <f t="shared" si="7"/>
        <v>0</v>
      </c>
      <c r="AO25" s="91"/>
      <c r="AP25" s="92"/>
      <c r="AQ25" s="93"/>
      <c r="AR25" s="90">
        <f t="shared" si="8"/>
        <v>0</v>
      </c>
      <c r="AS25" s="91"/>
      <c r="AT25" s="92"/>
      <c r="AU25" s="93"/>
      <c r="AV25" s="90">
        <f t="shared" si="9"/>
        <v>0</v>
      </c>
      <c r="AW25" s="91"/>
      <c r="AX25" s="92"/>
      <c r="AY25" s="206"/>
      <c r="AZ25" s="90">
        <f t="shared" si="10"/>
        <v>0</v>
      </c>
      <c r="BA25" s="91"/>
      <c r="BB25" s="92"/>
      <c r="BC25" s="93"/>
      <c r="BD25" s="90">
        <f t="shared" si="11"/>
        <v>0</v>
      </c>
      <c r="BE25" s="91"/>
      <c r="BF25" s="92"/>
      <c r="BG25" s="93"/>
      <c r="BH25" s="90">
        <f t="shared" si="12"/>
        <v>0</v>
      </c>
      <c r="BI25" s="91"/>
      <c r="BJ25" s="92"/>
      <c r="BK25" s="93"/>
      <c r="BL25" s="90">
        <f t="shared" si="13"/>
        <v>0</v>
      </c>
      <c r="BM25" s="91"/>
      <c r="BN25" s="92"/>
      <c r="BO25" s="93"/>
      <c r="BP25" s="90">
        <f t="shared" si="14"/>
        <v>0</v>
      </c>
      <c r="BQ25" s="91"/>
      <c r="BR25" s="92"/>
      <c r="BS25" s="206"/>
      <c r="BT25" s="90">
        <f t="shared" si="15"/>
        <v>0</v>
      </c>
      <c r="BU25" s="91"/>
      <c r="BV25" s="92"/>
      <c r="BW25" s="93"/>
      <c r="BX25" s="90">
        <f t="shared" si="16"/>
        <v>0</v>
      </c>
      <c r="BY25" s="91"/>
      <c r="BZ25" s="92"/>
      <c r="CA25" s="93"/>
      <c r="CB25" s="90">
        <f t="shared" si="17"/>
        <v>0</v>
      </c>
      <c r="CC25" s="91"/>
      <c r="CD25" s="92"/>
      <c r="CE25" s="93"/>
      <c r="CF25" s="90">
        <f t="shared" si="18"/>
        <v>1</v>
      </c>
      <c r="CG25" s="91"/>
      <c r="CH25" s="92"/>
      <c r="CI25" s="93"/>
      <c r="CJ25" s="90">
        <f t="shared" si="19"/>
        <v>0</v>
      </c>
      <c r="CK25" s="91"/>
      <c r="CL25" s="92"/>
      <c r="CM25" s="206"/>
      <c r="CN25" s="90">
        <f t="shared" si="20"/>
        <v>0</v>
      </c>
      <c r="CO25" s="91"/>
      <c r="CP25" s="92"/>
      <c r="CQ25" s="93"/>
      <c r="CR25" s="90">
        <f t="shared" si="21"/>
        <v>0</v>
      </c>
      <c r="CS25" s="91"/>
      <c r="CT25" s="92"/>
      <c r="CU25" s="206"/>
      <c r="CV25" s="399"/>
      <c r="CW25" s="90"/>
      <c r="CX25" s="90"/>
      <c r="CY25" s="90"/>
      <c r="CZ25" s="90"/>
      <c r="DA25" s="90"/>
      <c r="DB25" s="97"/>
      <c r="DC25" s="97"/>
      <c r="DD25" s="97"/>
      <c r="DE25" s="97"/>
      <c r="DF25" s="97"/>
      <c r="DG25" s="97"/>
      <c r="DH25" s="104"/>
      <c r="DI25" s="104"/>
      <c r="DJ25" s="104"/>
      <c r="DK25" s="104"/>
      <c r="DL25" s="104"/>
      <c r="DM25" s="104"/>
      <c r="DN25" s="104"/>
      <c r="DO25" s="104"/>
      <c r="DP25" s="104"/>
      <c r="DQ25" s="104"/>
      <c r="DR25" s="104"/>
      <c r="DS25" s="399"/>
      <c r="DT25" s="90"/>
      <c r="DU25" s="97"/>
      <c r="DV25" s="97"/>
      <c r="DW25" s="97"/>
      <c r="DX25" s="97"/>
      <c r="DY25" s="97"/>
      <c r="DZ25" s="97"/>
      <c r="EA25" s="104"/>
      <c r="EB25" s="104"/>
      <c r="EC25" s="104"/>
      <c r="ED25" s="104"/>
      <c r="EE25" s="104"/>
      <c r="EF25" s="104"/>
      <c r="EG25" s="104"/>
      <c r="EH25" s="104"/>
      <c r="EI25" s="104"/>
      <c r="EJ25" s="104"/>
      <c r="EK25" s="104"/>
    </row>
    <row r="26" spans="1:141" ht="36">
      <c r="A26" s="330" t="s">
        <v>1167</v>
      </c>
      <c r="B26" s="216"/>
      <c r="C26" s="165"/>
      <c r="D26" s="535" t="s">
        <v>98</v>
      </c>
      <c r="E26" s="536">
        <v>0</v>
      </c>
      <c r="F26" s="537" t="s">
        <v>1141</v>
      </c>
      <c r="G26" s="430" t="s">
        <v>93</v>
      </c>
      <c r="H26" s="539" t="s">
        <v>98</v>
      </c>
      <c r="I26" s="539" t="s">
        <v>98</v>
      </c>
      <c r="J26" s="540">
        <v>1</v>
      </c>
      <c r="K26" s="430" t="s">
        <v>679</v>
      </c>
      <c r="L26" s="532">
        <f t="shared" si="0"/>
        <v>0</v>
      </c>
      <c r="M26" s="533"/>
      <c r="N26" s="534"/>
      <c r="O26" s="538"/>
      <c r="P26" s="532">
        <f t="shared" si="1"/>
        <v>0</v>
      </c>
      <c r="Q26" s="533"/>
      <c r="R26" s="534"/>
      <c r="S26" s="538"/>
      <c r="T26" s="532">
        <f t="shared" si="2"/>
        <v>0</v>
      </c>
      <c r="U26" s="533"/>
      <c r="V26" s="534"/>
      <c r="W26" s="538"/>
      <c r="X26" s="532">
        <f t="shared" si="3"/>
        <v>0</v>
      </c>
      <c r="Y26" s="533"/>
      <c r="Z26" s="534"/>
      <c r="AA26" s="538"/>
      <c r="AB26" s="90">
        <f t="shared" si="4"/>
        <v>0</v>
      </c>
      <c r="AC26" s="91"/>
      <c r="AD26" s="92"/>
      <c r="AE26" s="206"/>
      <c r="AF26" s="90">
        <f t="shared" si="5"/>
        <v>0</v>
      </c>
      <c r="AG26" s="91"/>
      <c r="AH26" s="92"/>
      <c r="AI26" s="93"/>
      <c r="AJ26" s="90">
        <f t="shared" si="6"/>
        <v>0</v>
      </c>
      <c r="AK26" s="91"/>
      <c r="AL26" s="92"/>
      <c r="AM26" s="93"/>
      <c r="AN26" s="90">
        <f t="shared" si="7"/>
        <v>0</v>
      </c>
      <c r="AO26" s="91"/>
      <c r="AP26" s="92"/>
      <c r="AQ26" s="93"/>
      <c r="AR26" s="90">
        <f t="shared" si="8"/>
        <v>0</v>
      </c>
      <c r="AS26" s="91"/>
      <c r="AT26" s="92"/>
      <c r="AU26" s="93"/>
      <c r="AV26" s="90">
        <f t="shared" si="9"/>
        <v>0</v>
      </c>
      <c r="AW26" s="91"/>
      <c r="AX26" s="92"/>
      <c r="AY26" s="206"/>
      <c r="AZ26" s="90">
        <f t="shared" si="10"/>
        <v>0</v>
      </c>
      <c r="BA26" s="91"/>
      <c r="BB26" s="92"/>
      <c r="BC26" s="93"/>
      <c r="BD26" s="90">
        <f t="shared" si="11"/>
        <v>0</v>
      </c>
      <c r="BE26" s="91"/>
      <c r="BF26" s="92"/>
      <c r="BG26" s="93"/>
      <c r="BH26" s="90">
        <f t="shared" si="12"/>
        <v>0</v>
      </c>
      <c r="BI26" s="91"/>
      <c r="BJ26" s="92"/>
      <c r="BK26" s="93"/>
      <c r="BL26" s="90">
        <f t="shared" si="13"/>
        <v>0</v>
      </c>
      <c r="BM26" s="91"/>
      <c r="BN26" s="92"/>
      <c r="BO26" s="93"/>
      <c r="BP26" s="90">
        <f t="shared" si="14"/>
        <v>0</v>
      </c>
      <c r="BQ26" s="91"/>
      <c r="BR26" s="92"/>
      <c r="BS26" s="206"/>
      <c r="BT26" s="90">
        <f t="shared" si="15"/>
        <v>0</v>
      </c>
      <c r="BU26" s="91"/>
      <c r="BV26" s="92"/>
      <c r="BW26" s="93"/>
      <c r="BX26" s="90">
        <f t="shared" si="16"/>
        <v>0</v>
      </c>
      <c r="BY26" s="91"/>
      <c r="BZ26" s="92"/>
      <c r="CA26" s="93"/>
      <c r="CB26" s="90">
        <f t="shared" si="17"/>
        <v>0</v>
      </c>
      <c r="CC26" s="91"/>
      <c r="CD26" s="92"/>
      <c r="CE26" s="93"/>
      <c r="CF26" s="90">
        <f t="shared" si="18"/>
        <v>0</v>
      </c>
      <c r="CG26" s="91"/>
      <c r="CH26" s="92"/>
      <c r="CI26" s="93"/>
      <c r="CJ26" s="90">
        <f t="shared" si="19"/>
        <v>1</v>
      </c>
      <c r="CK26" s="91"/>
      <c r="CL26" s="92"/>
      <c r="CM26" s="206"/>
      <c r="CN26" s="90">
        <f t="shared" si="20"/>
        <v>0</v>
      </c>
      <c r="CO26" s="91"/>
      <c r="CP26" s="92"/>
      <c r="CQ26" s="93"/>
      <c r="CR26" s="90">
        <f t="shared" si="21"/>
        <v>0</v>
      </c>
      <c r="CS26" s="91"/>
      <c r="CT26" s="92"/>
      <c r="CU26" s="206"/>
      <c r="CV26" s="399"/>
      <c r="CW26" s="90"/>
      <c r="CX26" s="90"/>
      <c r="CY26" s="90"/>
      <c r="CZ26" s="90"/>
      <c r="DA26" s="90"/>
      <c r="DB26" s="97"/>
      <c r="DC26" s="97"/>
      <c r="DD26" s="97"/>
      <c r="DE26" s="97"/>
      <c r="DF26" s="97"/>
      <c r="DG26" s="97"/>
      <c r="DH26" s="104"/>
      <c r="DI26" s="104"/>
      <c r="DJ26" s="104"/>
      <c r="DK26" s="104"/>
      <c r="DL26" s="104"/>
      <c r="DM26" s="104"/>
      <c r="DN26" s="104"/>
      <c r="DO26" s="104"/>
      <c r="DP26" s="104"/>
      <c r="DQ26" s="104"/>
      <c r="DR26" s="104"/>
      <c r="DS26" s="399"/>
      <c r="DT26" s="90"/>
      <c r="DU26" s="97"/>
      <c r="DV26" s="97"/>
      <c r="DW26" s="97"/>
      <c r="DX26" s="97"/>
      <c r="DY26" s="97"/>
      <c r="DZ26" s="97"/>
      <c r="EA26" s="104"/>
      <c r="EB26" s="104"/>
      <c r="EC26" s="104"/>
      <c r="ED26" s="104"/>
      <c r="EE26" s="104"/>
      <c r="EF26" s="104"/>
      <c r="EG26" s="104"/>
      <c r="EH26" s="104"/>
      <c r="EI26" s="104"/>
      <c r="EJ26" s="104"/>
      <c r="EK26" s="104"/>
    </row>
    <row r="27" spans="1:141" ht="24">
      <c r="A27" s="330" t="s">
        <v>1168</v>
      </c>
      <c r="B27" s="216"/>
      <c r="C27" s="165"/>
      <c r="D27" s="535" t="s">
        <v>98</v>
      </c>
      <c r="E27" s="536">
        <v>0</v>
      </c>
      <c r="F27" s="537" t="s">
        <v>1142</v>
      </c>
      <c r="G27" s="430" t="s">
        <v>340</v>
      </c>
      <c r="H27" s="539" t="s">
        <v>98</v>
      </c>
      <c r="I27" s="539" t="s">
        <v>98</v>
      </c>
      <c r="J27" s="540">
        <v>1</v>
      </c>
      <c r="K27" s="430" t="s">
        <v>679</v>
      </c>
      <c r="L27" s="532">
        <f t="shared" si="0"/>
        <v>0</v>
      </c>
      <c r="M27" s="533"/>
      <c r="N27" s="534"/>
      <c r="O27" s="538"/>
      <c r="P27" s="532">
        <f t="shared" si="1"/>
        <v>0</v>
      </c>
      <c r="Q27" s="533"/>
      <c r="R27" s="534"/>
      <c r="S27" s="538"/>
      <c r="T27" s="532">
        <f t="shared" si="2"/>
        <v>0</v>
      </c>
      <c r="U27" s="533"/>
      <c r="V27" s="534"/>
      <c r="W27" s="538"/>
      <c r="X27" s="532">
        <f t="shared" si="3"/>
        <v>0</v>
      </c>
      <c r="Y27" s="533"/>
      <c r="Z27" s="534"/>
      <c r="AA27" s="538"/>
      <c r="AB27" s="90">
        <f t="shared" si="4"/>
        <v>0</v>
      </c>
      <c r="AC27" s="91"/>
      <c r="AD27" s="92"/>
      <c r="AE27" s="206"/>
      <c r="AF27" s="90">
        <f t="shared" si="5"/>
        <v>0</v>
      </c>
      <c r="AG27" s="91"/>
      <c r="AH27" s="92"/>
      <c r="AI27" s="93"/>
      <c r="AJ27" s="90">
        <f t="shared" si="6"/>
        <v>0</v>
      </c>
      <c r="AK27" s="91"/>
      <c r="AL27" s="92"/>
      <c r="AM27" s="93"/>
      <c r="AN27" s="90">
        <f t="shared" si="7"/>
        <v>0</v>
      </c>
      <c r="AO27" s="91"/>
      <c r="AP27" s="92"/>
      <c r="AQ27" s="93"/>
      <c r="AR27" s="90">
        <f t="shared" si="8"/>
        <v>0</v>
      </c>
      <c r="AS27" s="91"/>
      <c r="AT27" s="92"/>
      <c r="AU27" s="93"/>
      <c r="AV27" s="90">
        <f t="shared" si="9"/>
        <v>0</v>
      </c>
      <c r="AW27" s="91"/>
      <c r="AX27" s="92"/>
      <c r="AY27" s="206"/>
      <c r="AZ27" s="90">
        <f t="shared" si="10"/>
        <v>0</v>
      </c>
      <c r="BA27" s="91"/>
      <c r="BB27" s="92"/>
      <c r="BC27" s="93"/>
      <c r="BD27" s="90">
        <f t="shared" si="11"/>
        <v>0</v>
      </c>
      <c r="BE27" s="91"/>
      <c r="BF27" s="92"/>
      <c r="BG27" s="93"/>
      <c r="BH27" s="90">
        <f t="shared" si="12"/>
        <v>0</v>
      </c>
      <c r="BI27" s="91"/>
      <c r="BJ27" s="92"/>
      <c r="BK27" s="93"/>
      <c r="BL27" s="90">
        <f t="shared" si="13"/>
        <v>0</v>
      </c>
      <c r="BM27" s="91"/>
      <c r="BN27" s="92"/>
      <c r="BO27" s="93"/>
      <c r="BP27" s="90">
        <f t="shared" si="14"/>
        <v>0</v>
      </c>
      <c r="BQ27" s="91"/>
      <c r="BR27" s="92"/>
      <c r="BS27" s="206"/>
      <c r="BT27" s="90">
        <f t="shared" si="15"/>
        <v>0</v>
      </c>
      <c r="BU27" s="91"/>
      <c r="BV27" s="92"/>
      <c r="BW27" s="93"/>
      <c r="BX27" s="90">
        <f t="shared" si="16"/>
        <v>0</v>
      </c>
      <c r="BY27" s="91"/>
      <c r="BZ27" s="92"/>
      <c r="CA27" s="93"/>
      <c r="CB27" s="90">
        <f t="shared" si="17"/>
        <v>0</v>
      </c>
      <c r="CC27" s="91"/>
      <c r="CD27" s="92"/>
      <c r="CE27" s="93"/>
      <c r="CF27" s="90">
        <f t="shared" si="18"/>
        <v>0</v>
      </c>
      <c r="CG27" s="91"/>
      <c r="CH27" s="92"/>
      <c r="CI27" s="93"/>
      <c r="CJ27" s="90">
        <f t="shared" si="19"/>
        <v>0</v>
      </c>
      <c r="CK27" s="91"/>
      <c r="CL27" s="92"/>
      <c r="CM27" s="206"/>
      <c r="CN27" s="90">
        <f t="shared" si="20"/>
        <v>1</v>
      </c>
      <c r="CO27" s="91"/>
      <c r="CP27" s="92"/>
      <c r="CQ27" s="93"/>
      <c r="CR27" s="90">
        <f t="shared" si="21"/>
        <v>0</v>
      </c>
      <c r="CS27" s="91"/>
      <c r="CT27" s="92"/>
      <c r="CU27" s="206"/>
      <c r="CV27" s="399"/>
      <c r="CW27" s="90"/>
      <c r="CX27" s="90"/>
      <c r="CY27" s="90"/>
      <c r="CZ27" s="90"/>
      <c r="DA27" s="90"/>
      <c r="DB27" s="97"/>
      <c r="DC27" s="97"/>
      <c r="DD27" s="97"/>
      <c r="DE27" s="97"/>
      <c r="DF27" s="97"/>
      <c r="DG27" s="97"/>
      <c r="DH27" s="104"/>
      <c r="DI27" s="104"/>
      <c r="DJ27" s="104"/>
      <c r="DK27" s="104"/>
      <c r="DL27" s="104"/>
      <c r="DM27" s="104"/>
      <c r="DN27" s="104"/>
      <c r="DO27" s="104"/>
      <c r="DP27" s="104"/>
      <c r="DQ27" s="104"/>
      <c r="DR27" s="104"/>
      <c r="DS27" s="399"/>
      <c r="DT27" s="90"/>
      <c r="DU27" s="97"/>
      <c r="DV27" s="97"/>
      <c r="DW27" s="97"/>
      <c r="DX27" s="97"/>
      <c r="DY27" s="97"/>
      <c r="DZ27" s="97"/>
      <c r="EA27" s="104"/>
      <c r="EB27" s="104"/>
      <c r="EC27" s="104"/>
      <c r="ED27" s="104"/>
      <c r="EE27" s="104"/>
      <c r="EF27" s="104"/>
      <c r="EG27" s="104"/>
      <c r="EH27" s="104"/>
      <c r="EI27" s="104"/>
      <c r="EJ27" s="104"/>
      <c r="EK27" s="104"/>
    </row>
    <row r="28" spans="1:141" ht="24">
      <c r="A28" s="330" t="s">
        <v>1169</v>
      </c>
      <c r="B28" s="216"/>
      <c r="C28" s="165"/>
      <c r="D28" s="535" t="s">
        <v>98</v>
      </c>
      <c r="E28" s="536">
        <v>0</v>
      </c>
      <c r="F28" s="537" t="s">
        <v>1143</v>
      </c>
      <c r="G28" s="430" t="s">
        <v>372</v>
      </c>
      <c r="H28" s="539" t="s">
        <v>98</v>
      </c>
      <c r="I28" s="539" t="s">
        <v>98</v>
      </c>
      <c r="J28" s="540">
        <v>1</v>
      </c>
      <c r="K28" s="430" t="s">
        <v>679</v>
      </c>
      <c r="L28" s="532">
        <f t="shared" si="0"/>
        <v>0</v>
      </c>
      <c r="M28" s="533"/>
      <c r="N28" s="534"/>
      <c r="O28" s="538"/>
      <c r="P28" s="532">
        <f t="shared" si="1"/>
        <v>0</v>
      </c>
      <c r="Q28" s="533"/>
      <c r="R28" s="534"/>
      <c r="S28" s="538"/>
      <c r="T28" s="532">
        <f t="shared" si="2"/>
        <v>0</v>
      </c>
      <c r="U28" s="533"/>
      <c r="V28" s="534"/>
      <c r="W28" s="538"/>
      <c r="X28" s="532">
        <f t="shared" si="3"/>
        <v>0</v>
      </c>
      <c r="Y28" s="533"/>
      <c r="Z28" s="534"/>
      <c r="AA28" s="538"/>
      <c r="AB28" s="90">
        <f t="shared" si="4"/>
        <v>0</v>
      </c>
      <c r="AC28" s="91"/>
      <c r="AD28" s="92"/>
      <c r="AE28" s="206"/>
      <c r="AF28" s="90">
        <f t="shared" si="5"/>
        <v>0</v>
      </c>
      <c r="AG28" s="91"/>
      <c r="AH28" s="92"/>
      <c r="AI28" s="93"/>
      <c r="AJ28" s="90">
        <f t="shared" si="6"/>
        <v>0</v>
      </c>
      <c r="AK28" s="91"/>
      <c r="AL28" s="92"/>
      <c r="AM28" s="93"/>
      <c r="AN28" s="90">
        <f t="shared" si="7"/>
        <v>0</v>
      </c>
      <c r="AO28" s="91"/>
      <c r="AP28" s="92"/>
      <c r="AQ28" s="93"/>
      <c r="AR28" s="90">
        <f t="shared" si="8"/>
        <v>0</v>
      </c>
      <c r="AS28" s="91"/>
      <c r="AT28" s="92"/>
      <c r="AU28" s="93"/>
      <c r="AV28" s="90">
        <f t="shared" si="9"/>
        <v>0</v>
      </c>
      <c r="AW28" s="91"/>
      <c r="AX28" s="92"/>
      <c r="AY28" s="206"/>
      <c r="AZ28" s="90">
        <f t="shared" si="10"/>
        <v>0</v>
      </c>
      <c r="BA28" s="91"/>
      <c r="BB28" s="92"/>
      <c r="BC28" s="93"/>
      <c r="BD28" s="90">
        <f t="shared" si="11"/>
        <v>0</v>
      </c>
      <c r="BE28" s="91"/>
      <c r="BF28" s="92"/>
      <c r="BG28" s="93"/>
      <c r="BH28" s="90">
        <f t="shared" si="12"/>
        <v>0</v>
      </c>
      <c r="BI28" s="91"/>
      <c r="BJ28" s="92"/>
      <c r="BK28" s="93"/>
      <c r="BL28" s="90">
        <f t="shared" si="13"/>
        <v>0</v>
      </c>
      <c r="BM28" s="91"/>
      <c r="BN28" s="92"/>
      <c r="BO28" s="93"/>
      <c r="BP28" s="90">
        <f t="shared" si="14"/>
        <v>0</v>
      </c>
      <c r="BQ28" s="91"/>
      <c r="BR28" s="92"/>
      <c r="BS28" s="206"/>
      <c r="BT28" s="90">
        <f t="shared" si="15"/>
        <v>0</v>
      </c>
      <c r="BU28" s="91"/>
      <c r="BV28" s="92"/>
      <c r="BW28" s="93"/>
      <c r="BX28" s="90">
        <f t="shared" si="16"/>
        <v>0</v>
      </c>
      <c r="BY28" s="91"/>
      <c r="BZ28" s="92"/>
      <c r="CA28" s="93"/>
      <c r="CB28" s="90">
        <f t="shared" si="17"/>
        <v>0</v>
      </c>
      <c r="CC28" s="91"/>
      <c r="CD28" s="92"/>
      <c r="CE28" s="93"/>
      <c r="CF28" s="90">
        <f t="shared" si="18"/>
        <v>0</v>
      </c>
      <c r="CG28" s="91"/>
      <c r="CH28" s="92"/>
      <c r="CI28" s="93"/>
      <c r="CJ28" s="90">
        <f t="shared" si="19"/>
        <v>0</v>
      </c>
      <c r="CK28" s="91"/>
      <c r="CL28" s="92"/>
      <c r="CM28" s="206"/>
      <c r="CN28" s="90">
        <f t="shared" si="20"/>
        <v>0</v>
      </c>
      <c r="CO28" s="91"/>
      <c r="CP28" s="92"/>
      <c r="CQ28" s="93"/>
      <c r="CR28" s="90">
        <f t="shared" si="21"/>
        <v>1</v>
      </c>
      <c r="CS28" s="91"/>
      <c r="CT28" s="92"/>
      <c r="CU28" s="206"/>
      <c r="CV28" s="399"/>
      <c r="CW28" s="90"/>
      <c r="CX28" s="90"/>
      <c r="CY28" s="90"/>
      <c r="CZ28" s="90"/>
      <c r="DA28" s="90"/>
      <c r="DB28" s="97"/>
      <c r="DC28" s="97"/>
      <c r="DD28" s="97"/>
      <c r="DE28" s="97"/>
      <c r="DF28" s="97"/>
      <c r="DG28" s="97"/>
      <c r="DH28" s="104"/>
      <c r="DI28" s="104"/>
      <c r="DJ28" s="104"/>
      <c r="DK28" s="104"/>
      <c r="DL28" s="104"/>
      <c r="DM28" s="104"/>
      <c r="DN28" s="104"/>
      <c r="DO28" s="104"/>
      <c r="DP28" s="104"/>
      <c r="DQ28" s="104"/>
      <c r="DR28" s="104"/>
      <c r="DS28" s="399"/>
      <c r="DT28" s="90"/>
      <c r="DU28" s="97"/>
      <c r="DV28" s="97"/>
      <c r="DW28" s="97"/>
      <c r="DX28" s="97"/>
      <c r="DY28" s="97"/>
      <c r="DZ28" s="97"/>
      <c r="EA28" s="104"/>
      <c r="EB28" s="104"/>
      <c r="EC28" s="104"/>
      <c r="ED28" s="104"/>
      <c r="EE28" s="104"/>
      <c r="EF28" s="104"/>
      <c r="EG28" s="104"/>
      <c r="EH28" s="104"/>
      <c r="EI28" s="104"/>
      <c r="EJ28" s="104"/>
      <c r="EK28" s="104"/>
    </row>
    <row r="29" spans="1:141" ht="36" collapsed="1">
      <c r="A29" s="330" t="s">
        <v>945</v>
      </c>
      <c r="B29" s="216"/>
      <c r="C29" s="165"/>
      <c r="D29" s="515">
        <v>5</v>
      </c>
      <c r="E29" s="343" t="s">
        <v>98</v>
      </c>
      <c r="F29" s="437" t="s">
        <v>933</v>
      </c>
      <c r="G29" s="438" t="s">
        <v>372</v>
      </c>
      <c r="H29" s="455" t="s">
        <v>98</v>
      </c>
      <c r="I29" s="455" t="s">
        <v>98</v>
      </c>
      <c r="J29" s="336">
        <v>0</v>
      </c>
      <c r="K29" s="438" t="s">
        <v>679</v>
      </c>
      <c r="L29" s="440">
        <f>CW29</f>
        <v>0.47766655737704899</v>
      </c>
      <c r="M29" s="336">
        <v>1</v>
      </c>
      <c r="N29" s="337">
        <f t="shared" ref="N29:N60" si="22">$DK29</f>
        <v>1.0722009304576894</v>
      </c>
      <c r="O29" s="455" t="str">
        <f t="shared" ref="O29:O60" si="23">$DL29&amp;"; "&amp;$DA29</f>
        <v>(2,1,1,2,1,1); Industry data (French tender); Ratio PECVD/LPCVD acc. ITRPV (2025)</v>
      </c>
      <c r="P29" s="440">
        <f>CX29</f>
        <v>0.46851756440281001</v>
      </c>
      <c r="Q29" s="336">
        <v>1</v>
      </c>
      <c r="R29" s="337">
        <f t="shared" ref="R29:R60" si="24">$DK29</f>
        <v>1.0722009304576894</v>
      </c>
      <c r="S29" s="455" t="str">
        <f t="shared" ref="S29:S60" si="25">$DL29&amp;"; "&amp;$DA29</f>
        <v>(2,1,1,2,1,1); Industry data (French tender); Ratio PECVD/LPCVD acc. ITRPV (2025)</v>
      </c>
      <c r="T29" s="440">
        <f>CY29</f>
        <v>0.47613761467889898</v>
      </c>
      <c r="U29" s="336">
        <v>1</v>
      </c>
      <c r="V29" s="337">
        <f t="shared" ref="V29:V60" si="26">$DK29</f>
        <v>1.0722009304576894</v>
      </c>
      <c r="W29" s="455" t="str">
        <f t="shared" ref="W29:W60" si="27">$DL29&amp;"; "&amp;$DA29</f>
        <v>(2,1,1,2,1,1); Industry data (French tender); Ratio PECVD/LPCVD acc. ITRPV (2025)</v>
      </c>
      <c r="X29" s="440">
        <f>CZ29</f>
        <v>0.46246170442286899</v>
      </c>
      <c r="Y29" s="336">
        <v>1</v>
      </c>
      <c r="Z29" s="337">
        <f t="shared" ref="Z29:Z60" si="28">$DK29</f>
        <v>1.0722009304576894</v>
      </c>
      <c r="AA29" s="437" t="str">
        <f t="shared" ref="AA29:AA60" si="29">$DL29&amp;"; "&amp;$DA29</f>
        <v>(2,1,1,2,1,1); Industry data (French tender); Ratio PECVD/LPCVD acc. ITRPV (2025)</v>
      </c>
      <c r="AB29" s="435">
        <v>0.46246170442286899</v>
      </c>
      <c r="AC29" s="95">
        <v>1</v>
      </c>
      <c r="AD29" s="96">
        <f t="shared" ref="AD29:AD60" si="30">$DK29</f>
        <v>1.0722009304576894</v>
      </c>
      <c r="AE29" s="432" t="str">
        <f t="shared" ref="AE29:AE60" si="31">$DL29&amp;"; "&amp;$DA29</f>
        <v>(2,1,1,2,1,1); Industry data (French tender); Ratio PECVD/LPCVD acc. ITRPV (2025)</v>
      </c>
      <c r="AF29" s="435">
        <v>0</v>
      </c>
      <c r="AG29" s="95">
        <v>1</v>
      </c>
      <c r="AH29" s="96">
        <f t="shared" ref="AH29:AH60" si="32">$DK29</f>
        <v>1.0722009304576894</v>
      </c>
      <c r="AI29" s="457" t="str">
        <f t="shared" ref="AI29:AI60" si="33">$DL29&amp;"; "&amp;$DA29</f>
        <v>(2,1,1,2,1,1); Industry data (French tender); Ratio PECVD/LPCVD acc. ITRPV (2025)</v>
      </c>
      <c r="AJ29" s="435">
        <v>0</v>
      </c>
      <c r="AK29" s="95">
        <v>1</v>
      </c>
      <c r="AL29" s="96">
        <f t="shared" ref="AL29:AL60" si="34">$DK29</f>
        <v>1.0722009304576894</v>
      </c>
      <c r="AM29" s="457" t="str">
        <f t="shared" ref="AM29:AM60" si="35">$DL29&amp;"; "&amp;$DA29</f>
        <v>(2,1,1,2,1,1); Industry data (French tender); Ratio PECVD/LPCVD acc. ITRPV (2025)</v>
      </c>
      <c r="AN29" s="435">
        <v>0</v>
      </c>
      <c r="AO29" s="95">
        <v>1</v>
      </c>
      <c r="AP29" s="96">
        <f t="shared" ref="AP29:AP60" si="36">$DK29</f>
        <v>1.0722009304576894</v>
      </c>
      <c r="AQ29" s="457" t="str">
        <f t="shared" ref="AQ29:AQ60" si="37">$DL29&amp;"; "&amp;$DA29</f>
        <v>(2,1,1,2,1,1); Industry data (French tender); Ratio PECVD/LPCVD acc. ITRPV (2025)</v>
      </c>
      <c r="AR29" s="435">
        <v>0</v>
      </c>
      <c r="AS29" s="95">
        <v>1</v>
      </c>
      <c r="AT29" s="96">
        <f t="shared" ref="AT29:AT60" si="38">$DK29</f>
        <v>1.0722009304576894</v>
      </c>
      <c r="AU29" s="457" t="str">
        <f t="shared" ref="AU29:AU60" si="39">$DL29&amp;"; "&amp;$DA29</f>
        <v>(2,1,1,2,1,1); Industry data (French tender); Ratio PECVD/LPCVD acc. ITRPV (2025)</v>
      </c>
      <c r="AV29" s="435">
        <v>0</v>
      </c>
      <c r="AW29" s="95">
        <v>1</v>
      </c>
      <c r="AX29" s="96">
        <f t="shared" ref="AX29:AX60" si="40">$DK29</f>
        <v>1.0722009304576894</v>
      </c>
      <c r="AY29" s="432" t="str">
        <f t="shared" ref="AY29:AY60" si="41">$DL29&amp;"; "&amp;$DA29</f>
        <v>(2,1,1,2,1,1); Industry data (French tender); Ratio PECVD/LPCVD acc. ITRPV (2025)</v>
      </c>
      <c r="AZ29" s="435">
        <v>0</v>
      </c>
      <c r="BA29" s="95">
        <v>1</v>
      </c>
      <c r="BB29" s="96">
        <f t="shared" ref="BB29:BB60" si="42">$DK29</f>
        <v>1.0722009304576894</v>
      </c>
      <c r="BC29" s="457" t="str">
        <f t="shared" ref="BC29:BC60" si="43">$DL29&amp;"; "&amp;$DA29</f>
        <v>(2,1,1,2,1,1); Industry data (French tender); Ratio PECVD/LPCVD acc. ITRPV (2025)</v>
      </c>
      <c r="BD29" s="435">
        <v>0</v>
      </c>
      <c r="BE29" s="95">
        <v>1</v>
      </c>
      <c r="BF29" s="96">
        <f t="shared" ref="BF29:BF60" si="44">$DK29</f>
        <v>1.0722009304576894</v>
      </c>
      <c r="BG29" s="457" t="str">
        <f t="shared" ref="BG29:BG60" si="45">$DL29&amp;"; "&amp;$DA29</f>
        <v>(2,1,1,2,1,1); Industry data (French tender); Ratio PECVD/LPCVD acc. ITRPV (2025)</v>
      </c>
      <c r="BH29" s="435">
        <v>0</v>
      </c>
      <c r="BI29" s="95">
        <v>1</v>
      </c>
      <c r="BJ29" s="96">
        <f t="shared" ref="BJ29:BJ60" si="46">$DK29</f>
        <v>1.0722009304576894</v>
      </c>
      <c r="BK29" s="457" t="str">
        <f t="shared" ref="BK29:BK60" si="47">$DL29&amp;"; "&amp;$DA29</f>
        <v>(2,1,1,2,1,1); Industry data (French tender); Ratio PECVD/LPCVD acc. ITRPV (2025)</v>
      </c>
      <c r="BL29" s="435">
        <v>0</v>
      </c>
      <c r="BM29" s="95">
        <v>1</v>
      </c>
      <c r="BN29" s="96">
        <f t="shared" ref="BN29:BN60" si="48">$DK29</f>
        <v>1.0722009304576894</v>
      </c>
      <c r="BO29" s="457" t="str">
        <f t="shared" ref="BO29:BO60" si="49">$DL29&amp;"; "&amp;$DA29</f>
        <v>(2,1,1,2,1,1); Industry data (French tender); Ratio PECVD/LPCVD acc. ITRPV (2025)</v>
      </c>
      <c r="BP29" s="435">
        <v>0</v>
      </c>
      <c r="BQ29" s="95">
        <v>1</v>
      </c>
      <c r="BR29" s="96">
        <f t="shared" ref="BR29:BR60" si="50">$DK29</f>
        <v>1.0722009304576894</v>
      </c>
      <c r="BS29" s="432" t="str">
        <f t="shared" ref="BS29:BS60" si="51">$DL29&amp;"; "&amp;$DA29</f>
        <v>(2,1,1,2,1,1); Industry data (French tender); Ratio PECVD/LPCVD acc. ITRPV (2025)</v>
      </c>
      <c r="BT29" s="435">
        <v>0</v>
      </c>
      <c r="BU29" s="95">
        <v>1</v>
      </c>
      <c r="BV29" s="96">
        <f t="shared" ref="BV29:BV60" si="52">$DK29</f>
        <v>1.0722009304576894</v>
      </c>
      <c r="BW29" s="457" t="str">
        <f t="shared" ref="BW29:BW60" si="53">$DL29&amp;"; "&amp;$DA29</f>
        <v>(2,1,1,2,1,1); Industry data (French tender); Ratio PECVD/LPCVD acc. ITRPV (2025)</v>
      </c>
      <c r="BX29" s="435">
        <v>0</v>
      </c>
      <c r="BY29" s="95">
        <v>1</v>
      </c>
      <c r="BZ29" s="96">
        <f t="shared" ref="BZ29:BZ60" si="54">$DK29</f>
        <v>1.0722009304576894</v>
      </c>
      <c r="CA29" s="457" t="str">
        <f t="shared" ref="CA29:CA60" si="55">$DL29&amp;"; "&amp;$DA29</f>
        <v>(2,1,1,2,1,1); Industry data (French tender); Ratio PECVD/LPCVD acc. ITRPV (2025)</v>
      </c>
      <c r="CB29" s="435">
        <v>0</v>
      </c>
      <c r="CC29" s="95">
        <v>1</v>
      </c>
      <c r="CD29" s="96">
        <f t="shared" ref="CD29:CD60" si="56">$DK29</f>
        <v>1.0722009304576894</v>
      </c>
      <c r="CE29" s="457" t="str">
        <f t="shared" ref="CE29:CE60" si="57">$DL29&amp;"; "&amp;$DA29</f>
        <v>(2,1,1,2,1,1); Industry data (French tender); Ratio PECVD/LPCVD acc. ITRPV (2025)</v>
      </c>
      <c r="CF29" s="435">
        <v>0</v>
      </c>
      <c r="CG29" s="95">
        <v>1</v>
      </c>
      <c r="CH29" s="96">
        <f t="shared" ref="CH29:CH60" si="58">$DK29</f>
        <v>1.0722009304576894</v>
      </c>
      <c r="CI29" s="457" t="str">
        <f t="shared" ref="CI29:CI60" si="59">$DL29&amp;"; "&amp;$DA29</f>
        <v>(2,1,1,2,1,1); Industry data (French tender); Ratio PECVD/LPCVD acc. ITRPV (2025)</v>
      </c>
      <c r="CJ29" s="435">
        <v>0</v>
      </c>
      <c r="CK29" s="95">
        <v>1</v>
      </c>
      <c r="CL29" s="96">
        <f t="shared" ref="CL29:CL60" si="60">$DK29</f>
        <v>1.0722009304576894</v>
      </c>
      <c r="CM29" s="457" t="str">
        <f t="shared" ref="CM29:CM60" si="61">$DL29&amp;"; "&amp;$DA29</f>
        <v>(2,1,1,2,1,1); Industry data (French tender); Ratio PECVD/LPCVD acc. ITRPV (2025)</v>
      </c>
      <c r="CN29" s="435">
        <v>0</v>
      </c>
      <c r="CO29" s="95">
        <v>1</v>
      </c>
      <c r="CP29" s="96">
        <f t="shared" ref="CP29:CP60" si="62">$ED29</f>
        <v>1.05</v>
      </c>
      <c r="CQ29" s="457" t="str">
        <f t="shared" ref="CQ29:CQ60" si="63">$EE29&amp;"; "&amp;$DT29</f>
        <v xml:space="preserve">(na,na,na,na,na,na); </v>
      </c>
      <c r="CR29" s="435">
        <v>0</v>
      </c>
      <c r="CS29" s="95">
        <v>1</v>
      </c>
      <c r="CT29" s="96">
        <f t="shared" ref="CT29:CT60" si="64">$ED29</f>
        <v>1.05</v>
      </c>
      <c r="CU29" s="457" t="str">
        <f t="shared" ref="CU29:CU60" si="65">$EE29&amp;"; "&amp;$DT29</f>
        <v xml:space="preserve">(na,na,na,na,na,na); </v>
      </c>
      <c r="CV29" s="399"/>
      <c r="CW29" s="435">
        <v>0.47766655737704899</v>
      </c>
      <c r="CX29" s="435">
        <v>0.46851756440281001</v>
      </c>
      <c r="CY29" s="435">
        <v>0.47613761467889898</v>
      </c>
      <c r="CZ29" s="435">
        <v>0.46246170442286899</v>
      </c>
      <c r="DA29" s="692" t="s">
        <v>1170</v>
      </c>
      <c r="DB29" s="83">
        <v>2</v>
      </c>
      <c r="DC29" s="83">
        <v>1</v>
      </c>
      <c r="DD29" s="83">
        <v>1</v>
      </c>
      <c r="DE29" s="83">
        <v>2</v>
      </c>
      <c r="DF29" s="83">
        <v>1</v>
      </c>
      <c r="DG29" s="83">
        <v>1</v>
      </c>
      <c r="DH29" s="104">
        <v>3</v>
      </c>
      <c r="DI29" s="104">
        <v>1.05</v>
      </c>
      <c r="DJ29" s="107">
        <f t="shared" ref="DJ29:DJ60" si="66">EXP(SQRT((LN(DM29)^2)+(LN(DN29)^2)+(LN(DO29)^2)+(LN(DP29)^2)+(LN(DQ29)^2)+(LN(DR29)^2)))</f>
        <v>1.0510550504206344</v>
      </c>
      <c r="DK29" s="107">
        <f t="shared" ref="DK29:DK60" si="67">EXP(SQRT((LN(DM29)^2)+(LN(DN29)^2)+(LN(DO29)^2)+(LN(DP29)^2)+(LN(DQ29)^2)+(LN(DR29)^2)+LN(DI29)^2))</f>
        <v>1.0722009304576894</v>
      </c>
      <c r="DL29" s="107" t="str">
        <f t="shared" ref="DL29:DL60" si="68">CONCATENATE("(",DB29,",",DC29,",",DD29,",",DE29,",",DF29,",",DG29,")")</f>
        <v>(2,1,1,2,1,1)</v>
      </c>
      <c r="DM29" s="108">
        <v>1.05</v>
      </c>
      <c r="DN29" s="108">
        <v>1</v>
      </c>
      <c r="DO29" s="108">
        <v>1</v>
      </c>
      <c r="DP29" s="108">
        <v>1.01</v>
      </c>
      <c r="DQ29" s="108">
        <v>1</v>
      </c>
      <c r="DR29" s="108">
        <v>1</v>
      </c>
      <c r="DS29" s="399"/>
      <c r="DT29" s="692"/>
      <c r="DU29" s="83" t="s">
        <v>106</v>
      </c>
      <c r="DV29" s="83" t="s">
        <v>106</v>
      </c>
      <c r="DW29" s="83" t="s">
        <v>106</v>
      </c>
      <c r="DX29" s="83" t="s">
        <v>106</v>
      </c>
      <c r="DY29" s="83" t="s">
        <v>106</v>
      </c>
      <c r="DZ29" s="83" t="s">
        <v>106</v>
      </c>
      <c r="EA29" s="104">
        <v>3</v>
      </c>
      <c r="EB29" s="104">
        <v>1.05</v>
      </c>
      <c r="EC29" s="107">
        <f t="shared" ref="EC29:EC60" si="69">EXP(SQRT((LN(EF29)^2)+(LN(EG29)^2)+(LN(EH29)^2)+(LN(EI29)^2)+(LN(EJ29)^2)+(LN(EK29)^2)))</f>
        <v>1</v>
      </c>
      <c r="ED29" s="107">
        <f t="shared" ref="ED29:ED60" si="70">EXP(SQRT((LN(EF29)^2)+(LN(EG29)^2)+(LN(EH29)^2)+(LN(EI29)^2)+(LN(EJ29)^2)+(LN(EK29)^2)+LN(EB29)^2))</f>
        <v>1.05</v>
      </c>
      <c r="EE29" s="107" t="str">
        <f t="shared" ref="EE29:EE60" si="71">CONCATENATE("(",DU29,",",DV29,",",DW29,",",DX29,",",DY29,",",DZ29,")")</f>
        <v>(na,na,na,na,na,na)</v>
      </c>
      <c r="EF29" s="108">
        <v>1</v>
      </c>
      <c r="EG29" s="108">
        <v>1</v>
      </c>
      <c r="EH29" s="108">
        <v>1</v>
      </c>
      <c r="EI29" s="108">
        <v>1</v>
      </c>
      <c r="EJ29" s="108">
        <v>1</v>
      </c>
      <c r="EK29" s="108">
        <v>1</v>
      </c>
    </row>
    <row r="30" spans="1:141" ht="36">
      <c r="A30" s="330" t="s">
        <v>944</v>
      </c>
      <c r="B30" s="216"/>
      <c r="C30" s="165"/>
      <c r="D30" s="515">
        <v>5</v>
      </c>
      <c r="E30" s="343" t="s">
        <v>98</v>
      </c>
      <c r="F30" s="432" t="s">
        <v>932</v>
      </c>
      <c r="G30" s="438" t="s">
        <v>372</v>
      </c>
      <c r="H30" s="455" t="s">
        <v>98</v>
      </c>
      <c r="I30" s="455" t="s">
        <v>98</v>
      </c>
      <c r="J30" s="336">
        <v>0</v>
      </c>
      <c r="K30" s="438" t="s">
        <v>679</v>
      </c>
      <c r="L30" s="440">
        <f>CW30</f>
        <v>0.47766655737704899</v>
      </c>
      <c r="M30" s="336">
        <v>1</v>
      </c>
      <c r="N30" s="337">
        <f t="shared" si="22"/>
        <v>1.0722009304576894</v>
      </c>
      <c r="O30" s="455" t="str">
        <f t="shared" si="23"/>
        <v>(2,1,1,2,1,1); Industry data (French tender); Ratio PECVD/LPCVD acc. ITRPV (2025)</v>
      </c>
      <c r="P30" s="440">
        <f>CX30</f>
        <v>0.46851756440281001</v>
      </c>
      <c r="Q30" s="336">
        <v>1</v>
      </c>
      <c r="R30" s="337">
        <f t="shared" si="24"/>
        <v>1.0722009304576894</v>
      </c>
      <c r="S30" s="455" t="str">
        <f t="shared" si="25"/>
        <v>(2,1,1,2,1,1); Industry data (French tender); Ratio PECVD/LPCVD acc. ITRPV (2025)</v>
      </c>
      <c r="T30" s="440">
        <f>CY30</f>
        <v>0.47613761467889898</v>
      </c>
      <c r="U30" s="336">
        <v>1</v>
      </c>
      <c r="V30" s="337">
        <f t="shared" si="26"/>
        <v>1.0722009304576894</v>
      </c>
      <c r="W30" s="455" t="str">
        <f t="shared" si="27"/>
        <v>(2,1,1,2,1,1); Industry data (French tender); Ratio PECVD/LPCVD acc. ITRPV (2025)</v>
      </c>
      <c r="X30" s="440">
        <f>CZ30</f>
        <v>0.46246170442286899</v>
      </c>
      <c r="Y30" s="336">
        <v>1</v>
      </c>
      <c r="Z30" s="337">
        <f t="shared" si="28"/>
        <v>1.0722009304576894</v>
      </c>
      <c r="AA30" s="437" t="str">
        <f t="shared" si="29"/>
        <v>(2,1,1,2,1,1); Industry data (French tender); Ratio PECVD/LPCVD acc. ITRPV (2025)</v>
      </c>
      <c r="AB30" s="435">
        <v>0.46246170442286899</v>
      </c>
      <c r="AC30" s="95">
        <v>1</v>
      </c>
      <c r="AD30" s="96">
        <f t="shared" si="30"/>
        <v>1.0722009304576894</v>
      </c>
      <c r="AE30" s="432" t="str">
        <f t="shared" si="31"/>
        <v>(2,1,1,2,1,1); Industry data (French tender); Ratio PECVD/LPCVD acc. ITRPV (2025)</v>
      </c>
      <c r="AF30" s="435">
        <v>0</v>
      </c>
      <c r="AG30" s="95">
        <v>1</v>
      </c>
      <c r="AH30" s="96">
        <f t="shared" si="32"/>
        <v>1.0722009304576894</v>
      </c>
      <c r="AI30" s="457" t="str">
        <f t="shared" si="33"/>
        <v>(2,1,1,2,1,1); Industry data (French tender); Ratio PECVD/LPCVD acc. ITRPV (2025)</v>
      </c>
      <c r="AJ30" s="435">
        <v>0</v>
      </c>
      <c r="AK30" s="95">
        <v>1</v>
      </c>
      <c r="AL30" s="96">
        <f t="shared" si="34"/>
        <v>1.0722009304576894</v>
      </c>
      <c r="AM30" s="457" t="str">
        <f t="shared" si="35"/>
        <v>(2,1,1,2,1,1); Industry data (French tender); Ratio PECVD/LPCVD acc. ITRPV (2025)</v>
      </c>
      <c r="AN30" s="435">
        <v>0</v>
      </c>
      <c r="AO30" s="95">
        <v>1</v>
      </c>
      <c r="AP30" s="96">
        <f t="shared" si="36"/>
        <v>1.0722009304576894</v>
      </c>
      <c r="AQ30" s="457" t="str">
        <f t="shared" si="37"/>
        <v>(2,1,1,2,1,1); Industry data (French tender); Ratio PECVD/LPCVD acc. ITRPV (2025)</v>
      </c>
      <c r="AR30" s="435">
        <v>0</v>
      </c>
      <c r="AS30" s="95">
        <v>1</v>
      </c>
      <c r="AT30" s="96">
        <f t="shared" si="38"/>
        <v>1.0722009304576894</v>
      </c>
      <c r="AU30" s="457" t="str">
        <f t="shared" si="39"/>
        <v>(2,1,1,2,1,1); Industry data (French tender); Ratio PECVD/LPCVD acc. ITRPV (2025)</v>
      </c>
      <c r="AV30" s="435">
        <v>0</v>
      </c>
      <c r="AW30" s="95">
        <v>1</v>
      </c>
      <c r="AX30" s="96">
        <f t="shared" si="40"/>
        <v>1.0722009304576894</v>
      </c>
      <c r="AY30" s="432" t="str">
        <f t="shared" si="41"/>
        <v>(2,1,1,2,1,1); Industry data (French tender); Ratio PECVD/LPCVD acc. ITRPV (2025)</v>
      </c>
      <c r="AZ30" s="435">
        <v>0</v>
      </c>
      <c r="BA30" s="95">
        <v>1</v>
      </c>
      <c r="BB30" s="96">
        <f t="shared" si="42"/>
        <v>1.0722009304576894</v>
      </c>
      <c r="BC30" s="457" t="str">
        <f t="shared" si="43"/>
        <v>(2,1,1,2,1,1); Industry data (French tender); Ratio PECVD/LPCVD acc. ITRPV (2025)</v>
      </c>
      <c r="BD30" s="435">
        <v>0</v>
      </c>
      <c r="BE30" s="95">
        <v>1</v>
      </c>
      <c r="BF30" s="96">
        <f t="shared" si="44"/>
        <v>1.0722009304576894</v>
      </c>
      <c r="BG30" s="457" t="str">
        <f t="shared" si="45"/>
        <v>(2,1,1,2,1,1); Industry data (French tender); Ratio PECVD/LPCVD acc. ITRPV (2025)</v>
      </c>
      <c r="BH30" s="435">
        <v>0</v>
      </c>
      <c r="BI30" s="95">
        <v>1</v>
      </c>
      <c r="BJ30" s="96">
        <f t="shared" si="46"/>
        <v>1.0722009304576894</v>
      </c>
      <c r="BK30" s="457" t="str">
        <f t="shared" si="47"/>
        <v>(2,1,1,2,1,1); Industry data (French tender); Ratio PECVD/LPCVD acc. ITRPV (2025)</v>
      </c>
      <c r="BL30" s="435">
        <v>0</v>
      </c>
      <c r="BM30" s="95">
        <v>1</v>
      </c>
      <c r="BN30" s="96">
        <f t="shared" si="48"/>
        <v>1.0722009304576894</v>
      </c>
      <c r="BO30" s="457" t="str">
        <f t="shared" si="49"/>
        <v>(2,1,1,2,1,1); Industry data (French tender); Ratio PECVD/LPCVD acc. ITRPV (2025)</v>
      </c>
      <c r="BP30" s="435">
        <v>0</v>
      </c>
      <c r="BQ30" s="95">
        <v>1</v>
      </c>
      <c r="BR30" s="96">
        <f t="shared" si="50"/>
        <v>1.0722009304576894</v>
      </c>
      <c r="BS30" s="432" t="str">
        <f t="shared" si="51"/>
        <v>(2,1,1,2,1,1); Industry data (French tender); Ratio PECVD/LPCVD acc. ITRPV (2025)</v>
      </c>
      <c r="BT30" s="435">
        <v>0</v>
      </c>
      <c r="BU30" s="95">
        <v>1</v>
      </c>
      <c r="BV30" s="96">
        <f t="shared" si="52"/>
        <v>1.0722009304576894</v>
      </c>
      <c r="BW30" s="457" t="str">
        <f t="shared" si="53"/>
        <v>(2,1,1,2,1,1); Industry data (French tender); Ratio PECVD/LPCVD acc. ITRPV (2025)</v>
      </c>
      <c r="BX30" s="435">
        <v>0</v>
      </c>
      <c r="BY30" s="95">
        <v>1</v>
      </c>
      <c r="BZ30" s="96">
        <f t="shared" si="54"/>
        <v>1.0722009304576894</v>
      </c>
      <c r="CA30" s="457" t="str">
        <f t="shared" si="55"/>
        <v>(2,1,1,2,1,1); Industry data (French tender); Ratio PECVD/LPCVD acc. ITRPV (2025)</v>
      </c>
      <c r="CB30" s="435">
        <v>0</v>
      </c>
      <c r="CC30" s="95">
        <v>1</v>
      </c>
      <c r="CD30" s="96">
        <f t="shared" si="56"/>
        <v>1.0722009304576894</v>
      </c>
      <c r="CE30" s="457" t="str">
        <f t="shared" si="57"/>
        <v>(2,1,1,2,1,1); Industry data (French tender); Ratio PECVD/LPCVD acc. ITRPV (2025)</v>
      </c>
      <c r="CF30" s="435">
        <v>0</v>
      </c>
      <c r="CG30" s="95">
        <v>1</v>
      </c>
      <c r="CH30" s="96">
        <f t="shared" si="58"/>
        <v>1.0722009304576894</v>
      </c>
      <c r="CI30" s="457" t="str">
        <f t="shared" si="59"/>
        <v>(2,1,1,2,1,1); Industry data (French tender); Ratio PECVD/LPCVD acc. ITRPV (2025)</v>
      </c>
      <c r="CJ30" s="435">
        <v>0</v>
      </c>
      <c r="CK30" s="95">
        <v>1</v>
      </c>
      <c r="CL30" s="96">
        <f t="shared" si="60"/>
        <v>1.0722009304576894</v>
      </c>
      <c r="CM30" s="457" t="str">
        <f t="shared" si="61"/>
        <v>(2,1,1,2,1,1); Industry data (French tender); Ratio PECVD/LPCVD acc. ITRPV (2025)</v>
      </c>
      <c r="CN30" s="435">
        <v>0</v>
      </c>
      <c r="CO30" s="95">
        <v>1</v>
      </c>
      <c r="CP30" s="96">
        <f t="shared" si="62"/>
        <v>1.05</v>
      </c>
      <c r="CQ30" s="457" t="str">
        <f t="shared" si="63"/>
        <v xml:space="preserve">(na,na,na,na,na,na); </v>
      </c>
      <c r="CR30" s="435">
        <v>0</v>
      </c>
      <c r="CS30" s="95">
        <v>1</v>
      </c>
      <c r="CT30" s="96">
        <f t="shared" si="64"/>
        <v>1.05</v>
      </c>
      <c r="CU30" s="432" t="str">
        <f t="shared" si="65"/>
        <v xml:space="preserve">(na,na,na,na,na,na); </v>
      </c>
      <c r="CV30" s="399"/>
      <c r="CW30" s="435">
        <v>0.47766655737704899</v>
      </c>
      <c r="CX30" s="435">
        <v>0.46851756440281001</v>
      </c>
      <c r="CY30" s="435">
        <v>0.47613761467889898</v>
      </c>
      <c r="CZ30" s="435">
        <v>0.46246170442286899</v>
      </c>
      <c r="DA30" s="692" t="s">
        <v>1170</v>
      </c>
      <c r="DB30" s="83">
        <v>2</v>
      </c>
      <c r="DC30" s="83">
        <v>1</v>
      </c>
      <c r="DD30" s="83">
        <v>1</v>
      </c>
      <c r="DE30" s="83">
        <v>2</v>
      </c>
      <c r="DF30" s="83">
        <v>1</v>
      </c>
      <c r="DG30" s="83">
        <v>1</v>
      </c>
      <c r="DH30" s="104">
        <v>3</v>
      </c>
      <c r="DI30" s="104">
        <v>1.05</v>
      </c>
      <c r="DJ30" s="107">
        <f t="shared" si="66"/>
        <v>1.0510550504206344</v>
      </c>
      <c r="DK30" s="107">
        <f t="shared" si="67"/>
        <v>1.0722009304576894</v>
      </c>
      <c r="DL30" s="107" t="str">
        <f t="shared" si="68"/>
        <v>(2,1,1,2,1,1)</v>
      </c>
      <c r="DM30" s="108">
        <v>1.05</v>
      </c>
      <c r="DN30" s="108">
        <v>1</v>
      </c>
      <c r="DO30" s="108">
        <v>1</v>
      </c>
      <c r="DP30" s="108">
        <v>1.01</v>
      </c>
      <c r="DQ30" s="108">
        <v>1</v>
      </c>
      <c r="DR30" s="108">
        <v>1</v>
      </c>
      <c r="DS30" s="399"/>
      <c r="DT30" s="692"/>
      <c r="DU30" s="83" t="s">
        <v>106</v>
      </c>
      <c r="DV30" s="83" t="s">
        <v>106</v>
      </c>
      <c r="DW30" s="83" t="s">
        <v>106</v>
      </c>
      <c r="DX30" s="83" t="s">
        <v>106</v>
      </c>
      <c r="DY30" s="83" t="s">
        <v>106</v>
      </c>
      <c r="DZ30" s="83" t="s">
        <v>106</v>
      </c>
      <c r="EA30" s="104">
        <v>3</v>
      </c>
      <c r="EB30" s="104">
        <v>1.05</v>
      </c>
      <c r="EC30" s="107">
        <f t="shared" si="69"/>
        <v>1</v>
      </c>
      <c r="ED30" s="107">
        <f t="shared" si="70"/>
        <v>1.05</v>
      </c>
      <c r="EE30" s="107" t="str">
        <f t="shared" si="71"/>
        <v>(na,na,na,na,na,na)</v>
      </c>
      <c r="EF30" s="108">
        <v>1</v>
      </c>
      <c r="EG30" s="108">
        <v>1</v>
      </c>
      <c r="EH30" s="108">
        <v>1</v>
      </c>
      <c r="EI30" s="108">
        <v>1</v>
      </c>
      <c r="EJ30" s="108">
        <v>1</v>
      </c>
      <c r="EK30" s="108">
        <v>1</v>
      </c>
    </row>
    <row r="31" spans="1:141" ht="24">
      <c r="A31" s="330" t="s">
        <v>1088</v>
      </c>
      <c r="B31" s="216"/>
      <c r="C31" s="165"/>
      <c r="D31" s="515">
        <v>5</v>
      </c>
      <c r="E31" s="343" t="s">
        <v>98</v>
      </c>
      <c r="F31" s="432" t="s">
        <v>1082</v>
      </c>
      <c r="G31" s="438" t="s">
        <v>215</v>
      </c>
      <c r="H31" s="455" t="s">
        <v>98</v>
      </c>
      <c r="I31" s="455" t="s">
        <v>98</v>
      </c>
      <c r="J31" s="336">
        <v>0</v>
      </c>
      <c r="K31" s="438" t="s">
        <v>679</v>
      </c>
      <c r="L31" s="440">
        <v>0</v>
      </c>
      <c r="M31" s="336">
        <v>1</v>
      </c>
      <c r="N31" s="337">
        <f t="shared" si="22"/>
        <v>1.0722009304576894</v>
      </c>
      <c r="O31" s="455" t="str">
        <f t="shared" si="23"/>
        <v>(2,1,1,2,1,1); Industry data (French tender)</v>
      </c>
      <c r="P31" s="440">
        <v>0</v>
      </c>
      <c r="Q31" s="336">
        <v>1</v>
      </c>
      <c r="R31" s="337">
        <f t="shared" si="24"/>
        <v>1.0722009304576894</v>
      </c>
      <c r="S31" s="455" t="str">
        <f t="shared" si="25"/>
        <v>(2,1,1,2,1,1); Industry data (French tender)</v>
      </c>
      <c r="T31" s="440">
        <v>0</v>
      </c>
      <c r="U31" s="336">
        <v>1</v>
      </c>
      <c r="V31" s="337">
        <f t="shared" si="26"/>
        <v>1.0722009304576894</v>
      </c>
      <c r="W31" s="455" t="str">
        <f t="shared" si="27"/>
        <v>(2,1,1,2,1,1); Industry data (French tender)</v>
      </c>
      <c r="X31" s="440">
        <v>0</v>
      </c>
      <c r="Y31" s="336">
        <v>1</v>
      </c>
      <c r="Z31" s="337">
        <f t="shared" si="28"/>
        <v>1.0722009304576894</v>
      </c>
      <c r="AA31" s="437" t="str">
        <f t="shared" si="29"/>
        <v>(2,1,1,2,1,1); Industry data (French tender)</v>
      </c>
      <c r="AB31" s="435">
        <v>0</v>
      </c>
      <c r="AC31" s="95">
        <v>1</v>
      </c>
      <c r="AD31" s="96">
        <f t="shared" si="30"/>
        <v>1.0722009304576894</v>
      </c>
      <c r="AE31" s="432" t="str">
        <f t="shared" si="31"/>
        <v>(2,1,1,2,1,1); Industry data (French tender)</v>
      </c>
      <c r="AF31" s="435">
        <f>SUM(L29:L30)</f>
        <v>0.95533311475409799</v>
      </c>
      <c r="AG31" s="95">
        <v>1</v>
      </c>
      <c r="AH31" s="96">
        <f t="shared" si="32"/>
        <v>1.0722009304576894</v>
      </c>
      <c r="AI31" s="457" t="str">
        <f t="shared" si="33"/>
        <v>(2,1,1,2,1,1); Industry data (French tender)</v>
      </c>
      <c r="AJ31" s="435">
        <f>SUM(P29:P30)</f>
        <v>0.93703512880562001</v>
      </c>
      <c r="AK31" s="95">
        <v>1</v>
      </c>
      <c r="AL31" s="96">
        <f t="shared" si="34"/>
        <v>1.0722009304576894</v>
      </c>
      <c r="AM31" s="457" t="str">
        <f t="shared" si="35"/>
        <v>(2,1,1,2,1,1); Industry data (French tender)</v>
      </c>
      <c r="AN31" s="435">
        <f>SUM(T29:T30)</f>
        <v>0.95227522935779796</v>
      </c>
      <c r="AO31" s="95">
        <v>1</v>
      </c>
      <c r="AP31" s="96">
        <f t="shared" si="36"/>
        <v>1.0722009304576894</v>
      </c>
      <c r="AQ31" s="457" t="str">
        <f t="shared" si="37"/>
        <v>(2,1,1,2,1,1); Industry data (French tender)</v>
      </c>
      <c r="AR31" s="435">
        <f>SUM(X29:X30)</f>
        <v>0.92492340884573798</v>
      </c>
      <c r="AS31" s="95">
        <v>1</v>
      </c>
      <c r="AT31" s="96">
        <f t="shared" si="38"/>
        <v>1.0722009304576894</v>
      </c>
      <c r="AU31" s="457" t="str">
        <f t="shared" si="39"/>
        <v>(2,1,1,2,1,1); Industry data (French tender)</v>
      </c>
      <c r="AV31" s="435">
        <f>$L$112</f>
        <v>0.92492340884573898</v>
      </c>
      <c r="AW31" s="95">
        <v>1</v>
      </c>
      <c r="AX31" s="96">
        <f t="shared" si="40"/>
        <v>1.0722009304576894</v>
      </c>
      <c r="AY31" s="432" t="str">
        <f t="shared" si="41"/>
        <v>(2,1,1,2,1,1); Industry data (French tender)</v>
      </c>
      <c r="AZ31" s="435">
        <v>0</v>
      </c>
      <c r="BA31" s="95">
        <v>1</v>
      </c>
      <c r="BB31" s="96">
        <f t="shared" si="42"/>
        <v>1.0722009304576894</v>
      </c>
      <c r="BC31" s="457" t="str">
        <f t="shared" si="43"/>
        <v>(2,1,1,2,1,1); Industry data (French tender)</v>
      </c>
      <c r="BD31" s="435">
        <v>0</v>
      </c>
      <c r="BE31" s="95">
        <v>1</v>
      </c>
      <c r="BF31" s="96">
        <f t="shared" si="44"/>
        <v>1.0722009304576894</v>
      </c>
      <c r="BG31" s="457" t="str">
        <f t="shared" si="45"/>
        <v>(2,1,1,2,1,1); Industry data (French tender)</v>
      </c>
      <c r="BH31" s="435">
        <v>0</v>
      </c>
      <c r="BI31" s="95">
        <v>1</v>
      </c>
      <c r="BJ31" s="96">
        <f t="shared" si="46"/>
        <v>1.0722009304576894</v>
      </c>
      <c r="BK31" s="457" t="str">
        <f t="shared" si="47"/>
        <v>(2,1,1,2,1,1); Industry data (French tender)</v>
      </c>
      <c r="BL31" s="435">
        <v>0</v>
      </c>
      <c r="BM31" s="95">
        <v>1</v>
      </c>
      <c r="BN31" s="96">
        <f t="shared" si="48"/>
        <v>1.0722009304576894</v>
      </c>
      <c r="BO31" s="457" t="str">
        <f t="shared" si="49"/>
        <v>(2,1,1,2,1,1); Industry data (French tender)</v>
      </c>
      <c r="BP31" s="435">
        <v>0</v>
      </c>
      <c r="BQ31" s="95">
        <v>1</v>
      </c>
      <c r="BR31" s="96">
        <f t="shared" si="50"/>
        <v>1.0722009304576894</v>
      </c>
      <c r="BS31" s="432" t="str">
        <f t="shared" si="51"/>
        <v>(2,1,1,2,1,1); Industry data (French tender)</v>
      </c>
      <c r="BT31" s="435">
        <v>0</v>
      </c>
      <c r="BU31" s="95">
        <v>1</v>
      </c>
      <c r="BV31" s="96">
        <f t="shared" si="52"/>
        <v>1.0722009304576894</v>
      </c>
      <c r="BW31" s="457" t="str">
        <f t="shared" si="53"/>
        <v>(2,1,1,2,1,1); Industry data (French tender)</v>
      </c>
      <c r="BX31" s="435">
        <v>0</v>
      </c>
      <c r="BY31" s="95">
        <v>1</v>
      </c>
      <c r="BZ31" s="96">
        <f t="shared" si="54"/>
        <v>1.0722009304576894</v>
      </c>
      <c r="CA31" s="457" t="str">
        <f t="shared" si="55"/>
        <v>(2,1,1,2,1,1); Industry data (French tender)</v>
      </c>
      <c r="CB31" s="435">
        <v>0</v>
      </c>
      <c r="CC31" s="95">
        <v>1</v>
      </c>
      <c r="CD31" s="96">
        <f t="shared" si="56"/>
        <v>1.0722009304576894</v>
      </c>
      <c r="CE31" s="457" t="str">
        <f t="shared" si="57"/>
        <v>(2,1,1,2,1,1); Industry data (French tender)</v>
      </c>
      <c r="CF31" s="435">
        <v>0</v>
      </c>
      <c r="CG31" s="95">
        <v>1</v>
      </c>
      <c r="CH31" s="96">
        <f t="shared" si="58"/>
        <v>1.0722009304576894</v>
      </c>
      <c r="CI31" s="457" t="str">
        <f t="shared" si="59"/>
        <v>(2,1,1,2,1,1); Industry data (French tender)</v>
      </c>
      <c r="CJ31" s="435">
        <v>0</v>
      </c>
      <c r="CK31" s="95">
        <v>1</v>
      </c>
      <c r="CL31" s="96">
        <f t="shared" si="60"/>
        <v>1.0722009304576894</v>
      </c>
      <c r="CM31" s="457" t="str">
        <f t="shared" si="61"/>
        <v>(2,1,1,2,1,1); Industry data (French tender)</v>
      </c>
      <c r="CN31" s="435">
        <v>0</v>
      </c>
      <c r="CO31" s="95">
        <v>1</v>
      </c>
      <c r="CP31" s="96">
        <f t="shared" si="62"/>
        <v>1.05</v>
      </c>
      <c r="CQ31" s="457" t="str">
        <f t="shared" si="63"/>
        <v xml:space="preserve">(na,na,na,na,na,na); </v>
      </c>
      <c r="CR31" s="435">
        <v>0</v>
      </c>
      <c r="CS31" s="95">
        <v>1</v>
      </c>
      <c r="CT31" s="96">
        <f t="shared" si="64"/>
        <v>1.05</v>
      </c>
      <c r="CU31" s="432" t="str">
        <f t="shared" si="65"/>
        <v xml:space="preserve">(na,na,na,na,na,na); </v>
      </c>
      <c r="CV31" s="399"/>
      <c r="CW31" s="435"/>
      <c r="CX31" s="435"/>
      <c r="CY31" s="435"/>
      <c r="CZ31" s="435"/>
      <c r="DA31" s="692" t="s">
        <v>462</v>
      </c>
      <c r="DB31" s="83">
        <v>2</v>
      </c>
      <c r="DC31" s="83">
        <v>1</v>
      </c>
      <c r="DD31" s="83">
        <v>1</v>
      </c>
      <c r="DE31" s="83">
        <v>2</v>
      </c>
      <c r="DF31" s="83">
        <v>1</v>
      </c>
      <c r="DG31" s="83">
        <v>1</v>
      </c>
      <c r="DH31" s="104">
        <v>3</v>
      </c>
      <c r="DI31" s="104">
        <v>1.05</v>
      </c>
      <c r="DJ31" s="107">
        <f t="shared" si="66"/>
        <v>1.0510550504206344</v>
      </c>
      <c r="DK31" s="107">
        <f t="shared" si="67"/>
        <v>1.0722009304576894</v>
      </c>
      <c r="DL31" s="107" t="str">
        <f t="shared" si="68"/>
        <v>(2,1,1,2,1,1)</v>
      </c>
      <c r="DM31" s="108">
        <v>1.05</v>
      </c>
      <c r="DN31" s="108">
        <v>1</v>
      </c>
      <c r="DO31" s="108">
        <v>1</v>
      </c>
      <c r="DP31" s="108">
        <v>1.01</v>
      </c>
      <c r="DQ31" s="108">
        <v>1</v>
      </c>
      <c r="DR31" s="108">
        <v>1</v>
      </c>
      <c r="DS31" s="399"/>
      <c r="DT31" s="692"/>
      <c r="DU31" s="83" t="s">
        <v>106</v>
      </c>
      <c r="DV31" s="83" t="s">
        <v>106</v>
      </c>
      <c r="DW31" s="83" t="s">
        <v>106</v>
      </c>
      <c r="DX31" s="83" t="s">
        <v>106</v>
      </c>
      <c r="DY31" s="83" t="s">
        <v>106</v>
      </c>
      <c r="DZ31" s="83" t="s">
        <v>106</v>
      </c>
      <c r="EA31" s="104">
        <v>3</v>
      </c>
      <c r="EB31" s="104">
        <v>1.05</v>
      </c>
      <c r="EC31" s="107">
        <f t="shared" si="69"/>
        <v>1</v>
      </c>
      <c r="ED31" s="107">
        <f t="shared" si="70"/>
        <v>1.05</v>
      </c>
      <c r="EE31" s="107" t="str">
        <f t="shared" si="71"/>
        <v>(na,na,na,na,na,na)</v>
      </c>
      <c r="EF31" s="108">
        <v>1</v>
      </c>
      <c r="EG31" s="108">
        <v>1</v>
      </c>
      <c r="EH31" s="108">
        <v>1</v>
      </c>
      <c r="EI31" s="108">
        <v>1</v>
      </c>
      <c r="EJ31" s="108">
        <v>1</v>
      </c>
      <c r="EK31" s="108">
        <v>1</v>
      </c>
    </row>
    <row r="32" spans="1:141" ht="24">
      <c r="A32" s="330" t="s">
        <v>1090</v>
      </c>
      <c r="B32" s="216"/>
      <c r="C32" s="165"/>
      <c r="D32" s="515">
        <v>5</v>
      </c>
      <c r="E32" s="343" t="s">
        <v>98</v>
      </c>
      <c r="F32" s="437" t="s">
        <v>1084</v>
      </c>
      <c r="G32" s="438" t="s">
        <v>373</v>
      </c>
      <c r="H32" s="455" t="s">
        <v>98</v>
      </c>
      <c r="I32" s="455" t="s">
        <v>98</v>
      </c>
      <c r="J32" s="336">
        <v>0</v>
      </c>
      <c r="K32" s="438" t="s">
        <v>679</v>
      </c>
      <c r="L32" s="440">
        <v>0</v>
      </c>
      <c r="M32" s="336">
        <v>1</v>
      </c>
      <c r="N32" s="337">
        <f t="shared" si="22"/>
        <v>1.0722009304576894</v>
      </c>
      <c r="O32" s="455" t="str">
        <f t="shared" si="23"/>
        <v>(2,1,1,2,1,1); Industry data (French tender)</v>
      </c>
      <c r="P32" s="440">
        <v>0</v>
      </c>
      <c r="Q32" s="336">
        <v>1</v>
      </c>
      <c r="R32" s="337">
        <f t="shared" si="24"/>
        <v>1.0722009304576894</v>
      </c>
      <c r="S32" s="455" t="str">
        <f t="shared" si="25"/>
        <v>(2,1,1,2,1,1); Industry data (French tender)</v>
      </c>
      <c r="T32" s="440">
        <v>0</v>
      </c>
      <c r="U32" s="336">
        <v>1</v>
      </c>
      <c r="V32" s="337">
        <f t="shared" si="26"/>
        <v>1.0722009304576894</v>
      </c>
      <c r="W32" s="455" t="str">
        <f t="shared" si="27"/>
        <v>(2,1,1,2,1,1); Industry data (French tender)</v>
      </c>
      <c r="X32" s="440">
        <v>0</v>
      </c>
      <c r="Y32" s="336">
        <v>1</v>
      </c>
      <c r="Z32" s="337">
        <f t="shared" si="28"/>
        <v>1.0722009304576894</v>
      </c>
      <c r="AA32" s="437" t="str">
        <f t="shared" si="29"/>
        <v>(2,1,1,2,1,1); Industry data (French tender)</v>
      </c>
      <c r="AB32" s="435">
        <v>0</v>
      </c>
      <c r="AC32" s="95">
        <v>1</v>
      </c>
      <c r="AD32" s="96">
        <f t="shared" si="30"/>
        <v>1.0722009304576894</v>
      </c>
      <c r="AE32" s="432" t="str">
        <f t="shared" si="31"/>
        <v>(2,1,1,2,1,1); Industry data (French tender)</v>
      </c>
      <c r="AF32" s="435">
        <v>0</v>
      </c>
      <c r="AG32" s="95">
        <v>1</v>
      </c>
      <c r="AH32" s="96">
        <f t="shared" si="32"/>
        <v>1.0722009304576894</v>
      </c>
      <c r="AI32" s="457" t="str">
        <f t="shared" si="33"/>
        <v>(2,1,1,2,1,1); Industry data (French tender)</v>
      </c>
      <c r="AJ32" s="435">
        <v>0</v>
      </c>
      <c r="AK32" s="95">
        <v>1</v>
      </c>
      <c r="AL32" s="96">
        <f t="shared" si="34"/>
        <v>1.0722009304576894</v>
      </c>
      <c r="AM32" s="457" t="str">
        <f t="shared" si="35"/>
        <v>(2,1,1,2,1,1); Industry data (French tender)</v>
      </c>
      <c r="AN32" s="435">
        <v>0</v>
      </c>
      <c r="AO32" s="95">
        <v>1</v>
      </c>
      <c r="AP32" s="96">
        <f t="shared" si="36"/>
        <v>1.0722009304576894</v>
      </c>
      <c r="AQ32" s="457" t="str">
        <f t="shared" si="37"/>
        <v>(2,1,1,2,1,1); Industry data (French tender)</v>
      </c>
      <c r="AR32" s="435">
        <v>0</v>
      </c>
      <c r="AS32" s="95">
        <v>1</v>
      </c>
      <c r="AT32" s="96">
        <f t="shared" si="38"/>
        <v>1.0722009304576894</v>
      </c>
      <c r="AU32" s="457" t="str">
        <f t="shared" si="39"/>
        <v>(2,1,1,2,1,1); Industry data (French tender)</v>
      </c>
      <c r="AV32" s="435">
        <v>0</v>
      </c>
      <c r="AW32" s="95">
        <v>1</v>
      </c>
      <c r="AX32" s="96">
        <f t="shared" si="40"/>
        <v>1.0722009304576894</v>
      </c>
      <c r="AY32" s="432" t="str">
        <f t="shared" si="41"/>
        <v>(2,1,1,2,1,1); Industry data (French tender)</v>
      </c>
      <c r="AZ32" s="435">
        <f>AF31</f>
        <v>0.95533311475409799</v>
      </c>
      <c r="BA32" s="95">
        <v>1</v>
      </c>
      <c r="BB32" s="96">
        <f t="shared" si="42"/>
        <v>1.0722009304576894</v>
      </c>
      <c r="BC32" s="457" t="str">
        <f t="shared" si="43"/>
        <v>(2,1,1,2,1,1); Industry data (French tender)</v>
      </c>
      <c r="BD32" s="435">
        <f>AJ31</f>
        <v>0.93703512880562001</v>
      </c>
      <c r="BE32" s="95">
        <v>1</v>
      </c>
      <c r="BF32" s="96">
        <f t="shared" si="44"/>
        <v>1.0722009304576894</v>
      </c>
      <c r="BG32" s="457" t="str">
        <f t="shared" si="45"/>
        <v>(2,1,1,2,1,1); Industry data (French tender)</v>
      </c>
      <c r="BH32" s="435">
        <f>AN31</f>
        <v>0.95227522935779796</v>
      </c>
      <c r="BI32" s="95">
        <v>1</v>
      </c>
      <c r="BJ32" s="96">
        <f t="shared" si="46"/>
        <v>1.0722009304576894</v>
      </c>
      <c r="BK32" s="457" t="str">
        <f t="shared" si="47"/>
        <v>(2,1,1,2,1,1); Industry data (French tender)</v>
      </c>
      <c r="BL32" s="435">
        <f>AR31</f>
        <v>0.92492340884573798</v>
      </c>
      <c r="BM32" s="95">
        <v>1</v>
      </c>
      <c r="BN32" s="96">
        <f t="shared" si="48"/>
        <v>1.0722009304576894</v>
      </c>
      <c r="BO32" s="457" t="str">
        <f t="shared" si="49"/>
        <v>(2,1,1,2,1,1); Industry data (French tender)</v>
      </c>
      <c r="BP32" s="435">
        <f>AV31</f>
        <v>0.92492340884573898</v>
      </c>
      <c r="BQ32" s="95">
        <v>1</v>
      </c>
      <c r="BR32" s="96">
        <f t="shared" si="50"/>
        <v>1.0722009304576894</v>
      </c>
      <c r="BS32" s="432" t="str">
        <f t="shared" si="51"/>
        <v>(2,1,1,2,1,1); Industry data (French tender)</v>
      </c>
      <c r="BT32" s="435">
        <v>0</v>
      </c>
      <c r="BU32" s="95">
        <v>1</v>
      </c>
      <c r="BV32" s="96">
        <f t="shared" si="52"/>
        <v>1.0722009304576894</v>
      </c>
      <c r="BW32" s="457" t="str">
        <f t="shared" si="53"/>
        <v>(2,1,1,2,1,1); Industry data (French tender)</v>
      </c>
      <c r="BX32" s="435">
        <v>0</v>
      </c>
      <c r="BY32" s="95">
        <v>1</v>
      </c>
      <c r="BZ32" s="96">
        <f t="shared" si="54"/>
        <v>1.0722009304576894</v>
      </c>
      <c r="CA32" s="457" t="str">
        <f t="shared" si="55"/>
        <v>(2,1,1,2,1,1); Industry data (French tender)</v>
      </c>
      <c r="CB32" s="435">
        <v>0</v>
      </c>
      <c r="CC32" s="95">
        <v>1</v>
      </c>
      <c r="CD32" s="96">
        <f t="shared" si="56"/>
        <v>1.0722009304576894</v>
      </c>
      <c r="CE32" s="457" t="str">
        <f t="shared" si="57"/>
        <v>(2,1,1,2,1,1); Industry data (French tender)</v>
      </c>
      <c r="CF32" s="435">
        <v>0</v>
      </c>
      <c r="CG32" s="95">
        <v>1</v>
      </c>
      <c r="CH32" s="96">
        <f t="shared" si="58"/>
        <v>1.0722009304576894</v>
      </c>
      <c r="CI32" s="457" t="str">
        <f t="shared" si="59"/>
        <v>(2,1,1,2,1,1); Industry data (French tender)</v>
      </c>
      <c r="CJ32" s="435">
        <v>0</v>
      </c>
      <c r="CK32" s="95">
        <v>1</v>
      </c>
      <c r="CL32" s="96">
        <f t="shared" si="60"/>
        <v>1.0722009304576894</v>
      </c>
      <c r="CM32" s="432" t="str">
        <f t="shared" si="61"/>
        <v>(2,1,1,2,1,1); Industry data (French tender)</v>
      </c>
      <c r="CN32" s="435">
        <v>0</v>
      </c>
      <c r="CO32" s="95">
        <v>1</v>
      </c>
      <c r="CP32" s="96">
        <f t="shared" si="62"/>
        <v>1.05</v>
      </c>
      <c r="CQ32" s="457" t="str">
        <f t="shared" si="63"/>
        <v xml:space="preserve">(na,na,na,na,na,na); </v>
      </c>
      <c r="CR32" s="435">
        <v>0</v>
      </c>
      <c r="CS32" s="95">
        <v>1</v>
      </c>
      <c r="CT32" s="96">
        <f t="shared" si="64"/>
        <v>1.05</v>
      </c>
      <c r="CU32" s="432" t="str">
        <f t="shared" si="65"/>
        <v xml:space="preserve">(na,na,na,na,na,na); </v>
      </c>
      <c r="CV32" s="399"/>
      <c r="CW32" s="435"/>
      <c r="CX32" s="435"/>
      <c r="CY32" s="435"/>
      <c r="CZ32" s="435"/>
      <c r="DA32" s="692" t="s">
        <v>462</v>
      </c>
      <c r="DB32" s="83">
        <v>2</v>
      </c>
      <c r="DC32" s="83">
        <v>1</v>
      </c>
      <c r="DD32" s="83">
        <v>1</v>
      </c>
      <c r="DE32" s="83">
        <v>2</v>
      </c>
      <c r="DF32" s="83">
        <v>1</v>
      </c>
      <c r="DG32" s="83">
        <v>1</v>
      </c>
      <c r="DH32" s="104">
        <v>3</v>
      </c>
      <c r="DI32" s="104">
        <v>1.05</v>
      </c>
      <c r="DJ32" s="107">
        <f t="shared" si="66"/>
        <v>1.0510550504206344</v>
      </c>
      <c r="DK32" s="107">
        <f t="shared" si="67"/>
        <v>1.0722009304576894</v>
      </c>
      <c r="DL32" s="107" t="str">
        <f t="shared" si="68"/>
        <v>(2,1,1,2,1,1)</v>
      </c>
      <c r="DM32" s="108">
        <v>1.05</v>
      </c>
      <c r="DN32" s="108">
        <v>1</v>
      </c>
      <c r="DO32" s="108">
        <v>1</v>
      </c>
      <c r="DP32" s="108">
        <v>1.01</v>
      </c>
      <c r="DQ32" s="108">
        <v>1</v>
      </c>
      <c r="DR32" s="108">
        <v>1</v>
      </c>
      <c r="DS32" s="399"/>
      <c r="DT32" s="692"/>
      <c r="DU32" s="83" t="s">
        <v>106</v>
      </c>
      <c r="DV32" s="83" t="s">
        <v>106</v>
      </c>
      <c r="DW32" s="83" t="s">
        <v>106</v>
      </c>
      <c r="DX32" s="83" t="s">
        <v>106</v>
      </c>
      <c r="DY32" s="83" t="s">
        <v>106</v>
      </c>
      <c r="DZ32" s="83" t="s">
        <v>106</v>
      </c>
      <c r="EA32" s="104">
        <v>3</v>
      </c>
      <c r="EB32" s="104">
        <v>1.05</v>
      </c>
      <c r="EC32" s="107">
        <f t="shared" si="69"/>
        <v>1</v>
      </c>
      <c r="ED32" s="107">
        <f t="shared" si="70"/>
        <v>1.05</v>
      </c>
      <c r="EE32" s="107" t="str">
        <f t="shared" si="71"/>
        <v>(na,na,na,na,na,na)</v>
      </c>
      <c r="EF32" s="108">
        <v>1</v>
      </c>
      <c r="EG32" s="108">
        <v>1</v>
      </c>
      <c r="EH32" s="108">
        <v>1</v>
      </c>
      <c r="EI32" s="108">
        <v>1</v>
      </c>
      <c r="EJ32" s="108">
        <v>1</v>
      </c>
      <c r="EK32" s="108">
        <v>1</v>
      </c>
    </row>
    <row r="33" spans="1:141" ht="24">
      <c r="A33" s="330" t="s">
        <v>1086</v>
      </c>
      <c r="B33" s="216"/>
      <c r="C33" s="165"/>
      <c r="D33" s="515">
        <v>5</v>
      </c>
      <c r="E33" s="343" t="s">
        <v>98</v>
      </c>
      <c r="F33" s="437" t="s">
        <v>1080</v>
      </c>
      <c r="G33" s="438" t="s">
        <v>93</v>
      </c>
      <c r="H33" s="455" t="s">
        <v>98</v>
      </c>
      <c r="I33" s="455" t="s">
        <v>98</v>
      </c>
      <c r="J33" s="336">
        <v>0</v>
      </c>
      <c r="K33" s="438" t="s">
        <v>679</v>
      </c>
      <c r="L33" s="440">
        <v>0</v>
      </c>
      <c r="M33" s="336">
        <v>1</v>
      </c>
      <c r="N33" s="337">
        <f t="shared" si="22"/>
        <v>1.0722009304576894</v>
      </c>
      <c r="O33" s="455" t="str">
        <f t="shared" si="23"/>
        <v>(2,1,1,2,1,1); Industry data (French tender)</v>
      </c>
      <c r="P33" s="440">
        <v>0</v>
      </c>
      <c r="Q33" s="336">
        <v>1</v>
      </c>
      <c r="R33" s="337">
        <f t="shared" si="24"/>
        <v>1.0722009304576894</v>
      </c>
      <c r="S33" s="455" t="str">
        <f t="shared" si="25"/>
        <v>(2,1,1,2,1,1); Industry data (French tender)</v>
      </c>
      <c r="T33" s="440">
        <v>0</v>
      </c>
      <c r="U33" s="336">
        <v>1</v>
      </c>
      <c r="V33" s="337">
        <f t="shared" si="26"/>
        <v>1.0722009304576894</v>
      </c>
      <c r="W33" s="455" t="str">
        <f t="shared" si="27"/>
        <v>(2,1,1,2,1,1); Industry data (French tender)</v>
      </c>
      <c r="X33" s="440">
        <v>0</v>
      </c>
      <c r="Y33" s="336">
        <v>1</v>
      </c>
      <c r="Z33" s="337">
        <f t="shared" si="28"/>
        <v>1.0722009304576894</v>
      </c>
      <c r="AA33" s="437" t="str">
        <f t="shared" si="29"/>
        <v>(2,1,1,2,1,1); Industry data (French tender)</v>
      </c>
      <c r="AB33" s="435">
        <v>0</v>
      </c>
      <c r="AC33" s="95">
        <v>1</v>
      </c>
      <c r="AD33" s="96">
        <f t="shared" si="30"/>
        <v>1.0722009304576894</v>
      </c>
      <c r="AE33" s="432" t="str">
        <f t="shared" si="31"/>
        <v>(2,1,1,2,1,1); Industry data (French tender)</v>
      </c>
      <c r="AF33" s="435">
        <v>0</v>
      </c>
      <c r="AG33" s="95">
        <v>1</v>
      </c>
      <c r="AH33" s="96">
        <f t="shared" si="32"/>
        <v>1.0722009304576894</v>
      </c>
      <c r="AI33" s="457" t="str">
        <f t="shared" si="33"/>
        <v>(2,1,1,2,1,1); Industry data (French tender)</v>
      </c>
      <c r="AJ33" s="435">
        <v>0</v>
      </c>
      <c r="AK33" s="95">
        <v>1</v>
      </c>
      <c r="AL33" s="96">
        <f t="shared" si="34"/>
        <v>1.0722009304576894</v>
      </c>
      <c r="AM33" s="457" t="str">
        <f t="shared" si="35"/>
        <v>(2,1,1,2,1,1); Industry data (French tender)</v>
      </c>
      <c r="AN33" s="435">
        <v>0</v>
      </c>
      <c r="AO33" s="95">
        <v>1</v>
      </c>
      <c r="AP33" s="96">
        <f t="shared" si="36"/>
        <v>1.0722009304576894</v>
      </c>
      <c r="AQ33" s="457" t="str">
        <f t="shared" si="37"/>
        <v>(2,1,1,2,1,1); Industry data (French tender)</v>
      </c>
      <c r="AR33" s="435">
        <v>0</v>
      </c>
      <c r="AS33" s="95">
        <v>1</v>
      </c>
      <c r="AT33" s="96">
        <f t="shared" si="38"/>
        <v>1.0722009304576894</v>
      </c>
      <c r="AU33" s="457" t="str">
        <f t="shared" si="39"/>
        <v>(2,1,1,2,1,1); Industry data (French tender)</v>
      </c>
      <c r="AV33" s="435">
        <v>0</v>
      </c>
      <c r="AW33" s="95">
        <v>1</v>
      </c>
      <c r="AX33" s="96">
        <f t="shared" si="40"/>
        <v>1.0722009304576894</v>
      </c>
      <c r="AY33" s="432" t="str">
        <f t="shared" si="41"/>
        <v>(2,1,1,2,1,1); Industry data (French tender)</v>
      </c>
      <c r="AZ33" s="435">
        <v>0</v>
      </c>
      <c r="BA33" s="95">
        <v>1</v>
      </c>
      <c r="BB33" s="96">
        <f t="shared" si="42"/>
        <v>1.0722009304576894</v>
      </c>
      <c r="BC33" s="457" t="str">
        <f t="shared" si="43"/>
        <v>(2,1,1,2,1,1); Industry data (French tender)</v>
      </c>
      <c r="BD33" s="435">
        <v>0</v>
      </c>
      <c r="BE33" s="95">
        <v>1</v>
      </c>
      <c r="BF33" s="96">
        <f t="shared" si="44"/>
        <v>1.0722009304576894</v>
      </c>
      <c r="BG33" s="457" t="str">
        <f t="shared" si="45"/>
        <v>(2,1,1,2,1,1); Industry data (French tender)</v>
      </c>
      <c r="BH33" s="435">
        <v>0</v>
      </c>
      <c r="BI33" s="95">
        <v>1</v>
      </c>
      <c r="BJ33" s="96">
        <f t="shared" si="46"/>
        <v>1.0722009304576894</v>
      </c>
      <c r="BK33" s="457" t="str">
        <f t="shared" si="47"/>
        <v>(2,1,1,2,1,1); Industry data (French tender)</v>
      </c>
      <c r="BL33" s="435">
        <v>0</v>
      </c>
      <c r="BM33" s="95">
        <v>1</v>
      </c>
      <c r="BN33" s="96">
        <f t="shared" si="48"/>
        <v>1.0722009304576894</v>
      </c>
      <c r="BO33" s="457" t="str">
        <f t="shared" si="49"/>
        <v>(2,1,1,2,1,1); Industry data (French tender)</v>
      </c>
      <c r="BP33" s="435">
        <v>0</v>
      </c>
      <c r="BQ33" s="95">
        <v>1</v>
      </c>
      <c r="BR33" s="96">
        <f t="shared" si="50"/>
        <v>1.0722009304576894</v>
      </c>
      <c r="BS33" s="432" t="str">
        <f t="shared" si="51"/>
        <v>(2,1,1,2,1,1); Industry data (French tender)</v>
      </c>
      <c r="BT33" s="435">
        <f>AF31</f>
        <v>0.95533311475409799</v>
      </c>
      <c r="BU33" s="95">
        <v>1</v>
      </c>
      <c r="BV33" s="96">
        <f t="shared" si="52"/>
        <v>1.0722009304576894</v>
      </c>
      <c r="BW33" s="457" t="str">
        <f t="shared" si="53"/>
        <v>(2,1,1,2,1,1); Industry data (French tender)</v>
      </c>
      <c r="BX33" s="435">
        <f>AJ31</f>
        <v>0.93703512880562001</v>
      </c>
      <c r="BY33" s="95">
        <v>1</v>
      </c>
      <c r="BZ33" s="96">
        <f t="shared" si="54"/>
        <v>1.0722009304576894</v>
      </c>
      <c r="CA33" s="457" t="str">
        <f t="shared" si="55"/>
        <v>(2,1,1,2,1,1); Industry data (French tender)</v>
      </c>
      <c r="CB33" s="435">
        <f>AN31</f>
        <v>0.95227522935779796</v>
      </c>
      <c r="CC33" s="95">
        <v>1</v>
      </c>
      <c r="CD33" s="96">
        <f t="shared" si="56"/>
        <v>1.0722009304576894</v>
      </c>
      <c r="CE33" s="457" t="str">
        <f t="shared" si="57"/>
        <v>(2,1,1,2,1,1); Industry data (French tender)</v>
      </c>
      <c r="CF33" s="435">
        <f>AR31</f>
        <v>0.92492340884573798</v>
      </c>
      <c r="CG33" s="95">
        <v>1</v>
      </c>
      <c r="CH33" s="96">
        <f t="shared" si="58"/>
        <v>1.0722009304576894</v>
      </c>
      <c r="CI33" s="457" t="str">
        <f t="shared" si="59"/>
        <v>(2,1,1,2,1,1); Industry data (French tender)</v>
      </c>
      <c r="CJ33" s="435">
        <f>AV31</f>
        <v>0.92492340884573898</v>
      </c>
      <c r="CK33" s="95">
        <v>1</v>
      </c>
      <c r="CL33" s="96">
        <f t="shared" si="60"/>
        <v>1.0722009304576894</v>
      </c>
      <c r="CM33" s="437" t="str">
        <f t="shared" si="61"/>
        <v>(2,1,1,2,1,1); Industry data (French tender)</v>
      </c>
      <c r="CN33" s="435">
        <v>0</v>
      </c>
      <c r="CO33" s="95">
        <v>1</v>
      </c>
      <c r="CP33" s="96">
        <f t="shared" si="62"/>
        <v>1.05</v>
      </c>
      <c r="CQ33" s="457" t="str">
        <f t="shared" si="63"/>
        <v xml:space="preserve">(na,na,na,na,na,na); </v>
      </c>
      <c r="CR33" s="435">
        <v>0</v>
      </c>
      <c r="CS33" s="95">
        <v>1</v>
      </c>
      <c r="CT33" s="96">
        <f t="shared" si="64"/>
        <v>1.05</v>
      </c>
      <c r="CU33" s="432" t="str">
        <f t="shared" si="65"/>
        <v xml:space="preserve">(na,na,na,na,na,na); </v>
      </c>
      <c r="CV33" s="399"/>
      <c r="CW33" s="435"/>
      <c r="CX33" s="435"/>
      <c r="CY33" s="435"/>
      <c r="CZ33" s="435"/>
      <c r="DA33" s="692" t="s">
        <v>462</v>
      </c>
      <c r="DB33" s="83">
        <v>2</v>
      </c>
      <c r="DC33" s="83">
        <v>1</v>
      </c>
      <c r="DD33" s="83">
        <v>1</v>
      </c>
      <c r="DE33" s="83">
        <v>2</v>
      </c>
      <c r="DF33" s="83">
        <v>1</v>
      </c>
      <c r="DG33" s="83">
        <v>1</v>
      </c>
      <c r="DH33" s="104">
        <v>3</v>
      </c>
      <c r="DI33" s="104">
        <v>1.05</v>
      </c>
      <c r="DJ33" s="107">
        <f t="shared" si="66"/>
        <v>1.0510550504206344</v>
      </c>
      <c r="DK33" s="107">
        <f t="shared" si="67"/>
        <v>1.0722009304576894</v>
      </c>
      <c r="DL33" s="107" t="str">
        <f t="shared" si="68"/>
        <v>(2,1,1,2,1,1)</v>
      </c>
      <c r="DM33" s="108">
        <v>1.05</v>
      </c>
      <c r="DN33" s="108">
        <v>1</v>
      </c>
      <c r="DO33" s="108">
        <v>1</v>
      </c>
      <c r="DP33" s="108">
        <v>1.01</v>
      </c>
      <c r="DQ33" s="108">
        <v>1</v>
      </c>
      <c r="DR33" s="108">
        <v>1</v>
      </c>
      <c r="DS33" s="399"/>
      <c r="DT33" s="692"/>
      <c r="DU33" s="83" t="s">
        <v>106</v>
      </c>
      <c r="DV33" s="83" t="s">
        <v>106</v>
      </c>
      <c r="DW33" s="83" t="s">
        <v>106</v>
      </c>
      <c r="DX33" s="83" t="s">
        <v>106</v>
      </c>
      <c r="DY33" s="83" t="s">
        <v>106</v>
      </c>
      <c r="DZ33" s="83" t="s">
        <v>106</v>
      </c>
      <c r="EA33" s="104">
        <v>3</v>
      </c>
      <c r="EB33" s="104">
        <v>1.05</v>
      </c>
      <c r="EC33" s="107">
        <f t="shared" si="69"/>
        <v>1</v>
      </c>
      <c r="ED33" s="107">
        <f t="shared" si="70"/>
        <v>1.05</v>
      </c>
      <c r="EE33" s="107" t="str">
        <f t="shared" si="71"/>
        <v>(na,na,na,na,na,na)</v>
      </c>
      <c r="EF33" s="108">
        <v>1</v>
      </c>
      <c r="EG33" s="108">
        <v>1</v>
      </c>
      <c r="EH33" s="108">
        <v>1</v>
      </c>
      <c r="EI33" s="108">
        <v>1</v>
      </c>
      <c r="EJ33" s="108">
        <v>1</v>
      </c>
      <c r="EK33" s="108">
        <v>1</v>
      </c>
    </row>
    <row r="34" spans="1:141" ht="24">
      <c r="A34" s="330" t="s">
        <v>952</v>
      </c>
      <c r="B34" s="216"/>
      <c r="C34" s="165"/>
      <c r="D34" s="515">
        <v>5</v>
      </c>
      <c r="E34" s="343" t="s">
        <v>98</v>
      </c>
      <c r="F34" s="432" t="s">
        <v>940</v>
      </c>
      <c r="G34" s="438" t="s">
        <v>340</v>
      </c>
      <c r="H34" s="455" t="s">
        <v>98</v>
      </c>
      <c r="I34" s="455" t="s">
        <v>98</v>
      </c>
      <c r="J34" s="336">
        <v>0</v>
      </c>
      <c r="K34" s="438" t="s">
        <v>679</v>
      </c>
      <c r="L34" s="440">
        <v>0</v>
      </c>
      <c r="M34" s="336">
        <v>1</v>
      </c>
      <c r="N34" s="337">
        <f t="shared" si="22"/>
        <v>1.0722009304576894</v>
      </c>
      <c r="O34" s="455" t="str">
        <f t="shared" si="23"/>
        <v>(2,1,1,2,1,1); Industry data (French tender)</v>
      </c>
      <c r="P34" s="440">
        <v>0</v>
      </c>
      <c r="Q34" s="336">
        <v>1</v>
      </c>
      <c r="R34" s="337">
        <f t="shared" si="24"/>
        <v>1.0722009304576894</v>
      </c>
      <c r="S34" s="455" t="str">
        <f t="shared" si="25"/>
        <v>(2,1,1,2,1,1); Industry data (French tender)</v>
      </c>
      <c r="T34" s="440">
        <v>0</v>
      </c>
      <c r="U34" s="336">
        <v>1</v>
      </c>
      <c r="V34" s="337">
        <f t="shared" si="26"/>
        <v>1.0722009304576894</v>
      </c>
      <c r="W34" s="455" t="str">
        <f t="shared" si="27"/>
        <v>(2,1,1,2,1,1); Industry data (French tender)</v>
      </c>
      <c r="X34" s="440">
        <v>0</v>
      </c>
      <c r="Y34" s="336">
        <v>1</v>
      </c>
      <c r="Z34" s="337">
        <f t="shared" si="28"/>
        <v>1.0722009304576894</v>
      </c>
      <c r="AA34" s="437" t="str">
        <f t="shared" si="29"/>
        <v>(2,1,1,2,1,1); Industry data (French tender)</v>
      </c>
      <c r="AB34" s="435">
        <v>0</v>
      </c>
      <c r="AC34" s="95">
        <v>1</v>
      </c>
      <c r="AD34" s="96">
        <f t="shared" si="30"/>
        <v>1.0722009304576894</v>
      </c>
      <c r="AE34" s="432" t="str">
        <f t="shared" si="31"/>
        <v>(2,1,1,2,1,1); Industry data (French tender)</v>
      </c>
      <c r="AF34" s="435">
        <v>0</v>
      </c>
      <c r="AG34" s="95">
        <v>1</v>
      </c>
      <c r="AH34" s="96">
        <f t="shared" si="32"/>
        <v>1.0722009304576894</v>
      </c>
      <c r="AI34" s="457" t="str">
        <f t="shared" si="33"/>
        <v>(2,1,1,2,1,1); Industry data (French tender)</v>
      </c>
      <c r="AJ34" s="435">
        <v>0</v>
      </c>
      <c r="AK34" s="95">
        <v>1</v>
      </c>
      <c r="AL34" s="96">
        <f t="shared" si="34"/>
        <v>1.0722009304576894</v>
      </c>
      <c r="AM34" s="457" t="str">
        <f t="shared" si="35"/>
        <v>(2,1,1,2,1,1); Industry data (French tender)</v>
      </c>
      <c r="AN34" s="435">
        <v>0</v>
      </c>
      <c r="AO34" s="95">
        <v>1</v>
      </c>
      <c r="AP34" s="96">
        <f t="shared" si="36"/>
        <v>1.0722009304576894</v>
      </c>
      <c r="AQ34" s="457" t="str">
        <f t="shared" si="37"/>
        <v>(2,1,1,2,1,1); Industry data (French tender)</v>
      </c>
      <c r="AR34" s="435">
        <v>0</v>
      </c>
      <c r="AS34" s="95">
        <v>1</v>
      </c>
      <c r="AT34" s="96">
        <f t="shared" si="38"/>
        <v>1.0722009304576894</v>
      </c>
      <c r="AU34" s="457" t="str">
        <f t="shared" si="39"/>
        <v>(2,1,1,2,1,1); Industry data (French tender)</v>
      </c>
      <c r="AV34" s="435">
        <v>0</v>
      </c>
      <c r="AW34" s="95">
        <v>1</v>
      </c>
      <c r="AX34" s="96">
        <f t="shared" si="40"/>
        <v>1.0722009304576894</v>
      </c>
      <c r="AY34" s="432" t="str">
        <f t="shared" si="41"/>
        <v>(2,1,1,2,1,1); Industry data (French tender)</v>
      </c>
      <c r="AZ34" s="435">
        <f>L32</f>
        <v>0</v>
      </c>
      <c r="BA34" s="95">
        <v>1</v>
      </c>
      <c r="BB34" s="96">
        <f t="shared" si="42"/>
        <v>1.0722009304576894</v>
      </c>
      <c r="BC34" s="457" t="str">
        <f t="shared" si="43"/>
        <v>(2,1,1,2,1,1); Industry data (French tender)</v>
      </c>
      <c r="BD34" s="435">
        <f>P32</f>
        <v>0</v>
      </c>
      <c r="BE34" s="95">
        <v>1</v>
      </c>
      <c r="BF34" s="96">
        <f t="shared" si="44"/>
        <v>1.0722009304576894</v>
      </c>
      <c r="BG34" s="457" t="str">
        <f t="shared" si="45"/>
        <v>(2,1,1,2,1,1); Industry data (French tender)</v>
      </c>
      <c r="BH34" s="435">
        <f>T32</f>
        <v>0</v>
      </c>
      <c r="BI34" s="95">
        <v>1</v>
      </c>
      <c r="BJ34" s="96">
        <f t="shared" si="46"/>
        <v>1.0722009304576894</v>
      </c>
      <c r="BK34" s="457" t="str">
        <f t="shared" si="47"/>
        <v>(2,1,1,2,1,1); Industry data (French tender)</v>
      </c>
      <c r="BL34" s="435">
        <f>X32</f>
        <v>0</v>
      </c>
      <c r="BM34" s="95">
        <v>1</v>
      </c>
      <c r="BN34" s="96">
        <f t="shared" si="48"/>
        <v>1.0722009304576894</v>
      </c>
      <c r="BO34" s="457" t="str">
        <f t="shared" si="49"/>
        <v>(2,1,1,2,1,1); Industry data (French tender)</v>
      </c>
      <c r="BP34" s="435">
        <v>0</v>
      </c>
      <c r="BQ34" s="95">
        <v>1</v>
      </c>
      <c r="BR34" s="96">
        <f t="shared" si="50"/>
        <v>1.0722009304576894</v>
      </c>
      <c r="BS34" s="432" t="str">
        <f t="shared" si="51"/>
        <v>(2,1,1,2,1,1); Industry data (French tender)</v>
      </c>
      <c r="BT34" s="435">
        <v>0</v>
      </c>
      <c r="BU34" s="95">
        <v>1</v>
      </c>
      <c r="BV34" s="96">
        <f t="shared" si="52"/>
        <v>1.0722009304576894</v>
      </c>
      <c r="BW34" s="457" t="str">
        <f t="shared" si="53"/>
        <v>(2,1,1,2,1,1); Industry data (French tender)</v>
      </c>
      <c r="BX34" s="435">
        <v>0</v>
      </c>
      <c r="BY34" s="95">
        <v>1</v>
      </c>
      <c r="BZ34" s="96">
        <f t="shared" si="54"/>
        <v>1.0722009304576894</v>
      </c>
      <c r="CA34" s="457" t="str">
        <f t="shared" si="55"/>
        <v>(2,1,1,2,1,1); Industry data (French tender)</v>
      </c>
      <c r="CB34" s="435">
        <v>0</v>
      </c>
      <c r="CC34" s="95">
        <v>1</v>
      </c>
      <c r="CD34" s="96">
        <f t="shared" si="56"/>
        <v>1.0722009304576894</v>
      </c>
      <c r="CE34" s="457" t="str">
        <f t="shared" si="57"/>
        <v>(2,1,1,2,1,1); Industry data (French tender)</v>
      </c>
      <c r="CF34" s="435">
        <v>0</v>
      </c>
      <c r="CG34" s="95">
        <v>1</v>
      </c>
      <c r="CH34" s="96">
        <f t="shared" si="58"/>
        <v>1.0722009304576894</v>
      </c>
      <c r="CI34" s="457" t="str">
        <f t="shared" si="59"/>
        <v>(2,1,1,2,1,1); Industry data (French tender)</v>
      </c>
      <c r="CJ34" s="435">
        <v>0</v>
      </c>
      <c r="CK34" s="95">
        <v>1</v>
      </c>
      <c r="CL34" s="96">
        <f t="shared" si="60"/>
        <v>1.0722009304576894</v>
      </c>
      <c r="CM34" s="437" t="str">
        <f t="shared" si="61"/>
        <v>(2,1,1,2,1,1); Industry data (French tender)</v>
      </c>
      <c r="CN34" s="435">
        <v>0.92900000000000005</v>
      </c>
      <c r="CO34" s="95">
        <v>1</v>
      </c>
      <c r="CP34" s="96">
        <f t="shared" si="62"/>
        <v>1.2434566510799234</v>
      </c>
      <c r="CQ34" s="457" t="str">
        <f t="shared" si="63"/>
        <v>(2,4,1,3,1,5); Brailovsky (2026) GP 08</v>
      </c>
      <c r="CR34" s="435">
        <v>0</v>
      </c>
      <c r="CS34" s="95">
        <v>1</v>
      </c>
      <c r="CT34" s="96">
        <f t="shared" si="64"/>
        <v>1.2434566510799234</v>
      </c>
      <c r="CU34" s="432" t="str">
        <f t="shared" si="65"/>
        <v>(2,4,1,3,1,5); Brailovsky (2026) GP 08</v>
      </c>
      <c r="CV34" s="399"/>
      <c r="CW34" s="435"/>
      <c r="CX34" s="435"/>
      <c r="CY34" s="435"/>
      <c r="CZ34" s="435"/>
      <c r="DA34" s="692" t="s">
        <v>462</v>
      </c>
      <c r="DB34" s="83">
        <v>2</v>
      </c>
      <c r="DC34" s="83">
        <v>1</v>
      </c>
      <c r="DD34" s="83">
        <v>1</v>
      </c>
      <c r="DE34" s="83">
        <v>2</v>
      </c>
      <c r="DF34" s="83">
        <v>1</v>
      </c>
      <c r="DG34" s="83">
        <v>1</v>
      </c>
      <c r="DH34" s="104">
        <v>3</v>
      </c>
      <c r="DI34" s="104">
        <v>1.05</v>
      </c>
      <c r="DJ34" s="107">
        <f t="shared" si="66"/>
        <v>1.0510550504206344</v>
      </c>
      <c r="DK34" s="107">
        <f t="shared" si="67"/>
        <v>1.0722009304576894</v>
      </c>
      <c r="DL34" s="107" t="str">
        <f t="shared" si="68"/>
        <v>(2,1,1,2,1,1)</v>
      </c>
      <c r="DM34" s="108">
        <v>1.05</v>
      </c>
      <c r="DN34" s="108">
        <v>1</v>
      </c>
      <c r="DO34" s="108">
        <v>1</v>
      </c>
      <c r="DP34" s="108">
        <v>1.01</v>
      </c>
      <c r="DQ34" s="108">
        <v>1</v>
      </c>
      <c r="DR34" s="108">
        <v>1</v>
      </c>
      <c r="DS34" s="399"/>
      <c r="DT34" s="692" t="s">
        <v>1171</v>
      </c>
      <c r="DU34" s="83">
        <v>2</v>
      </c>
      <c r="DV34" s="83">
        <v>4</v>
      </c>
      <c r="DW34" s="83">
        <v>1</v>
      </c>
      <c r="DX34" s="83">
        <v>3</v>
      </c>
      <c r="DY34" s="83">
        <v>1</v>
      </c>
      <c r="DZ34" s="83">
        <v>5</v>
      </c>
      <c r="EA34" s="104">
        <v>3</v>
      </c>
      <c r="EB34" s="104">
        <v>1.05</v>
      </c>
      <c r="EC34" s="107">
        <f t="shared" si="69"/>
        <v>1.2365959919080913</v>
      </c>
      <c r="ED34" s="107">
        <f t="shared" si="70"/>
        <v>1.2434566510799234</v>
      </c>
      <c r="EE34" s="107" t="str">
        <f t="shared" si="71"/>
        <v>(2,4,1,3,1,5)</v>
      </c>
      <c r="EF34" s="108">
        <v>1.05</v>
      </c>
      <c r="EG34" s="108">
        <v>1.1000000000000001</v>
      </c>
      <c r="EH34" s="108">
        <v>1</v>
      </c>
      <c r="EI34" s="108">
        <v>1.02</v>
      </c>
      <c r="EJ34" s="108">
        <v>1</v>
      </c>
      <c r="EK34" s="108">
        <v>1.2</v>
      </c>
    </row>
    <row r="35" spans="1:141" ht="24">
      <c r="A35" s="330" t="s">
        <v>953</v>
      </c>
      <c r="B35" s="216"/>
      <c r="C35" s="165"/>
      <c r="D35" s="515">
        <v>5</v>
      </c>
      <c r="E35" s="343" t="s">
        <v>98</v>
      </c>
      <c r="F35" s="432" t="s">
        <v>941</v>
      </c>
      <c r="G35" s="438" t="s">
        <v>372</v>
      </c>
      <c r="H35" s="455" t="s">
        <v>98</v>
      </c>
      <c r="I35" s="455" t="s">
        <v>98</v>
      </c>
      <c r="J35" s="336">
        <v>0</v>
      </c>
      <c r="K35" s="438" t="s">
        <v>679</v>
      </c>
      <c r="L35" s="440">
        <v>0</v>
      </c>
      <c r="M35" s="336">
        <v>1</v>
      </c>
      <c r="N35" s="337">
        <f t="shared" si="22"/>
        <v>1.0722009304576894</v>
      </c>
      <c r="O35" s="455" t="str">
        <f t="shared" si="23"/>
        <v>(2,1,1,2,1,1); Industry data (French tender)</v>
      </c>
      <c r="P35" s="440">
        <v>0</v>
      </c>
      <c r="Q35" s="336">
        <v>1</v>
      </c>
      <c r="R35" s="337">
        <f t="shared" si="24"/>
        <v>1.0722009304576894</v>
      </c>
      <c r="S35" s="455" t="str">
        <f t="shared" si="25"/>
        <v>(2,1,1,2,1,1); Industry data (French tender)</v>
      </c>
      <c r="T35" s="440">
        <v>0</v>
      </c>
      <c r="U35" s="336">
        <v>1</v>
      </c>
      <c r="V35" s="337">
        <f t="shared" si="26"/>
        <v>1.0722009304576894</v>
      </c>
      <c r="W35" s="455" t="str">
        <f t="shared" si="27"/>
        <v>(2,1,1,2,1,1); Industry data (French tender)</v>
      </c>
      <c r="X35" s="440">
        <v>0</v>
      </c>
      <c r="Y35" s="336">
        <v>1</v>
      </c>
      <c r="Z35" s="337">
        <f t="shared" si="28"/>
        <v>1.0722009304576894</v>
      </c>
      <c r="AA35" s="437" t="str">
        <f t="shared" si="29"/>
        <v>(2,1,1,2,1,1); Industry data (French tender)</v>
      </c>
      <c r="AB35" s="435">
        <v>0</v>
      </c>
      <c r="AC35" s="95">
        <v>1</v>
      </c>
      <c r="AD35" s="96">
        <f t="shared" si="30"/>
        <v>1.0722009304576894</v>
      </c>
      <c r="AE35" s="432" t="str">
        <f t="shared" si="31"/>
        <v>(2,1,1,2,1,1); Industry data (French tender)</v>
      </c>
      <c r="AF35" s="435">
        <v>0</v>
      </c>
      <c r="AG35" s="95">
        <v>1</v>
      </c>
      <c r="AH35" s="96">
        <f t="shared" si="32"/>
        <v>1.0722009304576894</v>
      </c>
      <c r="AI35" s="457" t="str">
        <f t="shared" si="33"/>
        <v>(2,1,1,2,1,1); Industry data (French tender)</v>
      </c>
      <c r="AJ35" s="435">
        <v>0</v>
      </c>
      <c r="AK35" s="95">
        <v>1</v>
      </c>
      <c r="AL35" s="96">
        <f t="shared" si="34"/>
        <v>1.0722009304576894</v>
      </c>
      <c r="AM35" s="457" t="str">
        <f t="shared" si="35"/>
        <v>(2,1,1,2,1,1); Industry data (French tender)</v>
      </c>
      <c r="AN35" s="435">
        <v>0</v>
      </c>
      <c r="AO35" s="95">
        <v>1</v>
      </c>
      <c r="AP35" s="96">
        <f t="shared" si="36"/>
        <v>1.0722009304576894</v>
      </c>
      <c r="AQ35" s="457" t="str">
        <f t="shared" si="37"/>
        <v>(2,1,1,2,1,1); Industry data (French tender)</v>
      </c>
      <c r="AR35" s="435">
        <v>0</v>
      </c>
      <c r="AS35" s="95">
        <v>1</v>
      </c>
      <c r="AT35" s="96">
        <f t="shared" si="38"/>
        <v>1.0722009304576894</v>
      </c>
      <c r="AU35" s="457" t="str">
        <f t="shared" si="39"/>
        <v>(2,1,1,2,1,1); Industry data (French tender)</v>
      </c>
      <c r="AV35" s="435">
        <v>0</v>
      </c>
      <c r="AW35" s="95">
        <v>1</v>
      </c>
      <c r="AX35" s="96">
        <f t="shared" si="40"/>
        <v>1.0722009304576894</v>
      </c>
      <c r="AY35" s="432" t="str">
        <f t="shared" si="41"/>
        <v>(2,1,1,2,1,1); Industry data (French tender)</v>
      </c>
      <c r="AZ35" s="435">
        <v>0</v>
      </c>
      <c r="BA35" s="95">
        <v>1</v>
      </c>
      <c r="BB35" s="96">
        <f t="shared" si="42"/>
        <v>1.0722009304576894</v>
      </c>
      <c r="BC35" s="457" t="str">
        <f t="shared" si="43"/>
        <v>(2,1,1,2,1,1); Industry data (French tender)</v>
      </c>
      <c r="BD35" s="435">
        <v>0</v>
      </c>
      <c r="BE35" s="95">
        <v>1</v>
      </c>
      <c r="BF35" s="96">
        <f t="shared" si="44"/>
        <v>1.0722009304576894</v>
      </c>
      <c r="BG35" s="457" t="str">
        <f t="shared" si="45"/>
        <v>(2,1,1,2,1,1); Industry data (French tender)</v>
      </c>
      <c r="BH35" s="435">
        <v>0</v>
      </c>
      <c r="BI35" s="95">
        <v>1</v>
      </c>
      <c r="BJ35" s="96">
        <f t="shared" si="46"/>
        <v>1.0722009304576894</v>
      </c>
      <c r="BK35" s="457" t="str">
        <f t="shared" si="47"/>
        <v>(2,1,1,2,1,1); Industry data (French tender)</v>
      </c>
      <c r="BL35" s="435">
        <v>0</v>
      </c>
      <c r="BM35" s="95">
        <v>1</v>
      </c>
      <c r="BN35" s="96">
        <f t="shared" si="48"/>
        <v>1.0722009304576894</v>
      </c>
      <c r="BO35" s="457" t="str">
        <f t="shared" si="49"/>
        <v>(2,1,1,2,1,1); Industry data (French tender)</v>
      </c>
      <c r="BP35" s="435">
        <v>0</v>
      </c>
      <c r="BQ35" s="95">
        <v>1</v>
      </c>
      <c r="BR35" s="96">
        <f t="shared" si="50"/>
        <v>1.0722009304576894</v>
      </c>
      <c r="BS35" s="432" t="str">
        <f t="shared" si="51"/>
        <v>(2,1,1,2,1,1); Industry data (French tender)</v>
      </c>
      <c r="BT35" s="435">
        <v>0</v>
      </c>
      <c r="BU35" s="95">
        <v>1</v>
      </c>
      <c r="BV35" s="96">
        <f t="shared" si="52"/>
        <v>1.0722009304576894</v>
      </c>
      <c r="BW35" s="457" t="str">
        <f t="shared" si="53"/>
        <v>(2,1,1,2,1,1); Industry data (French tender)</v>
      </c>
      <c r="BX35" s="435">
        <v>0</v>
      </c>
      <c r="BY35" s="95">
        <v>1</v>
      </c>
      <c r="BZ35" s="96">
        <f t="shared" si="54"/>
        <v>1.0722009304576894</v>
      </c>
      <c r="CA35" s="457" t="str">
        <f t="shared" si="55"/>
        <v>(2,1,1,2,1,1); Industry data (French tender)</v>
      </c>
      <c r="CB35" s="435">
        <v>0</v>
      </c>
      <c r="CC35" s="95">
        <v>1</v>
      </c>
      <c r="CD35" s="96">
        <f t="shared" si="56"/>
        <v>1.0722009304576894</v>
      </c>
      <c r="CE35" s="457" t="str">
        <f t="shared" si="57"/>
        <v>(2,1,1,2,1,1); Industry data (French tender)</v>
      </c>
      <c r="CF35" s="435">
        <v>0</v>
      </c>
      <c r="CG35" s="95">
        <v>1</v>
      </c>
      <c r="CH35" s="96">
        <f t="shared" si="58"/>
        <v>1.0722009304576894</v>
      </c>
      <c r="CI35" s="457" t="str">
        <f t="shared" si="59"/>
        <v>(2,1,1,2,1,1); Industry data (French tender)</v>
      </c>
      <c r="CJ35" s="435">
        <v>0</v>
      </c>
      <c r="CK35" s="95">
        <v>1</v>
      </c>
      <c r="CL35" s="96">
        <f t="shared" si="60"/>
        <v>1.0722009304576894</v>
      </c>
      <c r="CM35" s="437" t="str">
        <f t="shared" si="61"/>
        <v>(2,1,1,2,1,1); Industry data (French tender)</v>
      </c>
      <c r="CN35" s="435">
        <v>0</v>
      </c>
      <c r="CO35" s="95">
        <v>1</v>
      </c>
      <c r="CP35" s="96">
        <f t="shared" si="62"/>
        <v>1.2434566510799234</v>
      </c>
      <c r="CQ35" s="457" t="str">
        <f t="shared" si="63"/>
        <v>(2,4,1,3,1,5); Brailovsky (2026) GP 08</v>
      </c>
      <c r="CR35" s="435">
        <v>0.92900000000000005</v>
      </c>
      <c r="CS35" s="95">
        <v>1</v>
      </c>
      <c r="CT35" s="96">
        <f t="shared" si="64"/>
        <v>1.2434566510799234</v>
      </c>
      <c r="CU35" s="432" t="str">
        <f t="shared" si="65"/>
        <v>(2,4,1,3,1,5); Brailovsky (2026) GP 08</v>
      </c>
      <c r="CV35" s="399"/>
      <c r="CW35" s="435"/>
      <c r="CX35" s="435"/>
      <c r="CY35" s="435"/>
      <c r="CZ35" s="435"/>
      <c r="DA35" s="692" t="s">
        <v>462</v>
      </c>
      <c r="DB35" s="83">
        <v>2</v>
      </c>
      <c r="DC35" s="83">
        <v>1</v>
      </c>
      <c r="DD35" s="83">
        <v>1</v>
      </c>
      <c r="DE35" s="83">
        <v>2</v>
      </c>
      <c r="DF35" s="83">
        <v>1</v>
      </c>
      <c r="DG35" s="83">
        <v>1</v>
      </c>
      <c r="DH35" s="104">
        <v>3</v>
      </c>
      <c r="DI35" s="104">
        <v>1.05</v>
      </c>
      <c r="DJ35" s="107">
        <f t="shared" si="66"/>
        <v>1.0510550504206344</v>
      </c>
      <c r="DK35" s="107">
        <f t="shared" si="67"/>
        <v>1.0722009304576894</v>
      </c>
      <c r="DL35" s="107" t="str">
        <f t="shared" si="68"/>
        <v>(2,1,1,2,1,1)</v>
      </c>
      <c r="DM35" s="108">
        <v>1.05</v>
      </c>
      <c r="DN35" s="108">
        <v>1</v>
      </c>
      <c r="DO35" s="108">
        <v>1</v>
      </c>
      <c r="DP35" s="108">
        <v>1.01</v>
      </c>
      <c r="DQ35" s="108">
        <v>1</v>
      </c>
      <c r="DR35" s="108">
        <v>1</v>
      </c>
      <c r="DS35" s="399"/>
      <c r="DT35" s="692" t="s">
        <v>1171</v>
      </c>
      <c r="DU35" s="83">
        <v>2</v>
      </c>
      <c r="DV35" s="83">
        <v>4</v>
      </c>
      <c r="DW35" s="83">
        <v>1</v>
      </c>
      <c r="DX35" s="83">
        <v>3</v>
      </c>
      <c r="DY35" s="83">
        <v>1</v>
      </c>
      <c r="DZ35" s="83">
        <v>5</v>
      </c>
      <c r="EA35" s="104">
        <v>3</v>
      </c>
      <c r="EB35" s="104">
        <v>1.05</v>
      </c>
      <c r="EC35" s="107">
        <f t="shared" si="69"/>
        <v>1.2365959919080913</v>
      </c>
      <c r="ED35" s="107">
        <f t="shared" si="70"/>
        <v>1.2434566510799234</v>
      </c>
      <c r="EE35" s="107" t="str">
        <f t="shared" si="71"/>
        <v>(2,4,1,3,1,5)</v>
      </c>
      <c r="EF35" s="108">
        <v>1.05</v>
      </c>
      <c r="EG35" s="108">
        <v>1.1000000000000001</v>
      </c>
      <c r="EH35" s="108">
        <v>1</v>
      </c>
      <c r="EI35" s="108">
        <v>1.02</v>
      </c>
      <c r="EJ35" s="108">
        <v>1</v>
      </c>
      <c r="EK35" s="108">
        <v>1.2</v>
      </c>
    </row>
    <row r="36" spans="1:141" ht="24">
      <c r="A36" s="330">
        <v>269089</v>
      </c>
      <c r="B36" s="216" t="s">
        <v>582</v>
      </c>
      <c r="C36" s="165"/>
      <c r="D36" s="515">
        <v>5</v>
      </c>
      <c r="E36" s="343" t="s">
        <v>98</v>
      </c>
      <c r="F36" s="432" t="s">
        <v>675</v>
      </c>
      <c r="G36" s="438" t="s">
        <v>93</v>
      </c>
      <c r="H36" s="455" t="s">
        <v>98</v>
      </c>
      <c r="I36" s="455" t="s">
        <v>98</v>
      </c>
      <c r="J36" s="336">
        <v>0</v>
      </c>
      <c r="K36" s="438" t="s">
        <v>96</v>
      </c>
      <c r="L36" s="440">
        <f t="shared" ref="L36:L49" si="72">CW36</f>
        <v>1.28341920374707</v>
      </c>
      <c r="M36" s="336">
        <v>1</v>
      </c>
      <c r="N36" s="337">
        <f t="shared" si="22"/>
        <v>1.0722009304576894</v>
      </c>
      <c r="O36" s="455" t="str">
        <f t="shared" si="23"/>
        <v>(2,1,1,2,1,1); Industry data (French tender) Aluminium frame</v>
      </c>
      <c r="P36" s="440">
        <f t="shared" ref="P36:P49" si="73">CX36</f>
        <v>1.1678220140515201</v>
      </c>
      <c r="Q36" s="336">
        <v>1</v>
      </c>
      <c r="R36" s="337">
        <f t="shared" si="24"/>
        <v>1.0722009304576894</v>
      </c>
      <c r="S36" s="455" t="str">
        <f t="shared" si="25"/>
        <v>(2,1,1,2,1,1); Industry data (French tender) Aluminium frame</v>
      </c>
      <c r="T36" s="440">
        <f t="shared" ref="T36:T49" si="74">CY36</f>
        <v>1.04354128440367</v>
      </c>
      <c r="U36" s="336">
        <v>1</v>
      </c>
      <c r="V36" s="337">
        <f t="shared" si="26"/>
        <v>1.0722009304576894</v>
      </c>
      <c r="W36" s="455" t="str">
        <f t="shared" si="27"/>
        <v>(2,1,1,2,1,1); Industry data (French tender) Aluminium frame</v>
      </c>
      <c r="X36" s="440">
        <f t="shared" ref="X36:X49" si="75">CZ36</f>
        <v>1.0855339805825199</v>
      </c>
      <c r="Y36" s="336">
        <v>1</v>
      </c>
      <c r="Z36" s="337">
        <f t="shared" si="28"/>
        <v>1.0722009304576894</v>
      </c>
      <c r="AA36" s="437" t="str">
        <f t="shared" si="29"/>
        <v>(2,1,1,2,1,1); Industry data (French tender) Aluminium frame</v>
      </c>
      <c r="AB36" s="435">
        <v>0</v>
      </c>
      <c r="AC36" s="95">
        <v>1</v>
      </c>
      <c r="AD36" s="96">
        <f t="shared" si="30"/>
        <v>1.0722009304576894</v>
      </c>
      <c r="AE36" s="432" t="str">
        <f t="shared" si="31"/>
        <v>(2,1,1,2,1,1); Industry data (French tender) Aluminium frame</v>
      </c>
      <c r="AF36" s="435">
        <f t="shared" ref="AF36:AF50" si="76">L36</f>
        <v>1.28341920374707</v>
      </c>
      <c r="AG36" s="95">
        <v>1</v>
      </c>
      <c r="AH36" s="96">
        <f t="shared" si="32"/>
        <v>1.0722009304576894</v>
      </c>
      <c r="AI36" s="457" t="str">
        <f t="shared" si="33"/>
        <v>(2,1,1,2,1,1); Industry data (French tender) Aluminium frame</v>
      </c>
      <c r="AJ36" s="435">
        <f t="shared" ref="AJ36:AJ50" si="77">P36</f>
        <v>1.1678220140515201</v>
      </c>
      <c r="AK36" s="95">
        <v>1</v>
      </c>
      <c r="AL36" s="96">
        <f t="shared" si="34"/>
        <v>1.0722009304576894</v>
      </c>
      <c r="AM36" s="457" t="str">
        <f t="shared" si="35"/>
        <v>(2,1,1,2,1,1); Industry data (French tender) Aluminium frame</v>
      </c>
      <c r="AN36" s="435">
        <f t="shared" ref="AN36:AN50" si="78">T36</f>
        <v>1.04354128440367</v>
      </c>
      <c r="AO36" s="95">
        <v>1</v>
      </c>
      <c r="AP36" s="96">
        <f t="shared" si="36"/>
        <v>1.0722009304576894</v>
      </c>
      <c r="AQ36" s="457" t="str">
        <f t="shared" si="37"/>
        <v>(2,1,1,2,1,1); Industry data (French tender) Aluminium frame</v>
      </c>
      <c r="AR36" s="435">
        <f t="shared" ref="AR36:AR50" si="79">X36</f>
        <v>1.0855339805825199</v>
      </c>
      <c r="AS36" s="95">
        <v>1</v>
      </c>
      <c r="AT36" s="96">
        <f t="shared" si="38"/>
        <v>1.0722009304576894</v>
      </c>
      <c r="AU36" s="457" t="str">
        <f t="shared" si="39"/>
        <v>(2,1,1,2,1,1); Industry data (French tender) Aluminium frame</v>
      </c>
      <c r="AV36" s="435">
        <v>0</v>
      </c>
      <c r="AW36" s="95">
        <v>1</v>
      </c>
      <c r="AX36" s="96">
        <f t="shared" si="40"/>
        <v>1.0722009304576894</v>
      </c>
      <c r="AY36" s="432" t="str">
        <f t="shared" si="41"/>
        <v>(2,1,1,2,1,1); Industry data (French tender) Aluminium frame</v>
      </c>
      <c r="AZ36" s="435">
        <f t="shared" ref="AZ36:AZ50" si="80">L36</f>
        <v>1.28341920374707</v>
      </c>
      <c r="BA36" s="95">
        <v>1</v>
      </c>
      <c r="BB36" s="96">
        <f t="shared" si="42"/>
        <v>1.0722009304576894</v>
      </c>
      <c r="BC36" s="457" t="str">
        <f t="shared" si="43"/>
        <v>(2,1,1,2,1,1); Industry data (French tender) Aluminium frame</v>
      </c>
      <c r="BD36" s="435">
        <f t="shared" ref="BD36:BD50" si="81">P36</f>
        <v>1.1678220140515201</v>
      </c>
      <c r="BE36" s="95">
        <v>1</v>
      </c>
      <c r="BF36" s="96">
        <f t="shared" si="44"/>
        <v>1.0722009304576894</v>
      </c>
      <c r="BG36" s="457" t="str">
        <f t="shared" si="45"/>
        <v>(2,1,1,2,1,1); Industry data (French tender) Aluminium frame</v>
      </c>
      <c r="BH36" s="435">
        <f t="shared" ref="BH36:BH50" si="82">T36</f>
        <v>1.04354128440367</v>
      </c>
      <c r="BI36" s="95">
        <v>1</v>
      </c>
      <c r="BJ36" s="96">
        <f t="shared" si="46"/>
        <v>1.0722009304576894</v>
      </c>
      <c r="BK36" s="457" t="str">
        <f t="shared" si="47"/>
        <v>(2,1,1,2,1,1); Industry data (French tender) Aluminium frame</v>
      </c>
      <c r="BL36" s="435">
        <f t="shared" ref="BL36:BL50" si="83">X36</f>
        <v>1.0855339805825199</v>
      </c>
      <c r="BM36" s="95">
        <v>1</v>
      </c>
      <c r="BN36" s="96">
        <f t="shared" si="48"/>
        <v>1.0722009304576894</v>
      </c>
      <c r="BO36" s="457" t="str">
        <f t="shared" si="49"/>
        <v>(2,1,1,2,1,1); Industry data (French tender) Aluminium frame</v>
      </c>
      <c r="BP36" s="435">
        <v>0</v>
      </c>
      <c r="BQ36" s="95">
        <v>1</v>
      </c>
      <c r="BR36" s="96">
        <f t="shared" si="50"/>
        <v>1.0722009304576894</v>
      </c>
      <c r="BS36" s="432" t="str">
        <f t="shared" si="51"/>
        <v>(2,1,1,2,1,1); Industry data (French tender) Aluminium frame</v>
      </c>
      <c r="BT36" s="435">
        <f t="shared" ref="BT36:BT50" si="84">AZ36</f>
        <v>1.28341920374707</v>
      </c>
      <c r="BU36" s="95">
        <v>1</v>
      </c>
      <c r="BV36" s="96">
        <f t="shared" si="52"/>
        <v>1.0722009304576894</v>
      </c>
      <c r="BW36" s="457" t="str">
        <f t="shared" si="53"/>
        <v>(2,1,1,2,1,1); Industry data (French tender) Aluminium frame</v>
      </c>
      <c r="BX36" s="435">
        <f t="shared" ref="BX36:BX50" si="85">BD36</f>
        <v>1.1678220140515201</v>
      </c>
      <c r="BY36" s="95">
        <v>1</v>
      </c>
      <c r="BZ36" s="96">
        <f t="shared" si="54"/>
        <v>1.0722009304576894</v>
      </c>
      <c r="CA36" s="457" t="str">
        <f t="shared" si="55"/>
        <v>(2,1,1,2,1,1); Industry data (French tender) Aluminium frame</v>
      </c>
      <c r="CB36" s="435">
        <f t="shared" ref="CB36:CB50" si="86">BH36</f>
        <v>1.04354128440367</v>
      </c>
      <c r="CC36" s="95">
        <v>1</v>
      </c>
      <c r="CD36" s="96">
        <f t="shared" si="56"/>
        <v>1.0722009304576894</v>
      </c>
      <c r="CE36" s="457" t="str">
        <f t="shared" si="57"/>
        <v>(2,1,1,2,1,1); Industry data (French tender) Aluminium frame</v>
      </c>
      <c r="CF36" s="435">
        <f t="shared" ref="CF36:CF50" si="87">BL36</f>
        <v>1.0855339805825199</v>
      </c>
      <c r="CG36" s="95">
        <v>1</v>
      </c>
      <c r="CH36" s="96">
        <f t="shared" si="58"/>
        <v>1.0722009304576894</v>
      </c>
      <c r="CI36" s="457" t="str">
        <f t="shared" si="59"/>
        <v>(2,1,1,2,1,1); Industry data (French tender) Aluminium frame</v>
      </c>
      <c r="CJ36" s="435">
        <v>0</v>
      </c>
      <c r="CK36" s="95">
        <v>1</v>
      </c>
      <c r="CL36" s="96">
        <f t="shared" si="60"/>
        <v>1.0722009304576894</v>
      </c>
      <c r="CM36" s="437" t="str">
        <f t="shared" si="61"/>
        <v>(2,1,1,2,1,1); Industry data (French tender) Aluminium frame</v>
      </c>
      <c r="CN36" s="435">
        <v>1.35</v>
      </c>
      <c r="CO36" s="95">
        <v>1</v>
      </c>
      <c r="CP36" s="96">
        <f t="shared" si="62"/>
        <v>1.2434566510799234</v>
      </c>
      <c r="CQ36" s="457" t="str">
        <f t="shared" si="63"/>
        <v>(2,4,1,3,1,5); Brailovsky (2026) GP 08; iso Aluminium frame</v>
      </c>
      <c r="CR36" s="435">
        <v>1.35</v>
      </c>
      <c r="CS36" s="95">
        <v>1</v>
      </c>
      <c r="CT36" s="96">
        <f t="shared" si="64"/>
        <v>1.2434566510799234</v>
      </c>
      <c r="CU36" s="432" t="str">
        <f t="shared" si="65"/>
        <v>(2,4,1,3,1,5); Brailovsky (2026) GP 08; iso Aluminium frame</v>
      </c>
      <c r="CV36" s="399"/>
      <c r="CW36" s="435">
        <v>1.28341920374707</v>
      </c>
      <c r="CX36" s="435">
        <v>1.1678220140515201</v>
      </c>
      <c r="CY36" s="435">
        <v>1.04354128440367</v>
      </c>
      <c r="CZ36" s="435">
        <v>1.0855339805825199</v>
      </c>
      <c r="DA36" s="692" t="s">
        <v>1172</v>
      </c>
      <c r="DB36" s="83">
        <v>2</v>
      </c>
      <c r="DC36" s="83">
        <v>1</v>
      </c>
      <c r="DD36" s="83">
        <v>1</v>
      </c>
      <c r="DE36" s="83">
        <v>2</v>
      </c>
      <c r="DF36" s="83">
        <v>1</v>
      </c>
      <c r="DG36" s="83">
        <v>1</v>
      </c>
      <c r="DH36" s="104">
        <v>3</v>
      </c>
      <c r="DI36" s="104">
        <v>1.05</v>
      </c>
      <c r="DJ36" s="107">
        <f t="shared" si="66"/>
        <v>1.0510550504206344</v>
      </c>
      <c r="DK36" s="107">
        <f t="shared" si="67"/>
        <v>1.0722009304576894</v>
      </c>
      <c r="DL36" s="107" t="str">
        <f t="shared" si="68"/>
        <v>(2,1,1,2,1,1)</v>
      </c>
      <c r="DM36" s="108">
        <v>1.05</v>
      </c>
      <c r="DN36" s="108">
        <v>1</v>
      </c>
      <c r="DO36" s="108">
        <v>1</v>
      </c>
      <c r="DP36" s="108">
        <v>1.01</v>
      </c>
      <c r="DQ36" s="108">
        <v>1</v>
      </c>
      <c r="DR36" s="108">
        <v>1</v>
      </c>
      <c r="DS36" s="399"/>
      <c r="DT36" s="692" t="s">
        <v>1173</v>
      </c>
      <c r="DU36" s="83">
        <v>2</v>
      </c>
      <c r="DV36" s="83">
        <v>4</v>
      </c>
      <c r="DW36" s="83">
        <v>1</v>
      </c>
      <c r="DX36" s="83">
        <v>3</v>
      </c>
      <c r="DY36" s="83">
        <v>1</v>
      </c>
      <c r="DZ36" s="83">
        <v>5</v>
      </c>
      <c r="EA36" s="104">
        <v>3</v>
      </c>
      <c r="EB36" s="104">
        <v>1.05</v>
      </c>
      <c r="EC36" s="107">
        <f t="shared" si="69"/>
        <v>1.2365959919080913</v>
      </c>
      <c r="ED36" s="107">
        <f t="shared" si="70"/>
        <v>1.2434566510799234</v>
      </c>
      <c r="EE36" s="107" t="str">
        <f t="shared" si="71"/>
        <v>(2,4,1,3,1,5)</v>
      </c>
      <c r="EF36" s="108">
        <v>1.05</v>
      </c>
      <c r="EG36" s="108">
        <v>1.1000000000000001</v>
      </c>
      <c r="EH36" s="108">
        <v>1</v>
      </c>
      <c r="EI36" s="108">
        <v>1.02</v>
      </c>
      <c r="EJ36" s="108">
        <v>1</v>
      </c>
      <c r="EK36" s="108">
        <v>1.2</v>
      </c>
    </row>
    <row r="37" spans="1:141" ht="48">
      <c r="A37" s="330">
        <v>160379</v>
      </c>
      <c r="B37" s="216"/>
      <c r="C37" s="165"/>
      <c r="D37" s="515">
        <v>5</v>
      </c>
      <c r="E37" s="343" t="s">
        <v>98</v>
      </c>
      <c r="F37" s="437" t="s">
        <v>1174</v>
      </c>
      <c r="G37" s="438" t="s">
        <v>93</v>
      </c>
      <c r="H37" s="455" t="s">
        <v>98</v>
      </c>
      <c r="I37" s="455" t="s">
        <v>98</v>
      </c>
      <c r="J37" s="336">
        <v>0</v>
      </c>
      <c r="K37" s="438" t="s">
        <v>96</v>
      </c>
      <c r="L37" s="440">
        <f t="shared" si="72"/>
        <v>0.11488309133489463</v>
      </c>
      <c r="M37" s="336">
        <v>1</v>
      </c>
      <c r="N37" s="337">
        <f t="shared" si="22"/>
        <v>1.0722009304576894</v>
      </c>
      <c r="O37" s="455" t="str">
        <f t="shared" si="23"/>
        <v>(2,1,1,2,1,1); Industry data (French tender) Junction Box total +Junction box connector + Interconnection Ribbons + String Ribbons</v>
      </c>
      <c r="P37" s="440">
        <f t="shared" si="73"/>
        <v>0.11032714285714287</v>
      </c>
      <c r="Q37" s="336">
        <v>1</v>
      </c>
      <c r="R37" s="337">
        <f t="shared" si="24"/>
        <v>1.0722009304576894</v>
      </c>
      <c r="S37" s="455" t="str">
        <f t="shared" si="25"/>
        <v>(2,1,1,2,1,1); Industry data (French tender) Junction Box total +Junction box connector + Interconnection Ribbons + String Ribbons</v>
      </c>
      <c r="T37" s="440">
        <f t="shared" si="74"/>
        <v>0.10079360856269112</v>
      </c>
      <c r="U37" s="336">
        <v>1</v>
      </c>
      <c r="V37" s="337">
        <f t="shared" si="26"/>
        <v>1.0722009304576894</v>
      </c>
      <c r="W37" s="455" t="str">
        <f t="shared" si="27"/>
        <v>(2,1,1,2,1,1); Industry data (French tender) Junction Box total +Junction box connector + Interconnection Ribbons + String Ribbons</v>
      </c>
      <c r="X37" s="440">
        <f t="shared" si="75"/>
        <v>0.10173973031283713</v>
      </c>
      <c r="Y37" s="336">
        <v>1</v>
      </c>
      <c r="Z37" s="337">
        <f t="shared" si="28"/>
        <v>1.0722009304576894</v>
      </c>
      <c r="AA37" s="437" t="str">
        <f t="shared" si="29"/>
        <v>(2,1,1,2,1,1); Industry data (French tender) Junction Box total +Junction box connector + Interconnection Ribbons + String Ribbons</v>
      </c>
      <c r="AB37" s="435">
        <f>X37</f>
        <v>0.10173973031283713</v>
      </c>
      <c r="AC37" s="95">
        <v>1</v>
      </c>
      <c r="AD37" s="96">
        <f t="shared" si="30"/>
        <v>1.0722009304576894</v>
      </c>
      <c r="AE37" s="432" t="str">
        <f t="shared" si="31"/>
        <v>(2,1,1,2,1,1); Industry data (French tender) Junction Box total +Junction box connector + Interconnection Ribbons + String Ribbons</v>
      </c>
      <c r="AF37" s="435">
        <f t="shared" si="76"/>
        <v>0.11488309133489463</v>
      </c>
      <c r="AG37" s="95">
        <v>1</v>
      </c>
      <c r="AH37" s="96">
        <f t="shared" si="32"/>
        <v>1.0722009304576894</v>
      </c>
      <c r="AI37" s="457" t="str">
        <f t="shared" si="33"/>
        <v>(2,1,1,2,1,1); Industry data (French tender) Junction Box total +Junction box connector + Interconnection Ribbons + String Ribbons</v>
      </c>
      <c r="AJ37" s="435">
        <f t="shared" si="77"/>
        <v>0.11032714285714287</v>
      </c>
      <c r="AK37" s="95">
        <v>1</v>
      </c>
      <c r="AL37" s="96">
        <f t="shared" si="34"/>
        <v>1.0722009304576894</v>
      </c>
      <c r="AM37" s="457" t="str">
        <f t="shared" si="35"/>
        <v>(2,1,1,2,1,1); Industry data (French tender) Junction Box total +Junction box connector + Interconnection Ribbons + String Ribbons</v>
      </c>
      <c r="AN37" s="435">
        <f t="shared" si="78"/>
        <v>0.10079360856269112</v>
      </c>
      <c r="AO37" s="95">
        <v>1</v>
      </c>
      <c r="AP37" s="96">
        <f t="shared" si="36"/>
        <v>1.0722009304576894</v>
      </c>
      <c r="AQ37" s="457" t="str">
        <f t="shared" si="37"/>
        <v>(2,1,1,2,1,1); Industry data (French tender) Junction Box total +Junction box connector + Interconnection Ribbons + String Ribbons</v>
      </c>
      <c r="AR37" s="435">
        <f t="shared" si="79"/>
        <v>0.10173973031283713</v>
      </c>
      <c r="AS37" s="95">
        <v>1</v>
      </c>
      <c r="AT37" s="96">
        <f t="shared" si="38"/>
        <v>1.0722009304576894</v>
      </c>
      <c r="AU37" s="457" t="str">
        <f t="shared" si="39"/>
        <v>(2,1,1,2,1,1); Industry data (French tender) Junction Box total +Junction box connector + Interconnection Ribbons + String Ribbons</v>
      </c>
      <c r="AV37" s="435">
        <f>AB37</f>
        <v>0.10173973031283713</v>
      </c>
      <c r="AW37" s="95">
        <v>1</v>
      </c>
      <c r="AX37" s="96">
        <f t="shared" si="40"/>
        <v>1.0722009304576894</v>
      </c>
      <c r="AY37" s="432" t="str">
        <f t="shared" si="41"/>
        <v>(2,1,1,2,1,1); Industry data (French tender) Junction Box total +Junction box connector + Interconnection Ribbons + String Ribbons</v>
      </c>
      <c r="AZ37" s="435">
        <f t="shared" si="80"/>
        <v>0.11488309133489463</v>
      </c>
      <c r="BA37" s="95">
        <v>1</v>
      </c>
      <c r="BB37" s="96">
        <f t="shared" si="42"/>
        <v>1.0722009304576894</v>
      </c>
      <c r="BC37" s="457" t="str">
        <f t="shared" si="43"/>
        <v>(2,1,1,2,1,1); Industry data (French tender) Junction Box total +Junction box connector + Interconnection Ribbons + String Ribbons</v>
      </c>
      <c r="BD37" s="435">
        <f t="shared" si="81"/>
        <v>0.11032714285714287</v>
      </c>
      <c r="BE37" s="95">
        <v>1</v>
      </c>
      <c r="BF37" s="96">
        <f t="shared" si="44"/>
        <v>1.0722009304576894</v>
      </c>
      <c r="BG37" s="457" t="str">
        <f t="shared" si="45"/>
        <v>(2,1,1,2,1,1); Industry data (French tender) Junction Box total +Junction box connector + Interconnection Ribbons + String Ribbons</v>
      </c>
      <c r="BH37" s="435">
        <f t="shared" si="82"/>
        <v>0.10079360856269112</v>
      </c>
      <c r="BI37" s="95">
        <v>1</v>
      </c>
      <c r="BJ37" s="96">
        <f t="shared" si="46"/>
        <v>1.0722009304576894</v>
      </c>
      <c r="BK37" s="457" t="str">
        <f t="shared" si="47"/>
        <v>(2,1,1,2,1,1); Industry data (French tender) Junction Box total +Junction box connector + Interconnection Ribbons + String Ribbons</v>
      </c>
      <c r="BL37" s="435">
        <f t="shared" si="83"/>
        <v>0.10173973031283713</v>
      </c>
      <c r="BM37" s="95">
        <v>1</v>
      </c>
      <c r="BN37" s="96">
        <f t="shared" si="48"/>
        <v>1.0722009304576894</v>
      </c>
      <c r="BO37" s="457" t="str">
        <f t="shared" si="49"/>
        <v>(2,1,1,2,1,1); Industry data (French tender) Junction Box total +Junction box connector + Interconnection Ribbons + String Ribbons</v>
      </c>
      <c r="BP37" s="435">
        <f t="shared" ref="BP37:BP50" si="88">AV37</f>
        <v>0.10173973031283713</v>
      </c>
      <c r="BQ37" s="95">
        <v>1</v>
      </c>
      <c r="BR37" s="96">
        <f t="shared" si="50"/>
        <v>1.0722009304576894</v>
      </c>
      <c r="BS37" s="432" t="str">
        <f t="shared" si="51"/>
        <v>(2,1,1,2,1,1); Industry data (French tender) Junction Box total +Junction box connector + Interconnection Ribbons + String Ribbons</v>
      </c>
      <c r="BT37" s="435">
        <f t="shared" si="84"/>
        <v>0.11488309133489463</v>
      </c>
      <c r="BU37" s="95">
        <v>1</v>
      </c>
      <c r="BV37" s="96">
        <f t="shared" si="52"/>
        <v>1.0722009304576894</v>
      </c>
      <c r="BW37" s="457" t="str">
        <f t="shared" si="53"/>
        <v>(2,1,1,2,1,1); Industry data (French tender) Junction Box total +Junction box connector + Interconnection Ribbons + String Ribbons</v>
      </c>
      <c r="BX37" s="435">
        <f t="shared" si="85"/>
        <v>0.11032714285714287</v>
      </c>
      <c r="BY37" s="95">
        <v>1</v>
      </c>
      <c r="BZ37" s="96">
        <f t="shared" si="54"/>
        <v>1.0722009304576894</v>
      </c>
      <c r="CA37" s="457" t="str">
        <f t="shared" si="55"/>
        <v>(2,1,1,2,1,1); Industry data (French tender) Junction Box total +Junction box connector + Interconnection Ribbons + String Ribbons</v>
      </c>
      <c r="CB37" s="435">
        <f t="shared" si="86"/>
        <v>0.10079360856269112</v>
      </c>
      <c r="CC37" s="95">
        <v>1</v>
      </c>
      <c r="CD37" s="96">
        <f t="shared" si="56"/>
        <v>1.0722009304576894</v>
      </c>
      <c r="CE37" s="457" t="str">
        <f t="shared" si="57"/>
        <v>(2,1,1,2,1,1); Industry data (French tender) Junction Box total +Junction box connector + Interconnection Ribbons + String Ribbons</v>
      </c>
      <c r="CF37" s="435">
        <f t="shared" si="87"/>
        <v>0.10173973031283713</v>
      </c>
      <c r="CG37" s="95">
        <v>1</v>
      </c>
      <c r="CH37" s="96">
        <f t="shared" si="58"/>
        <v>1.0722009304576894</v>
      </c>
      <c r="CI37" s="457" t="str">
        <f t="shared" si="59"/>
        <v>(2,1,1,2,1,1); Industry data (French tender) Junction Box total +Junction box connector + Interconnection Ribbons + String Ribbons</v>
      </c>
      <c r="CJ37" s="435">
        <f>CF37</f>
        <v>0.10173973031283713</v>
      </c>
      <c r="CK37" s="95">
        <v>1</v>
      </c>
      <c r="CL37" s="96">
        <f t="shared" si="60"/>
        <v>1.0722009304576894</v>
      </c>
      <c r="CM37" s="437" t="str">
        <f t="shared" si="61"/>
        <v>(2,1,1,2,1,1); Industry data (French tender) Junction Box total +Junction box connector + Interconnection Ribbons + String Ribbons</v>
      </c>
      <c r="CN37" s="435">
        <v>0.1</v>
      </c>
      <c r="CO37" s="95">
        <v>1</v>
      </c>
      <c r="CP37" s="96">
        <f t="shared" si="62"/>
        <v>1.2434566510799234</v>
      </c>
      <c r="CQ37" s="457" t="str">
        <f t="shared" si="63"/>
        <v>(2,4,1,3,1,5); Brailovsky (2026) GP 08; iso Copper Cathode</v>
      </c>
      <c r="CR37" s="435">
        <v>0.1</v>
      </c>
      <c r="CS37" s="95">
        <v>1</v>
      </c>
      <c r="CT37" s="96">
        <f t="shared" si="64"/>
        <v>1.2434566510799234</v>
      </c>
      <c r="CU37" s="432" t="str">
        <f t="shared" si="65"/>
        <v>(2,4,1,3,1,5); Brailovsky (2026) GP 08; iso Copper Cathode</v>
      </c>
      <c r="CV37" s="399"/>
      <c r="CW37" s="435">
        <f>0.0184107728337237+0.00327419203747072+0.0432016393442623+0.0499964871194379</f>
        <v>0.11488309133489463</v>
      </c>
      <c r="CX37" s="435">
        <f>0.0184107728337237+0.00331192037470726+0.0565751756440281+0.0320292740046838</f>
        <v>0.11032714285714287</v>
      </c>
      <c r="CY37" s="435">
        <f>0.00765070336391437+0.00350345565749236+0.061102752293578+0.0285366972477064</f>
        <v>0.10079360856269112</v>
      </c>
      <c r="CZ37" s="435">
        <f>0.0152709169363538+0.00245683926645092+0.0621322545846818+0.0218797195253506</f>
        <v>0.10173973031283713</v>
      </c>
      <c r="DA37" s="692" t="s">
        <v>1175</v>
      </c>
      <c r="DB37" s="83">
        <v>2</v>
      </c>
      <c r="DC37" s="83">
        <v>1</v>
      </c>
      <c r="DD37" s="83">
        <v>1</v>
      </c>
      <c r="DE37" s="83">
        <v>2</v>
      </c>
      <c r="DF37" s="83">
        <v>1</v>
      </c>
      <c r="DG37" s="83">
        <v>1</v>
      </c>
      <c r="DH37" s="104">
        <v>3</v>
      </c>
      <c r="DI37" s="104">
        <v>1.05</v>
      </c>
      <c r="DJ37" s="107">
        <f t="shared" si="66"/>
        <v>1.0510550504206344</v>
      </c>
      <c r="DK37" s="107">
        <f t="shared" si="67"/>
        <v>1.0722009304576894</v>
      </c>
      <c r="DL37" s="107" t="str">
        <f t="shared" si="68"/>
        <v>(2,1,1,2,1,1)</v>
      </c>
      <c r="DM37" s="108">
        <v>1.05</v>
      </c>
      <c r="DN37" s="108">
        <v>1</v>
      </c>
      <c r="DO37" s="108">
        <v>1</v>
      </c>
      <c r="DP37" s="108">
        <v>1.01</v>
      </c>
      <c r="DQ37" s="108">
        <v>1</v>
      </c>
      <c r="DR37" s="108">
        <v>1</v>
      </c>
      <c r="DS37" s="399"/>
      <c r="DT37" s="692" t="s">
        <v>1176</v>
      </c>
      <c r="DU37" s="83">
        <v>2</v>
      </c>
      <c r="DV37" s="83">
        <v>4</v>
      </c>
      <c r="DW37" s="83">
        <v>1</v>
      </c>
      <c r="DX37" s="83">
        <v>3</v>
      </c>
      <c r="DY37" s="83">
        <v>1</v>
      </c>
      <c r="DZ37" s="83">
        <v>5</v>
      </c>
      <c r="EA37" s="104">
        <v>3</v>
      </c>
      <c r="EB37" s="104">
        <v>1.05</v>
      </c>
      <c r="EC37" s="107">
        <f t="shared" si="69"/>
        <v>1.2365959919080913</v>
      </c>
      <c r="ED37" s="107">
        <f t="shared" si="70"/>
        <v>1.2434566510799234</v>
      </c>
      <c r="EE37" s="107" t="str">
        <f t="shared" si="71"/>
        <v>(2,4,1,3,1,5)</v>
      </c>
      <c r="EF37" s="108">
        <v>1.05</v>
      </c>
      <c r="EG37" s="108">
        <v>1.1000000000000001</v>
      </c>
      <c r="EH37" s="108">
        <v>1</v>
      </c>
      <c r="EI37" s="108">
        <v>1.02</v>
      </c>
      <c r="EJ37" s="108">
        <v>1</v>
      </c>
      <c r="EK37" s="108">
        <v>1.2</v>
      </c>
    </row>
    <row r="38" spans="1:141" s="171" customFormat="1" ht="24">
      <c r="A38" s="333">
        <v>260490</v>
      </c>
      <c r="B38" s="216"/>
      <c r="C38" s="334"/>
      <c r="D38" s="515">
        <v>5</v>
      </c>
      <c r="E38" s="343" t="s">
        <v>98</v>
      </c>
      <c r="F38" s="437" t="s">
        <v>1177</v>
      </c>
      <c r="G38" s="438" t="s">
        <v>154</v>
      </c>
      <c r="H38" s="455" t="s">
        <v>98</v>
      </c>
      <c r="I38" s="455" t="s">
        <v>98</v>
      </c>
      <c r="J38" s="336">
        <v>0</v>
      </c>
      <c r="K38" s="438" t="s">
        <v>96</v>
      </c>
      <c r="L38" s="440">
        <f t="shared" si="72"/>
        <v>3.7854800936768102E-3</v>
      </c>
      <c r="M38" s="336">
        <v>1</v>
      </c>
      <c r="N38" s="337">
        <f t="shared" si="22"/>
        <v>1.0722009304576894</v>
      </c>
      <c r="O38" s="455" t="str">
        <f t="shared" si="23"/>
        <v>(2,1,1,2,1,1); Industry data (French tender) junction box diode</v>
      </c>
      <c r="P38" s="440">
        <f t="shared" si="73"/>
        <v>3.11843091334895E-3</v>
      </c>
      <c r="Q38" s="336">
        <v>1</v>
      </c>
      <c r="R38" s="337">
        <f t="shared" si="24"/>
        <v>1.0722009304576894</v>
      </c>
      <c r="S38" s="455" t="str">
        <f t="shared" si="25"/>
        <v>(2,1,1,2,1,1); Industry data (French tender) junction box diode</v>
      </c>
      <c r="T38" s="440">
        <f t="shared" si="74"/>
        <v>3.6197859327217101E-3</v>
      </c>
      <c r="U38" s="336">
        <v>1</v>
      </c>
      <c r="V38" s="337">
        <f t="shared" si="26"/>
        <v>1.0722009304576894</v>
      </c>
      <c r="W38" s="455" t="str">
        <f t="shared" si="27"/>
        <v>(2,1,1,2,1,1); Industry data (French tender) junction box diode</v>
      </c>
      <c r="X38" s="440">
        <f t="shared" si="75"/>
        <v>3.8691154261057199E-3</v>
      </c>
      <c r="Y38" s="336">
        <v>1</v>
      </c>
      <c r="Z38" s="337">
        <f t="shared" si="28"/>
        <v>1.0722009304576894</v>
      </c>
      <c r="AA38" s="437" t="str">
        <f t="shared" si="29"/>
        <v>(2,1,1,2,1,1); Industry data (French tender) junction box diode</v>
      </c>
      <c r="AB38" s="440">
        <f>X38</f>
        <v>3.8691154261057199E-3</v>
      </c>
      <c r="AC38" s="336">
        <v>1</v>
      </c>
      <c r="AD38" s="337">
        <f t="shared" si="30"/>
        <v>1.0722009304576894</v>
      </c>
      <c r="AE38" s="437" t="str">
        <f t="shared" si="31"/>
        <v>(2,1,1,2,1,1); Industry data (French tender) junction box diode</v>
      </c>
      <c r="AF38" s="440">
        <f t="shared" si="76"/>
        <v>3.7854800936768102E-3</v>
      </c>
      <c r="AG38" s="336">
        <v>1</v>
      </c>
      <c r="AH38" s="337">
        <f t="shared" si="32"/>
        <v>1.0722009304576894</v>
      </c>
      <c r="AI38" s="455" t="str">
        <f t="shared" si="33"/>
        <v>(2,1,1,2,1,1); Industry data (French tender) junction box diode</v>
      </c>
      <c r="AJ38" s="440">
        <f t="shared" si="77"/>
        <v>3.11843091334895E-3</v>
      </c>
      <c r="AK38" s="336">
        <v>1</v>
      </c>
      <c r="AL38" s="337">
        <f t="shared" si="34"/>
        <v>1.0722009304576894</v>
      </c>
      <c r="AM38" s="455" t="str">
        <f t="shared" si="35"/>
        <v>(2,1,1,2,1,1); Industry data (French tender) junction box diode</v>
      </c>
      <c r="AN38" s="440">
        <f t="shared" si="78"/>
        <v>3.6197859327217101E-3</v>
      </c>
      <c r="AO38" s="336">
        <v>1</v>
      </c>
      <c r="AP38" s="337">
        <f t="shared" si="36"/>
        <v>1.0722009304576894</v>
      </c>
      <c r="AQ38" s="455" t="str">
        <f t="shared" si="37"/>
        <v>(2,1,1,2,1,1); Industry data (French tender) junction box diode</v>
      </c>
      <c r="AR38" s="440">
        <f t="shared" si="79"/>
        <v>3.8691154261057199E-3</v>
      </c>
      <c r="AS38" s="336">
        <v>1</v>
      </c>
      <c r="AT38" s="337">
        <f t="shared" si="38"/>
        <v>1.0722009304576894</v>
      </c>
      <c r="AU38" s="455" t="str">
        <f t="shared" si="39"/>
        <v>(2,1,1,2,1,1); Industry data (French tender) junction box diode</v>
      </c>
      <c r="AV38" s="440">
        <f>AB38</f>
        <v>3.8691154261057199E-3</v>
      </c>
      <c r="AW38" s="336">
        <v>1</v>
      </c>
      <c r="AX38" s="337">
        <f t="shared" si="40"/>
        <v>1.0722009304576894</v>
      </c>
      <c r="AY38" s="437" t="str">
        <f t="shared" si="41"/>
        <v>(2,1,1,2,1,1); Industry data (French tender) junction box diode</v>
      </c>
      <c r="AZ38" s="440">
        <f t="shared" si="80"/>
        <v>3.7854800936768102E-3</v>
      </c>
      <c r="BA38" s="336">
        <v>1</v>
      </c>
      <c r="BB38" s="337">
        <f t="shared" si="42"/>
        <v>1.0722009304576894</v>
      </c>
      <c r="BC38" s="455" t="str">
        <f t="shared" si="43"/>
        <v>(2,1,1,2,1,1); Industry data (French tender) junction box diode</v>
      </c>
      <c r="BD38" s="440">
        <f t="shared" si="81"/>
        <v>3.11843091334895E-3</v>
      </c>
      <c r="BE38" s="336">
        <v>1</v>
      </c>
      <c r="BF38" s="337">
        <f t="shared" si="44"/>
        <v>1.0722009304576894</v>
      </c>
      <c r="BG38" s="455" t="str">
        <f t="shared" si="45"/>
        <v>(2,1,1,2,1,1); Industry data (French tender) junction box diode</v>
      </c>
      <c r="BH38" s="440">
        <f t="shared" si="82"/>
        <v>3.6197859327217101E-3</v>
      </c>
      <c r="BI38" s="336">
        <v>1</v>
      </c>
      <c r="BJ38" s="337">
        <f t="shared" si="46"/>
        <v>1.0722009304576894</v>
      </c>
      <c r="BK38" s="455" t="str">
        <f t="shared" si="47"/>
        <v>(2,1,1,2,1,1); Industry data (French tender) junction box diode</v>
      </c>
      <c r="BL38" s="440">
        <f t="shared" si="83"/>
        <v>3.8691154261057199E-3</v>
      </c>
      <c r="BM38" s="336">
        <v>1</v>
      </c>
      <c r="BN38" s="337">
        <f t="shared" si="48"/>
        <v>1.0722009304576894</v>
      </c>
      <c r="BO38" s="455" t="str">
        <f t="shared" si="49"/>
        <v>(2,1,1,2,1,1); Industry data (French tender) junction box diode</v>
      </c>
      <c r="BP38" s="440">
        <f t="shared" si="88"/>
        <v>3.8691154261057199E-3</v>
      </c>
      <c r="BQ38" s="336">
        <v>1</v>
      </c>
      <c r="BR38" s="337">
        <f t="shared" si="50"/>
        <v>1.0722009304576894</v>
      </c>
      <c r="BS38" s="437" t="str">
        <f t="shared" si="51"/>
        <v>(2,1,1,2,1,1); Industry data (French tender) junction box diode</v>
      </c>
      <c r="BT38" s="440">
        <f t="shared" si="84"/>
        <v>3.7854800936768102E-3</v>
      </c>
      <c r="BU38" s="336">
        <v>1</v>
      </c>
      <c r="BV38" s="337">
        <f t="shared" si="52"/>
        <v>1.0722009304576894</v>
      </c>
      <c r="BW38" s="455" t="str">
        <f t="shared" si="53"/>
        <v>(2,1,1,2,1,1); Industry data (French tender) junction box diode</v>
      </c>
      <c r="BX38" s="440">
        <f t="shared" si="85"/>
        <v>3.11843091334895E-3</v>
      </c>
      <c r="BY38" s="336">
        <v>1</v>
      </c>
      <c r="BZ38" s="337">
        <f t="shared" si="54"/>
        <v>1.0722009304576894</v>
      </c>
      <c r="CA38" s="455" t="str">
        <f t="shared" si="55"/>
        <v>(2,1,1,2,1,1); Industry data (French tender) junction box diode</v>
      </c>
      <c r="CB38" s="440">
        <f t="shared" si="86"/>
        <v>3.6197859327217101E-3</v>
      </c>
      <c r="CC38" s="336">
        <v>1</v>
      </c>
      <c r="CD38" s="337">
        <f t="shared" si="56"/>
        <v>1.0722009304576894</v>
      </c>
      <c r="CE38" s="455" t="str">
        <f t="shared" si="57"/>
        <v>(2,1,1,2,1,1); Industry data (French tender) junction box diode</v>
      </c>
      <c r="CF38" s="440">
        <f t="shared" si="87"/>
        <v>3.8691154261057199E-3</v>
      </c>
      <c r="CG38" s="336">
        <v>1</v>
      </c>
      <c r="CH38" s="337">
        <f t="shared" si="58"/>
        <v>1.0722009304576894</v>
      </c>
      <c r="CI38" s="455" t="str">
        <f t="shared" si="59"/>
        <v>(2,1,1,2,1,1); Industry data (French tender) junction box diode</v>
      </c>
      <c r="CJ38" s="440">
        <f>CF38</f>
        <v>3.8691154261057199E-3</v>
      </c>
      <c r="CK38" s="336">
        <v>1</v>
      </c>
      <c r="CL38" s="337">
        <f t="shared" si="60"/>
        <v>1.0722009304576894</v>
      </c>
      <c r="CM38" s="437" t="str">
        <f t="shared" si="61"/>
        <v>(2,1,1,2,1,1); Industry data (French tender) junction box diode</v>
      </c>
      <c r="CN38" s="440">
        <v>1.8799999999999999E-4</v>
      </c>
      <c r="CO38" s="336">
        <v>1</v>
      </c>
      <c r="CP38" s="337">
        <f t="shared" si="62"/>
        <v>1.2434566510799234</v>
      </c>
      <c r="CQ38" s="455" t="str">
        <f t="shared" si="63"/>
        <v>(2,4,1,3,1,5); Brailovsky (2026) GP 08</v>
      </c>
      <c r="CR38" s="440">
        <v>1.8799999999999999E-4</v>
      </c>
      <c r="CS38" s="336">
        <v>1</v>
      </c>
      <c r="CT38" s="337">
        <f t="shared" si="64"/>
        <v>1.2434566510799234</v>
      </c>
      <c r="CU38" s="437" t="str">
        <f t="shared" si="65"/>
        <v>(2,4,1,3,1,5); Brailovsky (2026) GP 08</v>
      </c>
      <c r="CW38" s="440">
        <v>3.7854800936768102E-3</v>
      </c>
      <c r="CX38" s="440">
        <v>3.11843091334895E-3</v>
      </c>
      <c r="CY38" s="440">
        <v>3.6197859327217101E-3</v>
      </c>
      <c r="CZ38" s="440">
        <v>3.8691154261057199E-3</v>
      </c>
      <c r="DA38" s="691" t="s">
        <v>1178</v>
      </c>
      <c r="DB38" s="83">
        <v>2</v>
      </c>
      <c r="DC38" s="83">
        <v>1</v>
      </c>
      <c r="DD38" s="83">
        <v>1</v>
      </c>
      <c r="DE38" s="83">
        <v>2</v>
      </c>
      <c r="DF38" s="83">
        <v>1</v>
      </c>
      <c r="DG38" s="83">
        <v>1</v>
      </c>
      <c r="DH38" s="104">
        <v>3</v>
      </c>
      <c r="DI38" s="104">
        <v>1.05</v>
      </c>
      <c r="DJ38" s="107">
        <f t="shared" si="66"/>
        <v>1.0510550504206344</v>
      </c>
      <c r="DK38" s="107">
        <f t="shared" si="67"/>
        <v>1.0722009304576894</v>
      </c>
      <c r="DL38" s="107" t="str">
        <f t="shared" si="68"/>
        <v>(2,1,1,2,1,1)</v>
      </c>
      <c r="DM38" s="108">
        <v>1.05</v>
      </c>
      <c r="DN38" s="108">
        <v>1</v>
      </c>
      <c r="DO38" s="108">
        <v>1</v>
      </c>
      <c r="DP38" s="108">
        <v>1.01</v>
      </c>
      <c r="DQ38" s="108">
        <v>1</v>
      </c>
      <c r="DR38" s="108">
        <v>1</v>
      </c>
      <c r="DT38" s="691" t="s">
        <v>1171</v>
      </c>
      <c r="DU38" s="83">
        <v>2</v>
      </c>
      <c r="DV38" s="83">
        <v>4</v>
      </c>
      <c r="DW38" s="83">
        <v>1</v>
      </c>
      <c r="DX38" s="83">
        <v>3</v>
      </c>
      <c r="DY38" s="83">
        <v>1</v>
      </c>
      <c r="DZ38" s="83">
        <v>5</v>
      </c>
      <c r="EA38" s="104">
        <v>3</v>
      </c>
      <c r="EB38" s="104">
        <v>1.05</v>
      </c>
      <c r="EC38" s="107">
        <f t="shared" si="69"/>
        <v>1.2365959919080913</v>
      </c>
      <c r="ED38" s="107">
        <f t="shared" si="70"/>
        <v>1.2434566510799234</v>
      </c>
      <c r="EE38" s="107" t="str">
        <f t="shared" si="71"/>
        <v>(2,4,1,3,1,5)</v>
      </c>
      <c r="EF38" s="108">
        <v>1.05</v>
      </c>
      <c r="EG38" s="108">
        <v>1.1000000000000001</v>
      </c>
      <c r="EH38" s="108">
        <v>1</v>
      </c>
      <c r="EI38" s="108">
        <v>1.02</v>
      </c>
      <c r="EJ38" s="108">
        <v>1</v>
      </c>
      <c r="EK38" s="108">
        <v>1.2</v>
      </c>
    </row>
    <row r="39" spans="1:141" s="171" customFormat="1">
      <c r="A39" s="333">
        <v>269331</v>
      </c>
      <c r="B39" s="216"/>
      <c r="C39" s="334"/>
      <c r="D39" s="515">
        <v>5</v>
      </c>
      <c r="E39" s="343" t="s">
        <v>98</v>
      </c>
      <c r="F39" s="437" t="s">
        <v>1179</v>
      </c>
      <c r="G39" s="438" t="s">
        <v>93</v>
      </c>
      <c r="H39" s="455" t="s">
        <v>98</v>
      </c>
      <c r="I39" s="455" t="s">
        <v>98</v>
      </c>
      <c r="J39" s="336">
        <v>0</v>
      </c>
      <c r="K39" s="438" t="s">
        <v>96</v>
      </c>
      <c r="L39" s="440">
        <f t="shared" si="72"/>
        <v>0.15177985948477801</v>
      </c>
      <c r="M39" s="336">
        <v>1</v>
      </c>
      <c r="N39" s="337">
        <f t="shared" si="22"/>
        <v>1.0722009304576894</v>
      </c>
      <c r="O39" s="455" t="str">
        <f t="shared" si="23"/>
        <v>(2,1,1,2,1,1); Industry data (French tender)</v>
      </c>
      <c r="P39" s="440">
        <f t="shared" si="73"/>
        <v>0.133192037470726</v>
      </c>
      <c r="Q39" s="336">
        <v>1</v>
      </c>
      <c r="R39" s="337">
        <f t="shared" si="24"/>
        <v>1.0722009304576894</v>
      </c>
      <c r="S39" s="455" t="str">
        <f t="shared" si="25"/>
        <v>(2,1,1,2,1,1); Industry data (French tender)</v>
      </c>
      <c r="T39" s="440">
        <f t="shared" si="74"/>
        <v>0.15871865443425101</v>
      </c>
      <c r="U39" s="336">
        <v>1</v>
      </c>
      <c r="V39" s="337">
        <f t="shared" si="26"/>
        <v>1.0722009304576894</v>
      </c>
      <c r="W39" s="455" t="str">
        <f t="shared" si="27"/>
        <v>(2,1,1,2,1,1); Industry data (French tender)</v>
      </c>
      <c r="X39" s="440">
        <f t="shared" si="75"/>
        <v>0.14187486515641901</v>
      </c>
      <c r="Y39" s="336">
        <v>1</v>
      </c>
      <c r="Z39" s="337">
        <f t="shared" si="28"/>
        <v>1.0722009304576894</v>
      </c>
      <c r="AA39" s="437" t="str">
        <f t="shared" si="29"/>
        <v>(2,1,1,2,1,1); Industry data (French tender)</v>
      </c>
      <c r="AB39" s="440">
        <f>X39</f>
        <v>0.14187486515641901</v>
      </c>
      <c r="AC39" s="336">
        <v>1</v>
      </c>
      <c r="AD39" s="337">
        <f t="shared" si="30"/>
        <v>1.0722009304576894</v>
      </c>
      <c r="AE39" s="437" t="str">
        <f t="shared" si="31"/>
        <v>(2,1,1,2,1,1); Industry data (French tender)</v>
      </c>
      <c r="AF39" s="440">
        <f t="shared" si="76"/>
        <v>0.15177985948477801</v>
      </c>
      <c r="AG39" s="336">
        <v>1</v>
      </c>
      <c r="AH39" s="337">
        <f t="shared" si="32"/>
        <v>1.0722009304576894</v>
      </c>
      <c r="AI39" s="455" t="str">
        <f t="shared" si="33"/>
        <v>(2,1,1,2,1,1); Industry data (French tender)</v>
      </c>
      <c r="AJ39" s="440">
        <f t="shared" si="77"/>
        <v>0.133192037470726</v>
      </c>
      <c r="AK39" s="336">
        <v>1</v>
      </c>
      <c r="AL39" s="337">
        <f t="shared" si="34"/>
        <v>1.0722009304576894</v>
      </c>
      <c r="AM39" s="455" t="str">
        <f t="shared" si="35"/>
        <v>(2,1,1,2,1,1); Industry data (French tender)</v>
      </c>
      <c r="AN39" s="440">
        <f t="shared" si="78"/>
        <v>0.15871865443425101</v>
      </c>
      <c r="AO39" s="336">
        <v>1</v>
      </c>
      <c r="AP39" s="337">
        <f t="shared" si="36"/>
        <v>1.0722009304576894</v>
      </c>
      <c r="AQ39" s="455" t="str">
        <f t="shared" si="37"/>
        <v>(2,1,1,2,1,1); Industry data (French tender)</v>
      </c>
      <c r="AR39" s="440">
        <f t="shared" si="79"/>
        <v>0.14187486515641901</v>
      </c>
      <c r="AS39" s="336">
        <v>1</v>
      </c>
      <c r="AT39" s="337">
        <f t="shared" si="38"/>
        <v>1.0722009304576894</v>
      </c>
      <c r="AU39" s="455" t="str">
        <f t="shared" si="39"/>
        <v>(2,1,1,2,1,1); Industry data (French tender)</v>
      </c>
      <c r="AV39" s="440">
        <f>AB39</f>
        <v>0.14187486515641901</v>
      </c>
      <c r="AW39" s="336">
        <v>1</v>
      </c>
      <c r="AX39" s="337">
        <f t="shared" si="40"/>
        <v>1.0722009304576894</v>
      </c>
      <c r="AY39" s="437" t="str">
        <f t="shared" si="41"/>
        <v>(2,1,1,2,1,1); Industry data (French tender)</v>
      </c>
      <c r="AZ39" s="440">
        <f t="shared" si="80"/>
        <v>0.15177985948477801</v>
      </c>
      <c r="BA39" s="336">
        <v>1</v>
      </c>
      <c r="BB39" s="337">
        <f t="shared" si="42"/>
        <v>1.0722009304576894</v>
      </c>
      <c r="BC39" s="455" t="str">
        <f t="shared" si="43"/>
        <v>(2,1,1,2,1,1); Industry data (French tender)</v>
      </c>
      <c r="BD39" s="440">
        <f t="shared" si="81"/>
        <v>0.133192037470726</v>
      </c>
      <c r="BE39" s="336">
        <v>1</v>
      </c>
      <c r="BF39" s="337">
        <f t="shared" si="44"/>
        <v>1.0722009304576894</v>
      </c>
      <c r="BG39" s="455" t="str">
        <f t="shared" si="45"/>
        <v>(2,1,1,2,1,1); Industry data (French tender)</v>
      </c>
      <c r="BH39" s="440">
        <f t="shared" si="82"/>
        <v>0.15871865443425101</v>
      </c>
      <c r="BI39" s="336">
        <v>1</v>
      </c>
      <c r="BJ39" s="337">
        <f t="shared" si="46"/>
        <v>1.0722009304576894</v>
      </c>
      <c r="BK39" s="455" t="str">
        <f t="shared" si="47"/>
        <v>(2,1,1,2,1,1); Industry data (French tender)</v>
      </c>
      <c r="BL39" s="440">
        <f t="shared" si="83"/>
        <v>0.14187486515641901</v>
      </c>
      <c r="BM39" s="336">
        <v>1</v>
      </c>
      <c r="BN39" s="337">
        <f t="shared" si="48"/>
        <v>1.0722009304576894</v>
      </c>
      <c r="BO39" s="455" t="str">
        <f t="shared" si="49"/>
        <v>(2,1,1,2,1,1); Industry data (French tender)</v>
      </c>
      <c r="BP39" s="440">
        <f t="shared" si="88"/>
        <v>0.14187486515641901</v>
      </c>
      <c r="BQ39" s="336">
        <v>1</v>
      </c>
      <c r="BR39" s="337">
        <f t="shared" si="50"/>
        <v>1.0722009304576894</v>
      </c>
      <c r="BS39" s="437" t="str">
        <f t="shared" si="51"/>
        <v>(2,1,1,2,1,1); Industry data (French tender)</v>
      </c>
      <c r="BT39" s="440">
        <f t="shared" si="84"/>
        <v>0.15177985948477801</v>
      </c>
      <c r="BU39" s="336">
        <v>1</v>
      </c>
      <c r="BV39" s="337">
        <f t="shared" si="52"/>
        <v>1.0722009304576894</v>
      </c>
      <c r="BW39" s="455" t="str">
        <f t="shared" si="53"/>
        <v>(2,1,1,2,1,1); Industry data (French tender)</v>
      </c>
      <c r="BX39" s="440">
        <f t="shared" si="85"/>
        <v>0.133192037470726</v>
      </c>
      <c r="BY39" s="336">
        <v>1</v>
      </c>
      <c r="BZ39" s="337">
        <f t="shared" si="54"/>
        <v>1.0722009304576894</v>
      </c>
      <c r="CA39" s="455" t="str">
        <f t="shared" si="55"/>
        <v>(2,1,1,2,1,1); Industry data (French tender)</v>
      </c>
      <c r="CB39" s="440">
        <f t="shared" si="86"/>
        <v>0.15871865443425101</v>
      </c>
      <c r="CC39" s="336">
        <v>1</v>
      </c>
      <c r="CD39" s="337">
        <f t="shared" si="56"/>
        <v>1.0722009304576894</v>
      </c>
      <c r="CE39" s="455" t="str">
        <f t="shared" si="57"/>
        <v>(2,1,1,2,1,1); Industry data (French tender)</v>
      </c>
      <c r="CF39" s="440">
        <f t="shared" si="87"/>
        <v>0.14187486515641901</v>
      </c>
      <c r="CG39" s="336">
        <v>1</v>
      </c>
      <c r="CH39" s="337">
        <f t="shared" si="58"/>
        <v>1.0722009304576894</v>
      </c>
      <c r="CI39" s="455" t="str">
        <f t="shared" si="59"/>
        <v>(2,1,1,2,1,1); Industry data (French tender)</v>
      </c>
      <c r="CJ39" s="440">
        <f>CF39</f>
        <v>0.14187486515641901</v>
      </c>
      <c r="CK39" s="336">
        <v>1</v>
      </c>
      <c r="CL39" s="337">
        <f t="shared" si="60"/>
        <v>1.0722009304576894</v>
      </c>
      <c r="CM39" s="437" t="str">
        <f t="shared" si="61"/>
        <v>(2,1,1,2,1,1); Industry data (French tender)</v>
      </c>
      <c r="CN39" s="440">
        <v>7.5899999999999995E-2</v>
      </c>
      <c r="CO39" s="336">
        <v>1</v>
      </c>
      <c r="CP39" s="337">
        <f t="shared" si="62"/>
        <v>1.2434566510799234</v>
      </c>
      <c r="CQ39" s="455" t="str">
        <f t="shared" si="63"/>
        <v>(2,4,1,3,1,5); Brailovsky (2026) GP 08</v>
      </c>
      <c r="CR39" s="440">
        <v>7.5899999999999995E-2</v>
      </c>
      <c r="CS39" s="336">
        <v>1</v>
      </c>
      <c r="CT39" s="337">
        <f t="shared" si="64"/>
        <v>1.2434566510799234</v>
      </c>
      <c r="CU39" s="437" t="str">
        <f t="shared" si="65"/>
        <v>(2,4,1,3,1,5); Brailovsky (2026) GP 08</v>
      </c>
      <c r="CW39" s="440">
        <v>0.15177985948477801</v>
      </c>
      <c r="CX39" s="440">
        <v>0.133192037470726</v>
      </c>
      <c r="CY39" s="440">
        <v>0.15871865443425101</v>
      </c>
      <c r="CZ39" s="440">
        <v>0.14187486515641901</v>
      </c>
      <c r="DA39" s="691" t="s">
        <v>462</v>
      </c>
      <c r="DB39" s="83">
        <v>2</v>
      </c>
      <c r="DC39" s="83">
        <v>1</v>
      </c>
      <c r="DD39" s="83">
        <v>1</v>
      </c>
      <c r="DE39" s="83">
        <v>2</v>
      </c>
      <c r="DF39" s="83">
        <v>1</v>
      </c>
      <c r="DG39" s="83">
        <v>1</v>
      </c>
      <c r="DH39" s="104">
        <v>3</v>
      </c>
      <c r="DI39" s="104">
        <v>1.05</v>
      </c>
      <c r="DJ39" s="107">
        <f t="shared" si="66"/>
        <v>1.0510550504206344</v>
      </c>
      <c r="DK39" s="107">
        <f t="shared" si="67"/>
        <v>1.0722009304576894</v>
      </c>
      <c r="DL39" s="107" t="str">
        <f t="shared" si="68"/>
        <v>(2,1,1,2,1,1)</v>
      </c>
      <c r="DM39" s="108">
        <v>1.05</v>
      </c>
      <c r="DN39" s="108">
        <v>1</v>
      </c>
      <c r="DO39" s="108">
        <v>1</v>
      </c>
      <c r="DP39" s="108">
        <v>1.01</v>
      </c>
      <c r="DQ39" s="108">
        <v>1</v>
      </c>
      <c r="DR39" s="108">
        <v>1</v>
      </c>
      <c r="DT39" s="691" t="s">
        <v>1171</v>
      </c>
      <c r="DU39" s="83">
        <v>2</v>
      </c>
      <c r="DV39" s="83">
        <v>4</v>
      </c>
      <c r="DW39" s="83">
        <v>1</v>
      </c>
      <c r="DX39" s="83">
        <v>3</v>
      </c>
      <c r="DY39" s="83">
        <v>1</v>
      </c>
      <c r="DZ39" s="83">
        <v>5</v>
      </c>
      <c r="EA39" s="104">
        <v>3</v>
      </c>
      <c r="EB39" s="104">
        <v>1.05</v>
      </c>
      <c r="EC39" s="107">
        <f t="shared" si="69"/>
        <v>1.2365959919080913</v>
      </c>
      <c r="ED39" s="107">
        <f t="shared" si="70"/>
        <v>1.2434566510799234</v>
      </c>
      <c r="EE39" s="107" t="str">
        <f t="shared" si="71"/>
        <v>(2,4,1,3,1,5)</v>
      </c>
      <c r="EF39" s="108">
        <v>1.05</v>
      </c>
      <c r="EG39" s="108">
        <v>1.1000000000000001</v>
      </c>
      <c r="EH39" s="108">
        <v>1</v>
      </c>
      <c r="EI39" s="108">
        <v>1.02</v>
      </c>
      <c r="EJ39" s="108">
        <v>1</v>
      </c>
      <c r="EK39" s="108">
        <v>1.2</v>
      </c>
    </row>
    <row r="40" spans="1:141">
      <c r="A40" s="330">
        <v>269093</v>
      </c>
      <c r="B40" s="216"/>
      <c r="C40" s="334"/>
      <c r="D40" s="515">
        <v>5</v>
      </c>
      <c r="E40" s="343" t="s">
        <v>98</v>
      </c>
      <c r="F40" s="437" t="s">
        <v>1180</v>
      </c>
      <c r="G40" s="438" t="s">
        <v>93</v>
      </c>
      <c r="H40" s="455" t="s">
        <v>98</v>
      </c>
      <c r="I40" s="455" t="s">
        <v>98</v>
      </c>
      <c r="J40" s="336">
        <v>0</v>
      </c>
      <c r="K40" s="438" t="s">
        <v>96</v>
      </c>
      <c r="L40" s="440">
        <f t="shared" si="72"/>
        <v>0</v>
      </c>
      <c r="M40" s="336">
        <v>1</v>
      </c>
      <c r="N40" s="337">
        <f t="shared" si="22"/>
        <v>1.05</v>
      </c>
      <c r="O40" s="455" t="str">
        <f t="shared" si="23"/>
        <v xml:space="preserve">(na,na,na,na,na,na); </v>
      </c>
      <c r="P40" s="440">
        <f t="shared" si="73"/>
        <v>0</v>
      </c>
      <c r="Q40" s="336">
        <v>1</v>
      </c>
      <c r="R40" s="337">
        <f t="shared" si="24"/>
        <v>1.05</v>
      </c>
      <c r="S40" s="455" t="str">
        <f t="shared" si="25"/>
        <v xml:space="preserve">(na,na,na,na,na,na); </v>
      </c>
      <c r="T40" s="440">
        <f t="shared" si="74"/>
        <v>0</v>
      </c>
      <c r="U40" s="336">
        <v>1</v>
      </c>
      <c r="V40" s="337">
        <f t="shared" si="26"/>
        <v>1.05</v>
      </c>
      <c r="W40" s="455" t="str">
        <f t="shared" si="27"/>
        <v xml:space="preserve">(na,na,na,na,na,na); </v>
      </c>
      <c r="X40" s="440">
        <f t="shared" si="75"/>
        <v>0</v>
      </c>
      <c r="Y40" s="336">
        <v>1</v>
      </c>
      <c r="Z40" s="337">
        <f t="shared" si="28"/>
        <v>1.05</v>
      </c>
      <c r="AA40" s="437" t="str">
        <f t="shared" si="29"/>
        <v xml:space="preserve">(na,na,na,na,na,na); </v>
      </c>
      <c r="AB40" s="435">
        <v>0</v>
      </c>
      <c r="AC40" s="95">
        <v>1</v>
      </c>
      <c r="AD40" s="96">
        <f t="shared" si="30"/>
        <v>1.05</v>
      </c>
      <c r="AE40" s="432" t="str">
        <f t="shared" si="31"/>
        <v xml:space="preserve">(na,na,na,na,na,na); </v>
      </c>
      <c r="AF40" s="435">
        <f t="shared" si="76"/>
        <v>0</v>
      </c>
      <c r="AG40" s="95">
        <v>1</v>
      </c>
      <c r="AH40" s="96">
        <f t="shared" si="32"/>
        <v>1.05</v>
      </c>
      <c r="AI40" s="457" t="str">
        <f t="shared" si="33"/>
        <v xml:space="preserve">(na,na,na,na,na,na); </v>
      </c>
      <c r="AJ40" s="435">
        <f t="shared" si="77"/>
        <v>0</v>
      </c>
      <c r="AK40" s="95">
        <v>1</v>
      </c>
      <c r="AL40" s="96">
        <f t="shared" si="34"/>
        <v>1.05</v>
      </c>
      <c r="AM40" s="457" t="str">
        <f t="shared" si="35"/>
        <v xml:space="preserve">(na,na,na,na,na,na); </v>
      </c>
      <c r="AN40" s="435">
        <f t="shared" si="78"/>
        <v>0</v>
      </c>
      <c r="AO40" s="95">
        <v>1</v>
      </c>
      <c r="AP40" s="96">
        <f t="shared" si="36"/>
        <v>1.05</v>
      </c>
      <c r="AQ40" s="457" t="str">
        <f t="shared" si="37"/>
        <v xml:space="preserve">(na,na,na,na,na,na); </v>
      </c>
      <c r="AR40" s="435">
        <f t="shared" si="79"/>
        <v>0</v>
      </c>
      <c r="AS40" s="95">
        <v>1</v>
      </c>
      <c r="AT40" s="96">
        <f t="shared" si="38"/>
        <v>1.05</v>
      </c>
      <c r="AU40" s="457" t="str">
        <f t="shared" si="39"/>
        <v xml:space="preserve">(na,na,na,na,na,na); </v>
      </c>
      <c r="AV40" s="435">
        <v>0</v>
      </c>
      <c r="AW40" s="95">
        <v>1</v>
      </c>
      <c r="AX40" s="96">
        <f t="shared" si="40"/>
        <v>1.05</v>
      </c>
      <c r="AY40" s="432" t="str">
        <f t="shared" si="41"/>
        <v xml:space="preserve">(na,na,na,na,na,na); </v>
      </c>
      <c r="AZ40" s="435">
        <f t="shared" si="80"/>
        <v>0</v>
      </c>
      <c r="BA40" s="95">
        <v>1</v>
      </c>
      <c r="BB40" s="96">
        <f t="shared" si="42"/>
        <v>1.05</v>
      </c>
      <c r="BC40" s="457" t="str">
        <f t="shared" si="43"/>
        <v xml:space="preserve">(na,na,na,na,na,na); </v>
      </c>
      <c r="BD40" s="435">
        <f t="shared" si="81"/>
        <v>0</v>
      </c>
      <c r="BE40" s="95">
        <v>1</v>
      </c>
      <c r="BF40" s="96">
        <f t="shared" si="44"/>
        <v>1.05</v>
      </c>
      <c r="BG40" s="457" t="str">
        <f t="shared" si="45"/>
        <v xml:space="preserve">(na,na,na,na,na,na); </v>
      </c>
      <c r="BH40" s="435">
        <f t="shared" si="82"/>
        <v>0</v>
      </c>
      <c r="BI40" s="95">
        <v>1</v>
      </c>
      <c r="BJ40" s="96">
        <f t="shared" si="46"/>
        <v>1.05</v>
      </c>
      <c r="BK40" s="457" t="str">
        <f t="shared" si="47"/>
        <v xml:space="preserve">(na,na,na,na,na,na); </v>
      </c>
      <c r="BL40" s="435">
        <f t="shared" si="83"/>
        <v>0</v>
      </c>
      <c r="BM40" s="95">
        <v>1</v>
      </c>
      <c r="BN40" s="96">
        <f t="shared" si="48"/>
        <v>1.05</v>
      </c>
      <c r="BO40" s="457" t="str">
        <f t="shared" si="49"/>
        <v xml:space="preserve">(na,na,na,na,na,na); </v>
      </c>
      <c r="BP40" s="435">
        <f t="shared" si="88"/>
        <v>0</v>
      </c>
      <c r="BQ40" s="95">
        <v>1</v>
      </c>
      <c r="BR40" s="96">
        <f t="shared" si="50"/>
        <v>1.05</v>
      </c>
      <c r="BS40" s="432" t="str">
        <f t="shared" si="51"/>
        <v xml:space="preserve">(na,na,na,na,na,na); </v>
      </c>
      <c r="BT40" s="435">
        <f t="shared" si="84"/>
        <v>0</v>
      </c>
      <c r="BU40" s="95">
        <v>1</v>
      </c>
      <c r="BV40" s="96">
        <f t="shared" si="52"/>
        <v>1.05</v>
      </c>
      <c r="BW40" s="457" t="str">
        <f t="shared" si="53"/>
        <v xml:space="preserve">(na,na,na,na,na,na); </v>
      </c>
      <c r="BX40" s="435">
        <f t="shared" si="85"/>
        <v>0</v>
      </c>
      <c r="BY40" s="95">
        <v>1</v>
      </c>
      <c r="BZ40" s="96">
        <f t="shared" si="54"/>
        <v>1.05</v>
      </c>
      <c r="CA40" s="457" t="str">
        <f t="shared" si="55"/>
        <v xml:space="preserve">(na,na,na,na,na,na); </v>
      </c>
      <c r="CB40" s="435">
        <f t="shared" si="86"/>
        <v>0</v>
      </c>
      <c r="CC40" s="95">
        <v>1</v>
      </c>
      <c r="CD40" s="96">
        <f t="shared" si="56"/>
        <v>1.05</v>
      </c>
      <c r="CE40" s="457" t="str">
        <f t="shared" si="57"/>
        <v xml:space="preserve">(na,na,na,na,na,na); </v>
      </c>
      <c r="CF40" s="435">
        <f t="shared" si="87"/>
        <v>0</v>
      </c>
      <c r="CG40" s="95">
        <v>1</v>
      </c>
      <c r="CH40" s="96">
        <f t="shared" si="58"/>
        <v>1.05</v>
      </c>
      <c r="CI40" s="457" t="str">
        <f t="shared" si="59"/>
        <v xml:space="preserve">(na,na,na,na,na,na); </v>
      </c>
      <c r="CJ40" s="435">
        <v>0</v>
      </c>
      <c r="CK40" s="95">
        <v>1</v>
      </c>
      <c r="CL40" s="96">
        <f t="shared" si="60"/>
        <v>1.05</v>
      </c>
      <c r="CM40" s="437" t="str">
        <f t="shared" si="61"/>
        <v xml:space="preserve">(na,na,na,na,na,na); </v>
      </c>
      <c r="CN40" s="435">
        <v>3.3500000000000001E-3</v>
      </c>
      <c r="CO40" s="95">
        <v>1</v>
      </c>
      <c r="CP40" s="96">
        <f t="shared" si="62"/>
        <v>1.2434566510799234</v>
      </c>
      <c r="CQ40" s="457" t="str">
        <f t="shared" si="63"/>
        <v>(2,4,1,3,1,5); Brailovsky (2026) GP 08</v>
      </c>
      <c r="CR40" s="435">
        <v>3.3500000000000001E-3</v>
      </c>
      <c r="CS40" s="95">
        <v>1</v>
      </c>
      <c r="CT40" s="96">
        <f t="shared" si="64"/>
        <v>1.2434566510799234</v>
      </c>
      <c r="CU40" s="432" t="str">
        <f t="shared" si="65"/>
        <v>(2,4,1,3,1,5); Brailovsky (2026) GP 08</v>
      </c>
      <c r="CV40" s="399"/>
      <c r="CW40" s="435"/>
      <c r="CX40" s="435"/>
      <c r="CY40" s="435"/>
      <c r="CZ40" s="435"/>
      <c r="DA40" s="692"/>
      <c r="DB40" s="83" t="s">
        <v>106</v>
      </c>
      <c r="DC40" s="83" t="s">
        <v>106</v>
      </c>
      <c r="DD40" s="83" t="s">
        <v>106</v>
      </c>
      <c r="DE40" s="83" t="s">
        <v>106</v>
      </c>
      <c r="DF40" s="83" t="s">
        <v>106</v>
      </c>
      <c r="DG40" s="83" t="s">
        <v>106</v>
      </c>
      <c r="DH40" s="104">
        <v>3</v>
      </c>
      <c r="DI40" s="104">
        <v>1.05</v>
      </c>
      <c r="DJ40" s="107">
        <f t="shared" si="66"/>
        <v>1</v>
      </c>
      <c r="DK40" s="107">
        <f t="shared" si="67"/>
        <v>1.05</v>
      </c>
      <c r="DL40" s="107" t="str">
        <f t="shared" si="68"/>
        <v>(na,na,na,na,na,na)</v>
      </c>
      <c r="DM40" s="108">
        <v>1</v>
      </c>
      <c r="DN40" s="108">
        <v>1</v>
      </c>
      <c r="DO40" s="108">
        <v>1</v>
      </c>
      <c r="DP40" s="108">
        <v>1</v>
      </c>
      <c r="DQ40" s="108">
        <v>1</v>
      </c>
      <c r="DR40" s="108">
        <v>1</v>
      </c>
      <c r="DS40" s="399"/>
      <c r="DT40" s="692" t="s">
        <v>1171</v>
      </c>
      <c r="DU40" s="83">
        <v>2</v>
      </c>
      <c r="DV40" s="83">
        <v>4</v>
      </c>
      <c r="DW40" s="83">
        <v>1</v>
      </c>
      <c r="DX40" s="83">
        <v>3</v>
      </c>
      <c r="DY40" s="83">
        <v>1</v>
      </c>
      <c r="DZ40" s="83">
        <v>5</v>
      </c>
      <c r="EA40" s="104">
        <v>3</v>
      </c>
      <c r="EB40" s="104">
        <v>1.05</v>
      </c>
      <c r="EC40" s="107">
        <f t="shared" si="69"/>
        <v>1.2365959919080913</v>
      </c>
      <c r="ED40" s="107">
        <f t="shared" si="70"/>
        <v>1.2434566510799234</v>
      </c>
      <c r="EE40" s="107" t="str">
        <f t="shared" si="71"/>
        <v>(2,4,1,3,1,5)</v>
      </c>
      <c r="EF40" s="108">
        <v>1.05</v>
      </c>
      <c r="EG40" s="108">
        <v>1.1000000000000001</v>
      </c>
      <c r="EH40" s="108">
        <v>1</v>
      </c>
      <c r="EI40" s="108">
        <v>1.02</v>
      </c>
      <c r="EJ40" s="108">
        <v>1</v>
      </c>
      <c r="EK40" s="108">
        <v>1.2</v>
      </c>
    </row>
    <row r="41" spans="1:141">
      <c r="A41" s="330">
        <v>268491</v>
      </c>
      <c r="B41" s="216"/>
      <c r="C41" s="334"/>
      <c r="D41" s="515">
        <v>5</v>
      </c>
      <c r="E41" s="343" t="s">
        <v>98</v>
      </c>
      <c r="F41" s="437" t="s">
        <v>908</v>
      </c>
      <c r="G41" s="438" t="s">
        <v>93</v>
      </c>
      <c r="H41" s="455" t="s">
        <v>98</v>
      </c>
      <c r="I41" s="455" t="s">
        <v>98</v>
      </c>
      <c r="J41" s="336">
        <v>0</v>
      </c>
      <c r="K41" s="438" t="s">
        <v>96</v>
      </c>
      <c r="L41" s="440">
        <f t="shared" si="72"/>
        <v>0</v>
      </c>
      <c r="M41" s="336">
        <v>1</v>
      </c>
      <c r="N41" s="337">
        <f t="shared" si="22"/>
        <v>1.05</v>
      </c>
      <c r="O41" s="455" t="str">
        <f t="shared" si="23"/>
        <v xml:space="preserve">(na,na,na,na,na,na); </v>
      </c>
      <c r="P41" s="440">
        <f t="shared" si="73"/>
        <v>0</v>
      </c>
      <c r="Q41" s="336">
        <v>1</v>
      </c>
      <c r="R41" s="337">
        <f t="shared" si="24"/>
        <v>1.05</v>
      </c>
      <c r="S41" s="455" t="str">
        <f t="shared" si="25"/>
        <v xml:space="preserve">(na,na,na,na,na,na); </v>
      </c>
      <c r="T41" s="440">
        <f t="shared" si="74"/>
        <v>0</v>
      </c>
      <c r="U41" s="336">
        <v>1</v>
      </c>
      <c r="V41" s="337">
        <f t="shared" si="26"/>
        <v>1.05</v>
      </c>
      <c r="W41" s="455" t="str">
        <f t="shared" si="27"/>
        <v xml:space="preserve">(na,na,na,na,na,na); </v>
      </c>
      <c r="X41" s="440">
        <f t="shared" si="75"/>
        <v>0</v>
      </c>
      <c r="Y41" s="336">
        <v>1</v>
      </c>
      <c r="Z41" s="337">
        <f t="shared" si="28"/>
        <v>1.05</v>
      </c>
      <c r="AA41" s="437" t="str">
        <f t="shared" si="29"/>
        <v xml:space="preserve">(na,na,na,na,na,na); </v>
      </c>
      <c r="AB41" s="435">
        <v>0</v>
      </c>
      <c r="AC41" s="95">
        <v>1</v>
      </c>
      <c r="AD41" s="96">
        <f t="shared" si="30"/>
        <v>1.05</v>
      </c>
      <c r="AE41" s="432" t="str">
        <f t="shared" si="31"/>
        <v xml:space="preserve">(na,na,na,na,na,na); </v>
      </c>
      <c r="AF41" s="435">
        <f t="shared" si="76"/>
        <v>0</v>
      </c>
      <c r="AG41" s="95">
        <v>1</v>
      </c>
      <c r="AH41" s="96">
        <f t="shared" si="32"/>
        <v>1.05</v>
      </c>
      <c r="AI41" s="457" t="str">
        <f t="shared" si="33"/>
        <v xml:space="preserve">(na,na,na,na,na,na); </v>
      </c>
      <c r="AJ41" s="435">
        <f t="shared" si="77"/>
        <v>0</v>
      </c>
      <c r="AK41" s="95">
        <v>1</v>
      </c>
      <c r="AL41" s="96">
        <f t="shared" si="34"/>
        <v>1.05</v>
      </c>
      <c r="AM41" s="457" t="str">
        <f t="shared" si="35"/>
        <v xml:space="preserve">(na,na,na,na,na,na); </v>
      </c>
      <c r="AN41" s="435">
        <f t="shared" si="78"/>
        <v>0</v>
      </c>
      <c r="AO41" s="95">
        <v>1</v>
      </c>
      <c r="AP41" s="96">
        <f t="shared" si="36"/>
        <v>1.05</v>
      </c>
      <c r="AQ41" s="457" t="str">
        <f t="shared" si="37"/>
        <v xml:space="preserve">(na,na,na,na,na,na); </v>
      </c>
      <c r="AR41" s="435">
        <f t="shared" si="79"/>
        <v>0</v>
      </c>
      <c r="AS41" s="95">
        <v>1</v>
      </c>
      <c r="AT41" s="96">
        <f t="shared" si="38"/>
        <v>1.05</v>
      </c>
      <c r="AU41" s="457" t="str">
        <f t="shared" si="39"/>
        <v xml:space="preserve">(na,na,na,na,na,na); </v>
      </c>
      <c r="AV41" s="435">
        <v>0</v>
      </c>
      <c r="AW41" s="95">
        <v>1</v>
      </c>
      <c r="AX41" s="96">
        <f t="shared" si="40"/>
        <v>1.05</v>
      </c>
      <c r="AY41" s="432" t="str">
        <f t="shared" si="41"/>
        <v xml:space="preserve">(na,na,na,na,na,na); </v>
      </c>
      <c r="AZ41" s="435">
        <f t="shared" si="80"/>
        <v>0</v>
      </c>
      <c r="BA41" s="95">
        <v>1</v>
      </c>
      <c r="BB41" s="96">
        <f t="shared" si="42"/>
        <v>1.05</v>
      </c>
      <c r="BC41" s="457" t="str">
        <f t="shared" si="43"/>
        <v xml:space="preserve">(na,na,na,na,na,na); </v>
      </c>
      <c r="BD41" s="435">
        <f t="shared" si="81"/>
        <v>0</v>
      </c>
      <c r="BE41" s="95">
        <v>1</v>
      </c>
      <c r="BF41" s="96">
        <f t="shared" si="44"/>
        <v>1.05</v>
      </c>
      <c r="BG41" s="457" t="str">
        <f t="shared" si="45"/>
        <v xml:space="preserve">(na,na,na,na,na,na); </v>
      </c>
      <c r="BH41" s="435">
        <f t="shared" si="82"/>
        <v>0</v>
      </c>
      <c r="BI41" s="95">
        <v>1</v>
      </c>
      <c r="BJ41" s="96">
        <f t="shared" si="46"/>
        <v>1.05</v>
      </c>
      <c r="BK41" s="457" t="str">
        <f t="shared" si="47"/>
        <v xml:space="preserve">(na,na,na,na,na,na); </v>
      </c>
      <c r="BL41" s="435">
        <f t="shared" si="83"/>
        <v>0</v>
      </c>
      <c r="BM41" s="95">
        <v>1</v>
      </c>
      <c r="BN41" s="96">
        <f t="shared" si="48"/>
        <v>1.05</v>
      </c>
      <c r="BO41" s="457" t="str">
        <f t="shared" si="49"/>
        <v xml:space="preserve">(na,na,na,na,na,na); </v>
      </c>
      <c r="BP41" s="435">
        <f t="shared" si="88"/>
        <v>0</v>
      </c>
      <c r="BQ41" s="95">
        <v>1</v>
      </c>
      <c r="BR41" s="96">
        <f t="shared" si="50"/>
        <v>1.05</v>
      </c>
      <c r="BS41" s="432" t="str">
        <f t="shared" si="51"/>
        <v xml:space="preserve">(na,na,na,na,na,na); </v>
      </c>
      <c r="BT41" s="435">
        <f t="shared" si="84"/>
        <v>0</v>
      </c>
      <c r="BU41" s="95">
        <v>1</v>
      </c>
      <c r="BV41" s="96">
        <f t="shared" si="52"/>
        <v>1.05</v>
      </c>
      <c r="BW41" s="457" t="str">
        <f t="shared" si="53"/>
        <v xml:space="preserve">(na,na,na,na,na,na); </v>
      </c>
      <c r="BX41" s="435">
        <f t="shared" si="85"/>
        <v>0</v>
      </c>
      <c r="BY41" s="95">
        <v>1</v>
      </c>
      <c r="BZ41" s="96">
        <f t="shared" si="54"/>
        <v>1.05</v>
      </c>
      <c r="CA41" s="457" t="str">
        <f t="shared" si="55"/>
        <v xml:space="preserve">(na,na,na,na,na,na); </v>
      </c>
      <c r="CB41" s="435">
        <f t="shared" si="86"/>
        <v>0</v>
      </c>
      <c r="CC41" s="95">
        <v>1</v>
      </c>
      <c r="CD41" s="96">
        <f t="shared" si="56"/>
        <v>1.05</v>
      </c>
      <c r="CE41" s="457" t="str">
        <f t="shared" si="57"/>
        <v xml:space="preserve">(na,na,na,na,na,na); </v>
      </c>
      <c r="CF41" s="435">
        <f t="shared" si="87"/>
        <v>0</v>
      </c>
      <c r="CG41" s="95">
        <v>1</v>
      </c>
      <c r="CH41" s="96">
        <f t="shared" si="58"/>
        <v>1.05</v>
      </c>
      <c r="CI41" s="457" t="str">
        <f t="shared" si="59"/>
        <v xml:space="preserve">(na,na,na,na,na,na); </v>
      </c>
      <c r="CJ41" s="435">
        <v>0</v>
      </c>
      <c r="CK41" s="95">
        <v>1</v>
      </c>
      <c r="CL41" s="96">
        <f t="shared" si="60"/>
        <v>1.05</v>
      </c>
      <c r="CM41" s="437" t="str">
        <f t="shared" si="61"/>
        <v xml:space="preserve">(na,na,na,na,na,na); </v>
      </c>
      <c r="CN41" s="435">
        <v>3.47E-3</v>
      </c>
      <c r="CO41" s="95">
        <v>1</v>
      </c>
      <c r="CP41" s="96">
        <f t="shared" si="62"/>
        <v>1.2434566510799234</v>
      </c>
      <c r="CQ41" s="457" t="str">
        <f t="shared" si="63"/>
        <v>(2,4,1,3,1,5); Brailovsky (2026) GP 08</v>
      </c>
      <c r="CR41" s="435">
        <v>3.47E-3</v>
      </c>
      <c r="CS41" s="95">
        <v>1</v>
      </c>
      <c r="CT41" s="96">
        <f t="shared" si="64"/>
        <v>1.2434566510799234</v>
      </c>
      <c r="CU41" s="432" t="str">
        <f t="shared" si="65"/>
        <v>(2,4,1,3,1,5); Brailovsky (2026) GP 08</v>
      </c>
      <c r="CV41" s="399"/>
      <c r="CW41" s="435"/>
      <c r="CX41" s="435"/>
      <c r="CY41" s="435"/>
      <c r="CZ41" s="435"/>
      <c r="DA41" s="692"/>
      <c r="DB41" s="83" t="s">
        <v>106</v>
      </c>
      <c r="DC41" s="83" t="s">
        <v>106</v>
      </c>
      <c r="DD41" s="83" t="s">
        <v>106</v>
      </c>
      <c r="DE41" s="83" t="s">
        <v>106</v>
      </c>
      <c r="DF41" s="83" t="s">
        <v>106</v>
      </c>
      <c r="DG41" s="83" t="s">
        <v>106</v>
      </c>
      <c r="DH41" s="104">
        <v>3</v>
      </c>
      <c r="DI41" s="104">
        <v>1.05</v>
      </c>
      <c r="DJ41" s="107">
        <f t="shared" si="66"/>
        <v>1</v>
      </c>
      <c r="DK41" s="107">
        <f t="shared" si="67"/>
        <v>1.05</v>
      </c>
      <c r="DL41" s="107" t="str">
        <f t="shared" si="68"/>
        <v>(na,na,na,na,na,na)</v>
      </c>
      <c r="DM41" s="108">
        <v>1</v>
      </c>
      <c r="DN41" s="108">
        <v>1</v>
      </c>
      <c r="DO41" s="108">
        <v>1</v>
      </c>
      <c r="DP41" s="108">
        <v>1</v>
      </c>
      <c r="DQ41" s="108">
        <v>1</v>
      </c>
      <c r="DR41" s="108">
        <v>1</v>
      </c>
      <c r="DS41" s="399"/>
      <c r="DT41" s="692" t="s">
        <v>1171</v>
      </c>
      <c r="DU41" s="83">
        <v>2</v>
      </c>
      <c r="DV41" s="83">
        <v>4</v>
      </c>
      <c r="DW41" s="83">
        <v>1</v>
      </c>
      <c r="DX41" s="83">
        <v>3</v>
      </c>
      <c r="DY41" s="83">
        <v>1</v>
      </c>
      <c r="DZ41" s="83">
        <v>5</v>
      </c>
      <c r="EA41" s="104">
        <v>3</v>
      </c>
      <c r="EB41" s="104">
        <v>1.05</v>
      </c>
      <c r="EC41" s="107">
        <f t="shared" si="69"/>
        <v>1.2365959919080913</v>
      </c>
      <c r="ED41" s="107">
        <f t="shared" si="70"/>
        <v>1.2434566510799234</v>
      </c>
      <c r="EE41" s="107" t="str">
        <f t="shared" si="71"/>
        <v>(2,4,1,3,1,5)</v>
      </c>
      <c r="EF41" s="108">
        <v>1.05</v>
      </c>
      <c r="EG41" s="108">
        <v>1.1000000000000001</v>
      </c>
      <c r="EH41" s="108">
        <v>1</v>
      </c>
      <c r="EI41" s="108">
        <v>1.02</v>
      </c>
      <c r="EJ41" s="108">
        <v>1</v>
      </c>
      <c r="EK41" s="108">
        <v>1.2</v>
      </c>
    </row>
    <row r="42" spans="1:141" s="171" customFormat="1" ht="24">
      <c r="A42" s="333">
        <v>261979</v>
      </c>
      <c r="B42" s="216"/>
      <c r="C42" s="334"/>
      <c r="D42" s="515">
        <v>5</v>
      </c>
      <c r="E42" s="343" t="s">
        <v>98</v>
      </c>
      <c r="F42" s="437" t="s">
        <v>1181</v>
      </c>
      <c r="G42" s="438" t="s">
        <v>154</v>
      </c>
      <c r="H42" s="455" t="s">
        <v>98</v>
      </c>
      <c r="I42" s="455" t="s">
        <v>98</v>
      </c>
      <c r="J42" s="336">
        <v>0</v>
      </c>
      <c r="K42" s="438" t="s">
        <v>96</v>
      </c>
      <c r="L42" s="440">
        <f t="shared" si="72"/>
        <v>1.1297517564402809E-2</v>
      </c>
      <c r="M42" s="336">
        <v>1</v>
      </c>
      <c r="N42" s="337">
        <f t="shared" si="22"/>
        <v>1.0722009304576894</v>
      </c>
      <c r="O42" s="455" t="str">
        <f t="shared" si="23"/>
        <v>(2,1,1,2,1,1); Industry data (French tender) Interconnection Ribbons + String Ribbons</v>
      </c>
      <c r="P42" s="440">
        <f t="shared" si="73"/>
        <v>9.1453629976580696E-3</v>
      </c>
      <c r="Q42" s="336">
        <v>1</v>
      </c>
      <c r="R42" s="337">
        <f t="shared" si="24"/>
        <v>1.0722009304576894</v>
      </c>
      <c r="S42" s="455" t="str">
        <f t="shared" si="25"/>
        <v>(2,1,1,2,1,1); Industry data (French tender) Interconnection Ribbons + String Ribbons</v>
      </c>
      <c r="T42" s="440">
        <f t="shared" si="74"/>
        <v>8.316391437308869E-3</v>
      </c>
      <c r="U42" s="336">
        <v>1</v>
      </c>
      <c r="V42" s="337">
        <f t="shared" si="26"/>
        <v>1.0722009304576894</v>
      </c>
      <c r="W42" s="455" t="str">
        <f t="shared" si="27"/>
        <v>(2,1,1,2,1,1); Industry data (French tender) Interconnection Ribbons + String Ribbons</v>
      </c>
      <c r="X42" s="440">
        <f t="shared" si="75"/>
        <v>6.0417699056915901E-3</v>
      </c>
      <c r="Y42" s="336">
        <v>1</v>
      </c>
      <c r="Z42" s="337">
        <f t="shared" si="28"/>
        <v>1.0722009304576894</v>
      </c>
      <c r="AA42" s="437" t="str">
        <f t="shared" si="29"/>
        <v>(2,1,1,2,1,1); Industry data (French tender) Interconnection Ribbons + String Ribbons</v>
      </c>
      <c r="AB42" s="440">
        <f t="shared" ref="AB42:AB48" si="89">X42</f>
        <v>6.0417699056915901E-3</v>
      </c>
      <c r="AC42" s="336">
        <v>1</v>
      </c>
      <c r="AD42" s="337">
        <f t="shared" si="30"/>
        <v>1.0722009304576894</v>
      </c>
      <c r="AE42" s="437" t="str">
        <f t="shared" si="31"/>
        <v>(2,1,1,2,1,1); Industry data (French tender) Interconnection Ribbons + String Ribbons</v>
      </c>
      <c r="AF42" s="440">
        <f t="shared" si="76"/>
        <v>1.1297517564402809E-2</v>
      </c>
      <c r="AG42" s="336">
        <v>1</v>
      </c>
      <c r="AH42" s="337">
        <f t="shared" si="32"/>
        <v>1.0722009304576894</v>
      </c>
      <c r="AI42" s="455" t="str">
        <f t="shared" si="33"/>
        <v>(2,1,1,2,1,1); Industry data (French tender) Interconnection Ribbons + String Ribbons</v>
      </c>
      <c r="AJ42" s="440">
        <f t="shared" si="77"/>
        <v>9.1453629976580696E-3</v>
      </c>
      <c r="AK42" s="336">
        <v>1</v>
      </c>
      <c r="AL42" s="337">
        <f t="shared" si="34"/>
        <v>1.0722009304576894</v>
      </c>
      <c r="AM42" s="455" t="str">
        <f t="shared" si="35"/>
        <v>(2,1,1,2,1,1); Industry data (French tender) Interconnection Ribbons + String Ribbons</v>
      </c>
      <c r="AN42" s="440">
        <f t="shared" si="78"/>
        <v>8.316391437308869E-3</v>
      </c>
      <c r="AO42" s="336">
        <v>1</v>
      </c>
      <c r="AP42" s="337">
        <f t="shared" si="36"/>
        <v>1.0722009304576894</v>
      </c>
      <c r="AQ42" s="455" t="str">
        <f t="shared" si="37"/>
        <v>(2,1,1,2,1,1); Industry data (French tender) Interconnection Ribbons + String Ribbons</v>
      </c>
      <c r="AR42" s="440">
        <f t="shared" si="79"/>
        <v>6.0417699056915901E-3</v>
      </c>
      <c r="AS42" s="336">
        <v>1</v>
      </c>
      <c r="AT42" s="337">
        <f t="shared" si="38"/>
        <v>1.0722009304576894</v>
      </c>
      <c r="AU42" s="455" t="str">
        <f t="shared" si="39"/>
        <v>(2,1,1,2,1,1); Industry data (French tender) Interconnection Ribbons + String Ribbons</v>
      </c>
      <c r="AV42" s="440">
        <f>AB42</f>
        <v>6.0417699056915901E-3</v>
      </c>
      <c r="AW42" s="336">
        <v>1</v>
      </c>
      <c r="AX42" s="337">
        <f t="shared" si="40"/>
        <v>1.0722009304576894</v>
      </c>
      <c r="AY42" s="437" t="str">
        <f t="shared" si="41"/>
        <v>(2,1,1,2,1,1); Industry data (French tender) Interconnection Ribbons + String Ribbons</v>
      </c>
      <c r="AZ42" s="440">
        <f t="shared" si="80"/>
        <v>1.1297517564402809E-2</v>
      </c>
      <c r="BA42" s="336">
        <v>1</v>
      </c>
      <c r="BB42" s="337">
        <f t="shared" si="42"/>
        <v>1.0722009304576894</v>
      </c>
      <c r="BC42" s="455" t="str">
        <f t="shared" si="43"/>
        <v>(2,1,1,2,1,1); Industry data (French tender) Interconnection Ribbons + String Ribbons</v>
      </c>
      <c r="BD42" s="440">
        <f t="shared" si="81"/>
        <v>9.1453629976580696E-3</v>
      </c>
      <c r="BE42" s="336">
        <v>1</v>
      </c>
      <c r="BF42" s="337">
        <f t="shared" si="44"/>
        <v>1.0722009304576894</v>
      </c>
      <c r="BG42" s="455" t="str">
        <f t="shared" si="45"/>
        <v>(2,1,1,2,1,1); Industry data (French tender) Interconnection Ribbons + String Ribbons</v>
      </c>
      <c r="BH42" s="440">
        <f t="shared" si="82"/>
        <v>8.316391437308869E-3</v>
      </c>
      <c r="BI42" s="336">
        <v>1</v>
      </c>
      <c r="BJ42" s="337">
        <f t="shared" si="46"/>
        <v>1.0722009304576894</v>
      </c>
      <c r="BK42" s="455" t="str">
        <f t="shared" si="47"/>
        <v>(2,1,1,2,1,1); Industry data (French tender) Interconnection Ribbons + String Ribbons</v>
      </c>
      <c r="BL42" s="440">
        <f t="shared" si="83"/>
        <v>6.0417699056915901E-3</v>
      </c>
      <c r="BM42" s="336">
        <v>1</v>
      </c>
      <c r="BN42" s="337">
        <f t="shared" si="48"/>
        <v>1.0722009304576894</v>
      </c>
      <c r="BO42" s="455" t="str">
        <f t="shared" si="49"/>
        <v>(2,1,1,2,1,1); Industry data (French tender) Interconnection Ribbons + String Ribbons</v>
      </c>
      <c r="BP42" s="440">
        <f t="shared" si="88"/>
        <v>6.0417699056915901E-3</v>
      </c>
      <c r="BQ42" s="336">
        <v>1</v>
      </c>
      <c r="BR42" s="337">
        <f t="shared" si="50"/>
        <v>1.0722009304576894</v>
      </c>
      <c r="BS42" s="437" t="str">
        <f t="shared" si="51"/>
        <v>(2,1,1,2,1,1); Industry data (French tender) Interconnection Ribbons + String Ribbons</v>
      </c>
      <c r="BT42" s="440">
        <f t="shared" si="84"/>
        <v>1.1297517564402809E-2</v>
      </c>
      <c r="BU42" s="336">
        <v>1</v>
      </c>
      <c r="BV42" s="337">
        <f t="shared" si="52"/>
        <v>1.0722009304576894</v>
      </c>
      <c r="BW42" s="455" t="str">
        <f t="shared" si="53"/>
        <v>(2,1,1,2,1,1); Industry data (French tender) Interconnection Ribbons + String Ribbons</v>
      </c>
      <c r="BX42" s="440">
        <f t="shared" si="85"/>
        <v>9.1453629976580696E-3</v>
      </c>
      <c r="BY42" s="336">
        <v>1</v>
      </c>
      <c r="BZ42" s="337">
        <f t="shared" si="54"/>
        <v>1.0722009304576894</v>
      </c>
      <c r="CA42" s="455" t="str">
        <f t="shared" si="55"/>
        <v>(2,1,1,2,1,1); Industry data (French tender) Interconnection Ribbons + String Ribbons</v>
      </c>
      <c r="CB42" s="440">
        <f t="shared" si="86"/>
        <v>8.316391437308869E-3</v>
      </c>
      <c r="CC42" s="336">
        <v>1</v>
      </c>
      <c r="CD42" s="337">
        <f t="shared" si="56"/>
        <v>1.0722009304576894</v>
      </c>
      <c r="CE42" s="455" t="str">
        <f t="shared" si="57"/>
        <v>(2,1,1,2,1,1); Industry data (French tender) Interconnection Ribbons + String Ribbons</v>
      </c>
      <c r="CF42" s="440">
        <f t="shared" si="87"/>
        <v>6.0417699056915901E-3</v>
      </c>
      <c r="CG42" s="336">
        <v>1</v>
      </c>
      <c r="CH42" s="337">
        <f t="shared" si="58"/>
        <v>1.0722009304576894</v>
      </c>
      <c r="CI42" s="455" t="str">
        <f t="shared" si="59"/>
        <v>(2,1,1,2,1,1); Industry data (French tender) Interconnection Ribbons + String Ribbons</v>
      </c>
      <c r="CJ42" s="440">
        <f>CF42</f>
        <v>6.0417699056915901E-3</v>
      </c>
      <c r="CK42" s="336">
        <v>1</v>
      </c>
      <c r="CL42" s="337">
        <f t="shared" si="60"/>
        <v>1.0722009304576894</v>
      </c>
      <c r="CM42" s="437" t="str">
        <f t="shared" si="61"/>
        <v>(2,1,1,2,1,1); Industry data (French tender) Interconnection Ribbons + String Ribbons</v>
      </c>
      <c r="CN42" s="440">
        <v>0</v>
      </c>
      <c r="CO42" s="336">
        <v>1</v>
      </c>
      <c r="CP42" s="337">
        <f t="shared" si="62"/>
        <v>1.05</v>
      </c>
      <c r="CQ42" s="455" t="str">
        <f t="shared" si="63"/>
        <v xml:space="preserve">(na,na,na,na,na,na); </v>
      </c>
      <c r="CR42" s="440">
        <v>0</v>
      </c>
      <c r="CS42" s="336">
        <v>1</v>
      </c>
      <c r="CT42" s="337">
        <f t="shared" si="64"/>
        <v>1.05</v>
      </c>
      <c r="CU42" s="437" t="str">
        <f t="shared" si="65"/>
        <v xml:space="preserve">(na,na,na,na,na,na); </v>
      </c>
      <c r="CW42" s="440">
        <f>0.00454611241217799+0.00675140515222482</f>
        <v>1.1297517564402809E-2</v>
      </c>
      <c r="CX42" s="440">
        <f>0.00395220140515222+0.00519316159250585</f>
        <v>9.1453629976580696E-3</v>
      </c>
      <c r="CY42" s="440">
        <f>0.00571807339449541+0.00259831804281346</f>
        <v>8.316391437308869E-3</v>
      </c>
      <c r="CZ42" s="440">
        <f>0.00395220140515222+0.00208956850053937</f>
        <v>6.0417699056915901E-3</v>
      </c>
      <c r="DA42" s="691" t="s">
        <v>1182</v>
      </c>
      <c r="DB42" s="83">
        <v>2</v>
      </c>
      <c r="DC42" s="83">
        <v>1</v>
      </c>
      <c r="DD42" s="83">
        <v>1</v>
      </c>
      <c r="DE42" s="83">
        <v>2</v>
      </c>
      <c r="DF42" s="83">
        <v>1</v>
      </c>
      <c r="DG42" s="83">
        <v>1</v>
      </c>
      <c r="DH42" s="104">
        <v>3</v>
      </c>
      <c r="DI42" s="104">
        <v>1.05</v>
      </c>
      <c r="DJ42" s="107">
        <f t="shared" si="66"/>
        <v>1.0510550504206344</v>
      </c>
      <c r="DK42" s="107">
        <f t="shared" si="67"/>
        <v>1.0722009304576894</v>
      </c>
      <c r="DL42" s="107" t="str">
        <f t="shared" si="68"/>
        <v>(2,1,1,2,1,1)</v>
      </c>
      <c r="DM42" s="108">
        <v>1.05</v>
      </c>
      <c r="DN42" s="108">
        <v>1</v>
      </c>
      <c r="DO42" s="108">
        <v>1</v>
      </c>
      <c r="DP42" s="108">
        <v>1.01</v>
      </c>
      <c r="DQ42" s="108">
        <v>1</v>
      </c>
      <c r="DR42" s="108">
        <v>1</v>
      </c>
      <c r="DT42" s="691"/>
      <c r="DU42" s="83" t="s">
        <v>106</v>
      </c>
      <c r="DV42" s="83" t="s">
        <v>106</v>
      </c>
      <c r="DW42" s="83" t="s">
        <v>106</v>
      </c>
      <c r="DX42" s="83" t="s">
        <v>106</v>
      </c>
      <c r="DY42" s="83" t="s">
        <v>106</v>
      </c>
      <c r="DZ42" s="83" t="s">
        <v>106</v>
      </c>
      <c r="EA42" s="104">
        <v>3</v>
      </c>
      <c r="EB42" s="104">
        <v>1.05</v>
      </c>
      <c r="EC42" s="107">
        <f t="shared" si="69"/>
        <v>1</v>
      </c>
      <c r="ED42" s="107">
        <f t="shared" si="70"/>
        <v>1.05</v>
      </c>
      <c r="EE42" s="107" t="str">
        <f t="shared" si="71"/>
        <v>(na,na,na,na,na,na)</v>
      </c>
      <c r="EF42" s="108">
        <v>1</v>
      </c>
      <c r="EG42" s="108">
        <v>1</v>
      </c>
      <c r="EH42" s="108">
        <v>1</v>
      </c>
      <c r="EI42" s="108">
        <v>1</v>
      </c>
      <c r="EJ42" s="108">
        <v>1</v>
      </c>
      <c r="EK42" s="108">
        <v>1</v>
      </c>
    </row>
    <row r="43" spans="1:141" ht="24">
      <c r="A43" s="330">
        <v>269103</v>
      </c>
      <c r="B43" s="216"/>
      <c r="C43" s="334"/>
      <c r="D43" s="515">
        <v>5</v>
      </c>
      <c r="E43" s="343" t="s">
        <v>98</v>
      </c>
      <c r="F43" s="437" t="s">
        <v>1183</v>
      </c>
      <c r="G43" s="438" t="s">
        <v>93</v>
      </c>
      <c r="H43" s="455" t="s">
        <v>98</v>
      </c>
      <c r="I43" s="455" t="s">
        <v>98</v>
      </c>
      <c r="J43" s="336">
        <v>0</v>
      </c>
      <c r="K43" s="438" t="s">
        <v>96</v>
      </c>
      <c r="L43" s="440">
        <f t="shared" si="72"/>
        <v>8.1844262295081993</v>
      </c>
      <c r="M43" s="336">
        <v>1</v>
      </c>
      <c r="N43" s="337">
        <f t="shared" si="22"/>
        <v>1.0722009304576894</v>
      </c>
      <c r="O43" s="455" t="str">
        <f t="shared" si="23"/>
        <v>(2,1,1,2,1,1); Industry data (French tender) Glass</v>
      </c>
      <c r="P43" s="440">
        <f t="shared" si="73"/>
        <v>8.0193208430913305</v>
      </c>
      <c r="Q43" s="336">
        <v>1</v>
      </c>
      <c r="R43" s="337">
        <f t="shared" si="24"/>
        <v>1.0722009304576894</v>
      </c>
      <c r="S43" s="455" t="str">
        <f t="shared" si="25"/>
        <v>(2,1,1,2,1,1); Industry data (French tender) Glass</v>
      </c>
      <c r="T43" s="440">
        <f t="shared" si="74"/>
        <v>9.42477064220183</v>
      </c>
      <c r="U43" s="336">
        <v>1</v>
      </c>
      <c r="V43" s="337">
        <f t="shared" si="26"/>
        <v>1.0722009304576894</v>
      </c>
      <c r="W43" s="455" t="str">
        <f t="shared" si="27"/>
        <v>(2,1,1,2,1,1); Industry data (French tender) Glass</v>
      </c>
      <c r="X43" s="440">
        <f t="shared" si="75"/>
        <v>10.092211434735701</v>
      </c>
      <c r="Y43" s="336">
        <v>1</v>
      </c>
      <c r="Z43" s="337">
        <f t="shared" si="28"/>
        <v>1.0722009304576894</v>
      </c>
      <c r="AA43" s="437" t="str">
        <f t="shared" si="29"/>
        <v>(2,1,1,2,1,1); Industry data (French tender) Glass</v>
      </c>
      <c r="AB43" s="435">
        <f t="shared" si="89"/>
        <v>10.092211434735701</v>
      </c>
      <c r="AC43" s="95">
        <v>1</v>
      </c>
      <c r="AD43" s="96">
        <f t="shared" si="30"/>
        <v>1.0722009304576894</v>
      </c>
      <c r="AE43" s="432" t="str">
        <f t="shared" si="31"/>
        <v>(2,1,1,2,1,1); Industry data (French tender) Glass</v>
      </c>
      <c r="AF43" s="435">
        <f t="shared" si="76"/>
        <v>8.1844262295081993</v>
      </c>
      <c r="AG43" s="95">
        <v>1</v>
      </c>
      <c r="AH43" s="96">
        <f t="shared" si="32"/>
        <v>1.0722009304576894</v>
      </c>
      <c r="AI43" s="457" t="str">
        <f t="shared" si="33"/>
        <v>(2,1,1,2,1,1); Industry data (French tender) Glass</v>
      </c>
      <c r="AJ43" s="435">
        <f t="shared" si="77"/>
        <v>8.0193208430913305</v>
      </c>
      <c r="AK43" s="95">
        <v>1</v>
      </c>
      <c r="AL43" s="96">
        <f t="shared" si="34"/>
        <v>1.0722009304576894</v>
      </c>
      <c r="AM43" s="457" t="str">
        <f t="shared" si="35"/>
        <v>(2,1,1,2,1,1); Industry data (French tender) Glass</v>
      </c>
      <c r="AN43" s="435">
        <f t="shared" si="78"/>
        <v>9.42477064220183</v>
      </c>
      <c r="AO43" s="95">
        <v>1</v>
      </c>
      <c r="AP43" s="96">
        <f t="shared" si="36"/>
        <v>1.0722009304576894</v>
      </c>
      <c r="AQ43" s="457" t="str">
        <f t="shared" si="37"/>
        <v>(2,1,1,2,1,1); Industry data (French tender) Glass</v>
      </c>
      <c r="AR43" s="435">
        <f t="shared" si="79"/>
        <v>10.092211434735701</v>
      </c>
      <c r="AS43" s="95">
        <v>1</v>
      </c>
      <c r="AT43" s="96">
        <f t="shared" si="38"/>
        <v>1.0722009304576894</v>
      </c>
      <c r="AU43" s="457" t="str">
        <f t="shared" si="39"/>
        <v>(2,1,1,2,1,1); Industry data (French tender) Glass</v>
      </c>
      <c r="AV43" s="435">
        <f>X43</f>
        <v>10.092211434735701</v>
      </c>
      <c r="AW43" s="95">
        <v>1</v>
      </c>
      <c r="AX43" s="96">
        <f t="shared" si="40"/>
        <v>1.0722009304576894</v>
      </c>
      <c r="AY43" s="432" t="str">
        <f t="shared" si="41"/>
        <v>(2,1,1,2,1,1); Industry data (French tender) Glass</v>
      </c>
      <c r="AZ43" s="435">
        <f t="shared" si="80"/>
        <v>8.1844262295081993</v>
      </c>
      <c r="BA43" s="95">
        <v>1</v>
      </c>
      <c r="BB43" s="96">
        <f t="shared" si="42"/>
        <v>1.0722009304576894</v>
      </c>
      <c r="BC43" s="457" t="str">
        <f t="shared" si="43"/>
        <v>(2,1,1,2,1,1); Industry data (French tender) Glass</v>
      </c>
      <c r="BD43" s="435">
        <f t="shared" si="81"/>
        <v>8.0193208430913305</v>
      </c>
      <c r="BE43" s="95">
        <v>1</v>
      </c>
      <c r="BF43" s="96">
        <f t="shared" si="44"/>
        <v>1.0722009304576894</v>
      </c>
      <c r="BG43" s="457" t="str">
        <f t="shared" si="45"/>
        <v>(2,1,1,2,1,1); Industry data (French tender) Glass</v>
      </c>
      <c r="BH43" s="435">
        <f t="shared" si="82"/>
        <v>9.42477064220183</v>
      </c>
      <c r="BI43" s="95">
        <v>1</v>
      </c>
      <c r="BJ43" s="96">
        <f t="shared" si="46"/>
        <v>1.0722009304576894</v>
      </c>
      <c r="BK43" s="457" t="str">
        <f t="shared" si="47"/>
        <v>(2,1,1,2,1,1); Industry data (French tender) Glass</v>
      </c>
      <c r="BL43" s="435">
        <f t="shared" si="83"/>
        <v>10.092211434735701</v>
      </c>
      <c r="BM43" s="95">
        <v>1</v>
      </c>
      <c r="BN43" s="96">
        <f t="shared" si="48"/>
        <v>1.0722009304576894</v>
      </c>
      <c r="BO43" s="457" t="str">
        <f t="shared" si="49"/>
        <v>(2,1,1,2,1,1); Industry data (French tender) Glass</v>
      </c>
      <c r="BP43" s="435">
        <f t="shared" si="88"/>
        <v>10.092211434735701</v>
      </c>
      <c r="BQ43" s="95">
        <v>1</v>
      </c>
      <c r="BR43" s="96">
        <f t="shared" si="50"/>
        <v>1.0722009304576894</v>
      </c>
      <c r="BS43" s="432" t="str">
        <f t="shared" si="51"/>
        <v>(2,1,1,2,1,1); Industry data (French tender) Glass</v>
      </c>
      <c r="BT43" s="435">
        <f t="shared" si="84"/>
        <v>8.1844262295081993</v>
      </c>
      <c r="BU43" s="95">
        <v>1</v>
      </c>
      <c r="BV43" s="96">
        <f t="shared" si="52"/>
        <v>1.0722009304576894</v>
      </c>
      <c r="BW43" s="457" t="str">
        <f t="shared" si="53"/>
        <v>(2,1,1,2,1,1); Industry data (French tender) Glass</v>
      </c>
      <c r="BX43" s="435">
        <f t="shared" si="85"/>
        <v>8.0193208430913305</v>
      </c>
      <c r="BY43" s="95">
        <v>1</v>
      </c>
      <c r="BZ43" s="96">
        <f t="shared" si="54"/>
        <v>1.0722009304576894</v>
      </c>
      <c r="CA43" s="457" t="str">
        <f t="shared" si="55"/>
        <v>(2,1,1,2,1,1); Industry data (French tender) Glass</v>
      </c>
      <c r="CB43" s="435">
        <f t="shared" si="86"/>
        <v>9.42477064220183</v>
      </c>
      <c r="CC43" s="95">
        <v>1</v>
      </c>
      <c r="CD43" s="96">
        <f t="shared" si="56"/>
        <v>1.0722009304576894</v>
      </c>
      <c r="CE43" s="457" t="str">
        <f t="shared" si="57"/>
        <v>(2,1,1,2,1,1); Industry data (French tender) Glass</v>
      </c>
      <c r="CF43" s="435">
        <f t="shared" si="87"/>
        <v>10.092211434735701</v>
      </c>
      <c r="CG43" s="95">
        <v>1</v>
      </c>
      <c r="CH43" s="96">
        <f t="shared" si="58"/>
        <v>1.0722009304576894</v>
      </c>
      <c r="CI43" s="457" t="str">
        <f t="shared" si="59"/>
        <v>(2,1,1,2,1,1); Industry data (French tender) Glass</v>
      </c>
      <c r="CJ43" s="435">
        <f>X43</f>
        <v>10.092211434735701</v>
      </c>
      <c r="CK43" s="95">
        <v>1</v>
      </c>
      <c r="CL43" s="96">
        <f t="shared" si="60"/>
        <v>1.0722009304576894</v>
      </c>
      <c r="CM43" s="437" t="str">
        <f t="shared" si="61"/>
        <v>(2,1,1,2,1,1); Industry data (French tender) Glass</v>
      </c>
      <c r="CN43" s="435">
        <v>9.09</v>
      </c>
      <c r="CO43" s="95">
        <v>1</v>
      </c>
      <c r="CP43" s="96">
        <f t="shared" si="62"/>
        <v>1.2434566510799234</v>
      </c>
      <c r="CQ43" s="457" t="str">
        <f t="shared" si="63"/>
        <v>(2,4,1,3,1,5); Brailovsky (2026) GP 08</v>
      </c>
      <c r="CR43" s="435">
        <v>9.09</v>
      </c>
      <c r="CS43" s="95">
        <v>1</v>
      </c>
      <c r="CT43" s="96">
        <f t="shared" si="64"/>
        <v>1.2434566510799234</v>
      </c>
      <c r="CU43" s="432" t="str">
        <f t="shared" si="65"/>
        <v>(2,4,1,3,1,5); Brailovsky (2026) GP 08</v>
      </c>
      <c r="CV43" s="399"/>
      <c r="CW43" s="435">
        <v>8.1844262295081993</v>
      </c>
      <c r="CX43" s="435">
        <v>8.0193208430913305</v>
      </c>
      <c r="CY43" s="435">
        <v>9.42477064220183</v>
      </c>
      <c r="CZ43" s="435">
        <v>10.092211434735701</v>
      </c>
      <c r="DA43" s="692" t="s">
        <v>1184</v>
      </c>
      <c r="DB43" s="83">
        <v>2</v>
      </c>
      <c r="DC43" s="83">
        <v>1</v>
      </c>
      <c r="DD43" s="83">
        <v>1</v>
      </c>
      <c r="DE43" s="83">
        <v>2</v>
      </c>
      <c r="DF43" s="83">
        <v>1</v>
      </c>
      <c r="DG43" s="83">
        <v>1</v>
      </c>
      <c r="DH43" s="104">
        <v>3</v>
      </c>
      <c r="DI43" s="104">
        <v>1.05</v>
      </c>
      <c r="DJ43" s="107">
        <f t="shared" si="66"/>
        <v>1.0510550504206344</v>
      </c>
      <c r="DK43" s="107">
        <f t="shared" si="67"/>
        <v>1.0722009304576894</v>
      </c>
      <c r="DL43" s="107" t="str">
        <f t="shared" si="68"/>
        <v>(2,1,1,2,1,1)</v>
      </c>
      <c r="DM43" s="108">
        <v>1.05</v>
      </c>
      <c r="DN43" s="108">
        <v>1</v>
      </c>
      <c r="DO43" s="108">
        <v>1</v>
      </c>
      <c r="DP43" s="108">
        <v>1.01</v>
      </c>
      <c r="DQ43" s="108">
        <v>1</v>
      </c>
      <c r="DR43" s="108">
        <v>1</v>
      </c>
      <c r="DS43" s="399"/>
      <c r="DT43" s="692" t="s">
        <v>1171</v>
      </c>
      <c r="DU43" s="83">
        <v>2</v>
      </c>
      <c r="DV43" s="83">
        <v>4</v>
      </c>
      <c r="DW43" s="83">
        <v>1</v>
      </c>
      <c r="DX43" s="83">
        <v>3</v>
      </c>
      <c r="DY43" s="83">
        <v>1</v>
      </c>
      <c r="DZ43" s="83">
        <v>5</v>
      </c>
      <c r="EA43" s="104">
        <v>3</v>
      </c>
      <c r="EB43" s="104">
        <v>1.05</v>
      </c>
      <c r="EC43" s="107">
        <f t="shared" si="69"/>
        <v>1.2365959919080913</v>
      </c>
      <c r="ED43" s="107">
        <f t="shared" si="70"/>
        <v>1.2434566510799234</v>
      </c>
      <c r="EE43" s="107" t="str">
        <f t="shared" si="71"/>
        <v>(2,4,1,3,1,5)</v>
      </c>
      <c r="EF43" s="108">
        <v>1.05</v>
      </c>
      <c r="EG43" s="108">
        <v>1.1000000000000001</v>
      </c>
      <c r="EH43" s="108">
        <v>1</v>
      </c>
      <c r="EI43" s="108">
        <v>1.02</v>
      </c>
      <c r="EJ43" s="108">
        <v>1</v>
      </c>
      <c r="EK43" s="108">
        <v>1.2</v>
      </c>
    </row>
    <row r="44" spans="1:141" s="171" customFormat="1" ht="36">
      <c r="A44" s="333">
        <v>268943</v>
      </c>
      <c r="B44" s="216"/>
      <c r="C44" s="334"/>
      <c r="D44" s="515">
        <v>5</v>
      </c>
      <c r="E44" s="343" t="s">
        <v>98</v>
      </c>
      <c r="F44" s="437" t="s">
        <v>1185</v>
      </c>
      <c r="G44" s="438" t="s">
        <v>93</v>
      </c>
      <c r="H44" s="455" t="s">
        <v>98</v>
      </c>
      <c r="I44" s="455" t="s">
        <v>98</v>
      </c>
      <c r="J44" s="336">
        <v>0</v>
      </c>
      <c r="K44" s="438" t="s">
        <v>96</v>
      </c>
      <c r="L44" s="440">
        <f t="shared" si="72"/>
        <v>6.570694379391101E-2</v>
      </c>
      <c r="M44" s="336">
        <v>1</v>
      </c>
      <c r="N44" s="337">
        <f t="shared" si="22"/>
        <v>1.0722009304576894</v>
      </c>
      <c r="O44" s="455" t="str">
        <f t="shared" si="23"/>
        <v>(2,1,1,2,1,1); Industry data (French tender) Junction box plastic + Junction box connector + Strip</v>
      </c>
      <c r="P44" s="440">
        <f t="shared" si="73"/>
        <v>5.1751217798594845E-2</v>
      </c>
      <c r="Q44" s="336">
        <v>1</v>
      </c>
      <c r="R44" s="337">
        <f t="shared" si="24"/>
        <v>1.0722009304576894</v>
      </c>
      <c r="S44" s="455" t="str">
        <f t="shared" si="25"/>
        <v>(2,1,1,2,1,1); Industry data (French tender) Junction box plastic + Junction box connector + Strip</v>
      </c>
      <c r="T44" s="440">
        <f t="shared" si="74"/>
        <v>2.9685993883792089E-2</v>
      </c>
      <c r="U44" s="336">
        <v>1</v>
      </c>
      <c r="V44" s="337">
        <f t="shared" si="26"/>
        <v>1.0722009304576894</v>
      </c>
      <c r="W44" s="455" t="str">
        <f t="shared" si="27"/>
        <v>(2,1,1,2,1,1); Industry data (French tender) Junction box plastic + Junction box connector + Strip</v>
      </c>
      <c r="X44" s="440">
        <f t="shared" si="75"/>
        <v>4.3678690399137063E-2</v>
      </c>
      <c r="Y44" s="336">
        <v>1</v>
      </c>
      <c r="Z44" s="337">
        <f t="shared" si="28"/>
        <v>1.0722009304576894</v>
      </c>
      <c r="AA44" s="437" t="str">
        <f t="shared" si="29"/>
        <v>(2,1,1,2,1,1); Industry data (French tender) Junction box plastic + Junction box connector + Strip</v>
      </c>
      <c r="AB44" s="440">
        <f t="shared" si="89"/>
        <v>4.3678690399137063E-2</v>
      </c>
      <c r="AC44" s="336">
        <v>1</v>
      </c>
      <c r="AD44" s="337">
        <f t="shared" si="30"/>
        <v>1.0722009304576894</v>
      </c>
      <c r="AE44" s="437" t="str">
        <f t="shared" si="31"/>
        <v>(2,1,1,2,1,1); Industry data (French tender) Junction box plastic + Junction box connector + Strip</v>
      </c>
      <c r="AF44" s="440">
        <f t="shared" si="76"/>
        <v>6.570694379391101E-2</v>
      </c>
      <c r="AG44" s="336">
        <v>1</v>
      </c>
      <c r="AH44" s="337">
        <f t="shared" si="32"/>
        <v>1.0722009304576894</v>
      </c>
      <c r="AI44" s="455" t="str">
        <f t="shared" si="33"/>
        <v>(2,1,1,2,1,1); Industry data (French tender) Junction box plastic + Junction box connector + Strip</v>
      </c>
      <c r="AJ44" s="440">
        <f t="shared" si="77"/>
        <v>5.1751217798594845E-2</v>
      </c>
      <c r="AK44" s="336">
        <v>1</v>
      </c>
      <c r="AL44" s="337">
        <f t="shared" si="34"/>
        <v>1.0722009304576894</v>
      </c>
      <c r="AM44" s="455" t="str">
        <f t="shared" si="35"/>
        <v>(2,1,1,2,1,1); Industry data (French tender) Junction box plastic + Junction box connector + Strip</v>
      </c>
      <c r="AN44" s="440">
        <f t="shared" si="78"/>
        <v>2.9685993883792089E-2</v>
      </c>
      <c r="AO44" s="336">
        <v>1</v>
      </c>
      <c r="AP44" s="337">
        <f t="shared" si="36"/>
        <v>1.0722009304576894</v>
      </c>
      <c r="AQ44" s="455" t="str">
        <f t="shared" si="37"/>
        <v>(2,1,1,2,1,1); Industry data (French tender) Junction box plastic + Junction box connector + Strip</v>
      </c>
      <c r="AR44" s="440">
        <f t="shared" si="79"/>
        <v>4.3678690399137063E-2</v>
      </c>
      <c r="AS44" s="336">
        <v>1</v>
      </c>
      <c r="AT44" s="337">
        <f t="shared" si="38"/>
        <v>1.0722009304576894</v>
      </c>
      <c r="AU44" s="455" t="str">
        <f t="shared" si="39"/>
        <v>(2,1,1,2,1,1); Industry data (French tender) Junction box plastic + Junction box connector + Strip</v>
      </c>
      <c r="AV44" s="440">
        <f>AB44</f>
        <v>4.3678690399137063E-2</v>
      </c>
      <c r="AW44" s="336">
        <v>1</v>
      </c>
      <c r="AX44" s="337">
        <f t="shared" si="40"/>
        <v>1.0722009304576894</v>
      </c>
      <c r="AY44" s="437" t="str">
        <f t="shared" si="41"/>
        <v>(2,1,1,2,1,1); Industry data (French tender) Junction box plastic + Junction box connector + Strip</v>
      </c>
      <c r="AZ44" s="440">
        <f t="shared" si="80"/>
        <v>6.570694379391101E-2</v>
      </c>
      <c r="BA44" s="336">
        <v>1</v>
      </c>
      <c r="BB44" s="337">
        <f t="shared" si="42"/>
        <v>1.0722009304576894</v>
      </c>
      <c r="BC44" s="455" t="str">
        <f t="shared" si="43"/>
        <v>(2,1,1,2,1,1); Industry data (French tender) Junction box plastic + Junction box connector + Strip</v>
      </c>
      <c r="BD44" s="440">
        <f t="shared" si="81"/>
        <v>5.1751217798594845E-2</v>
      </c>
      <c r="BE44" s="336">
        <v>1</v>
      </c>
      <c r="BF44" s="337">
        <f t="shared" si="44"/>
        <v>1.0722009304576894</v>
      </c>
      <c r="BG44" s="455" t="str">
        <f t="shared" si="45"/>
        <v>(2,1,1,2,1,1); Industry data (French tender) Junction box plastic + Junction box connector + Strip</v>
      </c>
      <c r="BH44" s="440">
        <f t="shared" si="82"/>
        <v>2.9685993883792089E-2</v>
      </c>
      <c r="BI44" s="336">
        <v>1</v>
      </c>
      <c r="BJ44" s="337">
        <f t="shared" si="46"/>
        <v>1.0722009304576894</v>
      </c>
      <c r="BK44" s="455" t="str">
        <f t="shared" si="47"/>
        <v>(2,1,1,2,1,1); Industry data (French tender) Junction box plastic + Junction box connector + Strip</v>
      </c>
      <c r="BL44" s="440">
        <f t="shared" si="83"/>
        <v>4.3678690399137063E-2</v>
      </c>
      <c r="BM44" s="336">
        <v>1</v>
      </c>
      <c r="BN44" s="337">
        <f t="shared" si="48"/>
        <v>1.0722009304576894</v>
      </c>
      <c r="BO44" s="455" t="str">
        <f t="shared" si="49"/>
        <v>(2,1,1,2,1,1); Industry data (French tender) Junction box plastic + Junction box connector + Strip</v>
      </c>
      <c r="BP44" s="440">
        <f t="shared" si="88"/>
        <v>4.3678690399137063E-2</v>
      </c>
      <c r="BQ44" s="336">
        <v>1</v>
      </c>
      <c r="BR44" s="337">
        <f t="shared" si="50"/>
        <v>1.0722009304576894</v>
      </c>
      <c r="BS44" s="437" t="str">
        <f t="shared" si="51"/>
        <v>(2,1,1,2,1,1); Industry data (French tender) Junction box plastic + Junction box connector + Strip</v>
      </c>
      <c r="BT44" s="440">
        <f t="shared" si="84"/>
        <v>6.570694379391101E-2</v>
      </c>
      <c r="BU44" s="336">
        <v>1</v>
      </c>
      <c r="BV44" s="337">
        <f t="shared" si="52"/>
        <v>1.0722009304576894</v>
      </c>
      <c r="BW44" s="455" t="str">
        <f t="shared" si="53"/>
        <v>(2,1,1,2,1,1); Industry data (French tender) Junction box plastic + Junction box connector + Strip</v>
      </c>
      <c r="BX44" s="440">
        <f t="shared" si="85"/>
        <v>5.1751217798594845E-2</v>
      </c>
      <c r="BY44" s="336">
        <v>1</v>
      </c>
      <c r="BZ44" s="337">
        <f t="shared" si="54"/>
        <v>1.0722009304576894</v>
      </c>
      <c r="CA44" s="455" t="str">
        <f t="shared" si="55"/>
        <v>(2,1,1,2,1,1); Industry data (French tender) Junction box plastic + Junction box connector + Strip</v>
      </c>
      <c r="CB44" s="440">
        <f t="shared" si="86"/>
        <v>2.9685993883792089E-2</v>
      </c>
      <c r="CC44" s="336">
        <v>1</v>
      </c>
      <c r="CD44" s="337">
        <f t="shared" si="56"/>
        <v>1.0722009304576894</v>
      </c>
      <c r="CE44" s="455" t="str">
        <f t="shared" si="57"/>
        <v>(2,1,1,2,1,1); Industry data (French tender) Junction box plastic + Junction box connector + Strip</v>
      </c>
      <c r="CF44" s="440">
        <f t="shared" si="87"/>
        <v>4.3678690399137063E-2</v>
      </c>
      <c r="CG44" s="336">
        <v>1</v>
      </c>
      <c r="CH44" s="337">
        <f t="shared" si="58"/>
        <v>1.0722009304576894</v>
      </c>
      <c r="CI44" s="455" t="str">
        <f t="shared" si="59"/>
        <v>(2,1,1,2,1,1); Industry data (French tender) Junction box plastic + Junction box connector + Strip</v>
      </c>
      <c r="CJ44" s="440">
        <f>CF44</f>
        <v>4.3678690399137063E-2</v>
      </c>
      <c r="CK44" s="336">
        <v>1</v>
      </c>
      <c r="CL44" s="337">
        <f t="shared" si="60"/>
        <v>1.0722009304576894</v>
      </c>
      <c r="CM44" s="437" t="str">
        <f t="shared" si="61"/>
        <v>(2,1,1,2,1,1); Industry data (French tender) Junction box plastic + Junction box connector + Strip</v>
      </c>
      <c r="CN44" s="440">
        <v>0.73899999999999999</v>
      </c>
      <c r="CO44" s="336">
        <v>1</v>
      </c>
      <c r="CP44" s="337">
        <f t="shared" si="62"/>
        <v>1.2434566510799234</v>
      </c>
      <c r="CQ44" s="455" t="str">
        <f t="shared" si="63"/>
        <v>(2,4,1,3,1,5); Brailovsky (2026) GP 08</v>
      </c>
      <c r="CR44" s="440">
        <v>0.73899999999999999</v>
      </c>
      <c r="CS44" s="336">
        <v>1</v>
      </c>
      <c r="CT44" s="337">
        <f t="shared" si="64"/>
        <v>1.2434566510799234</v>
      </c>
      <c r="CU44" s="437" t="str">
        <f t="shared" si="65"/>
        <v>(2,4,1,3,1,5); Brailovsky (2026) GP 08</v>
      </c>
      <c r="CW44" s="440">
        <f>0.0424679156908665+0.0228456674473068+0.000393360655737705</f>
        <v>6.570694379391101E-2</v>
      </c>
      <c r="CX44" s="440">
        <f>0.0327351288056206+0.0186072599531616+0.000408829039812646</f>
        <v>5.1751217798594845E-2</v>
      </c>
      <c r="CY44" s="440">
        <f>0.0199831804281346+0.00928715596330275+0.00041565749235474</f>
        <v>2.9685993883792089E-2</v>
      </c>
      <c r="CZ44" s="440">
        <f>0.0220659115426106+0.0165280474649407+0.00508473139158576</f>
        <v>4.3678690399137063E-2</v>
      </c>
      <c r="DA44" s="691" t="s">
        <v>1186</v>
      </c>
      <c r="DB44" s="83">
        <v>2</v>
      </c>
      <c r="DC44" s="83">
        <v>1</v>
      </c>
      <c r="DD44" s="83">
        <v>1</v>
      </c>
      <c r="DE44" s="83">
        <v>2</v>
      </c>
      <c r="DF44" s="83">
        <v>1</v>
      </c>
      <c r="DG44" s="83">
        <v>1</v>
      </c>
      <c r="DH44" s="104">
        <v>3</v>
      </c>
      <c r="DI44" s="104">
        <v>1.05</v>
      </c>
      <c r="DJ44" s="107">
        <f t="shared" si="66"/>
        <v>1.0510550504206344</v>
      </c>
      <c r="DK44" s="107">
        <f t="shared" si="67"/>
        <v>1.0722009304576894</v>
      </c>
      <c r="DL44" s="107" t="str">
        <f t="shared" si="68"/>
        <v>(2,1,1,2,1,1)</v>
      </c>
      <c r="DM44" s="108">
        <v>1.05</v>
      </c>
      <c r="DN44" s="108">
        <v>1</v>
      </c>
      <c r="DO44" s="108">
        <v>1</v>
      </c>
      <c r="DP44" s="108">
        <v>1.01</v>
      </c>
      <c r="DQ44" s="108">
        <v>1</v>
      </c>
      <c r="DR44" s="108">
        <v>1</v>
      </c>
      <c r="DT44" s="691" t="s">
        <v>1171</v>
      </c>
      <c r="DU44" s="83">
        <v>2</v>
      </c>
      <c r="DV44" s="83">
        <v>4</v>
      </c>
      <c r="DW44" s="83">
        <v>1</v>
      </c>
      <c r="DX44" s="83">
        <v>3</v>
      </c>
      <c r="DY44" s="83">
        <v>1</v>
      </c>
      <c r="DZ44" s="83">
        <v>5</v>
      </c>
      <c r="EA44" s="104">
        <v>3</v>
      </c>
      <c r="EB44" s="104">
        <v>1.05</v>
      </c>
      <c r="EC44" s="107">
        <f t="shared" si="69"/>
        <v>1.2365959919080913</v>
      </c>
      <c r="ED44" s="107">
        <f t="shared" si="70"/>
        <v>1.2434566510799234</v>
      </c>
      <c r="EE44" s="107" t="str">
        <f t="shared" si="71"/>
        <v>(2,4,1,3,1,5)</v>
      </c>
      <c r="EF44" s="108">
        <v>1.05</v>
      </c>
      <c r="EG44" s="108">
        <v>1.1000000000000001</v>
      </c>
      <c r="EH44" s="108">
        <v>1</v>
      </c>
      <c r="EI44" s="108">
        <v>1.02</v>
      </c>
      <c r="EJ44" s="108">
        <v>1</v>
      </c>
      <c r="EK44" s="108">
        <v>1.2</v>
      </c>
    </row>
    <row r="45" spans="1:141" ht="24">
      <c r="A45" s="330">
        <v>269327</v>
      </c>
      <c r="B45" s="216"/>
      <c r="C45" s="334"/>
      <c r="D45" s="515">
        <v>5</v>
      </c>
      <c r="E45" s="343" t="s">
        <v>98</v>
      </c>
      <c r="F45" s="437" t="s">
        <v>492</v>
      </c>
      <c r="G45" s="438" t="s">
        <v>93</v>
      </c>
      <c r="H45" s="455" t="s">
        <v>98</v>
      </c>
      <c r="I45" s="455" t="s">
        <v>98</v>
      </c>
      <c r="J45" s="336">
        <v>0</v>
      </c>
      <c r="K45" s="438" t="s">
        <v>96</v>
      </c>
      <c r="L45" s="440">
        <f t="shared" si="72"/>
        <v>0.347647714285714</v>
      </c>
      <c r="M45" s="336">
        <v>1</v>
      </c>
      <c r="N45" s="337">
        <f t="shared" si="22"/>
        <v>1.0722009304576894</v>
      </c>
      <c r="O45" s="455" t="str">
        <f t="shared" si="23"/>
        <v>(2,1,1,2,1,1); Industry data (French tender) PET</v>
      </c>
      <c r="P45" s="440">
        <f t="shared" si="73"/>
        <v>0.34544612880562098</v>
      </c>
      <c r="Q45" s="336">
        <v>1</v>
      </c>
      <c r="R45" s="337">
        <f t="shared" si="24"/>
        <v>1.0722009304576894</v>
      </c>
      <c r="S45" s="455" t="str">
        <f t="shared" si="25"/>
        <v>(2,1,1,2,1,1); Industry data (French tender) PET</v>
      </c>
      <c r="T45" s="440">
        <f t="shared" si="74"/>
        <v>0</v>
      </c>
      <c r="U45" s="336">
        <v>1</v>
      </c>
      <c r="V45" s="337">
        <f t="shared" si="26"/>
        <v>1.0722009304576894</v>
      </c>
      <c r="W45" s="455" t="str">
        <f t="shared" si="27"/>
        <v>(2,1,1,2,1,1); Industry data (French tender) PET</v>
      </c>
      <c r="X45" s="440">
        <f t="shared" si="75"/>
        <v>0</v>
      </c>
      <c r="Y45" s="336">
        <v>1</v>
      </c>
      <c r="Z45" s="337">
        <f t="shared" si="28"/>
        <v>1.0722009304576894</v>
      </c>
      <c r="AA45" s="437" t="str">
        <f t="shared" si="29"/>
        <v>(2,1,1,2,1,1); Industry data (French tender) PET</v>
      </c>
      <c r="AB45" s="435">
        <f t="shared" si="89"/>
        <v>0</v>
      </c>
      <c r="AC45" s="95">
        <v>1</v>
      </c>
      <c r="AD45" s="96">
        <f t="shared" si="30"/>
        <v>1.0722009304576894</v>
      </c>
      <c r="AE45" s="432" t="str">
        <f t="shared" si="31"/>
        <v>(2,1,1,2,1,1); Industry data (French tender) PET</v>
      </c>
      <c r="AF45" s="435">
        <f t="shared" si="76"/>
        <v>0.347647714285714</v>
      </c>
      <c r="AG45" s="95">
        <v>1</v>
      </c>
      <c r="AH45" s="96">
        <f t="shared" si="32"/>
        <v>1.0722009304576894</v>
      </c>
      <c r="AI45" s="457" t="str">
        <f t="shared" si="33"/>
        <v>(2,1,1,2,1,1); Industry data (French tender) PET</v>
      </c>
      <c r="AJ45" s="435">
        <f t="shared" si="77"/>
        <v>0.34544612880562098</v>
      </c>
      <c r="AK45" s="95">
        <v>1</v>
      </c>
      <c r="AL45" s="96">
        <f t="shared" si="34"/>
        <v>1.0722009304576894</v>
      </c>
      <c r="AM45" s="457" t="str">
        <f t="shared" si="35"/>
        <v>(2,1,1,2,1,1); Industry data (French tender) PET</v>
      </c>
      <c r="AN45" s="435">
        <f t="shared" si="78"/>
        <v>0</v>
      </c>
      <c r="AO45" s="95">
        <v>1</v>
      </c>
      <c r="AP45" s="96">
        <f t="shared" si="36"/>
        <v>1.0722009304576894</v>
      </c>
      <c r="AQ45" s="457" t="str">
        <f t="shared" si="37"/>
        <v>(2,1,1,2,1,1); Industry data (French tender) PET</v>
      </c>
      <c r="AR45" s="435">
        <f t="shared" si="79"/>
        <v>0</v>
      </c>
      <c r="AS45" s="95">
        <v>1</v>
      </c>
      <c r="AT45" s="96">
        <f t="shared" si="38"/>
        <v>1.0722009304576894</v>
      </c>
      <c r="AU45" s="457" t="str">
        <f t="shared" si="39"/>
        <v>(2,1,1,2,1,1); Industry data (French tender) PET</v>
      </c>
      <c r="AV45" s="435">
        <v>0</v>
      </c>
      <c r="AW45" s="95">
        <v>1</v>
      </c>
      <c r="AX45" s="96">
        <f t="shared" si="40"/>
        <v>1.0722009304576894</v>
      </c>
      <c r="AY45" s="432" t="str">
        <f t="shared" si="41"/>
        <v>(2,1,1,2,1,1); Industry data (French tender) PET</v>
      </c>
      <c r="AZ45" s="435">
        <f t="shared" si="80"/>
        <v>0.347647714285714</v>
      </c>
      <c r="BA45" s="95">
        <v>1</v>
      </c>
      <c r="BB45" s="96">
        <f t="shared" si="42"/>
        <v>1.0722009304576894</v>
      </c>
      <c r="BC45" s="457" t="str">
        <f t="shared" si="43"/>
        <v>(2,1,1,2,1,1); Industry data (French tender) PET</v>
      </c>
      <c r="BD45" s="435">
        <f t="shared" si="81"/>
        <v>0.34544612880562098</v>
      </c>
      <c r="BE45" s="95">
        <v>1</v>
      </c>
      <c r="BF45" s="96">
        <f t="shared" si="44"/>
        <v>1.0722009304576894</v>
      </c>
      <c r="BG45" s="457" t="str">
        <f t="shared" si="45"/>
        <v>(2,1,1,2,1,1); Industry data (French tender) PET</v>
      </c>
      <c r="BH45" s="435">
        <f t="shared" si="82"/>
        <v>0</v>
      </c>
      <c r="BI45" s="95">
        <v>1</v>
      </c>
      <c r="BJ45" s="96">
        <f t="shared" si="46"/>
        <v>1.0722009304576894</v>
      </c>
      <c r="BK45" s="457" t="str">
        <f t="shared" si="47"/>
        <v>(2,1,1,2,1,1); Industry data (French tender) PET</v>
      </c>
      <c r="BL45" s="435">
        <f t="shared" si="83"/>
        <v>0</v>
      </c>
      <c r="BM45" s="95">
        <v>1</v>
      </c>
      <c r="BN45" s="96">
        <f t="shared" si="48"/>
        <v>1.0722009304576894</v>
      </c>
      <c r="BO45" s="457" t="str">
        <f t="shared" si="49"/>
        <v>(2,1,1,2,1,1); Industry data (French tender) PET</v>
      </c>
      <c r="BP45" s="435">
        <f t="shared" si="88"/>
        <v>0</v>
      </c>
      <c r="BQ45" s="95">
        <v>1</v>
      </c>
      <c r="BR45" s="96">
        <f t="shared" si="50"/>
        <v>1.0722009304576894</v>
      </c>
      <c r="BS45" s="432" t="str">
        <f t="shared" si="51"/>
        <v>(2,1,1,2,1,1); Industry data (French tender) PET</v>
      </c>
      <c r="BT45" s="435">
        <f t="shared" si="84"/>
        <v>0.347647714285714</v>
      </c>
      <c r="BU45" s="95">
        <v>1</v>
      </c>
      <c r="BV45" s="96">
        <f t="shared" si="52"/>
        <v>1.0722009304576894</v>
      </c>
      <c r="BW45" s="457" t="str">
        <f t="shared" si="53"/>
        <v>(2,1,1,2,1,1); Industry data (French tender) PET</v>
      </c>
      <c r="BX45" s="435">
        <f t="shared" si="85"/>
        <v>0.34544612880562098</v>
      </c>
      <c r="BY45" s="95">
        <v>1</v>
      </c>
      <c r="BZ45" s="96">
        <f t="shared" si="54"/>
        <v>1.0722009304576894</v>
      </c>
      <c r="CA45" s="457" t="str">
        <f t="shared" si="55"/>
        <v>(2,1,1,2,1,1); Industry data (French tender) PET</v>
      </c>
      <c r="CB45" s="435">
        <f t="shared" si="86"/>
        <v>0</v>
      </c>
      <c r="CC45" s="95">
        <v>1</v>
      </c>
      <c r="CD45" s="96">
        <f t="shared" si="56"/>
        <v>1.0722009304576894</v>
      </c>
      <c r="CE45" s="457" t="str">
        <f t="shared" si="57"/>
        <v>(2,1,1,2,1,1); Industry data (French tender) PET</v>
      </c>
      <c r="CF45" s="435">
        <f t="shared" si="87"/>
        <v>0</v>
      </c>
      <c r="CG45" s="95">
        <v>1</v>
      </c>
      <c r="CH45" s="96">
        <f t="shared" si="58"/>
        <v>1.0722009304576894</v>
      </c>
      <c r="CI45" s="457" t="str">
        <f t="shared" si="59"/>
        <v>(2,1,1,2,1,1); Industry data (French tender) PET</v>
      </c>
      <c r="CJ45" s="435">
        <v>0</v>
      </c>
      <c r="CK45" s="95">
        <v>1</v>
      </c>
      <c r="CL45" s="96">
        <f t="shared" si="60"/>
        <v>1.0722009304576894</v>
      </c>
      <c r="CM45" s="437" t="str">
        <f t="shared" si="61"/>
        <v>(2,1,1,2,1,1); Industry data (French tender) PET</v>
      </c>
      <c r="CN45" s="435">
        <v>0</v>
      </c>
      <c r="CO45" s="95">
        <v>1</v>
      </c>
      <c r="CP45" s="96">
        <f t="shared" si="62"/>
        <v>1.2434566510799234</v>
      </c>
      <c r="CQ45" s="457" t="str">
        <f t="shared" si="63"/>
        <v xml:space="preserve">(2,4,1,3,1,5); </v>
      </c>
      <c r="CR45" s="435">
        <v>0</v>
      </c>
      <c r="CS45" s="95">
        <v>1</v>
      </c>
      <c r="CT45" s="96">
        <f t="shared" si="64"/>
        <v>1.2434566510799234</v>
      </c>
      <c r="CU45" s="432" t="str">
        <f t="shared" si="65"/>
        <v xml:space="preserve">(2,4,1,3,1,5); </v>
      </c>
      <c r="CV45" s="399"/>
      <c r="CW45" s="435">
        <f>0.347647714285714</f>
        <v>0.347647714285714</v>
      </c>
      <c r="CX45" s="435">
        <v>0.34544612880562098</v>
      </c>
      <c r="CY45" s="435"/>
      <c r="CZ45" s="435"/>
      <c r="DA45" s="692" t="s">
        <v>1187</v>
      </c>
      <c r="DB45" s="83">
        <v>2</v>
      </c>
      <c r="DC45" s="83">
        <v>1</v>
      </c>
      <c r="DD45" s="83">
        <v>1</v>
      </c>
      <c r="DE45" s="83">
        <v>2</v>
      </c>
      <c r="DF45" s="83">
        <v>1</v>
      </c>
      <c r="DG45" s="83">
        <v>1</v>
      </c>
      <c r="DH45" s="104">
        <v>3</v>
      </c>
      <c r="DI45" s="104">
        <v>1.05</v>
      </c>
      <c r="DJ45" s="107">
        <f t="shared" si="66"/>
        <v>1.0510550504206344</v>
      </c>
      <c r="DK45" s="107">
        <f t="shared" si="67"/>
        <v>1.0722009304576894</v>
      </c>
      <c r="DL45" s="107" t="str">
        <f t="shared" si="68"/>
        <v>(2,1,1,2,1,1)</v>
      </c>
      <c r="DM45" s="108">
        <v>1.05</v>
      </c>
      <c r="DN45" s="108">
        <v>1</v>
      </c>
      <c r="DO45" s="108">
        <v>1</v>
      </c>
      <c r="DP45" s="108">
        <v>1.01</v>
      </c>
      <c r="DQ45" s="108">
        <v>1</v>
      </c>
      <c r="DR45" s="108">
        <v>1</v>
      </c>
      <c r="DS45" s="399"/>
      <c r="DT45" s="692"/>
      <c r="DU45" s="83">
        <v>2</v>
      </c>
      <c r="DV45" s="83">
        <v>4</v>
      </c>
      <c r="DW45" s="83">
        <v>1</v>
      </c>
      <c r="DX45" s="83">
        <v>3</v>
      </c>
      <c r="DY45" s="83">
        <v>1</v>
      </c>
      <c r="DZ45" s="83">
        <v>5</v>
      </c>
      <c r="EA45" s="104">
        <v>3</v>
      </c>
      <c r="EB45" s="104">
        <v>1.05</v>
      </c>
      <c r="EC45" s="107">
        <f t="shared" si="69"/>
        <v>1.2365959919080913</v>
      </c>
      <c r="ED45" s="107">
        <f t="shared" si="70"/>
        <v>1.2434566510799234</v>
      </c>
      <c r="EE45" s="107" t="str">
        <f t="shared" si="71"/>
        <v>(2,4,1,3,1,5)</v>
      </c>
      <c r="EF45" s="108">
        <v>1.05</v>
      </c>
      <c r="EG45" s="108">
        <v>1.1000000000000001</v>
      </c>
      <c r="EH45" s="108">
        <v>1</v>
      </c>
      <c r="EI45" s="108">
        <v>1.02</v>
      </c>
      <c r="EJ45" s="108">
        <v>1</v>
      </c>
      <c r="EK45" s="108">
        <v>1.2</v>
      </c>
    </row>
    <row r="46" spans="1:141" ht="24">
      <c r="A46" s="330">
        <v>268437</v>
      </c>
      <c r="B46" s="216"/>
      <c r="C46" s="334"/>
      <c r="D46" s="515">
        <v>5</v>
      </c>
      <c r="E46" s="343" t="s">
        <v>98</v>
      </c>
      <c r="F46" s="437" t="s">
        <v>1188</v>
      </c>
      <c r="G46" s="438" t="s">
        <v>93</v>
      </c>
      <c r="H46" s="455" t="s">
        <v>98</v>
      </c>
      <c r="I46" s="455" t="s">
        <v>98</v>
      </c>
      <c r="J46" s="336">
        <v>0</v>
      </c>
      <c r="K46" s="438" t="s">
        <v>96</v>
      </c>
      <c r="L46" s="440">
        <f t="shared" si="72"/>
        <v>0.89505854800936702</v>
      </c>
      <c r="M46" s="336">
        <v>1</v>
      </c>
      <c r="N46" s="337">
        <f t="shared" si="22"/>
        <v>1.0722009304576894</v>
      </c>
      <c r="O46" s="455" t="str">
        <f t="shared" si="23"/>
        <v>(2,1,1,2,1,1); Industry data (French tender) Encapsulant</v>
      </c>
      <c r="P46" s="440">
        <f t="shared" si="73"/>
        <v>1.0551756440280999</v>
      </c>
      <c r="Q46" s="336">
        <v>1</v>
      </c>
      <c r="R46" s="337">
        <f t="shared" si="24"/>
        <v>1.0722009304576894</v>
      </c>
      <c r="S46" s="455" t="str">
        <f t="shared" si="25"/>
        <v>(2,1,1,2,1,1); Industry data (French tender) Encapsulant</v>
      </c>
      <c r="T46" s="440">
        <f t="shared" si="74"/>
        <v>1.15010091743119</v>
      </c>
      <c r="U46" s="336">
        <v>1</v>
      </c>
      <c r="V46" s="337">
        <f t="shared" si="26"/>
        <v>1.0722009304576894</v>
      </c>
      <c r="W46" s="455" t="str">
        <f t="shared" si="27"/>
        <v>(2,1,1,2,1,1); Industry data (French tender) Encapsulant</v>
      </c>
      <c r="X46" s="440">
        <f t="shared" si="75"/>
        <v>0.96322222222222198</v>
      </c>
      <c r="Y46" s="336">
        <v>1</v>
      </c>
      <c r="Z46" s="337">
        <f t="shared" si="28"/>
        <v>1.0722009304576894</v>
      </c>
      <c r="AA46" s="437" t="str">
        <f t="shared" si="29"/>
        <v>(2,1,1,2,1,1); Industry data (French tender) Encapsulant</v>
      </c>
      <c r="AB46" s="435">
        <f t="shared" si="89"/>
        <v>0.96322222222222198</v>
      </c>
      <c r="AC46" s="95">
        <v>1</v>
      </c>
      <c r="AD46" s="96">
        <f t="shared" si="30"/>
        <v>1.0722009304576894</v>
      </c>
      <c r="AE46" s="432" t="str">
        <f t="shared" si="31"/>
        <v>(2,1,1,2,1,1); Industry data (French tender) Encapsulant</v>
      </c>
      <c r="AF46" s="435">
        <f t="shared" si="76"/>
        <v>0.89505854800936702</v>
      </c>
      <c r="AG46" s="95">
        <v>1</v>
      </c>
      <c r="AH46" s="96">
        <f t="shared" si="32"/>
        <v>1.0722009304576894</v>
      </c>
      <c r="AI46" s="457" t="str">
        <f t="shared" si="33"/>
        <v>(2,1,1,2,1,1); Industry data (French tender) Encapsulant</v>
      </c>
      <c r="AJ46" s="435">
        <f t="shared" si="77"/>
        <v>1.0551756440280999</v>
      </c>
      <c r="AK46" s="95">
        <v>1</v>
      </c>
      <c r="AL46" s="96">
        <f t="shared" si="34"/>
        <v>1.0722009304576894</v>
      </c>
      <c r="AM46" s="457" t="str">
        <f t="shared" si="35"/>
        <v>(2,1,1,2,1,1); Industry data (French tender) Encapsulant</v>
      </c>
      <c r="AN46" s="435">
        <f t="shared" si="78"/>
        <v>1.15010091743119</v>
      </c>
      <c r="AO46" s="95">
        <v>1</v>
      </c>
      <c r="AP46" s="96">
        <f t="shared" si="36"/>
        <v>1.0722009304576894</v>
      </c>
      <c r="AQ46" s="457" t="str">
        <f t="shared" si="37"/>
        <v>(2,1,1,2,1,1); Industry data (French tender) Encapsulant</v>
      </c>
      <c r="AR46" s="435">
        <f t="shared" si="79"/>
        <v>0.96322222222222198</v>
      </c>
      <c r="AS46" s="95">
        <v>1</v>
      </c>
      <c r="AT46" s="96">
        <f t="shared" si="38"/>
        <v>1.0722009304576894</v>
      </c>
      <c r="AU46" s="457" t="str">
        <f t="shared" si="39"/>
        <v>(2,1,1,2,1,1); Industry data (French tender) Encapsulant</v>
      </c>
      <c r="AV46" s="435">
        <f>AB46</f>
        <v>0.96322222222222198</v>
      </c>
      <c r="AW46" s="95">
        <v>1</v>
      </c>
      <c r="AX46" s="96">
        <f t="shared" si="40"/>
        <v>1.0722009304576894</v>
      </c>
      <c r="AY46" s="432" t="str">
        <f t="shared" si="41"/>
        <v>(2,1,1,2,1,1); Industry data (French tender) Encapsulant</v>
      </c>
      <c r="AZ46" s="435">
        <f t="shared" si="80"/>
        <v>0.89505854800936702</v>
      </c>
      <c r="BA46" s="95">
        <v>1</v>
      </c>
      <c r="BB46" s="96">
        <f t="shared" si="42"/>
        <v>1.0722009304576894</v>
      </c>
      <c r="BC46" s="457" t="str">
        <f t="shared" si="43"/>
        <v>(2,1,1,2,1,1); Industry data (French tender) Encapsulant</v>
      </c>
      <c r="BD46" s="435">
        <f t="shared" si="81"/>
        <v>1.0551756440280999</v>
      </c>
      <c r="BE46" s="95">
        <v>1</v>
      </c>
      <c r="BF46" s="96">
        <f t="shared" si="44"/>
        <v>1.0722009304576894</v>
      </c>
      <c r="BG46" s="457" t="str">
        <f t="shared" si="45"/>
        <v>(2,1,1,2,1,1); Industry data (French tender) Encapsulant</v>
      </c>
      <c r="BH46" s="435">
        <f t="shared" si="82"/>
        <v>1.15010091743119</v>
      </c>
      <c r="BI46" s="95">
        <v>1</v>
      </c>
      <c r="BJ46" s="96">
        <f t="shared" si="46"/>
        <v>1.0722009304576894</v>
      </c>
      <c r="BK46" s="457" t="str">
        <f t="shared" si="47"/>
        <v>(2,1,1,2,1,1); Industry data (French tender) Encapsulant</v>
      </c>
      <c r="BL46" s="435">
        <f t="shared" si="83"/>
        <v>0.96322222222222198</v>
      </c>
      <c r="BM46" s="95">
        <v>1</v>
      </c>
      <c r="BN46" s="96">
        <f t="shared" si="48"/>
        <v>1.0722009304576894</v>
      </c>
      <c r="BO46" s="457" t="str">
        <f t="shared" si="49"/>
        <v>(2,1,1,2,1,1); Industry data (French tender) Encapsulant</v>
      </c>
      <c r="BP46" s="435">
        <f t="shared" si="88"/>
        <v>0.96322222222222198</v>
      </c>
      <c r="BQ46" s="95">
        <v>1</v>
      </c>
      <c r="BR46" s="96">
        <f t="shared" si="50"/>
        <v>1.0722009304576894</v>
      </c>
      <c r="BS46" s="432" t="str">
        <f t="shared" si="51"/>
        <v>(2,1,1,2,1,1); Industry data (French tender) Encapsulant</v>
      </c>
      <c r="BT46" s="435">
        <f t="shared" si="84"/>
        <v>0.89505854800936702</v>
      </c>
      <c r="BU46" s="95">
        <v>1</v>
      </c>
      <c r="BV46" s="96">
        <f t="shared" si="52"/>
        <v>1.0722009304576894</v>
      </c>
      <c r="BW46" s="457" t="str">
        <f t="shared" si="53"/>
        <v>(2,1,1,2,1,1); Industry data (French tender) Encapsulant</v>
      </c>
      <c r="BX46" s="435">
        <f t="shared" si="85"/>
        <v>1.0551756440280999</v>
      </c>
      <c r="BY46" s="95">
        <v>1</v>
      </c>
      <c r="BZ46" s="96">
        <f t="shared" si="54"/>
        <v>1.0722009304576894</v>
      </c>
      <c r="CA46" s="457" t="str">
        <f t="shared" si="55"/>
        <v>(2,1,1,2,1,1); Industry data (French tender) Encapsulant</v>
      </c>
      <c r="CB46" s="435">
        <f t="shared" si="86"/>
        <v>1.15010091743119</v>
      </c>
      <c r="CC46" s="95">
        <v>1</v>
      </c>
      <c r="CD46" s="96">
        <f t="shared" si="56"/>
        <v>1.0722009304576894</v>
      </c>
      <c r="CE46" s="457" t="str">
        <f t="shared" si="57"/>
        <v>(2,1,1,2,1,1); Industry data (French tender) Encapsulant</v>
      </c>
      <c r="CF46" s="435">
        <f t="shared" si="87"/>
        <v>0.96322222222222198</v>
      </c>
      <c r="CG46" s="95">
        <v>1</v>
      </c>
      <c r="CH46" s="96">
        <f t="shared" si="58"/>
        <v>1.0722009304576894</v>
      </c>
      <c r="CI46" s="457" t="str">
        <f t="shared" si="59"/>
        <v>(2,1,1,2,1,1); Industry data (French tender) Encapsulant</v>
      </c>
      <c r="CJ46" s="435">
        <f>CF46</f>
        <v>0.96322222222222198</v>
      </c>
      <c r="CK46" s="95">
        <v>1</v>
      </c>
      <c r="CL46" s="96">
        <f t="shared" si="60"/>
        <v>1.0722009304576894</v>
      </c>
      <c r="CM46" s="437" t="str">
        <f t="shared" si="61"/>
        <v>(2,1,1,2,1,1); Industry data (French tender) Encapsulant</v>
      </c>
      <c r="CN46" s="435">
        <v>0</v>
      </c>
      <c r="CO46" s="95">
        <v>1</v>
      </c>
      <c r="CP46" s="96">
        <f t="shared" si="62"/>
        <v>1.2434566510799234</v>
      </c>
      <c r="CQ46" s="457" t="str">
        <f t="shared" si="63"/>
        <v xml:space="preserve">(2,4,1,3,1,5); </v>
      </c>
      <c r="CR46" s="435">
        <v>0</v>
      </c>
      <c r="CS46" s="95">
        <v>1</v>
      </c>
      <c r="CT46" s="96">
        <f t="shared" si="64"/>
        <v>1.2434566510799234</v>
      </c>
      <c r="CU46" s="432" t="str">
        <f t="shared" si="65"/>
        <v xml:space="preserve">(2,4,1,3,1,5); </v>
      </c>
      <c r="CV46" s="399"/>
      <c r="CW46" s="435">
        <v>0.89505854800936702</v>
      </c>
      <c r="CX46" s="435">
        <v>1.0551756440280999</v>
      </c>
      <c r="CY46" s="435">
        <v>1.15010091743119</v>
      </c>
      <c r="CZ46" s="435">
        <v>0.96322222222222198</v>
      </c>
      <c r="DA46" s="692" t="s">
        <v>1189</v>
      </c>
      <c r="DB46" s="83">
        <v>2</v>
      </c>
      <c r="DC46" s="83">
        <v>1</v>
      </c>
      <c r="DD46" s="83">
        <v>1</v>
      </c>
      <c r="DE46" s="83">
        <v>2</v>
      </c>
      <c r="DF46" s="83">
        <v>1</v>
      </c>
      <c r="DG46" s="83">
        <v>1</v>
      </c>
      <c r="DH46" s="104">
        <v>3</v>
      </c>
      <c r="DI46" s="104">
        <v>1.05</v>
      </c>
      <c r="DJ46" s="107">
        <f t="shared" si="66"/>
        <v>1.0510550504206344</v>
      </c>
      <c r="DK46" s="107">
        <f t="shared" si="67"/>
        <v>1.0722009304576894</v>
      </c>
      <c r="DL46" s="107" t="str">
        <f t="shared" si="68"/>
        <v>(2,1,1,2,1,1)</v>
      </c>
      <c r="DM46" s="108">
        <v>1.05</v>
      </c>
      <c r="DN46" s="108">
        <v>1</v>
      </c>
      <c r="DO46" s="108">
        <v>1</v>
      </c>
      <c r="DP46" s="108">
        <v>1.01</v>
      </c>
      <c r="DQ46" s="108">
        <v>1</v>
      </c>
      <c r="DR46" s="108">
        <v>1</v>
      </c>
      <c r="DS46" s="399"/>
      <c r="DT46" s="692"/>
      <c r="DU46" s="83">
        <v>2</v>
      </c>
      <c r="DV46" s="83">
        <v>4</v>
      </c>
      <c r="DW46" s="83">
        <v>1</v>
      </c>
      <c r="DX46" s="83">
        <v>3</v>
      </c>
      <c r="DY46" s="83">
        <v>1</v>
      </c>
      <c r="DZ46" s="83">
        <v>5</v>
      </c>
      <c r="EA46" s="104">
        <v>3</v>
      </c>
      <c r="EB46" s="104">
        <v>1.05</v>
      </c>
      <c r="EC46" s="107">
        <f t="shared" si="69"/>
        <v>1.2365959919080913</v>
      </c>
      <c r="ED46" s="107">
        <f t="shared" si="70"/>
        <v>1.2434566510799234</v>
      </c>
      <c r="EE46" s="107" t="str">
        <f t="shared" si="71"/>
        <v>(2,4,1,3,1,5)</v>
      </c>
      <c r="EF46" s="108">
        <v>1.05</v>
      </c>
      <c r="EG46" s="108">
        <v>1.1000000000000001</v>
      </c>
      <c r="EH46" s="108">
        <v>1</v>
      </c>
      <c r="EI46" s="108">
        <v>1.02</v>
      </c>
      <c r="EJ46" s="108">
        <v>1</v>
      </c>
      <c r="EK46" s="108">
        <v>1.2</v>
      </c>
    </row>
    <row r="47" spans="1:141" ht="24">
      <c r="A47" s="330">
        <v>268443</v>
      </c>
      <c r="B47" s="216"/>
      <c r="C47" s="334"/>
      <c r="D47" s="515">
        <v>5</v>
      </c>
      <c r="E47" s="343" t="s">
        <v>98</v>
      </c>
      <c r="F47" s="437" t="s">
        <v>212</v>
      </c>
      <c r="G47" s="438" t="s">
        <v>215</v>
      </c>
      <c r="H47" s="455" t="s">
        <v>98</v>
      </c>
      <c r="I47" s="455" t="s">
        <v>98</v>
      </c>
      <c r="J47" s="336">
        <v>0</v>
      </c>
      <c r="K47" s="438" t="s">
        <v>96</v>
      </c>
      <c r="L47" s="440">
        <f t="shared" si="72"/>
        <v>3.4250585480093701E-2</v>
      </c>
      <c r="M47" s="336">
        <v>1</v>
      </c>
      <c r="N47" s="337">
        <f t="shared" si="22"/>
        <v>1.0722009304576894</v>
      </c>
      <c r="O47" s="455" t="str">
        <f t="shared" si="23"/>
        <v>(2,1,1,2,1,1); Industry data (French tender) Fluoresin</v>
      </c>
      <c r="P47" s="440">
        <f t="shared" si="73"/>
        <v>1.5679156908665101E-2</v>
      </c>
      <c r="Q47" s="336">
        <v>1</v>
      </c>
      <c r="R47" s="337">
        <f t="shared" si="24"/>
        <v>1.0722009304576894</v>
      </c>
      <c r="S47" s="455" t="str">
        <f t="shared" si="25"/>
        <v>(2,1,1,2,1,1); Industry data (French tender) Fluoresin</v>
      </c>
      <c r="T47" s="440">
        <f t="shared" si="74"/>
        <v>0</v>
      </c>
      <c r="U47" s="336">
        <v>1</v>
      </c>
      <c r="V47" s="337">
        <f t="shared" si="26"/>
        <v>1.0722009304576894</v>
      </c>
      <c r="W47" s="455" t="str">
        <f t="shared" si="27"/>
        <v>(2,1,1,2,1,1); Industry data (French tender) Fluoresin</v>
      </c>
      <c r="X47" s="440">
        <f t="shared" si="75"/>
        <v>0</v>
      </c>
      <c r="Y47" s="336">
        <v>1</v>
      </c>
      <c r="Z47" s="337">
        <f t="shared" si="28"/>
        <v>1.0722009304576894</v>
      </c>
      <c r="AA47" s="437" t="str">
        <f t="shared" si="29"/>
        <v>(2,1,1,2,1,1); Industry data (French tender) Fluoresin</v>
      </c>
      <c r="AB47" s="435">
        <f t="shared" si="89"/>
        <v>0</v>
      </c>
      <c r="AC47" s="95">
        <v>1</v>
      </c>
      <c r="AD47" s="96">
        <f t="shared" si="30"/>
        <v>1.0722009304576894</v>
      </c>
      <c r="AE47" s="432" t="str">
        <f t="shared" si="31"/>
        <v>(2,1,1,2,1,1); Industry data (French tender) Fluoresin</v>
      </c>
      <c r="AF47" s="435">
        <f t="shared" si="76"/>
        <v>3.4250585480093701E-2</v>
      </c>
      <c r="AG47" s="95">
        <v>1</v>
      </c>
      <c r="AH47" s="96">
        <f t="shared" si="32"/>
        <v>1.0722009304576894</v>
      </c>
      <c r="AI47" s="457" t="str">
        <f t="shared" si="33"/>
        <v>(2,1,1,2,1,1); Industry data (French tender) Fluoresin</v>
      </c>
      <c r="AJ47" s="435">
        <f t="shared" si="77"/>
        <v>1.5679156908665101E-2</v>
      </c>
      <c r="AK47" s="95">
        <v>1</v>
      </c>
      <c r="AL47" s="96">
        <f t="shared" si="34"/>
        <v>1.0722009304576894</v>
      </c>
      <c r="AM47" s="457" t="str">
        <f t="shared" si="35"/>
        <v>(2,1,1,2,1,1); Industry data (French tender) Fluoresin</v>
      </c>
      <c r="AN47" s="435">
        <f t="shared" si="78"/>
        <v>0</v>
      </c>
      <c r="AO47" s="95">
        <v>1</v>
      </c>
      <c r="AP47" s="96">
        <f t="shared" si="36"/>
        <v>1.0722009304576894</v>
      </c>
      <c r="AQ47" s="457" t="str">
        <f t="shared" si="37"/>
        <v>(2,1,1,2,1,1); Industry data (French tender) Fluoresin</v>
      </c>
      <c r="AR47" s="435">
        <f t="shared" si="79"/>
        <v>0</v>
      </c>
      <c r="AS47" s="95">
        <v>1</v>
      </c>
      <c r="AT47" s="96">
        <f t="shared" si="38"/>
        <v>1.0722009304576894</v>
      </c>
      <c r="AU47" s="457" t="str">
        <f t="shared" si="39"/>
        <v>(2,1,1,2,1,1); Industry data (French tender) Fluoresin</v>
      </c>
      <c r="AV47" s="435">
        <v>0</v>
      </c>
      <c r="AW47" s="95">
        <v>1</v>
      </c>
      <c r="AX47" s="96">
        <f t="shared" si="40"/>
        <v>1.0722009304576894</v>
      </c>
      <c r="AY47" s="432" t="str">
        <f t="shared" si="41"/>
        <v>(2,1,1,2,1,1); Industry data (French tender) Fluoresin</v>
      </c>
      <c r="AZ47" s="435">
        <f t="shared" si="80"/>
        <v>3.4250585480093701E-2</v>
      </c>
      <c r="BA47" s="95">
        <v>1</v>
      </c>
      <c r="BB47" s="96">
        <f t="shared" si="42"/>
        <v>1.0722009304576894</v>
      </c>
      <c r="BC47" s="457" t="str">
        <f t="shared" si="43"/>
        <v>(2,1,1,2,1,1); Industry data (French tender) Fluoresin</v>
      </c>
      <c r="BD47" s="435">
        <f t="shared" si="81"/>
        <v>1.5679156908665101E-2</v>
      </c>
      <c r="BE47" s="95">
        <v>1</v>
      </c>
      <c r="BF47" s="96">
        <f t="shared" si="44"/>
        <v>1.0722009304576894</v>
      </c>
      <c r="BG47" s="457" t="str">
        <f t="shared" si="45"/>
        <v>(2,1,1,2,1,1); Industry data (French tender) Fluoresin</v>
      </c>
      <c r="BH47" s="435">
        <f t="shared" si="82"/>
        <v>0</v>
      </c>
      <c r="BI47" s="95">
        <v>1</v>
      </c>
      <c r="BJ47" s="96">
        <f t="shared" si="46"/>
        <v>1.0722009304576894</v>
      </c>
      <c r="BK47" s="457" t="str">
        <f t="shared" si="47"/>
        <v>(2,1,1,2,1,1); Industry data (French tender) Fluoresin</v>
      </c>
      <c r="BL47" s="435">
        <f t="shared" si="83"/>
        <v>0</v>
      </c>
      <c r="BM47" s="95">
        <v>1</v>
      </c>
      <c r="BN47" s="96">
        <f t="shared" si="48"/>
        <v>1.0722009304576894</v>
      </c>
      <c r="BO47" s="457" t="str">
        <f t="shared" si="49"/>
        <v>(2,1,1,2,1,1); Industry data (French tender) Fluoresin</v>
      </c>
      <c r="BP47" s="435">
        <f t="shared" si="88"/>
        <v>0</v>
      </c>
      <c r="BQ47" s="95">
        <v>1</v>
      </c>
      <c r="BR47" s="96">
        <f t="shared" si="50"/>
        <v>1.0722009304576894</v>
      </c>
      <c r="BS47" s="432" t="str">
        <f t="shared" si="51"/>
        <v>(2,1,1,2,1,1); Industry data (French tender) Fluoresin</v>
      </c>
      <c r="BT47" s="435">
        <f t="shared" si="84"/>
        <v>3.4250585480093701E-2</v>
      </c>
      <c r="BU47" s="95">
        <v>1</v>
      </c>
      <c r="BV47" s="96">
        <f t="shared" si="52"/>
        <v>1.0722009304576894</v>
      </c>
      <c r="BW47" s="457" t="str">
        <f t="shared" si="53"/>
        <v>(2,1,1,2,1,1); Industry data (French tender) Fluoresin</v>
      </c>
      <c r="BX47" s="435">
        <f t="shared" si="85"/>
        <v>1.5679156908665101E-2</v>
      </c>
      <c r="BY47" s="95">
        <v>1</v>
      </c>
      <c r="BZ47" s="96">
        <f t="shared" si="54"/>
        <v>1.0722009304576894</v>
      </c>
      <c r="CA47" s="457" t="str">
        <f t="shared" si="55"/>
        <v>(2,1,1,2,1,1); Industry data (French tender) Fluoresin</v>
      </c>
      <c r="CB47" s="435">
        <f t="shared" si="86"/>
        <v>0</v>
      </c>
      <c r="CC47" s="95">
        <v>1</v>
      </c>
      <c r="CD47" s="96">
        <f t="shared" si="56"/>
        <v>1.0722009304576894</v>
      </c>
      <c r="CE47" s="457" t="str">
        <f t="shared" si="57"/>
        <v>(2,1,1,2,1,1); Industry data (French tender) Fluoresin</v>
      </c>
      <c r="CF47" s="435">
        <f t="shared" si="87"/>
        <v>0</v>
      </c>
      <c r="CG47" s="95">
        <v>1</v>
      </c>
      <c r="CH47" s="96">
        <f t="shared" si="58"/>
        <v>1.0722009304576894</v>
      </c>
      <c r="CI47" s="457" t="str">
        <f t="shared" si="59"/>
        <v>(2,1,1,2,1,1); Industry data (French tender) Fluoresin</v>
      </c>
      <c r="CJ47" s="435">
        <v>0</v>
      </c>
      <c r="CK47" s="95">
        <v>1</v>
      </c>
      <c r="CL47" s="96">
        <f t="shared" si="60"/>
        <v>1.0722009304576894</v>
      </c>
      <c r="CM47" s="437" t="str">
        <f t="shared" si="61"/>
        <v>(2,1,1,2,1,1); Industry data (French tender) Fluoresin</v>
      </c>
      <c r="CN47" s="435">
        <v>0</v>
      </c>
      <c r="CO47" s="95">
        <v>1</v>
      </c>
      <c r="CP47" s="96">
        <f t="shared" si="62"/>
        <v>1.2434566510799234</v>
      </c>
      <c r="CQ47" s="457" t="str">
        <f t="shared" si="63"/>
        <v xml:space="preserve">(2,4,1,3,1,5); </v>
      </c>
      <c r="CR47" s="435">
        <v>0</v>
      </c>
      <c r="CS47" s="95">
        <v>1</v>
      </c>
      <c r="CT47" s="96">
        <f t="shared" si="64"/>
        <v>1.2434566510799234</v>
      </c>
      <c r="CU47" s="432" t="str">
        <f t="shared" si="65"/>
        <v xml:space="preserve">(2,4,1,3,1,5); </v>
      </c>
      <c r="CV47" s="399"/>
      <c r="CW47" s="435">
        <v>3.4250585480093701E-2</v>
      </c>
      <c r="CX47" s="435">
        <v>1.5679156908665101E-2</v>
      </c>
      <c r="CY47" s="435"/>
      <c r="CZ47" s="435"/>
      <c r="DA47" s="692" t="s">
        <v>1190</v>
      </c>
      <c r="DB47" s="83">
        <v>2</v>
      </c>
      <c r="DC47" s="83">
        <v>1</v>
      </c>
      <c r="DD47" s="83">
        <v>1</v>
      </c>
      <c r="DE47" s="83">
        <v>2</v>
      </c>
      <c r="DF47" s="83">
        <v>1</v>
      </c>
      <c r="DG47" s="83">
        <v>1</v>
      </c>
      <c r="DH47" s="104">
        <v>3</v>
      </c>
      <c r="DI47" s="104">
        <v>1.05</v>
      </c>
      <c r="DJ47" s="107">
        <f t="shared" si="66"/>
        <v>1.0510550504206344</v>
      </c>
      <c r="DK47" s="107">
        <f t="shared" si="67"/>
        <v>1.0722009304576894</v>
      </c>
      <c r="DL47" s="107" t="str">
        <f t="shared" si="68"/>
        <v>(2,1,1,2,1,1)</v>
      </c>
      <c r="DM47" s="108">
        <v>1.05</v>
      </c>
      <c r="DN47" s="108">
        <v>1</v>
      </c>
      <c r="DO47" s="108">
        <v>1</v>
      </c>
      <c r="DP47" s="108">
        <v>1.01</v>
      </c>
      <c r="DQ47" s="108">
        <v>1</v>
      </c>
      <c r="DR47" s="108">
        <v>1</v>
      </c>
      <c r="DS47" s="399"/>
      <c r="DT47" s="692"/>
      <c r="DU47" s="83">
        <v>2</v>
      </c>
      <c r="DV47" s="83">
        <v>4</v>
      </c>
      <c r="DW47" s="83">
        <v>1</v>
      </c>
      <c r="DX47" s="83">
        <v>3</v>
      </c>
      <c r="DY47" s="83">
        <v>1</v>
      </c>
      <c r="DZ47" s="83">
        <v>5</v>
      </c>
      <c r="EA47" s="104">
        <v>3</v>
      </c>
      <c r="EB47" s="104">
        <v>1.05</v>
      </c>
      <c r="EC47" s="107">
        <f t="shared" si="69"/>
        <v>1.2365959919080913</v>
      </c>
      <c r="ED47" s="107">
        <f t="shared" si="70"/>
        <v>1.2434566510799234</v>
      </c>
      <c r="EE47" s="107" t="str">
        <f t="shared" si="71"/>
        <v>(2,4,1,3,1,5)</v>
      </c>
      <c r="EF47" s="108">
        <v>1.05</v>
      </c>
      <c r="EG47" s="108">
        <v>1.1000000000000001</v>
      </c>
      <c r="EH47" s="108">
        <v>1</v>
      </c>
      <c r="EI47" s="108">
        <v>1.02</v>
      </c>
      <c r="EJ47" s="108">
        <v>1</v>
      </c>
      <c r="EK47" s="108">
        <v>1.2</v>
      </c>
    </row>
    <row r="48" spans="1:141" s="171" customFormat="1" ht="36">
      <c r="A48" s="333">
        <v>268919</v>
      </c>
      <c r="B48" s="216" t="s">
        <v>1191</v>
      </c>
      <c r="C48" s="334"/>
      <c r="D48" s="515">
        <v>5</v>
      </c>
      <c r="E48" s="343" t="s">
        <v>98</v>
      </c>
      <c r="F48" s="437" t="s">
        <v>1192</v>
      </c>
      <c r="G48" s="438" t="s">
        <v>93</v>
      </c>
      <c r="H48" s="455" t="s">
        <v>98</v>
      </c>
      <c r="I48" s="455" t="s">
        <v>98</v>
      </c>
      <c r="J48" s="336">
        <v>0</v>
      </c>
      <c r="K48" s="438" t="s">
        <v>96</v>
      </c>
      <c r="L48" s="440">
        <f t="shared" si="72"/>
        <v>6.5313583138173301E-2</v>
      </c>
      <c r="M48" s="336">
        <v>1</v>
      </c>
      <c r="N48" s="337">
        <f t="shared" si="22"/>
        <v>1.0722009304576894</v>
      </c>
      <c r="O48" s="455" t="str">
        <f t="shared" si="23"/>
        <v>(2,1,1,2,1,1); Industry data (French tender) Junction box plastic + Junction box connector</v>
      </c>
      <c r="P48" s="440">
        <f t="shared" si="73"/>
        <v>5.1342388758782199E-2</v>
      </c>
      <c r="Q48" s="336">
        <v>1</v>
      </c>
      <c r="R48" s="337">
        <f t="shared" si="24"/>
        <v>1.0722009304576894</v>
      </c>
      <c r="S48" s="455" t="str">
        <f t="shared" si="25"/>
        <v>(2,1,1,2,1,1); Industry data (French tender) Junction box plastic + Junction box connector</v>
      </c>
      <c r="T48" s="440">
        <f t="shared" si="74"/>
        <v>2.9270336391437349E-2</v>
      </c>
      <c r="U48" s="336">
        <v>1</v>
      </c>
      <c r="V48" s="337">
        <f t="shared" si="26"/>
        <v>1.0722009304576894</v>
      </c>
      <c r="W48" s="455" t="str">
        <f t="shared" si="27"/>
        <v>(2,1,1,2,1,1); Industry data (French tender) Junction box plastic + Junction box connector</v>
      </c>
      <c r="X48" s="440">
        <f t="shared" si="75"/>
        <v>3.8593959007551304E-2</v>
      </c>
      <c r="Y48" s="336">
        <v>1</v>
      </c>
      <c r="Z48" s="337">
        <f t="shared" si="28"/>
        <v>1.0722009304576894</v>
      </c>
      <c r="AA48" s="437" t="str">
        <f t="shared" si="29"/>
        <v>(2,1,1,2,1,1); Industry data (French tender) Junction box plastic + Junction box connector</v>
      </c>
      <c r="AB48" s="440">
        <f t="shared" si="89"/>
        <v>3.8593959007551304E-2</v>
      </c>
      <c r="AC48" s="336">
        <v>1</v>
      </c>
      <c r="AD48" s="337">
        <f t="shared" si="30"/>
        <v>1.0722009304576894</v>
      </c>
      <c r="AE48" s="437" t="str">
        <f t="shared" si="31"/>
        <v>(2,1,1,2,1,1); Industry data (French tender) Junction box plastic + Junction box connector</v>
      </c>
      <c r="AF48" s="440">
        <f t="shared" si="76"/>
        <v>6.5313583138173301E-2</v>
      </c>
      <c r="AG48" s="336">
        <v>1</v>
      </c>
      <c r="AH48" s="337">
        <f t="shared" si="32"/>
        <v>1.0722009304576894</v>
      </c>
      <c r="AI48" s="455" t="str">
        <f t="shared" si="33"/>
        <v>(2,1,1,2,1,1); Industry data (French tender) Junction box plastic + Junction box connector</v>
      </c>
      <c r="AJ48" s="440">
        <f t="shared" si="77"/>
        <v>5.1342388758782199E-2</v>
      </c>
      <c r="AK48" s="336">
        <v>1</v>
      </c>
      <c r="AL48" s="337">
        <f t="shared" si="34"/>
        <v>1.0722009304576894</v>
      </c>
      <c r="AM48" s="455" t="str">
        <f t="shared" si="35"/>
        <v>(2,1,1,2,1,1); Industry data (French tender) Junction box plastic + Junction box connector</v>
      </c>
      <c r="AN48" s="440">
        <f t="shared" si="78"/>
        <v>2.9270336391437349E-2</v>
      </c>
      <c r="AO48" s="336">
        <v>1</v>
      </c>
      <c r="AP48" s="337">
        <f t="shared" si="36"/>
        <v>1.0722009304576894</v>
      </c>
      <c r="AQ48" s="455" t="str">
        <f t="shared" si="37"/>
        <v>(2,1,1,2,1,1); Industry data (French tender) Junction box plastic + Junction box connector</v>
      </c>
      <c r="AR48" s="440">
        <f t="shared" si="79"/>
        <v>3.8593959007551304E-2</v>
      </c>
      <c r="AS48" s="336">
        <v>1</v>
      </c>
      <c r="AT48" s="337">
        <f t="shared" si="38"/>
        <v>1.0722009304576894</v>
      </c>
      <c r="AU48" s="455" t="str">
        <f t="shared" si="39"/>
        <v>(2,1,1,2,1,1); Industry data (French tender) Junction box plastic + Junction box connector</v>
      </c>
      <c r="AV48" s="440">
        <f>AB48</f>
        <v>3.8593959007551304E-2</v>
      </c>
      <c r="AW48" s="336">
        <v>1</v>
      </c>
      <c r="AX48" s="337">
        <f t="shared" si="40"/>
        <v>1.0722009304576894</v>
      </c>
      <c r="AY48" s="437" t="str">
        <f t="shared" si="41"/>
        <v>(2,1,1,2,1,1); Industry data (French tender) Junction box plastic + Junction box connector</v>
      </c>
      <c r="AZ48" s="440">
        <f t="shared" si="80"/>
        <v>6.5313583138173301E-2</v>
      </c>
      <c r="BA48" s="336">
        <v>1</v>
      </c>
      <c r="BB48" s="337">
        <f t="shared" si="42"/>
        <v>1.0722009304576894</v>
      </c>
      <c r="BC48" s="455" t="str">
        <f t="shared" si="43"/>
        <v>(2,1,1,2,1,1); Industry data (French tender) Junction box plastic + Junction box connector</v>
      </c>
      <c r="BD48" s="440">
        <f t="shared" si="81"/>
        <v>5.1342388758782199E-2</v>
      </c>
      <c r="BE48" s="336">
        <v>1</v>
      </c>
      <c r="BF48" s="337">
        <f t="shared" si="44"/>
        <v>1.0722009304576894</v>
      </c>
      <c r="BG48" s="455" t="str">
        <f t="shared" si="45"/>
        <v>(2,1,1,2,1,1); Industry data (French tender) Junction box plastic + Junction box connector</v>
      </c>
      <c r="BH48" s="440">
        <f t="shared" si="82"/>
        <v>2.9270336391437349E-2</v>
      </c>
      <c r="BI48" s="336">
        <v>1</v>
      </c>
      <c r="BJ48" s="337">
        <f t="shared" si="46"/>
        <v>1.0722009304576894</v>
      </c>
      <c r="BK48" s="455" t="str">
        <f t="shared" si="47"/>
        <v>(2,1,1,2,1,1); Industry data (French tender) Junction box plastic + Junction box connector</v>
      </c>
      <c r="BL48" s="440">
        <f t="shared" si="83"/>
        <v>3.8593959007551304E-2</v>
      </c>
      <c r="BM48" s="336">
        <v>1</v>
      </c>
      <c r="BN48" s="337">
        <f t="shared" si="48"/>
        <v>1.0722009304576894</v>
      </c>
      <c r="BO48" s="455" t="str">
        <f t="shared" si="49"/>
        <v>(2,1,1,2,1,1); Industry data (French tender) Junction box plastic + Junction box connector</v>
      </c>
      <c r="BP48" s="440">
        <f t="shared" si="88"/>
        <v>3.8593959007551304E-2</v>
      </c>
      <c r="BQ48" s="336">
        <v>1</v>
      </c>
      <c r="BR48" s="337">
        <f t="shared" si="50"/>
        <v>1.0722009304576894</v>
      </c>
      <c r="BS48" s="437" t="str">
        <f t="shared" si="51"/>
        <v>(2,1,1,2,1,1); Industry data (French tender) Junction box plastic + Junction box connector</v>
      </c>
      <c r="BT48" s="440">
        <f t="shared" si="84"/>
        <v>6.5313583138173301E-2</v>
      </c>
      <c r="BU48" s="336">
        <v>1</v>
      </c>
      <c r="BV48" s="337">
        <f t="shared" si="52"/>
        <v>1.0722009304576894</v>
      </c>
      <c r="BW48" s="455" t="str">
        <f t="shared" si="53"/>
        <v>(2,1,1,2,1,1); Industry data (French tender) Junction box plastic + Junction box connector</v>
      </c>
      <c r="BX48" s="440">
        <f t="shared" si="85"/>
        <v>5.1342388758782199E-2</v>
      </c>
      <c r="BY48" s="336">
        <v>1</v>
      </c>
      <c r="BZ48" s="337">
        <f t="shared" si="54"/>
        <v>1.0722009304576894</v>
      </c>
      <c r="CA48" s="455" t="str">
        <f t="shared" si="55"/>
        <v>(2,1,1,2,1,1); Industry data (French tender) Junction box plastic + Junction box connector</v>
      </c>
      <c r="CB48" s="440">
        <f t="shared" si="86"/>
        <v>2.9270336391437349E-2</v>
      </c>
      <c r="CC48" s="336">
        <v>1</v>
      </c>
      <c r="CD48" s="337">
        <f t="shared" si="56"/>
        <v>1.0722009304576894</v>
      </c>
      <c r="CE48" s="455" t="str">
        <f t="shared" si="57"/>
        <v>(2,1,1,2,1,1); Industry data (French tender) Junction box plastic + Junction box connector</v>
      </c>
      <c r="CF48" s="440">
        <f t="shared" si="87"/>
        <v>3.8593959007551304E-2</v>
      </c>
      <c r="CG48" s="336">
        <v>1</v>
      </c>
      <c r="CH48" s="337">
        <f t="shared" si="58"/>
        <v>1.0722009304576894</v>
      </c>
      <c r="CI48" s="455" t="str">
        <f t="shared" si="59"/>
        <v>(2,1,1,2,1,1); Industry data (French tender) Junction box plastic + Junction box connector</v>
      </c>
      <c r="CJ48" s="440">
        <f>CF48</f>
        <v>3.8593959007551304E-2</v>
      </c>
      <c r="CK48" s="336">
        <v>1</v>
      </c>
      <c r="CL48" s="337">
        <f t="shared" si="60"/>
        <v>1.0722009304576894</v>
      </c>
      <c r="CM48" s="437" t="str">
        <f t="shared" si="61"/>
        <v>(2,1,1,2,1,1); Industry data (French tender) Junction box plastic + Junction box connector</v>
      </c>
      <c r="CN48" s="440">
        <v>0.73899999999999999</v>
      </c>
      <c r="CO48" s="336">
        <v>1</v>
      </c>
      <c r="CP48" s="337">
        <f t="shared" si="62"/>
        <v>1.2434566510799234</v>
      </c>
      <c r="CQ48" s="455" t="str">
        <f t="shared" si="63"/>
        <v>(2,4,1,3,1,5); Brailovsky (2026) GP 08</v>
      </c>
      <c r="CR48" s="440">
        <v>0.73899999999999999</v>
      </c>
      <c r="CS48" s="336">
        <v>1</v>
      </c>
      <c r="CT48" s="337">
        <f t="shared" si="64"/>
        <v>1.2434566510799234</v>
      </c>
      <c r="CU48" s="437" t="str">
        <f t="shared" si="65"/>
        <v>(2,4,1,3,1,5); Brailovsky (2026) GP 08</v>
      </c>
      <c r="CW48" s="440">
        <f>0.0424679156908665+0.0228456674473068</f>
        <v>6.5313583138173301E-2</v>
      </c>
      <c r="CX48" s="440">
        <f>0.0327351288056206+0.0186072599531616</f>
        <v>5.1342388758782199E-2</v>
      </c>
      <c r="CY48" s="440">
        <f>0.0199831804281346+0.00928715596330275</f>
        <v>2.9270336391437349E-2</v>
      </c>
      <c r="CZ48" s="440">
        <f>0.0220659115426106+0.0165280474649407</f>
        <v>3.8593959007551304E-2</v>
      </c>
      <c r="DA48" s="691" t="s">
        <v>1193</v>
      </c>
      <c r="DB48" s="83">
        <v>2</v>
      </c>
      <c r="DC48" s="83">
        <v>1</v>
      </c>
      <c r="DD48" s="83">
        <v>1</v>
      </c>
      <c r="DE48" s="83">
        <v>2</v>
      </c>
      <c r="DF48" s="83">
        <v>1</v>
      </c>
      <c r="DG48" s="83">
        <v>1</v>
      </c>
      <c r="DH48" s="104">
        <v>3</v>
      </c>
      <c r="DI48" s="104">
        <v>1.05</v>
      </c>
      <c r="DJ48" s="107">
        <f t="shared" si="66"/>
        <v>1.0510550504206344</v>
      </c>
      <c r="DK48" s="107">
        <f t="shared" si="67"/>
        <v>1.0722009304576894</v>
      </c>
      <c r="DL48" s="107" t="str">
        <f t="shared" si="68"/>
        <v>(2,1,1,2,1,1)</v>
      </c>
      <c r="DM48" s="108">
        <v>1.05</v>
      </c>
      <c r="DN48" s="108">
        <v>1</v>
      </c>
      <c r="DO48" s="108">
        <v>1</v>
      </c>
      <c r="DP48" s="108">
        <v>1.01</v>
      </c>
      <c r="DQ48" s="108">
        <v>1</v>
      </c>
      <c r="DR48" s="108">
        <v>1</v>
      </c>
      <c r="DT48" s="691" t="s">
        <v>1171</v>
      </c>
      <c r="DU48" s="83">
        <v>2</v>
      </c>
      <c r="DV48" s="83">
        <v>4</v>
      </c>
      <c r="DW48" s="83">
        <v>1</v>
      </c>
      <c r="DX48" s="83">
        <v>3</v>
      </c>
      <c r="DY48" s="83">
        <v>1</v>
      </c>
      <c r="DZ48" s="83">
        <v>5</v>
      </c>
      <c r="EA48" s="104">
        <v>3</v>
      </c>
      <c r="EB48" s="104">
        <v>1.05</v>
      </c>
      <c r="EC48" s="107">
        <f t="shared" si="69"/>
        <v>1.2365959919080913</v>
      </c>
      <c r="ED48" s="107">
        <f t="shared" si="70"/>
        <v>1.2434566510799234</v>
      </c>
      <c r="EE48" s="107" t="str">
        <f t="shared" si="71"/>
        <v>(2,4,1,3,1,5)</v>
      </c>
      <c r="EF48" s="108">
        <v>1.05</v>
      </c>
      <c r="EG48" s="108">
        <v>1.1000000000000001</v>
      </c>
      <c r="EH48" s="108">
        <v>1</v>
      </c>
      <c r="EI48" s="108">
        <v>1.02</v>
      </c>
      <c r="EJ48" s="108">
        <v>1</v>
      </c>
      <c r="EK48" s="108">
        <v>1.2</v>
      </c>
    </row>
    <row r="49" spans="1:141" ht="36">
      <c r="A49" s="330">
        <v>269435</v>
      </c>
      <c r="B49" s="216"/>
      <c r="C49" s="334"/>
      <c r="D49" s="515">
        <v>5</v>
      </c>
      <c r="E49" s="343" t="s">
        <v>98</v>
      </c>
      <c r="F49" s="437" t="s">
        <v>1194</v>
      </c>
      <c r="G49" s="438" t="s">
        <v>93</v>
      </c>
      <c r="H49" s="455" t="s">
        <v>98</v>
      </c>
      <c r="I49" s="455" t="s">
        <v>98</v>
      </c>
      <c r="J49" s="336">
        <v>0</v>
      </c>
      <c r="K49" s="438" t="s">
        <v>96</v>
      </c>
      <c r="L49" s="440">
        <f t="shared" si="72"/>
        <v>0.11488309133489463</v>
      </c>
      <c r="M49" s="336">
        <v>1</v>
      </c>
      <c r="N49" s="337">
        <f t="shared" si="22"/>
        <v>1.0722009304576894</v>
      </c>
      <c r="O49" s="455" t="str">
        <f t="shared" si="23"/>
        <v>(2,1,1,2,1,1); Industry data (French tender) Junction box connector + Interconnection Ribbons + String Ribbons</v>
      </c>
      <c r="P49" s="440">
        <f t="shared" si="73"/>
        <v>0.11032714285714287</v>
      </c>
      <c r="Q49" s="336">
        <v>1</v>
      </c>
      <c r="R49" s="337">
        <f t="shared" si="24"/>
        <v>1.0722009304576894</v>
      </c>
      <c r="S49" s="455" t="str">
        <f t="shared" si="25"/>
        <v>(2,1,1,2,1,1); Industry data (French tender) Junction box connector + Interconnection Ribbons + String Ribbons</v>
      </c>
      <c r="T49" s="440">
        <f t="shared" si="74"/>
        <v>0.10079360856269112</v>
      </c>
      <c r="U49" s="336">
        <v>1</v>
      </c>
      <c r="V49" s="337">
        <f t="shared" si="26"/>
        <v>1.0722009304576894</v>
      </c>
      <c r="W49" s="455" t="str">
        <f t="shared" si="27"/>
        <v>(2,1,1,2,1,1); Industry data (French tender) Junction box connector + Interconnection Ribbons + String Ribbons</v>
      </c>
      <c r="X49" s="440">
        <f t="shared" si="75"/>
        <v>0.10173973031283713</v>
      </c>
      <c r="Y49" s="336">
        <v>1</v>
      </c>
      <c r="Z49" s="337">
        <f t="shared" si="28"/>
        <v>1.0722009304576894</v>
      </c>
      <c r="AA49" s="437" t="str">
        <f t="shared" si="29"/>
        <v>(2,1,1,2,1,1); Industry data (French tender) Junction box connector + Interconnection Ribbons + String Ribbons</v>
      </c>
      <c r="AB49" s="435">
        <f>AB37</f>
        <v>0.10173973031283713</v>
      </c>
      <c r="AC49" s="95">
        <v>1</v>
      </c>
      <c r="AD49" s="96">
        <f t="shared" si="30"/>
        <v>1.0722009304576894</v>
      </c>
      <c r="AE49" s="432" t="str">
        <f t="shared" si="31"/>
        <v>(2,1,1,2,1,1); Industry data (French tender) Junction box connector + Interconnection Ribbons + String Ribbons</v>
      </c>
      <c r="AF49" s="435">
        <f t="shared" si="76"/>
        <v>0.11488309133489463</v>
      </c>
      <c r="AG49" s="95">
        <v>1</v>
      </c>
      <c r="AH49" s="96">
        <f t="shared" si="32"/>
        <v>1.0722009304576894</v>
      </c>
      <c r="AI49" s="457" t="str">
        <f t="shared" si="33"/>
        <v>(2,1,1,2,1,1); Industry data (French tender) Junction box connector + Interconnection Ribbons + String Ribbons</v>
      </c>
      <c r="AJ49" s="435">
        <f t="shared" si="77"/>
        <v>0.11032714285714287</v>
      </c>
      <c r="AK49" s="95">
        <v>1</v>
      </c>
      <c r="AL49" s="96">
        <f t="shared" si="34"/>
        <v>1.0722009304576894</v>
      </c>
      <c r="AM49" s="457" t="str">
        <f t="shared" si="35"/>
        <v>(2,1,1,2,1,1); Industry data (French tender) Junction box connector + Interconnection Ribbons + String Ribbons</v>
      </c>
      <c r="AN49" s="435">
        <f t="shared" si="78"/>
        <v>0.10079360856269112</v>
      </c>
      <c r="AO49" s="95">
        <v>1</v>
      </c>
      <c r="AP49" s="96">
        <f t="shared" si="36"/>
        <v>1.0722009304576894</v>
      </c>
      <c r="AQ49" s="457" t="str">
        <f t="shared" si="37"/>
        <v>(2,1,1,2,1,1); Industry data (French tender) Junction box connector + Interconnection Ribbons + String Ribbons</v>
      </c>
      <c r="AR49" s="435">
        <f t="shared" si="79"/>
        <v>0.10173973031283713</v>
      </c>
      <c r="AS49" s="95">
        <v>1</v>
      </c>
      <c r="AT49" s="96">
        <f t="shared" si="38"/>
        <v>1.0722009304576894</v>
      </c>
      <c r="AU49" s="457" t="str">
        <f t="shared" si="39"/>
        <v>(2,1,1,2,1,1); Industry data (French tender) Junction box connector + Interconnection Ribbons + String Ribbons</v>
      </c>
      <c r="AV49" s="435">
        <f>AB49</f>
        <v>0.10173973031283713</v>
      </c>
      <c r="AW49" s="95">
        <v>1</v>
      </c>
      <c r="AX49" s="96">
        <f t="shared" si="40"/>
        <v>1.0722009304576894</v>
      </c>
      <c r="AY49" s="432" t="str">
        <f t="shared" si="41"/>
        <v>(2,1,1,2,1,1); Industry data (French tender) Junction box connector + Interconnection Ribbons + String Ribbons</v>
      </c>
      <c r="AZ49" s="435">
        <f t="shared" si="80"/>
        <v>0.11488309133489463</v>
      </c>
      <c r="BA49" s="95">
        <v>1</v>
      </c>
      <c r="BB49" s="96">
        <f t="shared" si="42"/>
        <v>1.0722009304576894</v>
      </c>
      <c r="BC49" s="457" t="str">
        <f t="shared" si="43"/>
        <v>(2,1,1,2,1,1); Industry data (French tender) Junction box connector + Interconnection Ribbons + String Ribbons</v>
      </c>
      <c r="BD49" s="435">
        <f t="shared" si="81"/>
        <v>0.11032714285714287</v>
      </c>
      <c r="BE49" s="95">
        <v>1</v>
      </c>
      <c r="BF49" s="96">
        <f t="shared" si="44"/>
        <v>1.0722009304576894</v>
      </c>
      <c r="BG49" s="457" t="str">
        <f t="shared" si="45"/>
        <v>(2,1,1,2,1,1); Industry data (French tender) Junction box connector + Interconnection Ribbons + String Ribbons</v>
      </c>
      <c r="BH49" s="435">
        <f t="shared" si="82"/>
        <v>0.10079360856269112</v>
      </c>
      <c r="BI49" s="95">
        <v>1</v>
      </c>
      <c r="BJ49" s="96">
        <f t="shared" si="46"/>
        <v>1.0722009304576894</v>
      </c>
      <c r="BK49" s="457" t="str">
        <f t="shared" si="47"/>
        <v>(2,1,1,2,1,1); Industry data (French tender) Junction box connector + Interconnection Ribbons + String Ribbons</v>
      </c>
      <c r="BL49" s="435">
        <f t="shared" si="83"/>
        <v>0.10173973031283713</v>
      </c>
      <c r="BM49" s="95">
        <v>1</v>
      </c>
      <c r="BN49" s="96">
        <f t="shared" si="48"/>
        <v>1.0722009304576894</v>
      </c>
      <c r="BO49" s="457" t="str">
        <f t="shared" si="49"/>
        <v>(2,1,1,2,1,1); Industry data (French tender) Junction box connector + Interconnection Ribbons + String Ribbons</v>
      </c>
      <c r="BP49" s="435">
        <f t="shared" si="88"/>
        <v>0.10173973031283713</v>
      </c>
      <c r="BQ49" s="95">
        <v>1</v>
      </c>
      <c r="BR49" s="96">
        <f t="shared" si="50"/>
        <v>1.0722009304576894</v>
      </c>
      <c r="BS49" s="432" t="str">
        <f t="shared" si="51"/>
        <v>(2,1,1,2,1,1); Industry data (French tender) Junction box connector + Interconnection Ribbons + String Ribbons</v>
      </c>
      <c r="BT49" s="435">
        <f t="shared" si="84"/>
        <v>0.11488309133489463</v>
      </c>
      <c r="BU49" s="95">
        <v>1</v>
      </c>
      <c r="BV49" s="96">
        <f t="shared" si="52"/>
        <v>1.0722009304576894</v>
      </c>
      <c r="BW49" s="457" t="str">
        <f t="shared" si="53"/>
        <v>(2,1,1,2,1,1); Industry data (French tender) Junction box connector + Interconnection Ribbons + String Ribbons</v>
      </c>
      <c r="BX49" s="435">
        <f t="shared" si="85"/>
        <v>0.11032714285714287</v>
      </c>
      <c r="BY49" s="95">
        <v>1</v>
      </c>
      <c r="BZ49" s="96">
        <f t="shared" si="54"/>
        <v>1.0722009304576894</v>
      </c>
      <c r="CA49" s="457" t="str">
        <f t="shared" si="55"/>
        <v>(2,1,1,2,1,1); Industry data (French tender) Junction box connector + Interconnection Ribbons + String Ribbons</v>
      </c>
      <c r="CB49" s="435">
        <f t="shared" si="86"/>
        <v>0.10079360856269112</v>
      </c>
      <c r="CC49" s="95">
        <v>1</v>
      </c>
      <c r="CD49" s="96">
        <f t="shared" si="56"/>
        <v>1.0722009304576894</v>
      </c>
      <c r="CE49" s="457" t="str">
        <f t="shared" si="57"/>
        <v>(2,1,1,2,1,1); Industry data (French tender) Junction box connector + Interconnection Ribbons + String Ribbons</v>
      </c>
      <c r="CF49" s="435">
        <f t="shared" si="87"/>
        <v>0.10173973031283713</v>
      </c>
      <c r="CG49" s="95">
        <v>1</v>
      </c>
      <c r="CH49" s="96">
        <f t="shared" si="58"/>
        <v>1.0722009304576894</v>
      </c>
      <c r="CI49" s="457" t="str">
        <f t="shared" si="59"/>
        <v>(2,1,1,2,1,1); Industry data (French tender) Junction box connector + Interconnection Ribbons + String Ribbons</v>
      </c>
      <c r="CJ49" s="435">
        <f>CJ37</f>
        <v>0.10173973031283713</v>
      </c>
      <c r="CK49" s="95">
        <v>1</v>
      </c>
      <c r="CL49" s="96">
        <f t="shared" si="60"/>
        <v>1.0722009304576894</v>
      </c>
      <c r="CM49" s="437" t="str">
        <f t="shared" si="61"/>
        <v>(2,1,1,2,1,1); Industry data (French tender) Junction box connector + Interconnection Ribbons + String Ribbons</v>
      </c>
      <c r="CN49" s="435">
        <v>0.1</v>
      </c>
      <c r="CO49" s="95">
        <v>1</v>
      </c>
      <c r="CP49" s="96">
        <f t="shared" si="62"/>
        <v>1.2434566510799234</v>
      </c>
      <c r="CQ49" s="457" t="str">
        <f t="shared" si="63"/>
        <v>(2,4,1,3,1,5); Brailovsky (2026) GP 08</v>
      </c>
      <c r="CR49" s="435">
        <v>0.1</v>
      </c>
      <c r="CS49" s="95">
        <v>1</v>
      </c>
      <c r="CT49" s="96">
        <f t="shared" si="64"/>
        <v>1.2434566510799234</v>
      </c>
      <c r="CU49" s="432" t="str">
        <f t="shared" si="65"/>
        <v>(2,4,1,3,1,5); Brailovsky (2026) GP 08</v>
      </c>
      <c r="CV49" s="399"/>
      <c r="CW49" s="435">
        <f>CW37</f>
        <v>0.11488309133489463</v>
      </c>
      <c r="CX49" s="435">
        <f>CX37</f>
        <v>0.11032714285714287</v>
      </c>
      <c r="CY49" s="435">
        <f>CY37</f>
        <v>0.10079360856269112</v>
      </c>
      <c r="CZ49" s="435">
        <f>CZ37</f>
        <v>0.10173973031283713</v>
      </c>
      <c r="DA49" s="692" t="s">
        <v>1195</v>
      </c>
      <c r="DB49" s="83">
        <v>2</v>
      </c>
      <c r="DC49" s="83">
        <v>1</v>
      </c>
      <c r="DD49" s="83">
        <v>1</v>
      </c>
      <c r="DE49" s="83">
        <v>2</v>
      </c>
      <c r="DF49" s="83">
        <v>1</v>
      </c>
      <c r="DG49" s="83">
        <v>1</v>
      </c>
      <c r="DH49" s="104">
        <v>3</v>
      </c>
      <c r="DI49" s="104">
        <v>1.05</v>
      </c>
      <c r="DJ49" s="107">
        <f t="shared" si="66"/>
        <v>1.0510550504206344</v>
      </c>
      <c r="DK49" s="107">
        <f t="shared" si="67"/>
        <v>1.0722009304576894</v>
      </c>
      <c r="DL49" s="107" t="str">
        <f t="shared" si="68"/>
        <v>(2,1,1,2,1,1)</v>
      </c>
      <c r="DM49" s="108">
        <v>1.05</v>
      </c>
      <c r="DN49" s="108">
        <v>1</v>
      </c>
      <c r="DO49" s="108">
        <v>1</v>
      </c>
      <c r="DP49" s="108">
        <v>1.01</v>
      </c>
      <c r="DQ49" s="108">
        <v>1</v>
      </c>
      <c r="DR49" s="108">
        <v>1</v>
      </c>
      <c r="DS49" s="399"/>
      <c r="DT49" s="692" t="s">
        <v>1171</v>
      </c>
      <c r="DU49" s="83">
        <v>2</v>
      </c>
      <c r="DV49" s="83">
        <v>4</v>
      </c>
      <c r="DW49" s="83">
        <v>1</v>
      </c>
      <c r="DX49" s="83">
        <v>3</v>
      </c>
      <c r="DY49" s="83">
        <v>1</v>
      </c>
      <c r="DZ49" s="83">
        <v>5</v>
      </c>
      <c r="EA49" s="104">
        <v>3</v>
      </c>
      <c r="EB49" s="104">
        <v>1.05</v>
      </c>
      <c r="EC49" s="107">
        <f t="shared" si="69"/>
        <v>1.2365959919080913</v>
      </c>
      <c r="ED49" s="107">
        <f t="shared" si="70"/>
        <v>1.2434566510799234</v>
      </c>
      <c r="EE49" s="107" t="str">
        <f t="shared" si="71"/>
        <v>(2,4,1,3,1,5)</v>
      </c>
      <c r="EF49" s="108">
        <v>1.05</v>
      </c>
      <c r="EG49" s="108">
        <v>1.1000000000000001</v>
      </c>
      <c r="EH49" s="108">
        <v>1</v>
      </c>
      <c r="EI49" s="108">
        <v>1.02</v>
      </c>
      <c r="EJ49" s="108">
        <v>1</v>
      </c>
      <c r="EK49" s="108">
        <v>1.2</v>
      </c>
    </row>
    <row r="50" spans="1:141" ht="24">
      <c r="A50" s="330">
        <v>269341</v>
      </c>
      <c r="B50" s="216"/>
      <c r="C50" s="334"/>
      <c r="D50" s="515">
        <v>5</v>
      </c>
      <c r="E50" s="343" t="s">
        <v>98</v>
      </c>
      <c r="F50" s="437" t="s">
        <v>1196</v>
      </c>
      <c r="G50" s="438" t="s">
        <v>93</v>
      </c>
      <c r="H50" s="455" t="s">
        <v>98</v>
      </c>
      <c r="I50" s="455" t="s">
        <v>98</v>
      </c>
      <c r="J50" s="336">
        <v>0</v>
      </c>
      <c r="K50" s="438" t="s">
        <v>96</v>
      </c>
      <c r="L50" s="440">
        <f>L43</f>
        <v>8.1844262295081993</v>
      </c>
      <c r="M50" s="336">
        <v>1</v>
      </c>
      <c r="N50" s="337">
        <f t="shared" si="22"/>
        <v>1.0722009304576894</v>
      </c>
      <c r="O50" s="455" t="str">
        <f t="shared" si="23"/>
        <v>(2,1,1,2,1,1); Calculated to reflect input "tempered glass"</v>
      </c>
      <c r="P50" s="440">
        <f>P43</f>
        <v>8.0193208430913305</v>
      </c>
      <c r="Q50" s="336">
        <v>1</v>
      </c>
      <c r="R50" s="337">
        <f t="shared" si="24"/>
        <v>1.0722009304576894</v>
      </c>
      <c r="S50" s="455" t="str">
        <f t="shared" si="25"/>
        <v>(2,1,1,2,1,1); Calculated to reflect input "tempered glass"</v>
      </c>
      <c r="T50" s="440">
        <f>T43</f>
        <v>9.42477064220183</v>
      </c>
      <c r="U50" s="336">
        <v>1</v>
      </c>
      <c r="V50" s="337">
        <f t="shared" si="26"/>
        <v>1.0722009304576894</v>
      </c>
      <c r="W50" s="455" t="str">
        <f t="shared" si="27"/>
        <v>(2,1,1,2,1,1); Calculated to reflect input "tempered glass"</v>
      </c>
      <c r="X50" s="440">
        <f>X43</f>
        <v>10.092211434735701</v>
      </c>
      <c r="Y50" s="336">
        <v>1</v>
      </c>
      <c r="Z50" s="337">
        <f t="shared" si="28"/>
        <v>1.0722009304576894</v>
      </c>
      <c r="AA50" s="437" t="str">
        <f t="shared" si="29"/>
        <v>(2,1,1,2,1,1); Calculated to reflect input "tempered glass"</v>
      </c>
      <c r="AB50" s="435">
        <f>AB43</f>
        <v>10.092211434735701</v>
      </c>
      <c r="AC50" s="95">
        <v>1</v>
      </c>
      <c r="AD50" s="96">
        <f t="shared" si="30"/>
        <v>1.0722009304576894</v>
      </c>
      <c r="AE50" s="432" t="str">
        <f t="shared" si="31"/>
        <v>(2,1,1,2,1,1); Calculated to reflect input "tempered glass"</v>
      </c>
      <c r="AF50" s="435">
        <f t="shared" si="76"/>
        <v>8.1844262295081993</v>
      </c>
      <c r="AG50" s="95">
        <v>1</v>
      </c>
      <c r="AH50" s="96">
        <f t="shared" si="32"/>
        <v>1.0722009304576894</v>
      </c>
      <c r="AI50" s="457" t="str">
        <f t="shared" si="33"/>
        <v>(2,1,1,2,1,1); Calculated to reflect input "tempered glass"</v>
      </c>
      <c r="AJ50" s="435">
        <f t="shared" si="77"/>
        <v>8.0193208430913305</v>
      </c>
      <c r="AK50" s="95">
        <v>1</v>
      </c>
      <c r="AL50" s="96">
        <f t="shared" si="34"/>
        <v>1.0722009304576894</v>
      </c>
      <c r="AM50" s="457" t="str">
        <f t="shared" si="35"/>
        <v>(2,1,1,2,1,1); Calculated to reflect input "tempered glass"</v>
      </c>
      <c r="AN50" s="435">
        <f t="shared" si="78"/>
        <v>9.42477064220183</v>
      </c>
      <c r="AO50" s="95">
        <v>1</v>
      </c>
      <c r="AP50" s="96">
        <f t="shared" si="36"/>
        <v>1.0722009304576894</v>
      </c>
      <c r="AQ50" s="457" t="str">
        <f t="shared" si="37"/>
        <v>(2,1,1,2,1,1); Calculated to reflect input "tempered glass"</v>
      </c>
      <c r="AR50" s="435">
        <f t="shared" si="79"/>
        <v>10.092211434735701</v>
      </c>
      <c r="AS50" s="95">
        <v>1</v>
      </c>
      <c r="AT50" s="96">
        <f t="shared" si="38"/>
        <v>1.0722009304576894</v>
      </c>
      <c r="AU50" s="457" t="str">
        <f t="shared" si="39"/>
        <v>(2,1,1,2,1,1); Calculated to reflect input "tempered glass"</v>
      </c>
      <c r="AV50" s="435">
        <f>AB50</f>
        <v>10.092211434735701</v>
      </c>
      <c r="AW50" s="95">
        <v>1</v>
      </c>
      <c r="AX50" s="96">
        <f t="shared" si="40"/>
        <v>1.0722009304576894</v>
      </c>
      <c r="AY50" s="432" t="str">
        <f t="shared" si="41"/>
        <v>(2,1,1,2,1,1); Calculated to reflect input "tempered glass"</v>
      </c>
      <c r="AZ50" s="435">
        <f t="shared" si="80"/>
        <v>8.1844262295081993</v>
      </c>
      <c r="BA50" s="95">
        <v>1</v>
      </c>
      <c r="BB50" s="96">
        <f t="shared" si="42"/>
        <v>1.0722009304576894</v>
      </c>
      <c r="BC50" s="457" t="str">
        <f t="shared" si="43"/>
        <v>(2,1,1,2,1,1); Calculated to reflect input "tempered glass"</v>
      </c>
      <c r="BD50" s="435">
        <f t="shared" si="81"/>
        <v>8.0193208430913305</v>
      </c>
      <c r="BE50" s="95">
        <v>1</v>
      </c>
      <c r="BF50" s="96">
        <f t="shared" si="44"/>
        <v>1.0722009304576894</v>
      </c>
      <c r="BG50" s="457" t="str">
        <f t="shared" si="45"/>
        <v>(2,1,1,2,1,1); Calculated to reflect input "tempered glass"</v>
      </c>
      <c r="BH50" s="435">
        <f t="shared" si="82"/>
        <v>9.42477064220183</v>
      </c>
      <c r="BI50" s="95">
        <v>1</v>
      </c>
      <c r="BJ50" s="96">
        <f t="shared" si="46"/>
        <v>1.0722009304576894</v>
      </c>
      <c r="BK50" s="457" t="str">
        <f t="shared" si="47"/>
        <v>(2,1,1,2,1,1); Calculated to reflect input "tempered glass"</v>
      </c>
      <c r="BL50" s="435">
        <f t="shared" si="83"/>
        <v>10.092211434735701</v>
      </c>
      <c r="BM50" s="95">
        <v>1</v>
      </c>
      <c r="BN50" s="96">
        <f t="shared" si="48"/>
        <v>1.0722009304576894</v>
      </c>
      <c r="BO50" s="457" t="str">
        <f t="shared" si="49"/>
        <v>(2,1,1,2,1,1); Calculated to reflect input "tempered glass"</v>
      </c>
      <c r="BP50" s="435">
        <f t="shared" si="88"/>
        <v>10.092211434735701</v>
      </c>
      <c r="BQ50" s="95">
        <v>1</v>
      </c>
      <c r="BR50" s="96">
        <f t="shared" si="50"/>
        <v>1.0722009304576894</v>
      </c>
      <c r="BS50" s="432" t="str">
        <f t="shared" si="51"/>
        <v>(2,1,1,2,1,1); Calculated to reflect input "tempered glass"</v>
      </c>
      <c r="BT50" s="435">
        <f t="shared" si="84"/>
        <v>8.1844262295081993</v>
      </c>
      <c r="BU50" s="95">
        <v>1</v>
      </c>
      <c r="BV50" s="96">
        <f t="shared" si="52"/>
        <v>1.0722009304576894</v>
      </c>
      <c r="BW50" s="457" t="str">
        <f t="shared" si="53"/>
        <v>(2,1,1,2,1,1); Calculated to reflect input "tempered glass"</v>
      </c>
      <c r="BX50" s="435">
        <f t="shared" si="85"/>
        <v>8.0193208430913305</v>
      </c>
      <c r="BY50" s="95">
        <v>1</v>
      </c>
      <c r="BZ50" s="96">
        <f t="shared" si="54"/>
        <v>1.0722009304576894</v>
      </c>
      <c r="CA50" s="457" t="str">
        <f t="shared" si="55"/>
        <v>(2,1,1,2,1,1); Calculated to reflect input "tempered glass"</v>
      </c>
      <c r="CB50" s="435">
        <f t="shared" si="86"/>
        <v>9.42477064220183</v>
      </c>
      <c r="CC50" s="95">
        <v>1</v>
      </c>
      <c r="CD50" s="96">
        <f t="shared" si="56"/>
        <v>1.0722009304576894</v>
      </c>
      <c r="CE50" s="457" t="str">
        <f t="shared" si="57"/>
        <v>(2,1,1,2,1,1); Calculated to reflect input "tempered glass"</v>
      </c>
      <c r="CF50" s="435">
        <f t="shared" si="87"/>
        <v>10.092211434735701</v>
      </c>
      <c r="CG50" s="95">
        <v>1</v>
      </c>
      <c r="CH50" s="96">
        <f t="shared" si="58"/>
        <v>1.0722009304576894</v>
      </c>
      <c r="CI50" s="457" t="str">
        <f t="shared" si="59"/>
        <v>(2,1,1,2,1,1); Calculated to reflect input "tempered glass"</v>
      </c>
      <c r="CJ50" s="435">
        <f>CJ43</f>
        <v>10.092211434735701</v>
      </c>
      <c r="CK50" s="95">
        <v>1</v>
      </c>
      <c r="CL50" s="96">
        <f t="shared" si="60"/>
        <v>1.0722009304576894</v>
      </c>
      <c r="CM50" s="437" t="str">
        <f t="shared" si="61"/>
        <v>(2,1,1,2,1,1); Calculated to reflect input "tempered glass"</v>
      </c>
      <c r="CN50" s="435">
        <f>CN43</f>
        <v>9.09</v>
      </c>
      <c r="CO50" s="95">
        <v>1</v>
      </c>
      <c r="CP50" s="96">
        <f t="shared" si="62"/>
        <v>1.2434566510799234</v>
      </c>
      <c r="CQ50" s="457" t="str">
        <f t="shared" si="63"/>
        <v>(2,4,1,3,1,5); Calculated to reflect input "tempered glass"</v>
      </c>
      <c r="CR50" s="435">
        <f>CR43</f>
        <v>9.09</v>
      </c>
      <c r="CS50" s="95">
        <v>1</v>
      </c>
      <c r="CT50" s="96">
        <f t="shared" si="64"/>
        <v>1.2434566510799234</v>
      </c>
      <c r="CU50" s="432" t="str">
        <f t="shared" si="65"/>
        <v>(2,4,1,3,1,5); Calculated to reflect input "tempered glass"</v>
      </c>
      <c r="CV50" s="399"/>
      <c r="CW50" s="435"/>
      <c r="CX50" s="435"/>
      <c r="CY50" s="435"/>
      <c r="CZ50" s="435"/>
      <c r="DA50" s="692" t="s">
        <v>1197</v>
      </c>
      <c r="DB50" s="83">
        <v>2</v>
      </c>
      <c r="DC50" s="83">
        <v>1</v>
      </c>
      <c r="DD50" s="83">
        <v>1</v>
      </c>
      <c r="DE50" s="83">
        <v>2</v>
      </c>
      <c r="DF50" s="83">
        <v>1</v>
      </c>
      <c r="DG50" s="83">
        <v>1</v>
      </c>
      <c r="DH50" s="104">
        <v>3</v>
      </c>
      <c r="DI50" s="104">
        <v>1.05</v>
      </c>
      <c r="DJ50" s="107">
        <f t="shared" si="66"/>
        <v>1.0510550504206344</v>
      </c>
      <c r="DK50" s="107">
        <f t="shared" si="67"/>
        <v>1.0722009304576894</v>
      </c>
      <c r="DL50" s="107" t="str">
        <f t="shared" si="68"/>
        <v>(2,1,1,2,1,1)</v>
      </c>
      <c r="DM50" s="108">
        <v>1.05</v>
      </c>
      <c r="DN50" s="108">
        <v>1</v>
      </c>
      <c r="DO50" s="108">
        <v>1</v>
      </c>
      <c r="DP50" s="108">
        <v>1.01</v>
      </c>
      <c r="DQ50" s="108">
        <v>1</v>
      </c>
      <c r="DR50" s="108">
        <v>1</v>
      </c>
      <c r="DS50" s="399"/>
      <c r="DT50" s="692" t="s">
        <v>1197</v>
      </c>
      <c r="DU50" s="83">
        <v>2</v>
      </c>
      <c r="DV50" s="83">
        <v>4</v>
      </c>
      <c r="DW50" s="83">
        <v>1</v>
      </c>
      <c r="DX50" s="83">
        <v>3</v>
      </c>
      <c r="DY50" s="83">
        <v>1</v>
      </c>
      <c r="DZ50" s="83">
        <v>5</v>
      </c>
      <c r="EA50" s="104">
        <v>3</v>
      </c>
      <c r="EB50" s="104">
        <v>1.05</v>
      </c>
      <c r="EC50" s="107">
        <f t="shared" si="69"/>
        <v>1.2365959919080913</v>
      </c>
      <c r="ED50" s="107">
        <f t="shared" si="70"/>
        <v>1.2434566510799234</v>
      </c>
      <c r="EE50" s="107" t="str">
        <f t="shared" si="71"/>
        <v>(2,4,1,3,1,5)</v>
      </c>
      <c r="EF50" s="108">
        <v>1.05</v>
      </c>
      <c r="EG50" s="108">
        <v>1.1000000000000001</v>
      </c>
      <c r="EH50" s="108">
        <v>1</v>
      </c>
      <c r="EI50" s="108">
        <v>1.02</v>
      </c>
      <c r="EJ50" s="108">
        <v>1</v>
      </c>
      <c r="EK50" s="108">
        <v>1.2</v>
      </c>
    </row>
    <row r="51" spans="1:141" ht="24">
      <c r="A51" s="330">
        <v>265763</v>
      </c>
      <c r="B51" s="216" t="s">
        <v>1198</v>
      </c>
      <c r="C51" s="334"/>
      <c r="D51" s="515">
        <v>5</v>
      </c>
      <c r="E51" s="343" t="s">
        <v>98</v>
      </c>
      <c r="F51" s="437" t="s">
        <v>488</v>
      </c>
      <c r="G51" s="438" t="s">
        <v>372</v>
      </c>
      <c r="H51" s="455" t="s">
        <v>98</v>
      </c>
      <c r="I51" s="455" t="s">
        <v>98</v>
      </c>
      <c r="J51" s="336">
        <v>0</v>
      </c>
      <c r="K51" s="438" t="s">
        <v>96</v>
      </c>
      <c r="L51" s="440">
        <f t="shared" ref="L51:L95" si="90">CW51</f>
        <v>8.6152693208430904</v>
      </c>
      <c r="M51" s="336">
        <v>1</v>
      </c>
      <c r="N51" s="337">
        <f t="shared" si="22"/>
        <v>1.0722009304576894</v>
      </c>
      <c r="O51" s="455" t="str">
        <f t="shared" si="23"/>
        <v>(2,1,1,2,1,1); Industry data (French tender) water</v>
      </c>
      <c r="P51" s="440">
        <f t="shared" ref="P51:P95" si="91">CX51</f>
        <v>8.9998126463700192</v>
      </c>
      <c r="Q51" s="336">
        <v>1</v>
      </c>
      <c r="R51" s="337">
        <f t="shared" si="24"/>
        <v>1.0722009304576894</v>
      </c>
      <c r="S51" s="455" t="str">
        <f t="shared" si="25"/>
        <v>(2,1,1,2,1,1); Industry data (French tender) water</v>
      </c>
      <c r="T51" s="440">
        <f t="shared" ref="T51:T93" si="92">CY51</f>
        <v>5.9942507645259901</v>
      </c>
      <c r="U51" s="336">
        <v>1</v>
      </c>
      <c r="V51" s="337">
        <f t="shared" si="26"/>
        <v>1.0722009304576894</v>
      </c>
      <c r="W51" s="455" t="str">
        <f t="shared" si="27"/>
        <v>(2,1,1,2,1,1); Industry data (French tender) water</v>
      </c>
      <c r="X51" s="440">
        <f t="shared" ref="X51:X93" si="93">CZ51</f>
        <v>6.3192233009708696</v>
      </c>
      <c r="Y51" s="336">
        <v>1</v>
      </c>
      <c r="Z51" s="337">
        <f t="shared" si="28"/>
        <v>1.0722009304576894</v>
      </c>
      <c r="AA51" s="437" t="str">
        <f t="shared" si="29"/>
        <v>(2,1,1,2,1,1); Industry data (French tender) water</v>
      </c>
      <c r="AB51" s="435">
        <f>X51</f>
        <v>6.3192233009708696</v>
      </c>
      <c r="AC51" s="95">
        <v>1</v>
      </c>
      <c r="AD51" s="96">
        <f t="shared" si="30"/>
        <v>1.0722009304576894</v>
      </c>
      <c r="AE51" s="432" t="str">
        <f t="shared" si="31"/>
        <v>(2,1,1,2,1,1); Industry data (French tender) water</v>
      </c>
      <c r="AF51" s="435">
        <v>0</v>
      </c>
      <c r="AG51" s="95">
        <v>1</v>
      </c>
      <c r="AH51" s="96">
        <f t="shared" si="32"/>
        <v>1.0722009304576894</v>
      </c>
      <c r="AI51" s="457" t="str">
        <f t="shared" si="33"/>
        <v>(2,1,1,2,1,1); Industry data (French tender) water</v>
      </c>
      <c r="AJ51" s="435">
        <v>0</v>
      </c>
      <c r="AK51" s="95">
        <v>1</v>
      </c>
      <c r="AL51" s="96">
        <f t="shared" si="34"/>
        <v>1.0722009304576894</v>
      </c>
      <c r="AM51" s="457" t="str">
        <f t="shared" si="35"/>
        <v>(2,1,1,2,1,1); Industry data (French tender) water</v>
      </c>
      <c r="AN51" s="435">
        <v>0</v>
      </c>
      <c r="AO51" s="95">
        <v>1</v>
      </c>
      <c r="AP51" s="96">
        <f t="shared" si="36"/>
        <v>1.0722009304576894</v>
      </c>
      <c r="AQ51" s="457" t="str">
        <f t="shared" si="37"/>
        <v>(2,1,1,2,1,1); Industry data (French tender) water</v>
      </c>
      <c r="AR51" s="435">
        <v>0</v>
      </c>
      <c r="AS51" s="95">
        <v>1</v>
      </c>
      <c r="AT51" s="96">
        <f t="shared" si="38"/>
        <v>1.0722009304576894</v>
      </c>
      <c r="AU51" s="457" t="str">
        <f t="shared" si="39"/>
        <v>(2,1,1,2,1,1); Industry data (French tender) water</v>
      </c>
      <c r="AV51" s="435">
        <v>0</v>
      </c>
      <c r="AW51" s="95">
        <v>1</v>
      </c>
      <c r="AX51" s="96">
        <f t="shared" si="40"/>
        <v>1.0722009304576894</v>
      </c>
      <c r="AY51" s="432" t="str">
        <f t="shared" si="41"/>
        <v>(2,1,1,2,1,1); Industry data (French tender) water</v>
      </c>
      <c r="AZ51" s="435">
        <v>0</v>
      </c>
      <c r="BA51" s="95">
        <v>1</v>
      </c>
      <c r="BB51" s="96">
        <f t="shared" si="42"/>
        <v>1.0722009304576894</v>
      </c>
      <c r="BC51" s="457" t="str">
        <f t="shared" si="43"/>
        <v>(2,1,1,2,1,1); Industry data (French tender) water</v>
      </c>
      <c r="BD51" s="435">
        <v>0</v>
      </c>
      <c r="BE51" s="95">
        <v>1</v>
      </c>
      <c r="BF51" s="96">
        <f t="shared" si="44"/>
        <v>1.0722009304576894</v>
      </c>
      <c r="BG51" s="457" t="str">
        <f t="shared" si="45"/>
        <v>(2,1,1,2,1,1); Industry data (French tender) water</v>
      </c>
      <c r="BH51" s="435">
        <v>0</v>
      </c>
      <c r="BI51" s="95">
        <v>1</v>
      </c>
      <c r="BJ51" s="96">
        <f t="shared" si="46"/>
        <v>1.0722009304576894</v>
      </c>
      <c r="BK51" s="457" t="str">
        <f t="shared" si="47"/>
        <v>(2,1,1,2,1,1); Industry data (French tender) water</v>
      </c>
      <c r="BL51" s="435">
        <v>0</v>
      </c>
      <c r="BM51" s="95">
        <v>1</v>
      </c>
      <c r="BN51" s="96">
        <f t="shared" si="48"/>
        <v>1.0722009304576894</v>
      </c>
      <c r="BO51" s="457" t="str">
        <f t="shared" si="49"/>
        <v>(2,1,1,2,1,1); Industry data (French tender) water</v>
      </c>
      <c r="BP51" s="435">
        <v>0</v>
      </c>
      <c r="BQ51" s="95">
        <v>1</v>
      </c>
      <c r="BR51" s="96">
        <f t="shared" si="50"/>
        <v>1.0722009304576894</v>
      </c>
      <c r="BS51" s="432" t="str">
        <f t="shared" si="51"/>
        <v>(2,1,1,2,1,1); Industry data (French tender) water</v>
      </c>
      <c r="BT51" s="435">
        <v>0</v>
      </c>
      <c r="BU51" s="95">
        <v>1</v>
      </c>
      <c r="BV51" s="96">
        <f t="shared" si="52"/>
        <v>1.0722009304576894</v>
      </c>
      <c r="BW51" s="457" t="str">
        <f t="shared" si="53"/>
        <v>(2,1,1,2,1,1); Industry data (French tender) water</v>
      </c>
      <c r="BX51" s="435">
        <v>0</v>
      </c>
      <c r="BY51" s="95">
        <v>1</v>
      </c>
      <c r="BZ51" s="96">
        <f t="shared" si="54"/>
        <v>1.0722009304576894</v>
      </c>
      <c r="CA51" s="457" t="str">
        <f t="shared" si="55"/>
        <v>(2,1,1,2,1,1); Industry data (French tender) water</v>
      </c>
      <c r="CB51" s="435">
        <v>0</v>
      </c>
      <c r="CC51" s="95">
        <v>1</v>
      </c>
      <c r="CD51" s="96">
        <f t="shared" si="56"/>
        <v>1.0722009304576894</v>
      </c>
      <c r="CE51" s="457" t="str">
        <f t="shared" si="57"/>
        <v>(2,1,1,2,1,1); Industry data (French tender) water</v>
      </c>
      <c r="CF51" s="435">
        <v>0</v>
      </c>
      <c r="CG51" s="95">
        <v>1</v>
      </c>
      <c r="CH51" s="96">
        <f t="shared" si="58"/>
        <v>1.0722009304576894</v>
      </c>
      <c r="CI51" s="457" t="str">
        <f t="shared" si="59"/>
        <v>(2,1,1,2,1,1); Industry data (French tender) water</v>
      </c>
      <c r="CJ51" s="435">
        <v>0</v>
      </c>
      <c r="CK51" s="95">
        <v>1</v>
      </c>
      <c r="CL51" s="96">
        <f t="shared" si="60"/>
        <v>1.0722009304576894</v>
      </c>
      <c r="CM51" s="437" t="str">
        <f t="shared" si="61"/>
        <v>(2,1,1,2,1,1); Industry data (French tender) water</v>
      </c>
      <c r="CN51" s="435">
        <v>0</v>
      </c>
      <c r="CO51" s="95">
        <v>1</v>
      </c>
      <c r="CP51" s="96">
        <f t="shared" si="62"/>
        <v>1.2434566510799234</v>
      </c>
      <c r="CQ51" s="457" t="str">
        <f t="shared" si="63"/>
        <v>(2,4,1,3,1,5); Brailovsky (2026) GP 08 water completely softened; CN iso RoW</v>
      </c>
      <c r="CR51" s="435">
        <f>0.713745</f>
        <v>0.71374499999999996</v>
      </c>
      <c r="CS51" s="95">
        <v>1</v>
      </c>
      <c r="CT51" s="96">
        <f t="shared" si="64"/>
        <v>1.2434566510799234</v>
      </c>
      <c r="CU51" s="432" t="str">
        <f t="shared" si="65"/>
        <v>(2,4,1,3,1,5); Brailovsky (2026) GP 08 water completely softened; CN iso RoW</v>
      </c>
      <c r="CV51" s="399"/>
      <c r="CW51" s="435">
        <v>8.6152693208430904</v>
      </c>
      <c r="CX51" s="435">
        <v>8.9998126463700192</v>
      </c>
      <c r="CY51" s="435">
        <v>5.9942507645259901</v>
      </c>
      <c r="CZ51" s="435">
        <v>6.3192233009708696</v>
      </c>
      <c r="DA51" s="692" t="s">
        <v>1199</v>
      </c>
      <c r="DB51" s="83">
        <v>2</v>
      </c>
      <c r="DC51" s="83">
        <v>1</v>
      </c>
      <c r="DD51" s="83">
        <v>1</v>
      </c>
      <c r="DE51" s="83">
        <v>2</v>
      </c>
      <c r="DF51" s="83">
        <v>1</v>
      </c>
      <c r="DG51" s="83">
        <v>1</v>
      </c>
      <c r="DH51" s="104">
        <v>3</v>
      </c>
      <c r="DI51" s="104">
        <v>1.05</v>
      </c>
      <c r="DJ51" s="107">
        <f t="shared" si="66"/>
        <v>1.0510550504206344</v>
      </c>
      <c r="DK51" s="107">
        <f t="shared" si="67"/>
        <v>1.0722009304576894</v>
      </c>
      <c r="DL51" s="107" t="str">
        <f t="shared" si="68"/>
        <v>(2,1,1,2,1,1)</v>
      </c>
      <c r="DM51" s="108">
        <v>1.05</v>
      </c>
      <c r="DN51" s="108">
        <v>1</v>
      </c>
      <c r="DO51" s="108">
        <v>1</v>
      </c>
      <c r="DP51" s="108">
        <v>1.01</v>
      </c>
      <c r="DQ51" s="108">
        <v>1</v>
      </c>
      <c r="DR51" s="108">
        <v>1</v>
      </c>
      <c r="DS51" s="399"/>
      <c r="DT51" s="692" t="s">
        <v>1200</v>
      </c>
      <c r="DU51" s="83">
        <v>2</v>
      </c>
      <c r="DV51" s="83">
        <v>4</v>
      </c>
      <c r="DW51" s="83">
        <v>1</v>
      </c>
      <c r="DX51" s="83">
        <v>3</v>
      </c>
      <c r="DY51" s="83">
        <v>1</v>
      </c>
      <c r="DZ51" s="83">
        <v>5</v>
      </c>
      <c r="EA51" s="104">
        <v>3</v>
      </c>
      <c r="EB51" s="104">
        <v>1.05</v>
      </c>
      <c r="EC51" s="107">
        <f t="shared" si="69"/>
        <v>1.2365959919080913</v>
      </c>
      <c r="ED51" s="107">
        <f t="shared" si="70"/>
        <v>1.2434566510799234</v>
      </c>
      <c r="EE51" s="107" t="str">
        <f t="shared" si="71"/>
        <v>(2,4,1,3,1,5)</v>
      </c>
      <c r="EF51" s="108">
        <v>1.05</v>
      </c>
      <c r="EG51" s="108">
        <v>1.1000000000000001</v>
      </c>
      <c r="EH51" s="108">
        <v>1</v>
      </c>
      <c r="EI51" s="108">
        <v>1.02</v>
      </c>
      <c r="EJ51" s="108">
        <v>1</v>
      </c>
      <c r="EK51" s="108">
        <v>1.2</v>
      </c>
    </row>
    <row r="52" spans="1:141" ht="24">
      <c r="A52" s="330">
        <v>265931</v>
      </c>
      <c r="B52" s="216"/>
      <c r="C52" s="334"/>
      <c r="D52" s="515">
        <v>5</v>
      </c>
      <c r="E52" s="343" t="s">
        <v>98</v>
      </c>
      <c r="F52" s="437" t="s">
        <v>489</v>
      </c>
      <c r="G52" s="438" t="s">
        <v>215</v>
      </c>
      <c r="H52" s="455" t="s">
        <v>98</v>
      </c>
      <c r="I52" s="455" t="s">
        <v>98</v>
      </c>
      <c r="J52" s="336">
        <v>0</v>
      </c>
      <c r="K52" s="438" t="s">
        <v>96</v>
      </c>
      <c r="L52" s="440">
        <f t="shared" si="90"/>
        <v>0</v>
      </c>
      <c r="M52" s="336">
        <v>1</v>
      </c>
      <c r="N52" s="337">
        <f t="shared" si="22"/>
        <v>1.0722009304576894</v>
      </c>
      <c r="O52" s="455" t="str">
        <f t="shared" si="23"/>
        <v>(2,1,1,2,1,1); Industry data (French tender) water</v>
      </c>
      <c r="P52" s="440">
        <f t="shared" si="91"/>
        <v>0</v>
      </c>
      <c r="Q52" s="336">
        <v>1</v>
      </c>
      <c r="R52" s="337">
        <f t="shared" si="24"/>
        <v>1.0722009304576894</v>
      </c>
      <c r="S52" s="455" t="str">
        <f t="shared" si="25"/>
        <v>(2,1,1,2,1,1); Industry data (French tender) water</v>
      </c>
      <c r="T52" s="440">
        <f t="shared" si="92"/>
        <v>0</v>
      </c>
      <c r="U52" s="336">
        <v>1</v>
      </c>
      <c r="V52" s="337">
        <f t="shared" si="26"/>
        <v>1.0722009304576894</v>
      </c>
      <c r="W52" s="455" t="str">
        <f t="shared" si="27"/>
        <v>(2,1,1,2,1,1); Industry data (French tender) water</v>
      </c>
      <c r="X52" s="440">
        <f t="shared" si="93"/>
        <v>0</v>
      </c>
      <c r="Y52" s="336">
        <v>1</v>
      </c>
      <c r="Z52" s="337">
        <f t="shared" si="28"/>
        <v>1.0722009304576894</v>
      </c>
      <c r="AA52" s="437" t="str">
        <f t="shared" si="29"/>
        <v>(2,1,1,2,1,1); Industry data (French tender) water</v>
      </c>
      <c r="AB52" s="435">
        <v>0</v>
      </c>
      <c r="AC52" s="95">
        <v>1</v>
      </c>
      <c r="AD52" s="96">
        <f t="shared" si="30"/>
        <v>1.0722009304576894</v>
      </c>
      <c r="AE52" s="432" t="str">
        <f t="shared" si="31"/>
        <v>(2,1,1,2,1,1); Industry data (French tender) water</v>
      </c>
      <c r="AF52" s="435">
        <f>L51</f>
        <v>8.6152693208430904</v>
      </c>
      <c r="AG52" s="95">
        <v>1</v>
      </c>
      <c r="AH52" s="96">
        <f t="shared" si="32"/>
        <v>1.0722009304576894</v>
      </c>
      <c r="AI52" s="457" t="str">
        <f t="shared" si="33"/>
        <v>(2,1,1,2,1,1); Industry data (French tender) water</v>
      </c>
      <c r="AJ52" s="435">
        <f>P51</f>
        <v>8.9998126463700192</v>
      </c>
      <c r="AK52" s="95">
        <v>1</v>
      </c>
      <c r="AL52" s="96">
        <f t="shared" si="34"/>
        <v>1.0722009304576894</v>
      </c>
      <c r="AM52" s="457" t="str">
        <f t="shared" si="35"/>
        <v>(2,1,1,2,1,1); Industry data (French tender) water</v>
      </c>
      <c r="AN52" s="435">
        <f>T51</f>
        <v>5.9942507645259901</v>
      </c>
      <c r="AO52" s="95">
        <v>1</v>
      </c>
      <c r="AP52" s="96">
        <f t="shared" si="36"/>
        <v>1.0722009304576894</v>
      </c>
      <c r="AQ52" s="457" t="str">
        <f t="shared" si="37"/>
        <v>(2,1,1,2,1,1); Industry data (French tender) water</v>
      </c>
      <c r="AR52" s="435">
        <f>X51</f>
        <v>6.3192233009708696</v>
      </c>
      <c r="AS52" s="95">
        <v>1</v>
      </c>
      <c r="AT52" s="96">
        <f t="shared" si="38"/>
        <v>1.0722009304576894</v>
      </c>
      <c r="AU52" s="457" t="str">
        <f t="shared" si="39"/>
        <v>(2,1,1,2,1,1); Industry data (French tender) water</v>
      </c>
      <c r="AV52" s="435">
        <f>AB51</f>
        <v>6.3192233009708696</v>
      </c>
      <c r="AW52" s="95">
        <v>1</v>
      </c>
      <c r="AX52" s="96">
        <f t="shared" si="40"/>
        <v>1.0722009304576894</v>
      </c>
      <c r="AY52" s="432" t="str">
        <f t="shared" si="41"/>
        <v>(2,1,1,2,1,1); Industry data (French tender) water</v>
      </c>
      <c r="AZ52" s="435">
        <v>0</v>
      </c>
      <c r="BA52" s="95">
        <v>1</v>
      </c>
      <c r="BB52" s="96">
        <f t="shared" si="42"/>
        <v>1.0722009304576894</v>
      </c>
      <c r="BC52" s="457" t="str">
        <f t="shared" si="43"/>
        <v>(2,1,1,2,1,1); Industry data (French tender) water</v>
      </c>
      <c r="BD52" s="435">
        <v>0</v>
      </c>
      <c r="BE52" s="95">
        <v>1</v>
      </c>
      <c r="BF52" s="96">
        <f t="shared" si="44"/>
        <v>1.0722009304576894</v>
      </c>
      <c r="BG52" s="457" t="str">
        <f t="shared" si="45"/>
        <v>(2,1,1,2,1,1); Industry data (French tender) water</v>
      </c>
      <c r="BH52" s="435">
        <v>0</v>
      </c>
      <c r="BI52" s="95">
        <v>1</v>
      </c>
      <c r="BJ52" s="96">
        <f t="shared" si="46"/>
        <v>1.0722009304576894</v>
      </c>
      <c r="BK52" s="457" t="str">
        <f t="shared" si="47"/>
        <v>(2,1,1,2,1,1); Industry data (French tender) water</v>
      </c>
      <c r="BL52" s="435">
        <v>0</v>
      </c>
      <c r="BM52" s="95">
        <v>1</v>
      </c>
      <c r="BN52" s="96">
        <f t="shared" si="48"/>
        <v>1.0722009304576894</v>
      </c>
      <c r="BO52" s="457" t="str">
        <f t="shared" si="49"/>
        <v>(2,1,1,2,1,1); Industry data (French tender) water</v>
      </c>
      <c r="BP52" s="435">
        <v>0</v>
      </c>
      <c r="BQ52" s="95">
        <v>1</v>
      </c>
      <c r="BR52" s="96">
        <f t="shared" si="50"/>
        <v>1.0722009304576894</v>
      </c>
      <c r="BS52" s="432" t="str">
        <f t="shared" si="51"/>
        <v>(2,1,1,2,1,1); Industry data (French tender) water</v>
      </c>
      <c r="BT52" s="435">
        <v>0</v>
      </c>
      <c r="BU52" s="95">
        <v>1</v>
      </c>
      <c r="BV52" s="96">
        <f t="shared" si="52"/>
        <v>1.0722009304576894</v>
      </c>
      <c r="BW52" s="457" t="str">
        <f t="shared" si="53"/>
        <v>(2,1,1,2,1,1); Industry data (French tender) water</v>
      </c>
      <c r="BX52" s="435">
        <v>0</v>
      </c>
      <c r="BY52" s="95">
        <v>1</v>
      </c>
      <c r="BZ52" s="96">
        <f t="shared" si="54"/>
        <v>1.0722009304576894</v>
      </c>
      <c r="CA52" s="457" t="str">
        <f t="shared" si="55"/>
        <v>(2,1,1,2,1,1); Industry data (French tender) water</v>
      </c>
      <c r="CB52" s="435">
        <v>0</v>
      </c>
      <c r="CC52" s="95">
        <v>1</v>
      </c>
      <c r="CD52" s="96">
        <f t="shared" si="56"/>
        <v>1.0722009304576894</v>
      </c>
      <c r="CE52" s="457" t="str">
        <f t="shared" si="57"/>
        <v>(2,1,1,2,1,1); Industry data (French tender) water</v>
      </c>
      <c r="CF52" s="435">
        <v>0</v>
      </c>
      <c r="CG52" s="95">
        <v>1</v>
      </c>
      <c r="CH52" s="96">
        <f t="shared" si="58"/>
        <v>1.0722009304576894</v>
      </c>
      <c r="CI52" s="457" t="str">
        <f t="shared" si="59"/>
        <v>(2,1,1,2,1,1); Industry data (French tender) water</v>
      </c>
      <c r="CJ52" s="435">
        <v>0</v>
      </c>
      <c r="CK52" s="95">
        <v>1</v>
      </c>
      <c r="CL52" s="96">
        <f t="shared" si="60"/>
        <v>1.0722009304576894</v>
      </c>
      <c r="CM52" s="437" t="str">
        <f t="shared" si="61"/>
        <v>(2,1,1,2,1,1); Industry data (French tender) water</v>
      </c>
      <c r="CN52" s="435">
        <v>0</v>
      </c>
      <c r="CO52" s="95">
        <v>1</v>
      </c>
      <c r="CP52" s="96">
        <f t="shared" si="62"/>
        <v>1.05</v>
      </c>
      <c r="CQ52" s="457" t="str">
        <f t="shared" si="63"/>
        <v xml:space="preserve">(na,na,na,na,na,na); </v>
      </c>
      <c r="CR52" s="435">
        <v>0</v>
      </c>
      <c r="CS52" s="95">
        <v>1</v>
      </c>
      <c r="CT52" s="96">
        <f t="shared" si="64"/>
        <v>1.05</v>
      </c>
      <c r="CU52" s="432" t="str">
        <f t="shared" si="65"/>
        <v xml:space="preserve">(na,na,na,na,na,na); </v>
      </c>
      <c r="CV52" s="399"/>
      <c r="CW52" s="435"/>
      <c r="CX52" s="435"/>
      <c r="CY52" s="435"/>
      <c r="CZ52" s="435"/>
      <c r="DA52" s="692" t="s">
        <v>1199</v>
      </c>
      <c r="DB52" s="83">
        <v>2</v>
      </c>
      <c r="DC52" s="83">
        <v>1</v>
      </c>
      <c r="DD52" s="83">
        <v>1</v>
      </c>
      <c r="DE52" s="83">
        <v>2</v>
      </c>
      <c r="DF52" s="83">
        <v>1</v>
      </c>
      <c r="DG52" s="83">
        <v>1</v>
      </c>
      <c r="DH52" s="104">
        <v>3</v>
      </c>
      <c r="DI52" s="104">
        <v>1.05</v>
      </c>
      <c r="DJ52" s="107">
        <f t="shared" si="66"/>
        <v>1.0510550504206344</v>
      </c>
      <c r="DK52" s="107">
        <f t="shared" si="67"/>
        <v>1.0722009304576894</v>
      </c>
      <c r="DL52" s="107" t="str">
        <f t="shared" si="68"/>
        <v>(2,1,1,2,1,1)</v>
      </c>
      <c r="DM52" s="108">
        <v>1.05</v>
      </c>
      <c r="DN52" s="108">
        <v>1</v>
      </c>
      <c r="DO52" s="108">
        <v>1</v>
      </c>
      <c r="DP52" s="108">
        <v>1.01</v>
      </c>
      <c r="DQ52" s="108">
        <v>1</v>
      </c>
      <c r="DR52" s="108">
        <v>1</v>
      </c>
      <c r="DS52" s="399"/>
      <c r="DT52" s="692"/>
      <c r="DU52" s="83" t="s">
        <v>106</v>
      </c>
      <c r="DV52" s="83" t="s">
        <v>106</v>
      </c>
      <c r="DW52" s="83" t="s">
        <v>106</v>
      </c>
      <c r="DX52" s="83" t="s">
        <v>106</v>
      </c>
      <c r="DY52" s="83" t="s">
        <v>106</v>
      </c>
      <c r="DZ52" s="83" t="s">
        <v>106</v>
      </c>
      <c r="EA52" s="104">
        <v>3</v>
      </c>
      <c r="EB52" s="104">
        <v>1.05</v>
      </c>
      <c r="EC52" s="107">
        <f t="shared" si="69"/>
        <v>1</v>
      </c>
      <c r="ED52" s="107">
        <f t="shared" si="70"/>
        <v>1.05</v>
      </c>
      <c r="EE52" s="107" t="str">
        <f t="shared" si="71"/>
        <v>(na,na,na,na,na,na)</v>
      </c>
      <c r="EF52" s="108">
        <v>1</v>
      </c>
      <c r="EG52" s="108">
        <v>1</v>
      </c>
      <c r="EH52" s="108">
        <v>1</v>
      </c>
      <c r="EI52" s="108">
        <v>1</v>
      </c>
      <c r="EJ52" s="108">
        <v>1</v>
      </c>
      <c r="EK52" s="108">
        <v>1</v>
      </c>
    </row>
    <row r="53" spans="1:141" ht="24">
      <c r="A53" s="330">
        <v>257458</v>
      </c>
      <c r="B53" s="216"/>
      <c r="C53" s="334"/>
      <c r="D53" s="515">
        <v>5</v>
      </c>
      <c r="E53" s="343" t="s">
        <v>98</v>
      </c>
      <c r="F53" s="437" t="s">
        <v>490</v>
      </c>
      <c r="G53" s="438" t="s">
        <v>382</v>
      </c>
      <c r="H53" s="455" t="s">
        <v>98</v>
      </c>
      <c r="I53" s="455" t="s">
        <v>98</v>
      </c>
      <c r="J53" s="336">
        <v>0</v>
      </c>
      <c r="K53" s="438" t="s">
        <v>96</v>
      </c>
      <c r="L53" s="440">
        <f t="shared" si="90"/>
        <v>0</v>
      </c>
      <c r="M53" s="336">
        <v>1</v>
      </c>
      <c r="N53" s="337">
        <f t="shared" si="22"/>
        <v>1.0722009304576894</v>
      </c>
      <c r="O53" s="455" t="str">
        <f t="shared" si="23"/>
        <v>(2,1,1,2,1,1); Industry data (French tender) water</v>
      </c>
      <c r="P53" s="440">
        <f t="shared" si="91"/>
        <v>0</v>
      </c>
      <c r="Q53" s="336">
        <v>1</v>
      </c>
      <c r="R53" s="337">
        <f t="shared" si="24"/>
        <v>1.0722009304576894</v>
      </c>
      <c r="S53" s="455" t="str">
        <f t="shared" si="25"/>
        <v>(2,1,1,2,1,1); Industry data (French tender) water</v>
      </c>
      <c r="T53" s="440">
        <f t="shared" si="92"/>
        <v>0</v>
      </c>
      <c r="U53" s="336">
        <v>1</v>
      </c>
      <c r="V53" s="337">
        <f t="shared" si="26"/>
        <v>1.0722009304576894</v>
      </c>
      <c r="W53" s="455" t="str">
        <f t="shared" si="27"/>
        <v>(2,1,1,2,1,1); Industry data (French tender) water</v>
      </c>
      <c r="X53" s="440">
        <f t="shared" si="93"/>
        <v>0</v>
      </c>
      <c r="Y53" s="336">
        <v>1</v>
      </c>
      <c r="Z53" s="337">
        <f t="shared" si="28"/>
        <v>1.0722009304576894</v>
      </c>
      <c r="AA53" s="437" t="str">
        <f t="shared" si="29"/>
        <v>(2,1,1,2,1,1); Industry data (French tender) water</v>
      </c>
      <c r="AB53" s="435">
        <v>0</v>
      </c>
      <c r="AC53" s="95">
        <v>1</v>
      </c>
      <c r="AD53" s="96">
        <f t="shared" si="30"/>
        <v>1.0722009304576894</v>
      </c>
      <c r="AE53" s="432" t="str">
        <f t="shared" si="31"/>
        <v>(2,1,1,2,1,1); Industry data (French tender) water</v>
      </c>
      <c r="AF53" s="435">
        <v>0</v>
      </c>
      <c r="AG53" s="95">
        <v>1</v>
      </c>
      <c r="AH53" s="96">
        <f t="shared" si="32"/>
        <v>1.0722009304576894</v>
      </c>
      <c r="AI53" s="457" t="str">
        <f t="shared" si="33"/>
        <v>(2,1,1,2,1,1); Industry data (French tender) water</v>
      </c>
      <c r="AJ53" s="435">
        <v>0</v>
      </c>
      <c r="AK53" s="95">
        <v>1</v>
      </c>
      <c r="AL53" s="96">
        <f t="shared" si="34"/>
        <v>1.0722009304576894</v>
      </c>
      <c r="AM53" s="457" t="str">
        <f t="shared" si="35"/>
        <v>(2,1,1,2,1,1); Industry data (French tender) water</v>
      </c>
      <c r="AN53" s="435">
        <v>0</v>
      </c>
      <c r="AO53" s="95">
        <v>1</v>
      </c>
      <c r="AP53" s="96">
        <f t="shared" si="36"/>
        <v>1.0722009304576894</v>
      </c>
      <c r="AQ53" s="457" t="str">
        <f t="shared" si="37"/>
        <v>(2,1,1,2,1,1); Industry data (French tender) water</v>
      </c>
      <c r="AR53" s="435">
        <v>0</v>
      </c>
      <c r="AS53" s="95">
        <v>1</v>
      </c>
      <c r="AT53" s="96">
        <f t="shared" si="38"/>
        <v>1.0722009304576894</v>
      </c>
      <c r="AU53" s="457" t="str">
        <f t="shared" si="39"/>
        <v>(2,1,1,2,1,1); Industry data (French tender) water</v>
      </c>
      <c r="AV53" s="435">
        <v>0</v>
      </c>
      <c r="AW53" s="95">
        <v>1</v>
      </c>
      <c r="AX53" s="96">
        <f t="shared" si="40"/>
        <v>1.0722009304576894</v>
      </c>
      <c r="AY53" s="432" t="str">
        <f t="shared" si="41"/>
        <v>(2,1,1,2,1,1); Industry data (French tender) water</v>
      </c>
      <c r="AZ53" s="435">
        <f>AF52*$J$124</f>
        <v>0.90687045482558837</v>
      </c>
      <c r="BA53" s="95">
        <v>1</v>
      </c>
      <c r="BB53" s="96">
        <f t="shared" si="42"/>
        <v>1.0722009304576894</v>
      </c>
      <c r="BC53" s="457" t="str">
        <f t="shared" si="43"/>
        <v>(2,1,1,2,1,1); Industry data (French tender) water</v>
      </c>
      <c r="BD53" s="435">
        <f>AJ52*$J$124</f>
        <v>0.94734869961789669</v>
      </c>
      <c r="BE53" s="95">
        <v>1</v>
      </c>
      <c r="BF53" s="96">
        <f t="shared" si="44"/>
        <v>1.0722009304576894</v>
      </c>
      <c r="BG53" s="457" t="str">
        <f t="shared" si="45"/>
        <v>(2,1,1,2,1,1); Industry data (French tender) water</v>
      </c>
      <c r="BH53" s="435">
        <f>AN52*$J$124</f>
        <v>0.63097376468694633</v>
      </c>
      <c r="BI53" s="95">
        <v>1</v>
      </c>
      <c r="BJ53" s="96">
        <f t="shared" si="46"/>
        <v>1.0722009304576894</v>
      </c>
      <c r="BK53" s="457" t="str">
        <f t="shared" si="47"/>
        <v>(2,1,1,2,1,1); Industry data (French tender) water</v>
      </c>
      <c r="BL53" s="435">
        <f>AR52*$J$124</f>
        <v>0.66518140010219673</v>
      </c>
      <c r="BM53" s="95">
        <v>1</v>
      </c>
      <c r="BN53" s="96">
        <f t="shared" si="48"/>
        <v>1.0722009304576894</v>
      </c>
      <c r="BO53" s="457" t="str">
        <f t="shared" si="49"/>
        <v>(2,1,1,2,1,1); Industry data (French tender) water</v>
      </c>
      <c r="BP53" s="435">
        <f>AV52*$J$124</f>
        <v>0.66518140010219673</v>
      </c>
      <c r="BQ53" s="95">
        <v>1</v>
      </c>
      <c r="BR53" s="96">
        <f t="shared" si="50"/>
        <v>1.0722009304576894</v>
      </c>
      <c r="BS53" s="432" t="str">
        <f t="shared" si="51"/>
        <v>(2,1,1,2,1,1); Industry data (French tender) water</v>
      </c>
      <c r="BT53" s="435">
        <v>0</v>
      </c>
      <c r="BU53" s="95">
        <v>1</v>
      </c>
      <c r="BV53" s="96">
        <f t="shared" si="52"/>
        <v>1.0722009304576894</v>
      </c>
      <c r="BW53" s="457" t="str">
        <f t="shared" si="53"/>
        <v>(2,1,1,2,1,1); Industry data (French tender) water</v>
      </c>
      <c r="BX53" s="435">
        <v>0</v>
      </c>
      <c r="BY53" s="95">
        <v>1</v>
      </c>
      <c r="BZ53" s="96">
        <f t="shared" si="54"/>
        <v>1.0722009304576894</v>
      </c>
      <c r="CA53" s="457" t="str">
        <f t="shared" si="55"/>
        <v>(2,1,1,2,1,1); Industry data (French tender) water</v>
      </c>
      <c r="CB53" s="435">
        <v>0</v>
      </c>
      <c r="CC53" s="95">
        <v>1</v>
      </c>
      <c r="CD53" s="96">
        <f t="shared" si="56"/>
        <v>1.0722009304576894</v>
      </c>
      <c r="CE53" s="457" t="str">
        <f t="shared" si="57"/>
        <v>(2,1,1,2,1,1); Industry data (French tender) water</v>
      </c>
      <c r="CF53" s="435">
        <v>0</v>
      </c>
      <c r="CG53" s="95">
        <v>1</v>
      </c>
      <c r="CH53" s="96">
        <f t="shared" si="58"/>
        <v>1.0722009304576894</v>
      </c>
      <c r="CI53" s="457" t="str">
        <f t="shared" si="59"/>
        <v>(2,1,1,2,1,1); Industry data (French tender) water</v>
      </c>
      <c r="CJ53" s="435">
        <v>0</v>
      </c>
      <c r="CK53" s="95">
        <v>1</v>
      </c>
      <c r="CL53" s="96">
        <f t="shared" si="60"/>
        <v>1.0722009304576894</v>
      </c>
      <c r="CM53" s="437" t="str">
        <f t="shared" si="61"/>
        <v>(2,1,1,2,1,1); Industry data (French tender) water</v>
      </c>
      <c r="CN53" s="435">
        <v>0</v>
      </c>
      <c r="CO53" s="95">
        <v>1</v>
      </c>
      <c r="CP53" s="96">
        <f t="shared" si="62"/>
        <v>1.05</v>
      </c>
      <c r="CQ53" s="457" t="str">
        <f t="shared" si="63"/>
        <v xml:space="preserve">(na,na,na,na,na,na); </v>
      </c>
      <c r="CR53" s="435">
        <v>0</v>
      </c>
      <c r="CS53" s="95">
        <v>1</v>
      </c>
      <c r="CT53" s="96">
        <f t="shared" si="64"/>
        <v>1.05</v>
      </c>
      <c r="CU53" s="432" t="str">
        <f t="shared" si="65"/>
        <v xml:space="preserve">(na,na,na,na,na,na); </v>
      </c>
      <c r="CV53" s="399"/>
      <c r="CW53" s="435"/>
      <c r="CX53" s="435"/>
      <c r="CY53" s="435"/>
      <c r="CZ53" s="435"/>
      <c r="DA53" s="692" t="s">
        <v>1199</v>
      </c>
      <c r="DB53" s="83">
        <v>2</v>
      </c>
      <c r="DC53" s="83">
        <v>1</v>
      </c>
      <c r="DD53" s="83">
        <v>1</v>
      </c>
      <c r="DE53" s="83">
        <v>2</v>
      </c>
      <c r="DF53" s="83">
        <v>1</v>
      </c>
      <c r="DG53" s="83">
        <v>1</v>
      </c>
      <c r="DH53" s="104">
        <v>3</v>
      </c>
      <c r="DI53" s="104">
        <v>1.05</v>
      </c>
      <c r="DJ53" s="107">
        <f t="shared" si="66"/>
        <v>1.0510550504206344</v>
      </c>
      <c r="DK53" s="107">
        <f t="shared" si="67"/>
        <v>1.0722009304576894</v>
      </c>
      <c r="DL53" s="107" t="str">
        <f t="shared" si="68"/>
        <v>(2,1,1,2,1,1)</v>
      </c>
      <c r="DM53" s="108">
        <v>1.05</v>
      </c>
      <c r="DN53" s="108">
        <v>1</v>
      </c>
      <c r="DO53" s="108">
        <v>1</v>
      </c>
      <c r="DP53" s="108">
        <v>1.01</v>
      </c>
      <c r="DQ53" s="108">
        <v>1</v>
      </c>
      <c r="DR53" s="108">
        <v>1</v>
      </c>
      <c r="DS53" s="399"/>
      <c r="DT53" s="692"/>
      <c r="DU53" s="83" t="s">
        <v>106</v>
      </c>
      <c r="DV53" s="83" t="s">
        <v>106</v>
      </c>
      <c r="DW53" s="83" t="s">
        <v>106</v>
      </c>
      <c r="DX53" s="83" t="s">
        <v>106</v>
      </c>
      <c r="DY53" s="83" t="s">
        <v>106</v>
      </c>
      <c r="DZ53" s="83" t="s">
        <v>106</v>
      </c>
      <c r="EA53" s="104">
        <v>3</v>
      </c>
      <c r="EB53" s="104">
        <v>1.05</v>
      </c>
      <c r="EC53" s="107">
        <f t="shared" si="69"/>
        <v>1</v>
      </c>
      <c r="ED53" s="107">
        <f t="shared" si="70"/>
        <v>1.05</v>
      </c>
      <c r="EE53" s="107" t="str">
        <f t="shared" si="71"/>
        <v>(na,na,na,na,na,na)</v>
      </c>
      <c r="EF53" s="108">
        <v>1</v>
      </c>
      <c r="EG53" s="108">
        <v>1</v>
      </c>
      <c r="EH53" s="108">
        <v>1</v>
      </c>
      <c r="EI53" s="108">
        <v>1</v>
      </c>
      <c r="EJ53" s="108">
        <v>1</v>
      </c>
      <c r="EK53" s="108">
        <v>1</v>
      </c>
    </row>
    <row r="54" spans="1:141" s="171" customFormat="1" ht="24">
      <c r="A54" s="333">
        <v>255813</v>
      </c>
      <c r="B54" s="216"/>
      <c r="C54" s="334"/>
      <c r="D54" s="515">
        <v>5</v>
      </c>
      <c r="E54" s="343" t="s">
        <v>98</v>
      </c>
      <c r="F54" s="437" t="s">
        <v>649</v>
      </c>
      <c r="G54" s="438" t="s">
        <v>643</v>
      </c>
      <c r="H54" s="455" t="s">
        <v>98</v>
      </c>
      <c r="I54" s="455" t="s">
        <v>98</v>
      </c>
      <c r="J54" s="336">
        <v>0</v>
      </c>
      <c r="K54" s="438" t="s">
        <v>96</v>
      </c>
      <c r="L54" s="440">
        <f t="shared" si="90"/>
        <v>0</v>
      </c>
      <c r="M54" s="336">
        <v>1</v>
      </c>
      <c r="N54" s="337">
        <f t="shared" si="22"/>
        <v>1.0722009304576894</v>
      </c>
      <c r="O54" s="455" t="str">
        <f t="shared" si="23"/>
        <v>(2,1,1,2,1,1); Industry data (French tender) water</v>
      </c>
      <c r="P54" s="440">
        <f t="shared" si="91"/>
        <v>0</v>
      </c>
      <c r="Q54" s="336">
        <v>1</v>
      </c>
      <c r="R54" s="337">
        <f t="shared" si="24"/>
        <v>1.0722009304576894</v>
      </c>
      <c r="S54" s="455" t="str">
        <f t="shared" si="25"/>
        <v>(2,1,1,2,1,1); Industry data (French tender) water</v>
      </c>
      <c r="T54" s="440">
        <f t="shared" si="92"/>
        <v>0</v>
      </c>
      <c r="U54" s="336">
        <v>1</v>
      </c>
      <c r="V54" s="337">
        <f t="shared" si="26"/>
        <v>1.0722009304576894</v>
      </c>
      <c r="W54" s="455" t="str">
        <f t="shared" si="27"/>
        <v>(2,1,1,2,1,1); Industry data (French tender) water</v>
      </c>
      <c r="X54" s="440">
        <f t="shared" si="93"/>
        <v>0</v>
      </c>
      <c r="Y54" s="336">
        <v>1</v>
      </c>
      <c r="Z54" s="337">
        <f t="shared" si="28"/>
        <v>1.0722009304576894</v>
      </c>
      <c r="AA54" s="437" t="str">
        <f t="shared" si="29"/>
        <v>(2,1,1,2,1,1); Industry data (French tender) water</v>
      </c>
      <c r="AB54" s="440">
        <v>0</v>
      </c>
      <c r="AC54" s="336">
        <v>1</v>
      </c>
      <c r="AD54" s="337">
        <f t="shared" si="30"/>
        <v>1.0722009304576894</v>
      </c>
      <c r="AE54" s="437" t="str">
        <f t="shared" si="31"/>
        <v>(2,1,1,2,1,1); Industry data (French tender) water</v>
      </c>
      <c r="AF54" s="440">
        <v>0</v>
      </c>
      <c r="AG54" s="336">
        <v>1</v>
      </c>
      <c r="AH54" s="337">
        <f t="shared" si="32"/>
        <v>1.0722009304576894</v>
      </c>
      <c r="AI54" s="455" t="str">
        <f t="shared" si="33"/>
        <v>(2,1,1,2,1,1); Industry data (French tender) water</v>
      </c>
      <c r="AJ54" s="440">
        <v>0</v>
      </c>
      <c r="AK54" s="336">
        <v>1</v>
      </c>
      <c r="AL54" s="337">
        <f t="shared" si="34"/>
        <v>1.0722009304576894</v>
      </c>
      <c r="AM54" s="455" t="str">
        <f t="shared" si="35"/>
        <v>(2,1,1,2,1,1); Industry data (French tender) water</v>
      </c>
      <c r="AN54" s="440">
        <v>0</v>
      </c>
      <c r="AO54" s="336">
        <v>1</v>
      </c>
      <c r="AP54" s="337">
        <f t="shared" si="36"/>
        <v>1.0722009304576894</v>
      </c>
      <c r="AQ54" s="455" t="str">
        <f t="shared" si="37"/>
        <v>(2,1,1,2,1,1); Industry data (French tender) water</v>
      </c>
      <c r="AR54" s="440">
        <v>0</v>
      </c>
      <c r="AS54" s="336">
        <v>1</v>
      </c>
      <c r="AT54" s="337">
        <f t="shared" si="38"/>
        <v>1.0722009304576894</v>
      </c>
      <c r="AU54" s="455" t="str">
        <f t="shared" si="39"/>
        <v>(2,1,1,2,1,1); Industry data (French tender) water</v>
      </c>
      <c r="AV54" s="440">
        <v>0</v>
      </c>
      <c r="AW54" s="336">
        <v>1</v>
      </c>
      <c r="AX54" s="337">
        <f t="shared" si="40"/>
        <v>1.0722009304576894</v>
      </c>
      <c r="AY54" s="437" t="str">
        <f t="shared" si="41"/>
        <v>(2,1,1,2,1,1); Industry data (French tender) water</v>
      </c>
      <c r="AZ54" s="440">
        <f>AF52*$J$125</f>
        <v>1.3603056822383826</v>
      </c>
      <c r="BA54" s="336">
        <v>1</v>
      </c>
      <c r="BB54" s="337">
        <f t="shared" si="42"/>
        <v>1.0722009304576894</v>
      </c>
      <c r="BC54" s="455" t="str">
        <f t="shared" si="43"/>
        <v>(2,1,1,2,1,1); Industry data (French tender) water</v>
      </c>
      <c r="BD54" s="440">
        <f>AJ52*$J$125</f>
        <v>1.421023049426845</v>
      </c>
      <c r="BE54" s="336">
        <v>1</v>
      </c>
      <c r="BF54" s="337">
        <f t="shared" si="44"/>
        <v>1.0722009304576894</v>
      </c>
      <c r="BG54" s="455" t="str">
        <f t="shared" si="45"/>
        <v>(2,1,1,2,1,1); Industry data (French tender) water</v>
      </c>
      <c r="BH54" s="440">
        <f>AN52*$J$125</f>
        <v>0.94646064703041943</v>
      </c>
      <c r="BI54" s="336">
        <v>1</v>
      </c>
      <c r="BJ54" s="337">
        <f t="shared" si="46"/>
        <v>1.0722009304576894</v>
      </c>
      <c r="BK54" s="455" t="str">
        <f t="shared" si="47"/>
        <v>(2,1,1,2,1,1); Industry data (French tender) water</v>
      </c>
      <c r="BL54" s="440">
        <f>AR52*$J$125</f>
        <v>0.99777210015329509</v>
      </c>
      <c r="BM54" s="336">
        <v>1</v>
      </c>
      <c r="BN54" s="337">
        <f t="shared" si="48"/>
        <v>1.0722009304576894</v>
      </c>
      <c r="BO54" s="455" t="str">
        <f t="shared" si="49"/>
        <v>(2,1,1,2,1,1); Industry data (French tender) water</v>
      </c>
      <c r="BP54" s="440">
        <f>AV52*$J$125</f>
        <v>0.99777210015329509</v>
      </c>
      <c r="BQ54" s="336">
        <v>1</v>
      </c>
      <c r="BR54" s="337">
        <f t="shared" si="50"/>
        <v>1.0722009304576894</v>
      </c>
      <c r="BS54" s="437" t="str">
        <f t="shared" si="51"/>
        <v>(2,1,1,2,1,1); Industry data (French tender) water</v>
      </c>
      <c r="BT54" s="440">
        <v>0</v>
      </c>
      <c r="BU54" s="336">
        <v>1</v>
      </c>
      <c r="BV54" s="337">
        <f t="shared" si="52"/>
        <v>1.0722009304576894</v>
      </c>
      <c r="BW54" s="455" t="str">
        <f t="shared" si="53"/>
        <v>(2,1,1,2,1,1); Industry data (French tender) water</v>
      </c>
      <c r="BX54" s="440">
        <v>0</v>
      </c>
      <c r="BY54" s="336">
        <v>1</v>
      </c>
      <c r="BZ54" s="337">
        <f t="shared" si="54"/>
        <v>1.0722009304576894</v>
      </c>
      <c r="CA54" s="455" t="str">
        <f t="shared" si="55"/>
        <v>(2,1,1,2,1,1); Industry data (French tender) water</v>
      </c>
      <c r="CB54" s="440">
        <v>0</v>
      </c>
      <c r="CC54" s="336">
        <v>1</v>
      </c>
      <c r="CD54" s="337">
        <f t="shared" si="56"/>
        <v>1.0722009304576894</v>
      </c>
      <c r="CE54" s="455" t="str">
        <f t="shared" si="57"/>
        <v>(2,1,1,2,1,1); Industry data (French tender) water</v>
      </c>
      <c r="CF54" s="440">
        <v>0</v>
      </c>
      <c r="CG54" s="336">
        <v>1</v>
      </c>
      <c r="CH54" s="337">
        <f t="shared" si="58"/>
        <v>1.0722009304576894</v>
      </c>
      <c r="CI54" s="455" t="str">
        <f t="shared" si="59"/>
        <v>(2,1,1,2,1,1); Industry data (French tender) water</v>
      </c>
      <c r="CJ54" s="440">
        <v>0</v>
      </c>
      <c r="CK54" s="336">
        <v>1</v>
      </c>
      <c r="CL54" s="337">
        <f t="shared" si="60"/>
        <v>1.0722009304576894</v>
      </c>
      <c r="CM54" s="437" t="str">
        <f t="shared" si="61"/>
        <v>(2,1,1,2,1,1); Industry data (French tender) water</v>
      </c>
      <c r="CN54" s="440">
        <v>0</v>
      </c>
      <c r="CO54" s="336">
        <v>1</v>
      </c>
      <c r="CP54" s="337">
        <f t="shared" si="62"/>
        <v>1.05</v>
      </c>
      <c r="CQ54" s="455" t="str">
        <f t="shared" si="63"/>
        <v xml:space="preserve">(na,na,na,na,na,na); </v>
      </c>
      <c r="CR54" s="440">
        <v>0</v>
      </c>
      <c r="CS54" s="336">
        <v>1</v>
      </c>
      <c r="CT54" s="337">
        <f t="shared" si="64"/>
        <v>1.05</v>
      </c>
      <c r="CU54" s="437" t="str">
        <f t="shared" si="65"/>
        <v xml:space="preserve">(na,na,na,na,na,na); </v>
      </c>
      <c r="CW54" s="440"/>
      <c r="CX54" s="440"/>
      <c r="CY54" s="440"/>
      <c r="CZ54" s="440"/>
      <c r="DA54" s="692" t="s">
        <v>1199</v>
      </c>
      <c r="DB54" s="83">
        <v>2</v>
      </c>
      <c r="DC54" s="83">
        <v>1</v>
      </c>
      <c r="DD54" s="83">
        <v>1</v>
      </c>
      <c r="DE54" s="83">
        <v>2</v>
      </c>
      <c r="DF54" s="83">
        <v>1</v>
      </c>
      <c r="DG54" s="83">
        <v>1</v>
      </c>
      <c r="DH54" s="104">
        <v>3</v>
      </c>
      <c r="DI54" s="104">
        <v>1.05</v>
      </c>
      <c r="DJ54" s="107">
        <f t="shared" si="66"/>
        <v>1.0510550504206344</v>
      </c>
      <c r="DK54" s="107">
        <f t="shared" si="67"/>
        <v>1.0722009304576894</v>
      </c>
      <c r="DL54" s="107" t="str">
        <f t="shared" si="68"/>
        <v>(2,1,1,2,1,1)</v>
      </c>
      <c r="DM54" s="108">
        <v>1.05</v>
      </c>
      <c r="DN54" s="108">
        <v>1</v>
      </c>
      <c r="DO54" s="108">
        <v>1</v>
      </c>
      <c r="DP54" s="108">
        <v>1.01</v>
      </c>
      <c r="DQ54" s="108">
        <v>1</v>
      </c>
      <c r="DR54" s="108">
        <v>1</v>
      </c>
      <c r="DT54" s="691"/>
      <c r="DU54" s="83" t="s">
        <v>106</v>
      </c>
      <c r="DV54" s="83" t="s">
        <v>106</v>
      </c>
      <c r="DW54" s="83" t="s">
        <v>106</v>
      </c>
      <c r="DX54" s="83" t="s">
        <v>106</v>
      </c>
      <c r="DY54" s="83" t="s">
        <v>106</v>
      </c>
      <c r="DZ54" s="83" t="s">
        <v>106</v>
      </c>
      <c r="EA54" s="104">
        <v>3</v>
      </c>
      <c r="EB54" s="104">
        <v>1.05</v>
      </c>
      <c r="EC54" s="107">
        <f t="shared" si="69"/>
        <v>1</v>
      </c>
      <c r="ED54" s="107">
        <f t="shared" si="70"/>
        <v>1.05</v>
      </c>
      <c r="EE54" s="107" t="str">
        <f t="shared" si="71"/>
        <v>(na,na,na,na,na,na)</v>
      </c>
      <c r="EF54" s="108">
        <v>1</v>
      </c>
      <c r="EG54" s="108">
        <v>1</v>
      </c>
      <c r="EH54" s="108">
        <v>1</v>
      </c>
      <c r="EI54" s="108">
        <v>1</v>
      </c>
      <c r="EJ54" s="108">
        <v>1</v>
      </c>
      <c r="EK54" s="108">
        <v>1</v>
      </c>
    </row>
    <row r="55" spans="1:141" s="171" customFormat="1" ht="24">
      <c r="A55" s="333" t="s">
        <v>650</v>
      </c>
      <c r="B55" s="216"/>
      <c r="C55" s="334"/>
      <c r="D55" s="515">
        <v>5</v>
      </c>
      <c r="E55" s="343" t="s">
        <v>98</v>
      </c>
      <c r="F55" s="437" t="s">
        <v>651</v>
      </c>
      <c r="G55" s="438" t="s">
        <v>647</v>
      </c>
      <c r="H55" s="455" t="s">
        <v>98</v>
      </c>
      <c r="I55" s="455" t="s">
        <v>98</v>
      </c>
      <c r="J55" s="336">
        <v>0</v>
      </c>
      <c r="K55" s="438" t="s">
        <v>96</v>
      </c>
      <c r="L55" s="440">
        <f t="shared" si="90"/>
        <v>0</v>
      </c>
      <c r="M55" s="336">
        <v>1</v>
      </c>
      <c r="N55" s="337">
        <f t="shared" si="22"/>
        <v>3.0033855645008969</v>
      </c>
      <c r="O55" s="455" t="str">
        <f t="shared" si="23"/>
        <v>(2,1,1,2,1,1); Industry data (French tender) water</v>
      </c>
      <c r="P55" s="440">
        <f t="shared" si="91"/>
        <v>0</v>
      </c>
      <c r="Q55" s="336">
        <v>1</v>
      </c>
      <c r="R55" s="337">
        <f t="shared" si="24"/>
        <v>3.0033855645008969</v>
      </c>
      <c r="S55" s="455" t="str">
        <f t="shared" si="25"/>
        <v>(2,1,1,2,1,1); Industry data (French tender) water</v>
      </c>
      <c r="T55" s="440">
        <f t="shared" si="92"/>
        <v>0</v>
      </c>
      <c r="U55" s="336">
        <v>1</v>
      </c>
      <c r="V55" s="337">
        <f t="shared" si="26"/>
        <v>3.0033855645008969</v>
      </c>
      <c r="W55" s="455" t="str">
        <f t="shared" si="27"/>
        <v>(2,1,1,2,1,1); Industry data (French tender) water</v>
      </c>
      <c r="X55" s="440">
        <f t="shared" si="93"/>
        <v>0</v>
      </c>
      <c r="Y55" s="336">
        <v>1</v>
      </c>
      <c r="Z55" s="337">
        <f t="shared" si="28"/>
        <v>3.0033855645008969</v>
      </c>
      <c r="AA55" s="437" t="str">
        <f t="shared" si="29"/>
        <v>(2,1,1,2,1,1); Industry data (French tender) water</v>
      </c>
      <c r="AB55" s="440">
        <v>0</v>
      </c>
      <c r="AC55" s="336">
        <v>1</v>
      </c>
      <c r="AD55" s="337">
        <f t="shared" si="30"/>
        <v>3.0033855645008969</v>
      </c>
      <c r="AE55" s="437" t="str">
        <f t="shared" si="31"/>
        <v>(2,1,1,2,1,1); Industry data (French tender) water</v>
      </c>
      <c r="AF55" s="440">
        <v>0</v>
      </c>
      <c r="AG55" s="336">
        <v>1</v>
      </c>
      <c r="AH55" s="337">
        <f t="shared" si="32"/>
        <v>3.0033855645008969</v>
      </c>
      <c r="AI55" s="455" t="str">
        <f t="shared" si="33"/>
        <v>(2,1,1,2,1,1); Industry data (French tender) water</v>
      </c>
      <c r="AJ55" s="440">
        <v>0</v>
      </c>
      <c r="AK55" s="336">
        <v>1</v>
      </c>
      <c r="AL55" s="337">
        <f t="shared" si="34"/>
        <v>3.0033855645008969</v>
      </c>
      <c r="AM55" s="455" t="str">
        <f t="shared" si="35"/>
        <v>(2,1,1,2,1,1); Industry data (French tender) water</v>
      </c>
      <c r="AN55" s="440">
        <v>0</v>
      </c>
      <c r="AO55" s="336">
        <v>1</v>
      </c>
      <c r="AP55" s="337">
        <f t="shared" si="36"/>
        <v>3.0033855645008969</v>
      </c>
      <c r="AQ55" s="455" t="str">
        <f t="shared" si="37"/>
        <v>(2,1,1,2,1,1); Industry data (French tender) water</v>
      </c>
      <c r="AR55" s="440">
        <v>0</v>
      </c>
      <c r="AS55" s="336">
        <v>1</v>
      </c>
      <c r="AT55" s="337">
        <f t="shared" si="38"/>
        <v>3.0033855645008969</v>
      </c>
      <c r="AU55" s="455" t="str">
        <f t="shared" si="39"/>
        <v>(2,1,1,2,1,1); Industry data (French tender) water</v>
      </c>
      <c r="AV55" s="440">
        <v>0</v>
      </c>
      <c r="AW55" s="336">
        <v>1</v>
      </c>
      <c r="AX55" s="337">
        <f t="shared" si="40"/>
        <v>3.0033855645008969</v>
      </c>
      <c r="AY55" s="437" t="str">
        <f t="shared" si="41"/>
        <v>(2,1,1,2,1,1); Industry data (French tender) water</v>
      </c>
      <c r="AZ55" s="440">
        <f>$AF$52*($J$126+$J$128)</f>
        <v>2.9019854554418831</v>
      </c>
      <c r="BA55" s="336">
        <v>1</v>
      </c>
      <c r="BB55" s="337">
        <f t="shared" si="42"/>
        <v>3.0033855645008969</v>
      </c>
      <c r="BC55" s="455" t="str">
        <f t="shared" si="43"/>
        <v>(2,1,1,2,1,1); Industry data (French tender) water</v>
      </c>
      <c r="BD55" s="440">
        <f>$AF$52*($J$126+$J$128)</f>
        <v>2.9019854554418831</v>
      </c>
      <c r="BE55" s="336">
        <v>1</v>
      </c>
      <c r="BF55" s="337">
        <f t="shared" si="44"/>
        <v>3.0033855645008969</v>
      </c>
      <c r="BG55" s="455" t="str">
        <f t="shared" si="45"/>
        <v>(2,1,1,2,1,1); Industry data (French tender) water</v>
      </c>
      <c r="BH55" s="440">
        <f>$AF$52*($J$126+$J$128)</f>
        <v>2.9019854554418831</v>
      </c>
      <c r="BI55" s="336">
        <v>1</v>
      </c>
      <c r="BJ55" s="337">
        <f t="shared" si="46"/>
        <v>3.0033855645008969</v>
      </c>
      <c r="BK55" s="455" t="str">
        <f t="shared" si="47"/>
        <v>(2,1,1,2,1,1); Industry data (French tender) water</v>
      </c>
      <c r="BL55" s="440">
        <f>$AF$52*($J$126+$J$128)</f>
        <v>2.9019854554418831</v>
      </c>
      <c r="BM55" s="336">
        <v>1</v>
      </c>
      <c r="BN55" s="337">
        <f t="shared" si="48"/>
        <v>3.0033855645008969</v>
      </c>
      <c r="BO55" s="455" t="str">
        <f t="shared" si="49"/>
        <v>(2,1,1,2,1,1); Industry data (French tender) water</v>
      </c>
      <c r="BP55" s="440">
        <f>$AF$52*($J$126+$J$128)</f>
        <v>2.9019854554418831</v>
      </c>
      <c r="BQ55" s="336">
        <v>1</v>
      </c>
      <c r="BR55" s="337">
        <f t="shared" si="50"/>
        <v>3.0033855645008969</v>
      </c>
      <c r="BS55" s="437" t="str">
        <f t="shared" si="51"/>
        <v>(2,1,1,2,1,1); Industry data (French tender) water</v>
      </c>
      <c r="BT55" s="440">
        <v>0</v>
      </c>
      <c r="BU55" s="336">
        <v>1</v>
      </c>
      <c r="BV55" s="337">
        <f t="shared" si="52"/>
        <v>3.0033855645008969</v>
      </c>
      <c r="BW55" s="455" t="str">
        <f t="shared" si="53"/>
        <v>(2,1,1,2,1,1); Industry data (French tender) water</v>
      </c>
      <c r="BX55" s="440">
        <v>0</v>
      </c>
      <c r="BY55" s="336">
        <v>1</v>
      </c>
      <c r="BZ55" s="337">
        <f t="shared" si="54"/>
        <v>3.0033855645008969</v>
      </c>
      <c r="CA55" s="455" t="str">
        <f t="shared" si="55"/>
        <v>(2,1,1,2,1,1); Industry data (French tender) water</v>
      </c>
      <c r="CB55" s="440">
        <v>0</v>
      </c>
      <c r="CC55" s="336">
        <v>1</v>
      </c>
      <c r="CD55" s="337">
        <f t="shared" si="56"/>
        <v>3.0033855645008969</v>
      </c>
      <c r="CE55" s="455" t="str">
        <f t="shared" si="57"/>
        <v>(2,1,1,2,1,1); Industry data (French tender) water</v>
      </c>
      <c r="CF55" s="440">
        <v>0</v>
      </c>
      <c r="CG55" s="336">
        <v>1</v>
      </c>
      <c r="CH55" s="337">
        <f t="shared" si="58"/>
        <v>3.0033855645008969</v>
      </c>
      <c r="CI55" s="455" t="str">
        <f t="shared" si="59"/>
        <v>(2,1,1,2,1,1); Industry data (French tender) water</v>
      </c>
      <c r="CJ55" s="440">
        <v>0</v>
      </c>
      <c r="CK55" s="336">
        <v>1</v>
      </c>
      <c r="CL55" s="337">
        <f t="shared" si="60"/>
        <v>3.0033855645008969</v>
      </c>
      <c r="CM55" s="437" t="str">
        <f t="shared" si="61"/>
        <v>(2,1,1,2,1,1); Industry data (French tender) water</v>
      </c>
      <c r="CN55" s="440">
        <v>0</v>
      </c>
      <c r="CO55" s="336">
        <v>1</v>
      </c>
      <c r="CP55" s="337">
        <f t="shared" si="62"/>
        <v>3.0000000000000004</v>
      </c>
      <c r="CQ55" s="455" t="str">
        <f t="shared" si="63"/>
        <v xml:space="preserve">(na,na,na,na,na,na); </v>
      </c>
      <c r="CR55" s="440">
        <v>0</v>
      </c>
      <c r="CS55" s="336">
        <v>1</v>
      </c>
      <c r="CT55" s="337">
        <f t="shared" si="64"/>
        <v>3.0000000000000004</v>
      </c>
      <c r="CU55" s="437" t="str">
        <f t="shared" si="65"/>
        <v xml:space="preserve">(na,na,na,na,na,na); </v>
      </c>
      <c r="CW55" s="440"/>
      <c r="CX55" s="440"/>
      <c r="CY55" s="440"/>
      <c r="CZ55" s="440"/>
      <c r="DA55" s="692" t="s">
        <v>1199</v>
      </c>
      <c r="DB55" s="83">
        <v>2</v>
      </c>
      <c r="DC55" s="83">
        <v>1</v>
      </c>
      <c r="DD55" s="83">
        <v>1</v>
      </c>
      <c r="DE55" s="83">
        <v>2</v>
      </c>
      <c r="DF55" s="83">
        <v>1</v>
      </c>
      <c r="DG55" s="83">
        <v>1</v>
      </c>
      <c r="DH55" s="104">
        <v>9</v>
      </c>
      <c r="DI55" s="104">
        <v>3</v>
      </c>
      <c r="DJ55" s="107">
        <f t="shared" si="66"/>
        <v>1.0510550504206344</v>
      </c>
      <c r="DK55" s="107">
        <f t="shared" si="67"/>
        <v>3.0033855645008969</v>
      </c>
      <c r="DL55" s="107" t="str">
        <f t="shared" si="68"/>
        <v>(2,1,1,2,1,1)</v>
      </c>
      <c r="DM55" s="108">
        <v>1.05</v>
      </c>
      <c r="DN55" s="108">
        <v>1</v>
      </c>
      <c r="DO55" s="108">
        <v>1</v>
      </c>
      <c r="DP55" s="108">
        <v>1.01</v>
      </c>
      <c r="DQ55" s="108">
        <v>1</v>
      </c>
      <c r="DR55" s="108">
        <v>1</v>
      </c>
      <c r="DT55" s="691"/>
      <c r="DU55" s="83" t="s">
        <v>106</v>
      </c>
      <c r="DV55" s="83" t="s">
        <v>106</v>
      </c>
      <c r="DW55" s="83" t="s">
        <v>106</v>
      </c>
      <c r="DX55" s="83" t="s">
        <v>106</v>
      </c>
      <c r="DY55" s="83" t="s">
        <v>106</v>
      </c>
      <c r="DZ55" s="83" t="s">
        <v>106</v>
      </c>
      <c r="EA55" s="104">
        <v>9</v>
      </c>
      <c r="EB55" s="104">
        <v>3</v>
      </c>
      <c r="EC55" s="107">
        <f t="shared" si="69"/>
        <v>1</v>
      </c>
      <c r="ED55" s="107">
        <f t="shared" si="70"/>
        <v>3.0000000000000004</v>
      </c>
      <c r="EE55" s="107" t="str">
        <f t="shared" si="71"/>
        <v>(na,na,na,na,na,na)</v>
      </c>
      <c r="EF55" s="108">
        <v>1</v>
      </c>
      <c r="EG55" s="108">
        <v>1</v>
      </c>
      <c r="EH55" s="108">
        <v>1</v>
      </c>
      <c r="EI55" s="108">
        <v>1</v>
      </c>
      <c r="EJ55" s="108">
        <v>1</v>
      </c>
      <c r="EK55" s="108">
        <v>1</v>
      </c>
    </row>
    <row r="56" spans="1:141" s="171" customFormat="1" ht="24">
      <c r="A56" s="333">
        <v>267117</v>
      </c>
      <c r="B56" s="216"/>
      <c r="C56" s="334"/>
      <c r="D56" s="515">
        <v>5</v>
      </c>
      <c r="E56" s="343" t="s">
        <v>98</v>
      </c>
      <c r="F56" s="437" t="s">
        <v>990</v>
      </c>
      <c r="G56" s="438" t="s">
        <v>485</v>
      </c>
      <c r="H56" s="455" t="s">
        <v>98</v>
      </c>
      <c r="I56" s="455" t="s">
        <v>98</v>
      </c>
      <c r="J56" s="336">
        <v>0</v>
      </c>
      <c r="K56" s="438" t="s">
        <v>96</v>
      </c>
      <c r="L56" s="440">
        <f t="shared" si="90"/>
        <v>0</v>
      </c>
      <c r="M56" s="336">
        <v>1</v>
      </c>
      <c r="N56" s="337">
        <f t="shared" si="22"/>
        <v>1.0722009304576894</v>
      </c>
      <c r="O56" s="455" t="str">
        <f t="shared" si="23"/>
        <v>(2,1,1,2,1,1); Industry data (French tender) water</v>
      </c>
      <c r="P56" s="440">
        <f t="shared" si="91"/>
        <v>0</v>
      </c>
      <c r="Q56" s="336">
        <v>1</v>
      </c>
      <c r="R56" s="337">
        <f t="shared" si="24"/>
        <v>1.0722009304576894</v>
      </c>
      <c r="S56" s="455" t="str">
        <f t="shared" si="25"/>
        <v>(2,1,1,2,1,1); Industry data (French tender) water</v>
      </c>
      <c r="T56" s="440">
        <f t="shared" si="92"/>
        <v>0</v>
      </c>
      <c r="U56" s="336">
        <v>1</v>
      </c>
      <c r="V56" s="337">
        <f t="shared" si="26"/>
        <v>1.0722009304576894</v>
      </c>
      <c r="W56" s="455" t="str">
        <f t="shared" si="27"/>
        <v>(2,1,1,2,1,1); Industry data (French tender) water</v>
      </c>
      <c r="X56" s="440">
        <f t="shared" si="93"/>
        <v>0</v>
      </c>
      <c r="Y56" s="336">
        <v>1</v>
      </c>
      <c r="Z56" s="337">
        <f t="shared" si="28"/>
        <v>1.0722009304576894</v>
      </c>
      <c r="AA56" s="437" t="str">
        <f t="shared" si="29"/>
        <v>(2,1,1,2,1,1); Industry data (French tender) water</v>
      </c>
      <c r="AB56" s="440">
        <v>0</v>
      </c>
      <c r="AC56" s="336">
        <v>1</v>
      </c>
      <c r="AD56" s="337">
        <f t="shared" si="30"/>
        <v>1.0722009304576894</v>
      </c>
      <c r="AE56" s="437" t="str">
        <f t="shared" si="31"/>
        <v>(2,1,1,2,1,1); Industry data (French tender) water</v>
      </c>
      <c r="AF56" s="440">
        <v>0</v>
      </c>
      <c r="AG56" s="336">
        <v>1</v>
      </c>
      <c r="AH56" s="337">
        <f t="shared" si="32"/>
        <v>1.0722009304576894</v>
      </c>
      <c r="AI56" s="455" t="str">
        <f t="shared" si="33"/>
        <v>(2,1,1,2,1,1); Industry data (French tender) water</v>
      </c>
      <c r="AJ56" s="440">
        <v>0</v>
      </c>
      <c r="AK56" s="336">
        <v>1</v>
      </c>
      <c r="AL56" s="337">
        <f t="shared" si="34"/>
        <v>1.0722009304576894</v>
      </c>
      <c r="AM56" s="455" t="str">
        <f t="shared" si="35"/>
        <v>(2,1,1,2,1,1); Industry data (French tender) water</v>
      </c>
      <c r="AN56" s="440">
        <v>0</v>
      </c>
      <c r="AO56" s="336">
        <v>1</v>
      </c>
      <c r="AP56" s="337">
        <f t="shared" si="36"/>
        <v>1.0722009304576894</v>
      </c>
      <c r="AQ56" s="455" t="str">
        <f t="shared" si="37"/>
        <v>(2,1,1,2,1,1); Industry data (French tender) water</v>
      </c>
      <c r="AR56" s="440">
        <v>0</v>
      </c>
      <c r="AS56" s="336">
        <v>1</v>
      </c>
      <c r="AT56" s="337">
        <f t="shared" si="38"/>
        <v>1.0722009304576894</v>
      </c>
      <c r="AU56" s="455" t="str">
        <f t="shared" si="39"/>
        <v>(2,1,1,2,1,1); Industry data (French tender) water</v>
      </c>
      <c r="AV56" s="440">
        <v>0</v>
      </c>
      <c r="AW56" s="336">
        <v>1</v>
      </c>
      <c r="AX56" s="337">
        <f t="shared" si="40"/>
        <v>1.0722009304576894</v>
      </c>
      <c r="AY56" s="437" t="str">
        <f t="shared" si="41"/>
        <v>(2,1,1,2,1,1); Industry data (French tender) water</v>
      </c>
      <c r="AZ56" s="440">
        <f>AF52*$J$127</f>
        <v>0.45343522741279418</v>
      </c>
      <c r="BA56" s="336">
        <v>1</v>
      </c>
      <c r="BB56" s="337">
        <f t="shared" si="42"/>
        <v>1.0722009304576894</v>
      </c>
      <c r="BC56" s="455" t="str">
        <f t="shared" si="43"/>
        <v>(2,1,1,2,1,1); Industry data (French tender) water</v>
      </c>
      <c r="BD56" s="440">
        <f>AJ52*$J$127</f>
        <v>0.47367434980894835</v>
      </c>
      <c r="BE56" s="336">
        <v>1</v>
      </c>
      <c r="BF56" s="337">
        <f t="shared" si="44"/>
        <v>1.0722009304576894</v>
      </c>
      <c r="BG56" s="455" t="str">
        <f t="shared" si="45"/>
        <v>(2,1,1,2,1,1); Industry data (French tender) water</v>
      </c>
      <c r="BH56" s="440">
        <f>AN52*$J$127</f>
        <v>0.31548688234347316</v>
      </c>
      <c r="BI56" s="336">
        <v>1</v>
      </c>
      <c r="BJ56" s="337">
        <f t="shared" si="46"/>
        <v>1.0722009304576894</v>
      </c>
      <c r="BK56" s="455" t="str">
        <f t="shared" si="47"/>
        <v>(2,1,1,2,1,1); Industry data (French tender) water</v>
      </c>
      <c r="BL56" s="440">
        <f>AR52*$J$127</f>
        <v>0.33259070005109836</v>
      </c>
      <c r="BM56" s="336">
        <v>1</v>
      </c>
      <c r="BN56" s="337">
        <f t="shared" si="48"/>
        <v>1.0722009304576894</v>
      </c>
      <c r="BO56" s="455" t="str">
        <f t="shared" si="49"/>
        <v>(2,1,1,2,1,1); Industry data (French tender) water</v>
      </c>
      <c r="BP56" s="440">
        <f>AV52*$J$127</f>
        <v>0.33259070005109836</v>
      </c>
      <c r="BQ56" s="336">
        <v>1</v>
      </c>
      <c r="BR56" s="337">
        <f t="shared" si="50"/>
        <v>1.0722009304576894</v>
      </c>
      <c r="BS56" s="437" t="str">
        <f t="shared" si="51"/>
        <v>(2,1,1,2,1,1); Industry data (French tender) water</v>
      </c>
      <c r="BT56" s="440">
        <v>0</v>
      </c>
      <c r="BU56" s="336">
        <v>1</v>
      </c>
      <c r="BV56" s="337">
        <f t="shared" si="52"/>
        <v>1.0722009304576894</v>
      </c>
      <c r="BW56" s="455" t="str">
        <f t="shared" si="53"/>
        <v>(2,1,1,2,1,1); Industry data (French tender) water</v>
      </c>
      <c r="BX56" s="440">
        <v>0</v>
      </c>
      <c r="BY56" s="336">
        <v>1</v>
      </c>
      <c r="BZ56" s="337">
        <f t="shared" si="54"/>
        <v>1.0722009304576894</v>
      </c>
      <c r="CA56" s="455" t="str">
        <f t="shared" si="55"/>
        <v>(2,1,1,2,1,1); Industry data (French tender) water</v>
      </c>
      <c r="CB56" s="440">
        <v>0</v>
      </c>
      <c r="CC56" s="336">
        <v>1</v>
      </c>
      <c r="CD56" s="337">
        <f t="shared" si="56"/>
        <v>1.0722009304576894</v>
      </c>
      <c r="CE56" s="455" t="str">
        <f t="shared" si="57"/>
        <v>(2,1,1,2,1,1); Industry data (French tender) water</v>
      </c>
      <c r="CF56" s="440">
        <v>0</v>
      </c>
      <c r="CG56" s="336">
        <v>1</v>
      </c>
      <c r="CH56" s="337">
        <f t="shared" si="58"/>
        <v>1.0722009304576894</v>
      </c>
      <c r="CI56" s="455" t="str">
        <f t="shared" si="59"/>
        <v>(2,1,1,2,1,1); Industry data (French tender) water</v>
      </c>
      <c r="CJ56" s="440">
        <v>0</v>
      </c>
      <c r="CK56" s="336">
        <v>1</v>
      </c>
      <c r="CL56" s="337">
        <f t="shared" si="60"/>
        <v>1.0722009304576894</v>
      </c>
      <c r="CM56" s="437" t="str">
        <f t="shared" si="61"/>
        <v>(2,1,1,2,1,1); Industry data (French tender) water</v>
      </c>
      <c r="CN56" s="440">
        <v>0</v>
      </c>
      <c r="CO56" s="336">
        <v>1</v>
      </c>
      <c r="CP56" s="337">
        <f t="shared" si="62"/>
        <v>1.05</v>
      </c>
      <c r="CQ56" s="455" t="str">
        <f t="shared" si="63"/>
        <v xml:space="preserve">(na,na,na,na,na,na); </v>
      </c>
      <c r="CR56" s="440">
        <v>0</v>
      </c>
      <c r="CS56" s="336">
        <v>1</v>
      </c>
      <c r="CT56" s="337">
        <f t="shared" si="64"/>
        <v>1.05</v>
      </c>
      <c r="CU56" s="437" t="str">
        <f t="shared" si="65"/>
        <v xml:space="preserve">(na,na,na,na,na,na); </v>
      </c>
      <c r="CW56" s="440"/>
      <c r="CX56" s="440"/>
      <c r="CY56" s="440"/>
      <c r="CZ56" s="440"/>
      <c r="DA56" s="692" t="s">
        <v>1199</v>
      </c>
      <c r="DB56" s="83">
        <v>2</v>
      </c>
      <c r="DC56" s="83">
        <v>1</v>
      </c>
      <c r="DD56" s="83">
        <v>1</v>
      </c>
      <c r="DE56" s="83">
        <v>2</v>
      </c>
      <c r="DF56" s="83">
        <v>1</v>
      </c>
      <c r="DG56" s="83">
        <v>1</v>
      </c>
      <c r="DH56" s="104">
        <v>3</v>
      </c>
      <c r="DI56" s="104">
        <v>1.05</v>
      </c>
      <c r="DJ56" s="107">
        <f t="shared" si="66"/>
        <v>1.0510550504206344</v>
      </c>
      <c r="DK56" s="107">
        <f t="shared" si="67"/>
        <v>1.0722009304576894</v>
      </c>
      <c r="DL56" s="107" t="str">
        <f t="shared" si="68"/>
        <v>(2,1,1,2,1,1)</v>
      </c>
      <c r="DM56" s="108">
        <v>1.05</v>
      </c>
      <c r="DN56" s="108">
        <v>1</v>
      </c>
      <c r="DO56" s="108">
        <v>1</v>
      </c>
      <c r="DP56" s="108">
        <v>1.01</v>
      </c>
      <c r="DQ56" s="108">
        <v>1</v>
      </c>
      <c r="DR56" s="108">
        <v>1</v>
      </c>
      <c r="DT56" s="691"/>
      <c r="DU56" s="83" t="s">
        <v>106</v>
      </c>
      <c r="DV56" s="83" t="s">
        <v>106</v>
      </c>
      <c r="DW56" s="83" t="s">
        <v>106</v>
      </c>
      <c r="DX56" s="83" t="s">
        <v>106</v>
      </c>
      <c r="DY56" s="83" t="s">
        <v>106</v>
      </c>
      <c r="DZ56" s="83" t="s">
        <v>106</v>
      </c>
      <c r="EA56" s="104">
        <v>3</v>
      </c>
      <c r="EB56" s="104">
        <v>1.05</v>
      </c>
      <c r="EC56" s="107">
        <f t="shared" si="69"/>
        <v>1</v>
      </c>
      <c r="ED56" s="107">
        <f t="shared" si="70"/>
        <v>1.05</v>
      </c>
      <c r="EE56" s="107" t="str">
        <f t="shared" si="71"/>
        <v>(na,na,na,na,na,na)</v>
      </c>
      <c r="EF56" s="108">
        <v>1</v>
      </c>
      <c r="EG56" s="108">
        <v>1</v>
      </c>
      <c r="EH56" s="108">
        <v>1</v>
      </c>
      <c r="EI56" s="108">
        <v>1</v>
      </c>
      <c r="EJ56" s="108">
        <v>1</v>
      </c>
      <c r="EK56" s="108">
        <v>1</v>
      </c>
    </row>
    <row r="57" spans="1:141" s="171" customFormat="1" ht="24">
      <c r="A57" s="333">
        <v>256060</v>
      </c>
      <c r="B57" s="216"/>
      <c r="C57" s="334"/>
      <c r="D57" s="515">
        <v>5</v>
      </c>
      <c r="E57" s="343" t="s">
        <v>98</v>
      </c>
      <c r="F57" s="437" t="s">
        <v>991</v>
      </c>
      <c r="G57" s="438" t="s">
        <v>992</v>
      </c>
      <c r="H57" s="455" t="s">
        <v>98</v>
      </c>
      <c r="I57" s="455" t="s">
        <v>98</v>
      </c>
      <c r="J57" s="336">
        <v>0</v>
      </c>
      <c r="K57" s="438" t="s">
        <v>96</v>
      </c>
      <c r="L57" s="440">
        <f t="shared" si="90"/>
        <v>0</v>
      </c>
      <c r="M57" s="336">
        <v>1</v>
      </c>
      <c r="N57" s="337">
        <f t="shared" si="22"/>
        <v>1.0722009304576894</v>
      </c>
      <c r="O57" s="455" t="str">
        <f t="shared" si="23"/>
        <v>(2,1,1,2,1,1); Industry data (French tender) water</v>
      </c>
      <c r="P57" s="440">
        <f t="shared" si="91"/>
        <v>0</v>
      </c>
      <c r="Q57" s="336">
        <v>1</v>
      </c>
      <c r="R57" s="337">
        <f t="shared" si="24"/>
        <v>1.0722009304576894</v>
      </c>
      <c r="S57" s="455" t="str">
        <f t="shared" si="25"/>
        <v>(2,1,1,2,1,1); Industry data (French tender) water</v>
      </c>
      <c r="T57" s="440">
        <f t="shared" si="92"/>
        <v>0</v>
      </c>
      <c r="U57" s="336">
        <v>1</v>
      </c>
      <c r="V57" s="337">
        <f t="shared" si="26"/>
        <v>1.0722009304576894</v>
      </c>
      <c r="W57" s="455" t="str">
        <f t="shared" si="27"/>
        <v>(2,1,1,2,1,1); Industry data (French tender) water</v>
      </c>
      <c r="X57" s="440">
        <f t="shared" si="93"/>
        <v>0</v>
      </c>
      <c r="Y57" s="336">
        <v>1</v>
      </c>
      <c r="Z57" s="337">
        <f t="shared" si="28"/>
        <v>1.0722009304576894</v>
      </c>
      <c r="AA57" s="437" t="str">
        <f t="shared" si="29"/>
        <v>(2,1,1,2,1,1); Industry data (French tender) water</v>
      </c>
      <c r="AB57" s="440">
        <v>0</v>
      </c>
      <c r="AC57" s="336">
        <v>1</v>
      </c>
      <c r="AD57" s="337">
        <f t="shared" si="30"/>
        <v>1.0722009304576894</v>
      </c>
      <c r="AE57" s="437" t="str">
        <f t="shared" si="31"/>
        <v>(2,1,1,2,1,1); Industry data (French tender) water</v>
      </c>
      <c r="AF57" s="440">
        <v>0</v>
      </c>
      <c r="AG57" s="336">
        <v>1</v>
      </c>
      <c r="AH57" s="337">
        <f t="shared" si="32"/>
        <v>1.0722009304576894</v>
      </c>
      <c r="AI57" s="455" t="str">
        <f t="shared" si="33"/>
        <v>(2,1,1,2,1,1); Industry data (French tender) water</v>
      </c>
      <c r="AJ57" s="440">
        <v>0</v>
      </c>
      <c r="AK57" s="336">
        <v>1</v>
      </c>
      <c r="AL57" s="337">
        <f t="shared" si="34"/>
        <v>1.0722009304576894</v>
      </c>
      <c r="AM57" s="455" t="str">
        <f t="shared" si="35"/>
        <v>(2,1,1,2,1,1); Industry data (French tender) water</v>
      </c>
      <c r="AN57" s="440">
        <v>0</v>
      </c>
      <c r="AO57" s="336">
        <v>1</v>
      </c>
      <c r="AP57" s="337">
        <f t="shared" si="36"/>
        <v>1.0722009304576894</v>
      </c>
      <c r="AQ57" s="455" t="str">
        <f t="shared" si="37"/>
        <v>(2,1,1,2,1,1); Industry data (French tender) water</v>
      </c>
      <c r="AR57" s="440">
        <v>0</v>
      </c>
      <c r="AS57" s="336">
        <v>1</v>
      </c>
      <c r="AT57" s="337">
        <f t="shared" si="38"/>
        <v>1.0722009304576894</v>
      </c>
      <c r="AU57" s="455" t="str">
        <f t="shared" si="39"/>
        <v>(2,1,1,2,1,1); Industry data (French tender) water</v>
      </c>
      <c r="AV57" s="440">
        <v>0</v>
      </c>
      <c r="AW57" s="336">
        <v>1</v>
      </c>
      <c r="AX57" s="337">
        <f t="shared" si="40"/>
        <v>1.0722009304576894</v>
      </c>
      <c r="AY57" s="437" t="str">
        <f t="shared" si="41"/>
        <v>(2,1,1,2,1,1); Industry data (French tender) water</v>
      </c>
      <c r="AZ57" s="440">
        <f>AF52*$J$129</f>
        <v>2.9926725009244421</v>
      </c>
      <c r="BA57" s="336">
        <v>1</v>
      </c>
      <c r="BB57" s="337">
        <f t="shared" si="42"/>
        <v>1.0722009304576894</v>
      </c>
      <c r="BC57" s="455" t="str">
        <f t="shared" si="43"/>
        <v>(2,1,1,2,1,1); Industry data (French tender) water</v>
      </c>
      <c r="BD57" s="440">
        <f>AJ52*$J$129</f>
        <v>3.1262507087390596</v>
      </c>
      <c r="BE57" s="336">
        <v>1</v>
      </c>
      <c r="BF57" s="337">
        <f t="shared" si="44"/>
        <v>1.0722009304576894</v>
      </c>
      <c r="BG57" s="455" t="str">
        <f t="shared" si="45"/>
        <v>(2,1,1,2,1,1); Industry data (French tender) water</v>
      </c>
      <c r="BH57" s="440">
        <f>AN52*$J$129</f>
        <v>2.0822134234669232</v>
      </c>
      <c r="BI57" s="336">
        <v>1</v>
      </c>
      <c r="BJ57" s="337">
        <f t="shared" si="46"/>
        <v>1.0722009304576894</v>
      </c>
      <c r="BK57" s="455" t="str">
        <f t="shared" si="47"/>
        <v>(2,1,1,2,1,1); Industry data (French tender) water</v>
      </c>
      <c r="BL57" s="440">
        <f>AR52*$J$129</f>
        <v>2.1950986203372498</v>
      </c>
      <c r="BM57" s="336">
        <v>1</v>
      </c>
      <c r="BN57" s="337">
        <f t="shared" si="48"/>
        <v>1.0722009304576894</v>
      </c>
      <c r="BO57" s="455" t="str">
        <f t="shared" si="49"/>
        <v>(2,1,1,2,1,1); Industry data (French tender) water</v>
      </c>
      <c r="BP57" s="440">
        <f>AV52*$J$129</f>
        <v>2.1950986203372498</v>
      </c>
      <c r="BQ57" s="336">
        <v>1</v>
      </c>
      <c r="BR57" s="337">
        <f t="shared" si="50"/>
        <v>1.0722009304576894</v>
      </c>
      <c r="BS57" s="437" t="str">
        <f t="shared" si="51"/>
        <v>(2,1,1,2,1,1); Industry data (French tender) water</v>
      </c>
      <c r="BT57" s="440">
        <v>0</v>
      </c>
      <c r="BU57" s="336">
        <v>1</v>
      </c>
      <c r="BV57" s="337">
        <f t="shared" si="52"/>
        <v>1.0722009304576894</v>
      </c>
      <c r="BW57" s="455" t="str">
        <f t="shared" si="53"/>
        <v>(2,1,1,2,1,1); Industry data (French tender) water</v>
      </c>
      <c r="BX57" s="440">
        <v>0</v>
      </c>
      <c r="BY57" s="336">
        <v>1</v>
      </c>
      <c r="BZ57" s="337">
        <f t="shared" si="54"/>
        <v>1.0722009304576894</v>
      </c>
      <c r="CA57" s="455" t="str">
        <f t="shared" si="55"/>
        <v>(2,1,1,2,1,1); Industry data (French tender) water</v>
      </c>
      <c r="CB57" s="440">
        <v>0</v>
      </c>
      <c r="CC57" s="336">
        <v>1</v>
      </c>
      <c r="CD57" s="337">
        <f t="shared" si="56"/>
        <v>1.0722009304576894</v>
      </c>
      <c r="CE57" s="455" t="str">
        <f t="shared" si="57"/>
        <v>(2,1,1,2,1,1); Industry data (French tender) water</v>
      </c>
      <c r="CF57" s="440">
        <v>0</v>
      </c>
      <c r="CG57" s="336">
        <v>1</v>
      </c>
      <c r="CH57" s="337">
        <f t="shared" si="58"/>
        <v>1.0722009304576894</v>
      </c>
      <c r="CI57" s="455" t="str">
        <f t="shared" si="59"/>
        <v>(2,1,1,2,1,1); Industry data (French tender) water</v>
      </c>
      <c r="CJ57" s="440">
        <v>0</v>
      </c>
      <c r="CK57" s="336">
        <v>1</v>
      </c>
      <c r="CL57" s="337">
        <f t="shared" si="60"/>
        <v>1.0722009304576894</v>
      </c>
      <c r="CM57" s="437" t="str">
        <f t="shared" si="61"/>
        <v>(2,1,1,2,1,1); Industry data (French tender) water</v>
      </c>
      <c r="CN57" s="440">
        <v>0</v>
      </c>
      <c r="CO57" s="336">
        <v>1</v>
      </c>
      <c r="CP57" s="337">
        <f t="shared" si="62"/>
        <v>1.05</v>
      </c>
      <c r="CQ57" s="455" t="str">
        <f t="shared" si="63"/>
        <v xml:space="preserve">(na,na,na,na,na,na); </v>
      </c>
      <c r="CR57" s="440">
        <v>0</v>
      </c>
      <c r="CS57" s="336">
        <v>1</v>
      </c>
      <c r="CT57" s="337">
        <f t="shared" si="64"/>
        <v>1.05</v>
      </c>
      <c r="CU57" s="437" t="str">
        <f t="shared" si="65"/>
        <v xml:space="preserve">(na,na,na,na,na,na); </v>
      </c>
      <c r="CW57" s="440"/>
      <c r="CX57" s="440"/>
      <c r="CY57" s="440"/>
      <c r="CZ57" s="440"/>
      <c r="DA57" s="692" t="s">
        <v>1199</v>
      </c>
      <c r="DB57" s="83">
        <v>2</v>
      </c>
      <c r="DC57" s="83">
        <v>1</v>
      </c>
      <c r="DD57" s="83">
        <v>1</v>
      </c>
      <c r="DE57" s="83">
        <v>2</v>
      </c>
      <c r="DF57" s="83">
        <v>1</v>
      </c>
      <c r="DG57" s="83">
        <v>1</v>
      </c>
      <c r="DH57" s="104">
        <v>3</v>
      </c>
      <c r="DI57" s="104">
        <v>1.05</v>
      </c>
      <c r="DJ57" s="107">
        <f t="shared" si="66"/>
        <v>1.0510550504206344</v>
      </c>
      <c r="DK57" s="107">
        <f t="shared" si="67"/>
        <v>1.0722009304576894</v>
      </c>
      <c r="DL57" s="107" t="str">
        <f t="shared" si="68"/>
        <v>(2,1,1,2,1,1)</v>
      </c>
      <c r="DM57" s="108">
        <v>1.05</v>
      </c>
      <c r="DN57" s="108">
        <v>1</v>
      </c>
      <c r="DO57" s="108">
        <v>1</v>
      </c>
      <c r="DP57" s="108">
        <v>1.01</v>
      </c>
      <c r="DQ57" s="108">
        <v>1</v>
      </c>
      <c r="DR57" s="108">
        <v>1</v>
      </c>
      <c r="DT57" s="691"/>
      <c r="DU57" s="83" t="s">
        <v>106</v>
      </c>
      <c r="DV57" s="83" t="s">
        <v>106</v>
      </c>
      <c r="DW57" s="83" t="s">
        <v>106</v>
      </c>
      <c r="DX57" s="83" t="s">
        <v>106</v>
      </c>
      <c r="DY57" s="83" t="s">
        <v>106</v>
      </c>
      <c r="DZ57" s="83" t="s">
        <v>106</v>
      </c>
      <c r="EA57" s="104">
        <v>3</v>
      </c>
      <c r="EB57" s="104">
        <v>1.05</v>
      </c>
      <c r="EC57" s="107">
        <f t="shared" si="69"/>
        <v>1</v>
      </c>
      <c r="ED57" s="107">
        <f t="shared" si="70"/>
        <v>1.05</v>
      </c>
      <c r="EE57" s="107" t="str">
        <f t="shared" si="71"/>
        <v>(na,na,na,na,na,na)</v>
      </c>
      <c r="EF57" s="108">
        <v>1</v>
      </c>
      <c r="EG57" s="108">
        <v>1</v>
      </c>
      <c r="EH57" s="108">
        <v>1</v>
      </c>
      <c r="EI57" s="108">
        <v>1</v>
      </c>
      <c r="EJ57" s="108">
        <v>1</v>
      </c>
      <c r="EK57" s="108">
        <v>1</v>
      </c>
    </row>
    <row r="58" spans="1:141" ht="24">
      <c r="A58" s="330">
        <v>265573</v>
      </c>
      <c r="B58" s="216"/>
      <c r="C58" s="334"/>
      <c r="D58" s="515">
        <v>5</v>
      </c>
      <c r="E58" s="343" t="s">
        <v>98</v>
      </c>
      <c r="F58" s="437" t="s">
        <v>487</v>
      </c>
      <c r="G58" s="438" t="s">
        <v>93</v>
      </c>
      <c r="H58" s="455" t="s">
        <v>98</v>
      </c>
      <c r="I58" s="455" t="s">
        <v>98</v>
      </c>
      <c r="J58" s="336">
        <v>0</v>
      </c>
      <c r="K58" s="438" t="s">
        <v>96</v>
      </c>
      <c r="L58" s="440">
        <f t="shared" si="90"/>
        <v>0</v>
      </c>
      <c r="M58" s="336">
        <v>1</v>
      </c>
      <c r="N58" s="337">
        <f t="shared" si="22"/>
        <v>1.0722009304576894</v>
      </c>
      <c r="O58" s="455" t="str">
        <f t="shared" si="23"/>
        <v>(2,1,1,2,1,1); Industry data (French tender) water</v>
      </c>
      <c r="P58" s="440">
        <f t="shared" si="91"/>
        <v>0</v>
      </c>
      <c r="Q58" s="336">
        <v>1</v>
      </c>
      <c r="R58" s="337">
        <f t="shared" si="24"/>
        <v>1.0722009304576894</v>
      </c>
      <c r="S58" s="455" t="str">
        <f t="shared" si="25"/>
        <v>(2,1,1,2,1,1); Industry data (French tender) water</v>
      </c>
      <c r="T58" s="440">
        <f t="shared" si="92"/>
        <v>0</v>
      </c>
      <c r="U58" s="336">
        <v>1</v>
      </c>
      <c r="V58" s="337">
        <f t="shared" si="26"/>
        <v>1.0722009304576894</v>
      </c>
      <c r="W58" s="455" t="str">
        <f t="shared" si="27"/>
        <v>(2,1,1,2,1,1); Industry data (French tender) water</v>
      </c>
      <c r="X58" s="440">
        <f t="shared" si="93"/>
        <v>0</v>
      </c>
      <c r="Y58" s="336">
        <v>1</v>
      </c>
      <c r="Z58" s="337">
        <f t="shared" si="28"/>
        <v>1.0722009304576894</v>
      </c>
      <c r="AA58" s="437" t="str">
        <f t="shared" si="29"/>
        <v>(2,1,1,2,1,1); Industry data (French tender) water</v>
      </c>
      <c r="AB58" s="435">
        <v>0</v>
      </c>
      <c r="AC58" s="95">
        <v>1</v>
      </c>
      <c r="AD58" s="96">
        <f t="shared" si="30"/>
        <v>1.0722009304576894</v>
      </c>
      <c r="AE58" s="432" t="str">
        <f t="shared" si="31"/>
        <v>(2,1,1,2,1,1); Industry data (French tender) water</v>
      </c>
      <c r="AF58" s="435">
        <v>0</v>
      </c>
      <c r="AG58" s="95">
        <v>1</v>
      </c>
      <c r="AH58" s="96">
        <f t="shared" si="32"/>
        <v>1.0722009304576894</v>
      </c>
      <c r="AI58" s="457" t="str">
        <f t="shared" si="33"/>
        <v>(2,1,1,2,1,1); Industry data (French tender) water</v>
      </c>
      <c r="AJ58" s="435">
        <v>0</v>
      </c>
      <c r="AK58" s="95">
        <v>1</v>
      </c>
      <c r="AL58" s="96">
        <f t="shared" si="34"/>
        <v>1.0722009304576894</v>
      </c>
      <c r="AM58" s="457" t="str">
        <f t="shared" si="35"/>
        <v>(2,1,1,2,1,1); Industry data (French tender) water</v>
      </c>
      <c r="AN58" s="435">
        <v>0</v>
      </c>
      <c r="AO58" s="95">
        <v>1</v>
      </c>
      <c r="AP58" s="96">
        <f t="shared" si="36"/>
        <v>1.0722009304576894</v>
      </c>
      <c r="AQ58" s="457" t="str">
        <f t="shared" si="37"/>
        <v>(2,1,1,2,1,1); Industry data (French tender) water</v>
      </c>
      <c r="AR58" s="435">
        <v>0</v>
      </c>
      <c r="AS58" s="95">
        <v>1</v>
      </c>
      <c r="AT58" s="96">
        <f t="shared" si="38"/>
        <v>1.0722009304576894</v>
      </c>
      <c r="AU58" s="457" t="str">
        <f t="shared" si="39"/>
        <v>(2,1,1,2,1,1); Industry data (French tender) water</v>
      </c>
      <c r="AV58" s="435">
        <v>0</v>
      </c>
      <c r="AW58" s="95">
        <v>1</v>
      </c>
      <c r="AX58" s="96">
        <f t="shared" si="40"/>
        <v>1.0722009304576894</v>
      </c>
      <c r="AY58" s="432" t="str">
        <f t="shared" si="41"/>
        <v>(2,1,1,2,1,1); Industry data (French tender) water</v>
      </c>
      <c r="AZ58" s="435">
        <v>0</v>
      </c>
      <c r="BA58" s="95">
        <v>1</v>
      </c>
      <c r="BB58" s="96">
        <f t="shared" si="42"/>
        <v>1.0722009304576894</v>
      </c>
      <c r="BC58" s="457" t="str">
        <f t="shared" si="43"/>
        <v>(2,1,1,2,1,1); Industry data (French tender) water</v>
      </c>
      <c r="BD58" s="435">
        <v>0</v>
      </c>
      <c r="BE58" s="95">
        <v>1</v>
      </c>
      <c r="BF58" s="96">
        <f t="shared" si="44"/>
        <v>1.0722009304576894</v>
      </c>
      <c r="BG58" s="457" t="str">
        <f t="shared" si="45"/>
        <v>(2,1,1,2,1,1); Industry data (French tender) water</v>
      </c>
      <c r="BH58" s="435">
        <v>0</v>
      </c>
      <c r="BI58" s="95">
        <v>1</v>
      </c>
      <c r="BJ58" s="96">
        <f t="shared" si="46"/>
        <v>1.0722009304576894</v>
      </c>
      <c r="BK58" s="457" t="str">
        <f t="shared" si="47"/>
        <v>(2,1,1,2,1,1); Industry data (French tender) water</v>
      </c>
      <c r="BL58" s="435">
        <v>0</v>
      </c>
      <c r="BM58" s="95">
        <v>1</v>
      </c>
      <c r="BN58" s="96">
        <f t="shared" si="48"/>
        <v>1.0722009304576894</v>
      </c>
      <c r="BO58" s="457" t="str">
        <f t="shared" si="49"/>
        <v>(2,1,1,2,1,1); Industry data (French tender) water</v>
      </c>
      <c r="BP58" s="435">
        <v>0</v>
      </c>
      <c r="BQ58" s="95">
        <v>1</v>
      </c>
      <c r="BR58" s="96">
        <f t="shared" si="50"/>
        <v>1.0722009304576894</v>
      </c>
      <c r="BS58" s="432" t="str">
        <f t="shared" si="51"/>
        <v>(2,1,1,2,1,1); Industry data (French tender) water</v>
      </c>
      <c r="BT58" s="435">
        <f>AZ53</f>
        <v>0.90687045482558837</v>
      </c>
      <c r="BU58" s="95">
        <v>1</v>
      </c>
      <c r="BV58" s="96">
        <f t="shared" si="52"/>
        <v>1.0722009304576894</v>
      </c>
      <c r="BW58" s="457" t="str">
        <f t="shared" si="53"/>
        <v>(2,1,1,2,1,1); Industry data (French tender) water</v>
      </c>
      <c r="BX58" s="435">
        <f>BD53</f>
        <v>0.94734869961789669</v>
      </c>
      <c r="BY58" s="95">
        <v>1</v>
      </c>
      <c r="BZ58" s="96">
        <f t="shared" si="54"/>
        <v>1.0722009304576894</v>
      </c>
      <c r="CA58" s="457" t="str">
        <f t="shared" si="55"/>
        <v>(2,1,1,2,1,1); Industry data (French tender) water</v>
      </c>
      <c r="CB58" s="435">
        <f>BH53</f>
        <v>0.63097376468694633</v>
      </c>
      <c r="CC58" s="95">
        <v>1</v>
      </c>
      <c r="CD58" s="96">
        <f t="shared" si="56"/>
        <v>1.0722009304576894</v>
      </c>
      <c r="CE58" s="457" t="str">
        <f t="shared" si="57"/>
        <v>(2,1,1,2,1,1); Industry data (French tender) water</v>
      </c>
      <c r="CF58" s="435">
        <f>BL53</f>
        <v>0.66518140010219673</v>
      </c>
      <c r="CG58" s="95">
        <v>1</v>
      </c>
      <c r="CH58" s="96">
        <f t="shared" si="58"/>
        <v>1.0722009304576894</v>
      </c>
      <c r="CI58" s="457" t="str">
        <f t="shared" si="59"/>
        <v>(2,1,1,2,1,1); Industry data (French tender) water</v>
      </c>
      <c r="CJ58" s="435">
        <f>CF58</f>
        <v>0.66518140010219673</v>
      </c>
      <c r="CK58" s="95">
        <v>1</v>
      </c>
      <c r="CL58" s="337">
        <f t="shared" si="60"/>
        <v>1.0722009304576894</v>
      </c>
      <c r="CM58" s="437" t="str">
        <f t="shared" si="61"/>
        <v>(2,1,1,2,1,1); Industry data (French tender) water</v>
      </c>
      <c r="CN58" s="435">
        <v>0</v>
      </c>
      <c r="CO58" s="95">
        <v>1</v>
      </c>
      <c r="CP58" s="96">
        <f t="shared" si="62"/>
        <v>1.05</v>
      </c>
      <c r="CQ58" s="457" t="str">
        <f t="shared" si="63"/>
        <v xml:space="preserve">(na,na,na,na,na,na); </v>
      </c>
      <c r="CR58" s="435">
        <v>0</v>
      </c>
      <c r="CS58" s="95">
        <v>1</v>
      </c>
      <c r="CT58" s="96">
        <f t="shared" si="64"/>
        <v>1.05</v>
      </c>
      <c r="CU58" s="432" t="str">
        <f t="shared" si="65"/>
        <v xml:space="preserve">(na,na,na,na,na,na); </v>
      </c>
      <c r="CV58" s="399"/>
      <c r="CW58" s="435"/>
      <c r="CX58" s="435"/>
      <c r="CY58" s="435"/>
      <c r="CZ58" s="435"/>
      <c r="DA58" s="692" t="s">
        <v>1199</v>
      </c>
      <c r="DB58" s="83">
        <v>2</v>
      </c>
      <c r="DC58" s="83">
        <v>1</v>
      </c>
      <c r="DD58" s="83">
        <v>1</v>
      </c>
      <c r="DE58" s="83">
        <v>2</v>
      </c>
      <c r="DF58" s="83">
        <v>1</v>
      </c>
      <c r="DG58" s="83">
        <v>1</v>
      </c>
      <c r="DH58" s="104">
        <v>3</v>
      </c>
      <c r="DI58" s="104">
        <v>1.05</v>
      </c>
      <c r="DJ58" s="107">
        <f t="shared" si="66"/>
        <v>1.0510550504206344</v>
      </c>
      <c r="DK58" s="107">
        <f t="shared" si="67"/>
        <v>1.0722009304576894</v>
      </c>
      <c r="DL58" s="107" t="str">
        <f t="shared" si="68"/>
        <v>(2,1,1,2,1,1)</v>
      </c>
      <c r="DM58" s="108">
        <v>1.05</v>
      </c>
      <c r="DN58" s="108">
        <v>1</v>
      </c>
      <c r="DO58" s="108">
        <v>1</v>
      </c>
      <c r="DP58" s="108">
        <v>1.01</v>
      </c>
      <c r="DQ58" s="108">
        <v>1</v>
      </c>
      <c r="DR58" s="108">
        <v>1</v>
      </c>
      <c r="DS58" s="399"/>
      <c r="DT58" s="692"/>
      <c r="DU58" s="83" t="s">
        <v>106</v>
      </c>
      <c r="DV58" s="83" t="s">
        <v>106</v>
      </c>
      <c r="DW58" s="83" t="s">
        <v>106</v>
      </c>
      <c r="DX58" s="83" t="s">
        <v>106</v>
      </c>
      <c r="DY58" s="83" t="s">
        <v>106</v>
      </c>
      <c r="DZ58" s="83" t="s">
        <v>106</v>
      </c>
      <c r="EA58" s="104">
        <v>3</v>
      </c>
      <c r="EB58" s="104">
        <v>1.05</v>
      </c>
      <c r="EC58" s="107">
        <f t="shared" si="69"/>
        <v>1</v>
      </c>
      <c r="ED58" s="107">
        <f t="shared" si="70"/>
        <v>1.05</v>
      </c>
      <c r="EE58" s="107" t="str">
        <f t="shared" si="71"/>
        <v>(na,na,na,na,na,na)</v>
      </c>
      <c r="EF58" s="108">
        <v>1</v>
      </c>
      <c r="EG58" s="108">
        <v>1</v>
      </c>
      <c r="EH58" s="108">
        <v>1</v>
      </c>
      <c r="EI58" s="108">
        <v>1</v>
      </c>
      <c r="EJ58" s="108">
        <v>1</v>
      </c>
      <c r="EK58" s="108">
        <v>1</v>
      </c>
    </row>
    <row r="59" spans="1:141" s="171" customFormat="1" ht="24">
      <c r="A59" s="333">
        <v>259545</v>
      </c>
      <c r="B59" s="216"/>
      <c r="C59" s="334"/>
      <c r="D59" s="515">
        <v>5</v>
      </c>
      <c r="E59" s="343" t="s">
        <v>98</v>
      </c>
      <c r="F59" s="437" t="s">
        <v>993</v>
      </c>
      <c r="G59" s="438" t="s">
        <v>340</v>
      </c>
      <c r="H59" s="455" t="s">
        <v>98</v>
      </c>
      <c r="I59" s="455" t="s">
        <v>98</v>
      </c>
      <c r="J59" s="336">
        <v>0</v>
      </c>
      <c r="K59" s="438" t="s">
        <v>96</v>
      </c>
      <c r="L59" s="440">
        <f t="shared" si="90"/>
        <v>0</v>
      </c>
      <c r="M59" s="336">
        <v>1</v>
      </c>
      <c r="N59" s="337">
        <f t="shared" si="22"/>
        <v>1.05</v>
      </c>
      <c r="O59" s="455" t="str">
        <f t="shared" si="23"/>
        <v xml:space="preserve">(na,na,na,na,na,na); </v>
      </c>
      <c r="P59" s="440">
        <f t="shared" si="91"/>
        <v>0</v>
      </c>
      <c r="Q59" s="336">
        <v>1</v>
      </c>
      <c r="R59" s="337">
        <f t="shared" si="24"/>
        <v>1.05</v>
      </c>
      <c r="S59" s="455" t="str">
        <f t="shared" si="25"/>
        <v xml:space="preserve">(na,na,na,na,na,na); </v>
      </c>
      <c r="T59" s="440">
        <f t="shared" si="92"/>
        <v>0</v>
      </c>
      <c r="U59" s="336">
        <v>1</v>
      </c>
      <c r="V59" s="337">
        <f t="shared" si="26"/>
        <v>1.05</v>
      </c>
      <c r="W59" s="455" t="str">
        <f t="shared" si="27"/>
        <v xml:space="preserve">(na,na,na,na,na,na); </v>
      </c>
      <c r="X59" s="440">
        <f t="shared" si="93"/>
        <v>0</v>
      </c>
      <c r="Y59" s="336">
        <v>1</v>
      </c>
      <c r="Z59" s="337">
        <f t="shared" si="28"/>
        <v>1.05</v>
      </c>
      <c r="AA59" s="437" t="str">
        <f t="shared" si="29"/>
        <v xml:space="preserve">(na,na,na,na,na,na); </v>
      </c>
      <c r="AB59" s="440">
        <v>0</v>
      </c>
      <c r="AC59" s="336">
        <v>1</v>
      </c>
      <c r="AD59" s="337">
        <f t="shared" si="30"/>
        <v>1.05</v>
      </c>
      <c r="AE59" s="437" t="str">
        <f t="shared" si="31"/>
        <v xml:space="preserve">(na,na,na,na,na,na); </v>
      </c>
      <c r="AF59" s="440">
        <v>0</v>
      </c>
      <c r="AG59" s="336">
        <v>1</v>
      </c>
      <c r="AH59" s="337">
        <f t="shared" si="32"/>
        <v>1.05</v>
      </c>
      <c r="AI59" s="455" t="str">
        <f t="shared" si="33"/>
        <v xml:space="preserve">(na,na,na,na,na,na); </v>
      </c>
      <c r="AJ59" s="440">
        <v>0</v>
      </c>
      <c r="AK59" s="336">
        <v>1</v>
      </c>
      <c r="AL59" s="337">
        <f t="shared" si="34"/>
        <v>1.05</v>
      </c>
      <c r="AM59" s="455" t="str">
        <f t="shared" si="35"/>
        <v xml:space="preserve">(na,na,na,na,na,na); </v>
      </c>
      <c r="AN59" s="440">
        <v>0</v>
      </c>
      <c r="AO59" s="336">
        <v>1</v>
      </c>
      <c r="AP59" s="337">
        <f t="shared" si="36"/>
        <v>1.05</v>
      </c>
      <c r="AQ59" s="455" t="str">
        <f t="shared" si="37"/>
        <v xml:space="preserve">(na,na,na,na,na,na); </v>
      </c>
      <c r="AR59" s="440">
        <v>0</v>
      </c>
      <c r="AS59" s="336">
        <v>1</v>
      </c>
      <c r="AT59" s="337">
        <f t="shared" si="38"/>
        <v>1.05</v>
      </c>
      <c r="AU59" s="455" t="str">
        <f t="shared" si="39"/>
        <v xml:space="preserve">(na,na,na,na,na,na); </v>
      </c>
      <c r="AV59" s="440">
        <v>0</v>
      </c>
      <c r="AW59" s="336">
        <v>1</v>
      </c>
      <c r="AX59" s="337">
        <f t="shared" si="40"/>
        <v>1.05</v>
      </c>
      <c r="AY59" s="437" t="str">
        <f t="shared" si="41"/>
        <v xml:space="preserve">(na,na,na,na,na,na); </v>
      </c>
      <c r="AZ59" s="440">
        <v>0</v>
      </c>
      <c r="BA59" s="336">
        <v>1</v>
      </c>
      <c r="BB59" s="337">
        <f t="shared" si="42"/>
        <v>1.05</v>
      </c>
      <c r="BC59" s="455" t="str">
        <f t="shared" si="43"/>
        <v xml:space="preserve">(na,na,na,na,na,na); </v>
      </c>
      <c r="BD59" s="440">
        <v>0</v>
      </c>
      <c r="BE59" s="336">
        <v>1</v>
      </c>
      <c r="BF59" s="337">
        <f t="shared" si="44"/>
        <v>1.05</v>
      </c>
      <c r="BG59" s="455" t="str">
        <f t="shared" si="45"/>
        <v xml:space="preserve">(na,na,na,na,na,na); </v>
      </c>
      <c r="BH59" s="440">
        <v>0</v>
      </c>
      <c r="BI59" s="336">
        <v>1</v>
      </c>
      <c r="BJ59" s="337">
        <f t="shared" si="46"/>
        <v>1.05</v>
      </c>
      <c r="BK59" s="455" t="str">
        <f t="shared" si="47"/>
        <v xml:space="preserve">(na,na,na,na,na,na); </v>
      </c>
      <c r="BL59" s="440">
        <v>0</v>
      </c>
      <c r="BM59" s="336">
        <v>1</v>
      </c>
      <c r="BN59" s="337">
        <f t="shared" si="48"/>
        <v>1.05</v>
      </c>
      <c r="BO59" s="455" t="str">
        <f t="shared" si="49"/>
        <v xml:space="preserve">(na,na,na,na,na,na); </v>
      </c>
      <c r="BP59" s="440">
        <v>0</v>
      </c>
      <c r="BQ59" s="336">
        <v>1</v>
      </c>
      <c r="BR59" s="337">
        <f t="shared" si="50"/>
        <v>1.05</v>
      </c>
      <c r="BS59" s="437" t="str">
        <f t="shared" si="51"/>
        <v xml:space="preserve">(na,na,na,na,na,na); </v>
      </c>
      <c r="BT59" s="440">
        <v>0</v>
      </c>
      <c r="BU59" s="336">
        <v>1</v>
      </c>
      <c r="BV59" s="337">
        <f t="shared" si="52"/>
        <v>1.05</v>
      </c>
      <c r="BW59" s="455" t="str">
        <f t="shared" si="53"/>
        <v xml:space="preserve">(na,na,na,na,na,na); </v>
      </c>
      <c r="BX59" s="440">
        <v>0</v>
      </c>
      <c r="BY59" s="336">
        <v>1</v>
      </c>
      <c r="BZ59" s="337">
        <f t="shared" si="54"/>
        <v>1.05</v>
      </c>
      <c r="CA59" s="455" t="str">
        <f t="shared" si="55"/>
        <v xml:space="preserve">(na,na,na,na,na,na); </v>
      </c>
      <c r="CB59" s="440">
        <v>0</v>
      </c>
      <c r="CC59" s="336">
        <v>1</v>
      </c>
      <c r="CD59" s="337">
        <f t="shared" si="56"/>
        <v>1.05</v>
      </c>
      <c r="CE59" s="455" t="str">
        <f t="shared" si="57"/>
        <v xml:space="preserve">(na,na,na,na,na,na); </v>
      </c>
      <c r="CF59" s="440">
        <v>0</v>
      </c>
      <c r="CG59" s="336">
        <v>1</v>
      </c>
      <c r="CH59" s="337">
        <f t="shared" si="58"/>
        <v>1.05</v>
      </c>
      <c r="CI59" s="455" t="str">
        <f t="shared" si="59"/>
        <v xml:space="preserve">(na,na,na,na,na,na); </v>
      </c>
      <c r="CJ59" s="440">
        <v>0</v>
      </c>
      <c r="CK59" s="336">
        <v>1</v>
      </c>
      <c r="CL59" s="337">
        <f t="shared" si="60"/>
        <v>1.05</v>
      </c>
      <c r="CM59" s="437" t="str">
        <f t="shared" si="61"/>
        <v xml:space="preserve">(na,na,na,na,na,na); </v>
      </c>
      <c r="CN59" s="440">
        <f>0.713745</f>
        <v>0.71374499999999996</v>
      </c>
      <c r="CO59" s="336">
        <v>1</v>
      </c>
      <c r="CP59" s="337">
        <f t="shared" si="62"/>
        <v>1.2434566510799234</v>
      </c>
      <c r="CQ59" s="455" t="str">
        <f t="shared" si="63"/>
        <v>(2,4,1,3,1,5); Brailovsky (2026) GP 08 water completely softened; DE iso RoW</v>
      </c>
      <c r="CR59" s="440">
        <v>0</v>
      </c>
      <c r="CS59" s="336">
        <v>1</v>
      </c>
      <c r="CT59" s="337">
        <f t="shared" si="64"/>
        <v>1.2434566510799234</v>
      </c>
      <c r="CU59" s="437" t="str">
        <f t="shared" si="65"/>
        <v>(2,4,1,3,1,5); Brailovsky (2026) GP 08 water completely softened; DE iso RoW</v>
      </c>
      <c r="CW59" s="440"/>
      <c r="CX59" s="440"/>
      <c r="CY59" s="440"/>
      <c r="CZ59" s="440"/>
      <c r="DA59" s="691"/>
      <c r="DB59" s="83" t="s">
        <v>106</v>
      </c>
      <c r="DC59" s="83" t="s">
        <v>106</v>
      </c>
      <c r="DD59" s="83" t="s">
        <v>106</v>
      </c>
      <c r="DE59" s="83" t="s">
        <v>106</v>
      </c>
      <c r="DF59" s="83" t="s">
        <v>106</v>
      </c>
      <c r="DG59" s="83" t="s">
        <v>106</v>
      </c>
      <c r="DH59" s="104">
        <v>3</v>
      </c>
      <c r="DI59" s="104">
        <v>1.05</v>
      </c>
      <c r="DJ59" s="107">
        <f t="shared" si="66"/>
        <v>1</v>
      </c>
      <c r="DK59" s="107">
        <f t="shared" si="67"/>
        <v>1.05</v>
      </c>
      <c r="DL59" s="107" t="str">
        <f t="shared" si="68"/>
        <v>(na,na,na,na,na,na)</v>
      </c>
      <c r="DM59" s="108">
        <v>1</v>
      </c>
      <c r="DN59" s="108">
        <v>1</v>
      </c>
      <c r="DO59" s="108">
        <v>1</v>
      </c>
      <c r="DP59" s="108">
        <v>1</v>
      </c>
      <c r="DQ59" s="108">
        <v>1</v>
      </c>
      <c r="DR59" s="108">
        <v>1</v>
      </c>
      <c r="DT59" s="691" t="s">
        <v>1201</v>
      </c>
      <c r="DU59" s="83">
        <v>2</v>
      </c>
      <c r="DV59" s="83">
        <v>4</v>
      </c>
      <c r="DW59" s="83">
        <v>1</v>
      </c>
      <c r="DX59" s="83">
        <v>3</v>
      </c>
      <c r="DY59" s="83">
        <v>1</v>
      </c>
      <c r="DZ59" s="83">
        <v>5</v>
      </c>
      <c r="EA59" s="104">
        <v>3</v>
      </c>
      <c r="EB59" s="104">
        <v>1.05</v>
      </c>
      <c r="EC59" s="107">
        <f t="shared" si="69"/>
        <v>1.2365959919080913</v>
      </c>
      <c r="ED59" s="107">
        <f t="shared" si="70"/>
        <v>1.2434566510799234</v>
      </c>
      <c r="EE59" s="107" t="str">
        <f t="shared" si="71"/>
        <v>(2,4,1,3,1,5)</v>
      </c>
      <c r="EF59" s="108">
        <v>1.05</v>
      </c>
      <c r="EG59" s="108">
        <v>1.1000000000000001</v>
      </c>
      <c r="EH59" s="108">
        <v>1</v>
      </c>
      <c r="EI59" s="108">
        <v>1.02</v>
      </c>
      <c r="EJ59" s="108">
        <v>1</v>
      </c>
      <c r="EK59" s="108">
        <v>1.2</v>
      </c>
    </row>
    <row r="60" spans="1:141" s="171" customFormat="1" ht="24">
      <c r="A60" s="333">
        <v>255819</v>
      </c>
      <c r="B60" s="216"/>
      <c r="C60" s="334"/>
      <c r="D60" s="515">
        <v>5</v>
      </c>
      <c r="E60" s="343" t="s">
        <v>98</v>
      </c>
      <c r="F60" s="437" t="s">
        <v>475</v>
      </c>
      <c r="G60" s="438" t="s">
        <v>372</v>
      </c>
      <c r="H60" s="455" t="s">
        <v>98</v>
      </c>
      <c r="I60" s="455" t="s">
        <v>98</v>
      </c>
      <c r="J60" s="336">
        <v>0</v>
      </c>
      <c r="K60" s="438" t="s">
        <v>96</v>
      </c>
      <c r="L60" s="440">
        <f t="shared" si="90"/>
        <v>8.2341920374707199E-4</v>
      </c>
      <c r="M60" s="336">
        <v>1</v>
      </c>
      <c r="N60" s="337">
        <f t="shared" si="22"/>
        <v>1.0722009304576894</v>
      </c>
      <c r="O60" s="455" t="str">
        <f t="shared" si="23"/>
        <v>(2,1,1,2,1,1); Industry data (French tender) Ethanol, from biomass iso ethylene</v>
      </c>
      <c r="P60" s="440">
        <f t="shared" si="91"/>
        <v>1.3278688524590201E-5</v>
      </c>
      <c r="Q60" s="336">
        <v>1</v>
      </c>
      <c r="R60" s="337">
        <f t="shared" si="24"/>
        <v>1.0722009304576894</v>
      </c>
      <c r="S60" s="455" t="str">
        <f t="shared" si="25"/>
        <v>(2,1,1,2,1,1); Industry data (French tender) Ethanol, from biomass iso ethylene</v>
      </c>
      <c r="T60" s="440">
        <f t="shared" si="92"/>
        <v>2.11406727828746E-4</v>
      </c>
      <c r="U60" s="336">
        <v>1</v>
      </c>
      <c r="V60" s="337">
        <f t="shared" si="26"/>
        <v>1.0722009304576894</v>
      </c>
      <c r="W60" s="455" t="str">
        <f t="shared" si="27"/>
        <v>(2,1,1,2,1,1); Industry data (French tender) Ethanol, from biomass iso ethylene</v>
      </c>
      <c r="X60" s="440">
        <f t="shared" si="93"/>
        <v>2.57942826321467E-3</v>
      </c>
      <c r="Y60" s="336">
        <v>1</v>
      </c>
      <c r="Z60" s="337">
        <f t="shared" si="28"/>
        <v>1.0722009304576894</v>
      </c>
      <c r="AA60" s="437" t="str">
        <f t="shared" si="29"/>
        <v>(2,1,1,2,1,1); Industry data (French tender) Ethanol, from biomass iso ethylene</v>
      </c>
      <c r="AB60" s="440">
        <f>X60</f>
        <v>2.57942826321467E-3</v>
      </c>
      <c r="AC60" s="336">
        <v>1</v>
      </c>
      <c r="AD60" s="337">
        <f t="shared" si="30"/>
        <v>1.0722009304576894</v>
      </c>
      <c r="AE60" s="437" t="str">
        <f t="shared" si="31"/>
        <v>(2,1,1,2,1,1); Industry data (French tender) Ethanol, from biomass iso ethylene</v>
      </c>
      <c r="AF60" s="440">
        <f t="shared" ref="AF60:AF69" si="94">L60</f>
        <v>8.2341920374707199E-4</v>
      </c>
      <c r="AG60" s="336">
        <v>1</v>
      </c>
      <c r="AH60" s="337">
        <f t="shared" si="32"/>
        <v>1.0722009304576894</v>
      </c>
      <c r="AI60" s="455" t="str">
        <f t="shared" si="33"/>
        <v>(2,1,1,2,1,1); Industry data (French tender) Ethanol, from biomass iso ethylene</v>
      </c>
      <c r="AJ60" s="440">
        <f t="shared" ref="AJ60:AJ69" si="95">P60</f>
        <v>1.3278688524590201E-5</v>
      </c>
      <c r="AK60" s="336">
        <v>1</v>
      </c>
      <c r="AL60" s="337">
        <f t="shared" si="34"/>
        <v>1.0722009304576894</v>
      </c>
      <c r="AM60" s="455" t="str">
        <f t="shared" si="35"/>
        <v>(2,1,1,2,1,1); Industry data (French tender) Ethanol, from biomass iso ethylene</v>
      </c>
      <c r="AN60" s="440">
        <f t="shared" ref="AN60:AN69" si="96">T60</f>
        <v>2.11406727828746E-4</v>
      </c>
      <c r="AO60" s="336">
        <v>1</v>
      </c>
      <c r="AP60" s="337">
        <f t="shared" si="36"/>
        <v>1.0722009304576894</v>
      </c>
      <c r="AQ60" s="455" t="str">
        <f t="shared" si="37"/>
        <v>(2,1,1,2,1,1); Industry data (French tender) Ethanol, from biomass iso ethylene</v>
      </c>
      <c r="AR60" s="440">
        <f t="shared" ref="AR60:AR69" si="97">X60</f>
        <v>2.57942826321467E-3</v>
      </c>
      <c r="AS60" s="336">
        <v>1</v>
      </c>
      <c r="AT60" s="337">
        <f t="shared" si="38"/>
        <v>1.0722009304576894</v>
      </c>
      <c r="AU60" s="455" t="str">
        <f t="shared" si="39"/>
        <v>(2,1,1,2,1,1); Industry data (French tender) Ethanol, from biomass iso ethylene</v>
      </c>
      <c r="AV60" s="435">
        <f>AR60</f>
        <v>2.57942826321467E-3</v>
      </c>
      <c r="AW60" s="336">
        <v>1</v>
      </c>
      <c r="AX60" s="337">
        <f t="shared" si="40"/>
        <v>1.0722009304576894</v>
      </c>
      <c r="AY60" s="437" t="str">
        <f t="shared" si="41"/>
        <v>(2,1,1,2,1,1); Industry data (French tender) Ethanol, from biomass iso ethylene</v>
      </c>
      <c r="AZ60" s="440">
        <f t="shared" ref="AZ60:AZ69" si="98">L60</f>
        <v>8.2341920374707199E-4</v>
      </c>
      <c r="BA60" s="336">
        <v>1</v>
      </c>
      <c r="BB60" s="337">
        <f t="shared" si="42"/>
        <v>1.0722009304576894</v>
      </c>
      <c r="BC60" s="455" t="str">
        <f t="shared" si="43"/>
        <v>(2,1,1,2,1,1); Industry data (French tender) Ethanol, from biomass iso ethylene</v>
      </c>
      <c r="BD60" s="440">
        <f t="shared" ref="BD60:BD69" si="99">P60</f>
        <v>1.3278688524590201E-5</v>
      </c>
      <c r="BE60" s="336">
        <v>1</v>
      </c>
      <c r="BF60" s="337">
        <f t="shared" si="44"/>
        <v>1.0722009304576894</v>
      </c>
      <c r="BG60" s="455" t="str">
        <f t="shared" si="45"/>
        <v>(2,1,1,2,1,1); Industry data (French tender) Ethanol, from biomass iso ethylene</v>
      </c>
      <c r="BH60" s="440">
        <f t="shared" ref="BH60:BH69" si="100">T60</f>
        <v>2.11406727828746E-4</v>
      </c>
      <c r="BI60" s="336">
        <v>1</v>
      </c>
      <c r="BJ60" s="337">
        <f t="shared" si="46"/>
        <v>1.0722009304576894</v>
      </c>
      <c r="BK60" s="455" t="str">
        <f t="shared" si="47"/>
        <v>(2,1,1,2,1,1); Industry data (French tender) Ethanol, from biomass iso ethylene</v>
      </c>
      <c r="BL60" s="440">
        <f t="shared" ref="BL60:BL69" si="101">X60</f>
        <v>2.57942826321467E-3</v>
      </c>
      <c r="BM60" s="95">
        <v>1</v>
      </c>
      <c r="BN60" s="337">
        <f t="shared" si="48"/>
        <v>1.0722009304576894</v>
      </c>
      <c r="BO60" s="455" t="str">
        <f t="shared" si="49"/>
        <v>(2,1,1,2,1,1); Industry data (French tender) Ethanol, from biomass iso ethylene</v>
      </c>
      <c r="BP60" s="440">
        <f>BL60</f>
        <v>2.57942826321467E-3</v>
      </c>
      <c r="BQ60" s="336">
        <v>1</v>
      </c>
      <c r="BR60" s="337">
        <f t="shared" si="50"/>
        <v>1.0722009304576894</v>
      </c>
      <c r="BS60" s="437" t="str">
        <f t="shared" si="51"/>
        <v>(2,1,1,2,1,1); Industry data (French tender) Ethanol, from biomass iso ethylene</v>
      </c>
      <c r="BT60" s="440">
        <f t="shared" ref="BT60:BT69" si="102">AZ60</f>
        <v>8.2341920374707199E-4</v>
      </c>
      <c r="BU60" s="336">
        <v>1</v>
      </c>
      <c r="BV60" s="337">
        <f t="shared" si="52"/>
        <v>1.0722009304576894</v>
      </c>
      <c r="BW60" s="455" t="str">
        <f t="shared" si="53"/>
        <v>(2,1,1,2,1,1); Industry data (French tender) Ethanol, from biomass iso ethylene</v>
      </c>
      <c r="BX60" s="440">
        <f t="shared" ref="BX60:BX69" si="103">BD60</f>
        <v>1.3278688524590201E-5</v>
      </c>
      <c r="BY60" s="336">
        <v>1</v>
      </c>
      <c r="BZ60" s="337">
        <f t="shared" si="54"/>
        <v>1.0722009304576894</v>
      </c>
      <c r="CA60" s="455" t="str">
        <f t="shared" si="55"/>
        <v>(2,1,1,2,1,1); Industry data (French tender) Ethanol, from biomass iso ethylene</v>
      </c>
      <c r="CB60" s="440">
        <f t="shared" ref="CB60:CB69" si="104">BH60</f>
        <v>2.11406727828746E-4</v>
      </c>
      <c r="CC60" s="336">
        <v>1</v>
      </c>
      <c r="CD60" s="337">
        <f t="shared" si="56"/>
        <v>1.0722009304576894</v>
      </c>
      <c r="CE60" s="455" t="str">
        <f t="shared" si="57"/>
        <v>(2,1,1,2,1,1); Industry data (French tender) Ethanol, from biomass iso ethylene</v>
      </c>
      <c r="CF60" s="440">
        <f t="shared" ref="CF60:CF69" si="105">BL60</f>
        <v>2.57942826321467E-3</v>
      </c>
      <c r="CG60" s="336">
        <v>1</v>
      </c>
      <c r="CH60" s="337">
        <f t="shared" si="58"/>
        <v>1.0722009304576894</v>
      </c>
      <c r="CI60" s="455" t="str">
        <f t="shared" si="59"/>
        <v>(2,1,1,2,1,1); Industry data (French tender) Ethanol, from biomass iso ethylene</v>
      </c>
      <c r="CJ60" s="440">
        <f>CF60</f>
        <v>2.57942826321467E-3</v>
      </c>
      <c r="CK60" s="336">
        <v>1</v>
      </c>
      <c r="CL60" s="337">
        <f t="shared" si="60"/>
        <v>1.0722009304576894</v>
      </c>
      <c r="CM60" s="437" t="str">
        <f t="shared" si="61"/>
        <v>(2,1,1,2,1,1); Industry data (French tender) Ethanol, from biomass iso ethylene</v>
      </c>
      <c r="CN60" s="440">
        <v>0</v>
      </c>
      <c r="CO60" s="336">
        <v>1</v>
      </c>
      <c r="CP60" s="337">
        <f t="shared" si="62"/>
        <v>1.05</v>
      </c>
      <c r="CQ60" s="455" t="str">
        <f t="shared" si="63"/>
        <v xml:space="preserve">(na,na,na,na,na,na); </v>
      </c>
      <c r="CR60" s="440">
        <v>0</v>
      </c>
      <c r="CS60" s="336">
        <v>1</v>
      </c>
      <c r="CT60" s="337">
        <f t="shared" si="64"/>
        <v>1.05</v>
      </c>
      <c r="CU60" s="437" t="str">
        <f t="shared" si="65"/>
        <v xml:space="preserve">(na,na,na,na,na,na); </v>
      </c>
      <c r="CW60" s="440">
        <v>8.2341920374707199E-4</v>
      </c>
      <c r="CX60" s="440">
        <v>1.3278688524590201E-5</v>
      </c>
      <c r="CY60" s="440">
        <v>2.11406727828746E-4</v>
      </c>
      <c r="CZ60" s="440">
        <v>2.57942826321467E-3</v>
      </c>
      <c r="DA60" s="691" t="s">
        <v>1202</v>
      </c>
      <c r="DB60" s="83">
        <v>2</v>
      </c>
      <c r="DC60" s="83">
        <v>1</v>
      </c>
      <c r="DD60" s="83">
        <v>1</v>
      </c>
      <c r="DE60" s="83">
        <v>2</v>
      </c>
      <c r="DF60" s="83">
        <v>1</v>
      </c>
      <c r="DG60" s="83">
        <v>1</v>
      </c>
      <c r="DH60" s="104">
        <v>3</v>
      </c>
      <c r="DI60" s="104">
        <v>1.05</v>
      </c>
      <c r="DJ60" s="107">
        <f t="shared" si="66"/>
        <v>1.0510550504206344</v>
      </c>
      <c r="DK60" s="107">
        <f t="shared" si="67"/>
        <v>1.0722009304576894</v>
      </c>
      <c r="DL60" s="107" t="str">
        <f t="shared" si="68"/>
        <v>(2,1,1,2,1,1)</v>
      </c>
      <c r="DM60" s="108">
        <v>1.05</v>
      </c>
      <c r="DN60" s="108">
        <v>1</v>
      </c>
      <c r="DO60" s="108">
        <v>1</v>
      </c>
      <c r="DP60" s="108">
        <v>1.01</v>
      </c>
      <c r="DQ60" s="108">
        <v>1</v>
      </c>
      <c r="DR60" s="108">
        <v>1</v>
      </c>
      <c r="DT60" s="691"/>
      <c r="DU60" s="83" t="s">
        <v>106</v>
      </c>
      <c r="DV60" s="83" t="s">
        <v>106</v>
      </c>
      <c r="DW60" s="83" t="s">
        <v>106</v>
      </c>
      <c r="DX60" s="83" t="s">
        <v>106</v>
      </c>
      <c r="DY60" s="83" t="s">
        <v>106</v>
      </c>
      <c r="DZ60" s="83" t="s">
        <v>106</v>
      </c>
      <c r="EA60" s="104">
        <v>3</v>
      </c>
      <c r="EB60" s="104">
        <v>1.05</v>
      </c>
      <c r="EC60" s="107">
        <f t="shared" si="69"/>
        <v>1</v>
      </c>
      <c r="ED60" s="107">
        <f t="shared" si="70"/>
        <v>1.05</v>
      </c>
      <c r="EE60" s="107" t="str">
        <f t="shared" si="71"/>
        <v>(na,na,na,na,na,na)</v>
      </c>
      <c r="EF60" s="108">
        <v>1</v>
      </c>
      <c r="EG60" s="108">
        <v>1</v>
      </c>
      <c r="EH60" s="108">
        <v>1</v>
      </c>
      <c r="EI60" s="108">
        <v>1</v>
      </c>
      <c r="EJ60" s="108">
        <v>1</v>
      </c>
      <c r="EK60" s="108">
        <v>1</v>
      </c>
    </row>
    <row r="61" spans="1:141">
      <c r="A61" s="330">
        <v>268435</v>
      </c>
      <c r="B61" s="216"/>
      <c r="C61" s="334"/>
      <c r="D61" s="515">
        <v>5</v>
      </c>
      <c r="E61" s="343" t="s">
        <v>98</v>
      </c>
      <c r="F61" s="437" t="s">
        <v>1203</v>
      </c>
      <c r="G61" s="438" t="s">
        <v>93</v>
      </c>
      <c r="H61" s="455" t="s">
        <v>98</v>
      </c>
      <c r="I61" s="455" t="s">
        <v>98</v>
      </c>
      <c r="J61" s="336">
        <v>0</v>
      </c>
      <c r="K61" s="438" t="s">
        <v>96</v>
      </c>
      <c r="L61" s="440">
        <f t="shared" si="90"/>
        <v>0</v>
      </c>
      <c r="M61" s="336">
        <v>1</v>
      </c>
      <c r="N61" s="337">
        <f t="shared" ref="N61:N92" si="106">$DK61</f>
        <v>1.05</v>
      </c>
      <c r="O61" s="455" t="str">
        <f t="shared" ref="O61:O92" si="107">$DL61&amp;"; "&amp;$DA61</f>
        <v xml:space="preserve">(na,na,na,na,na,na); </v>
      </c>
      <c r="P61" s="440">
        <f t="shared" si="91"/>
        <v>0</v>
      </c>
      <c r="Q61" s="336">
        <v>1</v>
      </c>
      <c r="R61" s="337">
        <f t="shared" ref="R61:R92" si="108">$DK61</f>
        <v>1.05</v>
      </c>
      <c r="S61" s="455" t="str">
        <f t="shared" ref="S61:S92" si="109">$DL61&amp;"; "&amp;$DA61</f>
        <v xml:space="preserve">(na,na,na,na,na,na); </v>
      </c>
      <c r="T61" s="440">
        <f t="shared" si="92"/>
        <v>0</v>
      </c>
      <c r="U61" s="336">
        <v>1</v>
      </c>
      <c r="V61" s="337">
        <f t="shared" ref="V61:V92" si="110">$DK61</f>
        <v>1.05</v>
      </c>
      <c r="W61" s="455" t="str">
        <f t="shared" ref="W61:W92" si="111">$DL61&amp;"; "&amp;$DA61</f>
        <v xml:space="preserve">(na,na,na,na,na,na); </v>
      </c>
      <c r="X61" s="440">
        <f t="shared" si="93"/>
        <v>0</v>
      </c>
      <c r="Y61" s="336">
        <v>1</v>
      </c>
      <c r="Z61" s="337">
        <f t="shared" ref="Z61:Z92" si="112">$DK61</f>
        <v>1.05</v>
      </c>
      <c r="AA61" s="437" t="str">
        <f t="shared" ref="AA61:AA92" si="113">$DL61&amp;"; "&amp;$DA61</f>
        <v xml:space="preserve">(na,na,na,na,na,na); </v>
      </c>
      <c r="AB61" s="440">
        <v>0</v>
      </c>
      <c r="AC61" s="95">
        <v>1</v>
      </c>
      <c r="AD61" s="96">
        <f t="shared" ref="AD61:AD92" si="114">$DK61</f>
        <v>1.05</v>
      </c>
      <c r="AE61" s="432" t="str">
        <f t="shared" ref="AE61:AE92" si="115">$DL61&amp;"; "&amp;$DA61</f>
        <v xml:space="preserve">(na,na,na,na,na,na); </v>
      </c>
      <c r="AF61" s="435">
        <f t="shared" si="94"/>
        <v>0</v>
      </c>
      <c r="AG61" s="95">
        <v>1</v>
      </c>
      <c r="AH61" s="96">
        <f t="shared" ref="AH61:AH92" si="116">$DK61</f>
        <v>1.05</v>
      </c>
      <c r="AI61" s="457" t="str">
        <f t="shared" ref="AI61:AI92" si="117">$DL61&amp;"; "&amp;$DA61</f>
        <v xml:space="preserve">(na,na,na,na,na,na); </v>
      </c>
      <c r="AJ61" s="435">
        <f t="shared" si="95"/>
        <v>0</v>
      </c>
      <c r="AK61" s="95">
        <v>1</v>
      </c>
      <c r="AL61" s="96">
        <f t="shared" ref="AL61:AL92" si="118">$DK61</f>
        <v>1.05</v>
      </c>
      <c r="AM61" s="457" t="str">
        <f t="shared" ref="AM61:AM92" si="119">$DL61&amp;"; "&amp;$DA61</f>
        <v xml:space="preserve">(na,na,na,na,na,na); </v>
      </c>
      <c r="AN61" s="435">
        <f t="shared" si="96"/>
        <v>0</v>
      </c>
      <c r="AO61" s="95">
        <v>1</v>
      </c>
      <c r="AP61" s="96">
        <f t="shared" ref="AP61:AP92" si="120">$DK61</f>
        <v>1.05</v>
      </c>
      <c r="AQ61" s="457" t="str">
        <f t="shared" ref="AQ61:AQ92" si="121">$DL61&amp;"; "&amp;$DA61</f>
        <v xml:space="preserve">(na,na,na,na,na,na); </v>
      </c>
      <c r="AR61" s="435">
        <f t="shared" si="97"/>
        <v>0</v>
      </c>
      <c r="AS61" s="95">
        <v>1</v>
      </c>
      <c r="AT61" s="96">
        <f t="shared" ref="AT61:AT92" si="122">$DK61</f>
        <v>1.05</v>
      </c>
      <c r="AU61" s="457" t="str">
        <f t="shared" ref="AU61:AU92" si="123">$DL61&amp;"; "&amp;$DA61</f>
        <v xml:space="preserve">(na,na,na,na,na,na); </v>
      </c>
      <c r="AV61" s="435">
        <v>0</v>
      </c>
      <c r="AW61" s="95">
        <v>1</v>
      </c>
      <c r="AX61" s="96">
        <f t="shared" ref="AX61:AX92" si="124">$DK61</f>
        <v>1.05</v>
      </c>
      <c r="AY61" s="432" t="str">
        <f t="shared" ref="AY61:AY92" si="125">$DL61&amp;"; "&amp;$DA61</f>
        <v xml:space="preserve">(na,na,na,na,na,na); </v>
      </c>
      <c r="AZ61" s="435">
        <f t="shared" si="98"/>
        <v>0</v>
      </c>
      <c r="BA61" s="95">
        <v>1</v>
      </c>
      <c r="BB61" s="96">
        <f t="shared" ref="BB61:BB92" si="126">$DK61</f>
        <v>1.05</v>
      </c>
      <c r="BC61" s="457" t="str">
        <f t="shared" ref="BC61:BC92" si="127">$DL61&amp;"; "&amp;$DA61</f>
        <v xml:space="preserve">(na,na,na,na,na,na); </v>
      </c>
      <c r="BD61" s="435">
        <f t="shared" si="99"/>
        <v>0</v>
      </c>
      <c r="BE61" s="95">
        <v>1</v>
      </c>
      <c r="BF61" s="96">
        <f t="shared" ref="BF61:BF92" si="128">$DK61</f>
        <v>1.05</v>
      </c>
      <c r="BG61" s="457" t="str">
        <f t="shared" ref="BG61:BG92" si="129">$DL61&amp;"; "&amp;$DA61</f>
        <v xml:space="preserve">(na,na,na,na,na,na); </v>
      </c>
      <c r="BH61" s="435">
        <f t="shared" si="100"/>
        <v>0</v>
      </c>
      <c r="BI61" s="95">
        <v>1</v>
      </c>
      <c r="BJ61" s="96">
        <f t="shared" ref="BJ61:BJ92" si="130">$DK61</f>
        <v>1.05</v>
      </c>
      <c r="BK61" s="457" t="str">
        <f t="shared" ref="BK61:BK92" si="131">$DL61&amp;"; "&amp;$DA61</f>
        <v xml:space="preserve">(na,na,na,na,na,na); </v>
      </c>
      <c r="BL61" s="435">
        <f t="shared" si="101"/>
        <v>0</v>
      </c>
      <c r="BM61" s="95">
        <v>1</v>
      </c>
      <c r="BN61" s="96">
        <f t="shared" ref="BN61:BN92" si="132">$DK61</f>
        <v>1.05</v>
      </c>
      <c r="BO61" s="457" t="str">
        <f t="shared" ref="BO61:BO92" si="133">$DL61&amp;"; "&amp;$DA61</f>
        <v xml:space="preserve">(na,na,na,na,na,na); </v>
      </c>
      <c r="BP61" s="440">
        <v>0</v>
      </c>
      <c r="BQ61" s="95">
        <v>1</v>
      </c>
      <c r="BR61" s="96">
        <f t="shared" ref="BR61:BR92" si="134">$DK61</f>
        <v>1.05</v>
      </c>
      <c r="BS61" s="432" t="str">
        <f t="shared" ref="BS61:BS92" si="135">$DL61&amp;"; "&amp;$DA61</f>
        <v xml:space="preserve">(na,na,na,na,na,na); </v>
      </c>
      <c r="BT61" s="435">
        <f t="shared" si="102"/>
        <v>0</v>
      </c>
      <c r="BU61" s="95">
        <v>1</v>
      </c>
      <c r="BV61" s="96">
        <f t="shared" ref="BV61:BV92" si="136">$DK61</f>
        <v>1.05</v>
      </c>
      <c r="BW61" s="457" t="str">
        <f t="shared" ref="BW61:BW92" si="137">$DL61&amp;"; "&amp;$DA61</f>
        <v xml:space="preserve">(na,na,na,na,na,na); </v>
      </c>
      <c r="BX61" s="435">
        <f t="shared" si="103"/>
        <v>0</v>
      </c>
      <c r="BY61" s="95">
        <v>1</v>
      </c>
      <c r="BZ61" s="96">
        <f t="shared" ref="BZ61:BZ92" si="138">$DK61</f>
        <v>1.05</v>
      </c>
      <c r="CA61" s="457" t="str">
        <f t="shared" ref="CA61:CA92" si="139">$DL61&amp;"; "&amp;$DA61</f>
        <v xml:space="preserve">(na,na,na,na,na,na); </v>
      </c>
      <c r="CB61" s="435">
        <f t="shared" si="104"/>
        <v>0</v>
      </c>
      <c r="CC61" s="95">
        <v>1</v>
      </c>
      <c r="CD61" s="96">
        <f t="shared" ref="CD61:CD92" si="140">$DK61</f>
        <v>1.05</v>
      </c>
      <c r="CE61" s="457" t="str">
        <f t="shared" ref="CE61:CE92" si="141">$DL61&amp;"; "&amp;$DA61</f>
        <v xml:space="preserve">(na,na,na,na,na,na); </v>
      </c>
      <c r="CF61" s="435">
        <f t="shared" si="105"/>
        <v>0</v>
      </c>
      <c r="CG61" s="95">
        <v>1</v>
      </c>
      <c r="CH61" s="96">
        <f t="shared" ref="CH61:CH92" si="142">$DK61</f>
        <v>1.05</v>
      </c>
      <c r="CI61" s="457" t="str">
        <f t="shared" ref="CI61:CI77" si="143">$DL61&amp;"; "&amp;$DA61</f>
        <v xml:space="preserve">(na,na,na,na,na,na); </v>
      </c>
      <c r="CJ61" s="435">
        <v>0</v>
      </c>
      <c r="CK61" s="95">
        <v>1</v>
      </c>
      <c r="CL61" s="96">
        <f t="shared" ref="CL61:CL92" si="144">$DK61</f>
        <v>1.05</v>
      </c>
      <c r="CM61" s="437" t="str">
        <f t="shared" ref="CM61:CM92" si="145">$DL61&amp;"; "&amp;$DA61</f>
        <v xml:space="preserve">(na,na,na,na,na,na); </v>
      </c>
      <c r="CN61" s="435">
        <v>1.7000000000000001E-2</v>
      </c>
      <c r="CO61" s="95">
        <v>1</v>
      </c>
      <c r="CP61" s="96">
        <f t="shared" ref="CP61:CP92" si="146">$ED61</f>
        <v>1.2434566510799234</v>
      </c>
      <c r="CQ61" s="457" t="str">
        <f t="shared" ref="CQ61:CQ92" si="147">$EE61&amp;"; "&amp;$DT61</f>
        <v>(2,4,1,3,1,5); Brailovsky (2026) GP 08</v>
      </c>
      <c r="CR61" s="435">
        <v>1.7000000000000001E-2</v>
      </c>
      <c r="CS61" s="95">
        <v>1</v>
      </c>
      <c r="CT61" s="96">
        <f t="shared" ref="CT61:CT92" si="148">$ED61</f>
        <v>1.2434566510799234</v>
      </c>
      <c r="CU61" s="432" t="str">
        <f t="shared" ref="CU61:CU92" si="149">$EE61&amp;"; "&amp;$DT61</f>
        <v>(2,4,1,3,1,5); Brailovsky (2026) GP 08</v>
      </c>
      <c r="CV61" s="399"/>
      <c r="CW61" s="435"/>
      <c r="CX61" s="435"/>
      <c r="CY61" s="435"/>
      <c r="CZ61" s="435"/>
      <c r="DA61" s="692"/>
      <c r="DB61" s="83" t="s">
        <v>106</v>
      </c>
      <c r="DC61" s="83" t="s">
        <v>106</v>
      </c>
      <c r="DD61" s="83" t="s">
        <v>106</v>
      </c>
      <c r="DE61" s="83" t="s">
        <v>106</v>
      </c>
      <c r="DF61" s="83" t="s">
        <v>106</v>
      </c>
      <c r="DG61" s="83" t="s">
        <v>106</v>
      </c>
      <c r="DH61" s="104">
        <v>3</v>
      </c>
      <c r="DI61" s="104">
        <v>1.05</v>
      </c>
      <c r="DJ61" s="107">
        <f t="shared" ref="DJ61:DJ92" si="150">EXP(SQRT((LN(DM61)^2)+(LN(DN61)^2)+(LN(DO61)^2)+(LN(DP61)^2)+(LN(DQ61)^2)+(LN(DR61)^2)))</f>
        <v>1</v>
      </c>
      <c r="DK61" s="107">
        <f t="shared" ref="DK61:DK92" si="151">EXP(SQRT((LN(DM61)^2)+(LN(DN61)^2)+(LN(DO61)^2)+(LN(DP61)^2)+(LN(DQ61)^2)+(LN(DR61)^2)+LN(DI61)^2))</f>
        <v>1.05</v>
      </c>
      <c r="DL61" s="107" t="str">
        <f t="shared" ref="DL61:DL92" si="152">CONCATENATE("(",DB61,",",DC61,",",DD61,",",DE61,",",DF61,",",DG61,")")</f>
        <v>(na,na,na,na,na,na)</v>
      </c>
      <c r="DM61" s="108">
        <v>1</v>
      </c>
      <c r="DN61" s="108">
        <v>1</v>
      </c>
      <c r="DO61" s="108">
        <v>1</v>
      </c>
      <c r="DP61" s="108">
        <v>1</v>
      </c>
      <c r="DQ61" s="108">
        <v>1</v>
      </c>
      <c r="DR61" s="108">
        <v>1</v>
      </c>
      <c r="DS61" s="399"/>
      <c r="DT61" s="692" t="s">
        <v>1171</v>
      </c>
      <c r="DU61" s="83">
        <v>2</v>
      </c>
      <c r="DV61" s="83">
        <v>4</v>
      </c>
      <c r="DW61" s="83">
        <v>1</v>
      </c>
      <c r="DX61" s="83">
        <v>3</v>
      </c>
      <c r="DY61" s="83">
        <v>1</v>
      </c>
      <c r="DZ61" s="83">
        <v>5</v>
      </c>
      <c r="EA61" s="104">
        <v>3</v>
      </c>
      <c r="EB61" s="104">
        <v>1.05</v>
      </c>
      <c r="EC61" s="107">
        <f t="shared" ref="EC61:EC92" si="153">EXP(SQRT((LN(EF61)^2)+(LN(EG61)^2)+(LN(EH61)^2)+(LN(EI61)^2)+(LN(EJ61)^2)+(LN(EK61)^2)))</f>
        <v>1.2365959919080913</v>
      </c>
      <c r="ED61" s="107">
        <f t="shared" ref="ED61:ED92" si="154">EXP(SQRT((LN(EF61)^2)+(LN(EG61)^2)+(LN(EH61)^2)+(LN(EI61)^2)+(LN(EJ61)^2)+(LN(EK61)^2)+LN(EB61)^2))</f>
        <v>1.2434566510799234</v>
      </c>
      <c r="EE61" s="107" t="str">
        <f t="shared" ref="EE61:EE92" si="155">CONCATENATE("(",DU61,",",DV61,",",DW61,",",DX61,",",DY61,",",DZ61,")")</f>
        <v>(2,4,1,3,1,5)</v>
      </c>
      <c r="EF61" s="108">
        <v>1.05</v>
      </c>
      <c r="EG61" s="108">
        <v>1.1000000000000001</v>
      </c>
      <c r="EH61" s="108">
        <v>1</v>
      </c>
      <c r="EI61" s="108">
        <v>1.02</v>
      </c>
      <c r="EJ61" s="108">
        <v>1</v>
      </c>
      <c r="EK61" s="108">
        <v>1.2</v>
      </c>
    </row>
    <row r="62" spans="1:141" s="171" customFormat="1">
      <c r="A62" s="333">
        <v>266631</v>
      </c>
      <c r="B62" s="216"/>
      <c r="C62" s="334"/>
      <c r="D62" s="515">
        <v>5</v>
      </c>
      <c r="E62" s="343" t="s">
        <v>98</v>
      </c>
      <c r="F62" s="437" t="s">
        <v>1204</v>
      </c>
      <c r="G62" s="438" t="s">
        <v>93</v>
      </c>
      <c r="H62" s="455" t="s">
        <v>98</v>
      </c>
      <c r="I62" s="455" t="s">
        <v>98</v>
      </c>
      <c r="J62" s="336">
        <v>0</v>
      </c>
      <c r="K62" s="438" t="s">
        <v>96</v>
      </c>
      <c r="L62" s="440">
        <f t="shared" si="90"/>
        <v>0</v>
      </c>
      <c r="M62" s="336">
        <v>1</v>
      </c>
      <c r="N62" s="337">
        <f t="shared" si="106"/>
        <v>1.05</v>
      </c>
      <c r="O62" s="455" t="str">
        <f t="shared" si="107"/>
        <v xml:space="preserve">(na,na,na,na,na,na); </v>
      </c>
      <c r="P62" s="440">
        <f t="shared" si="91"/>
        <v>0</v>
      </c>
      <c r="Q62" s="336">
        <v>1</v>
      </c>
      <c r="R62" s="337">
        <f t="shared" si="108"/>
        <v>1.05</v>
      </c>
      <c r="S62" s="455" t="str">
        <f t="shared" si="109"/>
        <v xml:space="preserve">(na,na,na,na,na,na); </v>
      </c>
      <c r="T62" s="440">
        <f t="shared" si="92"/>
        <v>0</v>
      </c>
      <c r="U62" s="336">
        <v>1</v>
      </c>
      <c r="V62" s="337">
        <f t="shared" si="110"/>
        <v>1.05</v>
      </c>
      <c r="W62" s="455" t="str">
        <f t="shared" si="111"/>
        <v xml:space="preserve">(na,na,na,na,na,na); </v>
      </c>
      <c r="X62" s="440">
        <f t="shared" si="93"/>
        <v>0</v>
      </c>
      <c r="Y62" s="336">
        <v>1</v>
      </c>
      <c r="Z62" s="337">
        <f t="shared" si="112"/>
        <v>1.05</v>
      </c>
      <c r="AA62" s="437" t="str">
        <f t="shared" si="113"/>
        <v xml:space="preserve">(na,na,na,na,na,na); </v>
      </c>
      <c r="AB62" s="440">
        <v>0</v>
      </c>
      <c r="AC62" s="336">
        <v>1</v>
      </c>
      <c r="AD62" s="337">
        <f t="shared" si="114"/>
        <v>1.05</v>
      </c>
      <c r="AE62" s="437" t="str">
        <f t="shared" si="115"/>
        <v xml:space="preserve">(na,na,na,na,na,na); </v>
      </c>
      <c r="AF62" s="440">
        <f t="shared" si="94"/>
        <v>0</v>
      </c>
      <c r="AG62" s="336">
        <v>1</v>
      </c>
      <c r="AH62" s="337">
        <f t="shared" si="116"/>
        <v>1.05</v>
      </c>
      <c r="AI62" s="455" t="str">
        <f t="shared" si="117"/>
        <v xml:space="preserve">(na,na,na,na,na,na); </v>
      </c>
      <c r="AJ62" s="440">
        <f t="shared" si="95"/>
        <v>0</v>
      </c>
      <c r="AK62" s="336">
        <v>1</v>
      </c>
      <c r="AL62" s="337">
        <f t="shared" si="118"/>
        <v>1.05</v>
      </c>
      <c r="AM62" s="455" t="str">
        <f t="shared" si="119"/>
        <v xml:space="preserve">(na,na,na,na,na,na); </v>
      </c>
      <c r="AN62" s="440">
        <f t="shared" si="96"/>
        <v>0</v>
      </c>
      <c r="AO62" s="336">
        <v>1</v>
      </c>
      <c r="AP62" s="337">
        <f t="shared" si="120"/>
        <v>1.05</v>
      </c>
      <c r="AQ62" s="455" t="str">
        <f t="shared" si="121"/>
        <v xml:space="preserve">(na,na,na,na,na,na); </v>
      </c>
      <c r="AR62" s="440">
        <f t="shared" si="97"/>
        <v>0</v>
      </c>
      <c r="AS62" s="336">
        <v>1</v>
      </c>
      <c r="AT62" s="337">
        <f t="shared" si="122"/>
        <v>1.05</v>
      </c>
      <c r="AU62" s="455" t="str">
        <f t="shared" si="123"/>
        <v xml:space="preserve">(na,na,na,na,na,na); </v>
      </c>
      <c r="AV62" s="435">
        <v>0</v>
      </c>
      <c r="AW62" s="336">
        <v>1</v>
      </c>
      <c r="AX62" s="337">
        <f t="shared" si="124"/>
        <v>1.05</v>
      </c>
      <c r="AY62" s="437" t="str">
        <f t="shared" si="125"/>
        <v xml:space="preserve">(na,na,na,na,na,na); </v>
      </c>
      <c r="AZ62" s="440">
        <f t="shared" si="98"/>
        <v>0</v>
      </c>
      <c r="BA62" s="336">
        <v>1</v>
      </c>
      <c r="BB62" s="337">
        <f t="shared" si="126"/>
        <v>1.05</v>
      </c>
      <c r="BC62" s="455" t="str">
        <f t="shared" si="127"/>
        <v xml:space="preserve">(na,na,na,na,na,na); </v>
      </c>
      <c r="BD62" s="440">
        <f t="shared" si="99"/>
        <v>0</v>
      </c>
      <c r="BE62" s="336">
        <v>1</v>
      </c>
      <c r="BF62" s="337">
        <f t="shared" si="128"/>
        <v>1.05</v>
      </c>
      <c r="BG62" s="455" t="str">
        <f t="shared" si="129"/>
        <v xml:space="preserve">(na,na,na,na,na,na); </v>
      </c>
      <c r="BH62" s="440">
        <f t="shared" si="100"/>
        <v>0</v>
      </c>
      <c r="BI62" s="336">
        <v>1</v>
      </c>
      <c r="BJ62" s="337">
        <f t="shared" si="130"/>
        <v>1.05</v>
      </c>
      <c r="BK62" s="455" t="str">
        <f t="shared" si="131"/>
        <v xml:space="preserve">(na,na,na,na,na,na); </v>
      </c>
      <c r="BL62" s="440">
        <f t="shared" si="101"/>
        <v>0</v>
      </c>
      <c r="BM62" s="336">
        <v>1</v>
      </c>
      <c r="BN62" s="337">
        <f t="shared" si="132"/>
        <v>1.05</v>
      </c>
      <c r="BO62" s="455" t="str">
        <f t="shared" si="133"/>
        <v xml:space="preserve">(na,na,na,na,na,na); </v>
      </c>
      <c r="BP62" s="440">
        <v>0</v>
      </c>
      <c r="BQ62" s="336">
        <v>1</v>
      </c>
      <c r="BR62" s="337">
        <f t="shared" si="134"/>
        <v>1.05</v>
      </c>
      <c r="BS62" s="437" t="str">
        <f t="shared" si="135"/>
        <v xml:space="preserve">(na,na,na,na,na,na); </v>
      </c>
      <c r="BT62" s="440">
        <f t="shared" si="102"/>
        <v>0</v>
      </c>
      <c r="BU62" s="336">
        <v>1</v>
      </c>
      <c r="BV62" s="337">
        <f t="shared" si="136"/>
        <v>1.05</v>
      </c>
      <c r="BW62" s="455" t="str">
        <f t="shared" si="137"/>
        <v xml:space="preserve">(na,na,na,na,na,na); </v>
      </c>
      <c r="BX62" s="440">
        <f t="shared" si="103"/>
        <v>0</v>
      </c>
      <c r="BY62" s="336">
        <v>1</v>
      </c>
      <c r="BZ62" s="337">
        <f t="shared" si="138"/>
        <v>1.05</v>
      </c>
      <c r="CA62" s="455" t="str">
        <f t="shared" si="139"/>
        <v xml:space="preserve">(na,na,na,na,na,na); </v>
      </c>
      <c r="CB62" s="440">
        <f t="shared" si="104"/>
        <v>0</v>
      </c>
      <c r="CC62" s="336">
        <v>1</v>
      </c>
      <c r="CD62" s="337">
        <f t="shared" si="140"/>
        <v>1.05</v>
      </c>
      <c r="CE62" s="455" t="str">
        <f t="shared" si="141"/>
        <v xml:space="preserve">(na,na,na,na,na,na); </v>
      </c>
      <c r="CF62" s="440">
        <f t="shared" si="105"/>
        <v>0</v>
      </c>
      <c r="CG62" s="336">
        <v>1</v>
      </c>
      <c r="CH62" s="337">
        <f t="shared" si="142"/>
        <v>1.05</v>
      </c>
      <c r="CI62" s="455" t="str">
        <f t="shared" si="143"/>
        <v xml:space="preserve">(na,na,na,na,na,na); </v>
      </c>
      <c r="CJ62" s="440">
        <v>0</v>
      </c>
      <c r="CK62" s="336">
        <v>1</v>
      </c>
      <c r="CL62" s="337">
        <f t="shared" si="144"/>
        <v>1.05</v>
      </c>
      <c r="CM62" s="437" t="str">
        <f t="shared" si="145"/>
        <v xml:space="preserve">(na,na,na,na,na,na); </v>
      </c>
      <c r="CN62" s="440">
        <v>3.6600000000000001E-4</v>
      </c>
      <c r="CO62" s="336">
        <v>1</v>
      </c>
      <c r="CP62" s="337">
        <f t="shared" si="146"/>
        <v>1.2434566510799234</v>
      </c>
      <c r="CQ62" s="455" t="str">
        <f t="shared" si="147"/>
        <v>(2,4,1,3,1,5); Brailovsky (2026) GP 08</v>
      </c>
      <c r="CR62" s="440">
        <v>3.6600000000000001E-4</v>
      </c>
      <c r="CS62" s="336">
        <v>1</v>
      </c>
      <c r="CT62" s="337">
        <f t="shared" si="148"/>
        <v>1.2434566510799234</v>
      </c>
      <c r="CU62" s="437" t="str">
        <f t="shared" si="149"/>
        <v>(2,4,1,3,1,5); Brailovsky (2026) GP 08</v>
      </c>
      <c r="CW62" s="440"/>
      <c r="CX62" s="440"/>
      <c r="CY62" s="440"/>
      <c r="CZ62" s="440"/>
      <c r="DA62" s="691"/>
      <c r="DB62" s="83" t="s">
        <v>106</v>
      </c>
      <c r="DC62" s="83" t="s">
        <v>106</v>
      </c>
      <c r="DD62" s="83" t="s">
        <v>106</v>
      </c>
      <c r="DE62" s="83" t="s">
        <v>106</v>
      </c>
      <c r="DF62" s="83" t="s">
        <v>106</v>
      </c>
      <c r="DG62" s="83" t="s">
        <v>106</v>
      </c>
      <c r="DH62" s="104">
        <v>3</v>
      </c>
      <c r="DI62" s="104">
        <v>1.05</v>
      </c>
      <c r="DJ62" s="107">
        <f t="shared" si="150"/>
        <v>1</v>
      </c>
      <c r="DK62" s="107">
        <f t="shared" si="151"/>
        <v>1.05</v>
      </c>
      <c r="DL62" s="107" t="str">
        <f t="shared" si="152"/>
        <v>(na,na,na,na,na,na)</v>
      </c>
      <c r="DM62" s="108">
        <v>1</v>
      </c>
      <c r="DN62" s="108">
        <v>1</v>
      </c>
      <c r="DO62" s="108">
        <v>1</v>
      </c>
      <c r="DP62" s="108">
        <v>1</v>
      </c>
      <c r="DQ62" s="108">
        <v>1</v>
      </c>
      <c r="DR62" s="108">
        <v>1</v>
      </c>
      <c r="DT62" s="691" t="s">
        <v>1171</v>
      </c>
      <c r="DU62" s="83">
        <v>2</v>
      </c>
      <c r="DV62" s="83">
        <v>4</v>
      </c>
      <c r="DW62" s="83">
        <v>1</v>
      </c>
      <c r="DX62" s="83">
        <v>3</v>
      </c>
      <c r="DY62" s="83">
        <v>1</v>
      </c>
      <c r="DZ62" s="83">
        <v>5</v>
      </c>
      <c r="EA62" s="104">
        <v>3</v>
      </c>
      <c r="EB62" s="104">
        <v>1.05</v>
      </c>
      <c r="EC62" s="107">
        <f t="shared" si="153"/>
        <v>1.2365959919080913</v>
      </c>
      <c r="ED62" s="107">
        <f t="shared" si="154"/>
        <v>1.2434566510799234</v>
      </c>
      <c r="EE62" s="107" t="str">
        <f t="shared" si="155"/>
        <v>(2,4,1,3,1,5)</v>
      </c>
      <c r="EF62" s="108">
        <v>1.05</v>
      </c>
      <c r="EG62" s="108">
        <v>1.1000000000000001</v>
      </c>
      <c r="EH62" s="108">
        <v>1</v>
      </c>
      <c r="EI62" s="108">
        <v>1.02</v>
      </c>
      <c r="EJ62" s="108">
        <v>1</v>
      </c>
      <c r="EK62" s="108">
        <v>1.2</v>
      </c>
    </row>
    <row r="63" spans="1:141" s="171" customFormat="1" ht="24">
      <c r="A63" s="333">
        <v>269115</v>
      </c>
      <c r="B63" s="216"/>
      <c r="C63" s="334"/>
      <c r="D63" s="515">
        <v>5</v>
      </c>
      <c r="E63" s="343" t="s">
        <v>98</v>
      </c>
      <c r="F63" s="437" t="s">
        <v>1205</v>
      </c>
      <c r="G63" s="438" t="s">
        <v>154</v>
      </c>
      <c r="H63" s="455" t="s">
        <v>98</v>
      </c>
      <c r="I63" s="455" t="s">
        <v>98</v>
      </c>
      <c r="J63" s="336">
        <v>0</v>
      </c>
      <c r="K63" s="438" t="s">
        <v>96</v>
      </c>
      <c r="L63" s="440">
        <f t="shared" si="90"/>
        <v>8.9454332552693205E-3</v>
      </c>
      <c r="M63" s="336">
        <v>1</v>
      </c>
      <c r="N63" s="337">
        <f t="shared" si="106"/>
        <v>1.0722009304576894</v>
      </c>
      <c r="O63" s="455" t="str">
        <f t="shared" si="107"/>
        <v>(2,1,1,2,1,1); Industry data (French tender) Soldering flux</v>
      </c>
      <c r="P63" s="440">
        <f t="shared" si="91"/>
        <v>9.1398126463700206E-3</v>
      </c>
      <c r="Q63" s="336">
        <v>1</v>
      </c>
      <c r="R63" s="337">
        <f t="shared" si="108"/>
        <v>1.0722009304576894</v>
      </c>
      <c r="S63" s="455" t="str">
        <f t="shared" si="109"/>
        <v>(2,1,1,2,1,1); Industry data (French tender) Soldering flux</v>
      </c>
      <c r="T63" s="440">
        <f t="shared" si="92"/>
        <v>8.9379204892966399E-3</v>
      </c>
      <c r="U63" s="336">
        <v>1</v>
      </c>
      <c r="V63" s="337">
        <f t="shared" si="110"/>
        <v>1.0722009304576894</v>
      </c>
      <c r="W63" s="455" t="str">
        <f t="shared" si="111"/>
        <v>(2,1,1,2,1,1); Industry data (French tender) Soldering flux</v>
      </c>
      <c r="X63" s="440">
        <f t="shared" si="93"/>
        <v>8.5033441208198501E-3</v>
      </c>
      <c r="Y63" s="336">
        <v>1</v>
      </c>
      <c r="Z63" s="337">
        <f t="shared" si="112"/>
        <v>1.0722009304576894</v>
      </c>
      <c r="AA63" s="437" t="str">
        <f t="shared" si="113"/>
        <v>(2,1,1,2,1,1); Industry data (French tender) Soldering flux</v>
      </c>
      <c r="AB63" s="440">
        <f>X63</f>
        <v>8.5033441208198501E-3</v>
      </c>
      <c r="AC63" s="336">
        <v>1</v>
      </c>
      <c r="AD63" s="337">
        <f t="shared" si="114"/>
        <v>1.0722009304576894</v>
      </c>
      <c r="AE63" s="437" t="str">
        <f t="shared" si="115"/>
        <v>(2,1,1,2,1,1); Industry data (French tender) Soldering flux</v>
      </c>
      <c r="AF63" s="440">
        <f t="shared" si="94"/>
        <v>8.9454332552693205E-3</v>
      </c>
      <c r="AG63" s="336">
        <v>1</v>
      </c>
      <c r="AH63" s="337">
        <f t="shared" si="116"/>
        <v>1.0722009304576894</v>
      </c>
      <c r="AI63" s="455" t="str">
        <f t="shared" si="117"/>
        <v>(2,1,1,2,1,1); Industry data (French tender) Soldering flux</v>
      </c>
      <c r="AJ63" s="440">
        <f t="shared" si="95"/>
        <v>9.1398126463700206E-3</v>
      </c>
      <c r="AK63" s="336">
        <v>1</v>
      </c>
      <c r="AL63" s="337">
        <f t="shared" si="118"/>
        <v>1.0722009304576894</v>
      </c>
      <c r="AM63" s="455" t="str">
        <f t="shared" si="119"/>
        <v>(2,1,1,2,1,1); Industry data (French tender) Soldering flux</v>
      </c>
      <c r="AN63" s="440">
        <f t="shared" si="96"/>
        <v>8.9379204892966399E-3</v>
      </c>
      <c r="AO63" s="336">
        <v>1</v>
      </c>
      <c r="AP63" s="337">
        <f t="shared" si="120"/>
        <v>1.0722009304576894</v>
      </c>
      <c r="AQ63" s="455" t="str">
        <f t="shared" si="121"/>
        <v>(2,1,1,2,1,1); Industry data (French tender) Soldering flux</v>
      </c>
      <c r="AR63" s="440">
        <f t="shared" si="97"/>
        <v>8.5033441208198501E-3</v>
      </c>
      <c r="AS63" s="336">
        <v>1</v>
      </c>
      <c r="AT63" s="337">
        <f t="shared" si="122"/>
        <v>1.0722009304576894</v>
      </c>
      <c r="AU63" s="455" t="str">
        <f t="shared" si="123"/>
        <v>(2,1,1,2,1,1); Industry data (French tender) Soldering flux</v>
      </c>
      <c r="AV63" s="440">
        <f>AB63</f>
        <v>8.5033441208198501E-3</v>
      </c>
      <c r="AW63" s="336">
        <v>1</v>
      </c>
      <c r="AX63" s="337">
        <f t="shared" si="124"/>
        <v>1.0722009304576894</v>
      </c>
      <c r="AY63" s="437" t="str">
        <f t="shared" si="125"/>
        <v>(2,1,1,2,1,1); Industry data (French tender) Soldering flux</v>
      </c>
      <c r="AZ63" s="440">
        <f t="shared" si="98"/>
        <v>8.9454332552693205E-3</v>
      </c>
      <c r="BA63" s="336">
        <v>1</v>
      </c>
      <c r="BB63" s="337">
        <f t="shared" si="126"/>
        <v>1.0722009304576894</v>
      </c>
      <c r="BC63" s="455" t="str">
        <f t="shared" si="127"/>
        <v>(2,1,1,2,1,1); Industry data (French tender) Soldering flux</v>
      </c>
      <c r="BD63" s="440">
        <f t="shared" si="99"/>
        <v>9.1398126463700206E-3</v>
      </c>
      <c r="BE63" s="336">
        <v>1</v>
      </c>
      <c r="BF63" s="337">
        <f t="shared" si="128"/>
        <v>1.0722009304576894</v>
      </c>
      <c r="BG63" s="455" t="str">
        <f t="shared" si="129"/>
        <v>(2,1,1,2,1,1); Industry data (French tender) Soldering flux</v>
      </c>
      <c r="BH63" s="440">
        <f t="shared" si="100"/>
        <v>8.9379204892966399E-3</v>
      </c>
      <c r="BI63" s="336">
        <v>1</v>
      </c>
      <c r="BJ63" s="337">
        <f t="shared" si="130"/>
        <v>1.0722009304576894</v>
      </c>
      <c r="BK63" s="455" t="str">
        <f t="shared" si="131"/>
        <v>(2,1,1,2,1,1); Industry data (French tender) Soldering flux</v>
      </c>
      <c r="BL63" s="440">
        <f t="shared" si="101"/>
        <v>8.5033441208198501E-3</v>
      </c>
      <c r="BM63" s="336">
        <v>1</v>
      </c>
      <c r="BN63" s="337">
        <f t="shared" si="132"/>
        <v>1.0722009304576894</v>
      </c>
      <c r="BO63" s="455" t="str">
        <f t="shared" si="133"/>
        <v>(2,1,1,2,1,1); Industry data (French tender) Soldering flux</v>
      </c>
      <c r="BP63" s="440">
        <f>AV63</f>
        <v>8.5033441208198501E-3</v>
      </c>
      <c r="BQ63" s="336">
        <v>1</v>
      </c>
      <c r="BR63" s="337">
        <f t="shared" si="134"/>
        <v>1.0722009304576894</v>
      </c>
      <c r="BS63" s="437" t="str">
        <f t="shared" si="135"/>
        <v>(2,1,1,2,1,1); Industry data (French tender) Soldering flux</v>
      </c>
      <c r="BT63" s="440">
        <f t="shared" si="102"/>
        <v>8.9454332552693205E-3</v>
      </c>
      <c r="BU63" s="336">
        <v>1</v>
      </c>
      <c r="BV63" s="337">
        <f t="shared" si="136"/>
        <v>1.0722009304576894</v>
      </c>
      <c r="BW63" s="455" t="str">
        <f t="shared" si="137"/>
        <v>(2,1,1,2,1,1); Industry data (French tender) Soldering flux</v>
      </c>
      <c r="BX63" s="440">
        <f t="shared" si="103"/>
        <v>9.1398126463700206E-3</v>
      </c>
      <c r="BY63" s="336">
        <v>1</v>
      </c>
      <c r="BZ63" s="337">
        <f t="shared" si="138"/>
        <v>1.0722009304576894</v>
      </c>
      <c r="CA63" s="455" t="str">
        <f t="shared" si="139"/>
        <v>(2,1,1,2,1,1); Industry data (French tender) Soldering flux</v>
      </c>
      <c r="CB63" s="440">
        <f t="shared" si="104"/>
        <v>8.9379204892966399E-3</v>
      </c>
      <c r="CC63" s="336">
        <v>1</v>
      </c>
      <c r="CD63" s="337">
        <f t="shared" si="140"/>
        <v>1.0722009304576894</v>
      </c>
      <c r="CE63" s="455" t="str">
        <f t="shared" si="141"/>
        <v>(2,1,1,2,1,1); Industry data (French tender) Soldering flux</v>
      </c>
      <c r="CF63" s="440">
        <f t="shared" si="105"/>
        <v>8.5033441208198501E-3</v>
      </c>
      <c r="CG63" s="336">
        <v>1</v>
      </c>
      <c r="CH63" s="337">
        <f t="shared" si="142"/>
        <v>1.0722009304576894</v>
      </c>
      <c r="CI63" s="455" t="str">
        <f t="shared" si="143"/>
        <v>(2,1,1,2,1,1); Industry data (French tender) Soldering flux</v>
      </c>
      <c r="CJ63" s="440">
        <f>CF63</f>
        <v>8.5033441208198501E-3</v>
      </c>
      <c r="CK63" s="336">
        <v>1</v>
      </c>
      <c r="CL63" s="337">
        <f t="shared" si="144"/>
        <v>1.0722009304576894</v>
      </c>
      <c r="CM63" s="437" t="str">
        <f t="shared" si="145"/>
        <v>(2,1,1,2,1,1); Industry data (French tender) Soldering flux</v>
      </c>
      <c r="CN63" s="440">
        <v>0</v>
      </c>
      <c r="CO63" s="336">
        <v>1</v>
      </c>
      <c r="CP63" s="337">
        <f t="shared" si="146"/>
        <v>1.05</v>
      </c>
      <c r="CQ63" s="455" t="str">
        <f t="shared" si="147"/>
        <v xml:space="preserve">(na,na,na,na,na,na); </v>
      </c>
      <c r="CR63" s="440">
        <v>0</v>
      </c>
      <c r="CS63" s="336">
        <v>1</v>
      </c>
      <c r="CT63" s="337">
        <f t="shared" si="148"/>
        <v>1.05</v>
      </c>
      <c r="CU63" s="437" t="str">
        <f t="shared" si="149"/>
        <v xml:space="preserve">(na,na,na,na,na,na); </v>
      </c>
      <c r="CW63" s="440">
        <v>8.9454332552693205E-3</v>
      </c>
      <c r="CX63" s="440">
        <v>9.1398126463700206E-3</v>
      </c>
      <c r="CY63" s="440">
        <v>8.9379204892966399E-3</v>
      </c>
      <c r="CZ63" s="440">
        <v>8.5033441208198501E-3</v>
      </c>
      <c r="DA63" s="691" t="s">
        <v>1206</v>
      </c>
      <c r="DB63" s="83">
        <v>2</v>
      </c>
      <c r="DC63" s="83">
        <v>1</v>
      </c>
      <c r="DD63" s="83">
        <v>1</v>
      </c>
      <c r="DE63" s="83">
        <v>2</v>
      </c>
      <c r="DF63" s="83">
        <v>1</v>
      </c>
      <c r="DG63" s="83">
        <v>1</v>
      </c>
      <c r="DH63" s="104">
        <v>3</v>
      </c>
      <c r="DI63" s="104">
        <v>1.05</v>
      </c>
      <c r="DJ63" s="107">
        <f t="shared" si="150"/>
        <v>1.0510550504206344</v>
      </c>
      <c r="DK63" s="107">
        <f t="shared" si="151"/>
        <v>1.0722009304576894</v>
      </c>
      <c r="DL63" s="107" t="str">
        <f t="shared" si="152"/>
        <v>(2,1,1,2,1,1)</v>
      </c>
      <c r="DM63" s="108">
        <v>1.05</v>
      </c>
      <c r="DN63" s="108">
        <v>1</v>
      </c>
      <c r="DO63" s="108">
        <v>1</v>
      </c>
      <c r="DP63" s="108">
        <v>1.01</v>
      </c>
      <c r="DQ63" s="108">
        <v>1</v>
      </c>
      <c r="DR63" s="108">
        <v>1</v>
      </c>
      <c r="DT63" s="691"/>
      <c r="DU63" s="83" t="s">
        <v>106</v>
      </c>
      <c r="DV63" s="83" t="s">
        <v>106</v>
      </c>
      <c r="DW63" s="83" t="s">
        <v>106</v>
      </c>
      <c r="DX63" s="83" t="s">
        <v>106</v>
      </c>
      <c r="DY63" s="83" t="s">
        <v>106</v>
      </c>
      <c r="DZ63" s="83" t="s">
        <v>106</v>
      </c>
      <c r="EA63" s="104">
        <v>3</v>
      </c>
      <c r="EB63" s="104">
        <v>1.05</v>
      </c>
      <c r="EC63" s="107">
        <f t="shared" si="153"/>
        <v>1</v>
      </c>
      <c r="ED63" s="107">
        <f t="shared" si="154"/>
        <v>1.05</v>
      </c>
      <c r="EE63" s="107" t="str">
        <f t="shared" si="155"/>
        <v>(na,na,na,na,na,na)</v>
      </c>
      <c r="EF63" s="108">
        <v>1</v>
      </c>
      <c r="EG63" s="108">
        <v>1</v>
      </c>
      <c r="EH63" s="108">
        <v>1</v>
      </c>
      <c r="EI63" s="108">
        <v>1</v>
      </c>
      <c r="EJ63" s="108">
        <v>1</v>
      </c>
      <c r="EK63" s="108">
        <v>1</v>
      </c>
    </row>
    <row r="64" spans="1:141" s="171" customFormat="1">
      <c r="A64" s="333">
        <v>157763</v>
      </c>
      <c r="B64" s="216"/>
      <c r="C64" s="334"/>
      <c r="D64" s="515">
        <v>5</v>
      </c>
      <c r="E64" s="343" t="s">
        <v>98</v>
      </c>
      <c r="F64" s="437" t="s">
        <v>1207</v>
      </c>
      <c r="G64" s="438" t="s">
        <v>93</v>
      </c>
      <c r="H64" s="455" t="s">
        <v>98</v>
      </c>
      <c r="I64" s="455" t="s">
        <v>98</v>
      </c>
      <c r="J64" s="336">
        <v>0</v>
      </c>
      <c r="K64" s="438" t="s">
        <v>96</v>
      </c>
      <c r="L64" s="440">
        <f t="shared" si="90"/>
        <v>0</v>
      </c>
      <c r="M64" s="336">
        <v>1</v>
      </c>
      <c r="N64" s="337">
        <f t="shared" si="106"/>
        <v>1.05</v>
      </c>
      <c r="O64" s="455" t="str">
        <f t="shared" si="107"/>
        <v xml:space="preserve">(na,na,na,na,na,na); </v>
      </c>
      <c r="P64" s="440">
        <f t="shared" si="91"/>
        <v>0</v>
      </c>
      <c r="Q64" s="336">
        <v>1</v>
      </c>
      <c r="R64" s="337">
        <f t="shared" si="108"/>
        <v>1.05</v>
      </c>
      <c r="S64" s="455" t="str">
        <f t="shared" si="109"/>
        <v xml:space="preserve">(na,na,na,na,na,na); </v>
      </c>
      <c r="T64" s="440">
        <f t="shared" si="92"/>
        <v>0</v>
      </c>
      <c r="U64" s="336">
        <v>1</v>
      </c>
      <c r="V64" s="337">
        <f t="shared" si="110"/>
        <v>1.05</v>
      </c>
      <c r="W64" s="455" t="str">
        <f t="shared" si="111"/>
        <v xml:space="preserve">(na,na,na,na,na,na); </v>
      </c>
      <c r="X64" s="440">
        <f t="shared" si="93"/>
        <v>0</v>
      </c>
      <c r="Y64" s="336">
        <v>1</v>
      </c>
      <c r="Z64" s="337">
        <f t="shared" si="112"/>
        <v>1.05</v>
      </c>
      <c r="AA64" s="437" t="str">
        <f t="shared" si="113"/>
        <v xml:space="preserve">(na,na,na,na,na,na); </v>
      </c>
      <c r="AB64" s="440">
        <v>0</v>
      </c>
      <c r="AC64" s="336">
        <v>1</v>
      </c>
      <c r="AD64" s="337">
        <f t="shared" si="114"/>
        <v>1.05</v>
      </c>
      <c r="AE64" s="437" t="str">
        <f t="shared" si="115"/>
        <v xml:space="preserve">(na,na,na,na,na,na); </v>
      </c>
      <c r="AF64" s="440">
        <f t="shared" si="94"/>
        <v>0</v>
      </c>
      <c r="AG64" s="336">
        <v>1</v>
      </c>
      <c r="AH64" s="337">
        <f t="shared" si="116"/>
        <v>1.05</v>
      </c>
      <c r="AI64" s="455" t="str">
        <f t="shared" si="117"/>
        <v xml:space="preserve">(na,na,na,na,na,na); </v>
      </c>
      <c r="AJ64" s="440">
        <f t="shared" si="95"/>
        <v>0</v>
      </c>
      <c r="AK64" s="336">
        <v>1</v>
      </c>
      <c r="AL64" s="337">
        <f t="shared" si="118"/>
        <v>1.05</v>
      </c>
      <c r="AM64" s="455" t="str">
        <f t="shared" si="119"/>
        <v xml:space="preserve">(na,na,na,na,na,na); </v>
      </c>
      <c r="AN64" s="440">
        <f t="shared" si="96"/>
        <v>0</v>
      </c>
      <c r="AO64" s="336">
        <v>1</v>
      </c>
      <c r="AP64" s="337">
        <f t="shared" si="120"/>
        <v>1.05</v>
      </c>
      <c r="AQ64" s="455" t="str">
        <f t="shared" si="121"/>
        <v xml:space="preserve">(na,na,na,na,na,na); </v>
      </c>
      <c r="AR64" s="440">
        <f t="shared" si="97"/>
        <v>0</v>
      </c>
      <c r="AS64" s="336">
        <v>1</v>
      </c>
      <c r="AT64" s="337">
        <f t="shared" si="122"/>
        <v>1.05</v>
      </c>
      <c r="AU64" s="455" t="str">
        <f t="shared" si="123"/>
        <v xml:space="preserve">(na,na,na,na,na,na); </v>
      </c>
      <c r="AV64" s="440">
        <v>0</v>
      </c>
      <c r="AW64" s="336">
        <v>1</v>
      </c>
      <c r="AX64" s="337">
        <f t="shared" si="124"/>
        <v>1.05</v>
      </c>
      <c r="AY64" s="437" t="str">
        <f t="shared" si="125"/>
        <v xml:space="preserve">(na,na,na,na,na,na); </v>
      </c>
      <c r="AZ64" s="440">
        <f t="shared" si="98"/>
        <v>0</v>
      </c>
      <c r="BA64" s="336">
        <v>1</v>
      </c>
      <c r="BB64" s="337">
        <f t="shared" si="126"/>
        <v>1.05</v>
      </c>
      <c r="BC64" s="455" t="str">
        <f t="shared" si="127"/>
        <v xml:space="preserve">(na,na,na,na,na,na); </v>
      </c>
      <c r="BD64" s="440">
        <f t="shared" si="99"/>
        <v>0</v>
      </c>
      <c r="BE64" s="336">
        <v>1</v>
      </c>
      <c r="BF64" s="337">
        <f t="shared" si="128"/>
        <v>1.05</v>
      </c>
      <c r="BG64" s="455" t="str">
        <f t="shared" si="129"/>
        <v xml:space="preserve">(na,na,na,na,na,na); </v>
      </c>
      <c r="BH64" s="440">
        <f t="shared" si="100"/>
        <v>0</v>
      </c>
      <c r="BI64" s="336">
        <v>1</v>
      </c>
      <c r="BJ64" s="337">
        <f t="shared" si="130"/>
        <v>1.05</v>
      </c>
      <c r="BK64" s="455" t="str">
        <f t="shared" si="131"/>
        <v xml:space="preserve">(na,na,na,na,na,na); </v>
      </c>
      <c r="BL64" s="440">
        <f t="shared" si="101"/>
        <v>0</v>
      </c>
      <c r="BM64" s="336">
        <v>1</v>
      </c>
      <c r="BN64" s="337">
        <f t="shared" si="132"/>
        <v>1.05</v>
      </c>
      <c r="BO64" s="455" t="str">
        <f t="shared" si="133"/>
        <v xml:space="preserve">(na,na,na,na,na,na); </v>
      </c>
      <c r="BP64" s="440">
        <v>0</v>
      </c>
      <c r="BQ64" s="336">
        <v>1</v>
      </c>
      <c r="BR64" s="337">
        <f t="shared" si="134"/>
        <v>1.05</v>
      </c>
      <c r="BS64" s="437" t="str">
        <f t="shared" si="135"/>
        <v xml:space="preserve">(na,na,na,na,na,na); </v>
      </c>
      <c r="BT64" s="440">
        <f t="shared" si="102"/>
        <v>0</v>
      </c>
      <c r="BU64" s="336">
        <v>1</v>
      </c>
      <c r="BV64" s="337">
        <f t="shared" si="136"/>
        <v>1.05</v>
      </c>
      <c r="BW64" s="455" t="str">
        <f t="shared" si="137"/>
        <v xml:space="preserve">(na,na,na,na,na,na); </v>
      </c>
      <c r="BX64" s="440">
        <f t="shared" si="103"/>
        <v>0</v>
      </c>
      <c r="BY64" s="336">
        <v>1</v>
      </c>
      <c r="BZ64" s="337">
        <f t="shared" si="138"/>
        <v>1.05</v>
      </c>
      <c r="CA64" s="455" t="str">
        <f t="shared" si="139"/>
        <v xml:space="preserve">(na,na,na,na,na,na); </v>
      </c>
      <c r="CB64" s="440">
        <f t="shared" si="104"/>
        <v>0</v>
      </c>
      <c r="CC64" s="336">
        <v>1</v>
      </c>
      <c r="CD64" s="337">
        <f t="shared" si="140"/>
        <v>1.05</v>
      </c>
      <c r="CE64" s="455" t="str">
        <f t="shared" si="141"/>
        <v xml:space="preserve">(na,na,na,na,na,na); </v>
      </c>
      <c r="CF64" s="440">
        <f t="shared" si="105"/>
        <v>0</v>
      </c>
      <c r="CG64" s="336">
        <v>1</v>
      </c>
      <c r="CH64" s="337">
        <f t="shared" si="142"/>
        <v>1.05</v>
      </c>
      <c r="CI64" s="455" t="str">
        <f t="shared" si="143"/>
        <v xml:space="preserve">(na,na,na,na,na,na); </v>
      </c>
      <c r="CJ64" s="440">
        <v>0</v>
      </c>
      <c r="CK64" s="336">
        <v>1</v>
      </c>
      <c r="CL64" s="337">
        <f t="shared" si="144"/>
        <v>1.05</v>
      </c>
      <c r="CM64" s="437" t="str">
        <f t="shared" si="145"/>
        <v xml:space="preserve">(na,na,na,na,na,na); </v>
      </c>
      <c r="CN64" s="440">
        <v>1.6000000000000001E-3</v>
      </c>
      <c r="CO64" s="336">
        <v>1</v>
      </c>
      <c r="CP64" s="337">
        <f t="shared" si="146"/>
        <v>1.2434566510799234</v>
      </c>
      <c r="CQ64" s="455" t="str">
        <f t="shared" si="147"/>
        <v>(2,4,1,3,1,5); Brailovsky (2026) GP 08</v>
      </c>
      <c r="CR64" s="440">
        <v>1.6000000000000001E-3</v>
      </c>
      <c r="CS64" s="336">
        <v>1</v>
      </c>
      <c r="CT64" s="337">
        <f t="shared" si="148"/>
        <v>1.2434566510799234</v>
      </c>
      <c r="CU64" s="437" t="str">
        <f t="shared" si="149"/>
        <v>(2,4,1,3,1,5); Brailovsky (2026) GP 08</v>
      </c>
      <c r="CW64" s="440"/>
      <c r="CX64" s="440"/>
      <c r="CY64" s="440"/>
      <c r="CZ64" s="440"/>
      <c r="DA64" s="691"/>
      <c r="DB64" s="83" t="s">
        <v>106</v>
      </c>
      <c r="DC64" s="83" t="s">
        <v>106</v>
      </c>
      <c r="DD64" s="83" t="s">
        <v>106</v>
      </c>
      <c r="DE64" s="83" t="s">
        <v>106</v>
      </c>
      <c r="DF64" s="83" t="s">
        <v>106</v>
      </c>
      <c r="DG64" s="83" t="s">
        <v>106</v>
      </c>
      <c r="DH64" s="104">
        <v>3</v>
      </c>
      <c r="DI64" s="104">
        <v>1.05</v>
      </c>
      <c r="DJ64" s="107">
        <f t="shared" si="150"/>
        <v>1</v>
      </c>
      <c r="DK64" s="107">
        <f t="shared" si="151"/>
        <v>1.05</v>
      </c>
      <c r="DL64" s="107" t="str">
        <f t="shared" si="152"/>
        <v>(na,na,na,na,na,na)</v>
      </c>
      <c r="DM64" s="108">
        <v>1</v>
      </c>
      <c r="DN64" s="108">
        <v>1</v>
      </c>
      <c r="DO64" s="108">
        <v>1</v>
      </c>
      <c r="DP64" s="108">
        <v>1</v>
      </c>
      <c r="DQ64" s="108">
        <v>1</v>
      </c>
      <c r="DR64" s="108">
        <v>1</v>
      </c>
      <c r="DT64" s="691" t="s">
        <v>1171</v>
      </c>
      <c r="DU64" s="83">
        <v>2</v>
      </c>
      <c r="DV64" s="83">
        <v>4</v>
      </c>
      <c r="DW64" s="83">
        <v>1</v>
      </c>
      <c r="DX64" s="83">
        <v>3</v>
      </c>
      <c r="DY64" s="83">
        <v>1</v>
      </c>
      <c r="DZ64" s="83">
        <v>5</v>
      </c>
      <c r="EA64" s="104">
        <v>3</v>
      </c>
      <c r="EB64" s="104">
        <v>1.05</v>
      </c>
      <c r="EC64" s="107">
        <f t="shared" si="153"/>
        <v>1.2365959919080913</v>
      </c>
      <c r="ED64" s="107">
        <f t="shared" si="154"/>
        <v>1.2434566510799234</v>
      </c>
      <c r="EE64" s="107" t="str">
        <f t="shared" si="155"/>
        <v>(2,4,1,3,1,5)</v>
      </c>
      <c r="EF64" s="108">
        <v>1.05</v>
      </c>
      <c r="EG64" s="108">
        <v>1.1000000000000001</v>
      </c>
      <c r="EH64" s="108">
        <v>1</v>
      </c>
      <c r="EI64" s="108">
        <v>1.02</v>
      </c>
      <c r="EJ64" s="108">
        <v>1</v>
      </c>
      <c r="EK64" s="108">
        <v>1.2</v>
      </c>
    </row>
    <row r="65" spans="1:141" s="171" customFormat="1">
      <c r="A65" s="333">
        <v>269451</v>
      </c>
      <c r="B65" s="216" t="s">
        <v>491</v>
      </c>
      <c r="C65" s="334"/>
      <c r="D65" s="515">
        <v>5</v>
      </c>
      <c r="E65" s="343" t="s">
        <v>98</v>
      </c>
      <c r="F65" s="437" t="s">
        <v>966</v>
      </c>
      <c r="G65" s="438" t="s">
        <v>93</v>
      </c>
      <c r="H65" s="455" t="s">
        <v>98</v>
      </c>
      <c r="I65" s="455" t="s">
        <v>98</v>
      </c>
      <c r="J65" s="336">
        <v>0</v>
      </c>
      <c r="K65" s="438" t="s">
        <v>96</v>
      </c>
      <c r="L65" s="440">
        <f t="shared" si="90"/>
        <v>0</v>
      </c>
      <c r="M65" s="336">
        <v>1</v>
      </c>
      <c r="N65" s="337">
        <f t="shared" si="106"/>
        <v>1.05</v>
      </c>
      <c r="O65" s="455" t="str">
        <f t="shared" si="107"/>
        <v xml:space="preserve">(na,na,na,na,na,na); </v>
      </c>
      <c r="P65" s="440">
        <f t="shared" si="91"/>
        <v>0</v>
      </c>
      <c r="Q65" s="336">
        <v>1</v>
      </c>
      <c r="R65" s="337">
        <f t="shared" si="108"/>
        <v>1.05</v>
      </c>
      <c r="S65" s="455" t="str">
        <f t="shared" si="109"/>
        <v xml:space="preserve">(na,na,na,na,na,na); </v>
      </c>
      <c r="T65" s="440">
        <f t="shared" si="92"/>
        <v>0</v>
      </c>
      <c r="U65" s="336">
        <v>1</v>
      </c>
      <c r="V65" s="337">
        <f t="shared" si="110"/>
        <v>1.05</v>
      </c>
      <c r="W65" s="455" t="str">
        <f t="shared" si="111"/>
        <v xml:space="preserve">(na,na,na,na,na,na); </v>
      </c>
      <c r="X65" s="440">
        <f t="shared" si="93"/>
        <v>0</v>
      </c>
      <c r="Y65" s="336">
        <v>1</v>
      </c>
      <c r="Z65" s="337">
        <f t="shared" si="112"/>
        <v>1.05</v>
      </c>
      <c r="AA65" s="437" t="str">
        <f t="shared" si="113"/>
        <v xml:space="preserve">(na,na,na,na,na,na); </v>
      </c>
      <c r="AB65" s="440">
        <v>0</v>
      </c>
      <c r="AC65" s="336">
        <v>1</v>
      </c>
      <c r="AD65" s="337">
        <f t="shared" si="114"/>
        <v>1.05</v>
      </c>
      <c r="AE65" s="437" t="str">
        <f t="shared" si="115"/>
        <v xml:space="preserve">(na,na,na,na,na,na); </v>
      </c>
      <c r="AF65" s="440">
        <f t="shared" si="94"/>
        <v>0</v>
      </c>
      <c r="AG65" s="336">
        <v>1</v>
      </c>
      <c r="AH65" s="337">
        <f t="shared" si="116"/>
        <v>1.05</v>
      </c>
      <c r="AI65" s="455" t="str">
        <f t="shared" si="117"/>
        <v xml:space="preserve">(na,na,na,na,na,na); </v>
      </c>
      <c r="AJ65" s="440">
        <f t="shared" si="95"/>
        <v>0</v>
      </c>
      <c r="AK65" s="336">
        <v>1</v>
      </c>
      <c r="AL65" s="337">
        <f t="shared" si="118"/>
        <v>1.05</v>
      </c>
      <c r="AM65" s="455" t="str">
        <f t="shared" si="119"/>
        <v xml:space="preserve">(na,na,na,na,na,na); </v>
      </c>
      <c r="AN65" s="440">
        <f t="shared" si="96"/>
        <v>0</v>
      </c>
      <c r="AO65" s="336">
        <v>1</v>
      </c>
      <c r="AP65" s="337">
        <f t="shared" si="120"/>
        <v>1.05</v>
      </c>
      <c r="AQ65" s="455" t="str">
        <f t="shared" si="121"/>
        <v xml:space="preserve">(na,na,na,na,na,na); </v>
      </c>
      <c r="AR65" s="440">
        <f t="shared" si="97"/>
        <v>0</v>
      </c>
      <c r="AS65" s="336">
        <v>1</v>
      </c>
      <c r="AT65" s="337">
        <f t="shared" si="122"/>
        <v>1.05</v>
      </c>
      <c r="AU65" s="455" t="str">
        <f t="shared" si="123"/>
        <v xml:space="preserve">(na,na,na,na,na,na); </v>
      </c>
      <c r="AV65" s="440">
        <v>0</v>
      </c>
      <c r="AW65" s="336">
        <v>1</v>
      </c>
      <c r="AX65" s="337">
        <f t="shared" si="124"/>
        <v>1.05</v>
      </c>
      <c r="AY65" s="437" t="str">
        <f t="shared" si="125"/>
        <v xml:space="preserve">(na,na,na,na,na,na); </v>
      </c>
      <c r="AZ65" s="440">
        <f t="shared" si="98"/>
        <v>0</v>
      </c>
      <c r="BA65" s="336">
        <v>1</v>
      </c>
      <c r="BB65" s="337">
        <f t="shared" si="126"/>
        <v>1.05</v>
      </c>
      <c r="BC65" s="455" t="str">
        <f t="shared" si="127"/>
        <v xml:space="preserve">(na,na,na,na,na,na); </v>
      </c>
      <c r="BD65" s="440">
        <f t="shared" si="99"/>
        <v>0</v>
      </c>
      <c r="BE65" s="336">
        <v>1</v>
      </c>
      <c r="BF65" s="337">
        <f t="shared" si="128"/>
        <v>1.05</v>
      </c>
      <c r="BG65" s="455" t="str">
        <f t="shared" si="129"/>
        <v xml:space="preserve">(na,na,na,na,na,na); </v>
      </c>
      <c r="BH65" s="440">
        <f t="shared" si="100"/>
        <v>0</v>
      </c>
      <c r="BI65" s="336">
        <v>1</v>
      </c>
      <c r="BJ65" s="337">
        <f t="shared" si="130"/>
        <v>1.05</v>
      </c>
      <c r="BK65" s="455" t="str">
        <f t="shared" si="131"/>
        <v xml:space="preserve">(na,na,na,na,na,na); </v>
      </c>
      <c r="BL65" s="440">
        <f t="shared" si="101"/>
        <v>0</v>
      </c>
      <c r="BM65" s="336">
        <v>1</v>
      </c>
      <c r="BN65" s="337">
        <f t="shared" si="132"/>
        <v>1.05</v>
      </c>
      <c r="BO65" s="455" t="str">
        <f t="shared" si="133"/>
        <v xml:space="preserve">(na,na,na,na,na,na); </v>
      </c>
      <c r="BP65" s="440">
        <v>0</v>
      </c>
      <c r="BQ65" s="336">
        <v>1</v>
      </c>
      <c r="BR65" s="337">
        <f t="shared" si="134"/>
        <v>1.05</v>
      </c>
      <c r="BS65" s="437" t="str">
        <f t="shared" si="135"/>
        <v xml:space="preserve">(na,na,na,na,na,na); </v>
      </c>
      <c r="BT65" s="440">
        <f t="shared" si="102"/>
        <v>0</v>
      </c>
      <c r="BU65" s="336">
        <v>1</v>
      </c>
      <c r="BV65" s="337">
        <f t="shared" si="136"/>
        <v>1.05</v>
      </c>
      <c r="BW65" s="455" t="str">
        <f t="shared" si="137"/>
        <v xml:space="preserve">(na,na,na,na,na,na); </v>
      </c>
      <c r="BX65" s="440">
        <f t="shared" si="103"/>
        <v>0</v>
      </c>
      <c r="BY65" s="336">
        <v>1</v>
      </c>
      <c r="BZ65" s="337">
        <f t="shared" si="138"/>
        <v>1.05</v>
      </c>
      <c r="CA65" s="455" t="str">
        <f t="shared" si="139"/>
        <v xml:space="preserve">(na,na,na,na,na,na); </v>
      </c>
      <c r="CB65" s="440">
        <f t="shared" si="104"/>
        <v>0</v>
      </c>
      <c r="CC65" s="336">
        <v>1</v>
      </c>
      <c r="CD65" s="337">
        <f t="shared" si="140"/>
        <v>1.05</v>
      </c>
      <c r="CE65" s="455" t="str">
        <f t="shared" si="141"/>
        <v xml:space="preserve">(na,na,na,na,na,na); </v>
      </c>
      <c r="CF65" s="440">
        <f t="shared" si="105"/>
        <v>0</v>
      </c>
      <c r="CG65" s="336">
        <v>1</v>
      </c>
      <c r="CH65" s="337">
        <f t="shared" si="142"/>
        <v>1.05</v>
      </c>
      <c r="CI65" s="455" t="str">
        <f t="shared" si="143"/>
        <v xml:space="preserve">(na,na,na,na,na,na); </v>
      </c>
      <c r="CJ65" s="440">
        <v>0</v>
      </c>
      <c r="CK65" s="336">
        <v>1</v>
      </c>
      <c r="CL65" s="337">
        <f t="shared" si="144"/>
        <v>1.05</v>
      </c>
      <c r="CM65" s="437" t="str">
        <f t="shared" si="145"/>
        <v xml:space="preserve">(na,na,na,na,na,na); </v>
      </c>
      <c r="CN65" s="440">
        <v>3.5799999999999998E-2</v>
      </c>
      <c r="CO65" s="336">
        <v>1</v>
      </c>
      <c r="CP65" s="337">
        <f t="shared" si="146"/>
        <v>1.2434566510799234</v>
      </c>
      <c r="CQ65" s="455" t="str">
        <f t="shared" si="147"/>
        <v>(2,4,1,3,1,5); Brailovsky (2026) GP 08</v>
      </c>
      <c r="CR65" s="440">
        <v>3.5799999999999998E-2</v>
      </c>
      <c r="CS65" s="336">
        <v>1</v>
      </c>
      <c r="CT65" s="337">
        <f t="shared" si="148"/>
        <v>1.2434566510799234</v>
      </c>
      <c r="CU65" s="437" t="str">
        <f t="shared" si="149"/>
        <v>(2,4,1,3,1,5); Brailovsky (2026) GP 08</v>
      </c>
      <c r="CW65" s="440"/>
      <c r="CX65" s="440"/>
      <c r="CY65" s="440"/>
      <c r="CZ65" s="440"/>
      <c r="DA65" s="691"/>
      <c r="DB65" s="83" t="s">
        <v>106</v>
      </c>
      <c r="DC65" s="83" t="s">
        <v>106</v>
      </c>
      <c r="DD65" s="83" t="s">
        <v>106</v>
      </c>
      <c r="DE65" s="83" t="s">
        <v>106</v>
      </c>
      <c r="DF65" s="83" t="s">
        <v>106</v>
      </c>
      <c r="DG65" s="83" t="s">
        <v>106</v>
      </c>
      <c r="DH65" s="104">
        <v>3</v>
      </c>
      <c r="DI65" s="104">
        <v>1.05</v>
      </c>
      <c r="DJ65" s="107">
        <f t="shared" si="150"/>
        <v>1</v>
      </c>
      <c r="DK65" s="107">
        <f t="shared" si="151"/>
        <v>1.05</v>
      </c>
      <c r="DL65" s="107" t="str">
        <f t="shared" si="152"/>
        <v>(na,na,na,na,na,na)</v>
      </c>
      <c r="DM65" s="108">
        <v>1</v>
      </c>
      <c r="DN65" s="108">
        <v>1</v>
      </c>
      <c r="DO65" s="108">
        <v>1</v>
      </c>
      <c r="DP65" s="108">
        <v>1</v>
      </c>
      <c r="DQ65" s="108">
        <v>1</v>
      </c>
      <c r="DR65" s="108">
        <v>1</v>
      </c>
      <c r="DT65" s="691" t="s">
        <v>1171</v>
      </c>
      <c r="DU65" s="83">
        <v>2</v>
      </c>
      <c r="DV65" s="83">
        <v>4</v>
      </c>
      <c r="DW65" s="83">
        <v>1</v>
      </c>
      <c r="DX65" s="83">
        <v>3</v>
      </c>
      <c r="DY65" s="83">
        <v>1</v>
      </c>
      <c r="DZ65" s="83">
        <v>5</v>
      </c>
      <c r="EA65" s="104">
        <v>3</v>
      </c>
      <c r="EB65" s="104">
        <v>1.05</v>
      </c>
      <c r="EC65" s="107">
        <f t="shared" si="153"/>
        <v>1.2365959919080913</v>
      </c>
      <c r="ED65" s="107">
        <f t="shared" si="154"/>
        <v>1.2434566510799234</v>
      </c>
      <c r="EE65" s="107" t="str">
        <f t="shared" si="155"/>
        <v>(2,4,1,3,1,5)</v>
      </c>
      <c r="EF65" s="108">
        <v>1.05</v>
      </c>
      <c r="EG65" s="108">
        <v>1.1000000000000001</v>
      </c>
      <c r="EH65" s="108">
        <v>1</v>
      </c>
      <c r="EI65" s="108">
        <v>1.02</v>
      </c>
      <c r="EJ65" s="108">
        <v>1</v>
      </c>
      <c r="EK65" s="108">
        <v>1.2</v>
      </c>
    </row>
    <row r="66" spans="1:141" ht="24">
      <c r="A66" s="330">
        <v>266445</v>
      </c>
      <c r="B66" s="216"/>
      <c r="C66" s="334"/>
      <c r="D66" s="515">
        <v>5</v>
      </c>
      <c r="E66" s="343" t="s">
        <v>98</v>
      </c>
      <c r="F66" s="437" t="s">
        <v>496</v>
      </c>
      <c r="G66" s="438" t="s">
        <v>93</v>
      </c>
      <c r="H66" s="455" t="s">
        <v>98</v>
      </c>
      <c r="I66" s="455" t="s">
        <v>98</v>
      </c>
      <c r="J66" s="336">
        <v>0</v>
      </c>
      <c r="K66" s="438" t="s">
        <v>96</v>
      </c>
      <c r="L66" s="440">
        <f t="shared" si="90"/>
        <v>9.4896252927400494E-5</v>
      </c>
      <c r="M66" s="336">
        <v>1</v>
      </c>
      <c r="N66" s="337">
        <f t="shared" si="106"/>
        <v>1.0722009304576894</v>
      </c>
      <c r="O66" s="455" t="str">
        <f t="shared" si="107"/>
        <v>(2,1,1,2,1,1); Industry data (French tender) Packaging paper</v>
      </c>
      <c r="P66" s="440">
        <f t="shared" si="91"/>
        <v>2.0983372365339599E-2</v>
      </c>
      <c r="Q66" s="336">
        <v>1</v>
      </c>
      <c r="R66" s="337">
        <f t="shared" si="108"/>
        <v>1.0722009304576894</v>
      </c>
      <c r="S66" s="455" t="str">
        <f t="shared" si="109"/>
        <v>(2,1,1,2,1,1); Industry data (French tender) Packaging paper</v>
      </c>
      <c r="T66" s="440">
        <f t="shared" si="92"/>
        <v>7.7233639143730898E-5</v>
      </c>
      <c r="U66" s="336">
        <v>1</v>
      </c>
      <c r="V66" s="337">
        <f t="shared" si="110"/>
        <v>1.0722009304576894</v>
      </c>
      <c r="W66" s="455" t="str">
        <f t="shared" si="111"/>
        <v>(2,1,1,2,1,1); Industry data (French tender) Packaging paper</v>
      </c>
      <c r="X66" s="440">
        <f t="shared" si="93"/>
        <v>2.6329773462783201E-2</v>
      </c>
      <c r="Y66" s="336">
        <v>1</v>
      </c>
      <c r="Z66" s="337">
        <f t="shared" si="112"/>
        <v>1.0722009304576894</v>
      </c>
      <c r="AA66" s="437" t="str">
        <f t="shared" si="113"/>
        <v>(2,1,1,2,1,1); Industry data (French tender) Packaging paper</v>
      </c>
      <c r="AB66" s="435">
        <f>X66</f>
        <v>2.6329773462783201E-2</v>
      </c>
      <c r="AC66" s="95">
        <v>1</v>
      </c>
      <c r="AD66" s="96">
        <f t="shared" si="114"/>
        <v>1.0722009304576894</v>
      </c>
      <c r="AE66" s="432" t="str">
        <f t="shared" si="115"/>
        <v>(2,1,1,2,1,1); Industry data (French tender) Packaging paper</v>
      </c>
      <c r="AF66" s="435">
        <f t="shared" si="94"/>
        <v>9.4896252927400494E-5</v>
      </c>
      <c r="AG66" s="95">
        <v>1</v>
      </c>
      <c r="AH66" s="96">
        <f t="shared" si="116"/>
        <v>1.0722009304576894</v>
      </c>
      <c r="AI66" s="457" t="str">
        <f t="shared" si="117"/>
        <v>(2,1,1,2,1,1); Industry data (French tender) Packaging paper</v>
      </c>
      <c r="AJ66" s="435">
        <f t="shared" si="95"/>
        <v>2.0983372365339599E-2</v>
      </c>
      <c r="AK66" s="95">
        <v>1</v>
      </c>
      <c r="AL66" s="96">
        <f t="shared" si="118"/>
        <v>1.0722009304576894</v>
      </c>
      <c r="AM66" s="457" t="str">
        <f t="shared" si="119"/>
        <v>(2,1,1,2,1,1); Industry data (French tender) Packaging paper</v>
      </c>
      <c r="AN66" s="435">
        <f t="shared" si="96"/>
        <v>7.7233639143730898E-5</v>
      </c>
      <c r="AO66" s="95">
        <v>1</v>
      </c>
      <c r="AP66" s="96">
        <f t="shared" si="120"/>
        <v>1.0722009304576894</v>
      </c>
      <c r="AQ66" s="457" t="str">
        <f t="shared" si="121"/>
        <v>(2,1,1,2,1,1); Industry data (French tender) Packaging paper</v>
      </c>
      <c r="AR66" s="435">
        <f t="shared" si="97"/>
        <v>2.6329773462783201E-2</v>
      </c>
      <c r="AS66" s="95">
        <v>1</v>
      </c>
      <c r="AT66" s="96">
        <f t="shared" si="122"/>
        <v>1.0722009304576894</v>
      </c>
      <c r="AU66" s="457" t="str">
        <f t="shared" si="123"/>
        <v>(2,1,1,2,1,1); Industry data (French tender) Packaging paper</v>
      </c>
      <c r="AV66" s="435">
        <f>AB66</f>
        <v>2.6329773462783201E-2</v>
      </c>
      <c r="AW66" s="95">
        <v>1</v>
      </c>
      <c r="AX66" s="96">
        <f t="shared" si="124"/>
        <v>1.0722009304576894</v>
      </c>
      <c r="AY66" s="432" t="str">
        <f t="shared" si="125"/>
        <v>(2,1,1,2,1,1); Industry data (French tender) Packaging paper</v>
      </c>
      <c r="AZ66" s="435">
        <f t="shared" si="98"/>
        <v>9.4896252927400494E-5</v>
      </c>
      <c r="BA66" s="95">
        <v>1</v>
      </c>
      <c r="BB66" s="96">
        <f t="shared" si="126"/>
        <v>1.0722009304576894</v>
      </c>
      <c r="BC66" s="457" t="str">
        <f t="shared" si="127"/>
        <v>(2,1,1,2,1,1); Industry data (French tender) Packaging paper</v>
      </c>
      <c r="BD66" s="435">
        <f t="shared" si="99"/>
        <v>2.0983372365339599E-2</v>
      </c>
      <c r="BE66" s="95">
        <v>1</v>
      </c>
      <c r="BF66" s="96">
        <f t="shared" si="128"/>
        <v>1.0722009304576894</v>
      </c>
      <c r="BG66" s="457" t="str">
        <f t="shared" si="129"/>
        <v>(2,1,1,2,1,1); Industry data (French tender) Packaging paper</v>
      </c>
      <c r="BH66" s="435">
        <f t="shared" si="100"/>
        <v>7.7233639143730898E-5</v>
      </c>
      <c r="BI66" s="95">
        <v>1</v>
      </c>
      <c r="BJ66" s="96">
        <f t="shared" si="130"/>
        <v>1.0722009304576894</v>
      </c>
      <c r="BK66" s="457" t="str">
        <f t="shared" si="131"/>
        <v>(2,1,1,2,1,1); Industry data (French tender) Packaging paper</v>
      </c>
      <c r="BL66" s="435">
        <f t="shared" si="101"/>
        <v>2.6329773462783201E-2</v>
      </c>
      <c r="BM66" s="95">
        <v>1</v>
      </c>
      <c r="BN66" s="96">
        <f t="shared" si="132"/>
        <v>1.0722009304576894</v>
      </c>
      <c r="BO66" s="457" t="str">
        <f t="shared" si="133"/>
        <v>(2,1,1,2,1,1); Industry data (French tender) Packaging paper</v>
      </c>
      <c r="BP66" s="435">
        <f>AV66</f>
        <v>2.6329773462783201E-2</v>
      </c>
      <c r="BQ66" s="95">
        <v>1</v>
      </c>
      <c r="BR66" s="96">
        <f t="shared" si="134"/>
        <v>1.0722009304576894</v>
      </c>
      <c r="BS66" s="432" t="str">
        <f t="shared" si="135"/>
        <v>(2,1,1,2,1,1); Industry data (French tender) Packaging paper</v>
      </c>
      <c r="BT66" s="435">
        <f t="shared" si="102"/>
        <v>9.4896252927400494E-5</v>
      </c>
      <c r="BU66" s="95">
        <v>1</v>
      </c>
      <c r="BV66" s="96">
        <f t="shared" si="136"/>
        <v>1.0722009304576894</v>
      </c>
      <c r="BW66" s="457" t="str">
        <f t="shared" si="137"/>
        <v>(2,1,1,2,1,1); Industry data (French tender) Packaging paper</v>
      </c>
      <c r="BX66" s="435">
        <f t="shared" si="103"/>
        <v>2.0983372365339599E-2</v>
      </c>
      <c r="BY66" s="95">
        <v>1</v>
      </c>
      <c r="BZ66" s="96">
        <f t="shared" si="138"/>
        <v>1.0722009304576894</v>
      </c>
      <c r="CA66" s="457" t="str">
        <f t="shared" si="139"/>
        <v>(2,1,1,2,1,1); Industry data (French tender) Packaging paper</v>
      </c>
      <c r="CB66" s="435">
        <f t="shared" si="104"/>
        <v>7.7233639143730898E-5</v>
      </c>
      <c r="CC66" s="95">
        <v>1</v>
      </c>
      <c r="CD66" s="96">
        <f t="shared" si="140"/>
        <v>1.0722009304576894</v>
      </c>
      <c r="CE66" s="457" t="str">
        <f t="shared" si="141"/>
        <v>(2,1,1,2,1,1); Industry data (French tender) Packaging paper</v>
      </c>
      <c r="CF66" s="435">
        <f t="shared" si="105"/>
        <v>2.6329773462783201E-2</v>
      </c>
      <c r="CG66" s="95">
        <v>1</v>
      </c>
      <c r="CH66" s="96">
        <f t="shared" si="142"/>
        <v>1.0722009304576894</v>
      </c>
      <c r="CI66" s="457" t="str">
        <f t="shared" si="143"/>
        <v>(2,1,1,2,1,1); Industry data (French tender) Packaging paper</v>
      </c>
      <c r="CJ66" s="435">
        <f>CF66</f>
        <v>2.6329773462783201E-2</v>
      </c>
      <c r="CK66" s="95">
        <v>1</v>
      </c>
      <c r="CL66" s="96">
        <f t="shared" si="144"/>
        <v>1.0722009304576894</v>
      </c>
      <c r="CM66" s="437" t="str">
        <f t="shared" si="145"/>
        <v>(2,1,1,2,1,1); Industry data (French tender) Packaging paper</v>
      </c>
      <c r="CN66" s="435">
        <v>0</v>
      </c>
      <c r="CO66" s="95">
        <v>1</v>
      </c>
      <c r="CP66" s="96">
        <f t="shared" si="146"/>
        <v>1.05</v>
      </c>
      <c r="CQ66" s="457" t="str">
        <f t="shared" si="147"/>
        <v xml:space="preserve">(na,na,na,na,na,na); </v>
      </c>
      <c r="CR66" s="435">
        <v>0</v>
      </c>
      <c r="CS66" s="95">
        <v>1</v>
      </c>
      <c r="CT66" s="96">
        <f t="shared" si="148"/>
        <v>1.05</v>
      </c>
      <c r="CU66" s="432" t="str">
        <f t="shared" si="149"/>
        <v xml:space="preserve">(na,na,na,na,na,na); </v>
      </c>
      <c r="CV66" s="399"/>
      <c r="CW66" s="435">
        <v>9.4896252927400494E-5</v>
      </c>
      <c r="CX66" s="435">
        <v>2.0983372365339599E-2</v>
      </c>
      <c r="CY66" s="435">
        <v>7.7233639143730898E-5</v>
      </c>
      <c r="CZ66" s="435">
        <v>2.6329773462783201E-2</v>
      </c>
      <c r="DA66" s="692" t="s">
        <v>1208</v>
      </c>
      <c r="DB66" s="83">
        <v>2</v>
      </c>
      <c r="DC66" s="83">
        <v>1</v>
      </c>
      <c r="DD66" s="83">
        <v>1</v>
      </c>
      <c r="DE66" s="83">
        <v>2</v>
      </c>
      <c r="DF66" s="83">
        <v>1</v>
      </c>
      <c r="DG66" s="83">
        <v>1</v>
      </c>
      <c r="DH66" s="104">
        <v>3</v>
      </c>
      <c r="DI66" s="104">
        <v>1.05</v>
      </c>
      <c r="DJ66" s="107">
        <f t="shared" si="150"/>
        <v>1.0510550504206344</v>
      </c>
      <c r="DK66" s="107">
        <f t="shared" si="151"/>
        <v>1.0722009304576894</v>
      </c>
      <c r="DL66" s="107" t="str">
        <f t="shared" si="152"/>
        <v>(2,1,1,2,1,1)</v>
      </c>
      <c r="DM66" s="108">
        <v>1.05</v>
      </c>
      <c r="DN66" s="108">
        <v>1</v>
      </c>
      <c r="DO66" s="108">
        <v>1</v>
      </c>
      <c r="DP66" s="108">
        <v>1.01</v>
      </c>
      <c r="DQ66" s="108">
        <v>1</v>
      </c>
      <c r="DR66" s="108">
        <v>1</v>
      </c>
      <c r="DS66" s="399"/>
      <c r="DT66" s="692"/>
      <c r="DU66" s="83" t="s">
        <v>106</v>
      </c>
      <c r="DV66" s="83" t="s">
        <v>106</v>
      </c>
      <c r="DW66" s="83" t="s">
        <v>106</v>
      </c>
      <c r="DX66" s="83" t="s">
        <v>106</v>
      </c>
      <c r="DY66" s="83" t="s">
        <v>106</v>
      </c>
      <c r="DZ66" s="83" t="s">
        <v>106</v>
      </c>
      <c r="EA66" s="104">
        <v>3</v>
      </c>
      <c r="EB66" s="104">
        <v>1.05</v>
      </c>
      <c r="EC66" s="107">
        <f t="shared" si="153"/>
        <v>1</v>
      </c>
      <c r="ED66" s="107">
        <f t="shared" si="154"/>
        <v>1.05</v>
      </c>
      <c r="EE66" s="107" t="str">
        <f t="shared" si="155"/>
        <v>(na,na,na,na,na,na)</v>
      </c>
      <c r="EF66" s="108">
        <v>1</v>
      </c>
      <c r="EG66" s="108">
        <v>1</v>
      </c>
      <c r="EH66" s="108">
        <v>1</v>
      </c>
      <c r="EI66" s="108">
        <v>1</v>
      </c>
      <c r="EJ66" s="108">
        <v>1</v>
      </c>
      <c r="EK66" s="108">
        <v>1</v>
      </c>
    </row>
    <row r="67" spans="1:141" s="171" customFormat="1" ht="24">
      <c r="A67" s="333">
        <v>269327</v>
      </c>
      <c r="B67" s="216"/>
      <c r="C67" s="334"/>
      <c r="D67" s="515">
        <v>5</v>
      </c>
      <c r="E67" s="343" t="s">
        <v>98</v>
      </c>
      <c r="F67" s="437" t="s">
        <v>492</v>
      </c>
      <c r="G67" s="438" t="s">
        <v>93</v>
      </c>
      <c r="H67" s="455" t="s">
        <v>98</v>
      </c>
      <c r="I67" s="455" t="s">
        <v>98</v>
      </c>
      <c r="J67" s="336">
        <v>0</v>
      </c>
      <c r="K67" s="438" t="s">
        <v>96</v>
      </c>
      <c r="L67" s="440">
        <f t="shared" si="90"/>
        <v>9.5234192037470695E-3</v>
      </c>
      <c r="M67" s="336">
        <v>1</v>
      </c>
      <c r="N67" s="337">
        <f t="shared" si="106"/>
        <v>1.0722009304576894</v>
      </c>
      <c r="O67" s="455" t="str">
        <f t="shared" si="107"/>
        <v>(2,1,1,2,1,1); Industry data (French tender) Packaging plastic</v>
      </c>
      <c r="P67" s="440">
        <f t="shared" si="91"/>
        <v>6.3452693208430899E-5</v>
      </c>
      <c r="Q67" s="336">
        <v>1</v>
      </c>
      <c r="R67" s="337">
        <f t="shared" si="108"/>
        <v>1.0722009304576894</v>
      </c>
      <c r="S67" s="455" t="str">
        <f t="shared" si="109"/>
        <v>(2,1,1,2,1,1); Industry data (French tender) Packaging plastic</v>
      </c>
      <c r="T67" s="440">
        <f t="shared" si="92"/>
        <v>2.14229357798165E-2</v>
      </c>
      <c r="U67" s="336">
        <v>1</v>
      </c>
      <c r="V67" s="337">
        <f t="shared" si="110"/>
        <v>1.0722009304576894</v>
      </c>
      <c r="W67" s="455" t="str">
        <f t="shared" si="111"/>
        <v>(2,1,1,2,1,1); Industry data (French tender) Packaging plastic</v>
      </c>
      <c r="X67" s="440">
        <f t="shared" si="93"/>
        <v>7.3805085529357403E-5</v>
      </c>
      <c r="Y67" s="336">
        <v>1</v>
      </c>
      <c r="Z67" s="337">
        <f t="shared" si="112"/>
        <v>1.0722009304576894</v>
      </c>
      <c r="AA67" s="437" t="str">
        <f t="shared" si="113"/>
        <v>(2,1,1,2,1,1); Industry data (French tender) Packaging plastic</v>
      </c>
      <c r="AB67" s="440">
        <f>X67</f>
        <v>7.3805085529357403E-5</v>
      </c>
      <c r="AC67" s="336">
        <v>1</v>
      </c>
      <c r="AD67" s="337">
        <f t="shared" si="114"/>
        <v>1.0722009304576894</v>
      </c>
      <c r="AE67" s="437" t="str">
        <f t="shared" si="115"/>
        <v>(2,1,1,2,1,1); Industry data (French tender) Packaging plastic</v>
      </c>
      <c r="AF67" s="440">
        <f t="shared" si="94"/>
        <v>9.5234192037470695E-3</v>
      </c>
      <c r="AG67" s="336">
        <v>1</v>
      </c>
      <c r="AH67" s="337">
        <f t="shared" si="116"/>
        <v>1.0722009304576894</v>
      </c>
      <c r="AI67" s="455" t="str">
        <f t="shared" si="117"/>
        <v>(2,1,1,2,1,1); Industry data (French tender) Packaging plastic</v>
      </c>
      <c r="AJ67" s="440">
        <f t="shared" si="95"/>
        <v>6.3452693208430899E-5</v>
      </c>
      <c r="AK67" s="336">
        <v>1</v>
      </c>
      <c r="AL67" s="337">
        <f t="shared" si="118"/>
        <v>1.0722009304576894</v>
      </c>
      <c r="AM67" s="455" t="str">
        <f t="shared" si="119"/>
        <v>(2,1,1,2,1,1); Industry data (French tender) Packaging plastic</v>
      </c>
      <c r="AN67" s="440">
        <f t="shared" si="96"/>
        <v>2.14229357798165E-2</v>
      </c>
      <c r="AO67" s="336">
        <v>1</v>
      </c>
      <c r="AP67" s="337">
        <f t="shared" si="120"/>
        <v>1.0722009304576894</v>
      </c>
      <c r="AQ67" s="455" t="str">
        <f t="shared" si="121"/>
        <v>(2,1,1,2,1,1); Industry data (French tender) Packaging plastic</v>
      </c>
      <c r="AR67" s="440">
        <f t="shared" si="97"/>
        <v>7.3805085529357403E-5</v>
      </c>
      <c r="AS67" s="336">
        <v>1</v>
      </c>
      <c r="AT67" s="337">
        <f t="shared" si="122"/>
        <v>1.0722009304576894</v>
      </c>
      <c r="AU67" s="455" t="str">
        <f t="shared" si="123"/>
        <v>(2,1,1,2,1,1); Industry data (French tender) Packaging plastic</v>
      </c>
      <c r="AV67" s="440">
        <f>AB67</f>
        <v>7.3805085529357403E-5</v>
      </c>
      <c r="AW67" s="336">
        <v>1</v>
      </c>
      <c r="AX67" s="337">
        <f t="shared" si="124"/>
        <v>1.0722009304576894</v>
      </c>
      <c r="AY67" s="437" t="str">
        <f t="shared" si="125"/>
        <v>(2,1,1,2,1,1); Industry data (French tender) Packaging plastic</v>
      </c>
      <c r="AZ67" s="440">
        <f t="shared" si="98"/>
        <v>9.5234192037470695E-3</v>
      </c>
      <c r="BA67" s="336">
        <v>1</v>
      </c>
      <c r="BB67" s="337">
        <f t="shared" si="126"/>
        <v>1.0722009304576894</v>
      </c>
      <c r="BC67" s="455" t="str">
        <f t="shared" si="127"/>
        <v>(2,1,1,2,1,1); Industry data (French tender) Packaging plastic</v>
      </c>
      <c r="BD67" s="440">
        <f t="shared" si="99"/>
        <v>6.3452693208430899E-5</v>
      </c>
      <c r="BE67" s="336">
        <v>1</v>
      </c>
      <c r="BF67" s="337">
        <f t="shared" si="128"/>
        <v>1.0722009304576894</v>
      </c>
      <c r="BG67" s="455" t="str">
        <f t="shared" si="129"/>
        <v>(2,1,1,2,1,1); Industry data (French tender) Packaging plastic</v>
      </c>
      <c r="BH67" s="440">
        <f t="shared" si="100"/>
        <v>2.14229357798165E-2</v>
      </c>
      <c r="BI67" s="336">
        <v>1</v>
      </c>
      <c r="BJ67" s="337">
        <f t="shared" si="130"/>
        <v>1.0722009304576894</v>
      </c>
      <c r="BK67" s="455" t="str">
        <f t="shared" si="131"/>
        <v>(2,1,1,2,1,1); Industry data (French tender) Packaging plastic</v>
      </c>
      <c r="BL67" s="440">
        <f t="shared" si="101"/>
        <v>7.3805085529357403E-5</v>
      </c>
      <c r="BM67" s="336">
        <v>1</v>
      </c>
      <c r="BN67" s="337">
        <f t="shared" si="132"/>
        <v>1.0722009304576894</v>
      </c>
      <c r="BO67" s="455" t="str">
        <f t="shared" si="133"/>
        <v>(2,1,1,2,1,1); Industry data (French tender) Packaging plastic</v>
      </c>
      <c r="BP67" s="440">
        <f>AV67</f>
        <v>7.3805085529357403E-5</v>
      </c>
      <c r="BQ67" s="336">
        <v>1</v>
      </c>
      <c r="BR67" s="337">
        <f t="shared" si="134"/>
        <v>1.0722009304576894</v>
      </c>
      <c r="BS67" s="437" t="str">
        <f t="shared" si="135"/>
        <v>(2,1,1,2,1,1); Industry data (French tender) Packaging plastic</v>
      </c>
      <c r="BT67" s="440">
        <f t="shared" si="102"/>
        <v>9.5234192037470695E-3</v>
      </c>
      <c r="BU67" s="336">
        <v>1</v>
      </c>
      <c r="BV67" s="337">
        <f t="shared" si="136"/>
        <v>1.0722009304576894</v>
      </c>
      <c r="BW67" s="455" t="str">
        <f t="shared" si="137"/>
        <v>(2,1,1,2,1,1); Industry data (French tender) Packaging plastic</v>
      </c>
      <c r="BX67" s="440">
        <f t="shared" si="103"/>
        <v>6.3452693208430899E-5</v>
      </c>
      <c r="BY67" s="336">
        <v>1</v>
      </c>
      <c r="BZ67" s="337">
        <f t="shared" si="138"/>
        <v>1.0722009304576894</v>
      </c>
      <c r="CA67" s="455" t="str">
        <f t="shared" si="139"/>
        <v>(2,1,1,2,1,1); Industry data (French tender) Packaging plastic</v>
      </c>
      <c r="CB67" s="440">
        <f t="shared" si="104"/>
        <v>2.14229357798165E-2</v>
      </c>
      <c r="CC67" s="336">
        <v>1</v>
      </c>
      <c r="CD67" s="337">
        <f t="shared" si="140"/>
        <v>1.0722009304576894</v>
      </c>
      <c r="CE67" s="455" t="str">
        <f t="shared" si="141"/>
        <v>(2,1,1,2,1,1); Industry data (French tender) Packaging plastic</v>
      </c>
      <c r="CF67" s="440">
        <f t="shared" si="105"/>
        <v>7.3805085529357403E-5</v>
      </c>
      <c r="CG67" s="336">
        <v>1</v>
      </c>
      <c r="CH67" s="337">
        <f t="shared" si="142"/>
        <v>1.0722009304576894</v>
      </c>
      <c r="CI67" s="455" t="str">
        <f t="shared" si="143"/>
        <v>(2,1,1,2,1,1); Industry data (French tender) Packaging plastic</v>
      </c>
      <c r="CJ67" s="440">
        <f>CF67</f>
        <v>7.3805085529357403E-5</v>
      </c>
      <c r="CK67" s="336">
        <v>1</v>
      </c>
      <c r="CL67" s="337">
        <f t="shared" si="144"/>
        <v>1.0722009304576894</v>
      </c>
      <c r="CM67" s="437" t="str">
        <f t="shared" si="145"/>
        <v>(2,1,1,2,1,1); Industry data (French tender) Packaging plastic</v>
      </c>
      <c r="CN67" s="440">
        <v>6.9699999999999998E-2</v>
      </c>
      <c r="CO67" s="336">
        <v>1</v>
      </c>
      <c r="CP67" s="337">
        <f t="shared" si="146"/>
        <v>1.2434566510799234</v>
      </c>
      <c r="CQ67" s="455" t="str">
        <f t="shared" si="147"/>
        <v>(2,4,1,3,1,5); Brailovsky (2026) GP 08 Junction box plastic</v>
      </c>
      <c r="CR67" s="440">
        <v>6.9699999999999998E-2</v>
      </c>
      <c r="CS67" s="336">
        <v>1</v>
      </c>
      <c r="CT67" s="337">
        <f t="shared" si="148"/>
        <v>1.2434566510799234</v>
      </c>
      <c r="CU67" s="437" t="str">
        <f t="shared" si="149"/>
        <v>(2,4,1,3,1,5); Brailovsky (2026) GP 08 Junction box plastic</v>
      </c>
      <c r="CW67" s="440">
        <v>9.5234192037470695E-3</v>
      </c>
      <c r="CX67" s="440">
        <v>6.3452693208430899E-5</v>
      </c>
      <c r="CY67" s="440">
        <v>2.14229357798165E-2</v>
      </c>
      <c r="CZ67" s="440">
        <v>7.3805085529357403E-5</v>
      </c>
      <c r="DA67" s="691" t="s">
        <v>1209</v>
      </c>
      <c r="DB67" s="83">
        <v>2</v>
      </c>
      <c r="DC67" s="83">
        <v>1</v>
      </c>
      <c r="DD67" s="83">
        <v>1</v>
      </c>
      <c r="DE67" s="83">
        <v>2</v>
      </c>
      <c r="DF67" s="83">
        <v>1</v>
      </c>
      <c r="DG67" s="83">
        <v>1</v>
      </c>
      <c r="DH67" s="104">
        <v>3</v>
      </c>
      <c r="DI67" s="104">
        <v>1.05</v>
      </c>
      <c r="DJ67" s="107">
        <f t="shared" si="150"/>
        <v>1.0510550504206344</v>
      </c>
      <c r="DK67" s="107">
        <f t="shared" si="151"/>
        <v>1.0722009304576894</v>
      </c>
      <c r="DL67" s="107" t="str">
        <f t="shared" si="152"/>
        <v>(2,1,1,2,1,1)</v>
      </c>
      <c r="DM67" s="108">
        <v>1.05</v>
      </c>
      <c r="DN67" s="108">
        <v>1</v>
      </c>
      <c r="DO67" s="108">
        <v>1</v>
      </c>
      <c r="DP67" s="108">
        <v>1.01</v>
      </c>
      <c r="DQ67" s="108">
        <v>1</v>
      </c>
      <c r="DR67" s="108">
        <v>1</v>
      </c>
      <c r="DT67" s="691" t="s">
        <v>1210</v>
      </c>
      <c r="DU67" s="83">
        <v>2</v>
      </c>
      <c r="DV67" s="83">
        <v>4</v>
      </c>
      <c r="DW67" s="83">
        <v>1</v>
      </c>
      <c r="DX67" s="83">
        <v>3</v>
      </c>
      <c r="DY67" s="83">
        <v>1</v>
      </c>
      <c r="DZ67" s="83">
        <v>5</v>
      </c>
      <c r="EA67" s="104">
        <v>3</v>
      </c>
      <c r="EB67" s="104">
        <v>1.05</v>
      </c>
      <c r="EC67" s="107">
        <f t="shared" si="153"/>
        <v>1.2365959919080913</v>
      </c>
      <c r="ED67" s="107">
        <f t="shared" si="154"/>
        <v>1.2434566510799234</v>
      </c>
      <c r="EE67" s="107" t="str">
        <f t="shared" si="155"/>
        <v>(2,4,1,3,1,5)</v>
      </c>
      <c r="EF67" s="108">
        <v>1.05</v>
      </c>
      <c r="EG67" s="108">
        <v>1.1000000000000001</v>
      </c>
      <c r="EH67" s="108">
        <v>1</v>
      </c>
      <c r="EI67" s="108">
        <v>1.02</v>
      </c>
      <c r="EJ67" s="108">
        <v>1</v>
      </c>
      <c r="EK67" s="108">
        <v>1.2</v>
      </c>
    </row>
    <row r="68" spans="1:141" ht="24">
      <c r="A68" s="330">
        <v>268447</v>
      </c>
      <c r="B68" s="216"/>
      <c r="C68" s="334"/>
      <c r="D68" s="515">
        <v>5</v>
      </c>
      <c r="E68" s="343" t="s">
        <v>98</v>
      </c>
      <c r="F68" s="437" t="s">
        <v>1211</v>
      </c>
      <c r="G68" s="438" t="s">
        <v>93</v>
      </c>
      <c r="H68" s="455" t="s">
        <v>98</v>
      </c>
      <c r="I68" s="455" t="s">
        <v>98</v>
      </c>
      <c r="J68" s="336">
        <v>0</v>
      </c>
      <c r="K68" s="438" t="s">
        <v>96</v>
      </c>
      <c r="L68" s="440">
        <f t="shared" si="90"/>
        <v>0.13939812646370001</v>
      </c>
      <c r="M68" s="336">
        <v>1</v>
      </c>
      <c r="N68" s="337">
        <f t="shared" si="106"/>
        <v>1.0722009304576894</v>
      </c>
      <c r="O68" s="455" t="str">
        <f t="shared" si="107"/>
        <v>(2,1,1,2,1,1); Industry data (French tender)</v>
      </c>
      <c r="P68" s="440">
        <f t="shared" si="91"/>
        <v>0.11950819672131099</v>
      </c>
      <c r="Q68" s="336">
        <v>1</v>
      </c>
      <c r="R68" s="337">
        <f t="shared" si="108"/>
        <v>1.0722009304576894</v>
      </c>
      <c r="S68" s="455" t="str">
        <f t="shared" si="109"/>
        <v>(2,1,1,2,1,1); Industry data (French tender)</v>
      </c>
      <c r="T68" s="440">
        <f t="shared" si="92"/>
        <v>0.12532110091743101</v>
      </c>
      <c r="U68" s="336">
        <v>1</v>
      </c>
      <c r="V68" s="337">
        <f t="shared" si="110"/>
        <v>1.0722009304576894</v>
      </c>
      <c r="W68" s="455" t="str">
        <f t="shared" si="111"/>
        <v>(2,1,1,2,1,1); Industry data (French tender)</v>
      </c>
      <c r="X68" s="440">
        <f t="shared" si="93"/>
        <v>7.9106796116504896E-2</v>
      </c>
      <c r="Y68" s="336">
        <v>1</v>
      </c>
      <c r="Z68" s="337">
        <f t="shared" si="112"/>
        <v>1.0722009304576894</v>
      </c>
      <c r="AA68" s="437" t="str">
        <f t="shared" si="113"/>
        <v>(2,1,1,2,1,1); Industry data (French tender)</v>
      </c>
      <c r="AB68" s="440">
        <f>X68</f>
        <v>7.9106796116504896E-2</v>
      </c>
      <c r="AC68" s="336">
        <v>1</v>
      </c>
      <c r="AD68" s="337">
        <f t="shared" si="114"/>
        <v>1.0722009304576894</v>
      </c>
      <c r="AE68" s="437" t="str">
        <f t="shared" si="115"/>
        <v>(2,1,1,2,1,1); Industry data (French tender)</v>
      </c>
      <c r="AF68" s="440">
        <f t="shared" si="94"/>
        <v>0.13939812646370001</v>
      </c>
      <c r="AG68" s="336">
        <v>1</v>
      </c>
      <c r="AH68" s="337">
        <f t="shared" si="116"/>
        <v>1.0722009304576894</v>
      </c>
      <c r="AI68" s="455" t="str">
        <f t="shared" si="117"/>
        <v>(2,1,1,2,1,1); Industry data (French tender)</v>
      </c>
      <c r="AJ68" s="440">
        <f t="shared" si="95"/>
        <v>0.11950819672131099</v>
      </c>
      <c r="AK68" s="336">
        <v>1</v>
      </c>
      <c r="AL68" s="337">
        <f t="shared" si="118"/>
        <v>1.0722009304576894</v>
      </c>
      <c r="AM68" s="455" t="str">
        <f t="shared" si="119"/>
        <v>(2,1,1,2,1,1); Industry data (French tender)</v>
      </c>
      <c r="AN68" s="440">
        <f t="shared" si="96"/>
        <v>0.12532110091743101</v>
      </c>
      <c r="AO68" s="336">
        <v>1</v>
      </c>
      <c r="AP68" s="337">
        <f t="shared" si="120"/>
        <v>1.0722009304576894</v>
      </c>
      <c r="AQ68" s="455" t="str">
        <f t="shared" si="121"/>
        <v>(2,1,1,2,1,1); Industry data (French tender)</v>
      </c>
      <c r="AR68" s="440">
        <f t="shared" si="97"/>
        <v>7.9106796116504896E-2</v>
      </c>
      <c r="AS68" s="336">
        <v>1</v>
      </c>
      <c r="AT68" s="337">
        <f t="shared" si="122"/>
        <v>1.0722009304576894</v>
      </c>
      <c r="AU68" s="455" t="str">
        <f t="shared" si="123"/>
        <v>(2,1,1,2,1,1); Industry data (French tender)</v>
      </c>
      <c r="AV68" s="440">
        <f>AB68</f>
        <v>7.9106796116504896E-2</v>
      </c>
      <c r="AW68" s="336">
        <v>1</v>
      </c>
      <c r="AX68" s="337">
        <f t="shared" si="124"/>
        <v>1.0722009304576894</v>
      </c>
      <c r="AY68" s="437" t="str">
        <f t="shared" si="125"/>
        <v>(2,1,1,2,1,1); Industry data (French tender)</v>
      </c>
      <c r="AZ68" s="440">
        <f t="shared" si="98"/>
        <v>0.13939812646370001</v>
      </c>
      <c r="BA68" s="95">
        <v>1</v>
      </c>
      <c r="BB68" s="96">
        <f t="shared" si="126"/>
        <v>1.0722009304576894</v>
      </c>
      <c r="BC68" s="457" t="str">
        <f t="shared" si="127"/>
        <v>(2,1,1,2,1,1); Industry data (French tender)</v>
      </c>
      <c r="BD68" s="435">
        <f t="shared" si="99"/>
        <v>0.11950819672131099</v>
      </c>
      <c r="BE68" s="95">
        <v>1</v>
      </c>
      <c r="BF68" s="96">
        <f t="shared" si="128"/>
        <v>1.0722009304576894</v>
      </c>
      <c r="BG68" s="457" t="str">
        <f t="shared" si="129"/>
        <v>(2,1,1,2,1,1); Industry data (French tender)</v>
      </c>
      <c r="BH68" s="435">
        <f t="shared" si="100"/>
        <v>0.12532110091743101</v>
      </c>
      <c r="BI68" s="95">
        <v>1</v>
      </c>
      <c r="BJ68" s="96">
        <f t="shared" si="130"/>
        <v>1.0722009304576894</v>
      </c>
      <c r="BK68" s="457" t="str">
        <f t="shared" si="131"/>
        <v>(2,1,1,2,1,1); Industry data (French tender)</v>
      </c>
      <c r="BL68" s="435">
        <f t="shared" si="101"/>
        <v>7.9106796116504896E-2</v>
      </c>
      <c r="BM68" s="95">
        <v>1</v>
      </c>
      <c r="BN68" s="96">
        <f t="shared" si="132"/>
        <v>1.0722009304576894</v>
      </c>
      <c r="BO68" s="457" t="str">
        <f t="shared" si="133"/>
        <v>(2,1,1,2,1,1); Industry data (French tender)</v>
      </c>
      <c r="BP68" s="435">
        <f>AV68</f>
        <v>7.9106796116504896E-2</v>
      </c>
      <c r="BQ68" s="95">
        <v>1</v>
      </c>
      <c r="BR68" s="96">
        <f t="shared" si="134"/>
        <v>1.0722009304576894</v>
      </c>
      <c r="BS68" s="432" t="str">
        <f t="shared" si="135"/>
        <v>(2,1,1,2,1,1); Industry data (French tender)</v>
      </c>
      <c r="BT68" s="435">
        <f t="shared" si="102"/>
        <v>0.13939812646370001</v>
      </c>
      <c r="BU68" s="95">
        <v>1</v>
      </c>
      <c r="BV68" s="96">
        <f t="shared" si="136"/>
        <v>1.0722009304576894</v>
      </c>
      <c r="BW68" s="457" t="str">
        <f t="shared" si="137"/>
        <v>(2,1,1,2,1,1); Industry data (French tender)</v>
      </c>
      <c r="BX68" s="435">
        <f t="shared" si="103"/>
        <v>0.11950819672131099</v>
      </c>
      <c r="BY68" s="95">
        <v>1</v>
      </c>
      <c r="BZ68" s="96">
        <f t="shared" si="138"/>
        <v>1.0722009304576894</v>
      </c>
      <c r="CA68" s="457" t="str">
        <f t="shared" si="139"/>
        <v>(2,1,1,2,1,1); Industry data (French tender)</v>
      </c>
      <c r="CB68" s="435">
        <f t="shared" si="104"/>
        <v>0.12532110091743101</v>
      </c>
      <c r="CC68" s="95">
        <v>1</v>
      </c>
      <c r="CD68" s="96">
        <f t="shared" si="140"/>
        <v>1.0722009304576894</v>
      </c>
      <c r="CE68" s="457" t="str">
        <f t="shared" si="141"/>
        <v>(2,1,1,2,1,1); Industry data (French tender)</v>
      </c>
      <c r="CF68" s="435">
        <f t="shared" si="105"/>
        <v>7.9106796116504896E-2</v>
      </c>
      <c r="CG68" s="95">
        <v>1</v>
      </c>
      <c r="CH68" s="96">
        <f t="shared" si="142"/>
        <v>1.0722009304576894</v>
      </c>
      <c r="CI68" s="457" t="str">
        <f t="shared" si="143"/>
        <v>(2,1,1,2,1,1); Industry data (French tender)</v>
      </c>
      <c r="CJ68" s="440">
        <f>CF68</f>
        <v>7.9106796116504896E-2</v>
      </c>
      <c r="CK68" s="95">
        <v>1</v>
      </c>
      <c r="CL68" s="96">
        <f t="shared" si="144"/>
        <v>1.0722009304576894</v>
      </c>
      <c r="CM68" s="437" t="str">
        <f t="shared" si="145"/>
        <v>(2,1,1,2,1,1); Industry data (French tender)</v>
      </c>
      <c r="CN68" s="435">
        <v>1.1000000000000001</v>
      </c>
      <c r="CO68" s="95">
        <v>1</v>
      </c>
      <c r="CP68" s="96">
        <f t="shared" si="146"/>
        <v>1.2434566510799234</v>
      </c>
      <c r="CQ68" s="457" t="str">
        <f t="shared" si="147"/>
        <v>(2,4,1,3,1,5); Brailovsky (2026) GP 08</v>
      </c>
      <c r="CR68" s="435">
        <v>1.1000000000000001</v>
      </c>
      <c r="CS68" s="95">
        <v>1</v>
      </c>
      <c r="CT68" s="96">
        <f t="shared" si="148"/>
        <v>1.2434566510799234</v>
      </c>
      <c r="CU68" s="432" t="str">
        <f t="shared" si="149"/>
        <v>(2,4,1,3,1,5); Brailovsky (2026) GP 08</v>
      </c>
      <c r="CV68" s="399"/>
      <c r="CW68" s="435">
        <v>0.13939812646370001</v>
      </c>
      <c r="CX68" s="435">
        <v>0.11950819672131099</v>
      </c>
      <c r="CY68" s="435">
        <v>0.12532110091743101</v>
      </c>
      <c r="CZ68" s="435">
        <v>7.9106796116504896E-2</v>
      </c>
      <c r="DA68" s="692" t="s">
        <v>462</v>
      </c>
      <c r="DB68" s="83">
        <v>2</v>
      </c>
      <c r="DC68" s="83">
        <v>1</v>
      </c>
      <c r="DD68" s="83">
        <v>1</v>
      </c>
      <c r="DE68" s="83">
        <v>2</v>
      </c>
      <c r="DF68" s="83">
        <v>1</v>
      </c>
      <c r="DG68" s="83">
        <v>1</v>
      </c>
      <c r="DH68" s="104">
        <v>3</v>
      </c>
      <c r="DI68" s="104">
        <v>1.05</v>
      </c>
      <c r="DJ68" s="107">
        <f t="shared" si="150"/>
        <v>1.0510550504206344</v>
      </c>
      <c r="DK68" s="107">
        <f t="shared" si="151"/>
        <v>1.0722009304576894</v>
      </c>
      <c r="DL68" s="107" t="str">
        <f t="shared" si="152"/>
        <v>(2,1,1,2,1,1)</v>
      </c>
      <c r="DM68" s="108">
        <v>1.05</v>
      </c>
      <c r="DN68" s="108">
        <v>1</v>
      </c>
      <c r="DO68" s="108">
        <v>1</v>
      </c>
      <c r="DP68" s="108">
        <v>1.01</v>
      </c>
      <c r="DQ68" s="108">
        <v>1</v>
      </c>
      <c r="DR68" s="108">
        <v>1</v>
      </c>
      <c r="DS68" s="399"/>
      <c r="DT68" s="692" t="s">
        <v>1171</v>
      </c>
      <c r="DU68" s="83">
        <v>2</v>
      </c>
      <c r="DV68" s="83">
        <v>4</v>
      </c>
      <c r="DW68" s="83">
        <v>1</v>
      </c>
      <c r="DX68" s="83">
        <v>3</v>
      </c>
      <c r="DY68" s="83">
        <v>1</v>
      </c>
      <c r="DZ68" s="83">
        <v>5</v>
      </c>
      <c r="EA68" s="104">
        <v>3</v>
      </c>
      <c r="EB68" s="104">
        <v>1.05</v>
      </c>
      <c r="EC68" s="107">
        <f t="shared" si="153"/>
        <v>1.2365959919080913</v>
      </c>
      <c r="ED68" s="107">
        <f t="shared" si="154"/>
        <v>1.2434566510799234</v>
      </c>
      <c r="EE68" s="107" t="str">
        <f t="shared" si="155"/>
        <v>(2,4,1,3,1,5)</v>
      </c>
      <c r="EF68" s="108">
        <v>1.05</v>
      </c>
      <c r="EG68" s="108">
        <v>1.1000000000000001</v>
      </c>
      <c r="EH68" s="108">
        <v>1</v>
      </c>
      <c r="EI68" s="108">
        <v>1.02</v>
      </c>
      <c r="EJ68" s="108">
        <v>1</v>
      </c>
      <c r="EK68" s="108">
        <v>1.2</v>
      </c>
    </row>
    <row r="69" spans="1:141" ht="24">
      <c r="A69" s="330">
        <v>269335</v>
      </c>
      <c r="B69" s="216"/>
      <c r="C69" s="334"/>
      <c r="D69" s="515">
        <v>5</v>
      </c>
      <c r="E69" s="343" t="s">
        <v>98</v>
      </c>
      <c r="F69" s="437" t="s">
        <v>493</v>
      </c>
      <c r="G69" s="438" t="s">
        <v>93</v>
      </c>
      <c r="H69" s="455" t="s">
        <v>98</v>
      </c>
      <c r="I69" s="455" t="s">
        <v>98</v>
      </c>
      <c r="J69" s="336">
        <v>0</v>
      </c>
      <c r="K69" s="438" t="s">
        <v>144</v>
      </c>
      <c r="L69" s="440">
        <f t="shared" si="90"/>
        <v>1.5556252927400481E-2</v>
      </c>
      <c r="M69" s="336">
        <v>1</v>
      </c>
      <c r="N69" s="337">
        <f t="shared" si="106"/>
        <v>1.0722009304576894</v>
      </c>
      <c r="O69" s="455" t="str">
        <f t="shared" si="107"/>
        <v>(2,1,1,2,1,1); Industry data (French tender) Weight of 1p pallet = 25kg</v>
      </c>
      <c r="P69" s="440">
        <f t="shared" si="91"/>
        <v>1.6616018735362999E-2</v>
      </c>
      <c r="Q69" s="336">
        <v>1</v>
      </c>
      <c r="R69" s="337">
        <f t="shared" si="108"/>
        <v>1.0722009304576894</v>
      </c>
      <c r="S69" s="455" t="str">
        <f t="shared" si="109"/>
        <v>(2,1,1,2,1,1); Industry data (French tender) Weight of 1p pallet = 25kg</v>
      </c>
      <c r="T69" s="440">
        <f t="shared" si="92"/>
        <v>1.8062752293577958E-2</v>
      </c>
      <c r="U69" s="336">
        <v>1</v>
      </c>
      <c r="V69" s="337">
        <f t="shared" si="110"/>
        <v>1.0722009304576894</v>
      </c>
      <c r="W69" s="455" t="str">
        <f t="shared" si="111"/>
        <v>(2,1,1,2,1,1); Industry data (French tender) Weight of 1p pallet = 25kg</v>
      </c>
      <c r="X69" s="440">
        <f t="shared" si="93"/>
        <v>1.271926645091692E-2</v>
      </c>
      <c r="Y69" s="336">
        <v>1</v>
      </c>
      <c r="Z69" s="337">
        <f t="shared" si="112"/>
        <v>1.0722009304576894</v>
      </c>
      <c r="AA69" s="437" t="str">
        <f t="shared" si="113"/>
        <v>(2,1,1,2,1,1); Industry data (French tender) Weight of 1p pallet = 25kg</v>
      </c>
      <c r="AB69" s="440">
        <f>X69</f>
        <v>1.271926645091692E-2</v>
      </c>
      <c r="AC69" s="336">
        <v>1</v>
      </c>
      <c r="AD69" s="337">
        <f t="shared" si="114"/>
        <v>1.0722009304576894</v>
      </c>
      <c r="AE69" s="437" t="str">
        <f t="shared" si="115"/>
        <v>(2,1,1,2,1,1); Industry data (French tender) Weight of 1p pallet = 25kg</v>
      </c>
      <c r="AF69" s="440">
        <f t="shared" si="94"/>
        <v>1.5556252927400481E-2</v>
      </c>
      <c r="AG69" s="336">
        <v>1</v>
      </c>
      <c r="AH69" s="337">
        <f t="shared" si="116"/>
        <v>1.0722009304576894</v>
      </c>
      <c r="AI69" s="455" t="str">
        <f t="shared" si="117"/>
        <v>(2,1,1,2,1,1); Industry data (French tender) Weight of 1p pallet = 25kg</v>
      </c>
      <c r="AJ69" s="440">
        <f t="shared" si="95"/>
        <v>1.6616018735362999E-2</v>
      </c>
      <c r="AK69" s="336">
        <v>1</v>
      </c>
      <c r="AL69" s="337">
        <f t="shared" si="118"/>
        <v>1.0722009304576894</v>
      </c>
      <c r="AM69" s="455" t="str">
        <f t="shared" si="119"/>
        <v>(2,1,1,2,1,1); Industry data (French tender) Weight of 1p pallet = 25kg</v>
      </c>
      <c r="AN69" s="440">
        <f t="shared" si="96"/>
        <v>1.8062752293577958E-2</v>
      </c>
      <c r="AO69" s="336">
        <v>1</v>
      </c>
      <c r="AP69" s="337">
        <f t="shared" si="120"/>
        <v>1.0722009304576894</v>
      </c>
      <c r="AQ69" s="455" t="str">
        <f t="shared" si="121"/>
        <v>(2,1,1,2,1,1); Industry data (French tender) Weight of 1p pallet = 25kg</v>
      </c>
      <c r="AR69" s="440">
        <f t="shared" si="97"/>
        <v>1.271926645091692E-2</v>
      </c>
      <c r="AS69" s="336">
        <v>1</v>
      </c>
      <c r="AT69" s="337">
        <f t="shared" si="122"/>
        <v>1.0722009304576894</v>
      </c>
      <c r="AU69" s="455" t="str">
        <f t="shared" si="123"/>
        <v>(2,1,1,2,1,1); Industry data (French tender) Weight of 1p pallet = 25kg</v>
      </c>
      <c r="AV69" s="440">
        <f>AB69</f>
        <v>1.271926645091692E-2</v>
      </c>
      <c r="AW69" s="336">
        <v>1</v>
      </c>
      <c r="AX69" s="337">
        <f t="shared" si="124"/>
        <v>1.0722009304576894</v>
      </c>
      <c r="AY69" s="437" t="str">
        <f t="shared" si="125"/>
        <v>(2,1,1,2,1,1); Industry data (French tender) Weight of 1p pallet = 25kg</v>
      </c>
      <c r="AZ69" s="440">
        <f t="shared" si="98"/>
        <v>1.5556252927400481E-2</v>
      </c>
      <c r="BA69" s="95">
        <v>1</v>
      </c>
      <c r="BB69" s="96">
        <f t="shared" si="126"/>
        <v>1.0722009304576894</v>
      </c>
      <c r="BC69" s="457" t="str">
        <f t="shared" si="127"/>
        <v>(2,1,1,2,1,1); Industry data (French tender) Weight of 1p pallet = 25kg</v>
      </c>
      <c r="BD69" s="435">
        <f t="shared" si="99"/>
        <v>1.6616018735362999E-2</v>
      </c>
      <c r="BE69" s="95">
        <v>1</v>
      </c>
      <c r="BF69" s="96">
        <f t="shared" si="128"/>
        <v>1.0722009304576894</v>
      </c>
      <c r="BG69" s="457" t="str">
        <f t="shared" si="129"/>
        <v>(2,1,1,2,1,1); Industry data (French tender) Weight of 1p pallet = 25kg</v>
      </c>
      <c r="BH69" s="435">
        <f t="shared" si="100"/>
        <v>1.8062752293577958E-2</v>
      </c>
      <c r="BI69" s="95">
        <v>1</v>
      </c>
      <c r="BJ69" s="96">
        <f t="shared" si="130"/>
        <v>1.0722009304576894</v>
      </c>
      <c r="BK69" s="457" t="str">
        <f t="shared" si="131"/>
        <v>(2,1,1,2,1,1); Industry data (French tender) Weight of 1p pallet = 25kg</v>
      </c>
      <c r="BL69" s="435">
        <f t="shared" si="101"/>
        <v>1.271926645091692E-2</v>
      </c>
      <c r="BM69" s="95">
        <v>1</v>
      </c>
      <c r="BN69" s="96">
        <f t="shared" si="132"/>
        <v>1.0722009304576894</v>
      </c>
      <c r="BO69" s="457" t="str">
        <f t="shared" si="133"/>
        <v>(2,1,1,2,1,1); Industry data (French tender) Weight of 1p pallet = 25kg</v>
      </c>
      <c r="BP69" s="435">
        <f>AV69</f>
        <v>1.271926645091692E-2</v>
      </c>
      <c r="BQ69" s="95">
        <v>1</v>
      </c>
      <c r="BR69" s="96">
        <f t="shared" si="134"/>
        <v>1.0722009304576894</v>
      </c>
      <c r="BS69" s="432" t="str">
        <f t="shared" si="135"/>
        <v>(2,1,1,2,1,1); Industry data (French tender) Weight of 1p pallet = 25kg</v>
      </c>
      <c r="BT69" s="435">
        <f t="shared" si="102"/>
        <v>1.5556252927400481E-2</v>
      </c>
      <c r="BU69" s="95">
        <v>1</v>
      </c>
      <c r="BV69" s="96">
        <f t="shared" si="136"/>
        <v>1.0722009304576894</v>
      </c>
      <c r="BW69" s="457" t="str">
        <f t="shared" si="137"/>
        <v>(2,1,1,2,1,1); Industry data (French tender) Weight of 1p pallet = 25kg</v>
      </c>
      <c r="BX69" s="435">
        <f t="shared" si="103"/>
        <v>1.6616018735362999E-2</v>
      </c>
      <c r="BY69" s="95">
        <v>1</v>
      </c>
      <c r="BZ69" s="96">
        <f t="shared" si="138"/>
        <v>1.0722009304576894</v>
      </c>
      <c r="CA69" s="457" t="str">
        <f t="shared" si="139"/>
        <v>(2,1,1,2,1,1); Industry data (French tender) Weight of 1p pallet = 25kg</v>
      </c>
      <c r="CB69" s="435">
        <f t="shared" si="104"/>
        <v>1.8062752293577958E-2</v>
      </c>
      <c r="CC69" s="95">
        <v>1</v>
      </c>
      <c r="CD69" s="96">
        <f t="shared" si="140"/>
        <v>1.0722009304576894</v>
      </c>
      <c r="CE69" s="457" t="str">
        <f t="shared" si="141"/>
        <v>(2,1,1,2,1,1); Industry data (French tender) Weight of 1p pallet = 25kg</v>
      </c>
      <c r="CF69" s="435">
        <f t="shared" si="105"/>
        <v>1.271926645091692E-2</v>
      </c>
      <c r="CG69" s="95">
        <v>1</v>
      </c>
      <c r="CH69" s="96">
        <f t="shared" si="142"/>
        <v>1.0722009304576894</v>
      </c>
      <c r="CI69" s="457" t="str">
        <f t="shared" si="143"/>
        <v>(2,1,1,2,1,1); Industry data (French tender) Weight of 1p pallet = 25kg</v>
      </c>
      <c r="CJ69" s="440">
        <f>CF69</f>
        <v>1.271926645091692E-2</v>
      </c>
      <c r="CK69" s="95">
        <v>1</v>
      </c>
      <c r="CL69" s="96">
        <f t="shared" si="144"/>
        <v>1.0722009304576894</v>
      </c>
      <c r="CM69" s="437" t="str">
        <f t="shared" si="145"/>
        <v>(2,1,1,2,1,1); Industry data (French tender) Weight of 1p pallet = 25kg</v>
      </c>
      <c r="CN69" s="435">
        <v>4.6899999999999997E-2</v>
      </c>
      <c r="CO69" s="95">
        <v>1</v>
      </c>
      <c r="CP69" s="96">
        <f t="shared" si="146"/>
        <v>1.2434566510799234</v>
      </c>
      <c r="CQ69" s="457" t="str">
        <f t="shared" si="147"/>
        <v>(2,4,1,3,1,5); Brailovsky (2026) GP 08</v>
      </c>
      <c r="CR69" s="435">
        <v>4.6899999999999997E-2</v>
      </c>
      <c r="CS69" s="95">
        <v>1</v>
      </c>
      <c r="CT69" s="96">
        <f t="shared" si="148"/>
        <v>1.2434566510799234</v>
      </c>
      <c r="CU69" s="432" t="str">
        <f t="shared" si="149"/>
        <v>(2,4,1,3,1,5); Brailovsky (2026) GP 08</v>
      </c>
      <c r="CV69" s="399"/>
      <c r="CW69" s="435">
        <f>0.388906323185012/25</f>
        <v>1.5556252927400481E-2</v>
      </c>
      <c r="CX69" s="435">
        <f>0.415400468384075/25</f>
        <v>1.6616018735362999E-2</v>
      </c>
      <c r="CY69" s="435">
        <f>0.451568807339449/25</f>
        <v>1.8062752293577958E-2</v>
      </c>
      <c r="CZ69" s="435">
        <f>0.317981661272923/25</f>
        <v>1.271926645091692E-2</v>
      </c>
      <c r="DA69" s="692" t="s">
        <v>1212</v>
      </c>
      <c r="DB69" s="83">
        <v>2</v>
      </c>
      <c r="DC69" s="83">
        <v>1</v>
      </c>
      <c r="DD69" s="83">
        <v>1</v>
      </c>
      <c r="DE69" s="83">
        <v>2</v>
      </c>
      <c r="DF69" s="83">
        <v>1</v>
      </c>
      <c r="DG69" s="83">
        <v>1</v>
      </c>
      <c r="DH69" s="104">
        <v>3</v>
      </c>
      <c r="DI69" s="104">
        <v>1.05</v>
      </c>
      <c r="DJ69" s="107">
        <f t="shared" si="150"/>
        <v>1.0510550504206344</v>
      </c>
      <c r="DK69" s="107">
        <f t="shared" si="151"/>
        <v>1.0722009304576894</v>
      </c>
      <c r="DL69" s="107" t="str">
        <f t="shared" si="152"/>
        <v>(2,1,1,2,1,1)</v>
      </c>
      <c r="DM69" s="108">
        <v>1.05</v>
      </c>
      <c r="DN69" s="108">
        <v>1</v>
      </c>
      <c r="DO69" s="108">
        <v>1</v>
      </c>
      <c r="DP69" s="108">
        <v>1.01</v>
      </c>
      <c r="DQ69" s="108">
        <v>1</v>
      </c>
      <c r="DR69" s="108">
        <v>1</v>
      </c>
      <c r="DS69" s="399"/>
      <c r="DT69" s="692" t="s">
        <v>1171</v>
      </c>
      <c r="DU69" s="83">
        <v>2</v>
      </c>
      <c r="DV69" s="83">
        <v>4</v>
      </c>
      <c r="DW69" s="83">
        <v>1</v>
      </c>
      <c r="DX69" s="83">
        <v>3</v>
      </c>
      <c r="DY69" s="83">
        <v>1</v>
      </c>
      <c r="DZ69" s="83">
        <v>5</v>
      </c>
      <c r="EA69" s="104">
        <v>3</v>
      </c>
      <c r="EB69" s="104">
        <v>1.05</v>
      </c>
      <c r="EC69" s="107">
        <f t="shared" si="153"/>
        <v>1.2365959919080913</v>
      </c>
      <c r="ED69" s="107">
        <f t="shared" si="154"/>
        <v>1.2434566510799234</v>
      </c>
      <c r="EE69" s="107" t="str">
        <f t="shared" si="155"/>
        <v>(2,4,1,3,1,5)</v>
      </c>
      <c r="EF69" s="108">
        <v>1.05</v>
      </c>
      <c r="EG69" s="108">
        <v>1.1000000000000001</v>
      </c>
      <c r="EH69" s="108">
        <v>1</v>
      </c>
      <c r="EI69" s="108">
        <v>1.02</v>
      </c>
      <c r="EJ69" s="108">
        <v>1</v>
      </c>
      <c r="EK69" s="108">
        <v>1.2</v>
      </c>
    </row>
    <row r="70" spans="1:141" ht="24">
      <c r="A70" s="330">
        <v>267914</v>
      </c>
      <c r="B70" s="216" t="s">
        <v>500</v>
      </c>
      <c r="C70" s="334"/>
      <c r="D70" s="515">
        <v>5</v>
      </c>
      <c r="E70" s="343" t="s">
        <v>98</v>
      </c>
      <c r="F70" s="437" t="s">
        <v>380</v>
      </c>
      <c r="G70" s="438" t="s">
        <v>372</v>
      </c>
      <c r="H70" s="455" t="s">
        <v>98</v>
      </c>
      <c r="I70" s="455" t="s">
        <v>98</v>
      </c>
      <c r="J70" s="336">
        <v>0</v>
      </c>
      <c r="K70" s="438" t="s">
        <v>109</v>
      </c>
      <c r="L70" s="440">
        <f t="shared" si="90"/>
        <v>2.87885245901639</v>
      </c>
      <c r="M70" s="336">
        <v>1</v>
      </c>
      <c r="N70" s="337">
        <f t="shared" si="106"/>
        <v>1.0722009304576894</v>
      </c>
      <c r="O70" s="455" t="str">
        <f t="shared" si="107"/>
        <v>(2,1,1,2,1,1); Industry data (French tender)</v>
      </c>
      <c r="P70" s="440">
        <f t="shared" si="91"/>
        <v>3.0789461358313801</v>
      </c>
      <c r="Q70" s="336">
        <v>1</v>
      </c>
      <c r="R70" s="337">
        <f t="shared" si="108"/>
        <v>1.0722009304576894</v>
      </c>
      <c r="S70" s="455" t="str">
        <f t="shared" si="109"/>
        <v>(2,1,1,2,1,1); Industry data (French tender)</v>
      </c>
      <c r="T70" s="440">
        <f t="shared" si="92"/>
        <v>3.3210091743119299</v>
      </c>
      <c r="U70" s="336">
        <v>1</v>
      </c>
      <c r="V70" s="337">
        <f t="shared" si="110"/>
        <v>1.0722009304576894</v>
      </c>
      <c r="W70" s="455" t="str">
        <f t="shared" si="111"/>
        <v>(2,1,1,2,1,1); Industry data (French tender)</v>
      </c>
      <c r="X70" s="440">
        <f t="shared" si="93"/>
        <v>3.04208198489752</v>
      </c>
      <c r="Y70" s="336">
        <v>1</v>
      </c>
      <c r="Z70" s="337">
        <f t="shared" si="112"/>
        <v>1.0722009304576894</v>
      </c>
      <c r="AA70" s="437" t="str">
        <f t="shared" si="113"/>
        <v>(2,1,1,2,1,1); Industry data (French tender)</v>
      </c>
      <c r="AB70" s="440">
        <f>X70</f>
        <v>3.04208198489752</v>
      </c>
      <c r="AC70" s="336">
        <v>1</v>
      </c>
      <c r="AD70" s="337">
        <f t="shared" si="114"/>
        <v>1.0722009304576894</v>
      </c>
      <c r="AE70" s="437" t="str">
        <f t="shared" si="115"/>
        <v>(2,1,1,2,1,1); Industry data (French tender)</v>
      </c>
      <c r="AF70" s="440">
        <v>0</v>
      </c>
      <c r="AG70" s="336">
        <v>1</v>
      </c>
      <c r="AH70" s="337">
        <f t="shared" si="116"/>
        <v>1.0722009304576894</v>
      </c>
      <c r="AI70" s="455" t="str">
        <f t="shared" si="117"/>
        <v>(2,1,1,2,1,1); Industry data (French tender)</v>
      </c>
      <c r="AJ70" s="440">
        <v>0</v>
      </c>
      <c r="AK70" s="336">
        <v>1</v>
      </c>
      <c r="AL70" s="337">
        <f t="shared" si="118"/>
        <v>1.0722009304576894</v>
      </c>
      <c r="AM70" s="455" t="str">
        <f t="shared" si="119"/>
        <v>(2,1,1,2,1,1); Industry data (French tender)</v>
      </c>
      <c r="AN70" s="440">
        <v>0</v>
      </c>
      <c r="AO70" s="336">
        <v>1</v>
      </c>
      <c r="AP70" s="337">
        <f t="shared" si="120"/>
        <v>1.0722009304576894</v>
      </c>
      <c r="AQ70" s="455" t="str">
        <f t="shared" si="121"/>
        <v>(2,1,1,2,1,1); Industry data (French tender)</v>
      </c>
      <c r="AR70" s="440">
        <v>0</v>
      </c>
      <c r="AS70" s="336">
        <v>1</v>
      </c>
      <c r="AT70" s="337">
        <f t="shared" si="122"/>
        <v>1.0722009304576894</v>
      </c>
      <c r="AU70" s="455" t="str">
        <f t="shared" si="123"/>
        <v>(2,1,1,2,1,1); Industry data (French tender)</v>
      </c>
      <c r="AV70" s="440">
        <v>0</v>
      </c>
      <c r="AW70" s="336">
        <v>1</v>
      </c>
      <c r="AX70" s="337">
        <f t="shared" si="124"/>
        <v>1.0722009304576894</v>
      </c>
      <c r="AY70" s="437" t="str">
        <f t="shared" si="125"/>
        <v>(2,1,1,2,1,1); Industry data (French tender)</v>
      </c>
      <c r="AZ70" s="440">
        <v>0</v>
      </c>
      <c r="BA70" s="95">
        <v>1</v>
      </c>
      <c r="BB70" s="96">
        <f t="shared" si="126"/>
        <v>1.0722009304576894</v>
      </c>
      <c r="BC70" s="457" t="str">
        <f t="shared" si="127"/>
        <v>(2,1,1,2,1,1); Industry data (French tender)</v>
      </c>
      <c r="BD70" s="435">
        <v>0</v>
      </c>
      <c r="BE70" s="95">
        <v>1</v>
      </c>
      <c r="BF70" s="96">
        <f t="shared" si="128"/>
        <v>1.0722009304576894</v>
      </c>
      <c r="BG70" s="457" t="str">
        <f t="shared" si="129"/>
        <v>(2,1,1,2,1,1); Industry data (French tender)</v>
      </c>
      <c r="BH70" s="435">
        <v>0</v>
      </c>
      <c r="BI70" s="95">
        <v>1</v>
      </c>
      <c r="BJ70" s="96">
        <f t="shared" si="130"/>
        <v>1.0722009304576894</v>
      </c>
      <c r="BK70" s="457" t="str">
        <f t="shared" si="131"/>
        <v>(2,1,1,2,1,1); Industry data (French tender)</v>
      </c>
      <c r="BL70" s="435">
        <v>0</v>
      </c>
      <c r="BM70" s="95">
        <v>1</v>
      </c>
      <c r="BN70" s="96">
        <f t="shared" si="132"/>
        <v>1.0722009304576894</v>
      </c>
      <c r="BO70" s="457" t="str">
        <f t="shared" si="133"/>
        <v>(2,1,1,2,1,1); Industry data (French tender)</v>
      </c>
      <c r="BP70" s="435">
        <v>0</v>
      </c>
      <c r="BQ70" s="95">
        <v>1</v>
      </c>
      <c r="BR70" s="96">
        <f t="shared" si="134"/>
        <v>1.0722009304576894</v>
      </c>
      <c r="BS70" s="432" t="str">
        <f t="shared" si="135"/>
        <v>(2,1,1,2,1,1); Industry data (French tender)</v>
      </c>
      <c r="BT70" s="435">
        <v>0</v>
      </c>
      <c r="BU70" s="95">
        <v>1</v>
      </c>
      <c r="BV70" s="96">
        <f t="shared" si="136"/>
        <v>1.0722009304576894</v>
      </c>
      <c r="BW70" s="457" t="str">
        <f t="shared" si="137"/>
        <v>(2,1,1,2,1,1); Industry data (French tender)</v>
      </c>
      <c r="BX70" s="435">
        <v>0</v>
      </c>
      <c r="BY70" s="95">
        <v>1</v>
      </c>
      <c r="BZ70" s="96">
        <f t="shared" si="138"/>
        <v>1.0722009304576894</v>
      </c>
      <c r="CA70" s="457" t="str">
        <f t="shared" si="139"/>
        <v>(2,1,1,2,1,1); Industry data (French tender)</v>
      </c>
      <c r="CB70" s="435">
        <v>0</v>
      </c>
      <c r="CC70" s="95">
        <v>1</v>
      </c>
      <c r="CD70" s="96">
        <f t="shared" si="140"/>
        <v>1.0722009304576894</v>
      </c>
      <c r="CE70" s="457" t="str">
        <f t="shared" si="141"/>
        <v>(2,1,1,2,1,1); Industry data (French tender)</v>
      </c>
      <c r="CF70" s="435">
        <v>0</v>
      </c>
      <c r="CG70" s="95">
        <v>1</v>
      </c>
      <c r="CH70" s="96">
        <f t="shared" si="142"/>
        <v>1.0722009304576894</v>
      </c>
      <c r="CI70" s="457" t="str">
        <f t="shared" si="143"/>
        <v>(2,1,1,2,1,1); Industry data (French tender)</v>
      </c>
      <c r="CJ70" s="435">
        <v>0</v>
      </c>
      <c r="CK70" s="95">
        <v>1</v>
      </c>
      <c r="CL70" s="96">
        <f t="shared" si="144"/>
        <v>1.0722009304576894</v>
      </c>
      <c r="CM70" s="437" t="str">
        <f t="shared" si="145"/>
        <v>(2,1,1,2,1,1); Industry data (French tender)</v>
      </c>
      <c r="CN70" s="435">
        <v>0</v>
      </c>
      <c r="CO70" s="95">
        <v>1</v>
      </c>
      <c r="CP70" s="96">
        <f t="shared" si="146"/>
        <v>1.2434566510799234</v>
      </c>
      <c r="CQ70" s="457" t="str">
        <f t="shared" si="147"/>
        <v>(2,4,1,3,1,5); Brailovsky (2026) GP 08; CN iso DE</v>
      </c>
      <c r="CR70" s="435">
        <v>3.65</v>
      </c>
      <c r="CS70" s="95">
        <v>1</v>
      </c>
      <c r="CT70" s="96">
        <f t="shared" si="148"/>
        <v>1.2434566510799234</v>
      </c>
      <c r="CU70" s="457" t="str">
        <f t="shared" si="149"/>
        <v>(2,4,1,3,1,5); Brailovsky (2026) GP 08; CN iso DE</v>
      </c>
      <c r="CV70" s="399"/>
      <c r="CW70" s="435">
        <v>2.87885245901639</v>
      </c>
      <c r="CX70" s="435">
        <v>3.0789461358313801</v>
      </c>
      <c r="CY70" s="435">
        <v>3.3210091743119299</v>
      </c>
      <c r="CZ70" s="435">
        <v>3.04208198489752</v>
      </c>
      <c r="DA70" s="692" t="s">
        <v>462</v>
      </c>
      <c r="DB70" s="83">
        <v>2</v>
      </c>
      <c r="DC70" s="83">
        <v>1</v>
      </c>
      <c r="DD70" s="83">
        <v>1</v>
      </c>
      <c r="DE70" s="83">
        <v>2</v>
      </c>
      <c r="DF70" s="83">
        <v>1</v>
      </c>
      <c r="DG70" s="83">
        <v>1</v>
      </c>
      <c r="DH70" s="104">
        <v>3</v>
      </c>
      <c r="DI70" s="104">
        <v>1.05</v>
      </c>
      <c r="DJ70" s="107">
        <f t="shared" si="150"/>
        <v>1.0510550504206344</v>
      </c>
      <c r="DK70" s="107">
        <f t="shared" si="151"/>
        <v>1.0722009304576894</v>
      </c>
      <c r="DL70" s="107" t="str">
        <f t="shared" si="152"/>
        <v>(2,1,1,2,1,1)</v>
      </c>
      <c r="DM70" s="108">
        <v>1.05</v>
      </c>
      <c r="DN70" s="108">
        <v>1</v>
      </c>
      <c r="DO70" s="108">
        <v>1</v>
      </c>
      <c r="DP70" s="108">
        <v>1.01</v>
      </c>
      <c r="DQ70" s="108">
        <v>1</v>
      </c>
      <c r="DR70" s="108">
        <v>1</v>
      </c>
      <c r="DS70" s="399"/>
      <c r="DT70" s="692" t="s">
        <v>1213</v>
      </c>
      <c r="DU70" s="83">
        <v>2</v>
      </c>
      <c r="DV70" s="83">
        <v>4</v>
      </c>
      <c r="DW70" s="83">
        <v>1</v>
      </c>
      <c r="DX70" s="83">
        <v>3</v>
      </c>
      <c r="DY70" s="83">
        <v>1</v>
      </c>
      <c r="DZ70" s="83">
        <v>5</v>
      </c>
      <c r="EA70" s="104">
        <v>3</v>
      </c>
      <c r="EB70" s="104">
        <v>1.05</v>
      </c>
      <c r="EC70" s="107">
        <f t="shared" si="153"/>
        <v>1.2365959919080913</v>
      </c>
      <c r="ED70" s="107">
        <f t="shared" si="154"/>
        <v>1.2434566510799234</v>
      </c>
      <c r="EE70" s="107" t="str">
        <f t="shared" si="155"/>
        <v>(2,4,1,3,1,5)</v>
      </c>
      <c r="EF70" s="108">
        <v>1.05</v>
      </c>
      <c r="EG70" s="108">
        <v>1.1000000000000001</v>
      </c>
      <c r="EH70" s="108">
        <v>1</v>
      </c>
      <c r="EI70" s="108">
        <v>1.02</v>
      </c>
      <c r="EJ70" s="108">
        <v>1</v>
      </c>
      <c r="EK70" s="108">
        <v>1.2</v>
      </c>
    </row>
    <row r="71" spans="1:141" ht="24" collapsed="1">
      <c r="A71" s="330">
        <v>19772</v>
      </c>
      <c r="B71" s="216"/>
      <c r="C71" s="334"/>
      <c r="D71" s="515">
        <v>5</v>
      </c>
      <c r="E71" s="343" t="s">
        <v>98</v>
      </c>
      <c r="F71" s="437" t="s">
        <v>225</v>
      </c>
      <c r="G71" s="438" t="s">
        <v>215</v>
      </c>
      <c r="H71" s="455" t="s">
        <v>98</v>
      </c>
      <c r="I71" s="455" t="s">
        <v>98</v>
      </c>
      <c r="J71" s="336">
        <v>0</v>
      </c>
      <c r="K71" s="438" t="s">
        <v>109</v>
      </c>
      <c r="L71" s="440">
        <f t="shared" si="90"/>
        <v>0</v>
      </c>
      <c r="M71" s="336">
        <v>1</v>
      </c>
      <c r="N71" s="337">
        <f t="shared" si="106"/>
        <v>1.0722009304576894</v>
      </c>
      <c r="O71" s="455" t="str">
        <f t="shared" si="107"/>
        <v>(2,1,1,2,1,1); Industry data (French tender)</v>
      </c>
      <c r="P71" s="440">
        <f t="shared" si="91"/>
        <v>0</v>
      </c>
      <c r="Q71" s="336">
        <v>1</v>
      </c>
      <c r="R71" s="337">
        <f t="shared" si="108"/>
        <v>1.0722009304576894</v>
      </c>
      <c r="S71" s="455" t="str">
        <f t="shared" si="109"/>
        <v>(2,1,1,2,1,1); Industry data (French tender)</v>
      </c>
      <c r="T71" s="440">
        <f t="shared" si="92"/>
        <v>0</v>
      </c>
      <c r="U71" s="336">
        <v>1</v>
      </c>
      <c r="V71" s="337">
        <f t="shared" si="110"/>
        <v>1.0722009304576894</v>
      </c>
      <c r="W71" s="455" t="str">
        <f t="shared" si="111"/>
        <v>(2,1,1,2,1,1); Industry data (French tender)</v>
      </c>
      <c r="X71" s="440">
        <f t="shared" si="93"/>
        <v>0</v>
      </c>
      <c r="Y71" s="336">
        <v>1</v>
      </c>
      <c r="Z71" s="337">
        <f t="shared" si="112"/>
        <v>1.0722009304576894</v>
      </c>
      <c r="AA71" s="437" t="str">
        <f t="shared" si="113"/>
        <v>(2,1,1,2,1,1); Industry data (French tender)</v>
      </c>
      <c r="AB71" s="440">
        <v>0</v>
      </c>
      <c r="AC71" s="336">
        <v>1</v>
      </c>
      <c r="AD71" s="337">
        <f t="shared" si="114"/>
        <v>1.0722009304576894</v>
      </c>
      <c r="AE71" s="437" t="str">
        <f t="shared" si="115"/>
        <v>(2,1,1,2,1,1); Industry data (French tender)</v>
      </c>
      <c r="AF71" s="440">
        <f>L70</f>
        <v>2.87885245901639</v>
      </c>
      <c r="AG71" s="336">
        <v>1</v>
      </c>
      <c r="AH71" s="337">
        <f t="shared" si="116"/>
        <v>1.0722009304576894</v>
      </c>
      <c r="AI71" s="455" t="str">
        <f t="shared" si="117"/>
        <v>(2,1,1,2,1,1); Industry data (French tender)</v>
      </c>
      <c r="AJ71" s="440">
        <f>P70</f>
        <v>3.0789461358313801</v>
      </c>
      <c r="AK71" s="336">
        <v>1</v>
      </c>
      <c r="AL71" s="337">
        <f t="shared" si="118"/>
        <v>1.0722009304576894</v>
      </c>
      <c r="AM71" s="455" t="str">
        <f t="shared" si="119"/>
        <v>(2,1,1,2,1,1); Industry data (French tender)</v>
      </c>
      <c r="AN71" s="440">
        <f>T70</f>
        <v>3.3210091743119299</v>
      </c>
      <c r="AO71" s="336">
        <v>1</v>
      </c>
      <c r="AP71" s="337">
        <f t="shared" si="120"/>
        <v>1.0722009304576894</v>
      </c>
      <c r="AQ71" s="455" t="str">
        <f t="shared" si="121"/>
        <v>(2,1,1,2,1,1); Industry data (French tender)</v>
      </c>
      <c r="AR71" s="440">
        <f>X70</f>
        <v>3.04208198489752</v>
      </c>
      <c r="AS71" s="336">
        <v>1</v>
      </c>
      <c r="AT71" s="337">
        <f t="shared" si="122"/>
        <v>1.0722009304576894</v>
      </c>
      <c r="AU71" s="455" t="str">
        <f t="shared" si="123"/>
        <v>(2,1,1,2,1,1); Industry data (French tender)</v>
      </c>
      <c r="AV71" s="440">
        <f>AB70</f>
        <v>3.04208198489752</v>
      </c>
      <c r="AW71" s="336">
        <v>1</v>
      </c>
      <c r="AX71" s="337">
        <f t="shared" si="124"/>
        <v>1.0722009304576894</v>
      </c>
      <c r="AY71" s="437" t="str">
        <f t="shared" si="125"/>
        <v>(2,1,1,2,1,1); Industry data (French tender)</v>
      </c>
      <c r="AZ71" s="440">
        <v>0</v>
      </c>
      <c r="BA71" s="95">
        <v>1</v>
      </c>
      <c r="BB71" s="96">
        <f t="shared" si="126"/>
        <v>1.0722009304576894</v>
      </c>
      <c r="BC71" s="457" t="str">
        <f t="shared" si="127"/>
        <v>(2,1,1,2,1,1); Industry data (French tender)</v>
      </c>
      <c r="BD71" s="435">
        <v>0</v>
      </c>
      <c r="BE71" s="95">
        <v>1</v>
      </c>
      <c r="BF71" s="96">
        <f t="shared" si="128"/>
        <v>1.0722009304576894</v>
      </c>
      <c r="BG71" s="457" t="str">
        <f t="shared" si="129"/>
        <v>(2,1,1,2,1,1); Industry data (French tender)</v>
      </c>
      <c r="BH71" s="435">
        <v>0</v>
      </c>
      <c r="BI71" s="95">
        <v>1</v>
      </c>
      <c r="BJ71" s="96">
        <f t="shared" si="130"/>
        <v>1.0722009304576894</v>
      </c>
      <c r="BK71" s="457" t="str">
        <f t="shared" si="131"/>
        <v>(2,1,1,2,1,1); Industry data (French tender)</v>
      </c>
      <c r="BL71" s="435">
        <v>0</v>
      </c>
      <c r="BM71" s="95">
        <v>1</v>
      </c>
      <c r="BN71" s="96">
        <f t="shared" si="132"/>
        <v>1.0722009304576894</v>
      </c>
      <c r="BO71" s="457" t="str">
        <f t="shared" si="133"/>
        <v>(2,1,1,2,1,1); Industry data (French tender)</v>
      </c>
      <c r="BP71" s="435">
        <v>0</v>
      </c>
      <c r="BQ71" s="95">
        <v>1</v>
      </c>
      <c r="BR71" s="96">
        <f t="shared" si="134"/>
        <v>1.0722009304576894</v>
      </c>
      <c r="BS71" s="432" t="str">
        <f t="shared" si="135"/>
        <v>(2,1,1,2,1,1); Industry data (French tender)</v>
      </c>
      <c r="BT71" s="435">
        <v>0</v>
      </c>
      <c r="BU71" s="95">
        <v>1</v>
      </c>
      <c r="BV71" s="96">
        <f t="shared" si="136"/>
        <v>1.0722009304576894</v>
      </c>
      <c r="BW71" s="457" t="str">
        <f t="shared" si="137"/>
        <v>(2,1,1,2,1,1); Industry data (French tender)</v>
      </c>
      <c r="BX71" s="435">
        <v>0</v>
      </c>
      <c r="BY71" s="95">
        <v>1</v>
      </c>
      <c r="BZ71" s="96">
        <f t="shared" si="138"/>
        <v>1.0722009304576894</v>
      </c>
      <c r="CA71" s="457" t="str">
        <f t="shared" si="139"/>
        <v>(2,1,1,2,1,1); Industry data (French tender)</v>
      </c>
      <c r="CB71" s="435">
        <v>0</v>
      </c>
      <c r="CC71" s="95">
        <v>1</v>
      </c>
      <c r="CD71" s="96">
        <f t="shared" si="140"/>
        <v>1.0722009304576894</v>
      </c>
      <c r="CE71" s="457" t="str">
        <f t="shared" si="141"/>
        <v>(2,1,1,2,1,1); Industry data (French tender)</v>
      </c>
      <c r="CF71" s="435">
        <v>0</v>
      </c>
      <c r="CG71" s="95">
        <v>1</v>
      </c>
      <c r="CH71" s="96">
        <f t="shared" si="142"/>
        <v>1.0722009304576894</v>
      </c>
      <c r="CI71" s="457" t="str">
        <f t="shared" si="143"/>
        <v>(2,1,1,2,1,1); Industry data (French tender)</v>
      </c>
      <c r="CJ71" s="435">
        <v>0</v>
      </c>
      <c r="CK71" s="95">
        <v>1</v>
      </c>
      <c r="CL71" s="96">
        <f t="shared" si="144"/>
        <v>1.0722009304576894</v>
      </c>
      <c r="CM71" s="437" t="str">
        <f t="shared" si="145"/>
        <v>(2,1,1,2,1,1); Industry data (French tender)</v>
      </c>
      <c r="CN71" s="435">
        <v>0</v>
      </c>
      <c r="CO71" s="95">
        <v>1</v>
      </c>
      <c r="CP71" s="96">
        <f t="shared" si="146"/>
        <v>1.05</v>
      </c>
      <c r="CQ71" s="457" t="str">
        <f t="shared" si="147"/>
        <v xml:space="preserve">(na,na,na,na,na,na); </v>
      </c>
      <c r="CR71" s="435">
        <v>0</v>
      </c>
      <c r="CS71" s="95">
        <v>1</v>
      </c>
      <c r="CT71" s="96">
        <f t="shared" si="148"/>
        <v>1.05</v>
      </c>
      <c r="CU71" s="457" t="str">
        <f t="shared" si="149"/>
        <v xml:space="preserve">(na,na,na,na,na,na); </v>
      </c>
      <c r="CV71" s="399"/>
      <c r="CW71" s="435"/>
      <c r="CX71" s="435"/>
      <c r="CY71" s="435"/>
      <c r="CZ71" s="435"/>
      <c r="DA71" s="692" t="s">
        <v>462</v>
      </c>
      <c r="DB71" s="83">
        <v>2</v>
      </c>
      <c r="DC71" s="83">
        <v>1</v>
      </c>
      <c r="DD71" s="83">
        <v>1</v>
      </c>
      <c r="DE71" s="83">
        <v>2</v>
      </c>
      <c r="DF71" s="83">
        <v>1</v>
      </c>
      <c r="DG71" s="83">
        <v>1</v>
      </c>
      <c r="DH71" s="104">
        <v>3</v>
      </c>
      <c r="DI71" s="104">
        <v>1.05</v>
      </c>
      <c r="DJ71" s="107">
        <f t="shared" si="150"/>
        <v>1.0510550504206344</v>
      </c>
      <c r="DK71" s="107">
        <f t="shared" si="151"/>
        <v>1.0722009304576894</v>
      </c>
      <c r="DL71" s="107" t="str">
        <f t="shared" si="152"/>
        <v>(2,1,1,2,1,1)</v>
      </c>
      <c r="DM71" s="108">
        <v>1.05</v>
      </c>
      <c r="DN71" s="108">
        <v>1</v>
      </c>
      <c r="DO71" s="108">
        <v>1</v>
      </c>
      <c r="DP71" s="108">
        <v>1.01</v>
      </c>
      <c r="DQ71" s="108">
        <v>1</v>
      </c>
      <c r="DR71" s="108">
        <v>1</v>
      </c>
      <c r="DS71" s="399"/>
      <c r="DT71" s="692"/>
      <c r="DU71" s="83" t="s">
        <v>106</v>
      </c>
      <c r="DV71" s="83" t="s">
        <v>106</v>
      </c>
      <c r="DW71" s="83" t="s">
        <v>106</v>
      </c>
      <c r="DX71" s="83" t="s">
        <v>106</v>
      </c>
      <c r="DY71" s="83" t="s">
        <v>106</v>
      </c>
      <c r="DZ71" s="83" t="s">
        <v>106</v>
      </c>
      <c r="EA71" s="104">
        <v>3</v>
      </c>
      <c r="EB71" s="104">
        <v>1.05</v>
      </c>
      <c r="EC71" s="107">
        <f t="shared" si="153"/>
        <v>1</v>
      </c>
      <c r="ED71" s="107">
        <f t="shared" si="154"/>
        <v>1.05</v>
      </c>
      <c r="EE71" s="107" t="str">
        <f t="shared" si="155"/>
        <v>(na,na,na,na,na,na)</v>
      </c>
      <c r="EF71" s="108">
        <v>1</v>
      </c>
      <c r="EG71" s="108">
        <v>1</v>
      </c>
      <c r="EH71" s="108">
        <v>1</v>
      </c>
      <c r="EI71" s="108">
        <v>1</v>
      </c>
      <c r="EJ71" s="108">
        <v>1</v>
      </c>
      <c r="EK71" s="108">
        <v>1</v>
      </c>
    </row>
    <row r="72" spans="1:141" ht="24">
      <c r="A72" s="330">
        <v>259809</v>
      </c>
      <c r="B72" s="216"/>
      <c r="C72" s="334"/>
      <c r="D72" s="515">
        <v>5</v>
      </c>
      <c r="E72" s="343" t="s">
        <v>98</v>
      </c>
      <c r="F72" s="437" t="s">
        <v>381</v>
      </c>
      <c r="G72" s="438" t="s">
        <v>382</v>
      </c>
      <c r="H72" s="455" t="s">
        <v>98</v>
      </c>
      <c r="I72" s="455" t="s">
        <v>98</v>
      </c>
      <c r="J72" s="336">
        <v>0</v>
      </c>
      <c r="K72" s="438" t="s">
        <v>109</v>
      </c>
      <c r="L72" s="440">
        <f t="shared" si="90"/>
        <v>0</v>
      </c>
      <c r="M72" s="336">
        <v>1</v>
      </c>
      <c r="N72" s="337">
        <f t="shared" si="106"/>
        <v>1.0722009304576894</v>
      </c>
      <c r="O72" s="455" t="str">
        <f t="shared" si="107"/>
        <v>(2,1,1,2,1,1); Industry data (French tender)</v>
      </c>
      <c r="P72" s="440">
        <f t="shared" si="91"/>
        <v>0</v>
      </c>
      <c r="Q72" s="336">
        <v>1</v>
      </c>
      <c r="R72" s="337">
        <f t="shared" si="108"/>
        <v>1.0722009304576894</v>
      </c>
      <c r="S72" s="455" t="str">
        <f t="shared" si="109"/>
        <v>(2,1,1,2,1,1); Industry data (French tender)</v>
      </c>
      <c r="T72" s="440">
        <f t="shared" si="92"/>
        <v>0</v>
      </c>
      <c r="U72" s="336">
        <v>1</v>
      </c>
      <c r="V72" s="337">
        <f t="shared" si="110"/>
        <v>1.0722009304576894</v>
      </c>
      <c r="W72" s="455" t="str">
        <f t="shared" si="111"/>
        <v>(2,1,1,2,1,1); Industry data (French tender)</v>
      </c>
      <c r="X72" s="440">
        <f t="shared" si="93"/>
        <v>0</v>
      </c>
      <c r="Y72" s="336">
        <v>1</v>
      </c>
      <c r="Z72" s="337">
        <f t="shared" si="112"/>
        <v>1.0722009304576894</v>
      </c>
      <c r="AA72" s="437" t="str">
        <f t="shared" si="113"/>
        <v>(2,1,1,2,1,1); Industry data (French tender)</v>
      </c>
      <c r="AB72" s="440">
        <v>0</v>
      </c>
      <c r="AC72" s="336">
        <v>1</v>
      </c>
      <c r="AD72" s="337">
        <f t="shared" si="114"/>
        <v>1.0722009304576894</v>
      </c>
      <c r="AE72" s="437" t="str">
        <f t="shared" si="115"/>
        <v>(2,1,1,2,1,1); Industry data (French tender)</v>
      </c>
      <c r="AF72" s="440">
        <v>0</v>
      </c>
      <c r="AG72" s="336">
        <v>1</v>
      </c>
      <c r="AH72" s="337">
        <f t="shared" si="116"/>
        <v>1.0722009304576894</v>
      </c>
      <c r="AI72" s="455" t="str">
        <f t="shared" si="117"/>
        <v>(2,1,1,2,1,1); Industry data (French tender)</v>
      </c>
      <c r="AJ72" s="440">
        <v>0</v>
      </c>
      <c r="AK72" s="336">
        <v>1</v>
      </c>
      <c r="AL72" s="337">
        <f t="shared" si="118"/>
        <v>1.0722009304576894</v>
      </c>
      <c r="AM72" s="455" t="str">
        <f t="shared" si="119"/>
        <v>(2,1,1,2,1,1); Industry data (French tender)</v>
      </c>
      <c r="AN72" s="440">
        <v>0</v>
      </c>
      <c r="AO72" s="336">
        <v>1</v>
      </c>
      <c r="AP72" s="337">
        <f t="shared" si="120"/>
        <v>1.0722009304576894</v>
      </c>
      <c r="AQ72" s="455" t="str">
        <f t="shared" si="121"/>
        <v>(2,1,1,2,1,1); Industry data (French tender)</v>
      </c>
      <c r="AR72" s="440">
        <v>0</v>
      </c>
      <c r="AS72" s="336">
        <v>1</v>
      </c>
      <c r="AT72" s="337">
        <f t="shared" si="122"/>
        <v>1.0722009304576894</v>
      </c>
      <c r="AU72" s="455" t="str">
        <f t="shared" si="123"/>
        <v>(2,1,1,2,1,1); Industry data (French tender)</v>
      </c>
      <c r="AV72" s="440">
        <v>0</v>
      </c>
      <c r="AW72" s="336">
        <v>1</v>
      </c>
      <c r="AX72" s="337">
        <f t="shared" si="124"/>
        <v>1.0722009304576894</v>
      </c>
      <c r="AY72" s="437" t="str">
        <f t="shared" si="125"/>
        <v>(2,1,1,2,1,1); Industry data (French tender)</v>
      </c>
      <c r="AZ72" s="440">
        <f>AF71*$J$124</f>
        <v>0.30303710094909364</v>
      </c>
      <c r="BA72" s="95">
        <v>1</v>
      </c>
      <c r="BB72" s="96">
        <f t="shared" si="126"/>
        <v>1.0722009304576894</v>
      </c>
      <c r="BC72" s="457" t="str">
        <f t="shared" si="127"/>
        <v>(2,1,1,2,1,1); Industry data (French tender)</v>
      </c>
      <c r="BD72" s="435">
        <f>AJ71*$J$124</f>
        <v>0.32409959324540843</v>
      </c>
      <c r="BE72" s="95">
        <v>1</v>
      </c>
      <c r="BF72" s="96">
        <f t="shared" si="128"/>
        <v>1.0722009304576894</v>
      </c>
      <c r="BG72" s="457" t="str">
        <f t="shared" si="129"/>
        <v>(2,1,1,2,1,1); Industry data (French tender)</v>
      </c>
      <c r="BH72" s="435">
        <f>AN71*$J$124</f>
        <v>0.34957991308546627</v>
      </c>
      <c r="BI72" s="95">
        <v>1</v>
      </c>
      <c r="BJ72" s="96">
        <f t="shared" si="130"/>
        <v>1.0722009304576894</v>
      </c>
      <c r="BK72" s="457" t="str">
        <f t="shared" si="131"/>
        <v>(2,1,1,2,1,1); Industry data (French tender)</v>
      </c>
      <c r="BL72" s="435">
        <f>AR71*$J$124</f>
        <v>0.32021915630500208</v>
      </c>
      <c r="BM72" s="95">
        <v>1</v>
      </c>
      <c r="BN72" s="96">
        <f t="shared" si="132"/>
        <v>1.0722009304576894</v>
      </c>
      <c r="BO72" s="457" t="str">
        <f t="shared" si="133"/>
        <v>(2,1,1,2,1,1); Industry data (French tender)</v>
      </c>
      <c r="BP72" s="435">
        <f>AV71*$J$124</f>
        <v>0.32021915630500208</v>
      </c>
      <c r="BQ72" s="95">
        <v>1</v>
      </c>
      <c r="BR72" s="96">
        <f t="shared" si="134"/>
        <v>1.0722009304576894</v>
      </c>
      <c r="BS72" s="432" t="str">
        <f t="shared" si="135"/>
        <v>(2,1,1,2,1,1); Industry data (French tender)</v>
      </c>
      <c r="BT72" s="435">
        <v>0</v>
      </c>
      <c r="BU72" s="95">
        <v>1</v>
      </c>
      <c r="BV72" s="96">
        <f t="shared" si="136"/>
        <v>1.0722009304576894</v>
      </c>
      <c r="BW72" s="457" t="str">
        <f t="shared" si="137"/>
        <v>(2,1,1,2,1,1); Industry data (French tender)</v>
      </c>
      <c r="BX72" s="435">
        <v>0</v>
      </c>
      <c r="BY72" s="95">
        <v>1</v>
      </c>
      <c r="BZ72" s="96">
        <f t="shared" si="138"/>
        <v>1.0722009304576894</v>
      </c>
      <c r="CA72" s="457" t="str">
        <f t="shared" si="139"/>
        <v>(2,1,1,2,1,1); Industry data (French tender)</v>
      </c>
      <c r="CB72" s="435">
        <v>0</v>
      </c>
      <c r="CC72" s="95">
        <v>1</v>
      </c>
      <c r="CD72" s="96">
        <f t="shared" si="140"/>
        <v>1.0722009304576894</v>
      </c>
      <c r="CE72" s="457" t="str">
        <f t="shared" si="141"/>
        <v>(2,1,1,2,1,1); Industry data (French tender)</v>
      </c>
      <c r="CF72" s="435">
        <v>0</v>
      </c>
      <c r="CG72" s="95">
        <v>1</v>
      </c>
      <c r="CH72" s="96">
        <f t="shared" si="142"/>
        <v>1.0722009304576894</v>
      </c>
      <c r="CI72" s="457" t="str">
        <f t="shared" si="143"/>
        <v>(2,1,1,2,1,1); Industry data (French tender)</v>
      </c>
      <c r="CJ72" s="435">
        <v>0</v>
      </c>
      <c r="CK72" s="95">
        <v>1</v>
      </c>
      <c r="CL72" s="96">
        <f t="shared" si="144"/>
        <v>1.0722009304576894</v>
      </c>
      <c r="CM72" s="437" t="str">
        <f t="shared" si="145"/>
        <v>(2,1,1,2,1,1); Industry data (French tender)</v>
      </c>
      <c r="CN72" s="435">
        <v>0</v>
      </c>
      <c r="CO72" s="95">
        <v>1</v>
      </c>
      <c r="CP72" s="96">
        <f t="shared" si="146"/>
        <v>1.05</v>
      </c>
      <c r="CQ72" s="457" t="str">
        <f t="shared" si="147"/>
        <v xml:space="preserve">(na,na,na,na,na,na); </v>
      </c>
      <c r="CR72" s="435">
        <v>0</v>
      </c>
      <c r="CS72" s="95">
        <v>1</v>
      </c>
      <c r="CT72" s="96">
        <f t="shared" si="148"/>
        <v>1.05</v>
      </c>
      <c r="CU72" s="457" t="str">
        <f t="shared" si="149"/>
        <v xml:space="preserve">(na,na,na,na,na,na); </v>
      </c>
      <c r="CV72" s="399"/>
      <c r="CW72" s="435"/>
      <c r="CX72" s="435"/>
      <c r="CY72" s="435"/>
      <c r="CZ72" s="435"/>
      <c r="DA72" s="692" t="s">
        <v>462</v>
      </c>
      <c r="DB72" s="83">
        <v>2</v>
      </c>
      <c r="DC72" s="83">
        <v>1</v>
      </c>
      <c r="DD72" s="83">
        <v>1</v>
      </c>
      <c r="DE72" s="83">
        <v>2</v>
      </c>
      <c r="DF72" s="83">
        <v>1</v>
      </c>
      <c r="DG72" s="83">
        <v>1</v>
      </c>
      <c r="DH72" s="104">
        <v>3</v>
      </c>
      <c r="DI72" s="104">
        <v>1.05</v>
      </c>
      <c r="DJ72" s="107">
        <f t="shared" si="150"/>
        <v>1.0510550504206344</v>
      </c>
      <c r="DK72" s="107">
        <f t="shared" si="151"/>
        <v>1.0722009304576894</v>
      </c>
      <c r="DL72" s="107" t="str">
        <f t="shared" si="152"/>
        <v>(2,1,1,2,1,1)</v>
      </c>
      <c r="DM72" s="108">
        <v>1.05</v>
      </c>
      <c r="DN72" s="108">
        <v>1</v>
      </c>
      <c r="DO72" s="108">
        <v>1</v>
      </c>
      <c r="DP72" s="108">
        <v>1.01</v>
      </c>
      <c r="DQ72" s="108">
        <v>1</v>
      </c>
      <c r="DR72" s="108">
        <v>1</v>
      </c>
      <c r="DS72" s="399"/>
      <c r="DT72" s="692"/>
      <c r="DU72" s="83" t="s">
        <v>106</v>
      </c>
      <c r="DV72" s="83" t="s">
        <v>106</v>
      </c>
      <c r="DW72" s="83" t="s">
        <v>106</v>
      </c>
      <c r="DX72" s="83" t="s">
        <v>106</v>
      </c>
      <c r="DY72" s="83" t="s">
        <v>106</v>
      </c>
      <c r="DZ72" s="83" t="s">
        <v>106</v>
      </c>
      <c r="EA72" s="104">
        <v>3</v>
      </c>
      <c r="EB72" s="104">
        <v>1.05</v>
      </c>
      <c r="EC72" s="107">
        <f t="shared" si="153"/>
        <v>1</v>
      </c>
      <c r="ED72" s="107">
        <f t="shared" si="154"/>
        <v>1.05</v>
      </c>
      <c r="EE72" s="107" t="str">
        <f t="shared" si="155"/>
        <v>(na,na,na,na,na,na)</v>
      </c>
      <c r="EF72" s="108">
        <v>1</v>
      </c>
      <c r="EG72" s="108">
        <v>1</v>
      </c>
      <c r="EH72" s="108">
        <v>1</v>
      </c>
      <c r="EI72" s="108">
        <v>1</v>
      </c>
      <c r="EJ72" s="108">
        <v>1</v>
      </c>
      <c r="EK72" s="108">
        <v>1</v>
      </c>
    </row>
    <row r="73" spans="1:141" ht="24">
      <c r="A73" s="330">
        <v>266385</v>
      </c>
      <c r="B73" s="216"/>
      <c r="C73" s="334"/>
      <c r="D73" s="515">
        <v>5</v>
      </c>
      <c r="E73" s="343" t="s">
        <v>98</v>
      </c>
      <c r="F73" s="437" t="s">
        <v>642</v>
      </c>
      <c r="G73" s="438" t="s">
        <v>643</v>
      </c>
      <c r="H73" s="455" t="s">
        <v>98</v>
      </c>
      <c r="I73" s="455" t="s">
        <v>98</v>
      </c>
      <c r="J73" s="336">
        <v>0</v>
      </c>
      <c r="K73" s="438" t="s">
        <v>109</v>
      </c>
      <c r="L73" s="440">
        <f t="shared" si="90"/>
        <v>0</v>
      </c>
      <c r="M73" s="336">
        <v>1</v>
      </c>
      <c r="N73" s="337">
        <f t="shared" si="106"/>
        <v>1.0722009304576894</v>
      </c>
      <c r="O73" s="455" t="str">
        <f t="shared" si="107"/>
        <v>(2,1,1,2,1,1); Industry data (French tender)</v>
      </c>
      <c r="P73" s="440">
        <f t="shared" si="91"/>
        <v>0</v>
      </c>
      <c r="Q73" s="336">
        <v>1</v>
      </c>
      <c r="R73" s="337">
        <f t="shared" si="108"/>
        <v>1.0722009304576894</v>
      </c>
      <c r="S73" s="455" t="str">
        <f t="shared" si="109"/>
        <v>(2,1,1,2,1,1); Industry data (French tender)</v>
      </c>
      <c r="T73" s="440">
        <f t="shared" si="92"/>
        <v>0</v>
      </c>
      <c r="U73" s="336">
        <v>1</v>
      </c>
      <c r="V73" s="337">
        <f t="shared" si="110"/>
        <v>1.0722009304576894</v>
      </c>
      <c r="W73" s="455" t="str">
        <f t="shared" si="111"/>
        <v>(2,1,1,2,1,1); Industry data (French tender)</v>
      </c>
      <c r="X73" s="440">
        <f t="shared" si="93"/>
        <v>0</v>
      </c>
      <c r="Y73" s="336">
        <v>1</v>
      </c>
      <c r="Z73" s="337">
        <f t="shared" si="112"/>
        <v>1.0722009304576894</v>
      </c>
      <c r="AA73" s="437" t="str">
        <f t="shared" si="113"/>
        <v>(2,1,1,2,1,1); Industry data (French tender)</v>
      </c>
      <c r="AB73" s="440">
        <v>0</v>
      </c>
      <c r="AC73" s="336">
        <v>1</v>
      </c>
      <c r="AD73" s="337">
        <f t="shared" si="114"/>
        <v>1.0722009304576894</v>
      </c>
      <c r="AE73" s="437" t="str">
        <f t="shared" si="115"/>
        <v>(2,1,1,2,1,1); Industry data (French tender)</v>
      </c>
      <c r="AF73" s="440">
        <v>0</v>
      </c>
      <c r="AG73" s="336">
        <v>1</v>
      </c>
      <c r="AH73" s="337">
        <f t="shared" si="116"/>
        <v>1.0722009304576894</v>
      </c>
      <c r="AI73" s="455" t="str">
        <f t="shared" si="117"/>
        <v>(2,1,1,2,1,1); Industry data (French tender)</v>
      </c>
      <c r="AJ73" s="440">
        <v>0</v>
      </c>
      <c r="AK73" s="336">
        <v>1</v>
      </c>
      <c r="AL73" s="337">
        <f t="shared" si="118"/>
        <v>1.0722009304576894</v>
      </c>
      <c r="AM73" s="455" t="str">
        <f t="shared" si="119"/>
        <v>(2,1,1,2,1,1); Industry data (French tender)</v>
      </c>
      <c r="AN73" s="440">
        <v>0</v>
      </c>
      <c r="AO73" s="336">
        <v>1</v>
      </c>
      <c r="AP73" s="337">
        <f t="shared" si="120"/>
        <v>1.0722009304576894</v>
      </c>
      <c r="AQ73" s="455" t="str">
        <f t="shared" si="121"/>
        <v>(2,1,1,2,1,1); Industry data (French tender)</v>
      </c>
      <c r="AR73" s="440">
        <v>0</v>
      </c>
      <c r="AS73" s="336">
        <v>1</v>
      </c>
      <c r="AT73" s="337">
        <f t="shared" si="122"/>
        <v>1.0722009304576894</v>
      </c>
      <c r="AU73" s="455" t="str">
        <f t="shared" si="123"/>
        <v>(2,1,1,2,1,1); Industry data (French tender)</v>
      </c>
      <c r="AV73" s="440">
        <v>0</v>
      </c>
      <c r="AW73" s="336">
        <v>1</v>
      </c>
      <c r="AX73" s="337">
        <f t="shared" si="124"/>
        <v>1.0722009304576894</v>
      </c>
      <c r="AY73" s="437" t="str">
        <f t="shared" si="125"/>
        <v>(2,1,1,2,1,1); Industry data (French tender)</v>
      </c>
      <c r="AZ73" s="440">
        <f>AF71*$J$125</f>
        <v>0.45455565142364052</v>
      </c>
      <c r="BA73" s="95">
        <v>1</v>
      </c>
      <c r="BB73" s="96">
        <f t="shared" si="126"/>
        <v>1.0722009304576894</v>
      </c>
      <c r="BC73" s="457" t="str">
        <f t="shared" si="127"/>
        <v>(2,1,1,2,1,1); Industry data (French tender)</v>
      </c>
      <c r="BD73" s="440">
        <f>AJ71*$J$125</f>
        <v>0.48614938986811262</v>
      </c>
      <c r="BE73" s="95">
        <v>1</v>
      </c>
      <c r="BF73" s="96">
        <f t="shared" si="128"/>
        <v>1.0722009304576894</v>
      </c>
      <c r="BG73" s="457" t="str">
        <f t="shared" si="129"/>
        <v>(2,1,1,2,1,1); Industry data (French tender)</v>
      </c>
      <c r="BH73" s="440">
        <f>AN71*$J$125</f>
        <v>0.52436986962819943</v>
      </c>
      <c r="BI73" s="95">
        <v>1</v>
      </c>
      <c r="BJ73" s="96">
        <f t="shared" si="130"/>
        <v>1.0722009304576894</v>
      </c>
      <c r="BK73" s="457" t="str">
        <f t="shared" si="131"/>
        <v>(2,1,1,2,1,1); Industry data (French tender)</v>
      </c>
      <c r="BL73" s="440">
        <f>AR71*$J$125</f>
        <v>0.48032873445750313</v>
      </c>
      <c r="BM73" s="95">
        <v>1</v>
      </c>
      <c r="BN73" s="96">
        <f t="shared" si="132"/>
        <v>1.0722009304576894</v>
      </c>
      <c r="BO73" s="457" t="str">
        <f t="shared" si="133"/>
        <v>(2,1,1,2,1,1); Industry data (French tender)</v>
      </c>
      <c r="BP73" s="440">
        <f>AV71*$J$125</f>
        <v>0.48032873445750313</v>
      </c>
      <c r="BQ73" s="95">
        <v>1</v>
      </c>
      <c r="BR73" s="96">
        <f t="shared" si="134"/>
        <v>1.0722009304576894</v>
      </c>
      <c r="BS73" s="432" t="str">
        <f t="shared" si="135"/>
        <v>(2,1,1,2,1,1); Industry data (French tender)</v>
      </c>
      <c r="BT73" s="435">
        <v>0</v>
      </c>
      <c r="BU73" s="95">
        <v>1</v>
      </c>
      <c r="BV73" s="96">
        <f t="shared" si="136"/>
        <v>1.0722009304576894</v>
      </c>
      <c r="BW73" s="457" t="str">
        <f t="shared" si="137"/>
        <v>(2,1,1,2,1,1); Industry data (French tender)</v>
      </c>
      <c r="BX73" s="435">
        <v>0</v>
      </c>
      <c r="BY73" s="95">
        <v>1</v>
      </c>
      <c r="BZ73" s="96">
        <f t="shared" si="138"/>
        <v>1.0722009304576894</v>
      </c>
      <c r="CA73" s="457" t="str">
        <f t="shared" si="139"/>
        <v>(2,1,1,2,1,1); Industry data (French tender)</v>
      </c>
      <c r="CB73" s="435">
        <v>0</v>
      </c>
      <c r="CC73" s="95">
        <v>1</v>
      </c>
      <c r="CD73" s="96">
        <f t="shared" si="140"/>
        <v>1.0722009304576894</v>
      </c>
      <c r="CE73" s="457" t="str">
        <f t="shared" si="141"/>
        <v>(2,1,1,2,1,1); Industry data (French tender)</v>
      </c>
      <c r="CF73" s="435">
        <v>0</v>
      </c>
      <c r="CG73" s="95">
        <v>1</v>
      </c>
      <c r="CH73" s="96">
        <f t="shared" si="142"/>
        <v>1.0722009304576894</v>
      </c>
      <c r="CI73" s="457" t="str">
        <f t="shared" si="143"/>
        <v>(2,1,1,2,1,1); Industry data (French tender)</v>
      </c>
      <c r="CJ73" s="435">
        <v>0</v>
      </c>
      <c r="CK73" s="95">
        <v>1</v>
      </c>
      <c r="CL73" s="96">
        <f t="shared" si="144"/>
        <v>1.0722009304576894</v>
      </c>
      <c r="CM73" s="437" t="str">
        <f t="shared" si="145"/>
        <v>(2,1,1,2,1,1); Industry data (French tender)</v>
      </c>
      <c r="CN73" s="435">
        <v>0</v>
      </c>
      <c r="CO73" s="95">
        <v>1</v>
      </c>
      <c r="CP73" s="96">
        <f t="shared" si="146"/>
        <v>1.05</v>
      </c>
      <c r="CQ73" s="457" t="str">
        <f t="shared" si="147"/>
        <v xml:space="preserve">(na,na,na,na,na,na); </v>
      </c>
      <c r="CR73" s="435">
        <v>0</v>
      </c>
      <c r="CS73" s="95">
        <v>1</v>
      </c>
      <c r="CT73" s="96">
        <f t="shared" si="148"/>
        <v>1.05</v>
      </c>
      <c r="CU73" s="457" t="str">
        <f t="shared" si="149"/>
        <v xml:space="preserve">(na,na,na,na,na,na); </v>
      </c>
      <c r="CV73" s="399"/>
      <c r="CW73" s="435"/>
      <c r="CX73" s="435"/>
      <c r="CY73" s="435"/>
      <c r="CZ73" s="435"/>
      <c r="DA73" s="692" t="s">
        <v>462</v>
      </c>
      <c r="DB73" s="83">
        <v>2</v>
      </c>
      <c r="DC73" s="83">
        <v>1</v>
      </c>
      <c r="DD73" s="83">
        <v>1</v>
      </c>
      <c r="DE73" s="83">
        <v>2</v>
      </c>
      <c r="DF73" s="83">
        <v>1</v>
      </c>
      <c r="DG73" s="83">
        <v>1</v>
      </c>
      <c r="DH73" s="104">
        <v>3</v>
      </c>
      <c r="DI73" s="104">
        <v>1.05</v>
      </c>
      <c r="DJ73" s="107">
        <f t="shared" si="150"/>
        <v>1.0510550504206344</v>
      </c>
      <c r="DK73" s="107">
        <f t="shared" si="151"/>
        <v>1.0722009304576894</v>
      </c>
      <c r="DL73" s="107" t="str">
        <f t="shared" si="152"/>
        <v>(2,1,1,2,1,1)</v>
      </c>
      <c r="DM73" s="108">
        <v>1.05</v>
      </c>
      <c r="DN73" s="108">
        <v>1</v>
      </c>
      <c r="DO73" s="108">
        <v>1</v>
      </c>
      <c r="DP73" s="108">
        <v>1.01</v>
      </c>
      <c r="DQ73" s="108">
        <v>1</v>
      </c>
      <c r="DR73" s="108">
        <v>1</v>
      </c>
      <c r="DS73" s="399"/>
      <c r="DT73" s="692"/>
      <c r="DU73" s="83" t="s">
        <v>106</v>
      </c>
      <c r="DV73" s="83" t="s">
        <v>106</v>
      </c>
      <c r="DW73" s="83" t="s">
        <v>106</v>
      </c>
      <c r="DX73" s="83" t="s">
        <v>106</v>
      </c>
      <c r="DY73" s="83" t="s">
        <v>106</v>
      </c>
      <c r="DZ73" s="83" t="s">
        <v>106</v>
      </c>
      <c r="EA73" s="104">
        <v>3</v>
      </c>
      <c r="EB73" s="104">
        <v>1.05</v>
      </c>
      <c r="EC73" s="107">
        <f t="shared" si="153"/>
        <v>1</v>
      </c>
      <c r="ED73" s="107">
        <f t="shared" si="154"/>
        <v>1.05</v>
      </c>
      <c r="EE73" s="107" t="str">
        <f t="shared" si="155"/>
        <v>(na,na,na,na,na,na)</v>
      </c>
      <c r="EF73" s="108">
        <v>1</v>
      </c>
      <c r="EG73" s="108">
        <v>1</v>
      </c>
      <c r="EH73" s="108">
        <v>1</v>
      </c>
      <c r="EI73" s="108">
        <v>1</v>
      </c>
      <c r="EJ73" s="108">
        <v>1</v>
      </c>
      <c r="EK73" s="108">
        <v>1</v>
      </c>
    </row>
    <row r="74" spans="1:141" ht="24">
      <c r="A74" s="330" t="s">
        <v>645</v>
      </c>
      <c r="B74" s="216"/>
      <c r="C74" s="334"/>
      <c r="D74" s="515">
        <v>5</v>
      </c>
      <c r="E74" s="343" t="s">
        <v>98</v>
      </c>
      <c r="F74" s="437" t="s">
        <v>646</v>
      </c>
      <c r="G74" s="438" t="s">
        <v>647</v>
      </c>
      <c r="H74" s="455" t="s">
        <v>98</v>
      </c>
      <c r="I74" s="455" t="s">
        <v>98</v>
      </c>
      <c r="J74" s="336">
        <v>0</v>
      </c>
      <c r="K74" s="438" t="s">
        <v>109</v>
      </c>
      <c r="L74" s="440">
        <f t="shared" si="90"/>
        <v>0</v>
      </c>
      <c r="M74" s="336">
        <v>1</v>
      </c>
      <c r="N74" s="337">
        <f t="shared" si="106"/>
        <v>1.0722009304576894</v>
      </c>
      <c r="O74" s="455" t="str">
        <f t="shared" si="107"/>
        <v>(2,1,1,2,1,1); Industry data (French tender)</v>
      </c>
      <c r="P74" s="440">
        <f t="shared" si="91"/>
        <v>0</v>
      </c>
      <c r="Q74" s="336">
        <v>1</v>
      </c>
      <c r="R74" s="337">
        <f t="shared" si="108"/>
        <v>1.0722009304576894</v>
      </c>
      <c r="S74" s="455" t="str">
        <f t="shared" si="109"/>
        <v>(2,1,1,2,1,1); Industry data (French tender)</v>
      </c>
      <c r="T74" s="440">
        <f t="shared" si="92"/>
        <v>0</v>
      </c>
      <c r="U74" s="336">
        <v>1</v>
      </c>
      <c r="V74" s="337">
        <f t="shared" si="110"/>
        <v>1.0722009304576894</v>
      </c>
      <c r="W74" s="455" t="str">
        <f t="shared" si="111"/>
        <v>(2,1,1,2,1,1); Industry data (French tender)</v>
      </c>
      <c r="X74" s="440">
        <f t="shared" si="93"/>
        <v>0</v>
      </c>
      <c r="Y74" s="336">
        <v>1</v>
      </c>
      <c r="Z74" s="337">
        <f t="shared" si="112"/>
        <v>1.0722009304576894</v>
      </c>
      <c r="AA74" s="437" t="str">
        <f t="shared" si="113"/>
        <v>(2,1,1,2,1,1); Industry data (French tender)</v>
      </c>
      <c r="AB74" s="440">
        <v>0</v>
      </c>
      <c r="AC74" s="336">
        <v>1</v>
      </c>
      <c r="AD74" s="337">
        <f t="shared" si="114"/>
        <v>1.0722009304576894</v>
      </c>
      <c r="AE74" s="437" t="str">
        <f t="shared" si="115"/>
        <v>(2,1,1,2,1,1); Industry data (French tender)</v>
      </c>
      <c r="AF74" s="440">
        <v>0</v>
      </c>
      <c r="AG74" s="336">
        <v>1</v>
      </c>
      <c r="AH74" s="337">
        <f t="shared" si="116"/>
        <v>1.0722009304576894</v>
      </c>
      <c r="AI74" s="455" t="str">
        <f t="shared" si="117"/>
        <v>(2,1,1,2,1,1); Industry data (French tender)</v>
      </c>
      <c r="AJ74" s="440">
        <v>0</v>
      </c>
      <c r="AK74" s="336">
        <v>1</v>
      </c>
      <c r="AL74" s="337">
        <f t="shared" si="118"/>
        <v>1.0722009304576894</v>
      </c>
      <c r="AM74" s="455" t="str">
        <f t="shared" si="119"/>
        <v>(2,1,1,2,1,1); Industry data (French tender)</v>
      </c>
      <c r="AN74" s="440">
        <v>0</v>
      </c>
      <c r="AO74" s="336">
        <v>1</v>
      </c>
      <c r="AP74" s="337">
        <f t="shared" si="120"/>
        <v>1.0722009304576894</v>
      </c>
      <c r="AQ74" s="455" t="str">
        <f t="shared" si="121"/>
        <v>(2,1,1,2,1,1); Industry data (French tender)</v>
      </c>
      <c r="AR74" s="440">
        <v>0</v>
      </c>
      <c r="AS74" s="336">
        <v>1</v>
      </c>
      <c r="AT74" s="337">
        <f t="shared" si="122"/>
        <v>1.0722009304576894</v>
      </c>
      <c r="AU74" s="455" t="str">
        <f t="shared" si="123"/>
        <v>(2,1,1,2,1,1); Industry data (French tender)</v>
      </c>
      <c r="AV74" s="440">
        <v>0</v>
      </c>
      <c r="AW74" s="336">
        <v>1</v>
      </c>
      <c r="AX74" s="337">
        <f t="shared" si="124"/>
        <v>1.0722009304576894</v>
      </c>
      <c r="AY74" s="437" t="str">
        <f t="shared" si="125"/>
        <v>(2,1,1,2,1,1); Industry data (French tender)</v>
      </c>
      <c r="AZ74" s="440">
        <f>$AF$52*($J$126+$J$128)</f>
        <v>2.9019854554418831</v>
      </c>
      <c r="BA74" s="95">
        <v>1</v>
      </c>
      <c r="BB74" s="96">
        <f t="shared" si="126"/>
        <v>1.0722009304576894</v>
      </c>
      <c r="BC74" s="457" t="str">
        <f t="shared" si="127"/>
        <v>(2,1,1,2,1,1); Industry data (French tender)</v>
      </c>
      <c r="BD74" s="440">
        <f>$AF$52*($J$126+$J$128)</f>
        <v>2.9019854554418831</v>
      </c>
      <c r="BE74" s="95">
        <v>1</v>
      </c>
      <c r="BF74" s="96">
        <f t="shared" si="128"/>
        <v>1.0722009304576894</v>
      </c>
      <c r="BG74" s="457" t="str">
        <f t="shared" si="129"/>
        <v>(2,1,1,2,1,1); Industry data (French tender)</v>
      </c>
      <c r="BH74" s="440">
        <f>$AF$52*($J$126+$J$128)</f>
        <v>2.9019854554418831</v>
      </c>
      <c r="BI74" s="95">
        <v>1</v>
      </c>
      <c r="BJ74" s="96">
        <f t="shared" si="130"/>
        <v>1.0722009304576894</v>
      </c>
      <c r="BK74" s="457" t="str">
        <f t="shared" si="131"/>
        <v>(2,1,1,2,1,1); Industry data (French tender)</v>
      </c>
      <c r="BL74" s="440">
        <f>$AF$52*($J$126+$J$128)</f>
        <v>2.9019854554418831</v>
      </c>
      <c r="BM74" s="95">
        <v>1</v>
      </c>
      <c r="BN74" s="96">
        <f t="shared" si="132"/>
        <v>1.0722009304576894</v>
      </c>
      <c r="BO74" s="457" t="str">
        <f t="shared" si="133"/>
        <v>(2,1,1,2,1,1); Industry data (French tender)</v>
      </c>
      <c r="BP74" s="440">
        <f>$AF$52*($J$126+$J$128)</f>
        <v>2.9019854554418831</v>
      </c>
      <c r="BQ74" s="95">
        <v>1</v>
      </c>
      <c r="BR74" s="96">
        <f t="shared" si="134"/>
        <v>1.0722009304576894</v>
      </c>
      <c r="BS74" s="432" t="str">
        <f t="shared" si="135"/>
        <v>(2,1,1,2,1,1); Industry data (French tender)</v>
      </c>
      <c r="BT74" s="435">
        <v>0</v>
      </c>
      <c r="BU74" s="95">
        <v>1</v>
      </c>
      <c r="BV74" s="96">
        <f t="shared" si="136"/>
        <v>1.0722009304576894</v>
      </c>
      <c r="BW74" s="457" t="str">
        <f t="shared" si="137"/>
        <v>(2,1,1,2,1,1); Industry data (French tender)</v>
      </c>
      <c r="BX74" s="435">
        <v>0</v>
      </c>
      <c r="BY74" s="95">
        <v>1</v>
      </c>
      <c r="BZ74" s="96">
        <f t="shared" si="138"/>
        <v>1.0722009304576894</v>
      </c>
      <c r="CA74" s="457" t="str">
        <f t="shared" si="139"/>
        <v>(2,1,1,2,1,1); Industry data (French tender)</v>
      </c>
      <c r="CB74" s="435">
        <v>0</v>
      </c>
      <c r="CC74" s="95">
        <v>1</v>
      </c>
      <c r="CD74" s="96">
        <f t="shared" si="140"/>
        <v>1.0722009304576894</v>
      </c>
      <c r="CE74" s="457" t="str">
        <f t="shared" si="141"/>
        <v>(2,1,1,2,1,1); Industry data (French tender)</v>
      </c>
      <c r="CF74" s="435">
        <v>0</v>
      </c>
      <c r="CG74" s="95">
        <v>1</v>
      </c>
      <c r="CH74" s="96">
        <f t="shared" si="142"/>
        <v>1.0722009304576894</v>
      </c>
      <c r="CI74" s="457" t="str">
        <f t="shared" si="143"/>
        <v>(2,1,1,2,1,1); Industry data (French tender)</v>
      </c>
      <c r="CJ74" s="435">
        <v>0</v>
      </c>
      <c r="CK74" s="95">
        <v>1</v>
      </c>
      <c r="CL74" s="96">
        <f t="shared" si="144"/>
        <v>1.0722009304576894</v>
      </c>
      <c r="CM74" s="437" t="str">
        <f t="shared" si="145"/>
        <v>(2,1,1,2,1,1); Industry data (French tender)</v>
      </c>
      <c r="CN74" s="435">
        <v>0</v>
      </c>
      <c r="CO74" s="95">
        <v>1</v>
      </c>
      <c r="CP74" s="96">
        <f t="shared" si="146"/>
        <v>1.05</v>
      </c>
      <c r="CQ74" s="457" t="str">
        <f t="shared" si="147"/>
        <v xml:space="preserve">(na,na,na,na,na,na); </v>
      </c>
      <c r="CR74" s="435">
        <v>0</v>
      </c>
      <c r="CS74" s="95">
        <v>1</v>
      </c>
      <c r="CT74" s="96">
        <f t="shared" si="148"/>
        <v>1.05</v>
      </c>
      <c r="CU74" s="457" t="str">
        <f t="shared" si="149"/>
        <v xml:space="preserve">(na,na,na,na,na,na); </v>
      </c>
      <c r="CV74" s="399"/>
      <c r="CW74" s="435"/>
      <c r="CX74" s="435"/>
      <c r="CY74" s="435"/>
      <c r="CZ74" s="435"/>
      <c r="DA74" s="692" t="s">
        <v>462</v>
      </c>
      <c r="DB74" s="83">
        <v>2</v>
      </c>
      <c r="DC74" s="83">
        <v>1</v>
      </c>
      <c r="DD74" s="83">
        <v>1</v>
      </c>
      <c r="DE74" s="83">
        <v>2</v>
      </c>
      <c r="DF74" s="83">
        <v>1</v>
      </c>
      <c r="DG74" s="83">
        <v>1</v>
      </c>
      <c r="DH74" s="104">
        <v>2</v>
      </c>
      <c r="DI74" s="104">
        <v>1.05</v>
      </c>
      <c r="DJ74" s="107">
        <f t="shared" si="150"/>
        <v>1.0510550504206344</v>
      </c>
      <c r="DK74" s="107">
        <f t="shared" si="151"/>
        <v>1.0722009304576894</v>
      </c>
      <c r="DL74" s="107" t="str">
        <f t="shared" si="152"/>
        <v>(2,1,1,2,1,1)</v>
      </c>
      <c r="DM74" s="108">
        <v>1.05</v>
      </c>
      <c r="DN74" s="108">
        <v>1</v>
      </c>
      <c r="DO74" s="108">
        <v>1</v>
      </c>
      <c r="DP74" s="108">
        <v>1.01</v>
      </c>
      <c r="DQ74" s="108">
        <v>1</v>
      </c>
      <c r="DR74" s="108">
        <v>1</v>
      </c>
      <c r="DS74" s="399"/>
      <c r="DT74" s="692"/>
      <c r="DU74" s="83" t="s">
        <v>106</v>
      </c>
      <c r="DV74" s="83" t="s">
        <v>106</v>
      </c>
      <c r="DW74" s="83" t="s">
        <v>106</v>
      </c>
      <c r="DX74" s="83" t="s">
        <v>106</v>
      </c>
      <c r="DY74" s="83" t="s">
        <v>106</v>
      </c>
      <c r="DZ74" s="83" t="s">
        <v>106</v>
      </c>
      <c r="EA74" s="104">
        <v>2</v>
      </c>
      <c r="EB74" s="104">
        <v>1.05</v>
      </c>
      <c r="EC74" s="107">
        <f t="shared" si="153"/>
        <v>1</v>
      </c>
      <c r="ED74" s="107">
        <f t="shared" si="154"/>
        <v>1.05</v>
      </c>
      <c r="EE74" s="107" t="str">
        <f t="shared" si="155"/>
        <v>(na,na,na,na,na,na)</v>
      </c>
      <c r="EF74" s="108">
        <v>1</v>
      </c>
      <c r="EG74" s="108">
        <v>1</v>
      </c>
      <c r="EH74" s="108">
        <v>1</v>
      </c>
      <c r="EI74" s="108">
        <v>1</v>
      </c>
      <c r="EJ74" s="108">
        <v>1</v>
      </c>
      <c r="EK74" s="108">
        <v>1</v>
      </c>
    </row>
    <row r="75" spans="1:141" ht="24">
      <c r="A75" s="330">
        <v>267119</v>
      </c>
      <c r="B75" s="216"/>
      <c r="C75" s="334"/>
      <c r="D75" s="515">
        <v>5</v>
      </c>
      <c r="E75" s="343" t="s">
        <v>98</v>
      </c>
      <c r="F75" s="437" t="s">
        <v>614</v>
      </c>
      <c r="G75" s="438" t="s">
        <v>485</v>
      </c>
      <c r="H75" s="455" t="s">
        <v>98</v>
      </c>
      <c r="I75" s="455" t="s">
        <v>98</v>
      </c>
      <c r="J75" s="336">
        <v>0</v>
      </c>
      <c r="K75" s="438" t="s">
        <v>109</v>
      </c>
      <c r="L75" s="440">
        <f t="shared" si="90"/>
        <v>0</v>
      </c>
      <c r="M75" s="336">
        <v>1</v>
      </c>
      <c r="N75" s="337">
        <f t="shared" si="106"/>
        <v>1.0722009304576894</v>
      </c>
      <c r="O75" s="455" t="str">
        <f t="shared" si="107"/>
        <v>(2,1,1,2,1,1); Industry data (French tender)</v>
      </c>
      <c r="P75" s="440">
        <f t="shared" si="91"/>
        <v>0</v>
      </c>
      <c r="Q75" s="336">
        <v>1</v>
      </c>
      <c r="R75" s="337">
        <f t="shared" si="108"/>
        <v>1.0722009304576894</v>
      </c>
      <c r="S75" s="455" t="str">
        <f t="shared" si="109"/>
        <v>(2,1,1,2,1,1); Industry data (French tender)</v>
      </c>
      <c r="T75" s="440">
        <f t="shared" si="92"/>
        <v>0</v>
      </c>
      <c r="U75" s="336">
        <v>1</v>
      </c>
      <c r="V75" s="337">
        <f t="shared" si="110"/>
        <v>1.0722009304576894</v>
      </c>
      <c r="W75" s="455" t="str">
        <f t="shared" si="111"/>
        <v>(2,1,1,2,1,1); Industry data (French tender)</v>
      </c>
      <c r="X75" s="440">
        <f t="shared" si="93"/>
        <v>0</v>
      </c>
      <c r="Y75" s="336">
        <v>1</v>
      </c>
      <c r="Z75" s="337">
        <f t="shared" si="112"/>
        <v>1.0722009304576894</v>
      </c>
      <c r="AA75" s="437" t="str">
        <f t="shared" si="113"/>
        <v>(2,1,1,2,1,1); Industry data (French tender)</v>
      </c>
      <c r="AB75" s="440">
        <v>0</v>
      </c>
      <c r="AC75" s="336">
        <v>1</v>
      </c>
      <c r="AD75" s="337">
        <f t="shared" si="114"/>
        <v>1.0722009304576894</v>
      </c>
      <c r="AE75" s="437" t="str">
        <f t="shared" si="115"/>
        <v>(2,1,1,2,1,1); Industry data (French tender)</v>
      </c>
      <c r="AF75" s="440">
        <v>0</v>
      </c>
      <c r="AG75" s="336">
        <v>1</v>
      </c>
      <c r="AH75" s="337">
        <f t="shared" si="116"/>
        <v>1.0722009304576894</v>
      </c>
      <c r="AI75" s="455" t="str">
        <f t="shared" si="117"/>
        <v>(2,1,1,2,1,1); Industry data (French tender)</v>
      </c>
      <c r="AJ75" s="440">
        <v>0</v>
      </c>
      <c r="AK75" s="336">
        <v>1</v>
      </c>
      <c r="AL75" s="337">
        <f t="shared" si="118"/>
        <v>1.0722009304576894</v>
      </c>
      <c r="AM75" s="455" t="str">
        <f t="shared" si="119"/>
        <v>(2,1,1,2,1,1); Industry data (French tender)</v>
      </c>
      <c r="AN75" s="440">
        <v>0</v>
      </c>
      <c r="AO75" s="336">
        <v>1</v>
      </c>
      <c r="AP75" s="337">
        <f t="shared" si="120"/>
        <v>1.0722009304576894</v>
      </c>
      <c r="AQ75" s="455" t="str">
        <f t="shared" si="121"/>
        <v>(2,1,1,2,1,1); Industry data (French tender)</v>
      </c>
      <c r="AR75" s="440">
        <v>0</v>
      </c>
      <c r="AS75" s="336">
        <v>1</v>
      </c>
      <c r="AT75" s="337">
        <f t="shared" si="122"/>
        <v>1.0722009304576894</v>
      </c>
      <c r="AU75" s="455" t="str">
        <f t="shared" si="123"/>
        <v>(2,1,1,2,1,1); Industry data (French tender)</v>
      </c>
      <c r="AV75" s="440">
        <v>0</v>
      </c>
      <c r="AW75" s="336">
        <v>1</v>
      </c>
      <c r="AX75" s="337">
        <f t="shared" si="124"/>
        <v>1.0722009304576894</v>
      </c>
      <c r="AY75" s="437" t="str">
        <f t="shared" si="125"/>
        <v>(2,1,1,2,1,1); Industry data (French tender)</v>
      </c>
      <c r="AZ75" s="440">
        <f>AF71*$J$127</f>
        <v>0.15151855047454682</v>
      </c>
      <c r="BA75" s="95">
        <v>1</v>
      </c>
      <c r="BB75" s="96">
        <f t="shared" si="126"/>
        <v>1.0722009304576894</v>
      </c>
      <c r="BC75" s="457" t="str">
        <f t="shared" si="127"/>
        <v>(2,1,1,2,1,1); Industry data (French tender)</v>
      </c>
      <c r="BD75" s="440">
        <f>AJ71*$J$127</f>
        <v>0.16204979662270422</v>
      </c>
      <c r="BE75" s="95">
        <v>1</v>
      </c>
      <c r="BF75" s="96">
        <f t="shared" si="128"/>
        <v>1.0722009304576894</v>
      </c>
      <c r="BG75" s="457" t="str">
        <f t="shared" si="129"/>
        <v>(2,1,1,2,1,1); Industry data (French tender)</v>
      </c>
      <c r="BH75" s="440">
        <f>AN71*$J$127</f>
        <v>0.17478995654273313</v>
      </c>
      <c r="BI75" s="95">
        <v>1</v>
      </c>
      <c r="BJ75" s="96">
        <f t="shared" si="130"/>
        <v>1.0722009304576894</v>
      </c>
      <c r="BK75" s="457" t="str">
        <f t="shared" si="131"/>
        <v>(2,1,1,2,1,1); Industry data (French tender)</v>
      </c>
      <c r="BL75" s="440">
        <f>AR71*$J$127</f>
        <v>0.16010957815250104</v>
      </c>
      <c r="BM75" s="95">
        <v>1</v>
      </c>
      <c r="BN75" s="96">
        <f t="shared" si="132"/>
        <v>1.0722009304576894</v>
      </c>
      <c r="BO75" s="457" t="str">
        <f t="shared" si="133"/>
        <v>(2,1,1,2,1,1); Industry data (French tender)</v>
      </c>
      <c r="BP75" s="440">
        <f>AV71*$J$127</f>
        <v>0.16010957815250104</v>
      </c>
      <c r="BQ75" s="95">
        <v>1</v>
      </c>
      <c r="BR75" s="96">
        <f t="shared" si="134"/>
        <v>1.0722009304576894</v>
      </c>
      <c r="BS75" s="432" t="str">
        <f t="shared" si="135"/>
        <v>(2,1,1,2,1,1); Industry data (French tender)</v>
      </c>
      <c r="BT75" s="435">
        <v>0</v>
      </c>
      <c r="BU75" s="95">
        <v>1</v>
      </c>
      <c r="BV75" s="96">
        <f t="shared" si="136"/>
        <v>1.0722009304576894</v>
      </c>
      <c r="BW75" s="457" t="str">
        <f t="shared" si="137"/>
        <v>(2,1,1,2,1,1); Industry data (French tender)</v>
      </c>
      <c r="BX75" s="435">
        <v>0</v>
      </c>
      <c r="BY75" s="95">
        <v>1</v>
      </c>
      <c r="BZ75" s="96">
        <f t="shared" si="138"/>
        <v>1.0722009304576894</v>
      </c>
      <c r="CA75" s="457" t="str">
        <f t="shared" si="139"/>
        <v>(2,1,1,2,1,1); Industry data (French tender)</v>
      </c>
      <c r="CB75" s="435">
        <v>0</v>
      </c>
      <c r="CC75" s="95">
        <v>1</v>
      </c>
      <c r="CD75" s="96">
        <f t="shared" si="140"/>
        <v>1.0722009304576894</v>
      </c>
      <c r="CE75" s="457" t="str">
        <f t="shared" si="141"/>
        <v>(2,1,1,2,1,1); Industry data (French tender)</v>
      </c>
      <c r="CF75" s="435">
        <v>0</v>
      </c>
      <c r="CG75" s="95">
        <v>1</v>
      </c>
      <c r="CH75" s="96">
        <f t="shared" si="142"/>
        <v>1.0722009304576894</v>
      </c>
      <c r="CI75" s="457" t="str">
        <f t="shared" si="143"/>
        <v>(2,1,1,2,1,1); Industry data (French tender)</v>
      </c>
      <c r="CJ75" s="435">
        <v>0</v>
      </c>
      <c r="CK75" s="95">
        <v>1</v>
      </c>
      <c r="CL75" s="96">
        <f t="shared" si="144"/>
        <v>1.0722009304576894</v>
      </c>
      <c r="CM75" s="437" t="str">
        <f t="shared" si="145"/>
        <v>(2,1,1,2,1,1); Industry data (French tender)</v>
      </c>
      <c r="CN75" s="435">
        <v>0</v>
      </c>
      <c r="CO75" s="95">
        <v>1</v>
      </c>
      <c r="CP75" s="96">
        <f t="shared" si="146"/>
        <v>1.05</v>
      </c>
      <c r="CQ75" s="457" t="str">
        <f t="shared" si="147"/>
        <v xml:space="preserve">(na,na,na,na,na,na); </v>
      </c>
      <c r="CR75" s="435">
        <v>0</v>
      </c>
      <c r="CS75" s="95">
        <v>1</v>
      </c>
      <c r="CT75" s="96">
        <f t="shared" si="148"/>
        <v>1.05</v>
      </c>
      <c r="CU75" s="457" t="str">
        <f t="shared" si="149"/>
        <v xml:space="preserve">(na,na,na,na,na,na); </v>
      </c>
      <c r="CV75" s="399"/>
      <c r="CW75" s="435"/>
      <c r="CX75" s="435"/>
      <c r="CY75" s="435"/>
      <c r="CZ75" s="435"/>
      <c r="DA75" s="692" t="s">
        <v>462</v>
      </c>
      <c r="DB75" s="83">
        <v>2</v>
      </c>
      <c r="DC75" s="83">
        <v>1</v>
      </c>
      <c r="DD75" s="83">
        <v>1</v>
      </c>
      <c r="DE75" s="83">
        <v>2</v>
      </c>
      <c r="DF75" s="83">
        <v>1</v>
      </c>
      <c r="DG75" s="83">
        <v>1</v>
      </c>
      <c r="DH75" s="104">
        <v>3</v>
      </c>
      <c r="DI75" s="104">
        <v>1.05</v>
      </c>
      <c r="DJ75" s="107">
        <f t="shared" si="150"/>
        <v>1.0510550504206344</v>
      </c>
      <c r="DK75" s="107">
        <f t="shared" si="151"/>
        <v>1.0722009304576894</v>
      </c>
      <c r="DL75" s="107" t="str">
        <f t="shared" si="152"/>
        <v>(2,1,1,2,1,1)</v>
      </c>
      <c r="DM75" s="108">
        <v>1.05</v>
      </c>
      <c r="DN75" s="108">
        <v>1</v>
      </c>
      <c r="DO75" s="108">
        <v>1</v>
      </c>
      <c r="DP75" s="108">
        <v>1.01</v>
      </c>
      <c r="DQ75" s="108">
        <v>1</v>
      </c>
      <c r="DR75" s="108">
        <v>1</v>
      </c>
      <c r="DS75" s="399"/>
      <c r="DT75" s="692"/>
      <c r="DU75" s="83" t="s">
        <v>106</v>
      </c>
      <c r="DV75" s="83" t="s">
        <v>106</v>
      </c>
      <c r="DW75" s="83" t="s">
        <v>106</v>
      </c>
      <c r="DX75" s="83" t="s">
        <v>106</v>
      </c>
      <c r="DY75" s="83" t="s">
        <v>106</v>
      </c>
      <c r="DZ75" s="83" t="s">
        <v>106</v>
      </c>
      <c r="EA75" s="104">
        <v>3</v>
      </c>
      <c r="EB75" s="104">
        <v>1.05</v>
      </c>
      <c r="EC75" s="107">
        <f t="shared" si="153"/>
        <v>1</v>
      </c>
      <c r="ED75" s="107">
        <f t="shared" si="154"/>
        <v>1.05</v>
      </c>
      <c r="EE75" s="107" t="str">
        <f t="shared" si="155"/>
        <v>(na,na,na,na,na,na)</v>
      </c>
      <c r="EF75" s="108">
        <v>1</v>
      </c>
      <c r="EG75" s="108">
        <v>1</v>
      </c>
      <c r="EH75" s="108">
        <v>1</v>
      </c>
      <c r="EI75" s="108">
        <v>1</v>
      </c>
      <c r="EJ75" s="108">
        <v>1</v>
      </c>
      <c r="EK75" s="108">
        <v>1</v>
      </c>
    </row>
    <row r="76" spans="1:141">
      <c r="A76" s="330">
        <v>257738</v>
      </c>
      <c r="B76" s="216"/>
      <c r="C76" s="334"/>
      <c r="D76" s="515">
        <v>5</v>
      </c>
      <c r="E76" s="343" t="s">
        <v>98</v>
      </c>
      <c r="F76" s="437" t="s">
        <v>999</v>
      </c>
      <c r="G76" s="438" t="s">
        <v>992</v>
      </c>
      <c r="H76" s="455" t="s">
        <v>98</v>
      </c>
      <c r="I76" s="455" t="s">
        <v>98</v>
      </c>
      <c r="J76" s="336">
        <v>0</v>
      </c>
      <c r="K76" s="438" t="s">
        <v>109</v>
      </c>
      <c r="L76" s="440">
        <f t="shared" si="90"/>
        <v>0</v>
      </c>
      <c r="M76" s="336">
        <v>1</v>
      </c>
      <c r="N76" s="337">
        <f t="shared" si="106"/>
        <v>1.0722009304576894</v>
      </c>
      <c r="O76" s="455" t="str">
        <f t="shared" si="107"/>
        <v>(2,1,1,2,1,1); Industry data (French tender)</v>
      </c>
      <c r="P76" s="440">
        <f t="shared" si="91"/>
        <v>0</v>
      </c>
      <c r="Q76" s="336">
        <v>1</v>
      </c>
      <c r="R76" s="337">
        <f t="shared" si="108"/>
        <v>1.0722009304576894</v>
      </c>
      <c r="S76" s="455" t="str">
        <f t="shared" si="109"/>
        <v>(2,1,1,2,1,1); Industry data (French tender)</v>
      </c>
      <c r="T76" s="440">
        <f t="shared" si="92"/>
        <v>0</v>
      </c>
      <c r="U76" s="336">
        <v>1</v>
      </c>
      <c r="V76" s="337">
        <f t="shared" si="110"/>
        <v>1.0722009304576894</v>
      </c>
      <c r="W76" s="455" t="str">
        <f t="shared" si="111"/>
        <v>(2,1,1,2,1,1); Industry data (French tender)</v>
      </c>
      <c r="X76" s="440">
        <f t="shared" si="93"/>
        <v>0</v>
      </c>
      <c r="Y76" s="336">
        <v>1</v>
      </c>
      <c r="Z76" s="337">
        <f t="shared" si="112"/>
        <v>1.0722009304576894</v>
      </c>
      <c r="AA76" s="437" t="str">
        <f t="shared" si="113"/>
        <v>(2,1,1,2,1,1); Industry data (French tender)</v>
      </c>
      <c r="AB76" s="440">
        <v>0</v>
      </c>
      <c r="AC76" s="336">
        <v>1</v>
      </c>
      <c r="AD76" s="337">
        <f t="shared" si="114"/>
        <v>1.0722009304576894</v>
      </c>
      <c r="AE76" s="437" t="str">
        <f t="shared" si="115"/>
        <v>(2,1,1,2,1,1); Industry data (French tender)</v>
      </c>
      <c r="AF76" s="440">
        <v>0</v>
      </c>
      <c r="AG76" s="336">
        <v>1</v>
      </c>
      <c r="AH76" s="337">
        <f t="shared" si="116"/>
        <v>1.0722009304576894</v>
      </c>
      <c r="AI76" s="455" t="str">
        <f t="shared" si="117"/>
        <v>(2,1,1,2,1,1); Industry data (French tender)</v>
      </c>
      <c r="AJ76" s="440">
        <v>0</v>
      </c>
      <c r="AK76" s="336">
        <v>1</v>
      </c>
      <c r="AL76" s="337">
        <f t="shared" si="118"/>
        <v>1.0722009304576894</v>
      </c>
      <c r="AM76" s="455" t="str">
        <f t="shared" si="119"/>
        <v>(2,1,1,2,1,1); Industry data (French tender)</v>
      </c>
      <c r="AN76" s="440">
        <v>0</v>
      </c>
      <c r="AO76" s="336">
        <v>1</v>
      </c>
      <c r="AP76" s="337">
        <f t="shared" si="120"/>
        <v>1.0722009304576894</v>
      </c>
      <c r="AQ76" s="455" t="str">
        <f t="shared" si="121"/>
        <v>(2,1,1,2,1,1); Industry data (French tender)</v>
      </c>
      <c r="AR76" s="440">
        <v>0</v>
      </c>
      <c r="AS76" s="336">
        <v>1</v>
      </c>
      <c r="AT76" s="337">
        <f t="shared" si="122"/>
        <v>1.0722009304576894</v>
      </c>
      <c r="AU76" s="455" t="str">
        <f t="shared" si="123"/>
        <v>(2,1,1,2,1,1); Industry data (French tender)</v>
      </c>
      <c r="AV76" s="440">
        <v>0</v>
      </c>
      <c r="AW76" s="336">
        <v>1</v>
      </c>
      <c r="AX76" s="337">
        <f t="shared" si="124"/>
        <v>1.0722009304576894</v>
      </c>
      <c r="AY76" s="437" t="str">
        <f t="shared" si="125"/>
        <v>(2,1,1,2,1,1); Industry data (French tender)</v>
      </c>
      <c r="AZ76" s="440">
        <f>AF71*$J$129</f>
        <v>1.0000224331320091</v>
      </c>
      <c r="BA76" s="95">
        <v>1</v>
      </c>
      <c r="BB76" s="96">
        <f t="shared" si="126"/>
        <v>1.0722009304576894</v>
      </c>
      <c r="BC76" s="457" t="str">
        <f t="shared" si="127"/>
        <v>(2,1,1,2,1,1); Industry data (French tender)</v>
      </c>
      <c r="BD76" s="440">
        <f>AJ71*$J$129</f>
        <v>1.069528657709848</v>
      </c>
      <c r="BE76" s="95">
        <v>1</v>
      </c>
      <c r="BF76" s="96">
        <f t="shared" si="128"/>
        <v>1.0722009304576894</v>
      </c>
      <c r="BG76" s="457" t="str">
        <f t="shared" si="129"/>
        <v>(2,1,1,2,1,1); Industry data (French tender)</v>
      </c>
      <c r="BH76" s="440">
        <f>AN71*$J$129</f>
        <v>1.153613713182039</v>
      </c>
      <c r="BI76" s="95">
        <v>1</v>
      </c>
      <c r="BJ76" s="96">
        <f t="shared" si="130"/>
        <v>1.0722009304576894</v>
      </c>
      <c r="BK76" s="457" t="str">
        <f t="shared" si="131"/>
        <v>(2,1,1,2,1,1); Industry data (French tender)</v>
      </c>
      <c r="BL76" s="440">
        <f>AR71*$J$129</f>
        <v>1.056723215806507</v>
      </c>
      <c r="BM76" s="95">
        <v>1</v>
      </c>
      <c r="BN76" s="96">
        <f t="shared" si="132"/>
        <v>1.0722009304576894</v>
      </c>
      <c r="BO76" s="457" t="str">
        <f t="shared" si="133"/>
        <v>(2,1,1,2,1,1); Industry data (French tender)</v>
      </c>
      <c r="BP76" s="440">
        <f>AV71*$J$129</f>
        <v>1.056723215806507</v>
      </c>
      <c r="BQ76" s="95">
        <v>1</v>
      </c>
      <c r="BR76" s="96">
        <f t="shared" si="134"/>
        <v>1.0722009304576894</v>
      </c>
      <c r="BS76" s="432" t="str">
        <f t="shared" si="135"/>
        <v>(2,1,1,2,1,1); Industry data (French tender)</v>
      </c>
      <c r="BT76" s="435">
        <v>0</v>
      </c>
      <c r="BU76" s="95">
        <v>1</v>
      </c>
      <c r="BV76" s="96">
        <f t="shared" si="136"/>
        <v>1.0722009304576894</v>
      </c>
      <c r="BW76" s="457" t="str">
        <f t="shared" si="137"/>
        <v>(2,1,1,2,1,1); Industry data (French tender)</v>
      </c>
      <c r="BX76" s="435">
        <v>0</v>
      </c>
      <c r="BY76" s="95">
        <v>1</v>
      </c>
      <c r="BZ76" s="96">
        <f t="shared" si="138"/>
        <v>1.0722009304576894</v>
      </c>
      <c r="CA76" s="457" t="str">
        <f t="shared" si="139"/>
        <v>(2,1,1,2,1,1); Industry data (French tender)</v>
      </c>
      <c r="CB76" s="435">
        <v>0</v>
      </c>
      <c r="CC76" s="95">
        <v>1</v>
      </c>
      <c r="CD76" s="96">
        <f t="shared" si="140"/>
        <v>1.0722009304576894</v>
      </c>
      <c r="CE76" s="457" t="str">
        <f t="shared" si="141"/>
        <v>(2,1,1,2,1,1); Industry data (French tender)</v>
      </c>
      <c r="CF76" s="435">
        <v>0</v>
      </c>
      <c r="CG76" s="95">
        <v>1</v>
      </c>
      <c r="CH76" s="96">
        <f t="shared" si="142"/>
        <v>1.0722009304576894</v>
      </c>
      <c r="CI76" s="457" t="str">
        <f t="shared" si="143"/>
        <v>(2,1,1,2,1,1); Industry data (French tender)</v>
      </c>
      <c r="CJ76" s="435">
        <v>0</v>
      </c>
      <c r="CK76" s="95">
        <v>1</v>
      </c>
      <c r="CL76" s="96">
        <f t="shared" si="144"/>
        <v>1.0722009304576894</v>
      </c>
      <c r="CM76" s="437" t="str">
        <f t="shared" si="145"/>
        <v>(2,1,1,2,1,1); Industry data (French tender)</v>
      </c>
      <c r="CN76" s="435">
        <v>0</v>
      </c>
      <c r="CO76" s="95">
        <v>1</v>
      </c>
      <c r="CP76" s="96">
        <f t="shared" si="146"/>
        <v>1.05</v>
      </c>
      <c r="CQ76" s="457" t="str">
        <f t="shared" si="147"/>
        <v xml:space="preserve">(na,na,na,na,na,na); </v>
      </c>
      <c r="CR76" s="435">
        <v>0</v>
      </c>
      <c r="CS76" s="95">
        <v>1</v>
      </c>
      <c r="CT76" s="96">
        <f t="shared" si="148"/>
        <v>1.05</v>
      </c>
      <c r="CU76" s="457" t="str">
        <f t="shared" si="149"/>
        <v xml:space="preserve">(na,na,na,na,na,na); </v>
      </c>
      <c r="CV76" s="399"/>
      <c r="CW76" s="435"/>
      <c r="CX76" s="435"/>
      <c r="CY76" s="435"/>
      <c r="CZ76" s="435"/>
      <c r="DA76" s="692" t="s">
        <v>462</v>
      </c>
      <c r="DB76" s="83">
        <v>2</v>
      </c>
      <c r="DC76" s="83">
        <v>1</v>
      </c>
      <c r="DD76" s="83">
        <v>1</v>
      </c>
      <c r="DE76" s="83">
        <v>2</v>
      </c>
      <c r="DF76" s="83">
        <v>1</v>
      </c>
      <c r="DG76" s="83">
        <v>1</v>
      </c>
      <c r="DH76" s="104">
        <v>3</v>
      </c>
      <c r="DI76" s="104">
        <v>1.05</v>
      </c>
      <c r="DJ76" s="107">
        <f t="shared" si="150"/>
        <v>1.0510550504206344</v>
      </c>
      <c r="DK76" s="107">
        <f t="shared" si="151"/>
        <v>1.0722009304576894</v>
      </c>
      <c r="DL76" s="107" t="str">
        <f t="shared" si="152"/>
        <v>(2,1,1,2,1,1)</v>
      </c>
      <c r="DM76" s="108">
        <v>1.05</v>
      </c>
      <c r="DN76" s="108">
        <v>1</v>
      </c>
      <c r="DO76" s="108">
        <v>1</v>
      </c>
      <c r="DP76" s="108">
        <v>1.01</v>
      </c>
      <c r="DQ76" s="108">
        <v>1</v>
      </c>
      <c r="DR76" s="108">
        <v>1</v>
      </c>
      <c r="DS76" s="399"/>
      <c r="DT76" s="692"/>
      <c r="DU76" s="83" t="s">
        <v>106</v>
      </c>
      <c r="DV76" s="83" t="s">
        <v>106</v>
      </c>
      <c r="DW76" s="83" t="s">
        <v>106</v>
      </c>
      <c r="DX76" s="83" t="s">
        <v>106</v>
      </c>
      <c r="DY76" s="83" t="s">
        <v>106</v>
      </c>
      <c r="DZ76" s="83" t="s">
        <v>106</v>
      </c>
      <c r="EA76" s="104">
        <v>3</v>
      </c>
      <c r="EB76" s="104">
        <v>1.05</v>
      </c>
      <c r="EC76" s="107">
        <f t="shared" si="153"/>
        <v>1</v>
      </c>
      <c r="ED76" s="107">
        <f t="shared" si="154"/>
        <v>1.05</v>
      </c>
      <c r="EE76" s="107" t="str">
        <f t="shared" si="155"/>
        <v>(na,na,na,na,na,na)</v>
      </c>
      <c r="EF76" s="108">
        <v>1</v>
      </c>
      <c r="EG76" s="108">
        <v>1</v>
      </c>
      <c r="EH76" s="108">
        <v>1</v>
      </c>
      <c r="EI76" s="108">
        <v>1</v>
      </c>
      <c r="EJ76" s="108">
        <v>1</v>
      </c>
      <c r="EK76" s="108">
        <v>1</v>
      </c>
    </row>
    <row r="77" spans="1:141" ht="24">
      <c r="A77" s="330">
        <v>269603</v>
      </c>
      <c r="B77" s="216"/>
      <c r="C77" s="334"/>
      <c r="D77" s="515">
        <v>5</v>
      </c>
      <c r="E77" s="343" t="s">
        <v>98</v>
      </c>
      <c r="F77" s="437" t="s">
        <v>222</v>
      </c>
      <c r="G77" s="438" t="s">
        <v>223</v>
      </c>
      <c r="H77" s="455" t="s">
        <v>98</v>
      </c>
      <c r="I77" s="455" t="s">
        <v>98</v>
      </c>
      <c r="J77" s="336">
        <v>0</v>
      </c>
      <c r="K77" s="438" t="s">
        <v>109</v>
      </c>
      <c r="L77" s="440">
        <f t="shared" si="90"/>
        <v>0</v>
      </c>
      <c r="M77" s="336">
        <v>1</v>
      </c>
      <c r="N77" s="337">
        <f t="shared" si="106"/>
        <v>1.0722009304576894</v>
      </c>
      <c r="O77" s="455" t="str">
        <f t="shared" si="107"/>
        <v>(2,1,1,2,1,1); Industry data (French tender)</v>
      </c>
      <c r="P77" s="440">
        <f t="shared" si="91"/>
        <v>0</v>
      </c>
      <c r="Q77" s="336">
        <v>1</v>
      </c>
      <c r="R77" s="337">
        <f t="shared" si="108"/>
        <v>1.0722009304576894</v>
      </c>
      <c r="S77" s="455" t="str">
        <f t="shared" si="109"/>
        <v>(2,1,1,2,1,1); Industry data (French tender)</v>
      </c>
      <c r="T77" s="440">
        <f t="shared" si="92"/>
        <v>0</v>
      </c>
      <c r="U77" s="336">
        <v>1</v>
      </c>
      <c r="V77" s="337">
        <f t="shared" si="110"/>
        <v>1.0722009304576894</v>
      </c>
      <c r="W77" s="455" t="str">
        <f t="shared" si="111"/>
        <v>(2,1,1,2,1,1); Industry data (French tender)</v>
      </c>
      <c r="X77" s="440">
        <f t="shared" si="93"/>
        <v>0</v>
      </c>
      <c r="Y77" s="336">
        <v>1</v>
      </c>
      <c r="Z77" s="337">
        <f t="shared" si="112"/>
        <v>1.0722009304576894</v>
      </c>
      <c r="AA77" s="437" t="str">
        <f t="shared" si="113"/>
        <v>(2,1,1,2,1,1); Industry data (French tender)</v>
      </c>
      <c r="AB77" s="440">
        <v>0</v>
      </c>
      <c r="AC77" s="336">
        <v>1</v>
      </c>
      <c r="AD77" s="337">
        <f t="shared" si="114"/>
        <v>1.0722009304576894</v>
      </c>
      <c r="AE77" s="437" t="str">
        <f t="shared" si="115"/>
        <v>(2,1,1,2,1,1); Industry data (French tender)</v>
      </c>
      <c r="AF77" s="440">
        <v>0</v>
      </c>
      <c r="AG77" s="336">
        <v>1</v>
      </c>
      <c r="AH77" s="337">
        <f t="shared" si="116"/>
        <v>1.0722009304576894</v>
      </c>
      <c r="AI77" s="455" t="str">
        <f t="shared" si="117"/>
        <v>(2,1,1,2,1,1); Industry data (French tender)</v>
      </c>
      <c r="AJ77" s="440">
        <v>0</v>
      </c>
      <c r="AK77" s="336">
        <v>1</v>
      </c>
      <c r="AL77" s="337">
        <f t="shared" si="118"/>
        <v>1.0722009304576894</v>
      </c>
      <c r="AM77" s="455" t="str">
        <f t="shared" si="119"/>
        <v>(2,1,1,2,1,1); Industry data (French tender)</v>
      </c>
      <c r="AN77" s="440">
        <v>0</v>
      </c>
      <c r="AO77" s="336">
        <v>1</v>
      </c>
      <c r="AP77" s="337">
        <f t="shared" si="120"/>
        <v>1.0722009304576894</v>
      </c>
      <c r="AQ77" s="455" t="str">
        <f t="shared" si="121"/>
        <v>(2,1,1,2,1,1); Industry data (French tender)</v>
      </c>
      <c r="AR77" s="440">
        <v>0</v>
      </c>
      <c r="AS77" s="336">
        <v>1</v>
      </c>
      <c r="AT77" s="337">
        <f t="shared" si="122"/>
        <v>1.0722009304576894</v>
      </c>
      <c r="AU77" s="455" t="str">
        <f t="shared" si="123"/>
        <v>(2,1,1,2,1,1); Industry data (French tender)</v>
      </c>
      <c r="AV77" s="440">
        <v>0</v>
      </c>
      <c r="AW77" s="336">
        <v>1</v>
      </c>
      <c r="AX77" s="337">
        <f t="shared" si="124"/>
        <v>1.0722009304576894</v>
      </c>
      <c r="AY77" s="437" t="str">
        <f t="shared" si="125"/>
        <v>(2,1,1,2,1,1); Industry data (French tender)</v>
      </c>
      <c r="AZ77" s="440">
        <v>0</v>
      </c>
      <c r="BA77" s="95">
        <v>1</v>
      </c>
      <c r="BB77" s="96">
        <f t="shared" si="126"/>
        <v>1.0722009304576894</v>
      </c>
      <c r="BC77" s="457" t="str">
        <f t="shared" si="127"/>
        <v>(2,1,1,2,1,1); Industry data (French tender)</v>
      </c>
      <c r="BD77" s="435">
        <v>0</v>
      </c>
      <c r="BE77" s="95">
        <v>1</v>
      </c>
      <c r="BF77" s="96">
        <f t="shared" si="128"/>
        <v>1.0722009304576894</v>
      </c>
      <c r="BG77" s="457" t="str">
        <f t="shared" si="129"/>
        <v>(2,1,1,2,1,1); Industry data (French tender)</v>
      </c>
      <c r="BH77" s="435">
        <v>0</v>
      </c>
      <c r="BI77" s="95">
        <v>1</v>
      </c>
      <c r="BJ77" s="96">
        <f t="shared" si="130"/>
        <v>1.0722009304576894</v>
      </c>
      <c r="BK77" s="457" t="str">
        <f t="shared" si="131"/>
        <v>(2,1,1,2,1,1); Industry data (French tender)</v>
      </c>
      <c r="BL77" s="435">
        <v>0</v>
      </c>
      <c r="BM77" s="95">
        <v>1</v>
      </c>
      <c r="BN77" s="96">
        <f t="shared" si="132"/>
        <v>1.0722009304576894</v>
      </c>
      <c r="BO77" s="457" t="str">
        <f t="shared" si="133"/>
        <v>(2,1,1,2,1,1); Industry data (French tender)</v>
      </c>
      <c r="BP77" s="435">
        <v>0</v>
      </c>
      <c r="BQ77" s="95">
        <v>1</v>
      </c>
      <c r="BR77" s="96">
        <f t="shared" si="134"/>
        <v>1.0722009304576894</v>
      </c>
      <c r="BS77" s="432" t="str">
        <f t="shared" si="135"/>
        <v>(2,1,1,2,1,1); Industry data (French tender)</v>
      </c>
      <c r="BT77" s="435">
        <f>AZ72</f>
        <v>0.30303710094909364</v>
      </c>
      <c r="BU77" s="435">
        <v>1</v>
      </c>
      <c r="BV77" s="435">
        <f t="shared" si="136"/>
        <v>1.0722009304576894</v>
      </c>
      <c r="BW77" s="435" t="str">
        <f t="shared" si="137"/>
        <v>(2,1,1,2,1,1); Industry data (French tender)</v>
      </c>
      <c r="BX77" s="435">
        <f>BD72</f>
        <v>0.32409959324540843</v>
      </c>
      <c r="BY77" s="435">
        <v>1</v>
      </c>
      <c r="BZ77" s="435">
        <f t="shared" si="138"/>
        <v>1.0722009304576894</v>
      </c>
      <c r="CA77" s="435" t="str">
        <f t="shared" si="139"/>
        <v>(2,1,1,2,1,1); Industry data (French tender)</v>
      </c>
      <c r="CB77" s="435">
        <f>BH72</f>
        <v>0.34957991308546627</v>
      </c>
      <c r="CC77" s="435">
        <v>1</v>
      </c>
      <c r="CD77" s="435">
        <f t="shared" si="140"/>
        <v>1.0722009304576894</v>
      </c>
      <c r="CE77" s="435" t="str">
        <f t="shared" si="141"/>
        <v>(2,1,1,2,1,1); Industry data (French tender)</v>
      </c>
      <c r="CF77" s="435">
        <f>BL72</f>
        <v>0.32021915630500208</v>
      </c>
      <c r="CG77" s="336">
        <v>1</v>
      </c>
      <c r="CH77" s="337">
        <f t="shared" si="142"/>
        <v>1.0722009304576894</v>
      </c>
      <c r="CI77" s="435" t="str">
        <f t="shared" si="143"/>
        <v>(2,1,1,2,1,1); Industry data (French tender)</v>
      </c>
      <c r="CJ77" s="435">
        <f>CF77</f>
        <v>0.32021915630500208</v>
      </c>
      <c r="CK77" s="95">
        <v>1</v>
      </c>
      <c r="CL77" s="96">
        <f t="shared" si="144"/>
        <v>1.0722009304576894</v>
      </c>
      <c r="CM77" s="437" t="str">
        <f t="shared" si="145"/>
        <v>(2,1,1,2,1,1); Industry data (French tender)</v>
      </c>
      <c r="CN77" s="435">
        <v>0</v>
      </c>
      <c r="CO77" s="95">
        <v>1</v>
      </c>
      <c r="CP77" s="96">
        <f t="shared" si="146"/>
        <v>1.05</v>
      </c>
      <c r="CQ77" s="457" t="str">
        <f t="shared" si="147"/>
        <v xml:space="preserve">(na,na,na,na,na,na); </v>
      </c>
      <c r="CR77" s="435">
        <v>0</v>
      </c>
      <c r="CS77" s="95">
        <v>1</v>
      </c>
      <c r="CT77" s="96">
        <f t="shared" si="148"/>
        <v>1.05</v>
      </c>
      <c r="CU77" s="457" t="str">
        <f t="shared" si="149"/>
        <v xml:space="preserve">(na,na,na,na,na,na); </v>
      </c>
      <c r="CV77" s="399"/>
      <c r="CW77" s="435"/>
      <c r="CX77" s="435"/>
      <c r="CY77" s="435"/>
      <c r="CZ77" s="435"/>
      <c r="DA77" s="692" t="s">
        <v>462</v>
      </c>
      <c r="DB77" s="83">
        <v>2</v>
      </c>
      <c r="DC77" s="83">
        <v>1</v>
      </c>
      <c r="DD77" s="83">
        <v>1</v>
      </c>
      <c r="DE77" s="83">
        <v>2</v>
      </c>
      <c r="DF77" s="83">
        <v>1</v>
      </c>
      <c r="DG77" s="83">
        <v>1</v>
      </c>
      <c r="DH77" s="104">
        <v>2</v>
      </c>
      <c r="DI77" s="104">
        <v>1.05</v>
      </c>
      <c r="DJ77" s="107">
        <f t="shared" si="150"/>
        <v>1.0510550504206344</v>
      </c>
      <c r="DK77" s="107">
        <f t="shared" si="151"/>
        <v>1.0722009304576894</v>
      </c>
      <c r="DL77" s="107" t="str">
        <f t="shared" si="152"/>
        <v>(2,1,1,2,1,1)</v>
      </c>
      <c r="DM77" s="108">
        <v>1.05</v>
      </c>
      <c r="DN77" s="108">
        <v>1</v>
      </c>
      <c r="DO77" s="108">
        <v>1</v>
      </c>
      <c r="DP77" s="108">
        <v>1.01</v>
      </c>
      <c r="DQ77" s="108">
        <v>1</v>
      </c>
      <c r="DR77" s="108">
        <v>1</v>
      </c>
      <c r="DS77" s="399"/>
      <c r="DT77" s="692"/>
      <c r="DU77" s="83" t="s">
        <v>106</v>
      </c>
      <c r="DV77" s="83" t="s">
        <v>106</v>
      </c>
      <c r="DW77" s="83" t="s">
        <v>106</v>
      </c>
      <c r="DX77" s="83" t="s">
        <v>106</v>
      </c>
      <c r="DY77" s="83" t="s">
        <v>106</v>
      </c>
      <c r="DZ77" s="83" t="s">
        <v>106</v>
      </c>
      <c r="EA77" s="104">
        <v>2</v>
      </c>
      <c r="EB77" s="104">
        <v>1.05</v>
      </c>
      <c r="EC77" s="107">
        <f t="shared" si="153"/>
        <v>1</v>
      </c>
      <c r="ED77" s="107">
        <f t="shared" si="154"/>
        <v>1.05</v>
      </c>
      <c r="EE77" s="107" t="str">
        <f t="shared" si="155"/>
        <v>(na,na,na,na,na,na)</v>
      </c>
      <c r="EF77" s="108">
        <v>1</v>
      </c>
      <c r="EG77" s="108">
        <v>1</v>
      </c>
      <c r="EH77" s="108">
        <v>1</v>
      </c>
      <c r="EI77" s="108">
        <v>1</v>
      </c>
      <c r="EJ77" s="108">
        <v>1</v>
      </c>
      <c r="EK77" s="108">
        <v>1</v>
      </c>
    </row>
    <row r="78" spans="1:141" s="171" customFormat="1" ht="24" collapsed="1">
      <c r="A78" s="333">
        <v>79235</v>
      </c>
      <c r="B78" s="216"/>
      <c r="C78" s="334"/>
      <c r="D78" s="515">
        <v>5</v>
      </c>
      <c r="E78" s="343" t="s">
        <v>98</v>
      </c>
      <c r="F78" s="437" t="s">
        <v>688</v>
      </c>
      <c r="G78" s="438" t="s">
        <v>340</v>
      </c>
      <c r="H78" s="455" t="s">
        <v>98</v>
      </c>
      <c r="I78" s="455" t="s">
        <v>98</v>
      </c>
      <c r="J78" s="336">
        <v>0</v>
      </c>
      <c r="K78" s="438" t="s">
        <v>109</v>
      </c>
      <c r="L78" s="440">
        <f t="shared" si="90"/>
        <v>0</v>
      </c>
      <c r="M78" s="336">
        <v>1</v>
      </c>
      <c r="N78" s="337">
        <f t="shared" si="106"/>
        <v>1.2434566510799234</v>
      </c>
      <c r="O78" s="455" t="str">
        <f t="shared" si="107"/>
        <v xml:space="preserve">(2,4,1,3,1,5); </v>
      </c>
      <c r="P78" s="440">
        <f t="shared" si="91"/>
        <v>0</v>
      </c>
      <c r="Q78" s="336">
        <v>1</v>
      </c>
      <c r="R78" s="337">
        <f t="shared" si="108"/>
        <v>1.2434566510799234</v>
      </c>
      <c r="S78" s="455" t="str">
        <f t="shared" si="109"/>
        <v xml:space="preserve">(2,4,1,3,1,5); </v>
      </c>
      <c r="T78" s="440">
        <f t="shared" si="92"/>
        <v>0</v>
      </c>
      <c r="U78" s="336">
        <v>1</v>
      </c>
      <c r="V78" s="337">
        <f t="shared" si="110"/>
        <v>1.2434566510799234</v>
      </c>
      <c r="W78" s="455" t="str">
        <f t="shared" si="111"/>
        <v xml:space="preserve">(2,4,1,3,1,5); </v>
      </c>
      <c r="X78" s="440">
        <f t="shared" si="93"/>
        <v>0</v>
      </c>
      <c r="Y78" s="336">
        <v>1</v>
      </c>
      <c r="Z78" s="337">
        <f t="shared" si="112"/>
        <v>1.2434566510799234</v>
      </c>
      <c r="AA78" s="437" t="str">
        <f t="shared" si="113"/>
        <v xml:space="preserve">(2,4,1,3,1,5); </v>
      </c>
      <c r="AB78" s="440">
        <v>0</v>
      </c>
      <c r="AC78" s="336">
        <v>1</v>
      </c>
      <c r="AD78" s="337">
        <f t="shared" si="114"/>
        <v>1.2434566510799234</v>
      </c>
      <c r="AE78" s="437" t="str">
        <f t="shared" si="115"/>
        <v xml:space="preserve">(2,4,1,3,1,5); </v>
      </c>
      <c r="AF78" s="440">
        <v>0</v>
      </c>
      <c r="AG78" s="336">
        <v>1</v>
      </c>
      <c r="AH78" s="337">
        <f t="shared" si="116"/>
        <v>1.2434566510799234</v>
      </c>
      <c r="AI78" s="455" t="str">
        <f t="shared" si="117"/>
        <v xml:space="preserve">(2,4,1,3,1,5); </v>
      </c>
      <c r="AJ78" s="440">
        <v>0</v>
      </c>
      <c r="AK78" s="336">
        <v>1</v>
      </c>
      <c r="AL78" s="337">
        <f t="shared" si="118"/>
        <v>1.2434566510799234</v>
      </c>
      <c r="AM78" s="455" t="str">
        <f t="shared" si="119"/>
        <v xml:space="preserve">(2,4,1,3,1,5); </v>
      </c>
      <c r="AN78" s="440">
        <v>0</v>
      </c>
      <c r="AO78" s="336">
        <v>1</v>
      </c>
      <c r="AP78" s="337">
        <f t="shared" si="120"/>
        <v>1.2434566510799234</v>
      </c>
      <c r="AQ78" s="455" t="str">
        <f t="shared" si="121"/>
        <v xml:space="preserve">(2,4,1,3,1,5); </v>
      </c>
      <c r="AR78" s="440">
        <v>0</v>
      </c>
      <c r="AS78" s="336">
        <v>1</v>
      </c>
      <c r="AT78" s="337">
        <f t="shared" si="122"/>
        <v>1.2434566510799234</v>
      </c>
      <c r="AU78" s="455" t="str">
        <f t="shared" si="123"/>
        <v xml:space="preserve">(2,4,1,3,1,5); </v>
      </c>
      <c r="AV78" s="440">
        <v>0</v>
      </c>
      <c r="AW78" s="336">
        <v>1</v>
      </c>
      <c r="AX78" s="337">
        <f t="shared" si="124"/>
        <v>1.2434566510799234</v>
      </c>
      <c r="AY78" s="437" t="str">
        <f t="shared" si="125"/>
        <v xml:space="preserve">(2,4,1,3,1,5); </v>
      </c>
      <c r="AZ78" s="440">
        <v>0</v>
      </c>
      <c r="BA78" s="336">
        <v>1</v>
      </c>
      <c r="BB78" s="337">
        <f t="shared" si="126"/>
        <v>1.2434566510799234</v>
      </c>
      <c r="BC78" s="455" t="str">
        <f t="shared" si="127"/>
        <v xml:space="preserve">(2,4,1,3,1,5); </v>
      </c>
      <c r="BD78" s="440">
        <v>0</v>
      </c>
      <c r="BE78" s="336">
        <v>1</v>
      </c>
      <c r="BF78" s="337">
        <f t="shared" si="128"/>
        <v>1.2434566510799234</v>
      </c>
      <c r="BG78" s="455" t="str">
        <f t="shared" si="129"/>
        <v xml:space="preserve">(2,4,1,3,1,5); </v>
      </c>
      <c r="BH78" s="440">
        <v>0</v>
      </c>
      <c r="BI78" s="336">
        <v>1</v>
      </c>
      <c r="BJ78" s="337">
        <f t="shared" si="130"/>
        <v>1.2434566510799234</v>
      </c>
      <c r="BK78" s="455" t="str">
        <f t="shared" si="131"/>
        <v xml:space="preserve">(2,4,1,3,1,5); </v>
      </c>
      <c r="BL78" s="440">
        <v>0</v>
      </c>
      <c r="BM78" s="336">
        <v>1</v>
      </c>
      <c r="BN78" s="337">
        <f t="shared" si="132"/>
        <v>1.2434566510799234</v>
      </c>
      <c r="BO78" s="455" t="str">
        <f t="shared" si="133"/>
        <v xml:space="preserve">(2,4,1,3,1,5); </v>
      </c>
      <c r="BP78" s="440">
        <v>0</v>
      </c>
      <c r="BQ78" s="336">
        <v>1</v>
      </c>
      <c r="BR78" s="337">
        <f t="shared" si="134"/>
        <v>1.2434566510799234</v>
      </c>
      <c r="BS78" s="437" t="str">
        <f t="shared" si="135"/>
        <v xml:space="preserve">(2,4,1,3,1,5); </v>
      </c>
      <c r="BT78" s="440">
        <v>0</v>
      </c>
      <c r="BU78" s="336">
        <v>1</v>
      </c>
      <c r="BV78" s="337">
        <f t="shared" si="136"/>
        <v>1.2434566510799234</v>
      </c>
      <c r="BW78" s="455" t="str">
        <f t="shared" si="137"/>
        <v xml:space="preserve">(2,4,1,3,1,5); </v>
      </c>
      <c r="BX78" s="440">
        <v>0</v>
      </c>
      <c r="BY78" s="336">
        <v>1</v>
      </c>
      <c r="BZ78" s="337">
        <f t="shared" si="138"/>
        <v>1.2434566510799234</v>
      </c>
      <c r="CA78" s="455" t="str">
        <f t="shared" si="139"/>
        <v xml:space="preserve">(2,4,1,3,1,5); </v>
      </c>
      <c r="CB78" s="440">
        <v>0</v>
      </c>
      <c r="CC78" s="336">
        <v>1</v>
      </c>
      <c r="CD78" s="337">
        <f t="shared" si="140"/>
        <v>1.2434566510799234</v>
      </c>
      <c r="CE78" s="455" t="str">
        <f t="shared" si="141"/>
        <v xml:space="preserve">(2,4,1,3,1,5); </v>
      </c>
      <c r="CF78" s="440">
        <v>0</v>
      </c>
      <c r="CG78" s="336">
        <v>1</v>
      </c>
      <c r="CH78" s="337">
        <f t="shared" si="142"/>
        <v>1.2434566510799234</v>
      </c>
      <c r="CI78" s="455" t="str">
        <f>$DL78&amp;"; "&amp;$DT78</f>
        <v>(2,4,1,3,1,5); Brailovsky (2026) GP 08</v>
      </c>
      <c r="CJ78" s="440">
        <v>0</v>
      </c>
      <c r="CK78" s="336">
        <v>1</v>
      </c>
      <c r="CL78" s="337">
        <f t="shared" si="144"/>
        <v>1.2434566510799234</v>
      </c>
      <c r="CM78" s="437" t="str">
        <f t="shared" si="145"/>
        <v xml:space="preserve">(2,4,1,3,1,5); </v>
      </c>
      <c r="CN78" s="440">
        <v>3.65</v>
      </c>
      <c r="CO78" s="336">
        <v>1</v>
      </c>
      <c r="CP78" s="337">
        <f t="shared" si="146"/>
        <v>1.2434566510799234</v>
      </c>
      <c r="CQ78" s="455" t="str">
        <f t="shared" si="147"/>
        <v>(2,4,1,3,1,5); Brailovsky (2026) GP 08</v>
      </c>
      <c r="CR78" s="440">
        <v>0</v>
      </c>
      <c r="CS78" s="336">
        <v>1</v>
      </c>
      <c r="CT78" s="337">
        <f t="shared" si="148"/>
        <v>1.2434566510799234</v>
      </c>
      <c r="CU78" s="437" t="str">
        <f t="shared" si="149"/>
        <v>(2,4,1,3,1,5); Brailovsky (2026) GP 08</v>
      </c>
      <c r="CW78" s="440"/>
      <c r="CX78" s="440"/>
      <c r="CY78" s="440"/>
      <c r="CZ78" s="440"/>
      <c r="DA78" s="691"/>
      <c r="DB78" s="83">
        <v>2</v>
      </c>
      <c r="DC78" s="83">
        <v>4</v>
      </c>
      <c r="DD78" s="83">
        <v>1</v>
      </c>
      <c r="DE78" s="83">
        <v>3</v>
      </c>
      <c r="DF78" s="83">
        <v>1</v>
      </c>
      <c r="DG78" s="83">
        <v>5</v>
      </c>
      <c r="DH78" s="104">
        <v>3</v>
      </c>
      <c r="DI78" s="104">
        <v>1.05</v>
      </c>
      <c r="DJ78" s="107">
        <f t="shared" si="150"/>
        <v>1.2365959919080913</v>
      </c>
      <c r="DK78" s="107">
        <f t="shared" si="151"/>
        <v>1.2434566510799234</v>
      </c>
      <c r="DL78" s="107" t="str">
        <f t="shared" si="152"/>
        <v>(2,4,1,3,1,5)</v>
      </c>
      <c r="DM78" s="108">
        <v>1.05</v>
      </c>
      <c r="DN78" s="108">
        <v>1.1000000000000001</v>
      </c>
      <c r="DO78" s="108">
        <v>1</v>
      </c>
      <c r="DP78" s="108">
        <v>1.02</v>
      </c>
      <c r="DQ78" s="108">
        <v>1</v>
      </c>
      <c r="DR78" s="108">
        <v>1.2</v>
      </c>
      <c r="DT78" s="691" t="s">
        <v>1171</v>
      </c>
      <c r="DU78" s="83">
        <v>2</v>
      </c>
      <c r="DV78" s="83">
        <v>4</v>
      </c>
      <c r="DW78" s="83">
        <v>1</v>
      </c>
      <c r="DX78" s="83">
        <v>3</v>
      </c>
      <c r="DY78" s="83">
        <v>1</v>
      </c>
      <c r="DZ78" s="83">
        <v>5</v>
      </c>
      <c r="EA78" s="104">
        <v>3</v>
      </c>
      <c r="EB78" s="104">
        <v>1.05</v>
      </c>
      <c r="EC78" s="107">
        <f t="shared" si="153"/>
        <v>1.2365959919080913</v>
      </c>
      <c r="ED78" s="107">
        <f t="shared" si="154"/>
        <v>1.2434566510799234</v>
      </c>
      <c r="EE78" s="107" t="str">
        <f t="shared" si="155"/>
        <v>(2,4,1,3,1,5)</v>
      </c>
      <c r="EF78" s="108">
        <v>1.05</v>
      </c>
      <c r="EG78" s="108">
        <v>1.1000000000000001</v>
      </c>
      <c r="EH78" s="108">
        <v>1</v>
      </c>
      <c r="EI78" s="108">
        <v>1.02</v>
      </c>
      <c r="EJ78" s="108">
        <v>1</v>
      </c>
      <c r="EK78" s="108">
        <v>1.2</v>
      </c>
    </row>
    <row r="79" spans="1:141" ht="48">
      <c r="A79" s="330" t="s">
        <v>774</v>
      </c>
      <c r="B79" s="216" t="s">
        <v>592</v>
      </c>
      <c r="C79" s="334"/>
      <c r="D79" s="515">
        <v>5</v>
      </c>
      <c r="E79" s="343" t="s">
        <v>98</v>
      </c>
      <c r="F79" s="437" t="s">
        <v>775</v>
      </c>
      <c r="G79" s="438" t="s">
        <v>340</v>
      </c>
      <c r="H79" s="455" t="s">
        <v>98</v>
      </c>
      <c r="I79" s="455" t="s">
        <v>98</v>
      </c>
      <c r="J79" s="336">
        <v>1</v>
      </c>
      <c r="K79" s="438" t="s">
        <v>144</v>
      </c>
      <c r="L79" s="440">
        <f t="shared" si="90"/>
        <v>5.3226009653469289E-10</v>
      </c>
      <c r="M79" s="336">
        <v>1</v>
      </c>
      <c r="N79" s="337">
        <f t="shared" si="106"/>
        <v>3.0033855645008969</v>
      </c>
      <c r="O79" s="455" t="str">
        <f t="shared" si="107"/>
        <v>(2,1,1,2,1,1); Industry data (French tender) converted to ancillary building modelled by Brailovsky (2026); contains metal working machine</v>
      </c>
      <c r="P79" s="440">
        <f t="shared" si="91"/>
        <v>5.8706882590280825E-10</v>
      </c>
      <c r="Q79" s="336">
        <v>1</v>
      </c>
      <c r="R79" s="337">
        <f t="shared" si="108"/>
        <v>3.0033855645008969</v>
      </c>
      <c r="S79" s="455" t="str">
        <f t="shared" si="109"/>
        <v>(2,1,1,2,1,1); Industry data (French tender) converted to ancillary building modelled by Brailovsky (2026); contains metal working machine</v>
      </c>
      <c r="T79" s="440">
        <f t="shared" si="92"/>
        <v>3.5476690899838421E-10</v>
      </c>
      <c r="U79" s="336">
        <v>1</v>
      </c>
      <c r="V79" s="337">
        <f t="shared" si="110"/>
        <v>3.0033855645008969</v>
      </c>
      <c r="W79" s="455" t="str">
        <f t="shared" si="111"/>
        <v>(2,1,1,2,1,1); Industry data (French tender) converted to ancillary building modelled by Brailovsky (2026); contains metal working machine</v>
      </c>
      <c r="X79" s="440">
        <f t="shared" si="93"/>
        <v>7.6847493470894823E-10</v>
      </c>
      <c r="Y79" s="336">
        <v>1</v>
      </c>
      <c r="Z79" s="337">
        <f t="shared" si="112"/>
        <v>3.0033855645008969</v>
      </c>
      <c r="AA79" s="437" t="str">
        <f t="shared" si="113"/>
        <v>(2,1,1,2,1,1); Industry data (French tender) converted to ancillary building modelled by Brailovsky (2026); contains metal working machine</v>
      </c>
      <c r="AB79" s="440">
        <v>0</v>
      </c>
      <c r="AC79" s="336">
        <v>1</v>
      </c>
      <c r="AD79" s="337">
        <f t="shared" si="114"/>
        <v>3.0033855645008969</v>
      </c>
      <c r="AE79" s="437" t="str">
        <f t="shared" si="115"/>
        <v>(2,1,1,2,1,1); Industry data (French tender) converted to ancillary building modelled by Brailovsky (2026); contains metal working machine</v>
      </c>
      <c r="AF79" s="440">
        <f t="shared" ref="AF79:AF97" si="156">L79</f>
        <v>5.3226009653469289E-10</v>
      </c>
      <c r="AG79" s="336">
        <v>1</v>
      </c>
      <c r="AH79" s="337">
        <f t="shared" si="116"/>
        <v>3.0033855645008969</v>
      </c>
      <c r="AI79" s="455" t="str">
        <f t="shared" si="117"/>
        <v>(2,1,1,2,1,1); Industry data (French tender) converted to ancillary building modelled by Brailovsky (2026); contains metal working machine</v>
      </c>
      <c r="AJ79" s="440">
        <f t="shared" ref="AJ79:AJ97" si="157">P79</f>
        <v>5.8706882590280825E-10</v>
      </c>
      <c r="AK79" s="336">
        <v>1</v>
      </c>
      <c r="AL79" s="337">
        <f t="shared" si="118"/>
        <v>3.0033855645008969</v>
      </c>
      <c r="AM79" s="455" t="str">
        <f t="shared" si="119"/>
        <v>(2,1,1,2,1,1); Industry data (French tender) converted to ancillary building modelled by Brailovsky (2026); contains metal working machine</v>
      </c>
      <c r="AN79" s="440">
        <f t="shared" ref="AN79:AN97" si="158">T79</f>
        <v>3.5476690899838421E-10</v>
      </c>
      <c r="AO79" s="336">
        <v>1</v>
      </c>
      <c r="AP79" s="337">
        <f t="shared" si="120"/>
        <v>3.0033855645008969</v>
      </c>
      <c r="AQ79" s="455" t="str">
        <f t="shared" si="121"/>
        <v>(2,1,1,2,1,1); Industry data (French tender) converted to ancillary building modelled by Brailovsky (2026); contains metal working machine</v>
      </c>
      <c r="AR79" s="440">
        <f t="shared" ref="AR79:AR97" si="159">X79</f>
        <v>7.6847493470894823E-10</v>
      </c>
      <c r="AS79" s="336">
        <v>1</v>
      </c>
      <c r="AT79" s="337">
        <f t="shared" si="122"/>
        <v>3.0033855645008969</v>
      </c>
      <c r="AU79" s="455" t="str">
        <f t="shared" si="123"/>
        <v>(2,1,1,2,1,1); Industry data (French tender) converted to ancillary building modelled by Brailovsky (2026); contains metal working machine</v>
      </c>
      <c r="AV79" s="440">
        <v>0</v>
      </c>
      <c r="AW79" s="336">
        <v>1</v>
      </c>
      <c r="AX79" s="337">
        <f t="shared" si="124"/>
        <v>3.0033855645008969</v>
      </c>
      <c r="AY79" s="437" t="str">
        <f t="shared" si="125"/>
        <v>(2,1,1,2,1,1); Industry data (French tender) converted to ancillary building modelled by Brailovsky (2026); contains metal working machine</v>
      </c>
      <c r="AZ79" s="440">
        <f t="shared" ref="AZ79:AZ97" si="160">AF79</f>
        <v>5.3226009653469289E-10</v>
      </c>
      <c r="BA79" s="95">
        <v>1</v>
      </c>
      <c r="BB79" s="96">
        <f t="shared" si="126"/>
        <v>3.0033855645008969</v>
      </c>
      <c r="BC79" s="457" t="str">
        <f t="shared" si="127"/>
        <v>(2,1,1,2,1,1); Industry data (French tender) converted to ancillary building modelled by Brailovsky (2026); contains metal working machine</v>
      </c>
      <c r="BD79" s="435">
        <f t="shared" ref="BD79:BD97" si="161">AJ79</f>
        <v>5.8706882590280825E-10</v>
      </c>
      <c r="BE79" s="95">
        <v>1</v>
      </c>
      <c r="BF79" s="96">
        <f t="shared" si="128"/>
        <v>3.0033855645008969</v>
      </c>
      <c r="BG79" s="457" t="str">
        <f t="shared" si="129"/>
        <v>(2,1,1,2,1,1); Industry data (French tender) converted to ancillary building modelled by Brailovsky (2026); contains metal working machine</v>
      </c>
      <c r="BH79" s="435">
        <f t="shared" ref="BH79:BH97" si="162">AN79</f>
        <v>3.5476690899838421E-10</v>
      </c>
      <c r="BI79" s="95">
        <v>1</v>
      </c>
      <c r="BJ79" s="96">
        <f t="shared" si="130"/>
        <v>3.0033855645008969</v>
      </c>
      <c r="BK79" s="457" t="str">
        <f t="shared" si="131"/>
        <v>(2,1,1,2,1,1); Industry data (French tender) converted to ancillary building modelled by Brailovsky (2026); contains metal working machine</v>
      </c>
      <c r="BL79" s="435">
        <f t="shared" ref="BL79:BL97" si="163">AR79</f>
        <v>7.6847493470894823E-10</v>
      </c>
      <c r="BM79" s="95">
        <v>1</v>
      </c>
      <c r="BN79" s="96">
        <f t="shared" si="132"/>
        <v>3.0033855645008969</v>
      </c>
      <c r="BO79" s="457" t="str">
        <f t="shared" si="133"/>
        <v>(2,1,1,2,1,1); Industry data (French tender) converted to ancillary building modelled by Brailovsky (2026); contains metal working machine</v>
      </c>
      <c r="BP79" s="435">
        <v>0</v>
      </c>
      <c r="BQ79" s="95">
        <v>1</v>
      </c>
      <c r="BR79" s="96">
        <f t="shared" si="134"/>
        <v>3.0033855645008969</v>
      </c>
      <c r="BS79" s="432" t="str">
        <f t="shared" si="135"/>
        <v>(2,1,1,2,1,1); Industry data (French tender) converted to ancillary building modelled by Brailovsky (2026); contains metal working machine</v>
      </c>
      <c r="BT79" s="435">
        <f t="shared" ref="BT79:BT97" si="164">AZ79</f>
        <v>5.3226009653469289E-10</v>
      </c>
      <c r="BU79" s="95">
        <v>1</v>
      </c>
      <c r="BV79" s="96">
        <f t="shared" si="136"/>
        <v>3.0033855645008969</v>
      </c>
      <c r="BW79" s="457" t="str">
        <f t="shared" si="137"/>
        <v>(2,1,1,2,1,1); Industry data (French tender) converted to ancillary building modelled by Brailovsky (2026); contains metal working machine</v>
      </c>
      <c r="BX79" s="435">
        <f t="shared" ref="BX79:BX97" si="165">BD79</f>
        <v>5.8706882590280825E-10</v>
      </c>
      <c r="BY79" s="95">
        <v>1</v>
      </c>
      <c r="BZ79" s="96">
        <f t="shared" si="138"/>
        <v>3.0033855645008969</v>
      </c>
      <c r="CA79" s="457" t="str">
        <f t="shared" si="139"/>
        <v>(2,1,1,2,1,1); Industry data (French tender) converted to ancillary building modelled by Brailovsky (2026); contains metal working machine</v>
      </c>
      <c r="CB79" s="435">
        <f t="shared" ref="CB79:CB97" si="166">BH79</f>
        <v>3.5476690899838421E-10</v>
      </c>
      <c r="CC79" s="95">
        <v>1</v>
      </c>
      <c r="CD79" s="96">
        <f t="shared" si="140"/>
        <v>3.0033855645008969</v>
      </c>
      <c r="CE79" s="457" t="str">
        <f t="shared" si="141"/>
        <v>(2,1,1,2,1,1); Industry data (French tender) converted to ancillary building modelled by Brailovsky (2026); contains metal working machine</v>
      </c>
      <c r="CF79" s="435">
        <f t="shared" ref="CF79:CF97" si="167">BL79</f>
        <v>7.6847493470894823E-10</v>
      </c>
      <c r="CG79" s="95">
        <v>1</v>
      </c>
      <c r="CH79" s="96">
        <f t="shared" si="142"/>
        <v>3.0033855645008969</v>
      </c>
      <c r="CI79" s="457" t="str">
        <f t="shared" ref="CI79:CI106" si="168">$DL79&amp;"; "&amp;$DA79</f>
        <v>(2,1,1,2,1,1); Industry data (French tender) converted to ancillary building modelled by Brailovsky (2026); contains metal working machine</v>
      </c>
      <c r="CJ79" s="435">
        <v>0</v>
      </c>
      <c r="CK79" s="95">
        <v>1</v>
      </c>
      <c r="CL79" s="96">
        <f t="shared" si="144"/>
        <v>3.0033855645008969</v>
      </c>
      <c r="CM79" s="437" t="str">
        <f t="shared" si="145"/>
        <v>(2,1,1,2,1,1); Industry data (French tender) converted to ancillary building modelled by Brailovsky (2026); contains metal working machine</v>
      </c>
      <c r="CN79" s="435">
        <v>3.26787889549301E-10</v>
      </c>
      <c r="CO79" s="95">
        <v>1</v>
      </c>
      <c r="CP79" s="96">
        <f t="shared" si="146"/>
        <v>3.0616345979734279</v>
      </c>
      <c r="CQ79" s="457" t="str">
        <f t="shared" si="147"/>
        <v>(2,4,1,3,1,5); Brailovsky (2026) GP 08</v>
      </c>
      <c r="CR79" s="435">
        <v>3.26787889549301E-10</v>
      </c>
      <c r="CS79" s="95">
        <v>1</v>
      </c>
      <c r="CT79" s="96">
        <f t="shared" si="148"/>
        <v>3.0616345979734279</v>
      </c>
      <c r="CU79" s="432" t="str">
        <f t="shared" si="149"/>
        <v>(2,4,1,3,1,5); Brailovsky (2026) GP 08</v>
      </c>
      <c r="CV79" s="399"/>
      <c r="CW79" s="435">
        <f>CW124</f>
        <v>5.3226009653469289E-10</v>
      </c>
      <c r="CX79" s="435">
        <f>CX124</f>
        <v>5.8706882590280825E-10</v>
      </c>
      <c r="CY79" s="435">
        <f>CY124</f>
        <v>3.5476690899838421E-10</v>
      </c>
      <c r="CZ79" s="435">
        <f>CZ124</f>
        <v>7.6847493470894823E-10</v>
      </c>
      <c r="DA79" s="691" t="s">
        <v>866</v>
      </c>
      <c r="DB79" s="83">
        <v>2</v>
      </c>
      <c r="DC79" s="83">
        <v>1</v>
      </c>
      <c r="DD79" s="83">
        <v>1</v>
      </c>
      <c r="DE79" s="83">
        <v>2</v>
      </c>
      <c r="DF79" s="83">
        <v>1</v>
      </c>
      <c r="DG79" s="83">
        <v>1</v>
      </c>
      <c r="DH79" s="104">
        <v>9</v>
      </c>
      <c r="DI79" s="104">
        <v>3</v>
      </c>
      <c r="DJ79" s="107">
        <f t="shared" si="150"/>
        <v>1.0510550504206344</v>
      </c>
      <c r="DK79" s="107">
        <f t="shared" si="151"/>
        <v>3.0033855645008969</v>
      </c>
      <c r="DL79" s="107" t="str">
        <f t="shared" si="152"/>
        <v>(2,1,1,2,1,1)</v>
      </c>
      <c r="DM79" s="108">
        <v>1.05</v>
      </c>
      <c r="DN79" s="108">
        <v>1</v>
      </c>
      <c r="DO79" s="108">
        <v>1</v>
      </c>
      <c r="DP79" s="108">
        <v>1.01</v>
      </c>
      <c r="DQ79" s="108">
        <v>1</v>
      </c>
      <c r="DR79" s="108">
        <v>1</v>
      </c>
      <c r="DS79" s="399"/>
      <c r="DT79" s="692" t="s">
        <v>1171</v>
      </c>
      <c r="DU79" s="83">
        <v>2</v>
      </c>
      <c r="DV79" s="83">
        <v>4</v>
      </c>
      <c r="DW79" s="83">
        <v>1</v>
      </c>
      <c r="DX79" s="83">
        <v>3</v>
      </c>
      <c r="DY79" s="83">
        <v>1</v>
      </c>
      <c r="DZ79" s="83">
        <v>5</v>
      </c>
      <c r="EA79" s="104">
        <v>9</v>
      </c>
      <c r="EB79" s="104">
        <v>3</v>
      </c>
      <c r="EC79" s="107">
        <f t="shared" si="153"/>
        <v>1.2365959919080913</v>
      </c>
      <c r="ED79" s="107">
        <f t="shared" si="154"/>
        <v>3.0616345979734279</v>
      </c>
      <c r="EE79" s="107" t="str">
        <f t="shared" si="155"/>
        <v>(2,4,1,3,1,5)</v>
      </c>
      <c r="EF79" s="108">
        <v>1.05</v>
      </c>
      <c r="EG79" s="108">
        <v>1.1000000000000001</v>
      </c>
      <c r="EH79" s="108">
        <v>1</v>
      </c>
      <c r="EI79" s="108">
        <v>1.02</v>
      </c>
      <c r="EJ79" s="108">
        <v>1</v>
      </c>
      <c r="EK79" s="108">
        <v>1.2</v>
      </c>
    </row>
    <row r="80" spans="1:141" ht="48">
      <c r="A80" s="330" t="s">
        <v>1102</v>
      </c>
      <c r="B80" s="216"/>
      <c r="C80" s="334"/>
      <c r="D80" s="515">
        <v>5</v>
      </c>
      <c r="E80" s="343" t="s">
        <v>98</v>
      </c>
      <c r="F80" s="437" t="s">
        <v>1104</v>
      </c>
      <c r="G80" s="438" t="s">
        <v>340</v>
      </c>
      <c r="H80" s="455" t="s">
        <v>98</v>
      </c>
      <c r="I80" s="455" t="s">
        <v>98</v>
      </c>
      <c r="J80" s="336">
        <v>1</v>
      </c>
      <c r="K80" s="438" t="s">
        <v>144</v>
      </c>
      <c r="L80" s="440">
        <f t="shared" si="90"/>
        <v>2.1322957995732349E-9</v>
      </c>
      <c r="M80" s="336">
        <v>1</v>
      </c>
      <c r="N80" s="337">
        <f t="shared" si="106"/>
        <v>3.0033855645008969</v>
      </c>
      <c r="O80" s="455" t="str">
        <f t="shared" si="107"/>
        <v>(2,1,1,2,1,1); Industry data (French tender) converted to panel factory modelled by Brailovsky (2026); contains metal working machine</v>
      </c>
      <c r="P80" s="440">
        <f t="shared" si="91"/>
        <v>2.3518659386320449E-9</v>
      </c>
      <c r="Q80" s="336">
        <v>1</v>
      </c>
      <c r="R80" s="337">
        <f t="shared" si="108"/>
        <v>3.0033855645008969</v>
      </c>
      <c r="S80" s="455" t="str">
        <f t="shared" si="109"/>
        <v>(2,1,1,2,1,1); Industry data (French tender) converted to panel factory modelled by Brailovsky (2026); contains metal working machine</v>
      </c>
      <c r="T80" s="440">
        <f t="shared" si="92"/>
        <v>1.4212374641831295E-9</v>
      </c>
      <c r="U80" s="336">
        <v>1</v>
      </c>
      <c r="V80" s="337">
        <f t="shared" si="110"/>
        <v>3.0033855645008969</v>
      </c>
      <c r="W80" s="455" t="str">
        <f t="shared" si="111"/>
        <v>(2,1,1,2,1,1); Industry data (French tender) converted to panel factory modelled by Brailovsky (2026); contains metal working machine</v>
      </c>
      <c r="X80" s="440">
        <f t="shared" si="93"/>
        <v>3.0785998913416578E-9</v>
      </c>
      <c r="Y80" s="336">
        <v>1</v>
      </c>
      <c r="Z80" s="337">
        <f t="shared" si="112"/>
        <v>3.0033855645008969</v>
      </c>
      <c r="AA80" s="437" t="str">
        <f t="shared" si="113"/>
        <v>(2,1,1,2,1,1); Industry data (French tender) converted to panel factory modelled by Brailovsky (2026); contains metal working machine</v>
      </c>
      <c r="AB80" s="440">
        <v>0</v>
      </c>
      <c r="AC80" s="336">
        <v>1</v>
      </c>
      <c r="AD80" s="337">
        <f t="shared" si="114"/>
        <v>3.0033855645008969</v>
      </c>
      <c r="AE80" s="437" t="str">
        <f t="shared" si="115"/>
        <v>(2,1,1,2,1,1); Industry data (French tender) converted to panel factory modelled by Brailovsky (2026); contains metal working machine</v>
      </c>
      <c r="AF80" s="440">
        <f t="shared" si="156"/>
        <v>2.1322957995732349E-9</v>
      </c>
      <c r="AG80" s="336">
        <v>1</v>
      </c>
      <c r="AH80" s="337">
        <f t="shared" si="116"/>
        <v>3.0033855645008969</v>
      </c>
      <c r="AI80" s="455" t="str">
        <f t="shared" si="117"/>
        <v>(2,1,1,2,1,1); Industry data (French tender) converted to panel factory modelled by Brailovsky (2026); contains metal working machine</v>
      </c>
      <c r="AJ80" s="440">
        <f t="shared" si="157"/>
        <v>2.3518659386320449E-9</v>
      </c>
      <c r="AK80" s="336">
        <v>1</v>
      </c>
      <c r="AL80" s="337">
        <f t="shared" si="118"/>
        <v>3.0033855645008969</v>
      </c>
      <c r="AM80" s="455" t="str">
        <f t="shared" si="119"/>
        <v>(2,1,1,2,1,1); Industry data (French tender) converted to panel factory modelled by Brailovsky (2026); contains metal working machine</v>
      </c>
      <c r="AN80" s="440">
        <f t="shared" si="158"/>
        <v>1.4212374641831295E-9</v>
      </c>
      <c r="AO80" s="336">
        <v>1</v>
      </c>
      <c r="AP80" s="337">
        <f t="shared" si="120"/>
        <v>3.0033855645008969</v>
      </c>
      <c r="AQ80" s="455" t="str">
        <f t="shared" si="121"/>
        <v>(2,1,1,2,1,1); Industry data (French tender) converted to panel factory modelled by Brailovsky (2026); contains metal working machine</v>
      </c>
      <c r="AR80" s="440">
        <f t="shared" si="159"/>
        <v>3.0785998913416578E-9</v>
      </c>
      <c r="AS80" s="336">
        <v>1</v>
      </c>
      <c r="AT80" s="337">
        <f t="shared" si="122"/>
        <v>3.0033855645008969</v>
      </c>
      <c r="AU80" s="455" t="str">
        <f t="shared" si="123"/>
        <v>(2,1,1,2,1,1); Industry data (French tender) converted to panel factory modelled by Brailovsky (2026); contains metal working machine</v>
      </c>
      <c r="AV80" s="440">
        <v>0</v>
      </c>
      <c r="AW80" s="336">
        <v>1</v>
      </c>
      <c r="AX80" s="337">
        <f t="shared" si="124"/>
        <v>3.0033855645008969</v>
      </c>
      <c r="AY80" s="437" t="str">
        <f t="shared" si="125"/>
        <v>(2,1,1,2,1,1); Industry data (French tender) converted to panel factory modelled by Brailovsky (2026); contains metal working machine</v>
      </c>
      <c r="AZ80" s="440">
        <f t="shared" si="160"/>
        <v>2.1322957995732349E-9</v>
      </c>
      <c r="BA80" s="95">
        <v>1</v>
      </c>
      <c r="BB80" s="96">
        <f t="shared" si="126"/>
        <v>3.0033855645008969</v>
      </c>
      <c r="BC80" s="457" t="str">
        <f t="shared" si="127"/>
        <v>(2,1,1,2,1,1); Industry data (French tender) converted to panel factory modelled by Brailovsky (2026); contains metal working machine</v>
      </c>
      <c r="BD80" s="435">
        <f t="shared" si="161"/>
        <v>2.3518659386320449E-9</v>
      </c>
      <c r="BE80" s="95">
        <v>1</v>
      </c>
      <c r="BF80" s="96">
        <f t="shared" si="128"/>
        <v>3.0033855645008969</v>
      </c>
      <c r="BG80" s="457" t="str">
        <f t="shared" si="129"/>
        <v>(2,1,1,2,1,1); Industry data (French tender) converted to panel factory modelled by Brailovsky (2026); contains metal working machine</v>
      </c>
      <c r="BH80" s="435">
        <f t="shared" si="162"/>
        <v>1.4212374641831295E-9</v>
      </c>
      <c r="BI80" s="95">
        <v>1</v>
      </c>
      <c r="BJ80" s="96">
        <f t="shared" si="130"/>
        <v>3.0033855645008969</v>
      </c>
      <c r="BK80" s="457" t="str">
        <f t="shared" si="131"/>
        <v>(2,1,1,2,1,1); Industry data (French tender) converted to panel factory modelled by Brailovsky (2026); contains metal working machine</v>
      </c>
      <c r="BL80" s="435">
        <f t="shared" si="163"/>
        <v>3.0785998913416578E-9</v>
      </c>
      <c r="BM80" s="95">
        <v>1</v>
      </c>
      <c r="BN80" s="96">
        <f t="shared" si="132"/>
        <v>3.0033855645008969</v>
      </c>
      <c r="BO80" s="457" t="str">
        <f t="shared" si="133"/>
        <v>(2,1,1,2,1,1); Industry data (French tender) converted to panel factory modelled by Brailovsky (2026); contains metal working machine</v>
      </c>
      <c r="BP80" s="435">
        <v>0</v>
      </c>
      <c r="BQ80" s="95">
        <v>1</v>
      </c>
      <c r="BR80" s="96">
        <f t="shared" si="134"/>
        <v>3.0033855645008969</v>
      </c>
      <c r="BS80" s="432" t="str">
        <f t="shared" si="135"/>
        <v>(2,1,1,2,1,1); Industry data (French tender) converted to panel factory modelled by Brailovsky (2026); contains metal working machine</v>
      </c>
      <c r="BT80" s="435">
        <f t="shared" si="164"/>
        <v>2.1322957995732349E-9</v>
      </c>
      <c r="BU80" s="95">
        <v>1</v>
      </c>
      <c r="BV80" s="96">
        <f t="shared" si="136"/>
        <v>3.0033855645008969</v>
      </c>
      <c r="BW80" s="457" t="str">
        <f t="shared" si="137"/>
        <v>(2,1,1,2,1,1); Industry data (French tender) converted to panel factory modelled by Brailovsky (2026); contains metal working machine</v>
      </c>
      <c r="BX80" s="435">
        <f t="shared" si="165"/>
        <v>2.3518659386320449E-9</v>
      </c>
      <c r="BY80" s="95">
        <v>1</v>
      </c>
      <c r="BZ80" s="96">
        <f t="shared" si="138"/>
        <v>3.0033855645008969</v>
      </c>
      <c r="CA80" s="457" t="str">
        <f t="shared" si="139"/>
        <v>(2,1,1,2,1,1); Industry data (French tender) converted to panel factory modelled by Brailovsky (2026); contains metal working machine</v>
      </c>
      <c r="CB80" s="435">
        <f t="shared" si="166"/>
        <v>1.4212374641831295E-9</v>
      </c>
      <c r="CC80" s="95">
        <v>1</v>
      </c>
      <c r="CD80" s="96">
        <f t="shared" si="140"/>
        <v>3.0033855645008969</v>
      </c>
      <c r="CE80" s="457" t="str">
        <f t="shared" si="141"/>
        <v>(2,1,1,2,1,1); Industry data (French tender) converted to panel factory modelled by Brailovsky (2026); contains metal working machine</v>
      </c>
      <c r="CF80" s="435">
        <f t="shared" si="167"/>
        <v>3.0785998913416578E-9</v>
      </c>
      <c r="CG80" s="95">
        <v>1</v>
      </c>
      <c r="CH80" s="96">
        <f t="shared" si="142"/>
        <v>3.0033855645008969</v>
      </c>
      <c r="CI80" s="457" t="str">
        <f t="shared" si="168"/>
        <v>(2,1,1,2,1,1); Industry data (French tender) converted to panel factory modelled by Brailovsky (2026); contains metal working machine</v>
      </c>
      <c r="CJ80" s="435">
        <v>0</v>
      </c>
      <c r="CK80" s="95">
        <v>1</v>
      </c>
      <c r="CL80" s="96">
        <f t="shared" si="144"/>
        <v>3.0033855645008969</v>
      </c>
      <c r="CM80" s="437" t="str">
        <f t="shared" si="145"/>
        <v>(2,1,1,2,1,1); Industry data (French tender) converted to panel factory modelled by Brailovsky (2026); contains metal working machine</v>
      </c>
      <c r="CN80" s="435">
        <v>1.3071515581972001E-9</v>
      </c>
      <c r="CO80" s="95">
        <v>1</v>
      </c>
      <c r="CP80" s="96">
        <f t="shared" si="146"/>
        <v>3.0616345979734279</v>
      </c>
      <c r="CQ80" s="457" t="str">
        <f t="shared" si="147"/>
        <v>(2,4,1,3,1,5); Brailovsky (2026) GP 08</v>
      </c>
      <c r="CR80" s="435">
        <v>1.3071515581972001E-9</v>
      </c>
      <c r="CS80" s="95">
        <v>1</v>
      </c>
      <c r="CT80" s="96">
        <f t="shared" si="148"/>
        <v>3.0616345979734279</v>
      </c>
      <c r="CU80" s="432" t="str">
        <f t="shared" si="149"/>
        <v>(2,4,1,3,1,5); Brailovsky (2026) GP 08</v>
      </c>
      <c r="CV80" s="399"/>
      <c r="CW80" s="435">
        <f>CW130</f>
        <v>2.1322957995732349E-9</v>
      </c>
      <c r="CX80" s="435">
        <f>CX130</f>
        <v>2.3518659386320449E-9</v>
      </c>
      <c r="CY80" s="435">
        <f>CY130</f>
        <v>1.4212374641831295E-9</v>
      </c>
      <c r="CZ80" s="435">
        <f>CZ130</f>
        <v>3.0785998913416578E-9</v>
      </c>
      <c r="DA80" s="691" t="s">
        <v>1214</v>
      </c>
      <c r="DB80" s="83">
        <v>2</v>
      </c>
      <c r="DC80" s="83">
        <v>1</v>
      </c>
      <c r="DD80" s="83">
        <v>1</v>
      </c>
      <c r="DE80" s="83">
        <v>2</v>
      </c>
      <c r="DF80" s="83">
        <v>1</v>
      </c>
      <c r="DG80" s="83">
        <v>1</v>
      </c>
      <c r="DH80" s="104">
        <v>9</v>
      </c>
      <c r="DI80" s="104">
        <v>3</v>
      </c>
      <c r="DJ80" s="107">
        <f t="shared" si="150"/>
        <v>1.0510550504206344</v>
      </c>
      <c r="DK80" s="107">
        <f t="shared" si="151"/>
        <v>3.0033855645008969</v>
      </c>
      <c r="DL80" s="107" t="str">
        <f t="shared" si="152"/>
        <v>(2,1,1,2,1,1)</v>
      </c>
      <c r="DM80" s="108">
        <v>1.05</v>
      </c>
      <c r="DN80" s="108">
        <v>1</v>
      </c>
      <c r="DO80" s="108">
        <v>1</v>
      </c>
      <c r="DP80" s="108">
        <v>1.01</v>
      </c>
      <c r="DQ80" s="108">
        <v>1</v>
      </c>
      <c r="DR80" s="108">
        <v>1</v>
      </c>
      <c r="DS80" s="399"/>
      <c r="DT80" s="692" t="s">
        <v>1171</v>
      </c>
      <c r="DU80" s="83">
        <v>2</v>
      </c>
      <c r="DV80" s="83">
        <v>4</v>
      </c>
      <c r="DW80" s="83">
        <v>1</v>
      </c>
      <c r="DX80" s="83">
        <v>3</v>
      </c>
      <c r="DY80" s="83">
        <v>1</v>
      </c>
      <c r="DZ80" s="83">
        <v>5</v>
      </c>
      <c r="EA80" s="104">
        <v>9</v>
      </c>
      <c r="EB80" s="104">
        <v>3</v>
      </c>
      <c r="EC80" s="107">
        <f t="shared" si="153"/>
        <v>1.2365959919080913</v>
      </c>
      <c r="ED80" s="107">
        <f t="shared" si="154"/>
        <v>3.0616345979734279</v>
      </c>
      <c r="EE80" s="107" t="str">
        <f t="shared" si="155"/>
        <v>(2,4,1,3,1,5)</v>
      </c>
      <c r="EF80" s="108">
        <v>1.05</v>
      </c>
      <c r="EG80" s="108">
        <v>1.1000000000000001</v>
      </c>
      <c r="EH80" s="108">
        <v>1</v>
      </c>
      <c r="EI80" s="108">
        <v>1.02</v>
      </c>
      <c r="EJ80" s="108">
        <v>1</v>
      </c>
      <c r="EK80" s="108">
        <v>1.2</v>
      </c>
    </row>
    <row r="81" spans="1:141" ht="36">
      <c r="A81" s="330">
        <v>269641</v>
      </c>
      <c r="B81" s="216" t="s">
        <v>322</v>
      </c>
      <c r="C81" s="334"/>
      <c r="D81" s="515">
        <v>5</v>
      </c>
      <c r="E81" s="343" t="s">
        <v>98</v>
      </c>
      <c r="F81" s="437" t="s">
        <v>240</v>
      </c>
      <c r="G81" s="438" t="s">
        <v>93</v>
      </c>
      <c r="H81" s="455" t="s">
        <v>98</v>
      </c>
      <c r="I81" s="455" t="s">
        <v>98</v>
      </c>
      <c r="J81" s="336">
        <v>0</v>
      </c>
      <c r="K81" s="438" t="s">
        <v>115</v>
      </c>
      <c r="L81" s="440">
        <f t="shared" si="90"/>
        <v>1.16417520805621</v>
      </c>
      <c r="M81" s="336">
        <v>1</v>
      </c>
      <c r="N81" s="337">
        <f t="shared" si="106"/>
        <v>2.0949941301068096</v>
      </c>
      <c r="O81" s="455" t="str">
        <f t="shared" si="107"/>
        <v>(4,5,na,na,na,na); Calculation, Transport distances: 100km (materials), 500km (cells), 15km (disposal)</v>
      </c>
      <c r="P81" s="440">
        <f t="shared" si="91"/>
        <v>1.14778369420375</v>
      </c>
      <c r="Q81" s="336">
        <v>1</v>
      </c>
      <c r="R81" s="337">
        <f t="shared" si="108"/>
        <v>2.0949941301068096</v>
      </c>
      <c r="S81" s="455" t="str">
        <f t="shared" si="109"/>
        <v>(4,5,na,na,na,na); Calculation, Transport distances: 100km (materials), 500km (cells), 15km (disposal)</v>
      </c>
      <c r="T81" s="440">
        <f t="shared" si="92"/>
        <v>1.2529346995107</v>
      </c>
      <c r="U81" s="336">
        <v>1</v>
      </c>
      <c r="V81" s="337">
        <f t="shared" si="110"/>
        <v>2.0949941301068096</v>
      </c>
      <c r="W81" s="455" t="str">
        <f t="shared" si="111"/>
        <v>(4,5,na,na,na,na); Calculation, Transport distances: 100km (materials), 500km (cells), 15km (disposal)</v>
      </c>
      <c r="X81" s="440">
        <f t="shared" si="93"/>
        <v>1.2875056624343999</v>
      </c>
      <c r="Y81" s="336">
        <v>1</v>
      </c>
      <c r="Z81" s="337">
        <f t="shared" si="112"/>
        <v>2.0949941301068096</v>
      </c>
      <c r="AA81" s="437" t="str">
        <f t="shared" si="113"/>
        <v>(4,5,na,na,na,na); Calculation, Transport distances: 100km (materials), 500km (cells), 15km (disposal)</v>
      </c>
      <c r="AB81" s="440">
        <v>1.33159663509736</v>
      </c>
      <c r="AC81" s="336">
        <v>1</v>
      </c>
      <c r="AD81" s="337">
        <f t="shared" si="114"/>
        <v>2.0949941301068096</v>
      </c>
      <c r="AE81" s="437" t="str">
        <f t="shared" si="115"/>
        <v>(4,5,na,na,na,na); Calculation, Transport distances: 100km (materials), 500km (cells), 15km (disposal)</v>
      </c>
      <c r="AF81" s="440">
        <f t="shared" si="156"/>
        <v>1.16417520805621</v>
      </c>
      <c r="AG81" s="336">
        <v>1</v>
      </c>
      <c r="AH81" s="337">
        <f t="shared" si="116"/>
        <v>2.0949941301068096</v>
      </c>
      <c r="AI81" s="455" t="str">
        <f t="shared" si="117"/>
        <v>(4,5,na,na,na,na); Calculation, Transport distances: 100km (materials), 500km (cells), 15km (disposal)</v>
      </c>
      <c r="AJ81" s="440">
        <f t="shared" si="157"/>
        <v>1.14778369420375</v>
      </c>
      <c r="AK81" s="336">
        <v>1</v>
      </c>
      <c r="AL81" s="337">
        <f t="shared" si="118"/>
        <v>2.0949941301068096</v>
      </c>
      <c r="AM81" s="455" t="str">
        <f t="shared" si="119"/>
        <v>(4,5,na,na,na,na); Calculation, Transport distances: 100km (materials), 500km (cells), 15km (disposal)</v>
      </c>
      <c r="AN81" s="440">
        <f t="shared" si="158"/>
        <v>1.2529346995107</v>
      </c>
      <c r="AO81" s="336">
        <v>1</v>
      </c>
      <c r="AP81" s="337">
        <f t="shared" si="120"/>
        <v>2.0949941301068096</v>
      </c>
      <c r="AQ81" s="455" t="str">
        <f t="shared" si="121"/>
        <v>(4,5,na,na,na,na); Calculation, Transport distances: 100km (materials), 500km (cells), 15km (disposal)</v>
      </c>
      <c r="AR81" s="440">
        <f t="shared" si="159"/>
        <v>1.2875056624343999</v>
      </c>
      <c r="AS81" s="336">
        <v>1</v>
      </c>
      <c r="AT81" s="337">
        <f t="shared" si="122"/>
        <v>2.0949941301068096</v>
      </c>
      <c r="AU81" s="455" t="str">
        <f t="shared" si="123"/>
        <v>(4,5,na,na,na,na); Calculation, Transport distances: 100km (materials), 500km (cells), 15km (disposal)</v>
      </c>
      <c r="AV81" s="440">
        <v>1.32778085516209</v>
      </c>
      <c r="AW81" s="336">
        <v>1</v>
      </c>
      <c r="AX81" s="337">
        <f t="shared" si="124"/>
        <v>2.0949941301068096</v>
      </c>
      <c r="AY81" s="437" t="str">
        <f t="shared" si="125"/>
        <v>(4,5,na,na,na,na); Calculation, Transport distances: 100km (materials), 500km (cells), 15km (disposal)</v>
      </c>
      <c r="AZ81" s="440">
        <f t="shared" si="160"/>
        <v>1.16417520805621</v>
      </c>
      <c r="BA81" s="95">
        <v>1</v>
      </c>
      <c r="BB81" s="96">
        <f t="shared" si="126"/>
        <v>2.0949941301068096</v>
      </c>
      <c r="BC81" s="457" t="str">
        <f t="shared" si="127"/>
        <v>(4,5,na,na,na,na); Calculation, Transport distances: 100km (materials), 500km (cells), 15km (disposal)</v>
      </c>
      <c r="BD81" s="435">
        <f t="shared" si="161"/>
        <v>1.14778369420375</v>
      </c>
      <c r="BE81" s="95">
        <v>1</v>
      </c>
      <c r="BF81" s="96">
        <f t="shared" si="128"/>
        <v>2.0949941301068096</v>
      </c>
      <c r="BG81" s="457" t="str">
        <f t="shared" si="129"/>
        <v>(4,5,na,na,na,na); Calculation, Transport distances: 100km (materials), 500km (cells), 15km (disposal)</v>
      </c>
      <c r="BH81" s="435">
        <f t="shared" si="162"/>
        <v>1.2529346995107</v>
      </c>
      <c r="BI81" s="95">
        <v>1</v>
      </c>
      <c r="BJ81" s="96">
        <f t="shared" si="130"/>
        <v>2.0949941301068096</v>
      </c>
      <c r="BK81" s="457" t="str">
        <f t="shared" si="131"/>
        <v>(4,5,na,na,na,na); Calculation, Transport distances: 100km (materials), 500km (cells), 15km (disposal)</v>
      </c>
      <c r="BL81" s="435">
        <f t="shared" si="163"/>
        <v>1.2875056624343999</v>
      </c>
      <c r="BM81" s="95">
        <v>1</v>
      </c>
      <c r="BN81" s="96">
        <f t="shared" si="132"/>
        <v>2.0949941301068096</v>
      </c>
      <c r="BO81" s="457" t="str">
        <f t="shared" si="133"/>
        <v>(4,5,na,na,na,na); Calculation, Transport distances: 100km (materials), 500km (cells), 15km (disposal)</v>
      </c>
      <c r="BP81" s="435">
        <v>1.32778085516209</v>
      </c>
      <c r="BQ81" s="95">
        <v>1</v>
      </c>
      <c r="BR81" s="96">
        <f t="shared" si="134"/>
        <v>2.0949941301068096</v>
      </c>
      <c r="BS81" s="432" t="str">
        <f t="shared" si="135"/>
        <v>(4,5,na,na,na,na); Calculation, Transport distances: 100km (materials), 500km (cells), 15km (disposal)</v>
      </c>
      <c r="BT81" s="435">
        <f t="shared" si="164"/>
        <v>1.16417520805621</v>
      </c>
      <c r="BU81" s="95">
        <v>1</v>
      </c>
      <c r="BV81" s="96">
        <f t="shared" si="136"/>
        <v>2.0949941301068096</v>
      </c>
      <c r="BW81" s="457" t="str">
        <f t="shared" si="137"/>
        <v>(4,5,na,na,na,na); Calculation, Transport distances: 100km (materials), 500km (cells), 15km (disposal)</v>
      </c>
      <c r="BX81" s="435">
        <f t="shared" si="165"/>
        <v>1.14778369420375</v>
      </c>
      <c r="BY81" s="95">
        <v>1</v>
      </c>
      <c r="BZ81" s="96">
        <f t="shared" si="138"/>
        <v>2.0949941301068096</v>
      </c>
      <c r="CA81" s="457" t="str">
        <f t="shared" si="139"/>
        <v>(4,5,na,na,na,na); Calculation, Transport distances: 100km (materials), 500km (cells), 15km (disposal)</v>
      </c>
      <c r="CB81" s="435">
        <f t="shared" si="166"/>
        <v>1.2529346995107</v>
      </c>
      <c r="CC81" s="95">
        <v>1</v>
      </c>
      <c r="CD81" s="96">
        <f t="shared" si="140"/>
        <v>2.0949941301068096</v>
      </c>
      <c r="CE81" s="457" t="str">
        <f t="shared" si="141"/>
        <v>(4,5,na,na,na,na); Calculation, Transport distances: 100km (materials), 500km (cells), 15km (disposal)</v>
      </c>
      <c r="CF81" s="435">
        <f t="shared" si="167"/>
        <v>1.2875056624343999</v>
      </c>
      <c r="CG81" s="95">
        <v>1</v>
      </c>
      <c r="CH81" s="96">
        <f t="shared" si="142"/>
        <v>2.0949941301068096</v>
      </c>
      <c r="CI81" s="457" t="str">
        <f t="shared" si="168"/>
        <v>(4,5,na,na,na,na); Calculation, Transport distances: 100km (materials), 500km (cells), 15km (disposal)</v>
      </c>
      <c r="CJ81" s="435">
        <v>1.32778085516209</v>
      </c>
      <c r="CK81" s="95">
        <v>1</v>
      </c>
      <c r="CL81" s="96">
        <f t="shared" si="144"/>
        <v>2.0949941301068096</v>
      </c>
      <c r="CM81" s="437" t="str">
        <f t="shared" si="145"/>
        <v>(4,5,na,na,na,na); Calculation, Transport distances: 100km (materials), 500km (cells), 15km (disposal)</v>
      </c>
      <c r="CN81" s="435">
        <f>0.1*SUM(CN36:CN47,CN60:CN68)+0.1*22*CN69+0.015*SUM(CN85:CN93)</f>
        <v>1.3636312764705882</v>
      </c>
      <c r="CO81" s="95">
        <v>1</v>
      </c>
      <c r="CP81" s="96">
        <f t="shared" si="146"/>
        <v>2.0949941301068096</v>
      </c>
      <c r="CQ81" s="457" t="str">
        <f t="shared" si="147"/>
        <v xml:space="preserve">(4,5,na,na,na,na); </v>
      </c>
      <c r="CR81" s="435">
        <f>0.1*SUM(CR36:CR47,CR60:CR68)+0.1*22*CR69+0.015*SUM(CR85:CR93)</f>
        <v>1.3636312764705882</v>
      </c>
      <c r="CS81" s="95">
        <v>1</v>
      </c>
      <c r="CT81" s="96">
        <f t="shared" si="148"/>
        <v>2.0949941301068096</v>
      </c>
      <c r="CU81" s="432" t="str">
        <f t="shared" si="149"/>
        <v xml:space="preserve">(4,5,na,na,na,na); </v>
      </c>
      <c r="CV81" s="399"/>
      <c r="CW81" s="435">
        <v>1.16417520805621</v>
      </c>
      <c r="CX81" s="435">
        <v>1.14778369420375</v>
      </c>
      <c r="CY81" s="435">
        <v>1.2529346995107</v>
      </c>
      <c r="CZ81" s="435">
        <v>1.2875056624343999</v>
      </c>
      <c r="DA81" s="692" t="s">
        <v>1215</v>
      </c>
      <c r="DB81" s="83">
        <v>4</v>
      </c>
      <c r="DC81" s="83">
        <v>5</v>
      </c>
      <c r="DD81" s="83" t="s">
        <v>106</v>
      </c>
      <c r="DE81" s="83" t="s">
        <v>106</v>
      </c>
      <c r="DF81" s="83" t="s">
        <v>106</v>
      </c>
      <c r="DG81" s="83" t="s">
        <v>106</v>
      </c>
      <c r="DH81" s="104">
        <v>5</v>
      </c>
      <c r="DI81" s="104">
        <v>2</v>
      </c>
      <c r="DJ81" s="107">
        <f t="shared" si="150"/>
        <v>1.2941338353151037</v>
      </c>
      <c r="DK81" s="107">
        <f t="shared" si="151"/>
        <v>2.0949941301068096</v>
      </c>
      <c r="DL81" s="107" t="str">
        <f t="shared" si="152"/>
        <v>(4,5,na,na,na,na)</v>
      </c>
      <c r="DM81" s="108">
        <v>1.2</v>
      </c>
      <c r="DN81" s="108">
        <v>1.2</v>
      </c>
      <c r="DO81" s="108">
        <v>1</v>
      </c>
      <c r="DP81" s="108">
        <v>1</v>
      </c>
      <c r="DQ81" s="108">
        <v>1</v>
      </c>
      <c r="DR81" s="108">
        <v>1</v>
      </c>
      <c r="DS81" s="399"/>
      <c r="DT81" s="692"/>
      <c r="DU81" s="83">
        <v>4</v>
      </c>
      <c r="DV81" s="83">
        <v>5</v>
      </c>
      <c r="DW81" s="83" t="s">
        <v>106</v>
      </c>
      <c r="DX81" s="83" t="s">
        <v>106</v>
      </c>
      <c r="DY81" s="83" t="s">
        <v>106</v>
      </c>
      <c r="DZ81" s="83" t="s">
        <v>106</v>
      </c>
      <c r="EA81" s="104">
        <v>5</v>
      </c>
      <c r="EB81" s="104">
        <v>2</v>
      </c>
      <c r="EC81" s="107">
        <f t="shared" si="153"/>
        <v>1.2941338353151037</v>
      </c>
      <c r="ED81" s="107">
        <f t="shared" si="154"/>
        <v>2.0949941301068096</v>
      </c>
      <c r="EE81" s="107" t="str">
        <f t="shared" si="155"/>
        <v>(4,5,na,na,na,na)</v>
      </c>
      <c r="EF81" s="108">
        <v>1.2</v>
      </c>
      <c r="EG81" s="108">
        <v>1.2</v>
      </c>
      <c r="EH81" s="108">
        <v>1</v>
      </c>
      <c r="EI81" s="108">
        <v>1</v>
      </c>
      <c r="EJ81" s="108">
        <v>1</v>
      </c>
      <c r="EK81" s="108">
        <v>1</v>
      </c>
    </row>
    <row r="82" spans="1:141" ht="24">
      <c r="A82" s="330">
        <v>160371</v>
      </c>
      <c r="B82" s="216"/>
      <c r="C82" s="334"/>
      <c r="D82" s="515">
        <v>5</v>
      </c>
      <c r="E82" s="343" t="s">
        <v>98</v>
      </c>
      <c r="F82" s="437" t="s">
        <v>242</v>
      </c>
      <c r="G82" s="438" t="s">
        <v>93</v>
      </c>
      <c r="H82" s="455" t="s">
        <v>98</v>
      </c>
      <c r="I82" s="455" t="s">
        <v>98</v>
      </c>
      <c r="J82" s="336">
        <v>0</v>
      </c>
      <c r="K82" s="438" t="s">
        <v>115</v>
      </c>
      <c r="L82" s="440">
        <f t="shared" si="90"/>
        <v>6.983968074519904</v>
      </c>
      <c r="M82" s="336">
        <v>1</v>
      </c>
      <c r="N82" s="337">
        <f t="shared" si="106"/>
        <v>2.0949941301068096</v>
      </c>
      <c r="O82" s="455" t="str">
        <f t="shared" si="107"/>
        <v>(4,5,na,na,na,na); Calculation, Transport distance: 600km</v>
      </c>
      <c r="P82" s="440">
        <f t="shared" si="91"/>
        <v>6.8856519362529207</v>
      </c>
      <c r="Q82" s="336">
        <v>1</v>
      </c>
      <c r="R82" s="337">
        <f t="shared" si="108"/>
        <v>2.0949941301068096</v>
      </c>
      <c r="S82" s="455" t="str">
        <f t="shared" si="109"/>
        <v>(4,5,na,na,na,na); Calculation, Transport distance: 600km</v>
      </c>
      <c r="T82" s="440">
        <f t="shared" si="92"/>
        <v>7.5162520099082517</v>
      </c>
      <c r="U82" s="336">
        <v>1</v>
      </c>
      <c r="V82" s="337">
        <f t="shared" si="110"/>
        <v>2.0949941301068096</v>
      </c>
      <c r="W82" s="455" t="str">
        <f t="shared" si="111"/>
        <v>(4,5,na,na,na,na); Calculation, Transport distance: 600km</v>
      </c>
      <c r="X82" s="440">
        <f t="shared" si="93"/>
        <v>7.7236479702374448</v>
      </c>
      <c r="Y82" s="336">
        <v>1</v>
      </c>
      <c r="Z82" s="337">
        <f t="shared" si="112"/>
        <v>2.0949941301068096</v>
      </c>
      <c r="AA82" s="437" t="str">
        <f t="shared" si="113"/>
        <v>(4,5,na,na,na,na); Calculation, Transport distance: 600km</v>
      </c>
      <c r="AB82" s="440">
        <f>0.6*SUM(AB36:AB47,AB60:AB68)+0.6*25*AB69</f>
        <v>7.0723275818879321</v>
      </c>
      <c r="AC82" s="336">
        <v>1</v>
      </c>
      <c r="AD82" s="337">
        <f t="shared" si="114"/>
        <v>2.0949941301068096</v>
      </c>
      <c r="AE82" s="437" t="str">
        <f t="shared" si="115"/>
        <v>(4,5,na,na,na,na); Calculation, Transport distance: 600km</v>
      </c>
      <c r="AF82" s="440">
        <f t="shared" si="156"/>
        <v>6.983968074519904</v>
      </c>
      <c r="AG82" s="336">
        <v>1</v>
      </c>
      <c r="AH82" s="337">
        <f t="shared" si="116"/>
        <v>2.0949941301068096</v>
      </c>
      <c r="AI82" s="455" t="str">
        <f t="shared" si="117"/>
        <v>(4,5,na,na,na,na); Calculation, Transport distance: 600km</v>
      </c>
      <c r="AJ82" s="440">
        <f t="shared" si="157"/>
        <v>6.8856519362529207</v>
      </c>
      <c r="AK82" s="336">
        <v>1</v>
      </c>
      <c r="AL82" s="337">
        <f t="shared" si="118"/>
        <v>2.0949941301068096</v>
      </c>
      <c r="AM82" s="455" t="str">
        <f t="shared" si="119"/>
        <v>(4,5,na,na,na,na); Calculation, Transport distance: 600km</v>
      </c>
      <c r="AN82" s="440">
        <f t="shared" si="158"/>
        <v>7.5162520099082517</v>
      </c>
      <c r="AO82" s="336">
        <v>1</v>
      </c>
      <c r="AP82" s="337">
        <f t="shared" si="120"/>
        <v>2.0949941301068096</v>
      </c>
      <c r="AQ82" s="455" t="str">
        <f t="shared" si="121"/>
        <v>(4,5,na,na,na,na); Calculation, Transport distance: 600km</v>
      </c>
      <c r="AR82" s="440">
        <f t="shared" si="159"/>
        <v>7.7236479702374448</v>
      </c>
      <c r="AS82" s="336">
        <v>1</v>
      </c>
      <c r="AT82" s="337">
        <f t="shared" si="122"/>
        <v>2.0949941301068096</v>
      </c>
      <c r="AU82" s="455" t="str">
        <f t="shared" si="123"/>
        <v>(4,5,na,na,na,na); Calculation, Transport distance: 600km</v>
      </c>
      <c r="AV82" s="440">
        <f>0.6*SUM(AV36:AV47,AV60:AV68)+0.6*25*AV69</f>
        <v>7.0723275818879321</v>
      </c>
      <c r="AW82" s="336">
        <v>1</v>
      </c>
      <c r="AX82" s="337">
        <f t="shared" si="124"/>
        <v>2.0949941301068096</v>
      </c>
      <c r="AY82" s="437" t="str">
        <f t="shared" si="125"/>
        <v>(4,5,na,na,na,na); Calculation, Transport distance: 600km</v>
      </c>
      <c r="AZ82" s="440">
        <f t="shared" si="160"/>
        <v>6.983968074519904</v>
      </c>
      <c r="BA82" s="95">
        <v>1</v>
      </c>
      <c r="BB82" s="96">
        <f t="shared" si="126"/>
        <v>2.0949941301068096</v>
      </c>
      <c r="BC82" s="457" t="str">
        <f t="shared" si="127"/>
        <v>(4,5,na,na,na,na); Calculation, Transport distance: 600km</v>
      </c>
      <c r="BD82" s="435">
        <f t="shared" si="161"/>
        <v>6.8856519362529207</v>
      </c>
      <c r="BE82" s="95">
        <v>1</v>
      </c>
      <c r="BF82" s="96">
        <f t="shared" si="128"/>
        <v>2.0949941301068096</v>
      </c>
      <c r="BG82" s="457" t="str">
        <f t="shared" si="129"/>
        <v>(4,5,na,na,na,na); Calculation, Transport distance: 600km</v>
      </c>
      <c r="BH82" s="435">
        <f t="shared" si="162"/>
        <v>7.5162520099082517</v>
      </c>
      <c r="BI82" s="95">
        <v>1</v>
      </c>
      <c r="BJ82" s="96">
        <f t="shared" si="130"/>
        <v>2.0949941301068096</v>
      </c>
      <c r="BK82" s="457" t="str">
        <f t="shared" si="131"/>
        <v>(4,5,na,na,na,na); Calculation, Transport distance: 600km</v>
      </c>
      <c r="BL82" s="435">
        <f t="shared" si="163"/>
        <v>7.7236479702374448</v>
      </c>
      <c r="BM82" s="95">
        <v>1</v>
      </c>
      <c r="BN82" s="96">
        <f t="shared" si="132"/>
        <v>2.0949941301068096</v>
      </c>
      <c r="BO82" s="457" t="str">
        <f t="shared" si="133"/>
        <v>(4,5,na,na,na,na); Calculation, Transport distance: 600km</v>
      </c>
      <c r="BP82" s="435">
        <f>0.6*SUM(BP36:BP47,BP60:BP68)+0.6*25*BP69</f>
        <v>7.0723275818879321</v>
      </c>
      <c r="BQ82" s="95">
        <v>1</v>
      </c>
      <c r="BR82" s="96">
        <f t="shared" si="134"/>
        <v>2.0949941301068096</v>
      </c>
      <c r="BS82" s="432" t="str">
        <f t="shared" si="135"/>
        <v>(4,5,na,na,na,na); Calculation, Transport distance: 600km</v>
      </c>
      <c r="BT82" s="435">
        <f t="shared" si="164"/>
        <v>6.983968074519904</v>
      </c>
      <c r="BU82" s="95">
        <v>1</v>
      </c>
      <c r="BV82" s="96">
        <f t="shared" si="136"/>
        <v>2.0949941301068096</v>
      </c>
      <c r="BW82" s="457" t="str">
        <f t="shared" si="137"/>
        <v>(4,5,na,na,na,na); Calculation, Transport distance: 600km</v>
      </c>
      <c r="BX82" s="435">
        <f t="shared" si="165"/>
        <v>6.8856519362529207</v>
      </c>
      <c r="BY82" s="95">
        <v>1</v>
      </c>
      <c r="BZ82" s="96">
        <f t="shared" si="138"/>
        <v>2.0949941301068096</v>
      </c>
      <c r="CA82" s="457" t="str">
        <f t="shared" si="139"/>
        <v>(4,5,na,na,na,na); Calculation, Transport distance: 600km</v>
      </c>
      <c r="CB82" s="435">
        <f t="shared" si="166"/>
        <v>7.5162520099082517</v>
      </c>
      <c r="CC82" s="95">
        <v>1</v>
      </c>
      <c r="CD82" s="96">
        <f t="shared" si="140"/>
        <v>2.0949941301068096</v>
      </c>
      <c r="CE82" s="457" t="str">
        <f t="shared" si="141"/>
        <v>(4,5,na,na,na,na); Calculation, Transport distance: 600km</v>
      </c>
      <c r="CF82" s="435">
        <f t="shared" si="167"/>
        <v>7.7236479702374448</v>
      </c>
      <c r="CG82" s="95">
        <v>1</v>
      </c>
      <c r="CH82" s="96">
        <f t="shared" si="142"/>
        <v>2.0949941301068096</v>
      </c>
      <c r="CI82" s="457" t="str">
        <f t="shared" si="168"/>
        <v>(4,5,na,na,na,na); Calculation, Transport distance: 600km</v>
      </c>
      <c r="CJ82" s="435">
        <f>0.6*SUM(CJ36:CJ47,CJ60:CJ68)+0.6*22*CJ69</f>
        <v>7.0494329022762816</v>
      </c>
      <c r="CK82" s="95">
        <v>1</v>
      </c>
      <c r="CL82" s="96">
        <f t="shared" si="144"/>
        <v>2.0949941301068096</v>
      </c>
      <c r="CM82" s="437" t="str">
        <f t="shared" si="145"/>
        <v>(4,5,na,na,na,na); Calculation, Transport distance: 600km</v>
      </c>
      <c r="CN82" s="435">
        <v>8.1709043999999995</v>
      </c>
      <c r="CO82" s="95">
        <v>1</v>
      </c>
      <c r="CP82" s="96">
        <f t="shared" si="146"/>
        <v>2.0949941301068096</v>
      </c>
      <c r="CQ82" s="457" t="str">
        <f t="shared" si="147"/>
        <v xml:space="preserve">(4,5,na,na,na,na); </v>
      </c>
      <c r="CR82" s="435">
        <f>0.6*SUM(CR36:CR47,CR60:CR68)+0.6*22*CR69</f>
        <v>8.1709043999999995</v>
      </c>
      <c r="CS82" s="95">
        <v>1</v>
      </c>
      <c r="CT82" s="96">
        <f t="shared" si="148"/>
        <v>2.0949941301068096</v>
      </c>
      <c r="CU82" s="432" t="str">
        <f t="shared" si="149"/>
        <v xml:space="preserve">(4,5,na,na,na,na); </v>
      </c>
      <c r="CV82" s="399"/>
      <c r="CW82" s="435">
        <f>0.6*SUM(CW36:CW47,CW60:CW68)+0.6*25*CW69</f>
        <v>6.983968074519904</v>
      </c>
      <c r="CX82" s="435">
        <f>0.6*SUM(CX36:CX47,CX60:CX68)+0.6*25*CX69</f>
        <v>6.8856519362529207</v>
      </c>
      <c r="CY82" s="435">
        <f>0.6*SUM(CY36:CY47,CY60:CY68)+0.6*25*CY69</f>
        <v>7.5162520099082517</v>
      </c>
      <c r="CZ82" s="435">
        <f>0.6*SUM(CZ36:CZ47,CZ60:CZ68)+0.6*25*CZ69</f>
        <v>7.7236479702374448</v>
      </c>
      <c r="DA82" s="692" t="s">
        <v>1216</v>
      </c>
      <c r="DB82" s="83">
        <v>4</v>
      </c>
      <c r="DC82" s="83">
        <v>5</v>
      </c>
      <c r="DD82" s="83" t="s">
        <v>106</v>
      </c>
      <c r="DE82" s="83" t="s">
        <v>106</v>
      </c>
      <c r="DF82" s="83" t="s">
        <v>106</v>
      </c>
      <c r="DG82" s="83" t="s">
        <v>106</v>
      </c>
      <c r="DH82" s="104">
        <v>5</v>
      </c>
      <c r="DI82" s="104">
        <v>2</v>
      </c>
      <c r="DJ82" s="107">
        <f t="shared" si="150"/>
        <v>1.2941338353151037</v>
      </c>
      <c r="DK82" s="107">
        <f t="shared" si="151"/>
        <v>2.0949941301068096</v>
      </c>
      <c r="DL82" s="107" t="str">
        <f t="shared" si="152"/>
        <v>(4,5,na,na,na,na)</v>
      </c>
      <c r="DM82" s="108">
        <v>1.2</v>
      </c>
      <c r="DN82" s="108">
        <v>1.2</v>
      </c>
      <c r="DO82" s="108">
        <v>1</v>
      </c>
      <c r="DP82" s="108">
        <v>1</v>
      </c>
      <c r="DQ82" s="108">
        <v>1</v>
      </c>
      <c r="DR82" s="108">
        <v>1</v>
      </c>
      <c r="DS82" s="399"/>
      <c r="DT82" s="692"/>
      <c r="DU82" s="83">
        <v>4</v>
      </c>
      <c r="DV82" s="83">
        <v>5</v>
      </c>
      <c r="DW82" s="83" t="s">
        <v>106</v>
      </c>
      <c r="DX82" s="83" t="s">
        <v>106</v>
      </c>
      <c r="DY82" s="83" t="s">
        <v>106</v>
      </c>
      <c r="DZ82" s="83" t="s">
        <v>106</v>
      </c>
      <c r="EA82" s="104">
        <v>5</v>
      </c>
      <c r="EB82" s="104">
        <v>2</v>
      </c>
      <c r="EC82" s="107">
        <f t="shared" si="153"/>
        <v>1.2941338353151037</v>
      </c>
      <c r="ED82" s="107">
        <f t="shared" si="154"/>
        <v>2.0949941301068096</v>
      </c>
      <c r="EE82" s="107" t="str">
        <f t="shared" si="155"/>
        <v>(4,5,na,na,na,na)</v>
      </c>
      <c r="EF82" s="108">
        <v>1.2</v>
      </c>
      <c r="EG82" s="108">
        <v>1.2</v>
      </c>
      <c r="EH82" s="108">
        <v>1</v>
      </c>
      <c r="EI82" s="108">
        <v>1</v>
      </c>
      <c r="EJ82" s="108">
        <v>1</v>
      </c>
      <c r="EK82" s="108">
        <v>1</v>
      </c>
    </row>
    <row r="83" spans="1:141" ht="24">
      <c r="A83" s="330">
        <v>79239</v>
      </c>
      <c r="B83" s="216" t="s">
        <v>511</v>
      </c>
      <c r="C83" s="334"/>
      <c r="D83" s="515">
        <v>5</v>
      </c>
      <c r="E83" s="343" t="s">
        <v>98</v>
      </c>
      <c r="F83" s="437" t="s">
        <v>512</v>
      </c>
      <c r="G83" s="438" t="s">
        <v>103</v>
      </c>
      <c r="H83" s="455" t="s">
        <v>98</v>
      </c>
      <c r="I83" s="455" t="s">
        <v>98</v>
      </c>
      <c r="J83" s="336">
        <v>0</v>
      </c>
      <c r="K83" s="438" t="s">
        <v>96</v>
      </c>
      <c r="L83" s="440">
        <f t="shared" si="90"/>
        <v>9.2868852459016393E-3</v>
      </c>
      <c r="M83" s="336">
        <v>1</v>
      </c>
      <c r="N83" s="337">
        <f t="shared" si="106"/>
        <v>1.0722009304576894</v>
      </c>
      <c r="O83" s="455" t="str">
        <f t="shared" si="107"/>
        <v>(2,1,1,2,1,1); Industry data (French tender)</v>
      </c>
      <c r="P83" s="440">
        <f t="shared" si="91"/>
        <v>9.2868852459016393E-3</v>
      </c>
      <c r="Q83" s="336">
        <v>1</v>
      </c>
      <c r="R83" s="337">
        <f t="shared" si="108"/>
        <v>1.0722009304576894</v>
      </c>
      <c r="S83" s="455" t="str">
        <f t="shared" si="109"/>
        <v>(2,1,1,2,1,1); Industry data (French tender)</v>
      </c>
      <c r="T83" s="440">
        <f t="shared" si="92"/>
        <v>1.21269113149847E-2</v>
      </c>
      <c r="U83" s="336">
        <v>1</v>
      </c>
      <c r="V83" s="337">
        <f t="shared" si="110"/>
        <v>1.0722009304576894</v>
      </c>
      <c r="W83" s="455" t="str">
        <f t="shared" si="111"/>
        <v>(2,1,1,2,1,1); Industry data (French tender)</v>
      </c>
      <c r="X83" s="440">
        <f t="shared" si="93"/>
        <v>4.2777777777777796E-3</v>
      </c>
      <c r="Y83" s="336">
        <v>1</v>
      </c>
      <c r="Z83" s="337">
        <f t="shared" si="112"/>
        <v>1.0722009304576894</v>
      </c>
      <c r="AA83" s="437" t="str">
        <f t="shared" si="113"/>
        <v>(2,1,1,2,1,1); Industry data (French tender)</v>
      </c>
      <c r="AB83" s="440">
        <f>X83</f>
        <v>4.2777777777777796E-3</v>
      </c>
      <c r="AC83" s="336">
        <v>1</v>
      </c>
      <c r="AD83" s="337">
        <f t="shared" si="114"/>
        <v>1.0722009304576894</v>
      </c>
      <c r="AE83" s="437" t="str">
        <f t="shared" si="115"/>
        <v>(2,1,1,2,1,1); Industry data (French tender)</v>
      </c>
      <c r="AF83" s="440">
        <f t="shared" si="156"/>
        <v>9.2868852459016393E-3</v>
      </c>
      <c r="AG83" s="336">
        <v>1</v>
      </c>
      <c r="AH83" s="337">
        <f t="shared" si="116"/>
        <v>1.0722009304576894</v>
      </c>
      <c r="AI83" s="455" t="str">
        <f t="shared" si="117"/>
        <v>(2,1,1,2,1,1); Industry data (French tender)</v>
      </c>
      <c r="AJ83" s="440">
        <f t="shared" si="157"/>
        <v>9.2868852459016393E-3</v>
      </c>
      <c r="AK83" s="336">
        <v>1</v>
      </c>
      <c r="AL83" s="337">
        <f t="shared" si="118"/>
        <v>1.0722009304576894</v>
      </c>
      <c r="AM83" s="455" t="str">
        <f t="shared" si="119"/>
        <v>(2,1,1,2,1,1); Industry data (French tender)</v>
      </c>
      <c r="AN83" s="440">
        <f t="shared" si="158"/>
        <v>1.21269113149847E-2</v>
      </c>
      <c r="AO83" s="336">
        <v>1</v>
      </c>
      <c r="AP83" s="337">
        <f t="shared" si="120"/>
        <v>1.0722009304576894</v>
      </c>
      <c r="AQ83" s="455" t="str">
        <f t="shared" si="121"/>
        <v>(2,1,1,2,1,1); Industry data (French tender)</v>
      </c>
      <c r="AR83" s="440">
        <f t="shared" si="159"/>
        <v>4.2777777777777796E-3</v>
      </c>
      <c r="AS83" s="336">
        <v>1</v>
      </c>
      <c r="AT83" s="337">
        <f t="shared" si="122"/>
        <v>1.0722009304576894</v>
      </c>
      <c r="AU83" s="455" t="str">
        <f t="shared" si="123"/>
        <v>(2,1,1,2,1,1); Industry data (French tender)</v>
      </c>
      <c r="AV83" s="440">
        <f>AR83</f>
        <v>4.2777777777777796E-3</v>
      </c>
      <c r="AW83" s="336">
        <v>1</v>
      </c>
      <c r="AX83" s="337">
        <f t="shared" si="124"/>
        <v>1.0722009304576894</v>
      </c>
      <c r="AY83" s="437" t="str">
        <f t="shared" si="125"/>
        <v>(2,1,1,2,1,1); Industry data (French tender)</v>
      </c>
      <c r="AZ83" s="440">
        <f t="shared" si="160"/>
        <v>9.2868852459016393E-3</v>
      </c>
      <c r="BA83" s="95">
        <v>1</v>
      </c>
      <c r="BB83" s="96">
        <f t="shared" si="126"/>
        <v>1.0722009304576894</v>
      </c>
      <c r="BC83" s="457" t="str">
        <f t="shared" si="127"/>
        <v>(2,1,1,2,1,1); Industry data (French tender)</v>
      </c>
      <c r="BD83" s="435">
        <f t="shared" si="161"/>
        <v>9.2868852459016393E-3</v>
      </c>
      <c r="BE83" s="95">
        <v>1</v>
      </c>
      <c r="BF83" s="96">
        <f t="shared" si="128"/>
        <v>1.0722009304576894</v>
      </c>
      <c r="BG83" s="457" t="str">
        <f t="shared" si="129"/>
        <v>(2,1,1,2,1,1); Industry data (French tender)</v>
      </c>
      <c r="BH83" s="435">
        <f t="shared" si="162"/>
        <v>1.21269113149847E-2</v>
      </c>
      <c r="BI83" s="95">
        <v>1</v>
      </c>
      <c r="BJ83" s="96">
        <f t="shared" si="130"/>
        <v>1.0722009304576894</v>
      </c>
      <c r="BK83" s="457" t="str">
        <f t="shared" si="131"/>
        <v>(2,1,1,2,1,1); Industry data (French tender)</v>
      </c>
      <c r="BL83" s="435">
        <f t="shared" si="163"/>
        <v>4.2777777777777796E-3</v>
      </c>
      <c r="BM83" s="95">
        <v>1</v>
      </c>
      <c r="BN83" s="96">
        <f t="shared" si="132"/>
        <v>1.0722009304576894</v>
      </c>
      <c r="BO83" s="457" t="str">
        <f t="shared" si="133"/>
        <v>(2,1,1,2,1,1); Industry data (French tender)</v>
      </c>
      <c r="BP83" s="435">
        <f>AV83</f>
        <v>4.2777777777777796E-3</v>
      </c>
      <c r="BQ83" s="95">
        <v>1</v>
      </c>
      <c r="BR83" s="96">
        <f t="shared" si="134"/>
        <v>1.0722009304576894</v>
      </c>
      <c r="BS83" s="432" t="str">
        <f t="shared" si="135"/>
        <v>(2,1,1,2,1,1); Industry data (French tender)</v>
      </c>
      <c r="BT83" s="435">
        <f t="shared" si="164"/>
        <v>9.2868852459016393E-3</v>
      </c>
      <c r="BU83" s="95">
        <v>1</v>
      </c>
      <c r="BV83" s="96">
        <f t="shared" si="136"/>
        <v>1.0722009304576894</v>
      </c>
      <c r="BW83" s="457" t="str">
        <f t="shared" si="137"/>
        <v>(2,1,1,2,1,1); Industry data (French tender)</v>
      </c>
      <c r="BX83" s="435">
        <f t="shared" si="165"/>
        <v>9.2868852459016393E-3</v>
      </c>
      <c r="BY83" s="95">
        <v>1</v>
      </c>
      <c r="BZ83" s="96">
        <f t="shared" si="138"/>
        <v>1.0722009304576894</v>
      </c>
      <c r="CA83" s="457" t="str">
        <f t="shared" si="139"/>
        <v>(2,1,1,2,1,1); Industry data (French tender)</v>
      </c>
      <c r="CB83" s="435">
        <f t="shared" si="166"/>
        <v>1.21269113149847E-2</v>
      </c>
      <c r="CC83" s="95">
        <v>1</v>
      </c>
      <c r="CD83" s="96">
        <f t="shared" si="140"/>
        <v>1.0722009304576894</v>
      </c>
      <c r="CE83" s="457" t="str">
        <f t="shared" si="141"/>
        <v>(2,1,1,2,1,1); Industry data (French tender)</v>
      </c>
      <c r="CF83" s="435">
        <f t="shared" si="167"/>
        <v>4.2777777777777796E-3</v>
      </c>
      <c r="CG83" s="95">
        <v>1</v>
      </c>
      <c r="CH83" s="96">
        <f t="shared" si="142"/>
        <v>1.0722009304576894</v>
      </c>
      <c r="CI83" s="457" t="str">
        <f t="shared" si="168"/>
        <v>(2,1,1,2,1,1); Industry data (French tender)</v>
      </c>
      <c r="CJ83" s="435">
        <f>CF83</f>
        <v>4.2777777777777796E-3</v>
      </c>
      <c r="CK83" s="95">
        <v>1</v>
      </c>
      <c r="CL83" s="96">
        <f t="shared" si="144"/>
        <v>1.0722009304576894</v>
      </c>
      <c r="CM83" s="437" t="str">
        <f t="shared" si="145"/>
        <v>(2,1,1,2,1,1); Industry data (French tender)</v>
      </c>
      <c r="CN83" s="435">
        <v>0</v>
      </c>
      <c r="CO83" s="95">
        <v>1</v>
      </c>
      <c r="CP83" s="96">
        <f t="shared" si="146"/>
        <v>1.05</v>
      </c>
      <c r="CQ83" s="457" t="str">
        <f t="shared" si="147"/>
        <v xml:space="preserve">(na,na,na,na,na,na); </v>
      </c>
      <c r="CR83" s="435">
        <v>0</v>
      </c>
      <c r="CS83" s="95">
        <v>1</v>
      </c>
      <c r="CT83" s="96">
        <f t="shared" si="148"/>
        <v>1.05</v>
      </c>
      <c r="CU83" s="432" t="str">
        <f t="shared" si="149"/>
        <v xml:space="preserve">(na,na,na,na,na,na); </v>
      </c>
      <c r="CV83" s="467"/>
      <c r="CW83" s="435">
        <v>9.2868852459016393E-3</v>
      </c>
      <c r="CX83" s="435">
        <v>9.2868852459016393E-3</v>
      </c>
      <c r="CY83" s="435">
        <v>1.21269113149847E-2</v>
      </c>
      <c r="CZ83" s="435">
        <v>4.2777777777777796E-3</v>
      </c>
      <c r="DA83" s="692" t="s">
        <v>462</v>
      </c>
      <c r="DB83" s="83">
        <v>2</v>
      </c>
      <c r="DC83" s="83">
        <v>1</v>
      </c>
      <c r="DD83" s="83">
        <v>1</v>
      </c>
      <c r="DE83" s="83">
        <v>2</v>
      </c>
      <c r="DF83" s="83">
        <v>1</v>
      </c>
      <c r="DG83" s="83">
        <v>1</v>
      </c>
      <c r="DH83" s="104">
        <v>6</v>
      </c>
      <c r="DI83" s="104">
        <v>1.05</v>
      </c>
      <c r="DJ83" s="107">
        <f t="shared" si="150"/>
        <v>1.0510550504206344</v>
      </c>
      <c r="DK83" s="107">
        <f t="shared" si="151"/>
        <v>1.0722009304576894</v>
      </c>
      <c r="DL83" s="107" t="str">
        <f t="shared" si="152"/>
        <v>(2,1,1,2,1,1)</v>
      </c>
      <c r="DM83" s="108">
        <v>1.05</v>
      </c>
      <c r="DN83" s="108">
        <v>1</v>
      </c>
      <c r="DO83" s="108">
        <v>1</v>
      </c>
      <c r="DP83" s="108">
        <v>1.01</v>
      </c>
      <c r="DQ83" s="108">
        <v>1</v>
      </c>
      <c r="DR83" s="108">
        <v>1</v>
      </c>
      <c r="DS83" s="399"/>
      <c r="DT83" s="692"/>
      <c r="DU83" s="83" t="s">
        <v>106</v>
      </c>
      <c r="DV83" s="83" t="s">
        <v>106</v>
      </c>
      <c r="DW83" s="83" t="s">
        <v>106</v>
      </c>
      <c r="DX83" s="83" t="s">
        <v>106</v>
      </c>
      <c r="DY83" s="83" t="s">
        <v>106</v>
      </c>
      <c r="DZ83" s="83" t="s">
        <v>106</v>
      </c>
      <c r="EA83" s="104">
        <v>6</v>
      </c>
      <c r="EB83" s="104">
        <v>1.05</v>
      </c>
      <c r="EC83" s="107">
        <f t="shared" si="153"/>
        <v>1</v>
      </c>
      <c r="ED83" s="107">
        <f t="shared" si="154"/>
        <v>1.05</v>
      </c>
      <c r="EE83" s="107" t="str">
        <f t="shared" si="155"/>
        <v>(na,na,na,na,na,na)</v>
      </c>
      <c r="EF83" s="108">
        <v>1</v>
      </c>
      <c r="EG83" s="108">
        <v>1</v>
      </c>
      <c r="EH83" s="108">
        <v>1</v>
      </c>
      <c r="EI83" s="108">
        <v>1</v>
      </c>
      <c r="EJ83" s="108">
        <v>1</v>
      </c>
      <c r="EK83" s="108">
        <v>1</v>
      </c>
    </row>
    <row r="84" spans="1:141" s="171" customFormat="1" ht="24">
      <c r="A84" s="333">
        <v>157753</v>
      </c>
      <c r="B84" s="216"/>
      <c r="C84" s="334"/>
      <c r="D84" s="515">
        <v>5</v>
      </c>
      <c r="E84" s="343" t="s">
        <v>98</v>
      </c>
      <c r="F84" s="437" t="s">
        <v>515</v>
      </c>
      <c r="G84" s="438" t="s">
        <v>103</v>
      </c>
      <c r="H84" s="455" t="s">
        <v>98</v>
      </c>
      <c r="I84" s="455" t="s">
        <v>98</v>
      </c>
      <c r="J84" s="336">
        <v>0</v>
      </c>
      <c r="K84" s="438" t="s">
        <v>96</v>
      </c>
      <c r="L84" s="440">
        <f t="shared" si="90"/>
        <v>2.7483793911007E-3</v>
      </c>
      <c r="M84" s="336">
        <v>1</v>
      </c>
      <c r="N84" s="337">
        <f t="shared" si="106"/>
        <v>1.0722009304576894</v>
      </c>
      <c r="O84" s="455" t="str">
        <f t="shared" si="107"/>
        <v>(2,1,1,2,1,1); Industry data (French tender)</v>
      </c>
      <c r="P84" s="440">
        <f t="shared" si="91"/>
        <v>2.3823255269320798E-3</v>
      </c>
      <c r="Q84" s="336">
        <v>1</v>
      </c>
      <c r="R84" s="337">
        <f t="shared" si="108"/>
        <v>1.0722009304576894</v>
      </c>
      <c r="S84" s="455" t="str">
        <f t="shared" si="109"/>
        <v>(2,1,1,2,1,1); Industry data (French tender)</v>
      </c>
      <c r="T84" s="440">
        <f t="shared" si="92"/>
        <v>2.9418348623853202E-3</v>
      </c>
      <c r="U84" s="336">
        <v>1</v>
      </c>
      <c r="V84" s="337">
        <f t="shared" si="110"/>
        <v>1.0722009304576894</v>
      </c>
      <c r="W84" s="455" t="str">
        <f t="shared" si="111"/>
        <v>(2,1,1,2,1,1); Industry data (French tender)</v>
      </c>
      <c r="X84" s="440">
        <f t="shared" si="93"/>
        <v>1.1122270765911499E-2</v>
      </c>
      <c r="Y84" s="336">
        <v>1</v>
      </c>
      <c r="Z84" s="337">
        <f t="shared" si="112"/>
        <v>1.0722009304576894</v>
      </c>
      <c r="AA84" s="437" t="str">
        <f t="shared" si="113"/>
        <v>(2,1,1,2,1,1); Industry data (French tender)</v>
      </c>
      <c r="AB84" s="440">
        <f>X84</f>
        <v>1.1122270765911499E-2</v>
      </c>
      <c r="AC84" s="336">
        <v>1</v>
      </c>
      <c r="AD84" s="337">
        <f t="shared" si="114"/>
        <v>1.0722009304576894</v>
      </c>
      <c r="AE84" s="437" t="str">
        <f t="shared" si="115"/>
        <v>(2,1,1,2,1,1); Industry data (French tender)</v>
      </c>
      <c r="AF84" s="440">
        <f t="shared" si="156"/>
        <v>2.7483793911007E-3</v>
      </c>
      <c r="AG84" s="336">
        <v>1</v>
      </c>
      <c r="AH84" s="337">
        <f t="shared" si="116"/>
        <v>1.0722009304576894</v>
      </c>
      <c r="AI84" s="455" t="str">
        <f t="shared" si="117"/>
        <v>(2,1,1,2,1,1); Industry data (French tender)</v>
      </c>
      <c r="AJ84" s="440">
        <f t="shared" si="157"/>
        <v>2.3823255269320798E-3</v>
      </c>
      <c r="AK84" s="336">
        <v>1</v>
      </c>
      <c r="AL84" s="337">
        <f t="shared" si="118"/>
        <v>1.0722009304576894</v>
      </c>
      <c r="AM84" s="455" t="str">
        <f t="shared" si="119"/>
        <v>(2,1,1,2,1,1); Industry data (French tender)</v>
      </c>
      <c r="AN84" s="440">
        <f t="shared" si="158"/>
        <v>2.9418348623853202E-3</v>
      </c>
      <c r="AO84" s="336">
        <v>1</v>
      </c>
      <c r="AP84" s="337">
        <f t="shared" si="120"/>
        <v>1.0722009304576894</v>
      </c>
      <c r="AQ84" s="455" t="str">
        <f t="shared" si="121"/>
        <v>(2,1,1,2,1,1); Industry data (French tender)</v>
      </c>
      <c r="AR84" s="440">
        <f t="shared" si="159"/>
        <v>1.1122270765911499E-2</v>
      </c>
      <c r="AS84" s="336">
        <v>1</v>
      </c>
      <c r="AT84" s="337">
        <f t="shared" si="122"/>
        <v>1.0722009304576894</v>
      </c>
      <c r="AU84" s="455" t="str">
        <f t="shared" si="123"/>
        <v>(2,1,1,2,1,1); Industry data (French tender)</v>
      </c>
      <c r="AV84" s="440">
        <f>AB84</f>
        <v>1.1122270765911499E-2</v>
      </c>
      <c r="AW84" s="336">
        <v>1</v>
      </c>
      <c r="AX84" s="337">
        <f t="shared" si="124"/>
        <v>1.0722009304576894</v>
      </c>
      <c r="AY84" s="437" t="str">
        <f t="shared" si="125"/>
        <v>(2,1,1,2,1,1); Industry data (French tender)</v>
      </c>
      <c r="AZ84" s="440">
        <f t="shared" si="160"/>
        <v>2.7483793911007E-3</v>
      </c>
      <c r="BA84" s="336">
        <v>1</v>
      </c>
      <c r="BB84" s="337">
        <f t="shared" si="126"/>
        <v>1.0722009304576894</v>
      </c>
      <c r="BC84" s="455" t="str">
        <f t="shared" si="127"/>
        <v>(2,1,1,2,1,1); Industry data (French tender)</v>
      </c>
      <c r="BD84" s="440">
        <f t="shared" si="161"/>
        <v>2.3823255269320798E-3</v>
      </c>
      <c r="BE84" s="336">
        <v>1</v>
      </c>
      <c r="BF84" s="337">
        <f t="shared" si="128"/>
        <v>1.0722009304576894</v>
      </c>
      <c r="BG84" s="455" t="str">
        <f t="shared" si="129"/>
        <v>(2,1,1,2,1,1); Industry data (French tender)</v>
      </c>
      <c r="BH84" s="440">
        <f t="shared" si="162"/>
        <v>2.9418348623853202E-3</v>
      </c>
      <c r="BI84" s="336">
        <v>1</v>
      </c>
      <c r="BJ84" s="337">
        <f t="shared" si="130"/>
        <v>1.0722009304576894</v>
      </c>
      <c r="BK84" s="455" t="str">
        <f t="shared" si="131"/>
        <v>(2,1,1,2,1,1); Industry data (French tender)</v>
      </c>
      <c r="BL84" s="440">
        <f t="shared" si="163"/>
        <v>1.1122270765911499E-2</v>
      </c>
      <c r="BM84" s="336">
        <v>1</v>
      </c>
      <c r="BN84" s="337">
        <f t="shared" si="132"/>
        <v>1.0722009304576894</v>
      </c>
      <c r="BO84" s="455" t="str">
        <f t="shared" si="133"/>
        <v>(2,1,1,2,1,1); Industry data (French tender)</v>
      </c>
      <c r="BP84" s="440">
        <f>AV84</f>
        <v>1.1122270765911499E-2</v>
      </c>
      <c r="BQ84" s="336">
        <v>1</v>
      </c>
      <c r="BR84" s="337">
        <f t="shared" si="134"/>
        <v>1.0722009304576894</v>
      </c>
      <c r="BS84" s="437" t="str">
        <f t="shared" si="135"/>
        <v>(2,1,1,2,1,1); Industry data (French tender)</v>
      </c>
      <c r="BT84" s="440">
        <f t="shared" si="164"/>
        <v>2.7483793911007E-3</v>
      </c>
      <c r="BU84" s="336">
        <v>1</v>
      </c>
      <c r="BV84" s="337">
        <f t="shared" si="136"/>
        <v>1.0722009304576894</v>
      </c>
      <c r="BW84" s="455" t="str">
        <f t="shared" si="137"/>
        <v>(2,1,1,2,1,1); Industry data (French tender)</v>
      </c>
      <c r="BX84" s="440">
        <f t="shared" si="165"/>
        <v>2.3823255269320798E-3</v>
      </c>
      <c r="BY84" s="336">
        <v>1</v>
      </c>
      <c r="BZ84" s="337">
        <f t="shared" si="138"/>
        <v>1.0722009304576894</v>
      </c>
      <c r="CA84" s="455" t="str">
        <f t="shared" si="139"/>
        <v>(2,1,1,2,1,1); Industry data (French tender)</v>
      </c>
      <c r="CB84" s="440">
        <f t="shared" si="166"/>
        <v>2.9418348623853202E-3</v>
      </c>
      <c r="CC84" s="336">
        <v>1</v>
      </c>
      <c r="CD84" s="337">
        <f t="shared" si="140"/>
        <v>1.0722009304576894</v>
      </c>
      <c r="CE84" s="455" t="str">
        <f t="shared" si="141"/>
        <v>(2,1,1,2,1,1); Industry data (French tender)</v>
      </c>
      <c r="CF84" s="440">
        <f t="shared" si="167"/>
        <v>1.1122270765911499E-2</v>
      </c>
      <c r="CG84" s="336">
        <v>1</v>
      </c>
      <c r="CH84" s="337">
        <f t="shared" si="142"/>
        <v>1.0722009304576894</v>
      </c>
      <c r="CI84" s="455" t="str">
        <f t="shared" si="168"/>
        <v>(2,1,1,2,1,1); Industry data (French tender)</v>
      </c>
      <c r="CJ84" s="440">
        <f>CF84</f>
        <v>1.1122270765911499E-2</v>
      </c>
      <c r="CK84" s="336">
        <v>1</v>
      </c>
      <c r="CL84" s="337">
        <f t="shared" si="144"/>
        <v>1.0722009304576894</v>
      </c>
      <c r="CM84" s="437" t="str">
        <f t="shared" si="145"/>
        <v>(2,1,1,2,1,1); Industry data (French tender)</v>
      </c>
      <c r="CN84" s="440">
        <v>0</v>
      </c>
      <c r="CO84" s="336">
        <v>1</v>
      </c>
      <c r="CP84" s="337">
        <f t="shared" si="146"/>
        <v>1.05</v>
      </c>
      <c r="CQ84" s="455" t="str">
        <f t="shared" si="147"/>
        <v xml:space="preserve">(na,na,na,na,na,na); </v>
      </c>
      <c r="CR84" s="440">
        <v>0</v>
      </c>
      <c r="CS84" s="336">
        <v>1</v>
      </c>
      <c r="CT84" s="337">
        <f t="shared" si="148"/>
        <v>1.05</v>
      </c>
      <c r="CU84" s="437" t="str">
        <f t="shared" si="149"/>
        <v xml:space="preserve">(na,na,na,na,na,na); </v>
      </c>
      <c r="CV84" s="468"/>
      <c r="CW84" s="440">
        <v>2.7483793911007E-3</v>
      </c>
      <c r="CX84" s="440">
        <v>2.3823255269320798E-3</v>
      </c>
      <c r="CY84" s="440">
        <v>2.9418348623853202E-3</v>
      </c>
      <c r="CZ84" s="440">
        <v>1.1122270765911499E-2</v>
      </c>
      <c r="DA84" s="691" t="s">
        <v>462</v>
      </c>
      <c r="DB84" s="83">
        <v>2</v>
      </c>
      <c r="DC84" s="83">
        <v>1</v>
      </c>
      <c r="DD84" s="83">
        <v>1</v>
      </c>
      <c r="DE84" s="83">
        <v>2</v>
      </c>
      <c r="DF84" s="83">
        <v>1</v>
      </c>
      <c r="DG84" s="83">
        <v>1</v>
      </c>
      <c r="DH84" s="104">
        <v>6</v>
      </c>
      <c r="DI84" s="104">
        <v>1.05</v>
      </c>
      <c r="DJ84" s="107">
        <f t="shared" si="150"/>
        <v>1.0510550504206344</v>
      </c>
      <c r="DK84" s="107">
        <f t="shared" si="151"/>
        <v>1.0722009304576894</v>
      </c>
      <c r="DL84" s="107" t="str">
        <f t="shared" si="152"/>
        <v>(2,1,1,2,1,1)</v>
      </c>
      <c r="DM84" s="108">
        <v>1.05</v>
      </c>
      <c r="DN84" s="108">
        <v>1</v>
      </c>
      <c r="DO84" s="108">
        <v>1</v>
      </c>
      <c r="DP84" s="108">
        <v>1.01</v>
      </c>
      <c r="DQ84" s="108">
        <v>1</v>
      </c>
      <c r="DR84" s="108">
        <v>1</v>
      </c>
      <c r="DT84" s="691"/>
      <c r="DU84" s="83" t="s">
        <v>106</v>
      </c>
      <c r="DV84" s="83" t="s">
        <v>106</v>
      </c>
      <c r="DW84" s="83" t="s">
        <v>106</v>
      </c>
      <c r="DX84" s="83" t="s">
        <v>106</v>
      </c>
      <c r="DY84" s="83" t="s">
        <v>106</v>
      </c>
      <c r="DZ84" s="83" t="s">
        <v>106</v>
      </c>
      <c r="EA84" s="104">
        <v>6</v>
      </c>
      <c r="EB84" s="104">
        <v>1.05</v>
      </c>
      <c r="EC84" s="107">
        <f t="shared" si="153"/>
        <v>1</v>
      </c>
      <c r="ED84" s="107">
        <f t="shared" si="154"/>
        <v>1.05</v>
      </c>
      <c r="EE84" s="107" t="str">
        <f t="shared" si="155"/>
        <v>(na,na,na,na,na,na)</v>
      </c>
      <c r="EF84" s="108">
        <v>1</v>
      </c>
      <c r="EG84" s="108">
        <v>1</v>
      </c>
      <c r="EH84" s="108">
        <v>1</v>
      </c>
      <c r="EI84" s="108">
        <v>1</v>
      </c>
      <c r="EJ84" s="108">
        <v>1</v>
      </c>
      <c r="EK84" s="108">
        <v>1</v>
      </c>
    </row>
    <row r="85" spans="1:141" s="171" customFormat="1" ht="24">
      <c r="A85" s="333">
        <v>269455</v>
      </c>
      <c r="B85" s="216"/>
      <c r="C85" s="334"/>
      <c r="D85" s="515">
        <v>5</v>
      </c>
      <c r="E85" s="343" t="s">
        <v>98</v>
      </c>
      <c r="F85" s="437" t="s">
        <v>1217</v>
      </c>
      <c r="G85" s="438" t="s">
        <v>103</v>
      </c>
      <c r="H85" s="455" t="s">
        <v>98</v>
      </c>
      <c r="I85" s="455" t="s">
        <v>98</v>
      </c>
      <c r="J85" s="336">
        <v>0</v>
      </c>
      <c r="K85" s="438" t="s">
        <v>96</v>
      </c>
      <c r="L85" s="440">
        <f t="shared" si="90"/>
        <v>0</v>
      </c>
      <c r="M85" s="336">
        <v>1</v>
      </c>
      <c r="N85" s="337">
        <f t="shared" si="106"/>
        <v>1.05</v>
      </c>
      <c r="O85" s="455" t="str">
        <f t="shared" si="107"/>
        <v xml:space="preserve">(na,na,na,na,na,na); </v>
      </c>
      <c r="P85" s="440">
        <f t="shared" si="91"/>
        <v>0</v>
      </c>
      <c r="Q85" s="336">
        <v>1</v>
      </c>
      <c r="R85" s="337">
        <f t="shared" si="108"/>
        <v>1.05</v>
      </c>
      <c r="S85" s="455" t="str">
        <f t="shared" si="109"/>
        <v xml:space="preserve">(na,na,na,na,na,na); </v>
      </c>
      <c r="T85" s="440">
        <f t="shared" si="92"/>
        <v>0</v>
      </c>
      <c r="U85" s="336">
        <v>1</v>
      </c>
      <c r="V85" s="337">
        <f t="shared" si="110"/>
        <v>1.05</v>
      </c>
      <c r="W85" s="455" t="str">
        <f t="shared" si="111"/>
        <v xml:space="preserve">(na,na,na,na,na,na); </v>
      </c>
      <c r="X85" s="440">
        <f t="shared" si="93"/>
        <v>0</v>
      </c>
      <c r="Y85" s="336">
        <v>1</v>
      </c>
      <c r="Z85" s="337">
        <f t="shared" si="112"/>
        <v>1.05</v>
      </c>
      <c r="AA85" s="437" t="str">
        <f t="shared" si="113"/>
        <v xml:space="preserve">(na,na,na,na,na,na); </v>
      </c>
      <c r="AB85" s="440">
        <v>0</v>
      </c>
      <c r="AC85" s="336">
        <v>1</v>
      </c>
      <c r="AD85" s="337">
        <f t="shared" si="114"/>
        <v>1.05</v>
      </c>
      <c r="AE85" s="437" t="str">
        <f t="shared" si="115"/>
        <v xml:space="preserve">(na,na,na,na,na,na); </v>
      </c>
      <c r="AF85" s="440">
        <f t="shared" si="156"/>
        <v>0</v>
      </c>
      <c r="AG85" s="336">
        <v>1</v>
      </c>
      <c r="AH85" s="337">
        <f t="shared" si="116"/>
        <v>1.05</v>
      </c>
      <c r="AI85" s="455" t="str">
        <f t="shared" si="117"/>
        <v xml:space="preserve">(na,na,na,na,na,na); </v>
      </c>
      <c r="AJ85" s="440">
        <f t="shared" si="157"/>
        <v>0</v>
      </c>
      <c r="AK85" s="336">
        <v>1</v>
      </c>
      <c r="AL85" s="337">
        <f t="shared" si="118"/>
        <v>1.05</v>
      </c>
      <c r="AM85" s="455" t="str">
        <f t="shared" si="119"/>
        <v xml:space="preserve">(na,na,na,na,na,na); </v>
      </c>
      <c r="AN85" s="440">
        <f t="shared" si="158"/>
        <v>0</v>
      </c>
      <c r="AO85" s="336">
        <v>1</v>
      </c>
      <c r="AP85" s="337">
        <f t="shared" si="120"/>
        <v>1.05</v>
      </c>
      <c r="AQ85" s="455" t="str">
        <f t="shared" si="121"/>
        <v xml:space="preserve">(na,na,na,na,na,na); </v>
      </c>
      <c r="AR85" s="440">
        <f t="shared" si="159"/>
        <v>0</v>
      </c>
      <c r="AS85" s="336">
        <v>1</v>
      </c>
      <c r="AT85" s="337">
        <f t="shared" si="122"/>
        <v>1.05</v>
      </c>
      <c r="AU85" s="455" t="str">
        <f t="shared" si="123"/>
        <v xml:space="preserve">(na,na,na,na,na,na); </v>
      </c>
      <c r="AV85" s="440">
        <v>0</v>
      </c>
      <c r="AW85" s="336">
        <v>1</v>
      </c>
      <c r="AX85" s="337">
        <f t="shared" si="124"/>
        <v>1.05</v>
      </c>
      <c r="AY85" s="437" t="str">
        <f t="shared" si="125"/>
        <v xml:space="preserve">(na,na,na,na,na,na); </v>
      </c>
      <c r="AZ85" s="440">
        <f t="shared" si="160"/>
        <v>0</v>
      </c>
      <c r="BA85" s="336">
        <v>1</v>
      </c>
      <c r="BB85" s="337">
        <f t="shared" si="126"/>
        <v>1.05</v>
      </c>
      <c r="BC85" s="455" t="str">
        <f t="shared" si="127"/>
        <v xml:space="preserve">(na,na,na,na,na,na); </v>
      </c>
      <c r="BD85" s="440">
        <f t="shared" si="161"/>
        <v>0</v>
      </c>
      <c r="BE85" s="336">
        <v>1</v>
      </c>
      <c r="BF85" s="337">
        <f t="shared" si="128"/>
        <v>1.05</v>
      </c>
      <c r="BG85" s="455" t="str">
        <f t="shared" si="129"/>
        <v xml:space="preserve">(na,na,na,na,na,na); </v>
      </c>
      <c r="BH85" s="440">
        <f t="shared" si="162"/>
        <v>0</v>
      </c>
      <c r="BI85" s="336">
        <v>1</v>
      </c>
      <c r="BJ85" s="337">
        <f t="shared" si="130"/>
        <v>1.05</v>
      </c>
      <c r="BK85" s="455" t="str">
        <f t="shared" si="131"/>
        <v xml:space="preserve">(na,na,na,na,na,na); </v>
      </c>
      <c r="BL85" s="440">
        <f t="shared" si="163"/>
        <v>0</v>
      </c>
      <c r="BM85" s="336">
        <v>1</v>
      </c>
      <c r="BN85" s="337">
        <f t="shared" si="132"/>
        <v>1.05</v>
      </c>
      <c r="BO85" s="455" t="str">
        <f t="shared" si="133"/>
        <v xml:space="preserve">(na,na,na,na,na,na); </v>
      </c>
      <c r="BP85" s="440">
        <v>0</v>
      </c>
      <c r="BQ85" s="336">
        <v>1</v>
      </c>
      <c r="BR85" s="337">
        <f t="shared" si="134"/>
        <v>1.05</v>
      </c>
      <c r="BS85" s="437" t="str">
        <f t="shared" si="135"/>
        <v xml:space="preserve">(na,na,na,na,na,na); </v>
      </c>
      <c r="BT85" s="440">
        <f t="shared" si="164"/>
        <v>0</v>
      </c>
      <c r="BU85" s="336">
        <v>1</v>
      </c>
      <c r="BV85" s="337">
        <f t="shared" si="136"/>
        <v>1.05</v>
      </c>
      <c r="BW85" s="455" t="str">
        <f t="shared" si="137"/>
        <v xml:space="preserve">(na,na,na,na,na,na); </v>
      </c>
      <c r="BX85" s="440">
        <f t="shared" si="165"/>
        <v>0</v>
      </c>
      <c r="BY85" s="336">
        <v>1</v>
      </c>
      <c r="BZ85" s="337">
        <f t="shared" si="138"/>
        <v>1.05</v>
      </c>
      <c r="CA85" s="455" t="str">
        <f t="shared" si="139"/>
        <v xml:space="preserve">(na,na,na,na,na,na); </v>
      </c>
      <c r="CB85" s="440">
        <f t="shared" si="166"/>
        <v>0</v>
      </c>
      <c r="CC85" s="336">
        <v>1</v>
      </c>
      <c r="CD85" s="337">
        <f t="shared" si="140"/>
        <v>1.05</v>
      </c>
      <c r="CE85" s="455" t="str">
        <f t="shared" si="141"/>
        <v xml:space="preserve">(na,na,na,na,na,na); </v>
      </c>
      <c r="CF85" s="440">
        <f t="shared" si="167"/>
        <v>0</v>
      </c>
      <c r="CG85" s="336">
        <v>1</v>
      </c>
      <c r="CH85" s="337">
        <f t="shared" si="142"/>
        <v>1.05</v>
      </c>
      <c r="CI85" s="455" t="str">
        <f t="shared" si="168"/>
        <v xml:space="preserve">(na,na,na,na,na,na); </v>
      </c>
      <c r="CJ85" s="440">
        <v>0</v>
      </c>
      <c r="CK85" s="336">
        <v>1</v>
      </c>
      <c r="CL85" s="337">
        <f t="shared" si="144"/>
        <v>1.05</v>
      </c>
      <c r="CM85" s="437" t="str">
        <f t="shared" si="145"/>
        <v xml:space="preserve">(na,na,na,na,na,na); </v>
      </c>
      <c r="CN85" s="440">
        <f>(53100+2110+68400+1350000)/25500000</f>
        <v>5.7788627450980394E-2</v>
      </c>
      <c r="CO85" s="336">
        <v>1</v>
      </c>
      <c r="CP85" s="337">
        <f t="shared" si="146"/>
        <v>1.2434566510799234</v>
      </c>
      <c r="CQ85" s="455" t="str">
        <f t="shared" si="147"/>
        <v>(2,4,1,3,1,5); Brailovsky (2026) GM 08-RW; wastes for production chain from SoG Silicon to Panel</v>
      </c>
      <c r="CR85" s="440">
        <f>CN85</f>
        <v>5.7788627450980394E-2</v>
      </c>
      <c r="CS85" s="336">
        <v>1</v>
      </c>
      <c r="CT85" s="337">
        <f t="shared" si="148"/>
        <v>1.2434566510799234</v>
      </c>
      <c r="CU85" s="437" t="str">
        <f t="shared" si="149"/>
        <v>(2,4,1,3,1,5); Brailovsky (2026) GM 08-RW; wastes for production chain from SoG Silicon to Panel</v>
      </c>
      <c r="CV85" s="468"/>
      <c r="CW85" s="440"/>
      <c r="CX85" s="440"/>
      <c r="CY85" s="440"/>
      <c r="CZ85" s="440"/>
      <c r="DA85" s="691"/>
      <c r="DB85" s="83" t="s">
        <v>106</v>
      </c>
      <c r="DC85" s="83" t="s">
        <v>106</v>
      </c>
      <c r="DD85" s="83" t="s">
        <v>106</v>
      </c>
      <c r="DE85" s="83" t="s">
        <v>106</v>
      </c>
      <c r="DF85" s="83" t="s">
        <v>106</v>
      </c>
      <c r="DG85" s="83" t="s">
        <v>106</v>
      </c>
      <c r="DH85" s="104">
        <v>6</v>
      </c>
      <c r="DI85" s="104">
        <v>1.05</v>
      </c>
      <c r="DJ85" s="107">
        <f t="shared" si="150"/>
        <v>1</v>
      </c>
      <c r="DK85" s="107">
        <f t="shared" si="151"/>
        <v>1.05</v>
      </c>
      <c r="DL85" s="107" t="str">
        <f t="shared" si="152"/>
        <v>(na,na,na,na,na,na)</v>
      </c>
      <c r="DM85" s="108">
        <v>1</v>
      </c>
      <c r="DN85" s="108">
        <v>1</v>
      </c>
      <c r="DO85" s="108">
        <v>1</v>
      </c>
      <c r="DP85" s="108">
        <v>1</v>
      </c>
      <c r="DQ85" s="108">
        <v>1</v>
      </c>
      <c r="DR85" s="108">
        <v>1</v>
      </c>
      <c r="DT85" s="691" t="s">
        <v>1218</v>
      </c>
      <c r="DU85" s="83">
        <v>2</v>
      </c>
      <c r="DV85" s="83">
        <v>4</v>
      </c>
      <c r="DW85" s="83">
        <v>1</v>
      </c>
      <c r="DX85" s="83">
        <v>3</v>
      </c>
      <c r="DY85" s="83">
        <v>1</v>
      </c>
      <c r="DZ85" s="83">
        <v>5</v>
      </c>
      <c r="EA85" s="104">
        <v>6</v>
      </c>
      <c r="EB85" s="104">
        <v>1.05</v>
      </c>
      <c r="EC85" s="107">
        <f t="shared" si="153"/>
        <v>1.2365959919080913</v>
      </c>
      <c r="ED85" s="107">
        <f t="shared" si="154"/>
        <v>1.2434566510799234</v>
      </c>
      <c r="EE85" s="107" t="str">
        <f t="shared" si="155"/>
        <v>(2,4,1,3,1,5)</v>
      </c>
      <c r="EF85" s="108">
        <v>1.05</v>
      </c>
      <c r="EG85" s="108">
        <v>1.1000000000000001</v>
      </c>
      <c r="EH85" s="108">
        <v>1</v>
      </c>
      <c r="EI85" s="108">
        <v>1.02</v>
      </c>
      <c r="EJ85" s="108">
        <v>1</v>
      </c>
      <c r="EK85" s="108">
        <v>1.2</v>
      </c>
    </row>
    <row r="86" spans="1:141" ht="24">
      <c r="A86" s="330">
        <v>269487</v>
      </c>
      <c r="B86" s="216"/>
      <c r="C86" s="334"/>
      <c r="D86" s="515">
        <v>5</v>
      </c>
      <c r="E86" s="343" t="s">
        <v>98</v>
      </c>
      <c r="F86" s="437" t="s">
        <v>1219</v>
      </c>
      <c r="G86" s="438" t="s">
        <v>103</v>
      </c>
      <c r="H86" s="455" t="s">
        <v>98</v>
      </c>
      <c r="I86" s="455" t="s">
        <v>98</v>
      </c>
      <c r="J86" s="336">
        <v>0</v>
      </c>
      <c r="K86" s="438" t="s">
        <v>96</v>
      </c>
      <c r="L86" s="440">
        <f t="shared" si="90"/>
        <v>0</v>
      </c>
      <c r="M86" s="336">
        <v>1</v>
      </c>
      <c r="N86" s="337">
        <f t="shared" si="106"/>
        <v>1.05</v>
      </c>
      <c r="O86" s="455" t="str">
        <f t="shared" si="107"/>
        <v xml:space="preserve">(na,na,na,na,na,na); </v>
      </c>
      <c r="P86" s="440">
        <f t="shared" si="91"/>
        <v>0</v>
      </c>
      <c r="Q86" s="336">
        <v>1</v>
      </c>
      <c r="R86" s="337">
        <f t="shared" si="108"/>
        <v>1.05</v>
      </c>
      <c r="S86" s="455" t="str">
        <f t="shared" si="109"/>
        <v xml:space="preserve">(na,na,na,na,na,na); </v>
      </c>
      <c r="T86" s="440">
        <f t="shared" si="92"/>
        <v>0</v>
      </c>
      <c r="U86" s="336">
        <v>1</v>
      </c>
      <c r="V86" s="337">
        <f t="shared" si="110"/>
        <v>1.05</v>
      </c>
      <c r="W86" s="455" t="str">
        <f t="shared" si="111"/>
        <v xml:space="preserve">(na,na,na,na,na,na); </v>
      </c>
      <c r="X86" s="440">
        <f t="shared" si="93"/>
        <v>0</v>
      </c>
      <c r="Y86" s="336">
        <v>1</v>
      </c>
      <c r="Z86" s="337">
        <f t="shared" si="112"/>
        <v>1.05</v>
      </c>
      <c r="AA86" s="437" t="str">
        <f t="shared" si="113"/>
        <v xml:space="preserve">(na,na,na,na,na,na); </v>
      </c>
      <c r="AB86" s="440">
        <v>0</v>
      </c>
      <c r="AC86" s="336">
        <v>1</v>
      </c>
      <c r="AD86" s="337">
        <f t="shared" si="114"/>
        <v>1.05</v>
      </c>
      <c r="AE86" s="437" t="str">
        <f t="shared" si="115"/>
        <v xml:space="preserve">(na,na,na,na,na,na); </v>
      </c>
      <c r="AF86" s="440">
        <f t="shared" si="156"/>
        <v>0</v>
      </c>
      <c r="AG86" s="336">
        <v>1</v>
      </c>
      <c r="AH86" s="337">
        <f t="shared" si="116"/>
        <v>1.05</v>
      </c>
      <c r="AI86" s="455" t="str">
        <f t="shared" si="117"/>
        <v xml:space="preserve">(na,na,na,na,na,na); </v>
      </c>
      <c r="AJ86" s="440">
        <f t="shared" si="157"/>
        <v>0</v>
      </c>
      <c r="AK86" s="336">
        <v>1</v>
      </c>
      <c r="AL86" s="337">
        <f t="shared" si="118"/>
        <v>1.05</v>
      </c>
      <c r="AM86" s="455" t="str">
        <f t="shared" si="119"/>
        <v xml:space="preserve">(na,na,na,na,na,na); </v>
      </c>
      <c r="AN86" s="440">
        <f t="shared" si="158"/>
        <v>0</v>
      </c>
      <c r="AO86" s="336">
        <v>1</v>
      </c>
      <c r="AP86" s="337">
        <f t="shared" si="120"/>
        <v>1.05</v>
      </c>
      <c r="AQ86" s="455" t="str">
        <f t="shared" si="121"/>
        <v xml:space="preserve">(na,na,na,na,na,na); </v>
      </c>
      <c r="AR86" s="440">
        <f t="shared" si="159"/>
        <v>0</v>
      </c>
      <c r="AS86" s="336">
        <v>1</v>
      </c>
      <c r="AT86" s="337">
        <f t="shared" si="122"/>
        <v>1.05</v>
      </c>
      <c r="AU86" s="455" t="str">
        <f t="shared" si="123"/>
        <v xml:space="preserve">(na,na,na,na,na,na); </v>
      </c>
      <c r="AV86" s="440">
        <v>0</v>
      </c>
      <c r="AW86" s="336">
        <v>1</v>
      </c>
      <c r="AX86" s="337">
        <f t="shared" si="124"/>
        <v>1.05</v>
      </c>
      <c r="AY86" s="437" t="str">
        <f t="shared" si="125"/>
        <v xml:space="preserve">(na,na,na,na,na,na); </v>
      </c>
      <c r="AZ86" s="440">
        <f t="shared" si="160"/>
        <v>0</v>
      </c>
      <c r="BA86" s="95">
        <v>1</v>
      </c>
      <c r="BB86" s="96">
        <f t="shared" si="126"/>
        <v>1.05</v>
      </c>
      <c r="BC86" s="457" t="str">
        <f t="shared" si="127"/>
        <v xml:space="preserve">(na,na,na,na,na,na); </v>
      </c>
      <c r="BD86" s="435">
        <f t="shared" si="161"/>
        <v>0</v>
      </c>
      <c r="BE86" s="95">
        <v>1</v>
      </c>
      <c r="BF86" s="96">
        <f t="shared" si="128"/>
        <v>1.05</v>
      </c>
      <c r="BG86" s="457" t="str">
        <f t="shared" si="129"/>
        <v xml:space="preserve">(na,na,na,na,na,na); </v>
      </c>
      <c r="BH86" s="435">
        <f t="shared" si="162"/>
        <v>0</v>
      </c>
      <c r="BI86" s="95">
        <v>1</v>
      </c>
      <c r="BJ86" s="96">
        <f t="shared" si="130"/>
        <v>1.05</v>
      </c>
      <c r="BK86" s="457" t="str">
        <f t="shared" si="131"/>
        <v xml:space="preserve">(na,na,na,na,na,na); </v>
      </c>
      <c r="BL86" s="435">
        <f t="shared" si="163"/>
        <v>0</v>
      </c>
      <c r="BM86" s="95">
        <v>1</v>
      </c>
      <c r="BN86" s="96">
        <f t="shared" si="132"/>
        <v>1.05</v>
      </c>
      <c r="BO86" s="457" t="str">
        <f t="shared" si="133"/>
        <v xml:space="preserve">(na,na,na,na,na,na); </v>
      </c>
      <c r="BP86" s="435">
        <f>AV86</f>
        <v>0</v>
      </c>
      <c r="BQ86" s="95">
        <v>1</v>
      </c>
      <c r="BR86" s="96">
        <f t="shared" si="134"/>
        <v>1.05</v>
      </c>
      <c r="BS86" s="432" t="str">
        <f t="shared" si="135"/>
        <v xml:space="preserve">(na,na,na,na,na,na); </v>
      </c>
      <c r="BT86" s="435">
        <f t="shared" si="164"/>
        <v>0</v>
      </c>
      <c r="BU86" s="95">
        <v>1</v>
      </c>
      <c r="BV86" s="96">
        <f t="shared" si="136"/>
        <v>1.05</v>
      </c>
      <c r="BW86" s="457" t="str">
        <f t="shared" si="137"/>
        <v xml:space="preserve">(na,na,na,na,na,na); </v>
      </c>
      <c r="BX86" s="435">
        <f t="shared" si="165"/>
        <v>0</v>
      </c>
      <c r="BY86" s="95">
        <v>1</v>
      </c>
      <c r="BZ86" s="96">
        <f t="shared" si="138"/>
        <v>1.05</v>
      </c>
      <c r="CA86" s="457" t="str">
        <f t="shared" si="139"/>
        <v xml:space="preserve">(na,na,na,na,na,na); </v>
      </c>
      <c r="CB86" s="435">
        <f t="shared" si="166"/>
        <v>0</v>
      </c>
      <c r="CC86" s="95">
        <v>1</v>
      </c>
      <c r="CD86" s="96">
        <f t="shared" si="140"/>
        <v>1.05</v>
      </c>
      <c r="CE86" s="457" t="str">
        <f t="shared" si="141"/>
        <v xml:space="preserve">(na,na,na,na,na,na); </v>
      </c>
      <c r="CF86" s="435">
        <f t="shared" si="167"/>
        <v>0</v>
      </c>
      <c r="CG86" s="95">
        <v>1</v>
      </c>
      <c r="CH86" s="96">
        <f t="shared" si="142"/>
        <v>1.05</v>
      </c>
      <c r="CI86" s="457" t="str">
        <f t="shared" si="168"/>
        <v xml:space="preserve">(na,na,na,na,na,na); </v>
      </c>
      <c r="CJ86" s="435">
        <v>0</v>
      </c>
      <c r="CK86" s="95">
        <v>1</v>
      </c>
      <c r="CL86" s="96">
        <f t="shared" si="144"/>
        <v>1.05</v>
      </c>
      <c r="CM86" s="437" t="str">
        <f t="shared" si="145"/>
        <v xml:space="preserve">(na,na,na,na,na,na); </v>
      </c>
      <c r="CN86" s="435">
        <f>750000/25500000</f>
        <v>2.9411764705882353E-2</v>
      </c>
      <c r="CO86" s="95">
        <v>1</v>
      </c>
      <c r="CP86" s="96">
        <f t="shared" si="146"/>
        <v>1.2434566510799234</v>
      </c>
      <c r="CQ86" s="457" t="str">
        <f t="shared" si="147"/>
        <v>(2,4,1,3,1,5); Brailovsky (2026) GM 08-RW; wastes for production chain from SoG Silicon to Panel</v>
      </c>
      <c r="CR86" s="435">
        <f>CN86</f>
        <v>2.9411764705882353E-2</v>
      </c>
      <c r="CS86" s="95">
        <v>1</v>
      </c>
      <c r="CT86" s="96">
        <f t="shared" si="148"/>
        <v>1.2434566510799234</v>
      </c>
      <c r="CU86" s="432" t="str">
        <f t="shared" si="149"/>
        <v>(2,4,1,3,1,5); Brailovsky (2026) GM 08-RW; wastes for production chain from SoG Silicon to Panel</v>
      </c>
      <c r="CV86" s="399"/>
      <c r="CW86" s="435"/>
      <c r="CX86" s="435"/>
      <c r="CY86" s="435"/>
      <c r="CZ86" s="435"/>
      <c r="DA86" s="692"/>
      <c r="DB86" s="83" t="s">
        <v>106</v>
      </c>
      <c r="DC86" s="83" t="s">
        <v>106</v>
      </c>
      <c r="DD86" s="83" t="s">
        <v>106</v>
      </c>
      <c r="DE86" s="83" t="s">
        <v>106</v>
      </c>
      <c r="DF86" s="83" t="s">
        <v>106</v>
      </c>
      <c r="DG86" s="83" t="s">
        <v>106</v>
      </c>
      <c r="DH86" s="104">
        <v>6</v>
      </c>
      <c r="DI86" s="104">
        <v>1.05</v>
      </c>
      <c r="DJ86" s="107">
        <f t="shared" si="150"/>
        <v>1</v>
      </c>
      <c r="DK86" s="107">
        <f t="shared" si="151"/>
        <v>1.05</v>
      </c>
      <c r="DL86" s="107" t="str">
        <f t="shared" si="152"/>
        <v>(na,na,na,na,na,na)</v>
      </c>
      <c r="DM86" s="108">
        <v>1</v>
      </c>
      <c r="DN86" s="108">
        <v>1</v>
      </c>
      <c r="DO86" s="108">
        <v>1</v>
      </c>
      <c r="DP86" s="108">
        <v>1</v>
      </c>
      <c r="DQ86" s="108">
        <v>1</v>
      </c>
      <c r="DR86" s="108">
        <v>1</v>
      </c>
      <c r="DS86" s="399"/>
      <c r="DT86" s="691" t="s">
        <v>1218</v>
      </c>
      <c r="DU86" s="83">
        <v>2</v>
      </c>
      <c r="DV86" s="83">
        <v>4</v>
      </c>
      <c r="DW86" s="83">
        <v>1</v>
      </c>
      <c r="DX86" s="83">
        <v>3</v>
      </c>
      <c r="DY86" s="83">
        <v>1</v>
      </c>
      <c r="DZ86" s="83">
        <v>5</v>
      </c>
      <c r="EA86" s="104">
        <v>6</v>
      </c>
      <c r="EB86" s="104">
        <v>1.05</v>
      </c>
      <c r="EC86" s="107">
        <f t="shared" si="153"/>
        <v>1.2365959919080913</v>
      </c>
      <c r="ED86" s="107">
        <f t="shared" si="154"/>
        <v>1.2434566510799234</v>
      </c>
      <c r="EE86" s="107" t="str">
        <f t="shared" si="155"/>
        <v>(2,4,1,3,1,5)</v>
      </c>
      <c r="EF86" s="108">
        <v>1.05</v>
      </c>
      <c r="EG86" s="108">
        <v>1.1000000000000001</v>
      </c>
      <c r="EH86" s="108">
        <v>1</v>
      </c>
      <c r="EI86" s="108">
        <v>1.02</v>
      </c>
      <c r="EJ86" s="108">
        <v>1</v>
      </c>
      <c r="EK86" s="108">
        <v>1.2</v>
      </c>
    </row>
    <row r="87" spans="1:141" ht="24">
      <c r="A87" s="330">
        <v>269487</v>
      </c>
      <c r="B87" s="216"/>
      <c r="C87" s="334"/>
      <c r="D87" s="515">
        <v>5</v>
      </c>
      <c r="E87" s="343" t="s">
        <v>98</v>
      </c>
      <c r="F87" s="437" t="s">
        <v>1219</v>
      </c>
      <c r="G87" s="438" t="s">
        <v>103</v>
      </c>
      <c r="H87" s="455" t="s">
        <v>98</v>
      </c>
      <c r="I87" s="455" t="s">
        <v>98</v>
      </c>
      <c r="J87" s="336">
        <v>0</v>
      </c>
      <c r="K87" s="438" t="s">
        <v>96</v>
      </c>
      <c r="L87" s="440">
        <f t="shared" si="90"/>
        <v>0</v>
      </c>
      <c r="M87" s="336">
        <v>1</v>
      </c>
      <c r="N87" s="337">
        <f t="shared" si="106"/>
        <v>1.05</v>
      </c>
      <c r="O87" s="455" t="str">
        <f t="shared" si="107"/>
        <v xml:space="preserve">(na,na,na,na,na,na); </v>
      </c>
      <c r="P87" s="440">
        <f t="shared" si="91"/>
        <v>0</v>
      </c>
      <c r="Q87" s="336">
        <v>1</v>
      </c>
      <c r="R87" s="337">
        <f t="shared" si="108"/>
        <v>1.05</v>
      </c>
      <c r="S87" s="455" t="str">
        <f t="shared" si="109"/>
        <v xml:space="preserve">(na,na,na,na,na,na); </v>
      </c>
      <c r="T87" s="440">
        <f t="shared" si="92"/>
        <v>0</v>
      </c>
      <c r="U87" s="336">
        <v>1</v>
      </c>
      <c r="V87" s="337">
        <f t="shared" si="110"/>
        <v>1.05</v>
      </c>
      <c r="W87" s="455" t="str">
        <f t="shared" si="111"/>
        <v xml:space="preserve">(na,na,na,na,na,na); </v>
      </c>
      <c r="X87" s="440">
        <f t="shared" si="93"/>
        <v>0</v>
      </c>
      <c r="Y87" s="336">
        <v>1</v>
      </c>
      <c r="Z87" s="337">
        <f t="shared" si="112"/>
        <v>1.05</v>
      </c>
      <c r="AA87" s="437" t="str">
        <f t="shared" si="113"/>
        <v xml:space="preserve">(na,na,na,na,na,na); </v>
      </c>
      <c r="AB87" s="440">
        <v>0</v>
      </c>
      <c r="AC87" s="336">
        <v>1</v>
      </c>
      <c r="AD87" s="337">
        <f t="shared" si="114"/>
        <v>1.05</v>
      </c>
      <c r="AE87" s="437" t="str">
        <f t="shared" si="115"/>
        <v xml:space="preserve">(na,na,na,na,na,na); </v>
      </c>
      <c r="AF87" s="440">
        <f t="shared" si="156"/>
        <v>0</v>
      </c>
      <c r="AG87" s="336">
        <v>1</v>
      </c>
      <c r="AH87" s="337">
        <f t="shared" si="116"/>
        <v>1.05</v>
      </c>
      <c r="AI87" s="455" t="str">
        <f t="shared" si="117"/>
        <v xml:space="preserve">(na,na,na,na,na,na); </v>
      </c>
      <c r="AJ87" s="440">
        <f t="shared" si="157"/>
        <v>0</v>
      </c>
      <c r="AK87" s="336">
        <v>1</v>
      </c>
      <c r="AL87" s="337">
        <f t="shared" si="118"/>
        <v>1.05</v>
      </c>
      <c r="AM87" s="455" t="str">
        <f t="shared" si="119"/>
        <v xml:space="preserve">(na,na,na,na,na,na); </v>
      </c>
      <c r="AN87" s="440">
        <f t="shared" si="158"/>
        <v>0</v>
      </c>
      <c r="AO87" s="336">
        <v>1</v>
      </c>
      <c r="AP87" s="337">
        <f t="shared" si="120"/>
        <v>1.05</v>
      </c>
      <c r="AQ87" s="455" t="str">
        <f t="shared" si="121"/>
        <v xml:space="preserve">(na,na,na,na,na,na); </v>
      </c>
      <c r="AR87" s="440">
        <f t="shared" si="159"/>
        <v>0</v>
      </c>
      <c r="AS87" s="336">
        <v>1</v>
      </c>
      <c r="AT87" s="337">
        <f t="shared" si="122"/>
        <v>1.05</v>
      </c>
      <c r="AU87" s="455" t="str">
        <f t="shared" si="123"/>
        <v xml:space="preserve">(na,na,na,na,na,na); </v>
      </c>
      <c r="AV87" s="440">
        <v>0</v>
      </c>
      <c r="AW87" s="336">
        <v>1</v>
      </c>
      <c r="AX87" s="337">
        <f t="shared" si="124"/>
        <v>1.05</v>
      </c>
      <c r="AY87" s="437" t="str">
        <f t="shared" si="125"/>
        <v xml:space="preserve">(na,na,na,na,na,na); </v>
      </c>
      <c r="AZ87" s="440">
        <f t="shared" si="160"/>
        <v>0</v>
      </c>
      <c r="BA87" s="95">
        <v>1</v>
      </c>
      <c r="BB87" s="96">
        <f t="shared" si="126"/>
        <v>1.05</v>
      </c>
      <c r="BC87" s="457" t="str">
        <f t="shared" si="127"/>
        <v xml:space="preserve">(na,na,na,na,na,na); </v>
      </c>
      <c r="BD87" s="435">
        <f t="shared" si="161"/>
        <v>0</v>
      </c>
      <c r="BE87" s="95">
        <v>1</v>
      </c>
      <c r="BF87" s="96">
        <f t="shared" si="128"/>
        <v>1.05</v>
      </c>
      <c r="BG87" s="457" t="str">
        <f t="shared" si="129"/>
        <v xml:space="preserve">(na,na,na,na,na,na); </v>
      </c>
      <c r="BH87" s="435">
        <f t="shared" si="162"/>
        <v>0</v>
      </c>
      <c r="BI87" s="95">
        <v>1</v>
      </c>
      <c r="BJ87" s="96">
        <f t="shared" si="130"/>
        <v>1.05</v>
      </c>
      <c r="BK87" s="457" t="str">
        <f t="shared" si="131"/>
        <v xml:space="preserve">(na,na,na,na,na,na); </v>
      </c>
      <c r="BL87" s="435">
        <f t="shared" si="163"/>
        <v>0</v>
      </c>
      <c r="BM87" s="95">
        <v>1</v>
      </c>
      <c r="BN87" s="96">
        <f t="shared" si="132"/>
        <v>1.05</v>
      </c>
      <c r="BO87" s="457" t="str">
        <f t="shared" si="133"/>
        <v xml:space="preserve">(na,na,na,na,na,na); </v>
      </c>
      <c r="BP87" s="435">
        <f>AV87</f>
        <v>0</v>
      </c>
      <c r="BQ87" s="95">
        <v>1</v>
      </c>
      <c r="BR87" s="96">
        <f t="shared" si="134"/>
        <v>1.05</v>
      </c>
      <c r="BS87" s="432" t="str">
        <f t="shared" si="135"/>
        <v xml:space="preserve">(na,na,na,na,na,na); </v>
      </c>
      <c r="BT87" s="435">
        <f t="shared" si="164"/>
        <v>0</v>
      </c>
      <c r="BU87" s="95">
        <v>1</v>
      </c>
      <c r="BV87" s="96">
        <f t="shared" si="136"/>
        <v>1.05</v>
      </c>
      <c r="BW87" s="457" t="str">
        <f t="shared" si="137"/>
        <v xml:space="preserve">(na,na,na,na,na,na); </v>
      </c>
      <c r="BX87" s="435">
        <f t="shared" si="165"/>
        <v>0</v>
      </c>
      <c r="BY87" s="95">
        <v>1</v>
      </c>
      <c r="BZ87" s="96">
        <f t="shared" si="138"/>
        <v>1.05</v>
      </c>
      <c r="CA87" s="457" t="str">
        <f t="shared" si="139"/>
        <v xml:space="preserve">(na,na,na,na,na,na); </v>
      </c>
      <c r="CB87" s="435">
        <f t="shared" si="166"/>
        <v>0</v>
      </c>
      <c r="CC87" s="95">
        <v>1</v>
      </c>
      <c r="CD87" s="96">
        <f t="shared" si="140"/>
        <v>1.05</v>
      </c>
      <c r="CE87" s="457" t="str">
        <f t="shared" si="141"/>
        <v xml:space="preserve">(na,na,na,na,na,na); </v>
      </c>
      <c r="CF87" s="435">
        <f t="shared" si="167"/>
        <v>0</v>
      </c>
      <c r="CG87" s="95">
        <v>1</v>
      </c>
      <c r="CH87" s="96">
        <f t="shared" si="142"/>
        <v>1.05</v>
      </c>
      <c r="CI87" s="457" t="str">
        <f t="shared" si="168"/>
        <v xml:space="preserve">(na,na,na,na,na,na); </v>
      </c>
      <c r="CJ87" s="435">
        <v>0</v>
      </c>
      <c r="CK87" s="95">
        <v>1</v>
      </c>
      <c r="CL87" s="96">
        <f t="shared" si="144"/>
        <v>1.05</v>
      </c>
      <c r="CM87" s="437" t="str">
        <f t="shared" si="145"/>
        <v xml:space="preserve">(na,na,na,na,na,na); </v>
      </c>
      <c r="CN87" s="435">
        <f>12900/25500000</f>
        <v>5.0588235294117643E-4</v>
      </c>
      <c r="CO87" s="95">
        <v>1</v>
      </c>
      <c r="CP87" s="96">
        <f t="shared" si="146"/>
        <v>1.2434566510799234</v>
      </c>
      <c r="CQ87" s="457" t="str">
        <f t="shared" si="147"/>
        <v>(2,4,1,3,1,5); Brailovsky (2026) GM 08-RW; wastes for production chain from SoG Silicon to Panel</v>
      </c>
      <c r="CR87" s="435">
        <f>CN87</f>
        <v>5.0588235294117643E-4</v>
      </c>
      <c r="CS87" s="95">
        <v>1</v>
      </c>
      <c r="CT87" s="96">
        <f t="shared" si="148"/>
        <v>1.2434566510799234</v>
      </c>
      <c r="CU87" s="432" t="str">
        <f t="shared" si="149"/>
        <v>(2,4,1,3,1,5); Brailovsky (2026) GM 08-RW; wastes for production chain from SoG Silicon to Panel</v>
      </c>
      <c r="CV87" s="399"/>
      <c r="CW87" s="435"/>
      <c r="CX87" s="435"/>
      <c r="CY87" s="435"/>
      <c r="CZ87" s="435"/>
      <c r="DA87" s="692"/>
      <c r="DB87" s="83" t="s">
        <v>106</v>
      </c>
      <c r="DC87" s="83" t="s">
        <v>106</v>
      </c>
      <c r="DD87" s="83" t="s">
        <v>106</v>
      </c>
      <c r="DE87" s="83" t="s">
        <v>106</v>
      </c>
      <c r="DF87" s="83" t="s">
        <v>106</v>
      </c>
      <c r="DG87" s="83" t="s">
        <v>106</v>
      </c>
      <c r="DH87" s="104">
        <v>6</v>
      </c>
      <c r="DI87" s="104">
        <v>1.05</v>
      </c>
      <c r="DJ87" s="107">
        <f t="shared" si="150"/>
        <v>1</v>
      </c>
      <c r="DK87" s="107">
        <f t="shared" si="151"/>
        <v>1.05</v>
      </c>
      <c r="DL87" s="107" t="str">
        <f t="shared" si="152"/>
        <v>(na,na,na,na,na,na)</v>
      </c>
      <c r="DM87" s="108">
        <v>1</v>
      </c>
      <c r="DN87" s="108">
        <v>1</v>
      </c>
      <c r="DO87" s="108">
        <v>1</v>
      </c>
      <c r="DP87" s="108">
        <v>1</v>
      </c>
      <c r="DQ87" s="108">
        <v>1</v>
      </c>
      <c r="DR87" s="108">
        <v>1</v>
      </c>
      <c r="DS87" s="399"/>
      <c r="DT87" s="691" t="s">
        <v>1218</v>
      </c>
      <c r="DU87" s="83">
        <v>2</v>
      </c>
      <c r="DV87" s="83">
        <v>4</v>
      </c>
      <c r="DW87" s="83">
        <v>1</v>
      </c>
      <c r="DX87" s="83">
        <v>3</v>
      </c>
      <c r="DY87" s="83">
        <v>1</v>
      </c>
      <c r="DZ87" s="83">
        <v>5</v>
      </c>
      <c r="EA87" s="104">
        <v>6</v>
      </c>
      <c r="EB87" s="104">
        <v>1.05</v>
      </c>
      <c r="EC87" s="107">
        <f t="shared" si="153"/>
        <v>1.2365959919080913</v>
      </c>
      <c r="ED87" s="107">
        <f t="shared" si="154"/>
        <v>1.2434566510799234</v>
      </c>
      <c r="EE87" s="107" t="str">
        <f t="shared" si="155"/>
        <v>(2,4,1,3,1,5)</v>
      </c>
      <c r="EF87" s="108">
        <v>1.05</v>
      </c>
      <c r="EG87" s="108">
        <v>1.1000000000000001</v>
      </c>
      <c r="EH87" s="108">
        <v>1</v>
      </c>
      <c r="EI87" s="108">
        <v>1.02</v>
      </c>
      <c r="EJ87" s="108">
        <v>1</v>
      </c>
      <c r="EK87" s="108">
        <v>1.2</v>
      </c>
    </row>
    <row r="88" spans="1:141" s="171" customFormat="1" ht="24">
      <c r="A88" s="333">
        <v>266447</v>
      </c>
      <c r="B88" s="216"/>
      <c r="C88" s="334"/>
      <c r="D88" s="515">
        <v>5</v>
      </c>
      <c r="E88" s="343" t="s">
        <v>98</v>
      </c>
      <c r="F88" s="437" t="s">
        <v>1220</v>
      </c>
      <c r="G88" s="438" t="s">
        <v>103</v>
      </c>
      <c r="H88" s="455" t="s">
        <v>98</v>
      </c>
      <c r="I88" s="455" t="s">
        <v>98</v>
      </c>
      <c r="J88" s="336">
        <v>0</v>
      </c>
      <c r="K88" s="438" t="s">
        <v>96</v>
      </c>
      <c r="L88" s="440">
        <f t="shared" si="90"/>
        <v>0</v>
      </c>
      <c r="M88" s="336">
        <v>1</v>
      </c>
      <c r="N88" s="337">
        <f t="shared" si="106"/>
        <v>1.05</v>
      </c>
      <c r="O88" s="455" t="str">
        <f t="shared" si="107"/>
        <v xml:space="preserve">(na,na,na,na,na,na); </v>
      </c>
      <c r="P88" s="440">
        <f t="shared" si="91"/>
        <v>0</v>
      </c>
      <c r="Q88" s="336">
        <v>1</v>
      </c>
      <c r="R88" s="337">
        <f t="shared" si="108"/>
        <v>1.05</v>
      </c>
      <c r="S88" s="455" t="str">
        <f t="shared" si="109"/>
        <v xml:space="preserve">(na,na,na,na,na,na); </v>
      </c>
      <c r="T88" s="440">
        <f t="shared" si="92"/>
        <v>0</v>
      </c>
      <c r="U88" s="336">
        <v>1</v>
      </c>
      <c r="V88" s="337">
        <f t="shared" si="110"/>
        <v>1.05</v>
      </c>
      <c r="W88" s="455" t="str">
        <f t="shared" si="111"/>
        <v xml:space="preserve">(na,na,na,na,na,na); </v>
      </c>
      <c r="X88" s="440">
        <f t="shared" si="93"/>
        <v>0</v>
      </c>
      <c r="Y88" s="336">
        <v>1</v>
      </c>
      <c r="Z88" s="337">
        <f t="shared" si="112"/>
        <v>1.05</v>
      </c>
      <c r="AA88" s="437" t="str">
        <f t="shared" si="113"/>
        <v xml:space="preserve">(na,na,na,na,na,na); </v>
      </c>
      <c r="AB88" s="440">
        <v>0</v>
      </c>
      <c r="AC88" s="336">
        <v>1</v>
      </c>
      <c r="AD88" s="337">
        <f t="shared" si="114"/>
        <v>1.05</v>
      </c>
      <c r="AE88" s="437" t="str">
        <f t="shared" si="115"/>
        <v xml:space="preserve">(na,na,na,na,na,na); </v>
      </c>
      <c r="AF88" s="440">
        <f t="shared" si="156"/>
        <v>0</v>
      </c>
      <c r="AG88" s="336">
        <v>1</v>
      </c>
      <c r="AH88" s="337">
        <f t="shared" si="116"/>
        <v>1.05</v>
      </c>
      <c r="AI88" s="455" t="str">
        <f t="shared" si="117"/>
        <v xml:space="preserve">(na,na,na,na,na,na); </v>
      </c>
      <c r="AJ88" s="440">
        <f t="shared" si="157"/>
        <v>0</v>
      </c>
      <c r="AK88" s="336">
        <v>1</v>
      </c>
      <c r="AL88" s="337">
        <f t="shared" si="118"/>
        <v>1.05</v>
      </c>
      <c r="AM88" s="455" t="str">
        <f t="shared" si="119"/>
        <v xml:space="preserve">(na,na,na,na,na,na); </v>
      </c>
      <c r="AN88" s="440">
        <f t="shared" si="158"/>
        <v>0</v>
      </c>
      <c r="AO88" s="336">
        <v>1</v>
      </c>
      <c r="AP88" s="337">
        <f t="shared" si="120"/>
        <v>1.05</v>
      </c>
      <c r="AQ88" s="455" t="str">
        <f t="shared" si="121"/>
        <v xml:space="preserve">(na,na,na,na,na,na); </v>
      </c>
      <c r="AR88" s="440">
        <f t="shared" si="159"/>
        <v>0</v>
      </c>
      <c r="AS88" s="336">
        <v>1</v>
      </c>
      <c r="AT88" s="337">
        <f t="shared" si="122"/>
        <v>1.05</v>
      </c>
      <c r="AU88" s="455" t="str">
        <f t="shared" si="123"/>
        <v xml:space="preserve">(na,na,na,na,na,na); </v>
      </c>
      <c r="AV88" s="440">
        <v>0</v>
      </c>
      <c r="AW88" s="336">
        <v>1</v>
      </c>
      <c r="AX88" s="337">
        <f t="shared" si="124"/>
        <v>1.05</v>
      </c>
      <c r="AY88" s="437" t="str">
        <f t="shared" si="125"/>
        <v xml:space="preserve">(na,na,na,na,na,na); </v>
      </c>
      <c r="AZ88" s="440">
        <f t="shared" si="160"/>
        <v>0</v>
      </c>
      <c r="BA88" s="336">
        <v>1</v>
      </c>
      <c r="BB88" s="337">
        <f t="shared" si="126"/>
        <v>1.05</v>
      </c>
      <c r="BC88" s="455" t="str">
        <f t="shared" si="127"/>
        <v xml:space="preserve">(na,na,na,na,na,na); </v>
      </c>
      <c r="BD88" s="440">
        <f t="shared" si="161"/>
        <v>0</v>
      </c>
      <c r="BE88" s="336">
        <v>1</v>
      </c>
      <c r="BF88" s="337">
        <f t="shared" si="128"/>
        <v>1.05</v>
      </c>
      <c r="BG88" s="455" t="str">
        <f t="shared" si="129"/>
        <v xml:space="preserve">(na,na,na,na,na,na); </v>
      </c>
      <c r="BH88" s="440">
        <f t="shared" si="162"/>
        <v>0</v>
      </c>
      <c r="BI88" s="336">
        <v>1</v>
      </c>
      <c r="BJ88" s="337">
        <f t="shared" si="130"/>
        <v>1.05</v>
      </c>
      <c r="BK88" s="455" t="str">
        <f t="shared" si="131"/>
        <v xml:space="preserve">(na,na,na,na,na,na); </v>
      </c>
      <c r="BL88" s="440">
        <f t="shared" si="163"/>
        <v>0</v>
      </c>
      <c r="BM88" s="336">
        <v>1</v>
      </c>
      <c r="BN88" s="337">
        <f t="shared" si="132"/>
        <v>1.05</v>
      </c>
      <c r="BO88" s="455" t="str">
        <f t="shared" si="133"/>
        <v xml:space="preserve">(na,na,na,na,na,na); </v>
      </c>
      <c r="BP88" s="440">
        <v>0</v>
      </c>
      <c r="BQ88" s="336">
        <v>1</v>
      </c>
      <c r="BR88" s="337">
        <f t="shared" si="134"/>
        <v>1.05</v>
      </c>
      <c r="BS88" s="437" t="str">
        <f t="shared" si="135"/>
        <v xml:space="preserve">(na,na,na,na,na,na); </v>
      </c>
      <c r="BT88" s="440">
        <f t="shared" si="164"/>
        <v>0</v>
      </c>
      <c r="BU88" s="336">
        <v>1</v>
      </c>
      <c r="BV88" s="337">
        <f t="shared" si="136"/>
        <v>1.05</v>
      </c>
      <c r="BW88" s="455" t="str">
        <f t="shared" si="137"/>
        <v xml:space="preserve">(na,na,na,na,na,na); </v>
      </c>
      <c r="BX88" s="440">
        <f t="shared" si="165"/>
        <v>0</v>
      </c>
      <c r="BY88" s="336">
        <v>1</v>
      </c>
      <c r="BZ88" s="337">
        <f t="shared" si="138"/>
        <v>1.05</v>
      </c>
      <c r="CA88" s="455" t="str">
        <f t="shared" si="139"/>
        <v xml:space="preserve">(na,na,na,na,na,na); </v>
      </c>
      <c r="CB88" s="440">
        <f t="shared" si="166"/>
        <v>0</v>
      </c>
      <c r="CC88" s="336">
        <v>1</v>
      </c>
      <c r="CD88" s="337">
        <f t="shared" si="140"/>
        <v>1.05</v>
      </c>
      <c r="CE88" s="455" t="str">
        <f t="shared" si="141"/>
        <v xml:space="preserve">(na,na,na,na,na,na); </v>
      </c>
      <c r="CF88" s="440">
        <f t="shared" si="167"/>
        <v>0</v>
      </c>
      <c r="CG88" s="336">
        <v>1</v>
      </c>
      <c r="CH88" s="337">
        <f t="shared" si="142"/>
        <v>1.05</v>
      </c>
      <c r="CI88" s="455" t="str">
        <f t="shared" si="168"/>
        <v xml:space="preserve">(na,na,na,na,na,na); </v>
      </c>
      <c r="CJ88" s="440">
        <v>0</v>
      </c>
      <c r="CK88" s="336">
        <v>1</v>
      </c>
      <c r="CL88" s="337">
        <f t="shared" si="144"/>
        <v>1.05</v>
      </c>
      <c r="CM88" s="437" t="str">
        <f t="shared" si="145"/>
        <v xml:space="preserve">(na,na,na,na,na,na); </v>
      </c>
      <c r="CN88" s="440">
        <f>123000/25500000</f>
        <v>4.8235294117647057E-3</v>
      </c>
      <c r="CO88" s="336">
        <v>1</v>
      </c>
      <c r="CP88" s="337">
        <f t="shared" si="146"/>
        <v>1.2434566510799234</v>
      </c>
      <c r="CQ88" s="455" t="str">
        <f t="shared" si="147"/>
        <v>(2,4,1,3,1,5); Brailovsky (2026) GM 08-RW; wastes for production chain from SoG Silicon to Panel</v>
      </c>
      <c r="CR88" s="440">
        <f>CN88</f>
        <v>4.8235294117647057E-3</v>
      </c>
      <c r="CS88" s="336">
        <v>1</v>
      </c>
      <c r="CT88" s="337">
        <f t="shared" si="148"/>
        <v>1.2434566510799234</v>
      </c>
      <c r="CU88" s="437" t="str">
        <f t="shared" si="149"/>
        <v>(2,4,1,3,1,5); Brailovsky (2026) GM 08-RW; wastes for production chain from SoG Silicon to Panel</v>
      </c>
      <c r="CW88" s="440"/>
      <c r="CX88" s="440"/>
      <c r="CY88" s="440"/>
      <c r="CZ88" s="440"/>
      <c r="DA88" s="691"/>
      <c r="DB88" s="83" t="s">
        <v>106</v>
      </c>
      <c r="DC88" s="83" t="s">
        <v>106</v>
      </c>
      <c r="DD88" s="83" t="s">
        <v>106</v>
      </c>
      <c r="DE88" s="83" t="s">
        <v>106</v>
      </c>
      <c r="DF88" s="83" t="s">
        <v>106</v>
      </c>
      <c r="DG88" s="83" t="s">
        <v>106</v>
      </c>
      <c r="DH88" s="104">
        <v>6</v>
      </c>
      <c r="DI88" s="104">
        <v>1.05</v>
      </c>
      <c r="DJ88" s="107">
        <f t="shared" si="150"/>
        <v>1</v>
      </c>
      <c r="DK88" s="107">
        <f t="shared" si="151"/>
        <v>1.05</v>
      </c>
      <c r="DL88" s="107" t="str">
        <f t="shared" si="152"/>
        <v>(na,na,na,na,na,na)</v>
      </c>
      <c r="DM88" s="108">
        <v>1</v>
      </c>
      <c r="DN88" s="108">
        <v>1</v>
      </c>
      <c r="DO88" s="108">
        <v>1</v>
      </c>
      <c r="DP88" s="108">
        <v>1</v>
      </c>
      <c r="DQ88" s="108">
        <v>1</v>
      </c>
      <c r="DR88" s="108">
        <v>1</v>
      </c>
      <c r="DT88" s="691" t="s">
        <v>1218</v>
      </c>
      <c r="DU88" s="83">
        <v>2</v>
      </c>
      <c r="DV88" s="83">
        <v>4</v>
      </c>
      <c r="DW88" s="83">
        <v>1</v>
      </c>
      <c r="DX88" s="83">
        <v>3</v>
      </c>
      <c r="DY88" s="83">
        <v>1</v>
      </c>
      <c r="DZ88" s="83">
        <v>5</v>
      </c>
      <c r="EA88" s="104">
        <v>6</v>
      </c>
      <c r="EB88" s="104">
        <v>1.05</v>
      </c>
      <c r="EC88" s="107">
        <f t="shared" si="153"/>
        <v>1.2365959919080913</v>
      </c>
      <c r="ED88" s="107">
        <f t="shared" si="154"/>
        <v>1.2434566510799234</v>
      </c>
      <c r="EE88" s="107" t="str">
        <f t="shared" si="155"/>
        <v>(2,4,1,3,1,5)</v>
      </c>
      <c r="EF88" s="108">
        <v>1.05</v>
      </c>
      <c r="EG88" s="108">
        <v>1.1000000000000001</v>
      </c>
      <c r="EH88" s="108">
        <v>1</v>
      </c>
      <c r="EI88" s="108">
        <v>1.02</v>
      </c>
      <c r="EJ88" s="108">
        <v>1</v>
      </c>
      <c r="EK88" s="108">
        <v>1.2</v>
      </c>
    </row>
    <row r="89" spans="1:141" ht="24">
      <c r="A89" s="330">
        <v>89719</v>
      </c>
      <c r="B89" s="216"/>
      <c r="C89" s="334"/>
      <c r="D89" s="515">
        <v>5</v>
      </c>
      <c r="E89" s="343" t="s">
        <v>98</v>
      </c>
      <c r="F89" s="437" t="s">
        <v>1221</v>
      </c>
      <c r="G89" s="438" t="s">
        <v>103</v>
      </c>
      <c r="H89" s="455" t="s">
        <v>98</v>
      </c>
      <c r="I89" s="455" t="s">
        <v>98</v>
      </c>
      <c r="J89" s="336">
        <v>0</v>
      </c>
      <c r="K89" s="438" t="s">
        <v>96</v>
      </c>
      <c r="L89" s="440">
        <f t="shared" si="90"/>
        <v>0</v>
      </c>
      <c r="M89" s="336">
        <v>1</v>
      </c>
      <c r="N89" s="337">
        <f t="shared" si="106"/>
        <v>1.05</v>
      </c>
      <c r="O89" s="455" t="str">
        <f t="shared" si="107"/>
        <v xml:space="preserve">(na,na,na,na,na,na); </v>
      </c>
      <c r="P89" s="440">
        <f t="shared" si="91"/>
        <v>0</v>
      </c>
      <c r="Q89" s="336">
        <v>1</v>
      </c>
      <c r="R89" s="337">
        <f t="shared" si="108"/>
        <v>1.05</v>
      </c>
      <c r="S89" s="455" t="str">
        <f t="shared" si="109"/>
        <v xml:space="preserve">(na,na,na,na,na,na); </v>
      </c>
      <c r="T89" s="440">
        <f t="shared" si="92"/>
        <v>0</v>
      </c>
      <c r="U89" s="336">
        <v>1</v>
      </c>
      <c r="V89" s="337">
        <f t="shared" si="110"/>
        <v>1.05</v>
      </c>
      <c r="W89" s="455" t="str">
        <f t="shared" si="111"/>
        <v xml:space="preserve">(na,na,na,na,na,na); </v>
      </c>
      <c r="X89" s="440">
        <f t="shared" si="93"/>
        <v>0</v>
      </c>
      <c r="Y89" s="336">
        <v>1</v>
      </c>
      <c r="Z89" s="337">
        <f t="shared" si="112"/>
        <v>1.05</v>
      </c>
      <c r="AA89" s="437" t="str">
        <f t="shared" si="113"/>
        <v xml:space="preserve">(na,na,na,na,na,na); </v>
      </c>
      <c r="AB89" s="440">
        <v>0</v>
      </c>
      <c r="AC89" s="336">
        <v>1</v>
      </c>
      <c r="AD89" s="337">
        <f t="shared" si="114"/>
        <v>1.05</v>
      </c>
      <c r="AE89" s="437" t="str">
        <f t="shared" si="115"/>
        <v xml:space="preserve">(na,na,na,na,na,na); </v>
      </c>
      <c r="AF89" s="440">
        <f t="shared" si="156"/>
        <v>0</v>
      </c>
      <c r="AG89" s="336">
        <v>1</v>
      </c>
      <c r="AH89" s="337">
        <f t="shared" si="116"/>
        <v>1.05</v>
      </c>
      <c r="AI89" s="455" t="str">
        <f t="shared" si="117"/>
        <v xml:space="preserve">(na,na,na,na,na,na); </v>
      </c>
      <c r="AJ89" s="440">
        <f t="shared" si="157"/>
        <v>0</v>
      </c>
      <c r="AK89" s="336">
        <v>1</v>
      </c>
      <c r="AL89" s="337">
        <f t="shared" si="118"/>
        <v>1.05</v>
      </c>
      <c r="AM89" s="455" t="str">
        <f t="shared" si="119"/>
        <v xml:space="preserve">(na,na,na,na,na,na); </v>
      </c>
      <c r="AN89" s="440">
        <f t="shared" si="158"/>
        <v>0</v>
      </c>
      <c r="AO89" s="336">
        <v>1</v>
      </c>
      <c r="AP89" s="337">
        <f t="shared" si="120"/>
        <v>1.05</v>
      </c>
      <c r="AQ89" s="455" t="str">
        <f t="shared" si="121"/>
        <v xml:space="preserve">(na,na,na,na,na,na); </v>
      </c>
      <c r="AR89" s="440">
        <f t="shared" si="159"/>
        <v>0</v>
      </c>
      <c r="AS89" s="336">
        <v>1</v>
      </c>
      <c r="AT89" s="337">
        <f t="shared" si="122"/>
        <v>1.05</v>
      </c>
      <c r="AU89" s="455" t="str">
        <f t="shared" si="123"/>
        <v xml:space="preserve">(na,na,na,na,na,na); </v>
      </c>
      <c r="AV89" s="440">
        <v>0</v>
      </c>
      <c r="AW89" s="336">
        <v>1</v>
      </c>
      <c r="AX89" s="337">
        <f t="shared" si="124"/>
        <v>1.05</v>
      </c>
      <c r="AY89" s="437" t="str">
        <f t="shared" si="125"/>
        <v xml:space="preserve">(na,na,na,na,na,na); </v>
      </c>
      <c r="AZ89" s="440">
        <f t="shared" si="160"/>
        <v>0</v>
      </c>
      <c r="BA89" s="95">
        <v>1</v>
      </c>
      <c r="BB89" s="96">
        <f t="shared" si="126"/>
        <v>1.05</v>
      </c>
      <c r="BC89" s="457" t="str">
        <f t="shared" si="127"/>
        <v xml:space="preserve">(na,na,na,na,na,na); </v>
      </c>
      <c r="BD89" s="435">
        <f t="shared" si="161"/>
        <v>0</v>
      </c>
      <c r="BE89" s="95">
        <v>1</v>
      </c>
      <c r="BF89" s="96">
        <f t="shared" si="128"/>
        <v>1.05</v>
      </c>
      <c r="BG89" s="457" t="str">
        <f t="shared" si="129"/>
        <v xml:space="preserve">(na,na,na,na,na,na); </v>
      </c>
      <c r="BH89" s="435">
        <f t="shared" si="162"/>
        <v>0</v>
      </c>
      <c r="BI89" s="95">
        <v>1</v>
      </c>
      <c r="BJ89" s="96">
        <f t="shared" si="130"/>
        <v>1.05</v>
      </c>
      <c r="BK89" s="457" t="str">
        <f t="shared" si="131"/>
        <v xml:space="preserve">(na,na,na,na,na,na); </v>
      </c>
      <c r="BL89" s="435">
        <f t="shared" si="163"/>
        <v>0</v>
      </c>
      <c r="BM89" s="95">
        <v>1</v>
      </c>
      <c r="BN89" s="96">
        <f t="shared" si="132"/>
        <v>1.05</v>
      </c>
      <c r="BO89" s="457" t="str">
        <f t="shared" si="133"/>
        <v xml:space="preserve">(na,na,na,na,na,na); </v>
      </c>
      <c r="BP89" s="435">
        <f>AV89</f>
        <v>0</v>
      </c>
      <c r="BQ89" s="95">
        <v>1</v>
      </c>
      <c r="BR89" s="96">
        <f t="shared" si="134"/>
        <v>1.05</v>
      </c>
      <c r="BS89" s="432" t="str">
        <f t="shared" si="135"/>
        <v xml:space="preserve">(na,na,na,na,na,na); </v>
      </c>
      <c r="BT89" s="435">
        <f t="shared" si="164"/>
        <v>0</v>
      </c>
      <c r="BU89" s="95">
        <v>1</v>
      </c>
      <c r="BV89" s="96">
        <f t="shared" si="136"/>
        <v>1.05</v>
      </c>
      <c r="BW89" s="457" t="str">
        <f t="shared" si="137"/>
        <v xml:space="preserve">(na,na,na,na,na,na); </v>
      </c>
      <c r="BX89" s="435">
        <f t="shared" si="165"/>
        <v>0</v>
      </c>
      <c r="BY89" s="95">
        <v>1</v>
      </c>
      <c r="BZ89" s="96">
        <f t="shared" si="138"/>
        <v>1.05</v>
      </c>
      <c r="CA89" s="457" t="str">
        <f t="shared" si="139"/>
        <v xml:space="preserve">(na,na,na,na,na,na); </v>
      </c>
      <c r="CB89" s="435">
        <f t="shared" si="166"/>
        <v>0</v>
      </c>
      <c r="CC89" s="95">
        <v>1</v>
      </c>
      <c r="CD89" s="96">
        <f t="shared" si="140"/>
        <v>1.05</v>
      </c>
      <c r="CE89" s="457" t="str">
        <f t="shared" si="141"/>
        <v xml:space="preserve">(na,na,na,na,na,na); </v>
      </c>
      <c r="CF89" s="435">
        <f t="shared" si="167"/>
        <v>0</v>
      </c>
      <c r="CG89" s="95">
        <v>1</v>
      </c>
      <c r="CH89" s="96">
        <f t="shared" si="142"/>
        <v>1.05</v>
      </c>
      <c r="CI89" s="457" t="str">
        <f t="shared" si="168"/>
        <v xml:space="preserve">(na,na,na,na,na,na); </v>
      </c>
      <c r="CJ89" s="435">
        <v>0</v>
      </c>
      <c r="CK89" s="95">
        <v>1</v>
      </c>
      <c r="CL89" s="96">
        <f t="shared" si="144"/>
        <v>1.05</v>
      </c>
      <c r="CM89" s="437" t="str">
        <f t="shared" si="145"/>
        <v xml:space="preserve">(na,na,na,na,na,na); </v>
      </c>
      <c r="CN89" s="435">
        <v>1.6000000000000001E-3</v>
      </c>
      <c r="CO89" s="95">
        <v>1</v>
      </c>
      <c r="CP89" s="96">
        <f t="shared" si="146"/>
        <v>1.2434566510799234</v>
      </c>
      <c r="CQ89" s="457" t="str">
        <f t="shared" si="147"/>
        <v>(2,4,1,3,1,5); Brailovsky (2026) GP 08</v>
      </c>
      <c r="CR89" s="435">
        <v>1.6000000000000001E-3</v>
      </c>
      <c r="CS89" s="336">
        <v>1</v>
      </c>
      <c r="CT89" s="337">
        <f t="shared" si="148"/>
        <v>1.2434566510799234</v>
      </c>
      <c r="CU89" s="437" t="str">
        <f t="shared" si="149"/>
        <v>(2,4,1,3,1,5); Brailovsky (2026) GP 08</v>
      </c>
      <c r="CV89" s="467"/>
      <c r="CW89" s="435"/>
      <c r="CX89" s="435"/>
      <c r="CY89" s="435"/>
      <c r="CZ89" s="435"/>
      <c r="DA89" s="692"/>
      <c r="DB89" s="83" t="s">
        <v>106</v>
      </c>
      <c r="DC89" s="83" t="s">
        <v>106</v>
      </c>
      <c r="DD89" s="83" t="s">
        <v>106</v>
      </c>
      <c r="DE89" s="83" t="s">
        <v>106</v>
      </c>
      <c r="DF89" s="83" t="s">
        <v>106</v>
      </c>
      <c r="DG89" s="83" t="s">
        <v>106</v>
      </c>
      <c r="DH89" s="104">
        <v>6</v>
      </c>
      <c r="DI89" s="104">
        <v>1.05</v>
      </c>
      <c r="DJ89" s="107">
        <f t="shared" si="150"/>
        <v>1</v>
      </c>
      <c r="DK89" s="107">
        <f t="shared" si="151"/>
        <v>1.05</v>
      </c>
      <c r="DL89" s="107" t="str">
        <f t="shared" si="152"/>
        <v>(na,na,na,na,na,na)</v>
      </c>
      <c r="DM89" s="108">
        <v>1</v>
      </c>
      <c r="DN89" s="108">
        <v>1</v>
      </c>
      <c r="DO89" s="108">
        <v>1</v>
      </c>
      <c r="DP89" s="108">
        <v>1</v>
      </c>
      <c r="DQ89" s="108">
        <v>1</v>
      </c>
      <c r="DR89" s="108">
        <v>1</v>
      </c>
      <c r="DS89" s="399"/>
      <c r="DT89" s="692" t="s">
        <v>1171</v>
      </c>
      <c r="DU89" s="83">
        <v>2</v>
      </c>
      <c r="DV89" s="83">
        <v>4</v>
      </c>
      <c r="DW89" s="83">
        <v>1</v>
      </c>
      <c r="DX89" s="83">
        <v>3</v>
      </c>
      <c r="DY89" s="83">
        <v>1</v>
      </c>
      <c r="DZ89" s="83">
        <v>5</v>
      </c>
      <c r="EA89" s="104">
        <v>6</v>
      </c>
      <c r="EB89" s="104">
        <v>1.05</v>
      </c>
      <c r="EC89" s="107">
        <f t="shared" si="153"/>
        <v>1.2365959919080913</v>
      </c>
      <c r="ED89" s="107">
        <f t="shared" si="154"/>
        <v>1.2434566510799234</v>
      </c>
      <c r="EE89" s="107" t="str">
        <f t="shared" si="155"/>
        <v>(2,4,1,3,1,5)</v>
      </c>
      <c r="EF89" s="108">
        <v>1.05</v>
      </c>
      <c r="EG89" s="108">
        <v>1.1000000000000001</v>
      </c>
      <c r="EH89" s="108">
        <v>1</v>
      </c>
      <c r="EI89" s="108">
        <v>1.02</v>
      </c>
      <c r="EJ89" s="108">
        <v>1</v>
      </c>
      <c r="EK89" s="108">
        <v>1.2</v>
      </c>
    </row>
    <row r="90" spans="1:141" s="171" customFormat="1" ht="24">
      <c r="A90" s="333">
        <v>268315</v>
      </c>
      <c r="B90" s="216"/>
      <c r="C90" s="334"/>
      <c r="D90" s="515">
        <v>5</v>
      </c>
      <c r="E90" s="343" t="s">
        <v>98</v>
      </c>
      <c r="F90" s="437" t="s">
        <v>1222</v>
      </c>
      <c r="G90" s="438" t="s">
        <v>103</v>
      </c>
      <c r="H90" s="455" t="s">
        <v>98</v>
      </c>
      <c r="I90" s="455" t="s">
        <v>98</v>
      </c>
      <c r="J90" s="336">
        <v>0</v>
      </c>
      <c r="K90" s="438" t="s">
        <v>96</v>
      </c>
      <c r="L90" s="440">
        <f t="shared" si="90"/>
        <v>0</v>
      </c>
      <c r="M90" s="336">
        <v>1</v>
      </c>
      <c r="N90" s="337">
        <f t="shared" si="106"/>
        <v>1.05</v>
      </c>
      <c r="O90" s="455" t="str">
        <f t="shared" si="107"/>
        <v xml:space="preserve">(na,na,na,na,na,na); </v>
      </c>
      <c r="P90" s="440">
        <f t="shared" si="91"/>
        <v>0</v>
      </c>
      <c r="Q90" s="336">
        <v>1</v>
      </c>
      <c r="R90" s="337">
        <f t="shared" si="108"/>
        <v>1.05</v>
      </c>
      <c r="S90" s="455" t="str">
        <f t="shared" si="109"/>
        <v xml:space="preserve">(na,na,na,na,na,na); </v>
      </c>
      <c r="T90" s="440">
        <f t="shared" si="92"/>
        <v>0</v>
      </c>
      <c r="U90" s="336">
        <v>1</v>
      </c>
      <c r="V90" s="337">
        <f t="shared" si="110"/>
        <v>1.05</v>
      </c>
      <c r="W90" s="455" t="str">
        <f t="shared" si="111"/>
        <v xml:space="preserve">(na,na,na,na,na,na); </v>
      </c>
      <c r="X90" s="440">
        <f t="shared" si="93"/>
        <v>0</v>
      </c>
      <c r="Y90" s="336">
        <v>1</v>
      </c>
      <c r="Z90" s="337">
        <f t="shared" si="112"/>
        <v>1.05</v>
      </c>
      <c r="AA90" s="437" t="str">
        <f t="shared" si="113"/>
        <v xml:space="preserve">(na,na,na,na,na,na); </v>
      </c>
      <c r="AB90" s="440">
        <v>0</v>
      </c>
      <c r="AC90" s="336">
        <v>1</v>
      </c>
      <c r="AD90" s="337">
        <f t="shared" si="114"/>
        <v>1.05</v>
      </c>
      <c r="AE90" s="437" t="str">
        <f t="shared" si="115"/>
        <v xml:space="preserve">(na,na,na,na,na,na); </v>
      </c>
      <c r="AF90" s="440">
        <f t="shared" si="156"/>
        <v>0</v>
      </c>
      <c r="AG90" s="336">
        <v>1</v>
      </c>
      <c r="AH90" s="337">
        <f t="shared" si="116"/>
        <v>1.05</v>
      </c>
      <c r="AI90" s="455" t="str">
        <f t="shared" si="117"/>
        <v xml:space="preserve">(na,na,na,na,na,na); </v>
      </c>
      <c r="AJ90" s="440">
        <f t="shared" si="157"/>
        <v>0</v>
      </c>
      <c r="AK90" s="336">
        <v>1</v>
      </c>
      <c r="AL90" s="337">
        <f t="shared" si="118"/>
        <v>1.05</v>
      </c>
      <c r="AM90" s="455" t="str">
        <f t="shared" si="119"/>
        <v xml:space="preserve">(na,na,na,na,na,na); </v>
      </c>
      <c r="AN90" s="440">
        <f t="shared" si="158"/>
        <v>0</v>
      </c>
      <c r="AO90" s="336">
        <v>1</v>
      </c>
      <c r="AP90" s="337">
        <f t="shared" si="120"/>
        <v>1.05</v>
      </c>
      <c r="AQ90" s="455" t="str">
        <f t="shared" si="121"/>
        <v xml:space="preserve">(na,na,na,na,na,na); </v>
      </c>
      <c r="AR90" s="440">
        <f t="shared" si="159"/>
        <v>0</v>
      </c>
      <c r="AS90" s="336">
        <v>1</v>
      </c>
      <c r="AT90" s="337">
        <f t="shared" si="122"/>
        <v>1.05</v>
      </c>
      <c r="AU90" s="455" t="str">
        <f t="shared" si="123"/>
        <v xml:space="preserve">(na,na,na,na,na,na); </v>
      </c>
      <c r="AV90" s="440">
        <v>0</v>
      </c>
      <c r="AW90" s="336">
        <v>1</v>
      </c>
      <c r="AX90" s="337">
        <f t="shared" si="124"/>
        <v>1.05</v>
      </c>
      <c r="AY90" s="437" t="str">
        <f t="shared" si="125"/>
        <v xml:space="preserve">(na,na,na,na,na,na); </v>
      </c>
      <c r="AZ90" s="440">
        <f t="shared" si="160"/>
        <v>0</v>
      </c>
      <c r="BA90" s="336">
        <v>1</v>
      </c>
      <c r="BB90" s="337">
        <f t="shared" si="126"/>
        <v>1.05</v>
      </c>
      <c r="BC90" s="455" t="str">
        <f t="shared" si="127"/>
        <v xml:space="preserve">(na,na,na,na,na,na); </v>
      </c>
      <c r="BD90" s="440">
        <f t="shared" si="161"/>
        <v>0</v>
      </c>
      <c r="BE90" s="336">
        <v>1</v>
      </c>
      <c r="BF90" s="337">
        <f t="shared" si="128"/>
        <v>1.05</v>
      </c>
      <c r="BG90" s="455" t="str">
        <f t="shared" si="129"/>
        <v xml:space="preserve">(na,na,na,na,na,na); </v>
      </c>
      <c r="BH90" s="440">
        <f t="shared" si="162"/>
        <v>0</v>
      </c>
      <c r="BI90" s="336">
        <v>1</v>
      </c>
      <c r="BJ90" s="337">
        <f t="shared" si="130"/>
        <v>1.05</v>
      </c>
      <c r="BK90" s="455" t="str">
        <f t="shared" si="131"/>
        <v xml:space="preserve">(na,na,na,na,na,na); </v>
      </c>
      <c r="BL90" s="440">
        <f t="shared" si="163"/>
        <v>0</v>
      </c>
      <c r="BM90" s="336">
        <v>1</v>
      </c>
      <c r="BN90" s="337">
        <f t="shared" si="132"/>
        <v>1.05</v>
      </c>
      <c r="BO90" s="455" t="str">
        <f t="shared" si="133"/>
        <v xml:space="preserve">(na,na,na,na,na,na); </v>
      </c>
      <c r="BP90" s="440">
        <v>0</v>
      </c>
      <c r="BQ90" s="336">
        <v>1</v>
      </c>
      <c r="BR90" s="337">
        <f t="shared" si="134"/>
        <v>1.05</v>
      </c>
      <c r="BS90" s="437" t="str">
        <f t="shared" si="135"/>
        <v xml:space="preserve">(na,na,na,na,na,na); </v>
      </c>
      <c r="BT90" s="440">
        <f t="shared" si="164"/>
        <v>0</v>
      </c>
      <c r="BU90" s="336">
        <v>1</v>
      </c>
      <c r="BV90" s="337">
        <f t="shared" si="136"/>
        <v>1.05</v>
      </c>
      <c r="BW90" s="455" t="str">
        <f t="shared" si="137"/>
        <v xml:space="preserve">(na,na,na,na,na,na); </v>
      </c>
      <c r="BX90" s="440">
        <f t="shared" si="165"/>
        <v>0</v>
      </c>
      <c r="BY90" s="336">
        <v>1</v>
      </c>
      <c r="BZ90" s="337">
        <f t="shared" si="138"/>
        <v>1.05</v>
      </c>
      <c r="CA90" s="455" t="str">
        <f t="shared" si="139"/>
        <v xml:space="preserve">(na,na,na,na,na,na); </v>
      </c>
      <c r="CB90" s="440">
        <f t="shared" si="166"/>
        <v>0</v>
      </c>
      <c r="CC90" s="336">
        <v>1</v>
      </c>
      <c r="CD90" s="337">
        <f t="shared" si="140"/>
        <v>1.05</v>
      </c>
      <c r="CE90" s="455" t="str">
        <f t="shared" si="141"/>
        <v xml:space="preserve">(na,na,na,na,na,na); </v>
      </c>
      <c r="CF90" s="440">
        <f t="shared" si="167"/>
        <v>0</v>
      </c>
      <c r="CG90" s="336">
        <v>1</v>
      </c>
      <c r="CH90" s="337">
        <f t="shared" si="142"/>
        <v>1.05</v>
      </c>
      <c r="CI90" s="455" t="str">
        <f t="shared" si="168"/>
        <v xml:space="preserve">(na,na,na,na,na,na); </v>
      </c>
      <c r="CJ90" s="440">
        <v>0</v>
      </c>
      <c r="CK90" s="336">
        <v>1</v>
      </c>
      <c r="CL90" s="337">
        <f t="shared" si="144"/>
        <v>1.05</v>
      </c>
      <c r="CM90" s="437" t="str">
        <f t="shared" si="145"/>
        <v xml:space="preserve">(na,na,na,na,na,na); </v>
      </c>
      <c r="CN90" s="440">
        <f>60300/25500000</f>
        <v>2.3647058823529411E-3</v>
      </c>
      <c r="CO90" s="336">
        <v>1</v>
      </c>
      <c r="CP90" s="337">
        <f t="shared" si="146"/>
        <v>1.2434566510799234</v>
      </c>
      <c r="CQ90" s="455" t="str">
        <f t="shared" si="147"/>
        <v>(2,4,1,3,1,5); Brailovsky (2026) GM 08-RW; wastes for production chain from SoG Silicon to Panel</v>
      </c>
      <c r="CR90" s="440">
        <f>CN90</f>
        <v>2.3647058823529411E-3</v>
      </c>
      <c r="CS90" s="336">
        <v>1</v>
      </c>
      <c r="CT90" s="337">
        <f t="shared" si="148"/>
        <v>1.2434566510799234</v>
      </c>
      <c r="CU90" s="437" t="str">
        <f t="shared" si="149"/>
        <v>(2,4,1,3,1,5); Brailovsky (2026) GM 08-RW; wastes for production chain from SoG Silicon to Panel</v>
      </c>
      <c r="CW90" s="440"/>
      <c r="CX90" s="440"/>
      <c r="CY90" s="440"/>
      <c r="CZ90" s="440"/>
      <c r="DA90" s="691"/>
      <c r="DB90" s="83" t="s">
        <v>106</v>
      </c>
      <c r="DC90" s="83" t="s">
        <v>106</v>
      </c>
      <c r="DD90" s="83" t="s">
        <v>106</v>
      </c>
      <c r="DE90" s="83" t="s">
        <v>106</v>
      </c>
      <c r="DF90" s="83" t="s">
        <v>106</v>
      </c>
      <c r="DG90" s="83" t="s">
        <v>106</v>
      </c>
      <c r="DH90" s="104">
        <v>6</v>
      </c>
      <c r="DI90" s="104">
        <v>1.05</v>
      </c>
      <c r="DJ90" s="107">
        <f t="shared" si="150"/>
        <v>1</v>
      </c>
      <c r="DK90" s="107">
        <f t="shared" si="151"/>
        <v>1.05</v>
      </c>
      <c r="DL90" s="107" t="str">
        <f t="shared" si="152"/>
        <v>(na,na,na,na,na,na)</v>
      </c>
      <c r="DM90" s="108">
        <v>1</v>
      </c>
      <c r="DN90" s="108">
        <v>1</v>
      </c>
      <c r="DO90" s="108">
        <v>1</v>
      </c>
      <c r="DP90" s="108">
        <v>1</v>
      </c>
      <c r="DQ90" s="108">
        <v>1</v>
      </c>
      <c r="DR90" s="108">
        <v>1</v>
      </c>
      <c r="DT90" s="691" t="s">
        <v>1218</v>
      </c>
      <c r="DU90" s="83">
        <v>2</v>
      </c>
      <c r="DV90" s="83">
        <v>4</v>
      </c>
      <c r="DW90" s="83">
        <v>1</v>
      </c>
      <c r="DX90" s="83">
        <v>3</v>
      </c>
      <c r="DY90" s="83">
        <v>1</v>
      </c>
      <c r="DZ90" s="83">
        <v>5</v>
      </c>
      <c r="EA90" s="104">
        <v>6</v>
      </c>
      <c r="EB90" s="104">
        <v>1.05</v>
      </c>
      <c r="EC90" s="107">
        <f t="shared" si="153"/>
        <v>1.2365959919080913</v>
      </c>
      <c r="ED90" s="107">
        <f t="shared" si="154"/>
        <v>1.2434566510799234</v>
      </c>
      <c r="EE90" s="107" t="str">
        <f t="shared" si="155"/>
        <v>(2,4,1,3,1,5)</v>
      </c>
      <c r="EF90" s="108">
        <v>1.05</v>
      </c>
      <c r="EG90" s="108">
        <v>1.1000000000000001</v>
      </c>
      <c r="EH90" s="108">
        <v>1</v>
      </c>
      <c r="EI90" s="108">
        <v>1.02</v>
      </c>
      <c r="EJ90" s="108">
        <v>1</v>
      </c>
      <c r="EK90" s="108">
        <v>1.2</v>
      </c>
    </row>
    <row r="91" spans="1:141" s="171" customFormat="1" ht="24">
      <c r="A91" s="333">
        <v>268887</v>
      </c>
      <c r="B91" s="216"/>
      <c r="C91" s="334"/>
      <c r="D91" s="515">
        <v>5</v>
      </c>
      <c r="E91" s="343" t="s">
        <v>98</v>
      </c>
      <c r="F91" s="437" t="s">
        <v>1223</v>
      </c>
      <c r="G91" s="438" t="s">
        <v>103</v>
      </c>
      <c r="H91" s="455" t="s">
        <v>98</v>
      </c>
      <c r="I91" s="455" t="s">
        <v>98</v>
      </c>
      <c r="J91" s="336">
        <v>0</v>
      </c>
      <c r="K91" s="438" t="s">
        <v>96</v>
      </c>
      <c r="L91" s="440">
        <f t="shared" si="90"/>
        <v>0</v>
      </c>
      <c r="M91" s="336">
        <v>1</v>
      </c>
      <c r="N91" s="337">
        <f t="shared" si="106"/>
        <v>1.05</v>
      </c>
      <c r="O91" s="455" t="str">
        <f t="shared" si="107"/>
        <v xml:space="preserve">(na,na,na,na,na,na); </v>
      </c>
      <c r="P91" s="440">
        <f t="shared" si="91"/>
        <v>0</v>
      </c>
      <c r="Q91" s="336">
        <v>1</v>
      </c>
      <c r="R91" s="337">
        <f t="shared" si="108"/>
        <v>1.05</v>
      </c>
      <c r="S91" s="455" t="str">
        <f t="shared" si="109"/>
        <v xml:space="preserve">(na,na,na,na,na,na); </v>
      </c>
      <c r="T91" s="440">
        <f t="shared" si="92"/>
        <v>0</v>
      </c>
      <c r="U91" s="336">
        <v>1</v>
      </c>
      <c r="V91" s="337">
        <f t="shared" si="110"/>
        <v>1.05</v>
      </c>
      <c r="W91" s="455" t="str">
        <f t="shared" si="111"/>
        <v xml:space="preserve">(na,na,na,na,na,na); </v>
      </c>
      <c r="X91" s="440">
        <f t="shared" si="93"/>
        <v>0</v>
      </c>
      <c r="Y91" s="336">
        <v>1</v>
      </c>
      <c r="Z91" s="337">
        <f t="shared" si="112"/>
        <v>1.05</v>
      </c>
      <c r="AA91" s="437" t="str">
        <f t="shared" si="113"/>
        <v xml:space="preserve">(na,na,na,na,na,na); </v>
      </c>
      <c r="AB91" s="440">
        <v>0</v>
      </c>
      <c r="AC91" s="336">
        <v>1</v>
      </c>
      <c r="AD91" s="337">
        <f t="shared" si="114"/>
        <v>1.05</v>
      </c>
      <c r="AE91" s="437" t="str">
        <f t="shared" si="115"/>
        <v xml:space="preserve">(na,na,na,na,na,na); </v>
      </c>
      <c r="AF91" s="440">
        <f t="shared" si="156"/>
        <v>0</v>
      </c>
      <c r="AG91" s="336">
        <v>1</v>
      </c>
      <c r="AH91" s="337">
        <f t="shared" si="116"/>
        <v>1.05</v>
      </c>
      <c r="AI91" s="455" t="str">
        <f t="shared" si="117"/>
        <v xml:space="preserve">(na,na,na,na,na,na); </v>
      </c>
      <c r="AJ91" s="440">
        <f t="shared" si="157"/>
        <v>0</v>
      </c>
      <c r="AK91" s="336">
        <v>1</v>
      </c>
      <c r="AL91" s="337">
        <f t="shared" si="118"/>
        <v>1.05</v>
      </c>
      <c r="AM91" s="455" t="str">
        <f t="shared" si="119"/>
        <v xml:space="preserve">(na,na,na,na,na,na); </v>
      </c>
      <c r="AN91" s="440">
        <f t="shared" si="158"/>
        <v>0</v>
      </c>
      <c r="AO91" s="336">
        <v>1</v>
      </c>
      <c r="AP91" s="337">
        <f t="shared" si="120"/>
        <v>1.05</v>
      </c>
      <c r="AQ91" s="455" t="str">
        <f t="shared" si="121"/>
        <v xml:space="preserve">(na,na,na,na,na,na); </v>
      </c>
      <c r="AR91" s="440">
        <f t="shared" si="159"/>
        <v>0</v>
      </c>
      <c r="AS91" s="336">
        <v>1</v>
      </c>
      <c r="AT91" s="337">
        <f t="shared" si="122"/>
        <v>1.05</v>
      </c>
      <c r="AU91" s="455" t="str">
        <f t="shared" si="123"/>
        <v xml:space="preserve">(na,na,na,na,na,na); </v>
      </c>
      <c r="AV91" s="440">
        <v>0</v>
      </c>
      <c r="AW91" s="336">
        <v>1</v>
      </c>
      <c r="AX91" s="337">
        <f t="shared" si="124"/>
        <v>1.05</v>
      </c>
      <c r="AY91" s="437" t="str">
        <f t="shared" si="125"/>
        <v xml:space="preserve">(na,na,na,na,na,na); </v>
      </c>
      <c r="AZ91" s="440">
        <f t="shared" si="160"/>
        <v>0</v>
      </c>
      <c r="BA91" s="336">
        <v>1</v>
      </c>
      <c r="BB91" s="337">
        <f t="shared" si="126"/>
        <v>1.05</v>
      </c>
      <c r="BC91" s="455" t="str">
        <f t="shared" si="127"/>
        <v xml:space="preserve">(na,na,na,na,na,na); </v>
      </c>
      <c r="BD91" s="440">
        <f t="shared" si="161"/>
        <v>0</v>
      </c>
      <c r="BE91" s="336">
        <v>1</v>
      </c>
      <c r="BF91" s="337">
        <f t="shared" si="128"/>
        <v>1.05</v>
      </c>
      <c r="BG91" s="455" t="str">
        <f t="shared" si="129"/>
        <v xml:space="preserve">(na,na,na,na,na,na); </v>
      </c>
      <c r="BH91" s="440">
        <f t="shared" si="162"/>
        <v>0</v>
      </c>
      <c r="BI91" s="336">
        <v>1</v>
      </c>
      <c r="BJ91" s="337">
        <f t="shared" si="130"/>
        <v>1.05</v>
      </c>
      <c r="BK91" s="455" t="str">
        <f t="shared" si="131"/>
        <v xml:space="preserve">(na,na,na,na,na,na); </v>
      </c>
      <c r="BL91" s="440">
        <f t="shared" si="163"/>
        <v>0</v>
      </c>
      <c r="BM91" s="336">
        <v>1</v>
      </c>
      <c r="BN91" s="337">
        <f t="shared" si="132"/>
        <v>1.05</v>
      </c>
      <c r="BO91" s="455" t="str">
        <f t="shared" si="133"/>
        <v xml:space="preserve">(na,na,na,na,na,na); </v>
      </c>
      <c r="BP91" s="440">
        <v>0</v>
      </c>
      <c r="BQ91" s="336">
        <v>1</v>
      </c>
      <c r="BR91" s="337">
        <f t="shared" si="134"/>
        <v>1.05</v>
      </c>
      <c r="BS91" s="437" t="str">
        <f t="shared" si="135"/>
        <v xml:space="preserve">(na,na,na,na,na,na); </v>
      </c>
      <c r="BT91" s="440">
        <f t="shared" si="164"/>
        <v>0</v>
      </c>
      <c r="BU91" s="336">
        <v>1</v>
      </c>
      <c r="BV91" s="337">
        <f t="shared" si="136"/>
        <v>1.05</v>
      </c>
      <c r="BW91" s="455" t="str">
        <f t="shared" si="137"/>
        <v xml:space="preserve">(na,na,na,na,na,na); </v>
      </c>
      <c r="BX91" s="440">
        <f t="shared" si="165"/>
        <v>0</v>
      </c>
      <c r="BY91" s="336">
        <v>1</v>
      </c>
      <c r="BZ91" s="337">
        <f t="shared" si="138"/>
        <v>1.05</v>
      </c>
      <c r="CA91" s="455" t="str">
        <f t="shared" si="139"/>
        <v xml:space="preserve">(na,na,na,na,na,na); </v>
      </c>
      <c r="CB91" s="440">
        <f t="shared" si="166"/>
        <v>0</v>
      </c>
      <c r="CC91" s="336">
        <v>1</v>
      </c>
      <c r="CD91" s="337">
        <f t="shared" si="140"/>
        <v>1.05</v>
      </c>
      <c r="CE91" s="455" t="str">
        <f t="shared" si="141"/>
        <v xml:space="preserve">(na,na,na,na,na,na); </v>
      </c>
      <c r="CF91" s="440">
        <f t="shared" si="167"/>
        <v>0</v>
      </c>
      <c r="CG91" s="336">
        <v>1</v>
      </c>
      <c r="CH91" s="337">
        <f t="shared" si="142"/>
        <v>1.05</v>
      </c>
      <c r="CI91" s="455" t="str">
        <f t="shared" si="168"/>
        <v xml:space="preserve">(na,na,na,na,na,na); </v>
      </c>
      <c r="CJ91" s="440">
        <v>0</v>
      </c>
      <c r="CK91" s="336">
        <v>1</v>
      </c>
      <c r="CL91" s="337">
        <f t="shared" si="144"/>
        <v>1.05</v>
      </c>
      <c r="CM91" s="437" t="str">
        <f t="shared" si="145"/>
        <v xml:space="preserve">(na,na,na,na,na,na); </v>
      </c>
      <c r="CN91" s="440">
        <f>583000/25500000</f>
        <v>2.2862745098039216E-2</v>
      </c>
      <c r="CO91" s="336">
        <v>1</v>
      </c>
      <c r="CP91" s="337">
        <f t="shared" si="146"/>
        <v>1.2434566510799234</v>
      </c>
      <c r="CQ91" s="455" t="str">
        <f t="shared" si="147"/>
        <v>(2,4,1,3,1,5); Brailovsky (2026) GM 08-RW; wastes for production chain from SoG Silicon to Panel</v>
      </c>
      <c r="CR91" s="440">
        <f>CN91</f>
        <v>2.2862745098039216E-2</v>
      </c>
      <c r="CS91" s="336">
        <v>1</v>
      </c>
      <c r="CT91" s="337">
        <f t="shared" si="148"/>
        <v>1.2434566510799234</v>
      </c>
      <c r="CU91" s="437" t="str">
        <f t="shared" si="149"/>
        <v>(2,4,1,3,1,5); Brailovsky (2026) GM 08-RW; wastes for production chain from SoG Silicon to Panel</v>
      </c>
      <c r="CW91" s="440"/>
      <c r="CX91" s="440"/>
      <c r="CY91" s="440"/>
      <c r="CZ91" s="440"/>
      <c r="DA91" s="691"/>
      <c r="DB91" s="83" t="s">
        <v>106</v>
      </c>
      <c r="DC91" s="83" t="s">
        <v>106</v>
      </c>
      <c r="DD91" s="83" t="s">
        <v>106</v>
      </c>
      <c r="DE91" s="83" t="s">
        <v>106</v>
      </c>
      <c r="DF91" s="83" t="s">
        <v>106</v>
      </c>
      <c r="DG91" s="83" t="s">
        <v>106</v>
      </c>
      <c r="DH91" s="104">
        <v>6</v>
      </c>
      <c r="DI91" s="104">
        <v>1.05</v>
      </c>
      <c r="DJ91" s="107">
        <f t="shared" si="150"/>
        <v>1</v>
      </c>
      <c r="DK91" s="107">
        <f t="shared" si="151"/>
        <v>1.05</v>
      </c>
      <c r="DL91" s="107" t="str">
        <f t="shared" si="152"/>
        <v>(na,na,na,na,na,na)</v>
      </c>
      <c r="DM91" s="108">
        <v>1</v>
      </c>
      <c r="DN91" s="108">
        <v>1</v>
      </c>
      <c r="DO91" s="108">
        <v>1</v>
      </c>
      <c r="DP91" s="108">
        <v>1</v>
      </c>
      <c r="DQ91" s="108">
        <v>1</v>
      </c>
      <c r="DR91" s="108">
        <v>1</v>
      </c>
      <c r="DT91" s="691" t="s">
        <v>1218</v>
      </c>
      <c r="DU91" s="83">
        <v>2</v>
      </c>
      <c r="DV91" s="83">
        <v>4</v>
      </c>
      <c r="DW91" s="83">
        <v>1</v>
      </c>
      <c r="DX91" s="83">
        <v>3</v>
      </c>
      <c r="DY91" s="83">
        <v>1</v>
      </c>
      <c r="DZ91" s="83">
        <v>5</v>
      </c>
      <c r="EA91" s="104">
        <v>6</v>
      </c>
      <c r="EB91" s="104">
        <v>1.05</v>
      </c>
      <c r="EC91" s="107">
        <f t="shared" si="153"/>
        <v>1.2365959919080913</v>
      </c>
      <c r="ED91" s="107">
        <f t="shared" si="154"/>
        <v>1.2434566510799234</v>
      </c>
      <c r="EE91" s="107" t="str">
        <f t="shared" si="155"/>
        <v>(2,4,1,3,1,5)</v>
      </c>
      <c r="EF91" s="108">
        <v>1.05</v>
      </c>
      <c r="EG91" s="108">
        <v>1.1000000000000001</v>
      </c>
      <c r="EH91" s="108">
        <v>1</v>
      </c>
      <c r="EI91" s="108">
        <v>1.02</v>
      </c>
      <c r="EJ91" s="108">
        <v>1</v>
      </c>
      <c r="EK91" s="108">
        <v>1.2</v>
      </c>
    </row>
    <row r="92" spans="1:141" s="171" customFormat="1" ht="24">
      <c r="A92" s="333">
        <v>268883</v>
      </c>
      <c r="B92" s="216"/>
      <c r="C92" s="334"/>
      <c r="D92" s="515">
        <v>5</v>
      </c>
      <c r="E92" s="343" t="s">
        <v>98</v>
      </c>
      <c r="F92" s="437" t="s">
        <v>1224</v>
      </c>
      <c r="G92" s="438" t="s">
        <v>103</v>
      </c>
      <c r="H92" s="455" t="s">
        <v>98</v>
      </c>
      <c r="I92" s="455" t="s">
        <v>98</v>
      </c>
      <c r="J92" s="336">
        <v>0</v>
      </c>
      <c r="K92" s="438" t="s">
        <v>96</v>
      </c>
      <c r="L92" s="440">
        <f t="shared" si="90"/>
        <v>0</v>
      </c>
      <c r="M92" s="336">
        <v>1</v>
      </c>
      <c r="N92" s="337">
        <f t="shared" si="106"/>
        <v>1.05</v>
      </c>
      <c r="O92" s="455" t="str">
        <f t="shared" si="107"/>
        <v xml:space="preserve">(na,na,na,na,na,na); </v>
      </c>
      <c r="P92" s="440">
        <f t="shared" si="91"/>
        <v>0</v>
      </c>
      <c r="Q92" s="336">
        <v>1</v>
      </c>
      <c r="R92" s="337">
        <f t="shared" si="108"/>
        <v>1.05</v>
      </c>
      <c r="S92" s="455" t="str">
        <f t="shared" si="109"/>
        <v xml:space="preserve">(na,na,na,na,na,na); </v>
      </c>
      <c r="T92" s="440">
        <f t="shared" si="92"/>
        <v>0</v>
      </c>
      <c r="U92" s="336">
        <v>1</v>
      </c>
      <c r="V92" s="337">
        <f t="shared" si="110"/>
        <v>1.05</v>
      </c>
      <c r="W92" s="455" t="str">
        <f t="shared" si="111"/>
        <v xml:space="preserve">(na,na,na,na,na,na); </v>
      </c>
      <c r="X92" s="440">
        <f t="shared" si="93"/>
        <v>0</v>
      </c>
      <c r="Y92" s="336">
        <v>1</v>
      </c>
      <c r="Z92" s="337">
        <f t="shared" si="112"/>
        <v>1.05</v>
      </c>
      <c r="AA92" s="437" t="str">
        <f t="shared" si="113"/>
        <v xml:space="preserve">(na,na,na,na,na,na); </v>
      </c>
      <c r="AB92" s="440">
        <v>0</v>
      </c>
      <c r="AC92" s="336">
        <v>1</v>
      </c>
      <c r="AD92" s="337">
        <f t="shared" si="114"/>
        <v>1.05</v>
      </c>
      <c r="AE92" s="437" t="str">
        <f t="shared" si="115"/>
        <v xml:space="preserve">(na,na,na,na,na,na); </v>
      </c>
      <c r="AF92" s="440">
        <f t="shared" si="156"/>
        <v>0</v>
      </c>
      <c r="AG92" s="336">
        <v>1</v>
      </c>
      <c r="AH92" s="337">
        <f t="shared" si="116"/>
        <v>1.05</v>
      </c>
      <c r="AI92" s="455" t="str">
        <f t="shared" si="117"/>
        <v xml:space="preserve">(na,na,na,na,na,na); </v>
      </c>
      <c r="AJ92" s="440">
        <f t="shared" si="157"/>
        <v>0</v>
      </c>
      <c r="AK92" s="336">
        <v>1</v>
      </c>
      <c r="AL92" s="337">
        <f t="shared" si="118"/>
        <v>1.05</v>
      </c>
      <c r="AM92" s="455" t="str">
        <f t="shared" si="119"/>
        <v xml:space="preserve">(na,na,na,na,na,na); </v>
      </c>
      <c r="AN92" s="440">
        <f t="shared" si="158"/>
        <v>0</v>
      </c>
      <c r="AO92" s="336">
        <v>1</v>
      </c>
      <c r="AP92" s="337">
        <f t="shared" si="120"/>
        <v>1.05</v>
      </c>
      <c r="AQ92" s="455" t="str">
        <f t="shared" si="121"/>
        <v xml:space="preserve">(na,na,na,na,na,na); </v>
      </c>
      <c r="AR92" s="440">
        <f t="shared" si="159"/>
        <v>0</v>
      </c>
      <c r="AS92" s="336">
        <v>1</v>
      </c>
      <c r="AT92" s="337">
        <f t="shared" si="122"/>
        <v>1.05</v>
      </c>
      <c r="AU92" s="455" t="str">
        <f t="shared" si="123"/>
        <v xml:space="preserve">(na,na,na,na,na,na); </v>
      </c>
      <c r="AV92" s="440">
        <v>0</v>
      </c>
      <c r="AW92" s="336">
        <v>1</v>
      </c>
      <c r="AX92" s="337">
        <f t="shared" si="124"/>
        <v>1.05</v>
      </c>
      <c r="AY92" s="437" t="str">
        <f t="shared" si="125"/>
        <v xml:space="preserve">(na,na,na,na,na,na); </v>
      </c>
      <c r="AZ92" s="440">
        <f t="shared" si="160"/>
        <v>0</v>
      </c>
      <c r="BA92" s="336">
        <v>1</v>
      </c>
      <c r="BB92" s="337">
        <f t="shared" si="126"/>
        <v>1.05</v>
      </c>
      <c r="BC92" s="455" t="str">
        <f t="shared" si="127"/>
        <v xml:space="preserve">(na,na,na,na,na,na); </v>
      </c>
      <c r="BD92" s="440">
        <f t="shared" si="161"/>
        <v>0</v>
      </c>
      <c r="BE92" s="336">
        <v>1</v>
      </c>
      <c r="BF92" s="337">
        <f t="shared" si="128"/>
        <v>1.05</v>
      </c>
      <c r="BG92" s="455" t="str">
        <f t="shared" si="129"/>
        <v xml:space="preserve">(na,na,na,na,na,na); </v>
      </c>
      <c r="BH92" s="440">
        <f t="shared" si="162"/>
        <v>0</v>
      </c>
      <c r="BI92" s="336">
        <v>1</v>
      </c>
      <c r="BJ92" s="337">
        <f t="shared" si="130"/>
        <v>1.05</v>
      </c>
      <c r="BK92" s="455" t="str">
        <f t="shared" si="131"/>
        <v xml:space="preserve">(na,na,na,na,na,na); </v>
      </c>
      <c r="BL92" s="440">
        <f t="shared" si="163"/>
        <v>0</v>
      </c>
      <c r="BM92" s="336">
        <v>1</v>
      </c>
      <c r="BN92" s="337">
        <f t="shared" si="132"/>
        <v>1.05</v>
      </c>
      <c r="BO92" s="455" t="str">
        <f t="shared" si="133"/>
        <v xml:space="preserve">(na,na,na,na,na,na); </v>
      </c>
      <c r="BP92" s="440">
        <v>0</v>
      </c>
      <c r="BQ92" s="336">
        <v>1</v>
      </c>
      <c r="BR92" s="337">
        <f t="shared" si="134"/>
        <v>1.05</v>
      </c>
      <c r="BS92" s="437" t="str">
        <f t="shared" si="135"/>
        <v xml:space="preserve">(na,na,na,na,na,na); </v>
      </c>
      <c r="BT92" s="440">
        <f t="shared" si="164"/>
        <v>0</v>
      </c>
      <c r="BU92" s="336">
        <v>1</v>
      </c>
      <c r="BV92" s="337">
        <f t="shared" si="136"/>
        <v>1.05</v>
      </c>
      <c r="BW92" s="455" t="str">
        <f t="shared" si="137"/>
        <v xml:space="preserve">(na,na,na,na,na,na); </v>
      </c>
      <c r="BX92" s="440">
        <f t="shared" si="165"/>
        <v>0</v>
      </c>
      <c r="BY92" s="336">
        <v>1</v>
      </c>
      <c r="BZ92" s="337">
        <f t="shared" si="138"/>
        <v>1.05</v>
      </c>
      <c r="CA92" s="455" t="str">
        <f t="shared" si="139"/>
        <v xml:space="preserve">(na,na,na,na,na,na); </v>
      </c>
      <c r="CB92" s="440">
        <f t="shared" si="166"/>
        <v>0</v>
      </c>
      <c r="CC92" s="336">
        <v>1</v>
      </c>
      <c r="CD92" s="337">
        <f t="shared" si="140"/>
        <v>1.05</v>
      </c>
      <c r="CE92" s="455" t="str">
        <f t="shared" si="141"/>
        <v xml:space="preserve">(na,na,na,na,na,na); </v>
      </c>
      <c r="CF92" s="440">
        <f t="shared" si="167"/>
        <v>0</v>
      </c>
      <c r="CG92" s="336">
        <v>1</v>
      </c>
      <c r="CH92" s="337">
        <f t="shared" si="142"/>
        <v>1.05</v>
      </c>
      <c r="CI92" s="455" t="str">
        <f t="shared" si="168"/>
        <v xml:space="preserve">(na,na,na,na,na,na); </v>
      </c>
      <c r="CJ92" s="440">
        <v>0</v>
      </c>
      <c r="CK92" s="336">
        <v>1</v>
      </c>
      <c r="CL92" s="337">
        <f t="shared" si="144"/>
        <v>1.05</v>
      </c>
      <c r="CM92" s="437" t="str">
        <f t="shared" si="145"/>
        <v xml:space="preserve">(na,na,na,na,na,na); </v>
      </c>
      <c r="CN92" s="440">
        <f>1480/25500000</f>
        <v>5.8039215686274509E-5</v>
      </c>
      <c r="CO92" s="336">
        <v>1</v>
      </c>
      <c r="CP92" s="337">
        <f t="shared" si="146"/>
        <v>1.2434566510799234</v>
      </c>
      <c r="CQ92" s="455" t="str">
        <f t="shared" si="147"/>
        <v>(2,4,1,3,1,5); Brailovsky (2026) GM 08-RW; wastes for production chain from SoG Silicon to Panel</v>
      </c>
      <c r="CR92" s="440">
        <f>CN92</f>
        <v>5.8039215686274509E-5</v>
      </c>
      <c r="CS92" s="336">
        <v>1</v>
      </c>
      <c r="CT92" s="337">
        <f t="shared" si="148"/>
        <v>1.2434566510799234</v>
      </c>
      <c r="CU92" s="437" t="str">
        <f t="shared" si="149"/>
        <v>(2,4,1,3,1,5); Brailovsky (2026) GM 08-RW; wastes for production chain from SoG Silicon to Panel</v>
      </c>
      <c r="CW92" s="440"/>
      <c r="CX92" s="440"/>
      <c r="CY92" s="440"/>
      <c r="CZ92" s="440"/>
      <c r="DA92" s="691"/>
      <c r="DB92" s="83" t="s">
        <v>106</v>
      </c>
      <c r="DC92" s="83" t="s">
        <v>106</v>
      </c>
      <c r="DD92" s="83" t="s">
        <v>106</v>
      </c>
      <c r="DE92" s="83" t="s">
        <v>106</v>
      </c>
      <c r="DF92" s="83" t="s">
        <v>106</v>
      </c>
      <c r="DG92" s="83" t="s">
        <v>106</v>
      </c>
      <c r="DH92" s="104">
        <v>6</v>
      </c>
      <c r="DI92" s="104">
        <v>1.05</v>
      </c>
      <c r="DJ92" s="107">
        <f t="shared" si="150"/>
        <v>1</v>
      </c>
      <c r="DK92" s="107">
        <f t="shared" si="151"/>
        <v>1.05</v>
      </c>
      <c r="DL92" s="107" t="str">
        <f t="shared" si="152"/>
        <v>(na,na,na,na,na,na)</v>
      </c>
      <c r="DM92" s="108">
        <v>1</v>
      </c>
      <c r="DN92" s="108">
        <v>1</v>
      </c>
      <c r="DO92" s="108">
        <v>1</v>
      </c>
      <c r="DP92" s="108">
        <v>1</v>
      </c>
      <c r="DQ92" s="108">
        <v>1</v>
      </c>
      <c r="DR92" s="108">
        <v>1</v>
      </c>
      <c r="DT92" s="691" t="s">
        <v>1218</v>
      </c>
      <c r="DU92" s="83">
        <v>2</v>
      </c>
      <c r="DV92" s="83">
        <v>4</v>
      </c>
      <c r="DW92" s="83">
        <v>1</v>
      </c>
      <c r="DX92" s="83">
        <v>3</v>
      </c>
      <c r="DY92" s="83">
        <v>1</v>
      </c>
      <c r="DZ92" s="83">
        <v>5</v>
      </c>
      <c r="EA92" s="104">
        <v>6</v>
      </c>
      <c r="EB92" s="104">
        <v>1.05</v>
      </c>
      <c r="EC92" s="107">
        <f t="shared" si="153"/>
        <v>1.2365959919080913</v>
      </c>
      <c r="ED92" s="107">
        <f t="shared" si="154"/>
        <v>1.2434566510799234</v>
      </c>
      <c r="EE92" s="107" t="str">
        <f t="shared" si="155"/>
        <v>(2,4,1,3,1,5)</v>
      </c>
      <c r="EF92" s="108">
        <v>1.05</v>
      </c>
      <c r="EG92" s="108">
        <v>1.1000000000000001</v>
      </c>
      <c r="EH92" s="108">
        <v>1</v>
      </c>
      <c r="EI92" s="108">
        <v>1.02</v>
      </c>
      <c r="EJ92" s="108">
        <v>1</v>
      </c>
      <c r="EK92" s="108">
        <v>1.2</v>
      </c>
    </row>
    <row r="93" spans="1:141" s="171" customFormat="1" ht="24">
      <c r="A93" s="333">
        <v>267013</v>
      </c>
      <c r="B93" s="216"/>
      <c r="C93" s="334"/>
      <c r="D93" s="515">
        <v>5</v>
      </c>
      <c r="E93" s="343" t="s">
        <v>98</v>
      </c>
      <c r="F93" s="437" t="s">
        <v>1225</v>
      </c>
      <c r="G93" s="438" t="s">
        <v>103</v>
      </c>
      <c r="H93" s="455" t="s">
        <v>98</v>
      </c>
      <c r="I93" s="455" t="s">
        <v>98</v>
      </c>
      <c r="J93" s="336">
        <v>0</v>
      </c>
      <c r="K93" s="438" t="s">
        <v>96</v>
      </c>
      <c r="L93" s="440">
        <f t="shared" si="90"/>
        <v>0</v>
      </c>
      <c r="M93" s="336">
        <v>1</v>
      </c>
      <c r="N93" s="337">
        <f t="shared" ref="N93:N106" si="169">$DK93</f>
        <v>1.05</v>
      </c>
      <c r="O93" s="455" t="str">
        <f t="shared" ref="O93:O106" si="170">$DL93&amp;"; "&amp;$DA93</f>
        <v xml:space="preserve">(na,na,na,na,na,na); </v>
      </c>
      <c r="P93" s="440">
        <f t="shared" si="91"/>
        <v>0</v>
      </c>
      <c r="Q93" s="336">
        <v>1</v>
      </c>
      <c r="R93" s="337">
        <f t="shared" ref="R93:R106" si="171">$DK93</f>
        <v>1.05</v>
      </c>
      <c r="S93" s="455" t="str">
        <f t="shared" ref="S93:S106" si="172">$DL93&amp;"; "&amp;$DA93</f>
        <v xml:space="preserve">(na,na,na,na,na,na); </v>
      </c>
      <c r="T93" s="440">
        <f t="shared" si="92"/>
        <v>0</v>
      </c>
      <c r="U93" s="336">
        <v>1</v>
      </c>
      <c r="V93" s="337">
        <f t="shared" ref="V93:V106" si="173">$DK93</f>
        <v>1.05</v>
      </c>
      <c r="W93" s="455" t="str">
        <f t="shared" ref="W93:W106" si="174">$DL93&amp;"; "&amp;$DA93</f>
        <v xml:space="preserve">(na,na,na,na,na,na); </v>
      </c>
      <c r="X93" s="440">
        <f t="shared" si="93"/>
        <v>0</v>
      </c>
      <c r="Y93" s="336">
        <v>1</v>
      </c>
      <c r="Z93" s="337">
        <f t="shared" ref="Z93:Z106" si="175">$DK93</f>
        <v>1.05</v>
      </c>
      <c r="AA93" s="437" t="str">
        <f t="shared" ref="AA93:AA106" si="176">$DL93&amp;"; "&amp;$DA93</f>
        <v xml:space="preserve">(na,na,na,na,na,na); </v>
      </c>
      <c r="AB93" s="440">
        <v>0</v>
      </c>
      <c r="AC93" s="336">
        <v>1</v>
      </c>
      <c r="AD93" s="337">
        <f t="shared" ref="AD93:AD106" si="177">$DK93</f>
        <v>1.05</v>
      </c>
      <c r="AE93" s="437" t="str">
        <f t="shared" ref="AE93:AE106" si="178">$DL93&amp;"; "&amp;$DA93</f>
        <v xml:space="preserve">(na,na,na,na,na,na); </v>
      </c>
      <c r="AF93" s="440">
        <f t="shared" si="156"/>
        <v>0</v>
      </c>
      <c r="AG93" s="336">
        <v>1</v>
      </c>
      <c r="AH93" s="337">
        <f t="shared" ref="AH93:AH106" si="179">$DK93</f>
        <v>1.05</v>
      </c>
      <c r="AI93" s="455" t="str">
        <f t="shared" ref="AI93:AI106" si="180">$DL93&amp;"; "&amp;$DA93</f>
        <v xml:space="preserve">(na,na,na,na,na,na); </v>
      </c>
      <c r="AJ93" s="440">
        <f t="shared" si="157"/>
        <v>0</v>
      </c>
      <c r="AK93" s="336">
        <v>1</v>
      </c>
      <c r="AL93" s="337">
        <f t="shared" ref="AL93:AL106" si="181">$DK93</f>
        <v>1.05</v>
      </c>
      <c r="AM93" s="455" t="str">
        <f t="shared" ref="AM93:AM106" si="182">$DL93&amp;"; "&amp;$DA93</f>
        <v xml:space="preserve">(na,na,na,na,na,na); </v>
      </c>
      <c r="AN93" s="440">
        <f t="shared" si="158"/>
        <v>0</v>
      </c>
      <c r="AO93" s="336">
        <v>1</v>
      </c>
      <c r="AP93" s="337">
        <f t="shared" ref="AP93:AP106" si="183">$DK93</f>
        <v>1.05</v>
      </c>
      <c r="AQ93" s="455" t="str">
        <f t="shared" ref="AQ93:AQ106" si="184">$DL93&amp;"; "&amp;$DA93</f>
        <v xml:space="preserve">(na,na,na,na,na,na); </v>
      </c>
      <c r="AR93" s="440">
        <f t="shared" si="159"/>
        <v>0</v>
      </c>
      <c r="AS93" s="336">
        <v>1</v>
      </c>
      <c r="AT93" s="337">
        <f t="shared" ref="AT93:AT106" si="185">$DK93</f>
        <v>1.05</v>
      </c>
      <c r="AU93" s="455" t="str">
        <f t="shared" ref="AU93:AU106" si="186">$DL93&amp;"; "&amp;$DA93</f>
        <v xml:space="preserve">(na,na,na,na,na,na); </v>
      </c>
      <c r="AV93" s="440">
        <v>0</v>
      </c>
      <c r="AW93" s="336">
        <v>1</v>
      </c>
      <c r="AX93" s="337">
        <f t="shared" ref="AX93:AX106" si="187">$DK93</f>
        <v>1.05</v>
      </c>
      <c r="AY93" s="437" t="str">
        <f t="shared" ref="AY93:AY106" si="188">$DL93&amp;"; "&amp;$DA93</f>
        <v xml:space="preserve">(na,na,na,na,na,na); </v>
      </c>
      <c r="AZ93" s="440">
        <f t="shared" si="160"/>
        <v>0</v>
      </c>
      <c r="BA93" s="336">
        <v>1</v>
      </c>
      <c r="BB93" s="337">
        <f t="shared" ref="BB93:BB106" si="189">$DK93</f>
        <v>1.05</v>
      </c>
      <c r="BC93" s="455" t="str">
        <f t="shared" ref="BC93:BC106" si="190">$DL93&amp;"; "&amp;$DA93</f>
        <v xml:space="preserve">(na,na,na,na,na,na); </v>
      </c>
      <c r="BD93" s="440">
        <f t="shared" si="161"/>
        <v>0</v>
      </c>
      <c r="BE93" s="336">
        <v>1</v>
      </c>
      <c r="BF93" s="337">
        <f t="shared" ref="BF93:BF106" si="191">$DK93</f>
        <v>1.05</v>
      </c>
      <c r="BG93" s="455" t="str">
        <f t="shared" ref="BG93:BG106" si="192">$DL93&amp;"; "&amp;$DA93</f>
        <v xml:space="preserve">(na,na,na,na,na,na); </v>
      </c>
      <c r="BH93" s="440">
        <f t="shared" si="162"/>
        <v>0</v>
      </c>
      <c r="BI93" s="336">
        <v>1</v>
      </c>
      <c r="BJ93" s="337">
        <f t="shared" ref="BJ93:BJ106" si="193">$DK93</f>
        <v>1.05</v>
      </c>
      <c r="BK93" s="455" t="str">
        <f t="shared" ref="BK93:BK106" si="194">$DL93&amp;"; "&amp;$DA93</f>
        <v xml:space="preserve">(na,na,na,na,na,na); </v>
      </c>
      <c r="BL93" s="440">
        <f t="shared" si="163"/>
        <v>0</v>
      </c>
      <c r="BM93" s="336">
        <v>1</v>
      </c>
      <c r="BN93" s="337">
        <f t="shared" ref="BN93:BN106" si="195">$DK93</f>
        <v>1.05</v>
      </c>
      <c r="BO93" s="455" t="str">
        <f t="shared" ref="BO93:BO106" si="196">$DL93&amp;"; "&amp;$DA93</f>
        <v xml:space="preserve">(na,na,na,na,na,na); </v>
      </c>
      <c r="BP93" s="440">
        <v>0</v>
      </c>
      <c r="BQ93" s="336">
        <v>1</v>
      </c>
      <c r="BR93" s="337">
        <f t="shared" ref="BR93:BR106" si="197">$DK93</f>
        <v>1.05</v>
      </c>
      <c r="BS93" s="437" t="str">
        <f t="shared" ref="BS93:BS106" si="198">$DL93&amp;"; "&amp;$DA93</f>
        <v xml:space="preserve">(na,na,na,na,na,na); </v>
      </c>
      <c r="BT93" s="440">
        <f t="shared" si="164"/>
        <v>0</v>
      </c>
      <c r="BU93" s="336">
        <v>1</v>
      </c>
      <c r="BV93" s="337">
        <f t="shared" ref="BV93:BV106" si="199">$DK93</f>
        <v>1.05</v>
      </c>
      <c r="BW93" s="455" t="str">
        <f t="shared" ref="BW93:BW106" si="200">$DL93&amp;"; "&amp;$DA93</f>
        <v xml:space="preserve">(na,na,na,na,na,na); </v>
      </c>
      <c r="BX93" s="440">
        <f t="shared" si="165"/>
        <v>0</v>
      </c>
      <c r="BY93" s="336">
        <v>1</v>
      </c>
      <c r="BZ93" s="337">
        <f t="shared" ref="BZ93:BZ106" si="201">$DK93</f>
        <v>1.05</v>
      </c>
      <c r="CA93" s="455" t="str">
        <f t="shared" ref="CA93:CA106" si="202">$DL93&amp;"; "&amp;$DA93</f>
        <v xml:space="preserve">(na,na,na,na,na,na); </v>
      </c>
      <c r="CB93" s="440">
        <f t="shared" si="166"/>
        <v>0</v>
      </c>
      <c r="CC93" s="336">
        <v>1</v>
      </c>
      <c r="CD93" s="337">
        <f t="shared" ref="CD93:CD106" si="203">$DK93</f>
        <v>1.05</v>
      </c>
      <c r="CE93" s="455" t="str">
        <f t="shared" ref="CE93:CE106" si="204">$DL93&amp;"; "&amp;$DA93</f>
        <v xml:space="preserve">(na,na,na,na,na,na); </v>
      </c>
      <c r="CF93" s="440">
        <f t="shared" si="167"/>
        <v>0</v>
      </c>
      <c r="CG93" s="336">
        <v>1</v>
      </c>
      <c r="CH93" s="337">
        <f t="shared" ref="CH93:CH106" si="205">$DK93</f>
        <v>1.05</v>
      </c>
      <c r="CI93" s="455" t="str">
        <f t="shared" si="168"/>
        <v xml:space="preserve">(na,na,na,na,na,na); </v>
      </c>
      <c r="CJ93" s="440">
        <v>0</v>
      </c>
      <c r="CK93" s="336">
        <v>1</v>
      </c>
      <c r="CL93" s="337">
        <f t="shared" ref="CL93:CL106" si="206">$DK93</f>
        <v>1.05</v>
      </c>
      <c r="CM93" s="437" t="str">
        <f t="shared" ref="CM93:CM106" si="207">$DL93&amp;"; "&amp;$DA93</f>
        <v xml:space="preserve">(na,na,na,na,na,na); </v>
      </c>
      <c r="CN93" s="440">
        <f>38500/25500000</f>
        <v>1.5098039215686275E-3</v>
      </c>
      <c r="CO93" s="336">
        <v>1</v>
      </c>
      <c r="CP93" s="337">
        <f t="shared" ref="CP93:CP106" si="208">$ED93</f>
        <v>1.2434566510799234</v>
      </c>
      <c r="CQ93" s="455" t="str">
        <f t="shared" ref="CQ93:CQ106" si="209">$EE93&amp;"; "&amp;$DT93</f>
        <v>(2,4,1,3,1,5); Brailovsky (2026) GM 08-RW; wastes for production chain from SoG Silicon to Panel</v>
      </c>
      <c r="CR93" s="440">
        <f>CN93</f>
        <v>1.5098039215686275E-3</v>
      </c>
      <c r="CS93" s="336">
        <v>1</v>
      </c>
      <c r="CT93" s="337">
        <f t="shared" ref="CT93:CT106" si="210">$ED93</f>
        <v>1.2434566510799234</v>
      </c>
      <c r="CU93" s="437" t="str">
        <f t="shared" ref="CU93:CU106" si="211">$EE93&amp;"; "&amp;$DT93</f>
        <v>(2,4,1,3,1,5); Brailovsky (2026) GM 08-RW; wastes for production chain from SoG Silicon to Panel</v>
      </c>
      <c r="CW93" s="440"/>
      <c r="CX93" s="440"/>
      <c r="CY93" s="440"/>
      <c r="CZ93" s="440"/>
      <c r="DA93" s="691"/>
      <c r="DB93" s="83" t="s">
        <v>106</v>
      </c>
      <c r="DC93" s="83" t="s">
        <v>106</v>
      </c>
      <c r="DD93" s="83" t="s">
        <v>106</v>
      </c>
      <c r="DE93" s="83" t="s">
        <v>106</v>
      </c>
      <c r="DF93" s="83" t="s">
        <v>106</v>
      </c>
      <c r="DG93" s="83" t="s">
        <v>106</v>
      </c>
      <c r="DH93" s="104">
        <v>6</v>
      </c>
      <c r="DI93" s="104">
        <v>1.05</v>
      </c>
      <c r="DJ93" s="107">
        <f t="shared" ref="DJ93:DJ106" si="212">EXP(SQRT((LN(DM93)^2)+(LN(DN93)^2)+(LN(DO93)^2)+(LN(DP93)^2)+(LN(DQ93)^2)+(LN(DR93)^2)))</f>
        <v>1</v>
      </c>
      <c r="DK93" s="107">
        <f t="shared" ref="DK93:DK106" si="213">EXP(SQRT((LN(DM93)^2)+(LN(DN93)^2)+(LN(DO93)^2)+(LN(DP93)^2)+(LN(DQ93)^2)+(LN(DR93)^2)+LN(DI93)^2))</f>
        <v>1.05</v>
      </c>
      <c r="DL93" s="107" t="str">
        <f t="shared" ref="DL93:DL106" si="214">CONCATENATE("(",DB93,",",DC93,",",DD93,",",DE93,",",DF93,",",DG93,")")</f>
        <v>(na,na,na,na,na,na)</v>
      </c>
      <c r="DM93" s="108">
        <v>1</v>
      </c>
      <c r="DN93" s="108">
        <v>1</v>
      </c>
      <c r="DO93" s="108">
        <v>1</v>
      </c>
      <c r="DP93" s="108">
        <v>1</v>
      </c>
      <c r="DQ93" s="108">
        <v>1</v>
      </c>
      <c r="DR93" s="108">
        <v>1</v>
      </c>
      <c r="DT93" s="691" t="s">
        <v>1218</v>
      </c>
      <c r="DU93" s="83">
        <v>2</v>
      </c>
      <c r="DV93" s="83">
        <v>4</v>
      </c>
      <c r="DW93" s="83">
        <v>1</v>
      </c>
      <c r="DX93" s="83">
        <v>3</v>
      </c>
      <c r="DY93" s="83">
        <v>1</v>
      </c>
      <c r="DZ93" s="83">
        <v>5</v>
      </c>
      <c r="EA93" s="104">
        <v>6</v>
      </c>
      <c r="EB93" s="104">
        <v>1.05</v>
      </c>
      <c r="EC93" s="107">
        <f t="shared" ref="EC93:EC106" si="215">EXP(SQRT((LN(EF93)^2)+(LN(EG93)^2)+(LN(EH93)^2)+(LN(EI93)^2)+(LN(EJ93)^2)+(LN(EK93)^2)))</f>
        <v>1.2365959919080913</v>
      </c>
      <c r="ED93" s="107">
        <f t="shared" ref="ED93:ED106" si="216">EXP(SQRT((LN(EF93)^2)+(LN(EG93)^2)+(LN(EH93)^2)+(LN(EI93)^2)+(LN(EJ93)^2)+(LN(EK93)^2)+LN(EB93)^2))</f>
        <v>1.2434566510799234</v>
      </c>
      <c r="EE93" s="107" t="str">
        <f t="shared" ref="EE93:EE106" si="217">CONCATENATE("(",DU93,",",DV93,",",DW93,",",DX93,",",DY93,",",DZ93,")")</f>
        <v>(2,4,1,3,1,5)</v>
      </c>
      <c r="EF93" s="108">
        <v>1.05</v>
      </c>
      <c r="EG93" s="108">
        <v>1.1000000000000001</v>
      </c>
      <c r="EH93" s="108">
        <v>1</v>
      </c>
      <c r="EI93" s="108">
        <v>1.02</v>
      </c>
      <c r="EJ93" s="108">
        <v>1</v>
      </c>
      <c r="EK93" s="108">
        <v>1.2</v>
      </c>
    </row>
    <row r="94" spans="1:141" ht="24">
      <c r="A94" s="330">
        <v>269349</v>
      </c>
      <c r="B94" s="216"/>
      <c r="C94" s="334"/>
      <c r="D94" s="515">
        <v>5</v>
      </c>
      <c r="E94" s="343" t="s">
        <v>98</v>
      </c>
      <c r="F94" s="437" t="s">
        <v>1226</v>
      </c>
      <c r="G94" s="438" t="s">
        <v>103</v>
      </c>
      <c r="H94" s="455" t="s">
        <v>98</v>
      </c>
      <c r="I94" s="455" t="s">
        <v>98</v>
      </c>
      <c r="J94" s="336">
        <v>0</v>
      </c>
      <c r="K94" s="438" t="s">
        <v>119</v>
      </c>
      <c r="L94" s="440">
        <f t="shared" si="90"/>
        <v>7.9745725995316093E-3</v>
      </c>
      <c r="M94" s="336">
        <v>1</v>
      </c>
      <c r="N94" s="337">
        <f t="shared" si="169"/>
        <v>1.0722009304576894</v>
      </c>
      <c r="O94" s="455" t="str">
        <f t="shared" si="170"/>
        <v>(2,1,1,2,1,1); Industry data (French tender)  wastewater OR 90% of tap water</v>
      </c>
      <c r="P94" s="440">
        <f t="shared" si="91"/>
        <v>4.4644320843091299E-3</v>
      </c>
      <c r="Q94" s="336">
        <v>1</v>
      </c>
      <c r="R94" s="337">
        <f t="shared" si="171"/>
        <v>1.0722009304576894</v>
      </c>
      <c r="S94" s="455" t="str">
        <f t="shared" si="172"/>
        <v>(2,1,1,2,1,1); Industry data (French tender)  wastewater OR 90% of tap water</v>
      </c>
      <c r="T94" s="440">
        <v>1.6100000000000001E-3</v>
      </c>
      <c r="U94" s="336">
        <v>1</v>
      </c>
      <c r="V94" s="337">
        <f t="shared" si="173"/>
        <v>1.0722009304576894</v>
      </c>
      <c r="W94" s="455" t="str">
        <f t="shared" si="174"/>
        <v>(2,1,1,2,1,1); Industry data (French tender)  wastewater OR 90% of tap water</v>
      </c>
      <c r="X94" s="440">
        <f>X51*0.9/1000</f>
        <v>5.6873009708737826E-3</v>
      </c>
      <c r="Y94" s="336">
        <v>1</v>
      </c>
      <c r="Z94" s="337">
        <f t="shared" si="175"/>
        <v>1.0722009304576894</v>
      </c>
      <c r="AA94" s="437" t="str">
        <f t="shared" si="176"/>
        <v>(2,1,1,2,1,1); Industry data (French tender)  wastewater OR 90% of tap water</v>
      </c>
      <c r="AB94" s="440">
        <f>AB51*0.9/1000</f>
        <v>5.6873009708737826E-3</v>
      </c>
      <c r="AC94" s="336">
        <v>1</v>
      </c>
      <c r="AD94" s="337">
        <f t="shared" si="177"/>
        <v>1.0722009304576894</v>
      </c>
      <c r="AE94" s="432" t="str">
        <f t="shared" si="178"/>
        <v>(2,1,1,2,1,1); Industry data (French tender)  wastewater OR 90% of tap water</v>
      </c>
      <c r="AF94" s="440">
        <f t="shared" si="156"/>
        <v>7.9745725995316093E-3</v>
      </c>
      <c r="AG94" s="336">
        <v>1</v>
      </c>
      <c r="AH94" s="337">
        <f t="shared" si="179"/>
        <v>1.0722009304576894</v>
      </c>
      <c r="AI94" s="455" t="str">
        <f t="shared" si="180"/>
        <v>(2,1,1,2,1,1); Industry data (French tender)  wastewater OR 90% of tap water</v>
      </c>
      <c r="AJ94" s="440">
        <f t="shared" si="157"/>
        <v>4.4644320843091299E-3</v>
      </c>
      <c r="AK94" s="336">
        <v>1</v>
      </c>
      <c r="AL94" s="337">
        <f t="shared" si="181"/>
        <v>1.0722009304576894</v>
      </c>
      <c r="AM94" s="455" t="str">
        <f t="shared" si="182"/>
        <v>(2,1,1,2,1,1); Industry data (French tender)  wastewater OR 90% of tap water</v>
      </c>
      <c r="AN94" s="440">
        <f t="shared" si="158"/>
        <v>1.6100000000000001E-3</v>
      </c>
      <c r="AO94" s="336">
        <v>1</v>
      </c>
      <c r="AP94" s="337">
        <f t="shared" si="183"/>
        <v>1.0722009304576894</v>
      </c>
      <c r="AQ94" s="455" t="str">
        <f t="shared" si="184"/>
        <v>(2,1,1,2,1,1); Industry data (French tender)  wastewater OR 90% of tap water</v>
      </c>
      <c r="AR94" s="440">
        <f t="shared" si="159"/>
        <v>5.6873009708737826E-3</v>
      </c>
      <c r="AS94" s="336">
        <v>1</v>
      </c>
      <c r="AT94" s="337">
        <f t="shared" si="185"/>
        <v>1.0722009304576894</v>
      </c>
      <c r="AU94" s="455" t="str">
        <f t="shared" si="186"/>
        <v>(2,1,1,2,1,1); Industry data (French tender)  wastewater OR 90% of tap water</v>
      </c>
      <c r="AV94" s="440">
        <f>AB94</f>
        <v>5.6873009708737826E-3</v>
      </c>
      <c r="AW94" s="336">
        <v>1</v>
      </c>
      <c r="AX94" s="337">
        <f t="shared" si="187"/>
        <v>1.0722009304576894</v>
      </c>
      <c r="AY94" s="437" t="str">
        <f t="shared" si="188"/>
        <v>(2,1,1,2,1,1); Industry data (French tender)  wastewater OR 90% of tap water</v>
      </c>
      <c r="AZ94" s="440">
        <f t="shared" si="160"/>
        <v>7.9745725995316093E-3</v>
      </c>
      <c r="BA94" s="95">
        <v>1</v>
      </c>
      <c r="BB94" s="96">
        <f t="shared" si="189"/>
        <v>1.0722009304576894</v>
      </c>
      <c r="BC94" s="457" t="str">
        <f t="shared" si="190"/>
        <v>(2,1,1,2,1,1); Industry data (French tender)  wastewater OR 90% of tap water</v>
      </c>
      <c r="BD94" s="435">
        <f t="shared" si="161"/>
        <v>4.4644320843091299E-3</v>
      </c>
      <c r="BE94" s="95">
        <v>1</v>
      </c>
      <c r="BF94" s="96">
        <f t="shared" si="191"/>
        <v>1.0722009304576894</v>
      </c>
      <c r="BG94" s="457" t="str">
        <f t="shared" si="192"/>
        <v>(2,1,1,2,1,1); Industry data (French tender)  wastewater OR 90% of tap water</v>
      </c>
      <c r="BH94" s="435">
        <f t="shared" si="162"/>
        <v>1.6100000000000001E-3</v>
      </c>
      <c r="BI94" s="95">
        <v>1</v>
      </c>
      <c r="BJ94" s="96">
        <f t="shared" si="193"/>
        <v>1.0722009304576894</v>
      </c>
      <c r="BK94" s="457" t="str">
        <f t="shared" si="194"/>
        <v>(2,1,1,2,1,1); Industry data (French tender)  wastewater OR 90% of tap water</v>
      </c>
      <c r="BL94" s="435">
        <f t="shared" si="163"/>
        <v>5.6873009708737826E-3</v>
      </c>
      <c r="BM94" s="95">
        <v>1</v>
      </c>
      <c r="BN94" s="96">
        <f t="shared" si="195"/>
        <v>1.0722009304576894</v>
      </c>
      <c r="BO94" s="457" t="str">
        <f t="shared" si="196"/>
        <v>(2,1,1,2,1,1); Industry data (French tender)  wastewater OR 90% of tap water</v>
      </c>
      <c r="BP94" s="435">
        <f>AV94</f>
        <v>5.6873009708737826E-3</v>
      </c>
      <c r="BQ94" s="95">
        <v>1</v>
      </c>
      <c r="BR94" s="96">
        <f t="shared" si="197"/>
        <v>1.0722009304576894</v>
      </c>
      <c r="BS94" s="432" t="str">
        <f t="shared" si="198"/>
        <v>(2,1,1,2,1,1); Industry data (French tender)  wastewater OR 90% of tap water</v>
      </c>
      <c r="BT94" s="435">
        <f t="shared" si="164"/>
        <v>7.9745725995316093E-3</v>
      </c>
      <c r="BU94" s="95">
        <v>1</v>
      </c>
      <c r="BV94" s="96">
        <f t="shared" si="199"/>
        <v>1.0722009304576894</v>
      </c>
      <c r="BW94" s="457" t="str">
        <f t="shared" si="200"/>
        <v>(2,1,1,2,1,1); Industry data (French tender)  wastewater OR 90% of tap water</v>
      </c>
      <c r="BX94" s="435">
        <f t="shared" si="165"/>
        <v>4.4644320843091299E-3</v>
      </c>
      <c r="BY94" s="95">
        <v>1</v>
      </c>
      <c r="BZ94" s="96">
        <f t="shared" si="201"/>
        <v>1.0722009304576894</v>
      </c>
      <c r="CA94" s="457" t="str">
        <f t="shared" si="202"/>
        <v>(2,1,1,2,1,1); Industry data (French tender)  wastewater OR 90% of tap water</v>
      </c>
      <c r="CB94" s="435">
        <f t="shared" si="166"/>
        <v>1.6100000000000001E-3</v>
      </c>
      <c r="CC94" s="95">
        <v>1</v>
      </c>
      <c r="CD94" s="96">
        <f t="shared" si="203"/>
        <v>1.0722009304576894</v>
      </c>
      <c r="CE94" s="457" t="str">
        <f t="shared" si="204"/>
        <v>(2,1,1,2,1,1); Industry data (French tender)  wastewater OR 90% of tap water</v>
      </c>
      <c r="CF94" s="435">
        <f t="shared" si="167"/>
        <v>5.6873009708737826E-3</v>
      </c>
      <c r="CG94" s="95">
        <v>1</v>
      </c>
      <c r="CH94" s="96">
        <f t="shared" si="205"/>
        <v>1.0722009304576894</v>
      </c>
      <c r="CI94" s="457" t="str">
        <f t="shared" si="168"/>
        <v>(2,1,1,2,1,1); Industry data (French tender)  wastewater OR 90% of tap water</v>
      </c>
      <c r="CJ94" s="435">
        <f>0.9*SUM(CJ51:CJ58)/1000</f>
        <v>5.9866326009197707E-4</v>
      </c>
      <c r="CK94" s="95">
        <v>1</v>
      </c>
      <c r="CL94" s="96">
        <f t="shared" si="206"/>
        <v>1.0722009304576894</v>
      </c>
      <c r="CM94" s="437" t="str">
        <f t="shared" si="207"/>
        <v>(2,1,1,2,1,1); Industry data (French tender)  wastewater OR 90% of tap water</v>
      </c>
      <c r="CN94" s="435">
        <v>0</v>
      </c>
      <c r="CO94" s="95">
        <v>1</v>
      </c>
      <c r="CP94" s="96">
        <f t="shared" si="208"/>
        <v>1.05</v>
      </c>
      <c r="CQ94" s="457" t="str">
        <f t="shared" si="209"/>
        <v xml:space="preserve">(na,na,na,na,na,na); </v>
      </c>
      <c r="CR94" s="435">
        <v>0</v>
      </c>
      <c r="CS94" s="95">
        <v>1</v>
      </c>
      <c r="CT94" s="96">
        <f t="shared" si="210"/>
        <v>1.05</v>
      </c>
      <c r="CU94" s="432" t="str">
        <f t="shared" si="211"/>
        <v xml:space="preserve">(na,na,na,na,na,na); </v>
      </c>
      <c r="CV94" s="399"/>
      <c r="CW94" s="435">
        <f>0.00797457259953161</f>
        <v>7.9745725995316093E-3</v>
      </c>
      <c r="CX94" s="435">
        <f>0.00446443208430913</f>
        <v>4.4644320843091299E-3</v>
      </c>
      <c r="CY94" s="435">
        <f>1.61203838939857</f>
        <v>1.6120383893985699</v>
      </c>
      <c r="CZ94" s="435">
        <f>0.00644757281553398</f>
        <v>6.4475728155339801E-3</v>
      </c>
      <c r="DA94" s="692" t="s">
        <v>1227</v>
      </c>
      <c r="DB94" s="83">
        <v>2</v>
      </c>
      <c r="DC94" s="83">
        <v>1</v>
      </c>
      <c r="DD94" s="83">
        <v>1</v>
      </c>
      <c r="DE94" s="83">
        <v>2</v>
      </c>
      <c r="DF94" s="83">
        <v>1</v>
      </c>
      <c r="DG94" s="83">
        <v>1</v>
      </c>
      <c r="DH94" s="104">
        <v>6</v>
      </c>
      <c r="DI94" s="104">
        <v>1.05</v>
      </c>
      <c r="DJ94" s="107">
        <f t="shared" si="212"/>
        <v>1.0510550504206344</v>
      </c>
      <c r="DK94" s="107">
        <f t="shared" si="213"/>
        <v>1.0722009304576894</v>
      </c>
      <c r="DL94" s="107" t="str">
        <f t="shared" si="214"/>
        <v>(2,1,1,2,1,1)</v>
      </c>
      <c r="DM94" s="108">
        <v>1.05</v>
      </c>
      <c r="DN94" s="108">
        <v>1</v>
      </c>
      <c r="DO94" s="108">
        <v>1</v>
      </c>
      <c r="DP94" s="108">
        <v>1.01</v>
      </c>
      <c r="DQ94" s="108">
        <v>1</v>
      </c>
      <c r="DR94" s="108">
        <v>1</v>
      </c>
      <c r="DS94" s="399"/>
      <c r="DT94" s="692"/>
      <c r="DU94" s="83" t="s">
        <v>106</v>
      </c>
      <c r="DV94" s="83" t="s">
        <v>106</v>
      </c>
      <c r="DW94" s="83" t="s">
        <v>106</v>
      </c>
      <c r="DX94" s="83" t="s">
        <v>106</v>
      </c>
      <c r="DY94" s="83" t="s">
        <v>106</v>
      </c>
      <c r="DZ94" s="83" t="s">
        <v>106</v>
      </c>
      <c r="EA94" s="104">
        <v>6</v>
      </c>
      <c r="EB94" s="104">
        <v>1.05</v>
      </c>
      <c r="EC94" s="107">
        <f t="shared" si="215"/>
        <v>1</v>
      </c>
      <c r="ED94" s="107">
        <f t="shared" si="216"/>
        <v>1.05</v>
      </c>
      <c r="EE94" s="107" t="str">
        <f t="shared" si="217"/>
        <v>(na,na,na,na,na,na)</v>
      </c>
      <c r="EF94" s="108">
        <v>1</v>
      </c>
      <c r="EG94" s="108">
        <v>1</v>
      </c>
      <c r="EH94" s="108">
        <v>1</v>
      </c>
      <c r="EI94" s="108">
        <v>1</v>
      </c>
      <c r="EJ94" s="108">
        <v>1</v>
      </c>
      <c r="EK94" s="108">
        <v>1</v>
      </c>
    </row>
    <row r="95" spans="1:141" ht="24">
      <c r="A95" s="330">
        <v>21844</v>
      </c>
      <c r="B95" s="216" t="s">
        <v>1228</v>
      </c>
      <c r="C95" s="165"/>
      <c r="D95" s="342" t="s">
        <v>98</v>
      </c>
      <c r="E95" s="343">
        <v>4</v>
      </c>
      <c r="F95" s="437" t="s">
        <v>121</v>
      </c>
      <c r="G95" s="438" t="s">
        <v>98</v>
      </c>
      <c r="H95" s="455" t="s">
        <v>247</v>
      </c>
      <c r="I95" s="455" t="s">
        <v>258</v>
      </c>
      <c r="J95" s="336" t="s">
        <v>98</v>
      </c>
      <c r="K95" s="438" t="s">
        <v>104</v>
      </c>
      <c r="L95" s="440">
        <f t="shared" si="90"/>
        <v>10.363868852459005</v>
      </c>
      <c r="M95" s="336">
        <v>1</v>
      </c>
      <c r="N95" s="337">
        <f t="shared" si="169"/>
        <v>1.3965935359732646</v>
      </c>
      <c r="O95" s="455" t="str">
        <f t="shared" si="170"/>
        <v>(4,4,4,3,1,5); Calculation, electricity use</v>
      </c>
      <c r="P95" s="440">
        <f t="shared" si="91"/>
        <v>11.084206088992969</v>
      </c>
      <c r="Q95" s="336">
        <v>1</v>
      </c>
      <c r="R95" s="337">
        <f t="shared" si="171"/>
        <v>1.3965935359732646</v>
      </c>
      <c r="S95" s="455" t="str">
        <f t="shared" si="172"/>
        <v>(4,4,4,3,1,5); Calculation, electricity use</v>
      </c>
      <c r="T95" s="440">
        <f>CY95</f>
        <v>11.955633027522948</v>
      </c>
      <c r="U95" s="336">
        <v>1</v>
      </c>
      <c r="V95" s="337">
        <f t="shared" si="173"/>
        <v>1.3965935359732646</v>
      </c>
      <c r="W95" s="455" t="str">
        <f t="shared" si="174"/>
        <v>(4,4,4,3,1,5); Calculation, electricity use</v>
      </c>
      <c r="X95" s="440">
        <f>CZ95</f>
        <v>10.951495145631073</v>
      </c>
      <c r="Y95" s="336">
        <v>1</v>
      </c>
      <c r="Z95" s="337">
        <f t="shared" si="175"/>
        <v>1.3965935359732646</v>
      </c>
      <c r="AA95" s="437" t="str">
        <f t="shared" si="176"/>
        <v>(4,4,4,3,1,5); Calculation, electricity use</v>
      </c>
      <c r="AB95" s="440">
        <f>3.6*SUM(AB70:AB77)</f>
        <v>10.951495145631073</v>
      </c>
      <c r="AC95" s="336">
        <v>1</v>
      </c>
      <c r="AD95" s="337">
        <f t="shared" si="177"/>
        <v>1.3965935359732646</v>
      </c>
      <c r="AE95" s="432" t="str">
        <f t="shared" si="178"/>
        <v>(4,4,4,3,1,5); Calculation, electricity use</v>
      </c>
      <c r="AF95" s="440">
        <f t="shared" si="156"/>
        <v>10.363868852459005</v>
      </c>
      <c r="AG95" s="336">
        <v>1</v>
      </c>
      <c r="AH95" s="337">
        <f t="shared" si="179"/>
        <v>1.3965935359732646</v>
      </c>
      <c r="AI95" s="455" t="str">
        <f t="shared" si="180"/>
        <v>(4,4,4,3,1,5); Calculation, electricity use</v>
      </c>
      <c r="AJ95" s="440">
        <f t="shared" si="157"/>
        <v>11.084206088992969</v>
      </c>
      <c r="AK95" s="336">
        <v>1</v>
      </c>
      <c r="AL95" s="337">
        <f t="shared" si="181"/>
        <v>1.3965935359732646</v>
      </c>
      <c r="AM95" s="455" t="str">
        <f t="shared" si="182"/>
        <v>(4,4,4,3,1,5); Calculation, electricity use</v>
      </c>
      <c r="AN95" s="440">
        <f t="shared" si="158"/>
        <v>11.955633027522948</v>
      </c>
      <c r="AO95" s="336">
        <v>1</v>
      </c>
      <c r="AP95" s="337">
        <f t="shared" si="183"/>
        <v>1.3965935359732646</v>
      </c>
      <c r="AQ95" s="455" t="str">
        <f t="shared" si="184"/>
        <v>(4,4,4,3,1,5); Calculation, electricity use</v>
      </c>
      <c r="AR95" s="440">
        <f t="shared" si="159"/>
        <v>10.951495145631073</v>
      </c>
      <c r="AS95" s="336">
        <v>1</v>
      </c>
      <c r="AT95" s="337">
        <f t="shared" si="185"/>
        <v>1.3965935359732646</v>
      </c>
      <c r="AU95" s="455" t="str">
        <f t="shared" si="186"/>
        <v>(4,4,4,3,1,5); Calculation, electricity use</v>
      </c>
      <c r="AV95" s="440">
        <f>3.6*SUM(AV70:AV77)</f>
        <v>10.951495145631073</v>
      </c>
      <c r="AW95" s="336">
        <v>1</v>
      </c>
      <c r="AX95" s="337">
        <f t="shared" si="187"/>
        <v>1.3965935359732646</v>
      </c>
      <c r="AY95" s="437" t="str">
        <f t="shared" si="188"/>
        <v>(4,4,4,3,1,5); Calculation, electricity use</v>
      </c>
      <c r="AZ95" s="440">
        <f t="shared" si="160"/>
        <v>10.363868852459005</v>
      </c>
      <c r="BA95" s="95">
        <v>1</v>
      </c>
      <c r="BB95" s="96">
        <f t="shared" si="189"/>
        <v>1.3965935359732646</v>
      </c>
      <c r="BC95" s="457" t="str">
        <f t="shared" si="190"/>
        <v>(4,4,4,3,1,5); Calculation, electricity use</v>
      </c>
      <c r="BD95" s="435">
        <f t="shared" si="161"/>
        <v>11.084206088992969</v>
      </c>
      <c r="BE95" s="95">
        <v>1</v>
      </c>
      <c r="BF95" s="96">
        <f t="shared" si="191"/>
        <v>1.3965935359732646</v>
      </c>
      <c r="BG95" s="457" t="str">
        <f t="shared" si="192"/>
        <v>(4,4,4,3,1,5); Calculation, electricity use</v>
      </c>
      <c r="BH95" s="435">
        <f t="shared" si="162"/>
        <v>11.955633027522948</v>
      </c>
      <c r="BI95" s="95">
        <v>1</v>
      </c>
      <c r="BJ95" s="96">
        <f t="shared" si="193"/>
        <v>1.3965935359732646</v>
      </c>
      <c r="BK95" s="457" t="str">
        <f t="shared" si="194"/>
        <v>(4,4,4,3,1,5); Calculation, electricity use</v>
      </c>
      <c r="BL95" s="435">
        <f t="shared" si="163"/>
        <v>10.951495145631073</v>
      </c>
      <c r="BM95" s="95">
        <v>1</v>
      </c>
      <c r="BN95" s="96">
        <f t="shared" si="195"/>
        <v>1.3965935359732646</v>
      </c>
      <c r="BO95" s="457" t="str">
        <f t="shared" si="196"/>
        <v>(4,4,4,3,1,5); Calculation, electricity use</v>
      </c>
      <c r="BP95" s="435">
        <f>3.6*SUM(BP70:BP77)</f>
        <v>17.709718104588227</v>
      </c>
      <c r="BQ95" s="95">
        <v>1</v>
      </c>
      <c r="BR95" s="96">
        <f t="shared" si="197"/>
        <v>1.3965935359732646</v>
      </c>
      <c r="BS95" s="432" t="str">
        <f t="shared" si="198"/>
        <v>(4,4,4,3,1,5); Calculation, electricity use</v>
      </c>
      <c r="BT95" s="435">
        <f t="shared" si="164"/>
        <v>10.363868852459005</v>
      </c>
      <c r="BU95" s="95">
        <v>1</v>
      </c>
      <c r="BV95" s="96">
        <f t="shared" si="199"/>
        <v>1.3965935359732646</v>
      </c>
      <c r="BW95" s="457" t="str">
        <f t="shared" si="200"/>
        <v>(4,4,4,3,1,5); Calculation, electricity use</v>
      </c>
      <c r="BX95" s="435">
        <f t="shared" si="165"/>
        <v>11.084206088992969</v>
      </c>
      <c r="BY95" s="95">
        <v>1</v>
      </c>
      <c r="BZ95" s="96">
        <f t="shared" si="201"/>
        <v>1.3965935359732646</v>
      </c>
      <c r="CA95" s="457" t="str">
        <f t="shared" si="202"/>
        <v>(4,4,4,3,1,5); Calculation, electricity use</v>
      </c>
      <c r="CB95" s="435">
        <f t="shared" si="166"/>
        <v>11.955633027522948</v>
      </c>
      <c r="CC95" s="95">
        <v>1</v>
      </c>
      <c r="CD95" s="96">
        <f t="shared" si="203"/>
        <v>1.3965935359732646</v>
      </c>
      <c r="CE95" s="457" t="str">
        <f t="shared" si="204"/>
        <v>(4,4,4,3,1,5); Calculation, electricity use</v>
      </c>
      <c r="CF95" s="435">
        <f t="shared" si="167"/>
        <v>10.951495145631073</v>
      </c>
      <c r="CG95" s="95">
        <v>1</v>
      </c>
      <c r="CH95" s="96">
        <f t="shared" si="205"/>
        <v>1.3965935359732646</v>
      </c>
      <c r="CI95" s="457" t="str">
        <f t="shared" si="168"/>
        <v>(4,4,4,3,1,5); Calculation, electricity use</v>
      </c>
      <c r="CJ95" s="435">
        <f>3.6*SUM(CJ70:CJ77)</f>
        <v>1.1527889626980075</v>
      </c>
      <c r="CK95" s="95">
        <v>1</v>
      </c>
      <c r="CL95" s="96">
        <f t="shared" si="206"/>
        <v>1.3965935359732646</v>
      </c>
      <c r="CM95" s="437" t="str">
        <f t="shared" si="207"/>
        <v>(4,4,4,3,1,5); Calculation, electricity use</v>
      </c>
      <c r="CN95" s="435">
        <f>CN78*3.6</f>
        <v>13.14</v>
      </c>
      <c r="CO95" s="95">
        <v>1</v>
      </c>
      <c r="CP95" s="96">
        <f t="shared" si="208"/>
        <v>1.3965935359732646</v>
      </c>
      <c r="CQ95" s="457" t="str">
        <f t="shared" si="209"/>
        <v>(4,4,4,3,1,5); Calculation, electricity use</v>
      </c>
      <c r="CR95" s="435">
        <f>CR70*3.6</f>
        <v>13.14</v>
      </c>
      <c r="CS95" s="95">
        <v>1</v>
      </c>
      <c r="CT95" s="96">
        <f t="shared" si="210"/>
        <v>1.3965935359732646</v>
      </c>
      <c r="CU95" s="432" t="str">
        <f t="shared" si="211"/>
        <v>(4,4,4,3,1,5); Calculation, electricity use</v>
      </c>
      <c r="CV95" s="399"/>
      <c r="CW95" s="435">
        <f>3.6*SUM(CW70:CW77)</f>
        <v>10.363868852459005</v>
      </c>
      <c r="CX95" s="435">
        <f>3.6*SUM(CX70:CX77)</f>
        <v>11.084206088992969</v>
      </c>
      <c r="CY95" s="435">
        <f>3.6*SUM(CY70:CY77)</f>
        <v>11.955633027522948</v>
      </c>
      <c r="CZ95" s="435">
        <f>3.6*SUM(CZ70:CZ77)</f>
        <v>10.951495145631073</v>
      </c>
      <c r="DA95" s="216" t="s">
        <v>1229</v>
      </c>
      <c r="DB95" s="83">
        <v>4</v>
      </c>
      <c r="DC95" s="83">
        <v>4</v>
      </c>
      <c r="DD95" s="83">
        <v>4</v>
      </c>
      <c r="DE95" s="83">
        <v>3</v>
      </c>
      <c r="DF95" s="83">
        <v>1</v>
      </c>
      <c r="DG95" s="83">
        <v>5</v>
      </c>
      <c r="DH95" s="104">
        <v>13</v>
      </c>
      <c r="DI95" s="104">
        <v>1.05</v>
      </c>
      <c r="DJ95" s="107">
        <f t="shared" si="212"/>
        <v>1.3915993050235766</v>
      </c>
      <c r="DK95" s="107">
        <f t="shared" si="213"/>
        <v>1.3965935359732646</v>
      </c>
      <c r="DL95" s="107" t="str">
        <f t="shared" si="214"/>
        <v>(4,4,4,3,1,5)</v>
      </c>
      <c r="DM95" s="108">
        <v>1.2</v>
      </c>
      <c r="DN95" s="108">
        <v>1.1000000000000001</v>
      </c>
      <c r="DO95" s="108">
        <v>1.2</v>
      </c>
      <c r="DP95" s="108">
        <v>1.02</v>
      </c>
      <c r="DQ95" s="108">
        <v>1</v>
      </c>
      <c r="DR95" s="108">
        <v>1.2</v>
      </c>
      <c r="DS95" s="399"/>
      <c r="DT95" s="216" t="s">
        <v>1229</v>
      </c>
      <c r="DU95" s="83">
        <v>4</v>
      </c>
      <c r="DV95" s="83">
        <v>4</v>
      </c>
      <c r="DW95" s="83">
        <v>4</v>
      </c>
      <c r="DX95" s="83">
        <v>3</v>
      </c>
      <c r="DY95" s="83">
        <v>1</v>
      </c>
      <c r="DZ95" s="83">
        <v>5</v>
      </c>
      <c r="EA95" s="104">
        <v>13</v>
      </c>
      <c r="EB95" s="104">
        <v>1.05</v>
      </c>
      <c r="EC95" s="107">
        <f t="shared" si="215"/>
        <v>1.3915993050235766</v>
      </c>
      <c r="ED95" s="107">
        <f t="shared" si="216"/>
        <v>1.3965935359732646</v>
      </c>
      <c r="EE95" s="107" t="str">
        <f t="shared" si="217"/>
        <v>(4,4,4,3,1,5)</v>
      </c>
      <c r="EF95" s="108">
        <v>1.2</v>
      </c>
      <c r="EG95" s="108">
        <v>1.1000000000000001</v>
      </c>
      <c r="EH95" s="108">
        <v>1.2</v>
      </c>
      <c r="EI95" s="108">
        <v>1.02</v>
      </c>
      <c r="EJ95" s="108">
        <v>1</v>
      </c>
      <c r="EK95" s="108">
        <v>1.2</v>
      </c>
    </row>
    <row r="96" spans="1:141" s="171" customFormat="1" ht="48">
      <c r="A96" s="333">
        <v>40899</v>
      </c>
      <c r="B96" s="216"/>
      <c r="C96" s="334"/>
      <c r="D96" s="342" t="s">
        <v>98</v>
      </c>
      <c r="E96" s="343">
        <v>4</v>
      </c>
      <c r="F96" s="437" t="s">
        <v>415</v>
      </c>
      <c r="G96" s="438" t="s">
        <v>98</v>
      </c>
      <c r="H96" s="455" t="s">
        <v>247</v>
      </c>
      <c r="I96" s="455" t="s">
        <v>258</v>
      </c>
      <c r="J96" s="336" t="s">
        <v>98</v>
      </c>
      <c r="K96" s="438" t="s">
        <v>96</v>
      </c>
      <c r="L96" s="440">
        <f>0.0129/1.6</f>
        <v>8.0625000000000002E-3</v>
      </c>
      <c r="M96" s="336">
        <v>1</v>
      </c>
      <c r="N96" s="337">
        <f t="shared" si="169"/>
        <v>1.8532338457509625</v>
      </c>
      <c r="O96" s="455" t="str">
        <f t="shared" si="170"/>
        <v>(3,4,5,3,1,5); de Wild-Scholten (2014) Life Cycle Assessment of Photovoltaics Status 2011, Part 1 Data Collection (Table 37)</v>
      </c>
      <c r="P96" s="440">
        <f>0.0129/1.6</f>
        <v>8.0625000000000002E-3</v>
      </c>
      <c r="Q96" s="336">
        <v>1</v>
      </c>
      <c r="R96" s="337">
        <f t="shared" si="171"/>
        <v>1.8532338457509625</v>
      </c>
      <c r="S96" s="455" t="str">
        <f t="shared" si="172"/>
        <v>(3,4,5,3,1,5); de Wild-Scholten (2014) Life Cycle Assessment of Photovoltaics Status 2011, Part 1 Data Collection (Table 37)</v>
      </c>
      <c r="T96" s="440">
        <f>0.0129/1.6</f>
        <v>8.0625000000000002E-3</v>
      </c>
      <c r="U96" s="336">
        <v>1</v>
      </c>
      <c r="V96" s="337">
        <f t="shared" si="173"/>
        <v>1.8532338457509625</v>
      </c>
      <c r="W96" s="455" t="str">
        <f t="shared" si="174"/>
        <v>(3,4,5,3,1,5); de Wild-Scholten (2014) Life Cycle Assessment of Photovoltaics Status 2011, Part 1 Data Collection (Table 37)</v>
      </c>
      <c r="X96" s="440">
        <f>0.0129/1.6</f>
        <v>8.0625000000000002E-3</v>
      </c>
      <c r="Y96" s="336">
        <v>1</v>
      </c>
      <c r="Z96" s="337">
        <f t="shared" si="175"/>
        <v>1.8532338457509625</v>
      </c>
      <c r="AA96" s="437" t="str">
        <f t="shared" si="176"/>
        <v>(3,4,5,3,1,5); de Wild-Scholten (2014) Life Cycle Assessment of Photovoltaics Status 2011, Part 1 Data Collection (Table 37)</v>
      </c>
      <c r="AB96" s="440">
        <f>X96</f>
        <v>8.0625000000000002E-3</v>
      </c>
      <c r="AC96" s="336">
        <v>1</v>
      </c>
      <c r="AD96" s="337">
        <f t="shared" si="177"/>
        <v>1.8532338457509625</v>
      </c>
      <c r="AE96" s="437" t="str">
        <f t="shared" si="178"/>
        <v>(3,4,5,3,1,5); de Wild-Scholten (2014) Life Cycle Assessment of Photovoltaics Status 2011, Part 1 Data Collection (Table 37)</v>
      </c>
      <c r="AF96" s="440">
        <f t="shared" si="156"/>
        <v>8.0625000000000002E-3</v>
      </c>
      <c r="AG96" s="336">
        <v>1</v>
      </c>
      <c r="AH96" s="337">
        <f t="shared" si="179"/>
        <v>1.8532338457509625</v>
      </c>
      <c r="AI96" s="455" t="str">
        <f t="shared" si="180"/>
        <v>(3,4,5,3,1,5); de Wild-Scholten (2014) Life Cycle Assessment of Photovoltaics Status 2011, Part 1 Data Collection (Table 37)</v>
      </c>
      <c r="AJ96" s="440">
        <f t="shared" si="157"/>
        <v>8.0625000000000002E-3</v>
      </c>
      <c r="AK96" s="336">
        <v>1</v>
      </c>
      <c r="AL96" s="337">
        <f t="shared" si="181"/>
        <v>1.8532338457509625</v>
      </c>
      <c r="AM96" s="455" t="str">
        <f t="shared" si="182"/>
        <v>(3,4,5,3,1,5); de Wild-Scholten (2014) Life Cycle Assessment of Photovoltaics Status 2011, Part 1 Data Collection (Table 37)</v>
      </c>
      <c r="AN96" s="440">
        <f t="shared" si="158"/>
        <v>8.0625000000000002E-3</v>
      </c>
      <c r="AO96" s="336">
        <v>1</v>
      </c>
      <c r="AP96" s="337">
        <f t="shared" si="183"/>
        <v>1.8532338457509625</v>
      </c>
      <c r="AQ96" s="455" t="str">
        <f t="shared" si="184"/>
        <v>(3,4,5,3,1,5); de Wild-Scholten (2014) Life Cycle Assessment of Photovoltaics Status 2011, Part 1 Data Collection (Table 37)</v>
      </c>
      <c r="AR96" s="440">
        <f t="shared" si="159"/>
        <v>8.0625000000000002E-3</v>
      </c>
      <c r="AS96" s="336">
        <v>1</v>
      </c>
      <c r="AT96" s="337">
        <f t="shared" si="185"/>
        <v>1.8532338457509625</v>
      </c>
      <c r="AU96" s="455" t="str">
        <f t="shared" si="186"/>
        <v>(3,4,5,3,1,5); de Wild-Scholten (2014) Life Cycle Assessment of Photovoltaics Status 2011, Part 1 Data Collection (Table 37)</v>
      </c>
      <c r="AV96" s="440">
        <f>AR96</f>
        <v>8.0625000000000002E-3</v>
      </c>
      <c r="AW96" s="336">
        <v>1</v>
      </c>
      <c r="AX96" s="337">
        <f t="shared" si="187"/>
        <v>1.8532338457509625</v>
      </c>
      <c r="AY96" s="437" t="str">
        <f t="shared" si="188"/>
        <v>(3,4,5,3,1,5); de Wild-Scholten (2014) Life Cycle Assessment of Photovoltaics Status 2011, Part 1 Data Collection (Table 37)</v>
      </c>
      <c r="AZ96" s="440">
        <f t="shared" si="160"/>
        <v>8.0625000000000002E-3</v>
      </c>
      <c r="BA96" s="336">
        <v>1</v>
      </c>
      <c r="BB96" s="337">
        <f t="shared" si="189"/>
        <v>1.8532338457509625</v>
      </c>
      <c r="BC96" s="455" t="str">
        <f t="shared" si="190"/>
        <v>(3,4,5,3,1,5); de Wild-Scholten (2014) Life Cycle Assessment of Photovoltaics Status 2011, Part 1 Data Collection (Table 37)</v>
      </c>
      <c r="BD96" s="440">
        <f t="shared" si="161"/>
        <v>8.0625000000000002E-3</v>
      </c>
      <c r="BE96" s="336">
        <v>1</v>
      </c>
      <c r="BF96" s="337">
        <f t="shared" si="191"/>
        <v>1.8532338457509625</v>
      </c>
      <c r="BG96" s="455" t="str">
        <f t="shared" si="192"/>
        <v>(3,4,5,3,1,5); de Wild-Scholten (2014) Life Cycle Assessment of Photovoltaics Status 2011, Part 1 Data Collection (Table 37)</v>
      </c>
      <c r="BH96" s="440">
        <f t="shared" si="162"/>
        <v>8.0625000000000002E-3</v>
      </c>
      <c r="BI96" s="336">
        <v>1</v>
      </c>
      <c r="BJ96" s="337">
        <f t="shared" si="193"/>
        <v>1.8532338457509625</v>
      </c>
      <c r="BK96" s="455" t="str">
        <f t="shared" si="194"/>
        <v>(3,4,5,3,1,5); de Wild-Scholten (2014) Life Cycle Assessment of Photovoltaics Status 2011, Part 1 Data Collection (Table 37)</v>
      </c>
      <c r="BL96" s="440">
        <f t="shared" si="163"/>
        <v>8.0625000000000002E-3</v>
      </c>
      <c r="BM96" s="336">
        <v>1</v>
      </c>
      <c r="BN96" s="337">
        <f t="shared" si="195"/>
        <v>1.8532338457509625</v>
      </c>
      <c r="BO96" s="455" t="str">
        <f t="shared" si="196"/>
        <v>(3,4,5,3,1,5); de Wild-Scholten (2014) Life Cycle Assessment of Photovoltaics Status 2011, Part 1 Data Collection (Table 37)</v>
      </c>
      <c r="BP96" s="440">
        <f>BL96</f>
        <v>8.0625000000000002E-3</v>
      </c>
      <c r="BQ96" s="336">
        <v>1</v>
      </c>
      <c r="BR96" s="337">
        <f t="shared" si="197"/>
        <v>1.8532338457509625</v>
      </c>
      <c r="BS96" s="437" t="str">
        <f t="shared" si="198"/>
        <v>(3,4,5,3,1,5); de Wild-Scholten (2014) Life Cycle Assessment of Photovoltaics Status 2011, Part 1 Data Collection (Table 37)</v>
      </c>
      <c r="BT96" s="440">
        <f t="shared" si="164"/>
        <v>8.0625000000000002E-3</v>
      </c>
      <c r="BU96" s="336">
        <v>1</v>
      </c>
      <c r="BV96" s="337">
        <f t="shared" si="199"/>
        <v>1.8532338457509625</v>
      </c>
      <c r="BW96" s="455" t="str">
        <f t="shared" si="200"/>
        <v>(3,4,5,3,1,5); de Wild-Scholten (2014) Life Cycle Assessment of Photovoltaics Status 2011, Part 1 Data Collection (Table 37)</v>
      </c>
      <c r="BX96" s="440">
        <f t="shared" si="165"/>
        <v>8.0625000000000002E-3</v>
      </c>
      <c r="BY96" s="336">
        <v>1</v>
      </c>
      <c r="BZ96" s="337">
        <f t="shared" si="201"/>
        <v>1.8532338457509625</v>
      </c>
      <c r="CA96" s="455" t="str">
        <f t="shared" si="202"/>
        <v>(3,4,5,3,1,5); de Wild-Scholten (2014) Life Cycle Assessment of Photovoltaics Status 2011, Part 1 Data Collection (Table 37)</v>
      </c>
      <c r="CB96" s="440">
        <f t="shared" si="166"/>
        <v>8.0625000000000002E-3</v>
      </c>
      <c r="CC96" s="336">
        <v>1</v>
      </c>
      <c r="CD96" s="337">
        <f t="shared" si="203"/>
        <v>1.8532338457509625</v>
      </c>
      <c r="CE96" s="455" t="str">
        <f t="shared" si="204"/>
        <v>(3,4,5,3,1,5); de Wild-Scholten (2014) Life Cycle Assessment of Photovoltaics Status 2011, Part 1 Data Collection (Table 37)</v>
      </c>
      <c r="CF96" s="440">
        <f t="shared" si="167"/>
        <v>8.0625000000000002E-3</v>
      </c>
      <c r="CG96" s="336">
        <v>1</v>
      </c>
      <c r="CH96" s="337">
        <f t="shared" si="205"/>
        <v>1.8532338457509625</v>
      </c>
      <c r="CI96" s="455" t="str">
        <f t="shared" si="168"/>
        <v>(3,4,5,3,1,5); de Wild-Scholten (2014) Life Cycle Assessment of Photovoltaics Status 2011, Part 1 Data Collection (Table 37)</v>
      </c>
      <c r="CJ96" s="440">
        <f>CF96</f>
        <v>8.0625000000000002E-3</v>
      </c>
      <c r="CK96" s="336">
        <v>1</v>
      </c>
      <c r="CL96" s="337">
        <f t="shared" si="206"/>
        <v>1.8532338457509625</v>
      </c>
      <c r="CM96" s="437" t="str">
        <f t="shared" si="207"/>
        <v>(3,4,5,3,1,5); de Wild-Scholten (2014) Life Cycle Assessment of Photovoltaics Status 2011, Part 1 Data Collection (Table 37)</v>
      </c>
      <c r="CN96" s="440">
        <v>0</v>
      </c>
      <c r="CO96" s="336">
        <v>1</v>
      </c>
      <c r="CP96" s="337">
        <f t="shared" si="208"/>
        <v>1.5</v>
      </c>
      <c r="CQ96" s="455" t="str">
        <f t="shared" si="209"/>
        <v xml:space="preserve">(na,na,na,na,na,na); </v>
      </c>
      <c r="CR96" s="440">
        <v>0</v>
      </c>
      <c r="CS96" s="336">
        <v>1</v>
      </c>
      <c r="CT96" s="337">
        <f t="shared" si="210"/>
        <v>1.5</v>
      </c>
      <c r="CU96" s="437" t="str">
        <f t="shared" si="211"/>
        <v xml:space="preserve">(na,na,na,na,na,na); </v>
      </c>
      <c r="CW96" s="440"/>
      <c r="CX96" s="440"/>
      <c r="CY96" s="440"/>
      <c r="CZ96" s="440"/>
      <c r="DA96" s="216" t="s">
        <v>1230</v>
      </c>
      <c r="DB96" s="339">
        <v>3</v>
      </c>
      <c r="DC96" s="339">
        <v>4</v>
      </c>
      <c r="DD96" s="339">
        <v>5</v>
      </c>
      <c r="DE96" s="339">
        <v>3</v>
      </c>
      <c r="DF96" s="339">
        <v>1</v>
      </c>
      <c r="DG96" s="339">
        <v>5</v>
      </c>
      <c r="DH96" s="104">
        <v>16</v>
      </c>
      <c r="DI96" s="104">
        <v>1.5</v>
      </c>
      <c r="DJ96" s="107">
        <f t="shared" si="212"/>
        <v>1.5919770563893134</v>
      </c>
      <c r="DK96" s="107">
        <f t="shared" si="213"/>
        <v>1.8532338457509625</v>
      </c>
      <c r="DL96" s="107" t="str">
        <f t="shared" si="214"/>
        <v>(3,4,5,3,1,5)</v>
      </c>
      <c r="DM96" s="108">
        <v>1.1000000000000001</v>
      </c>
      <c r="DN96" s="108">
        <v>1.1000000000000001</v>
      </c>
      <c r="DO96" s="108">
        <v>1.5</v>
      </c>
      <c r="DP96" s="108">
        <v>1.02</v>
      </c>
      <c r="DQ96" s="108">
        <v>1</v>
      </c>
      <c r="DR96" s="108">
        <v>1.2</v>
      </c>
      <c r="DT96" s="691"/>
      <c r="DU96" s="83" t="s">
        <v>106</v>
      </c>
      <c r="DV96" s="83" t="s">
        <v>106</v>
      </c>
      <c r="DW96" s="83" t="s">
        <v>106</v>
      </c>
      <c r="DX96" s="83" t="s">
        <v>106</v>
      </c>
      <c r="DY96" s="83" t="s">
        <v>106</v>
      </c>
      <c r="DZ96" s="83" t="s">
        <v>106</v>
      </c>
      <c r="EA96" s="104">
        <v>16</v>
      </c>
      <c r="EB96" s="104">
        <v>1.5</v>
      </c>
      <c r="EC96" s="107">
        <f t="shared" si="215"/>
        <v>1</v>
      </c>
      <c r="ED96" s="107">
        <f t="shared" si="216"/>
        <v>1.5</v>
      </c>
      <c r="EE96" s="107" t="str">
        <f t="shared" si="217"/>
        <v>(na,na,na,na,na,na)</v>
      </c>
      <c r="EF96" s="108">
        <v>1</v>
      </c>
      <c r="EG96" s="108">
        <v>1</v>
      </c>
      <c r="EH96" s="108">
        <v>1</v>
      </c>
      <c r="EI96" s="108">
        <v>1</v>
      </c>
      <c r="EJ96" s="108">
        <v>1</v>
      </c>
      <c r="EK96" s="108">
        <v>1</v>
      </c>
    </row>
    <row r="97" spans="1:141" s="171" customFormat="1" ht="48">
      <c r="A97" s="333">
        <v>90275</v>
      </c>
      <c r="B97" s="216"/>
      <c r="C97" s="334"/>
      <c r="D97" s="342" t="s">
        <v>98</v>
      </c>
      <c r="E97" s="343">
        <v>4</v>
      </c>
      <c r="F97" s="437" t="s">
        <v>259</v>
      </c>
      <c r="G97" s="438" t="s">
        <v>98</v>
      </c>
      <c r="H97" s="455" t="s">
        <v>247</v>
      </c>
      <c r="I97" s="455" t="s">
        <v>258</v>
      </c>
      <c r="J97" s="336" t="s">
        <v>98</v>
      </c>
      <c r="K97" s="438" t="s">
        <v>96</v>
      </c>
      <c r="L97" s="440">
        <f>0.0349/1.6</f>
        <v>2.1812499999999999E-2</v>
      </c>
      <c r="M97" s="336">
        <v>1</v>
      </c>
      <c r="N97" s="337">
        <f t="shared" si="169"/>
        <v>1.5960462102848654</v>
      </c>
      <c r="O97" s="455" t="str">
        <f t="shared" si="170"/>
        <v>(3,4,5,3,1,5); de Wild-Scholten (2014) Life Cycle Assessment of Photovoltaics Status 2011, Part 1 Data Collection (Table 37)</v>
      </c>
      <c r="P97" s="440">
        <f>0.0349/1.6</f>
        <v>2.1812499999999999E-2</v>
      </c>
      <c r="Q97" s="336">
        <v>1</v>
      </c>
      <c r="R97" s="337">
        <f t="shared" si="171"/>
        <v>1.5960462102848654</v>
      </c>
      <c r="S97" s="455" t="str">
        <f t="shared" si="172"/>
        <v>(3,4,5,3,1,5); de Wild-Scholten (2014) Life Cycle Assessment of Photovoltaics Status 2011, Part 1 Data Collection (Table 37)</v>
      </c>
      <c r="T97" s="440">
        <f>0.0349/1.6</f>
        <v>2.1812499999999999E-2</v>
      </c>
      <c r="U97" s="336">
        <v>1</v>
      </c>
      <c r="V97" s="337">
        <f t="shared" si="173"/>
        <v>1.5960462102848654</v>
      </c>
      <c r="W97" s="455" t="str">
        <f t="shared" si="174"/>
        <v>(3,4,5,3,1,5); de Wild-Scholten (2014) Life Cycle Assessment of Photovoltaics Status 2011, Part 1 Data Collection (Table 37)</v>
      </c>
      <c r="X97" s="440">
        <f>0.0349/1.6</f>
        <v>2.1812499999999999E-2</v>
      </c>
      <c r="Y97" s="336">
        <v>1</v>
      </c>
      <c r="Z97" s="337">
        <f t="shared" si="175"/>
        <v>1.5960462102848654</v>
      </c>
      <c r="AA97" s="437" t="str">
        <f t="shared" si="176"/>
        <v>(3,4,5,3,1,5); de Wild-Scholten (2014) Life Cycle Assessment of Photovoltaics Status 2011, Part 1 Data Collection (Table 37)</v>
      </c>
      <c r="AB97" s="440">
        <f>X97</f>
        <v>2.1812499999999999E-2</v>
      </c>
      <c r="AC97" s="336">
        <v>1</v>
      </c>
      <c r="AD97" s="337">
        <f t="shared" si="177"/>
        <v>1.5960462102848654</v>
      </c>
      <c r="AE97" s="437" t="str">
        <f t="shared" si="178"/>
        <v>(3,4,5,3,1,5); de Wild-Scholten (2014) Life Cycle Assessment of Photovoltaics Status 2011, Part 1 Data Collection (Table 37)</v>
      </c>
      <c r="AF97" s="440">
        <f t="shared" si="156"/>
        <v>2.1812499999999999E-2</v>
      </c>
      <c r="AG97" s="336">
        <v>1</v>
      </c>
      <c r="AH97" s="337">
        <f t="shared" si="179"/>
        <v>1.5960462102848654</v>
      </c>
      <c r="AI97" s="455" t="str">
        <f t="shared" si="180"/>
        <v>(3,4,5,3,1,5); de Wild-Scholten (2014) Life Cycle Assessment of Photovoltaics Status 2011, Part 1 Data Collection (Table 37)</v>
      </c>
      <c r="AJ97" s="440">
        <f t="shared" si="157"/>
        <v>2.1812499999999999E-2</v>
      </c>
      <c r="AK97" s="336">
        <v>1</v>
      </c>
      <c r="AL97" s="337">
        <f t="shared" si="181"/>
        <v>1.5960462102848654</v>
      </c>
      <c r="AM97" s="455" t="str">
        <f t="shared" si="182"/>
        <v>(3,4,5,3,1,5); de Wild-Scholten (2014) Life Cycle Assessment of Photovoltaics Status 2011, Part 1 Data Collection (Table 37)</v>
      </c>
      <c r="AN97" s="440">
        <f t="shared" si="158"/>
        <v>2.1812499999999999E-2</v>
      </c>
      <c r="AO97" s="336">
        <v>1</v>
      </c>
      <c r="AP97" s="337">
        <f t="shared" si="183"/>
        <v>1.5960462102848654</v>
      </c>
      <c r="AQ97" s="455" t="str">
        <f t="shared" si="184"/>
        <v>(3,4,5,3,1,5); de Wild-Scholten (2014) Life Cycle Assessment of Photovoltaics Status 2011, Part 1 Data Collection (Table 37)</v>
      </c>
      <c r="AR97" s="440">
        <f t="shared" si="159"/>
        <v>2.1812499999999999E-2</v>
      </c>
      <c r="AS97" s="336">
        <v>1</v>
      </c>
      <c r="AT97" s="337">
        <f t="shared" si="185"/>
        <v>1.5960462102848654</v>
      </c>
      <c r="AU97" s="455" t="str">
        <f t="shared" si="186"/>
        <v>(3,4,5,3,1,5); de Wild-Scholten (2014) Life Cycle Assessment of Photovoltaics Status 2011, Part 1 Data Collection (Table 37)</v>
      </c>
      <c r="AV97" s="440">
        <f>AR97</f>
        <v>2.1812499999999999E-2</v>
      </c>
      <c r="AW97" s="336">
        <v>1</v>
      </c>
      <c r="AX97" s="337">
        <f t="shared" si="187"/>
        <v>1.5960462102848654</v>
      </c>
      <c r="AY97" s="437" t="str">
        <f t="shared" si="188"/>
        <v>(3,4,5,3,1,5); de Wild-Scholten (2014) Life Cycle Assessment of Photovoltaics Status 2011, Part 1 Data Collection (Table 37)</v>
      </c>
      <c r="AZ97" s="440">
        <f t="shared" si="160"/>
        <v>2.1812499999999999E-2</v>
      </c>
      <c r="BA97" s="336">
        <v>1</v>
      </c>
      <c r="BB97" s="337">
        <f t="shared" si="189"/>
        <v>1.5960462102848654</v>
      </c>
      <c r="BC97" s="455" t="str">
        <f t="shared" si="190"/>
        <v>(3,4,5,3,1,5); de Wild-Scholten (2014) Life Cycle Assessment of Photovoltaics Status 2011, Part 1 Data Collection (Table 37)</v>
      </c>
      <c r="BD97" s="440">
        <f t="shared" si="161"/>
        <v>2.1812499999999999E-2</v>
      </c>
      <c r="BE97" s="336">
        <v>1</v>
      </c>
      <c r="BF97" s="337">
        <f t="shared" si="191"/>
        <v>1.5960462102848654</v>
      </c>
      <c r="BG97" s="455" t="str">
        <f t="shared" si="192"/>
        <v>(3,4,5,3,1,5); de Wild-Scholten (2014) Life Cycle Assessment of Photovoltaics Status 2011, Part 1 Data Collection (Table 37)</v>
      </c>
      <c r="BH97" s="440">
        <f t="shared" si="162"/>
        <v>2.1812499999999999E-2</v>
      </c>
      <c r="BI97" s="336">
        <v>1</v>
      </c>
      <c r="BJ97" s="337">
        <f t="shared" si="193"/>
        <v>1.5960462102848654</v>
      </c>
      <c r="BK97" s="455" t="str">
        <f t="shared" si="194"/>
        <v>(3,4,5,3,1,5); de Wild-Scholten (2014) Life Cycle Assessment of Photovoltaics Status 2011, Part 1 Data Collection (Table 37)</v>
      </c>
      <c r="BL97" s="440">
        <f t="shared" si="163"/>
        <v>2.1812499999999999E-2</v>
      </c>
      <c r="BM97" s="336">
        <v>1</v>
      </c>
      <c r="BN97" s="337">
        <f t="shared" si="195"/>
        <v>1.5960462102848654</v>
      </c>
      <c r="BO97" s="455" t="str">
        <f t="shared" si="196"/>
        <v>(3,4,5,3,1,5); de Wild-Scholten (2014) Life Cycle Assessment of Photovoltaics Status 2011, Part 1 Data Collection (Table 37)</v>
      </c>
      <c r="BP97" s="440">
        <f>BL97</f>
        <v>2.1812499999999999E-2</v>
      </c>
      <c r="BQ97" s="336">
        <v>1</v>
      </c>
      <c r="BR97" s="337">
        <f t="shared" si="197"/>
        <v>1.5960462102848654</v>
      </c>
      <c r="BS97" s="437" t="str">
        <f t="shared" si="198"/>
        <v>(3,4,5,3,1,5); de Wild-Scholten (2014) Life Cycle Assessment of Photovoltaics Status 2011, Part 1 Data Collection (Table 37)</v>
      </c>
      <c r="BT97" s="440">
        <f t="shared" si="164"/>
        <v>2.1812499999999999E-2</v>
      </c>
      <c r="BU97" s="336">
        <v>1</v>
      </c>
      <c r="BV97" s="337">
        <f t="shared" si="199"/>
        <v>1.5960462102848654</v>
      </c>
      <c r="BW97" s="455" t="str">
        <f t="shared" si="200"/>
        <v>(3,4,5,3,1,5); de Wild-Scholten (2014) Life Cycle Assessment of Photovoltaics Status 2011, Part 1 Data Collection (Table 37)</v>
      </c>
      <c r="BX97" s="440">
        <f t="shared" si="165"/>
        <v>2.1812499999999999E-2</v>
      </c>
      <c r="BY97" s="336">
        <v>1</v>
      </c>
      <c r="BZ97" s="337">
        <f t="shared" si="201"/>
        <v>1.5960462102848654</v>
      </c>
      <c r="CA97" s="455" t="str">
        <f t="shared" si="202"/>
        <v>(3,4,5,3,1,5); de Wild-Scholten (2014) Life Cycle Assessment of Photovoltaics Status 2011, Part 1 Data Collection (Table 37)</v>
      </c>
      <c r="CB97" s="440">
        <f t="shared" si="166"/>
        <v>2.1812499999999999E-2</v>
      </c>
      <c r="CC97" s="336">
        <v>1</v>
      </c>
      <c r="CD97" s="337">
        <f t="shared" si="203"/>
        <v>1.5960462102848654</v>
      </c>
      <c r="CE97" s="455" t="str">
        <f t="shared" si="204"/>
        <v>(3,4,5,3,1,5); de Wild-Scholten (2014) Life Cycle Assessment of Photovoltaics Status 2011, Part 1 Data Collection (Table 37)</v>
      </c>
      <c r="CF97" s="440">
        <f t="shared" si="167"/>
        <v>2.1812499999999999E-2</v>
      </c>
      <c r="CG97" s="336">
        <v>1</v>
      </c>
      <c r="CH97" s="337">
        <f t="shared" si="205"/>
        <v>1.5960462102848654</v>
      </c>
      <c r="CI97" s="455" t="str">
        <f t="shared" si="168"/>
        <v>(3,4,5,3,1,5); de Wild-Scholten (2014) Life Cycle Assessment of Photovoltaics Status 2011, Part 1 Data Collection (Table 37)</v>
      </c>
      <c r="CJ97" s="440">
        <f>CF97</f>
        <v>2.1812499999999999E-2</v>
      </c>
      <c r="CK97" s="336">
        <v>1</v>
      </c>
      <c r="CL97" s="337">
        <f t="shared" si="206"/>
        <v>1.5960462102848654</v>
      </c>
      <c r="CM97" s="437" t="str">
        <f t="shared" si="207"/>
        <v>(3,4,5,3,1,5); de Wild-Scholten (2014) Life Cycle Assessment of Photovoltaics Status 2011, Part 1 Data Collection (Table 37)</v>
      </c>
      <c r="CN97" s="440">
        <v>0</v>
      </c>
      <c r="CO97" s="336">
        <v>1</v>
      </c>
      <c r="CP97" s="337">
        <f t="shared" si="208"/>
        <v>1.05</v>
      </c>
      <c r="CQ97" s="455" t="str">
        <f t="shared" si="209"/>
        <v xml:space="preserve">(na,na,na,na,na,na); </v>
      </c>
      <c r="CR97" s="440">
        <v>0</v>
      </c>
      <c r="CS97" s="336">
        <v>1</v>
      </c>
      <c r="CT97" s="337">
        <f t="shared" si="210"/>
        <v>1.05</v>
      </c>
      <c r="CU97" s="437" t="str">
        <f t="shared" si="211"/>
        <v xml:space="preserve">(na,na,na,na,na,na); </v>
      </c>
      <c r="CW97" s="440"/>
      <c r="CX97" s="440"/>
      <c r="CY97" s="440"/>
      <c r="CZ97" s="440"/>
      <c r="DA97" s="216" t="s">
        <v>1230</v>
      </c>
      <c r="DB97" s="339">
        <v>3</v>
      </c>
      <c r="DC97" s="339">
        <v>4</v>
      </c>
      <c r="DD97" s="339">
        <v>5</v>
      </c>
      <c r="DE97" s="339">
        <v>3</v>
      </c>
      <c r="DF97" s="339">
        <v>1</v>
      </c>
      <c r="DG97" s="339">
        <v>5</v>
      </c>
      <c r="DH97" s="104">
        <v>14</v>
      </c>
      <c r="DI97" s="104">
        <v>1.05</v>
      </c>
      <c r="DJ97" s="107">
        <f t="shared" si="212"/>
        <v>1.5919770563893134</v>
      </c>
      <c r="DK97" s="107">
        <f t="shared" si="213"/>
        <v>1.5960462102848654</v>
      </c>
      <c r="DL97" s="107" t="str">
        <f t="shared" si="214"/>
        <v>(3,4,5,3,1,5)</v>
      </c>
      <c r="DM97" s="108">
        <v>1.1000000000000001</v>
      </c>
      <c r="DN97" s="108">
        <v>1.1000000000000001</v>
      </c>
      <c r="DO97" s="108">
        <v>1.5</v>
      </c>
      <c r="DP97" s="108">
        <v>1.02</v>
      </c>
      <c r="DQ97" s="108">
        <v>1</v>
      </c>
      <c r="DR97" s="108">
        <v>1.2</v>
      </c>
      <c r="DT97" s="691"/>
      <c r="DU97" s="83" t="s">
        <v>106</v>
      </c>
      <c r="DV97" s="83" t="s">
        <v>106</v>
      </c>
      <c r="DW97" s="83" t="s">
        <v>106</v>
      </c>
      <c r="DX97" s="83" t="s">
        <v>106</v>
      </c>
      <c r="DY97" s="83" t="s">
        <v>106</v>
      </c>
      <c r="DZ97" s="83" t="s">
        <v>106</v>
      </c>
      <c r="EA97" s="104">
        <v>14</v>
      </c>
      <c r="EB97" s="104">
        <v>1.05</v>
      </c>
      <c r="EC97" s="107">
        <f t="shared" si="215"/>
        <v>1</v>
      </c>
      <c r="ED97" s="107">
        <f t="shared" si="216"/>
        <v>1.05</v>
      </c>
      <c r="EE97" s="107" t="str">
        <f t="shared" si="217"/>
        <v>(na,na,na,na,na,na)</v>
      </c>
      <c r="EF97" s="108">
        <v>1</v>
      </c>
      <c r="EG97" s="108">
        <v>1</v>
      </c>
      <c r="EH97" s="108">
        <v>1</v>
      </c>
      <c r="EI97" s="108">
        <v>1</v>
      </c>
      <c r="EJ97" s="108">
        <v>1</v>
      </c>
      <c r="EK97" s="108">
        <v>1</v>
      </c>
    </row>
    <row r="98" spans="1:141" ht="24">
      <c r="A98" s="330">
        <v>50430</v>
      </c>
      <c r="B98" s="216"/>
      <c r="C98" s="165"/>
      <c r="D98" s="342" t="s">
        <v>98</v>
      </c>
      <c r="E98" s="343">
        <v>4</v>
      </c>
      <c r="F98" s="437" t="s">
        <v>523</v>
      </c>
      <c r="G98" s="438" t="s">
        <v>98</v>
      </c>
      <c r="H98" s="455" t="s">
        <v>247</v>
      </c>
      <c r="I98" s="455" t="s">
        <v>248</v>
      </c>
      <c r="J98" s="336" t="s">
        <v>98</v>
      </c>
      <c r="K98" s="438" t="s">
        <v>96</v>
      </c>
      <c r="L98" s="440">
        <f>L51-L94*1000</f>
        <v>0.64069672131148092</v>
      </c>
      <c r="M98" s="336">
        <v>1</v>
      </c>
      <c r="N98" s="337">
        <f t="shared" si="169"/>
        <v>1.6871983667168997</v>
      </c>
      <c r="O98" s="455" t="str">
        <f t="shared" si="170"/>
        <v>(4,4,4,3,1,5); Calculation: Tap water - wastewater treated OR 10% of tap water</v>
      </c>
      <c r="P98" s="440">
        <f>P51-P94*1000</f>
        <v>4.5353805620608894</v>
      </c>
      <c r="Q98" s="336">
        <v>1</v>
      </c>
      <c r="R98" s="337">
        <f t="shared" si="171"/>
        <v>1.6871983667168997</v>
      </c>
      <c r="S98" s="455" t="str">
        <f t="shared" si="172"/>
        <v>(4,4,4,3,1,5); Calculation: Tap water - wastewater treated OR 10% of tap water</v>
      </c>
      <c r="T98" s="440">
        <f>T51-T94*1000</f>
        <v>4.3842507645259898</v>
      </c>
      <c r="U98" s="336">
        <v>1</v>
      </c>
      <c r="V98" s="337">
        <f t="shared" si="173"/>
        <v>1.6871983667168997</v>
      </c>
      <c r="W98" s="455" t="str">
        <f t="shared" si="174"/>
        <v>(4,4,4,3,1,5); Calculation: Tap water - wastewater treated OR 10% of tap water</v>
      </c>
      <c r="X98" s="440">
        <f>X51*0.1</f>
        <v>0.63192233009708698</v>
      </c>
      <c r="Y98" s="336">
        <v>1</v>
      </c>
      <c r="Z98" s="337">
        <f t="shared" si="175"/>
        <v>1.6871983667168997</v>
      </c>
      <c r="AA98" s="437" t="str">
        <f t="shared" si="176"/>
        <v>(4,4,4,3,1,5); Calculation: Tap water - wastewater treated OR 10% of tap water</v>
      </c>
      <c r="AB98" s="440">
        <f>AB51*0.1</f>
        <v>0.63192233009708698</v>
      </c>
      <c r="AC98" s="336">
        <v>1</v>
      </c>
      <c r="AD98" s="337">
        <f t="shared" si="177"/>
        <v>1.6871983667168997</v>
      </c>
      <c r="AE98" s="432" t="str">
        <f t="shared" si="178"/>
        <v>(4,4,4,3,1,5); Calculation: Tap water - wastewater treated OR 10% of tap water</v>
      </c>
      <c r="AF98" s="440">
        <v>0</v>
      </c>
      <c r="AG98" s="336">
        <v>1</v>
      </c>
      <c r="AH98" s="337">
        <f t="shared" si="179"/>
        <v>1.6871983667168997</v>
      </c>
      <c r="AI98" s="455" t="str">
        <f t="shared" si="180"/>
        <v>(4,4,4,3,1,5); Calculation: Tap water - wastewater treated OR 10% of tap water</v>
      </c>
      <c r="AJ98" s="440">
        <v>0</v>
      </c>
      <c r="AK98" s="336">
        <v>1</v>
      </c>
      <c r="AL98" s="337">
        <f t="shared" si="181"/>
        <v>1.6871983667168997</v>
      </c>
      <c r="AM98" s="455" t="str">
        <f t="shared" si="182"/>
        <v>(4,4,4,3,1,5); Calculation: Tap water - wastewater treated OR 10% of tap water</v>
      </c>
      <c r="AN98" s="440">
        <v>0</v>
      </c>
      <c r="AO98" s="336">
        <v>1</v>
      </c>
      <c r="AP98" s="337">
        <f t="shared" si="183"/>
        <v>1.6871983667168997</v>
      </c>
      <c r="AQ98" s="455" t="str">
        <f t="shared" si="184"/>
        <v>(4,4,4,3,1,5); Calculation: Tap water - wastewater treated OR 10% of tap water</v>
      </c>
      <c r="AR98" s="440">
        <v>0</v>
      </c>
      <c r="AS98" s="336">
        <v>1</v>
      </c>
      <c r="AT98" s="337">
        <f t="shared" si="185"/>
        <v>1.6871983667168997</v>
      </c>
      <c r="AU98" s="455" t="str">
        <f t="shared" si="186"/>
        <v>(4,4,4,3,1,5); Calculation: Tap water - wastewater treated OR 10% of tap water</v>
      </c>
      <c r="AV98" s="440">
        <v>0</v>
      </c>
      <c r="AW98" s="336">
        <v>1</v>
      </c>
      <c r="AX98" s="337">
        <f t="shared" si="187"/>
        <v>1.6871983667168997</v>
      </c>
      <c r="AY98" s="437" t="str">
        <f t="shared" si="188"/>
        <v>(4,4,4,3,1,5); Calculation: Tap water - wastewater treated OR 10% of tap water</v>
      </c>
      <c r="AZ98" s="440">
        <v>0</v>
      </c>
      <c r="BA98" s="95">
        <v>1</v>
      </c>
      <c r="BB98" s="96">
        <f t="shared" si="189"/>
        <v>1.6871983667168997</v>
      </c>
      <c r="BC98" s="457" t="str">
        <f t="shared" si="190"/>
        <v>(4,4,4,3,1,5); Calculation: Tap water - wastewater treated OR 10% of tap water</v>
      </c>
      <c r="BD98" s="435">
        <v>0</v>
      </c>
      <c r="BE98" s="95">
        <v>1</v>
      </c>
      <c r="BF98" s="96">
        <f t="shared" si="191"/>
        <v>1.6871983667168997</v>
      </c>
      <c r="BG98" s="457" t="str">
        <f t="shared" si="192"/>
        <v>(4,4,4,3,1,5); Calculation: Tap water - wastewater treated OR 10% of tap water</v>
      </c>
      <c r="BH98" s="435">
        <v>0</v>
      </c>
      <c r="BI98" s="95">
        <v>1</v>
      </c>
      <c r="BJ98" s="96">
        <f t="shared" si="193"/>
        <v>1.6871983667168997</v>
      </c>
      <c r="BK98" s="457" t="str">
        <f t="shared" si="194"/>
        <v>(4,4,4,3,1,5); Calculation: Tap water - wastewater treated OR 10% of tap water</v>
      </c>
      <c r="BL98" s="435">
        <v>0</v>
      </c>
      <c r="BM98" s="95">
        <v>1</v>
      </c>
      <c r="BN98" s="96">
        <f t="shared" si="195"/>
        <v>1.6871983667168997</v>
      </c>
      <c r="BO98" s="457" t="str">
        <f t="shared" si="196"/>
        <v>(4,4,4,3,1,5); Calculation: Tap water - wastewater treated OR 10% of tap water</v>
      </c>
      <c r="BP98" s="435">
        <v>0</v>
      </c>
      <c r="BQ98" s="95">
        <v>1</v>
      </c>
      <c r="BR98" s="96">
        <f t="shared" si="197"/>
        <v>1.6871983667168997</v>
      </c>
      <c r="BS98" s="432" t="str">
        <f t="shared" si="198"/>
        <v>(4,4,4,3,1,5); Calculation: Tap water - wastewater treated OR 10% of tap water</v>
      </c>
      <c r="BT98" s="435">
        <v>0</v>
      </c>
      <c r="BU98" s="95">
        <v>1</v>
      </c>
      <c r="BV98" s="96">
        <f t="shared" si="199"/>
        <v>1.6871983667168997</v>
      </c>
      <c r="BW98" s="457" t="str">
        <f t="shared" si="200"/>
        <v>(4,4,4,3,1,5); Calculation: Tap water - wastewater treated OR 10% of tap water</v>
      </c>
      <c r="BX98" s="435">
        <v>0</v>
      </c>
      <c r="BY98" s="95">
        <v>1</v>
      </c>
      <c r="BZ98" s="96">
        <f t="shared" si="201"/>
        <v>1.6871983667168997</v>
      </c>
      <c r="CA98" s="457" t="str">
        <f t="shared" si="202"/>
        <v>(4,4,4,3,1,5); Calculation: Tap water - wastewater treated OR 10% of tap water</v>
      </c>
      <c r="CB98" s="435">
        <v>0</v>
      </c>
      <c r="CC98" s="95">
        <v>1</v>
      </c>
      <c r="CD98" s="96">
        <f t="shared" si="203"/>
        <v>1.6871983667168997</v>
      </c>
      <c r="CE98" s="457" t="str">
        <f t="shared" si="204"/>
        <v>(4,4,4,3,1,5); Calculation: Tap water - wastewater treated OR 10% of tap water</v>
      </c>
      <c r="CF98" s="435">
        <v>0</v>
      </c>
      <c r="CG98" s="95">
        <v>1</v>
      </c>
      <c r="CH98" s="96">
        <f t="shared" si="205"/>
        <v>1.6871983667168997</v>
      </c>
      <c r="CI98" s="457" t="str">
        <f t="shared" si="168"/>
        <v>(4,4,4,3,1,5); Calculation: Tap water - wastewater treated OR 10% of tap water</v>
      </c>
      <c r="CJ98" s="435">
        <v>0</v>
      </c>
      <c r="CK98" s="95">
        <v>1</v>
      </c>
      <c r="CL98" s="96">
        <f t="shared" si="206"/>
        <v>1.6871983667168997</v>
      </c>
      <c r="CM98" s="437" t="str">
        <f t="shared" si="207"/>
        <v>(4,4,4,3,1,5); Calculation: Tap water - wastewater treated OR 10% of tap water</v>
      </c>
      <c r="CN98" s="435">
        <v>0</v>
      </c>
      <c r="CO98" s="95">
        <v>1</v>
      </c>
      <c r="CP98" s="96">
        <f t="shared" si="208"/>
        <v>1.6871983667168997</v>
      </c>
      <c r="CQ98" s="457" t="str">
        <f t="shared" si="209"/>
        <v>(4,4,4,3,1,5); Brailovsky (2026) GP 08</v>
      </c>
      <c r="CR98" s="435">
        <v>0.71374534999999995</v>
      </c>
      <c r="CS98" s="95">
        <v>1</v>
      </c>
      <c r="CT98" s="96">
        <f t="shared" si="210"/>
        <v>1.6871983667168997</v>
      </c>
      <c r="CU98" s="432" t="str">
        <f t="shared" si="211"/>
        <v>(4,4,4,3,1,5); Brailovsky (2026) GP 08</v>
      </c>
      <c r="CV98" s="399"/>
      <c r="CW98" s="435"/>
      <c r="CX98" s="435"/>
      <c r="CY98" s="435"/>
      <c r="CZ98" s="435"/>
      <c r="DA98" s="692" t="s">
        <v>1231</v>
      </c>
      <c r="DB98" s="83">
        <v>4</v>
      </c>
      <c r="DC98" s="83">
        <v>4</v>
      </c>
      <c r="DD98" s="83">
        <v>4</v>
      </c>
      <c r="DE98" s="83">
        <v>3</v>
      </c>
      <c r="DF98" s="83">
        <v>1</v>
      </c>
      <c r="DG98" s="83">
        <v>5</v>
      </c>
      <c r="DH98" s="104">
        <v>31</v>
      </c>
      <c r="DI98" s="104">
        <v>1.5</v>
      </c>
      <c r="DJ98" s="107">
        <f t="shared" si="212"/>
        <v>1.3915993050235766</v>
      </c>
      <c r="DK98" s="107">
        <f t="shared" si="213"/>
        <v>1.6871983667168997</v>
      </c>
      <c r="DL98" s="107" t="str">
        <f t="shared" si="214"/>
        <v>(4,4,4,3,1,5)</v>
      </c>
      <c r="DM98" s="108">
        <v>1.2</v>
      </c>
      <c r="DN98" s="108">
        <v>1.1000000000000001</v>
      </c>
      <c r="DO98" s="108">
        <v>1.2</v>
      </c>
      <c r="DP98" s="108">
        <v>1.02</v>
      </c>
      <c r="DQ98" s="108">
        <v>1</v>
      </c>
      <c r="DR98" s="108">
        <v>1.2</v>
      </c>
      <c r="DS98" s="399"/>
      <c r="DT98" s="692" t="s">
        <v>1171</v>
      </c>
      <c r="DU98" s="83">
        <v>4</v>
      </c>
      <c r="DV98" s="83">
        <v>4</v>
      </c>
      <c r="DW98" s="83">
        <v>4</v>
      </c>
      <c r="DX98" s="83">
        <v>3</v>
      </c>
      <c r="DY98" s="83">
        <v>1</v>
      </c>
      <c r="DZ98" s="83">
        <v>5</v>
      </c>
      <c r="EA98" s="104">
        <v>31</v>
      </c>
      <c r="EB98" s="104">
        <v>1.5</v>
      </c>
      <c r="EC98" s="107">
        <f t="shared" si="215"/>
        <v>1.3915993050235766</v>
      </c>
      <c r="ED98" s="107">
        <f t="shared" si="216"/>
        <v>1.6871983667168997</v>
      </c>
      <c r="EE98" s="107" t="str">
        <f t="shared" si="217"/>
        <v>(4,4,4,3,1,5)</v>
      </c>
      <c r="EF98" s="108">
        <v>1.2</v>
      </c>
      <c r="EG98" s="108">
        <v>1.1000000000000001</v>
      </c>
      <c r="EH98" s="108">
        <v>1.2</v>
      </c>
      <c r="EI98" s="108">
        <v>1.02</v>
      </c>
      <c r="EJ98" s="108">
        <v>1</v>
      </c>
      <c r="EK98" s="108">
        <v>1.2</v>
      </c>
    </row>
    <row r="99" spans="1:141" ht="24">
      <c r="A99" s="330">
        <v>156329</v>
      </c>
      <c r="B99" s="331"/>
      <c r="C99" s="88"/>
      <c r="D99" s="340" t="s">
        <v>98</v>
      </c>
      <c r="E99" s="341">
        <v>4</v>
      </c>
      <c r="F99" s="432" t="s">
        <v>524</v>
      </c>
      <c r="G99" s="433" t="s">
        <v>98</v>
      </c>
      <c r="H99" s="434" t="s">
        <v>247</v>
      </c>
      <c r="I99" s="434" t="s">
        <v>248</v>
      </c>
      <c r="J99" s="94" t="s">
        <v>98</v>
      </c>
      <c r="K99" s="433" t="s">
        <v>96</v>
      </c>
      <c r="L99" s="435">
        <f t="shared" ref="L99:L106" si="218">CW99</f>
        <v>0</v>
      </c>
      <c r="M99" s="95">
        <v>1</v>
      </c>
      <c r="N99" s="96">
        <f t="shared" si="169"/>
        <v>1.6871983667168997</v>
      </c>
      <c r="O99" s="457" t="str">
        <f t="shared" si="170"/>
        <v>(4,4,4,3,1,5); Calculation: Tap water - wastewater treated OR 10% of tap water</v>
      </c>
      <c r="P99" s="435">
        <f t="shared" ref="P99:P106" si="219">CX99</f>
        <v>0</v>
      </c>
      <c r="Q99" s="95">
        <v>1</v>
      </c>
      <c r="R99" s="96">
        <f t="shared" si="171"/>
        <v>1.6871983667168997</v>
      </c>
      <c r="S99" s="457" t="str">
        <f t="shared" si="172"/>
        <v>(4,4,4,3,1,5); Calculation: Tap water - wastewater treated OR 10% of tap water</v>
      </c>
      <c r="T99" s="435">
        <f t="shared" ref="T99:T106" si="220">CY99</f>
        <v>0</v>
      </c>
      <c r="U99" s="95">
        <v>1</v>
      </c>
      <c r="V99" s="96">
        <f t="shared" si="173"/>
        <v>1.6871983667168997</v>
      </c>
      <c r="W99" s="457" t="str">
        <f t="shared" si="174"/>
        <v>(4,4,4,3,1,5); Calculation: Tap water - wastewater treated OR 10% of tap water</v>
      </c>
      <c r="X99" s="435">
        <f t="shared" ref="X99:X106" si="221">CZ99</f>
        <v>0</v>
      </c>
      <c r="Y99" s="95">
        <v>1</v>
      </c>
      <c r="Z99" s="96">
        <f t="shared" si="175"/>
        <v>1.6871983667168997</v>
      </c>
      <c r="AA99" s="437" t="str">
        <f t="shared" si="176"/>
        <v>(4,4,4,3,1,5); Calculation: Tap water - wastewater treated OR 10% of tap water</v>
      </c>
      <c r="AB99" s="440">
        <v>0</v>
      </c>
      <c r="AC99" s="336">
        <v>1</v>
      </c>
      <c r="AD99" s="337">
        <f t="shared" si="177"/>
        <v>1.6871983667168997</v>
      </c>
      <c r="AE99" s="432" t="str">
        <f t="shared" si="178"/>
        <v>(4,4,4,3,1,5); Calculation: Tap water - wastewater treated OR 10% of tap water</v>
      </c>
      <c r="AF99" s="440">
        <f>L98</f>
        <v>0.64069672131148092</v>
      </c>
      <c r="AG99" s="336">
        <v>1</v>
      </c>
      <c r="AH99" s="337">
        <f t="shared" si="179"/>
        <v>1.6871983667168997</v>
      </c>
      <c r="AI99" s="455" t="str">
        <f t="shared" si="180"/>
        <v>(4,4,4,3,1,5); Calculation: Tap water - wastewater treated OR 10% of tap water</v>
      </c>
      <c r="AJ99" s="440">
        <f>P98</f>
        <v>4.5353805620608894</v>
      </c>
      <c r="AK99" s="336">
        <v>1</v>
      </c>
      <c r="AL99" s="337">
        <f t="shared" si="181"/>
        <v>1.6871983667168997</v>
      </c>
      <c r="AM99" s="455" t="str">
        <f t="shared" si="182"/>
        <v>(4,4,4,3,1,5); Calculation: Tap water - wastewater treated OR 10% of tap water</v>
      </c>
      <c r="AN99" s="440">
        <f>T98</f>
        <v>4.3842507645259898</v>
      </c>
      <c r="AO99" s="336">
        <v>1</v>
      </c>
      <c r="AP99" s="337">
        <f t="shared" si="183"/>
        <v>1.6871983667168997</v>
      </c>
      <c r="AQ99" s="455" t="str">
        <f t="shared" si="184"/>
        <v>(4,4,4,3,1,5); Calculation: Tap water - wastewater treated OR 10% of tap water</v>
      </c>
      <c r="AR99" s="440">
        <f>X98</f>
        <v>0.63192233009708698</v>
      </c>
      <c r="AS99" s="336">
        <v>1</v>
      </c>
      <c r="AT99" s="337">
        <f t="shared" si="185"/>
        <v>1.6871983667168997</v>
      </c>
      <c r="AU99" s="455" t="str">
        <f t="shared" si="186"/>
        <v>(4,4,4,3,1,5); Calculation: Tap water - wastewater treated OR 10% of tap water</v>
      </c>
      <c r="AV99" s="440">
        <f>0.1*AV52</f>
        <v>0.63192233009708698</v>
      </c>
      <c r="AW99" s="336">
        <v>1</v>
      </c>
      <c r="AX99" s="337">
        <f t="shared" si="187"/>
        <v>1.6871983667168997</v>
      </c>
      <c r="AY99" s="437" t="str">
        <f t="shared" si="188"/>
        <v>(4,4,4,3,1,5); Calculation: Tap water - wastewater treated OR 10% of tap water</v>
      </c>
      <c r="AZ99" s="440">
        <v>0</v>
      </c>
      <c r="BA99" s="95">
        <v>1</v>
      </c>
      <c r="BB99" s="96">
        <f t="shared" si="189"/>
        <v>1.6871983667168997</v>
      </c>
      <c r="BC99" s="457" t="str">
        <f t="shared" si="190"/>
        <v>(4,4,4,3,1,5); Calculation: Tap water - wastewater treated OR 10% of tap water</v>
      </c>
      <c r="BD99" s="435">
        <v>0</v>
      </c>
      <c r="BE99" s="95">
        <v>1</v>
      </c>
      <c r="BF99" s="96">
        <f t="shared" si="191"/>
        <v>1.6871983667168997</v>
      </c>
      <c r="BG99" s="457" t="str">
        <f t="shared" si="192"/>
        <v>(4,4,4,3,1,5); Calculation: Tap water - wastewater treated OR 10% of tap water</v>
      </c>
      <c r="BH99" s="435">
        <v>0</v>
      </c>
      <c r="BI99" s="95">
        <v>1</v>
      </c>
      <c r="BJ99" s="96">
        <f t="shared" si="193"/>
        <v>1.6871983667168997</v>
      </c>
      <c r="BK99" s="457" t="str">
        <f t="shared" si="194"/>
        <v>(4,4,4,3,1,5); Calculation: Tap water - wastewater treated OR 10% of tap water</v>
      </c>
      <c r="BL99" s="435">
        <v>0</v>
      </c>
      <c r="BM99" s="95">
        <v>1</v>
      </c>
      <c r="BN99" s="96">
        <f t="shared" si="195"/>
        <v>1.6871983667168997</v>
      </c>
      <c r="BO99" s="457" t="str">
        <f t="shared" si="196"/>
        <v>(4,4,4,3,1,5); Calculation: Tap water - wastewater treated OR 10% of tap water</v>
      </c>
      <c r="BP99" s="435">
        <v>0</v>
      </c>
      <c r="BQ99" s="95">
        <v>1</v>
      </c>
      <c r="BR99" s="96">
        <f t="shared" si="197"/>
        <v>1.6871983667168997</v>
      </c>
      <c r="BS99" s="432" t="str">
        <f t="shared" si="198"/>
        <v>(4,4,4,3,1,5); Calculation: Tap water - wastewater treated OR 10% of tap water</v>
      </c>
      <c r="BT99" s="435">
        <v>0</v>
      </c>
      <c r="BU99" s="95">
        <v>1</v>
      </c>
      <c r="BV99" s="96">
        <f t="shared" si="199"/>
        <v>1.6871983667168997</v>
      </c>
      <c r="BW99" s="457" t="str">
        <f t="shared" si="200"/>
        <v>(4,4,4,3,1,5); Calculation: Tap water - wastewater treated OR 10% of tap water</v>
      </c>
      <c r="BX99" s="435">
        <v>0</v>
      </c>
      <c r="BY99" s="95">
        <v>1</v>
      </c>
      <c r="BZ99" s="96">
        <f t="shared" si="201"/>
        <v>1.6871983667168997</v>
      </c>
      <c r="CA99" s="457" t="str">
        <f t="shared" si="202"/>
        <v>(4,4,4,3,1,5); Calculation: Tap water - wastewater treated OR 10% of tap water</v>
      </c>
      <c r="CB99" s="435">
        <v>0</v>
      </c>
      <c r="CC99" s="95">
        <v>1</v>
      </c>
      <c r="CD99" s="96">
        <f t="shared" si="203"/>
        <v>1.6871983667168997</v>
      </c>
      <c r="CE99" s="457" t="str">
        <f t="shared" si="204"/>
        <v>(4,4,4,3,1,5); Calculation: Tap water - wastewater treated OR 10% of tap water</v>
      </c>
      <c r="CF99" s="435">
        <v>0</v>
      </c>
      <c r="CG99" s="95">
        <v>1</v>
      </c>
      <c r="CH99" s="96">
        <f t="shared" si="205"/>
        <v>1.6871983667168997</v>
      </c>
      <c r="CI99" s="457" t="str">
        <f t="shared" si="168"/>
        <v>(4,4,4,3,1,5); Calculation: Tap water - wastewater treated OR 10% of tap water</v>
      </c>
      <c r="CJ99" s="435">
        <v>0</v>
      </c>
      <c r="CK99" s="95">
        <v>1</v>
      </c>
      <c r="CL99" s="96">
        <f t="shared" si="206"/>
        <v>1.6871983667168997</v>
      </c>
      <c r="CM99" s="437" t="str">
        <f t="shared" si="207"/>
        <v>(4,4,4,3,1,5); Calculation: Tap water - wastewater treated OR 10% of tap water</v>
      </c>
      <c r="CN99" s="435">
        <v>0</v>
      </c>
      <c r="CO99" s="95">
        <v>1</v>
      </c>
      <c r="CP99" s="96">
        <f t="shared" si="208"/>
        <v>1.5</v>
      </c>
      <c r="CQ99" s="457" t="str">
        <f t="shared" si="209"/>
        <v xml:space="preserve">(na,na,na,na,na,na); </v>
      </c>
      <c r="CR99" s="435">
        <v>0</v>
      </c>
      <c r="CS99" s="95">
        <v>1</v>
      </c>
      <c r="CT99" s="96">
        <f t="shared" si="210"/>
        <v>1.5</v>
      </c>
      <c r="CU99" s="432" t="str">
        <f t="shared" si="211"/>
        <v xml:space="preserve">(na,na,na,na,na,na); </v>
      </c>
      <c r="CV99" s="399"/>
      <c r="CW99" s="435"/>
      <c r="CX99" s="435"/>
      <c r="CY99" s="435"/>
      <c r="CZ99" s="435"/>
      <c r="DA99" s="692" t="s">
        <v>1231</v>
      </c>
      <c r="DB99" s="83">
        <v>4</v>
      </c>
      <c r="DC99" s="83">
        <v>4</v>
      </c>
      <c r="DD99" s="83">
        <v>4</v>
      </c>
      <c r="DE99" s="83">
        <v>3</v>
      </c>
      <c r="DF99" s="83">
        <v>1</v>
      </c>
      <c r="DG99" s="83">
        <v>5</v>
      </c>
      <c r="DH99" s="104">
        <v>31</v>
      </c>
      <c r="DI99" s="104">
        <v>1.5</v>
      </c>
      <c r="DJ99" s="107">
        <f t="shared" si="212"/>
        <v>1.3915993050235766</v>
      </c>
      <c r="DK99" s="107">
        <f t="shared" si="213"/>
        <v>1.6871983667168997</v>
      </c>
      <c r="DL99" s="107" t="str">
        <f t="shared" si="214"/>
        <v>(4,4,4,3,1,5)</v>
      </c>
      <c r="DM99" s="108">
        <v>1.2</v>
      </c>
      <c r="DN99" s="108">
        <v>1.1000000000000001</v>
      </c>
      <c r="DO99" s="108">
        <v>1.2</v>
      </c>
      <c r="DP99" s="108">
        <v>1.02</v>
      </c>
      <c r="DQ99" s="108">
        <v>1</v>
      </c>
      <c r="DR99" s="108">
        <v>1.2</v>
      </c>
      <c r="DS99" s="399"/>
      <c r="DT99" s="692"/>
      <c r="DU99" s="83" t="s">
        <v>106</v>
      </c>
      <c r="DV99" s="83" t="s">
        <v>106</v>
      </c>
      <c r="DW99" s="83" t="s">
        <v>106</v>
      </c>
      <c r="DX99" s="83" t="s">
        <v>106</v>
      </c>
      <c r="DY99" s="83" t="s">
        <v>106</v>
      </c>
      <c r="DZ99" s="83" t="s">
        <v>106</v>
      </c>
      <c r="EA99" s="104">
        <v>31</v>
      </c>
      <c r="EB99" s="104">
        <v>1.5</v>
      </c>
      <c r="EC99" s="107">
        <f t="shared" si="215"/>
        <v>1</v>
      </c>
      <c r="ED99" s="107">
        <f t="shared" si="216"/>
        <v>1.5</v>
      </c>
      <c r="EE99" s="107" t="str">
        <f t="shared" si="217"/>
        <v>(na,na,na,na,na,na)</v>
      </c>
      <c r="EF99" s="108">
        <v>1</v>
      </c>
      <c r="EG99" s="108">
        <v>1</v>
      </c>
      <c r="EH99" s="108">
        <v>1</v>
      </c>
      <c r="EI99" s="108">
        <v>1</v>
      </c>
      <c r="EJ99" s="108">
        <v>1</v>
      </c>
      <c r="EK99" s="108">
        <v>1</v>
      </c>
    </row>
    <row r="100" spans="1:141" ht="24">
      <c r="A100" s="330">
        <v>51378</v>
      </c>
      <c r="B100" s="331"/>
      <c r="C100" s="88"/>
      <c r="D100" s="340" t="s">
        <v>98</v>
      </c>
      <c r="E100" s="341">
        <v>4</v>
      </c>
      <c r="F100" s="432" t="s">
        <v>525</v>
      </c>
      <c r="G100" s="433" t="s">
        <v>98</v>
      </c>
      <c r="H100" s="434" t="s">
        <v>247</v>
      </c>
      <c r="I100" s="434" t="s">
        <v>248</v>
      </c>
      <c r="J100" s="94" t="s">
        <v>98</v>
      </c>
      <c r="K100" s="433" t="s">
        <v>96</v>
      </c>
      <c r="L100" s="435">
        <f t="shared" si="218"/>
        <v>0</v>
      </c>
      <c r="M100" s="95">
        <v>1</v>
      </c>
      <c r="N100" s="96">
        <f t="shared" si="169"/>
        <v>1.6871983667168997</v>
      </c>
      <c r="O100" s="457" t="str">
        <f t="shared" si="170"/>
        <v>(4,4,4,3,1,5); Calculation: Tap water - wastewater treated OR 10% of tap water</v>
      </c>
      <c r="P100" s="435">
        <f t="shared" si="219"/>
        <v>0</v>
      </c>
      <c r="Q100" s="95">
        <v>1</v>
      </c>
      <c r="R100" s="96">
        <f t="shared" si="171"/>
        <v>1.6871983667168997</v>
      </c>
      <c r="S100" s="457" t="str">
        <f t="shared" si="172"/>
        <v>(4,4,4,3,1,5); Calculation: Tap water - wastewater treated OR 10% of tap water</v>
      </c>
      <c r="T100" s="435">
        <f t="shared" si="220"/>
        <v>0</v>
      </c>
      <c r="U100" s="95">
        <v>1</v>
      </c>
      <c r="V100" s="96">
        <f t="shared" si="173"/>
        <v>1.6871983667168997</v>
      </c>
      <c r="W100" s="457" t="str">
        <f t="shared" si="174"/>
        <v>(4,4,4,3,1,5); Calculation: Tap water - wastewater treated OR 10% of tap water</v>
      </c>
      <c r="X100" s="435">
        <f t="shared" si="221"/>
        <v>0</v>
      </c>
      <c r="Y100" s="95">
        <v>1</v>
      </c>
      <c r="Z100" s="96">
        <f t="shared" si="175"/>
        <v>1.6871983667168997</v>
      </c>
      <c r="AA100" s="437" t="str">
        <f t="shared" si="176"/>
        <v>(4,4,4,3,1,5); Calculation: Tap water - wastewater treated OR 10% of tap water</v>
      </c>
      <c r="AB100" s="440">
        <v>0</v>
      </c>
      <c r="AC100" s="336">
        <v>1</v>
      </c>
      <c r="AD100" s="337">
        <f t="shared" si="177"/>
        <v>1.6871983667168997</v>
      </c>
      <c r="AE100" s="432" t="str">
        <f t="shared" si="178"/>
        <v>(4,4,4,3,1,5); Calculation: Tap water - wastewater treated OR 10% of tap water</v>
      </c>
      <c r="AF100" s="440">
        <f t="shared" ref="AF100:AF106" si="222">L100</f>
        <v>0</v>
      </c>
      <c r="AG100" s="336">
        <v>1</v>
      </c>
      <c r="AH100" s="337">
        <f t="shared" si="179"/>
        <v>1.6871983667168997</v>
      </c>
      <c r="AI100" s="455" t="str">
        <f t="shared" si="180"/>
        <v>(4,4,4,3,1,5); Calculation: Tap water - wastewater treated OR 10% of tap water</v>
      </c>
      <c r="AJ100" s="440">
        <f t="shared" ref="AJ100:AJ106" si="223">P100</f>
        <v>0</v>
      </c>
      <c r="AK100" s="336">
        <v>1</v>
      </c>
      <c r="AL100" s="337">
        <f t="shared" si="181"/>
        <v>1.6871983667168997</v>
      </c>
      <c r="AM100" s="455" t="str">
        <f t="shared" si="182"/>
        <v>(4,4,4,3,1,5); Calculation: Tap water - wastewater treated OR 10% of tap water</v>
      </c>
      <c r="AN100" s="440">
        <f t="shared" ref="AN100:AN106" si="224">T100</f>
        <v>0</v>
      </c>
      <c r="AO100" s="336">
        <v>1</v>
      </c>
      <c r="AP100" s="337">
        <f t="shared" si="183"/>
        <v>1.6871983667168997</v>
      </c>
      <c r="AQ100" s="455" t="str">
        <f t="shared" si="184"/>
        <v>(4,4,4,3,1,5); Calculation: Tap water - wastewater treated OR 10% of tap water</v>
      </c>
      <c r="AR100" s="440">
        <f t="shared" ref="AR100:AR106" si="225">X100</f>
        <v>0</v>
      </c>
      <c r="AS100" s="336">
        <v>1</v>
      </c>
      <c r="AT100" s="337">
        <f t="shared" si="185"/>
        <v>1.6871983667168997</v>
      </c>
      <c r="AU100" s="455" t="str">
        <f t="shared" si="186"/>
        <v>(4,4,4,3,1,5); Calculation: Tap water - wastewater treated OR 10% of tap water</v>
      </c>
      <c r="AV100" s="440">
        <v>0</v>
      </c>
      <c r="AW100" s="336">
        <v>1</v>
      </c>
      <c r="AX100" s="337">
        <f t="shared" si="187"/>
        <v>1.6871983667168997</v>
      </c>
      <c r="AY100" s="437" t="str">
        <f t="shared" si="188"/>
        <v>(4,4,4,3,1,5); Calculation: Tap water - wastewater treated OR 10% of tap water</v>
      </c>
      <c r="AZ100" s="440">
        <f>AF99*$J$124</f>
        <v>6.7441760138050616E-2</v>
      </c>
      <c r="BA100" s="95">
        <v>1</v>
      </c>
      <c r="BB100" s="96">
        <f t="shared" si="189"/>
        <v>1.6871983667168997</v>
      </c>
      <c r="BC100" s="457" t="str">
        <f t="shared" si="190"/>
        <v>(4,4,4,3,1,5); Calculation: Tap water - wastewater treated OR 10% of tap water</v>
      </c>
      <c r="BD100" s="435">
        <f>AJ99*$J$124</f>
        <v>0.47740848021693572</v>
      </c>
      <c r="BE100" s="95">
        <v>1</v>
      </c>
      <c r="BF100" s="96">
        <f t="shared" si="191"/>
        <v>1.6871983667168997</v>
      </c>
      <c r="BG100" s="457" t="str">
        <f t="shared" si="192"/>
        <v>(4,4,4,3,1,5); Calculation: Tap water - wastewater treated OR 10% of tap water</v>
      </c>
      <c r="BH100" s="435">
        <f>AN99*$J$124</f>
        <v>0.46150008047641994</v>
      </c>
      <c r="BI100" s="95">
        <v>1</v>
      </c>
      <c r="BJ100" s="96">
        <f t="shared" si="193"/>
        <v>1.6871983667168997</v>
      </c>
      <c r="BK100" s="457" t="str">
        <f t="shared" si="194"/>
        <v>(4,4,4,3,1,5); Calculation: Tap water - wastewater treated OR 10% of tap water</v>
      </c>
      <c r="BL100" s="435">
        <f>AR99*$J$124</f>
        <v>6.6518140010219676E-2</v>
      </c>
      <c r="BM100" s="95">
        <v>1</v>
      </c>
      <c r="BN100" s="96">
        <f t="shared" si="195"/>
        <v>1.6871983667168997</v>
      </c>
      <c r="BO100" s="457" t="str">
        <f t="shared" si="196"/>
        <v>(4,4,4,3,1,5); Calculation: Tap water - wastewater treated OR 10% of tap water</v>
      </c>
      <c r="BP100" s="435">
        <f>AV99*$J$124</f>
        <v>6.6518140010219676E-2</v>
      </c>
      <c r="BQ100" s="95">
        <v>1</v>
      </c>
      <c r="BR100" s="96">
        <f t="shared" si="197"/>
        <v>1.6871983667168997</v>
      </c>
      <c r="BS100" s="432" t="str">
        <f t="shared" si="198"/>
        <v>(4,4,4,3,1,5); Calculation: Tap water - wastewater treated OR 10% of tap water</v>
      </c>
      <c r="BT100" s="435">
        <v>0</v>
      </c>
      <c r="BU100" s="95">
        <v>1</v>
      </c>
      <c r="BV100" s="96">
        <f t="shared" si="199"/>
        <v>1.6871983667168997</v>
      </c>
      <c r="BW100" s="457" t="str">
        <f t="shared" si="200"/>
        <v>(4,4,4,3,1,5); Calculation: Tap water - wastewater treated OR 10% of tap water</v>
      </c>
      <c r="BX100" s="435">
        <v>0</v>
      </c>
      <c r="BY100" s="95">
        <v>1</v>
      </c>
      <c r="BZ100" s="96">
        <f t="shared" si="201"/>
        <v>1.6871983667168997</v>
      </c>
      <c r="CA100" s="457" t="str">
        <f t="shared" si="202"/>
        <v>(4,4,4,3,1,5); Calculation: Tap water - wastewater treated OR 10% of tap water</v>
      </c>
      <c r="CB100" s="435">
        <v>0</v>
      </c>
      <c r="CC100" s="95">
        <v>1</v>
      </c>
      <c r="CD100" s="96">
        <f t="shared" si="203"/>
        <v>1.6871983667168997</v>
      </c>
      <c r="CE100" s="457" t="str">
        <f t="shared" si="204"/>
        <v>(4,4,4,3,1,5); Calculation: Tap water - wastewater treated OR 10% of tap water</v>
      </c>
      <c r="CF100" s="435">
        <v>0</v>
      </c>
      <c r="CG100" s="95">
        <v>1</v>
      </c>
      <c r="CH100" s="96">
        <f t="shared" si="205"/>
        <v>1.6871983667168997</v>
      </c>
      <c r="CI100" s="457" t="str">
        <f t="shared" si="168"/>
        <v>(4,4,4,3,1,5); Calculation: Tap water - wastewater treated OR 10% of tap water</v>
      </c>
      <c r="CJ100" s="435">
        <v>0</v>
      </c>
      <c r="CK100" s="95">
        <v>1</v>
      </c>
      <c r="CL100" s="96">
        <f t="shared" si="206"/>
        <v>1.6871983667168997</v>
      </c>
      <c r="CM100" s="437" t="str">
        <f t="shared" si="207"/>
        <v>(4,4,4,3,1,5); Calculation: Tap water - wastewater treated OR 10% of tap water</v>
      </c>
      <c r="CN100" s="435">
        <v>0</v>
      </c>
      <c r="CO100" s="95">
        <v>1</v>
      </c>
      <c r="CP100" s="96">
        <f t="shared" si="208"/>
        <v>1.5</v>
      </c>
      <c r="CQ100" s="457" t="str">
        <f t="shared" si="209"/>
        <v xml:space="preserve">(na,na,na,na,na,na); </v>
      </c>
      <c r="CR100" s="435">
        <v>0</v>
      </c>
      <c r="CS100" s="95">
        <v>1</v>
      </c>
      <c r="CT100" s="96">
        <f t="shared" si="210"/>
        <v>1.5</v>
      </c>
      <c r="CU100" s="432" t="str">
        <f t="shared" si="211"/>
        <v xml:space="preserve">(na,na,na,na,na,na); </v>
      </c>
      <c r="CV100" s="399"/>
      <c r="CW100" s="435"/>
      <c r="CX100" s="435"/>
      <c r="CY100" s="435"/>
      <c r="CZ100" s="435"/>
      <c r="DA100" s="692" t="s">
        <v>1231</v>
      </c>
      <c r="DB100" s="83">
        <v>4</v>
      </c>
      <c r="DC100" s="83">
        <v>4</v>
      </c>
      <c r="DD100" s="83">
        <v>4</v>
      </c>
      <c r="DE100" s="83">
        <v>3</v>
      </c>
      <c r="DF100" s="83">
        <v>1</v>
      </c>
      <c r="DG100" s="83">
        <v>5</v>
      </c>
      <c r="DH100" s="104">
        <v>31</v>
      </c>
      <c r="DI100" s="104">
        <v>1.5</v>
      </c>
      <c r="DJ100" s="107">
        <f t="shared" si="212"/>
        <v>1.3915993050235766</v>
      </c>
      <c r="DK100" s="107">
        <f t="shared" si="213"/>
        <v>1.6871983667168997</v>
      </c>
      <c r="DL100" s="107" t="str">
        <f t="shared" si="214"/>
        <v>(4,4,4,3,1,5)</v>
      </c>
      <c r="DM100" s="108">
        <v>1.2</v>
      </c>
      <c r="DN100" s="108">
        <v>1.1000000000000001</v>
      </c>
      <c r="DO100" s="108">
        <v>1.2</v>
      </c>
      <c r="DP100" s="108">
        <v>1.02</v>
      </c>
      <c r="DQ100" s="108">
        <v>1</v>
      </c>
      <c r="DR100" s="108">
        <v>1.2</v>
      </c>
      <c r="DS100" s="399"/>
      <c r="DT100" s="692"/>
      <c r="DU100" s="83" t="s">
        <v>106</v>
      </c>
      <c r="DV100" s="83" t="s">
        <v>106</v>
      </c>
      <c r="DW100" s="83" t="s">
        <v>106</v>
      </c>
      <c r="DX100" s="83" t="s">
        <v>106</v>
      </c>
      <c r="DY100" s="83" t="s">
        <v>106</v>
      </c>
      <c r="DZ100" s="83" t="s">
        <v>106</v>
      </c>
      <c r="EA100" s="104">
        <v>31</v>
      </c>
      <c r="EB100" s="104">
        <v>1.5</v>
      </c>
      <c r="EC100" s="107">
        <f t="shared" si="215"/>
        <v>1</v>
      </c>
      <c r="ED100" s="107">
        <f t="shared" si="216"/>
        <v>1.5</v>
      </c>
      <c r="EE100" s="107" t="str">
        <f t="shared" si="217"/>
        <v>(na,na,na,na,na,na)</v>
      </c>
      <c r="EF100" s="108">
        <v>1</v>
      </c>
      <c r="EG100" s="108">
        <v>1</v>
      </c>
      <c r="EH100" s="108">
        <v>1</v>
      </c>
      <c r="EI100" s="108">
        <v>1</v>
      </c>
      <c r="EJ100" s="108">
        <v>1</v>
      </c>
      <c r="EK100" s="108">
        <v>1</v>
      </c>
    </row>
    <row r="101" spans="1:141" s="171" customFormat="1" ht="24">
      <c r="A101" s="333">
        <v>27191</v>
      </c>
      <c r="B101" s="216"/>
      <c r="C101" s="334"/>
      <c r="D101" s="342" t="s">
        <v>98</v>
      </c>
      <c r="E101" s="343">
        <v>4</v>
      </c>
      <c r="F101" s="437" t="s">
        <v>657</v>
      </c>
      <c r="G101" s="438" t="s">
        <v>98</v>
      </c>
      <c r="H101" s="439" t="s">
        <v>247</v>
      </c>
      <c r="I101" s="439" t="s">
        <v>248</v>
      </c>
      <c r="J101" s="335" t="s">
        <v>98</v>
      </c>
      <c r="K101" s="438" t="s">
        <v>96</v>
      </c>
      <c r="L101" s="440">
        <f t="shared" si="218"/>
        <v>0</v>
      </c>
      <c r="M101" s="336">
        <v>1</v>
      </c>
      <c r="N101" s="337">
        <f t="shared" si="169"/>
        <v>1.6871983667168997</v>
      </c>
      <c r="O101" s="455" t="str">
        <f t="shared" si="170"/>
        <v>(4,4,4,3,1,5); Calculation: Tap water - wastewater treated OR 10% of tap water</v>
      </c>
      <c r="P101" s="440">
        <f t="shared" si="219"/>
        <v>0</v>
      </c>
      <c r="Q101" s="336">
        <v>1</v>
      </c>
      <c r="R101" s="337">
        <f t="shared" si="171"/>
        <v>1.6871983667168997</v>
      </c>
      <c r="S101" s="455" t="str">
        <f t="shared" si="172"/>
        <v>(4,4,4,3,1,5); Calculation: Tap water - wastewater treated OR 10% of tap water</v>
      </c>
      <c r="T101" s="440">
        <f t="shared" si="220"/>
        <v>0</v>
      </c>
      <c r="U101" s="336">
        <v>1</v>
      </c>
      <c r="V101" s="337">
        <f t="shared" si="173"/>
        <v>1.6871983667168997</v>
      </c>
      <c r="W101" s="455" t="str">
        <f t="shared" si="174"/>
        <v>(4,4,4,3,1,5); Calculation: Tap water - wastewater treated OR 10% of tap water</v>
      </c>
      <c r="X101" s="440">
        <f t="shared" si="221"/>
        <v>0</v>
      </c>
      <c r="Y101" s="336">
        <v>1</v>
      </c>
      <c r="Z101" s="337">
        <f t="shared" si="175"/>
        <v>1.6871983667168997</v>
      </c>
      <c r="AA101" s="437" t="str">
        <f t="shared" si="176"/>
        <v>(4,4,4,3,1,5); Calculation: Tap water - wastewater treated OR 10% of tap water</v>
      </c>
      <c r="AB101" s="440">
        <v>0</v>
      </c>
      <c r="AC101" s="336">
        <v>1</v>
      </c>
      <c r="AD101" s="337">
        <f t="shared" si="177"/>
        <v>1.6871983667168997</v>
      </c>
      <c r="AE101" s="437" t="str">
        <f t="shared" si="178"/>
        <v>(4,4,4,3,1,5); Calculation: Tap water - wastewater treated OR 10% of tap water</v>
      </c>
      <c r="AF101" s="440">
        <f t="shared" si="222"/>
        <v>0</v>
      </c>
      <c r="AG101" s="336">
        <v>1</v>
      </c>
      <c r="AH101" s="337">
        <f t="shared" si="179"/>
        <v>1.6871983667168997</v>
      </c>
      <c r="AI101" s="455" t="str">
        <f t="shared" si="180"/>
        <v>(4,4,4,3,1,5); Calculation: Tap water - wastewater treated OR 10% of tap water</v>
      </c>
      <c r="AJ101" s="440">
        <f t="shared" si="223"/>
        <v>0</v>
      </c>
      <c r="AK101" s="336">
        <v>1</v>
      </c>
      <c r="AL101" s="337">
        <f t="shared" si="181"/>
        <v>1.6871983667168997</v>
      </c>
      <c r="AM101" s="455" t="str">
        <f t="shared" si="182"/>
        <v>(4,4,4,3,1,5); Calculation: Tap water - wastewater treated OR 10% of tap water</v>
      </c>
      <c r="AN101" s="440">
        <f t="shared" si="224"/>
        <v>0</v>
      </c>
      <c r="AO101" s="336">
        <v>1</v>
      </c>
      <c r="AP101" s="337">
        <f t="shared" si="183"/>
        <v>1.6871983667168997</v>
      </c>
      <c r="AQ101" s="455" t="str">
        <f t="shared" si="184"/>
        <v>(4,4,4,3,1,5); Calculation: Tap water - wastewater treated OR 10% of tap water</v>
      </c>
      <c r="AR101" s="440">
        <f t="shared" si="225"/>
        <v>0</v>
      </c>
      <c r="AS101" s="336">
        <v>1</v>
      </c>
      <c r="AT101" s="337">
        <f t="shared" si="185"/>
        <v>1.6871983667168997</v>
      </c>
      <c r="AU101" s="455" t="str">
        <f t="shared" si="186"/>
        <v>(4,4,4,3,1,5); Calculation: Tap water - wastewater treated OR 10% of tap water</v>
      </c>
      <c r="AV101" s="440">
        <v>0</v>
      </c>
      <c r="AW101" s="336">
        <v>1</v>
      </c>
      <c r="AX101" s="337">
        <f t="shared" si="187"/>
        <v>1.6871983667168997</v>
      </c>
      <c r="AY101" s="437" t="str">
        <f t="shared" si="188"/>
        <v>(4,4,4,3,1,5); Calculation: Tap water - wastewater treated OR 10% of tap water</v>
      </c>
      <c r="AZ101" s="440">
        <f>AF99*$J$125</f>
        <v>0.10116264020707592</v>
      </c>
      <c r="BA101" s="336">
        <v>1</v>
      </c>
      <c r="BB101" s="337">
        <f t="shared" si="189"/>
        <v>1.6871983667168997</v>
      </c>
      <c r="BC101" s="455" t="str">
        <f t="shared" si="190"/>
        <v>(4,4,4,3,1,5); Calculation: Tap water - wastewater treated OR 10% of tap water</v>
      </c>
      <c r="BD101" s="440">
        <f>AJ99*$J$125</f>
        <v>0.71611272032540352</v>
      </c>
      <c r="BE101" s="336">
        <v>1</v>
      </c>
      <c r="BF101" s="337">
        <f t="shared" si="191"/>
        <v>1.6871983667168997</v>
      </c>
      <c r="BG101" s="455" t="str">
        <f t="shared" si="192"/>
        <v>(4,4,4,3,1,5); Calculation: Tap water - wastewater treated OR 10% of tap water</v>
      </c>
      <c r="BH101" s="440">
        <f>AN99*$J$125</f>
        <v>0.69225012071462988</v>
      </c>
      <c r="BI101" s="336">
        <v>1</v>
      </c>
      <c r="BJ101" s="337">
        <f t="shared" si="193"/>
        <v>1.6871983667168997</v>
      </c>
      <c r="BK101" s="455" t="str">
        <f t="shared" si="194"/>
        <v>(4,4,4,3,1,5); Calculation: Tap water - wastewater treated OR 10% of tap water</v>
      </c>
      <c r="BL101" s="440">
        <f>AR99*$J$125</f>
        <v>9.977721001532952E-2</v>
      </c>
      <c r="BM101" s="336">
        <v>1</v>
      </c>
      <c r="BN101" s="337">
        <f t="shared" si="195"/>
        <v>1.6871983667168997</v>
      </c>
      <c r="BO101" s="455" t="str">
        <f t="shared" si="196"/>
        <v>(4,4,4,3,1,5); Calculation: Tap water - wastewater treated OR 10% of tap water</v>
      </c>
      <c r="BP101" s="440">
        <f>AV99*$J$125</f>
        <v>9.977721001532952E-2</v>
      </c>
      <c r="BQ101" s="336">
        <v>1</v>
      </c>
      <c r="BR101" s="337">
        <f t="shared" si="197"/>
        <v>1.6871983667168997</v>
      </c>
      <c r="BS101" s="437" t="str">
        <f t="shared" si="198"/>
        <v>(4,4,4,3,1,5); Calculation: Tap water - wastewater treated OR 10% of tap water</v>
      </c>
      <c r="BT101" s="440">
        <v>0</v>
      </c>
      <c r="BU101" s="336">
        <v>1</v>
      </c>
      <c r="BV101" s="337">
        <f t="shared" si="199"/>
        <v>1.6871983667168997</v>
      </c>
      <c r="BW101" s="455" t="str">
        <f t="shared" si="200"/>
        <v>(4,4,4,3,1,5); Calculation: Tap water - wastewater treated OR 10% of tap water</v>
      </c>
      <c r="BX101" s="440">
        <v>0</v>
      </c>
      <c r="BY101" s="336">
        <v>1</v>
      </c>
      <c r="BZ101" s="337">
        <f t="shared" si="201"/>
        <v>1.6871983667168997</v>
      </c>
      <c r="CA101" s="455" t="str">
        <f t="shared" si="202"/>
        <v>(4,4,4,3,1,5); Calculation: Tap water - wastewater treated OR 10% of tap water</v>
      </c>
      <c r="CB101" s="440">
        <v>0</v>
      </c>
      <c r="CC101" s="336">
        <v>1</v>
      </c>
      <c r="CD101" s="337">
        <f t="shared" si="203"/>
        <v>1.6871983667168997</v>
      </c>
      <c r="CE101" s="455" t="str">
        <f t="shared" si="204"/>
        <v>(4,4,4,3,1,5); Calculation: Tap water - wastewater treated OR 10% of tap water</v>
      </c>
      <c r="CF101" s="440">
        <v>0</v>
      </c>
      <c r="CG101" s="336">
        <v>1</v>
      </c>
      <c r="CH101" s="337">
        <f t="shared" si="205"/>
        <v>1.6871983667168997</v>
      </c>
      <c r="CI101" s="455" t="str">
        <f t="shared" si="168"/>
        <v>(4,4,4,3,1,5); Calculation: Tap water - wastewater treated OR 10% of tap water</v>
      </c>
      <c r="CJ101" s="440">
        <v>0</v>
      </c>
      <c r="CK101" s="336">
        <v>1</v>
      </c>
      <c r="CL101" s="337">
        <f t="shared" si="206"/>
        <v>1.6871983667168997</v>
      </c>
      <c r="CM101" s="437" t="str">
        <f t="shared" si="207"/>
        <v>(4,4,4,3,1,5); Calculation: Tap water - wastewater treated OR 10% of tap water</v>
      </c>
      <c r="CN101" s="440">
        <v>0</v>
      </c>
      <c r="CO101" s="336">
        <v>1</v>
      </c>
      <c r="CP101" s="337">
        <f t="shared" si="208"/>
        <v>1.5</v>
      </c>
      <c r="CQ101" s="455" t="str">
        <f t="shared" si="209"/>
        <v xml:space="preserve">(na,na,na,na,na,na); </v>
      </c>
      <c r="CR101" s="440">
        <v>0</v>
      </c>
      <c r="CS101" s="336">
        <v>1</v>
      </c>
      <c r="CT101" s="337">
        <f t="shared" si="210"/>
        <v>1.5</v>
      </c>
      <c r="CU101" s="437" t="str">
        <f t="shared" si="211"/>
        <v xml:space="preserve">(na,na,na,na,na,na); </v>
      </c>
      <c r="CW101" s="440"/>
      <c r="CX101" s="440"/>
      <c r="CY101" s="440"/>
      <c r="CZ101" s="440"/>
      <c r="DA101" s="691" t="s">
        <v>1231</v>
      </c>
      <c r="DB101" s="83">
        <v>4</v>
      </c>
      <c r="DC101" s="83">
        <v>4</v>
      </c>
      <c r="DD101" s="83">
        <v>4</v>
      </c>
      <c r="DE101" s="83">
        <v>3</v>
      </c>
      <c r="DF101" s="83">
        <v>1</v>
      </c>
      <c r="DG101" s="83">
        <v>5</v>
      </c>
      <c r="DH101" s="104">
        <v>31</v>
      </c>
      <c r="DI101" s="104">
        <v>1.5</v>
      </c>
      <c r="DJ101" s="107">
        <f t="shared" si="212"/>
        <v>1.3915993050235766</v>
      </c>
      <c r="DK101" s="107">
        <f t="shared" si="213"/>
        <v>1.6871983667168997</v>
      </c>
      <c r="DL101" s="107" t="str">
        <f t="shared" si="214"/>
        <v>(4,4,4,3,1,5)</v>
      </c>
      <c r="DM101" s="108">
        <v>1.2</v>
      </c>
      <c r="DN101" s="108">
        <v>1.1000000000000001</v>
      </c>
      <c r="DO101" s="108">
        <v>1.2</v>
      </c>
      <c r="DP101" s="108">
        <v>1.02</v>
      </c>
      <c r="DQ101" s="108">
        <v>1</v>
      </c>
      <c r="DR101" s="108">
        <v>1.2</v>
      </c>
      <c r="DT101" s="691"/>
      <c r="DU101" s="83" t="s">
        <v>106</v>
      </c>
      <c r="DV101" s="83" t="s">
        <v>106</v>
      </c>
      <c r="DW101" s="83" t="s">
        <v>106</v>
      </c>
      <c r="DX101" s="83" t="s">
        <v>106</v>
      </c>
      <c r="DY101" s="83" t="s">
        <v>106</v>
      </c>
      <c r="DZ101" s="83" t="s">
        <v>106</v>
      </c>
      <c r="EA101" s="104">
        <v>31</v>
      </c>
      <c r="EB101" s="104">
        <v>1.5</v>
      </c>
      <c r="EC101" s="107">
        <f t="shared" si="215"/>
        <v>1</v>
      </c>
      <c r="ED101" s="107">
        <f t="shared" si="216"/>
        <v>1.5</v>
      </c>
      <c r="EE101" s="107" t="str">
        <f t="shared" si="217"/>
        <v>(na,na,na,na,na,na)</v>
      </c>
      <c r="EF101" s="108">
        <v>1</v>
      </c>
      <c r="EG101" s="108">
        <v>1</v>
      </c>
      <c r="EH101" s="108">
        <v>1</v>
      </c>
      <c r="EI101" s="108">
        <v>1</v>
      </c>
      <c r="EJ101" s="108">
        <v>1</v>
      </c>
      <c r="EK101" s="108">
        <v>1</v>
      </c>
    </row>
    <row r="102" spans="1:141" s="171" customFormat="1" ht="24">
      <c r="A102" s="333" t="s">
        <v>658</v>
      </c>
      <c r="B102" s="216"/>
      <c r="C102" s="334"/>
      <c r="D102" s="342" t="s">
        <v>98</v>
      </c>
      <c r="E102" s="343">
        <v>4</v>
      </c>
      <c r="F102" s="437" t="s">
        <v>659</v>
      </c>
      <c r="G102" s="438" t="s">
        <v>98</v>
      </c>
      <c r="H102" s="439" t="s">
        <v>247</v>
      </c>
      <c r="I102" s="439" t="s">
        <v>248</v>
      </c>
      <c r="J102" s="335" t="s">
        <v>98</v>
      </c>
      <c r="K102" s="438" t="s">
        <v>96</v>
      </c>
      <c r="L102" s="440">
        <f t="shared" si="218"/>
        <v>0</v>
      </c>
      <c r="M102" s="336">
        <v>1</v>
      </c>
      <c r="N102" s="337">
        <f t="shared" si="169"/>
        <v>1.6871983667168997</v>
      </c>
      <c r="O102" s="455" t="str">
        <f t="shared" si="170"/>
        <v>(4,4,4,3,1,5); Calculation: Tap water - wastewater treated OR 10% of tap water</v>
      </c>
      <c r="P102" s="440">
        <f t="shared" si="219"/>
        <v>0</v>
      </c>
      <c r="Q102" s="336">
        <v>1</v>
      </c>
      <c r="R102" s="337">
        <f t="shared" si="171"/>
        <v>1.6871983667168997</v>
      </c>
      <c r="S102" s="455" t="str">
        <f t="shared" si="172"/>
        <v>(4,4,4,3,1,5); Calculation: Tap water - wastewater treated OR 10% of tap water</v>
      </c>
      <c r="T102" s="440">
        <f t="shared" si="220"/>
        <v>0</v>
      </c>
      <c r="U102" s="336">
        <v>1</v>
      </c>
      <c r="V102" s="337">
        <f t="shared" si="173"/>
        <v>1.6871983667168997</v>
      </c>
      <c r="W102" s="455" t="str">
        <f t="shared" si="174"/>
        <v>(4,4,4,3,1,5); Calculation: Tap water - wastewater treated OR 10% of tap water</v>
      </c>
      <c r="X102" s="440">
        <f t="shared" si="221"/>
        <v>0</v>
      </c>
      <c r="Y102" s="336">
        <v>1</v>
      </c>
      <c r="Z102" s="337">
        <f t="shared" si="175"/>
        <v>1.6871983667168997</v>
      </c>
      <c r="AA102" s="437" t="str">
        <f t="shared" si="176"/>
        <v>(4,4,4,3,1,5); Calculation: Tap water - wastewater treated OR 10% of tap water</v>
      </c>
      <c r="AB102" s="440">
        <v>0</v>
      </c>
      <c r="AC102" s="336">
        <v>1</v>
      </c>
      <c r="AD102" s="337">
        <f t="shared" si="177"/>
        <v>1.6871983667168997</v>
      </c>
      <c r="AE102" s="437" t="str">
        <f t="shared" si="178"/>
        <v>(4,4,4,3,1,5); Calculation: Tap water - wastewater treated OR 10% of tap water</v>
      </c>
      <c r="AF102" s="440">
        <f t="shared" si="222"/>
        <v>0</v>
      </c>
      <c r="AG102" s="336">
        <v>1</v>
      </c>
      <c r="AH102" s="337">
        <f t="shared" si="179"/>
        <v>1.6871983667168997</v>
      </c>
      <c r="AI102" s="455" t="str">
        <f t="shared" si="180"/>
        <v>(4,4,4,3,1,5); Calculation: Tap water - wastewater treated OR 10% of tap water</v>
      </c>
      <c r="AJ102" s="440">
        <f t="shared" si="223"/>
        <v>0</v>
      </c>
      <c r="AK102" s="336">
        <v>1</v>
      </c>
      <c r="AL102" s="337">
        <f t="shared" si="181"/>
        <v>1.6871983667168997</v>
      </c>
      <c r="AM102" s="455" t="str">
        <f t="shared" si="182"/>
        <v>(4,4,4,3,1,5); Calculation: Tap water - wastewater treated OR 10% of tap water</v>
      </c>
      <c r="AN102" s="440">
        <f t="shared" si="224"/>
        <v>0</v>
      </c>
      <c r="AO102" s="336">
        <v>1</v>
      </c>
      <c r="AP102" s="337">
        <f t="shared" si="183"/>
        <v>1.6871983667168997</v>
      </c>
      <c r="AQ102" s="455" t="str">
        <f t="shared" si="184"/>
        <v>(4,4,4,3,1,5); Calculation: Tap water - wastewater treated OR 10% of tap water</v>
      </c>
      <c r="AR102" s="440">
        <f t="shared" si="225"/>
        <v>0</v>
      </c>
      <c r="AS102" s="336">
        <v>1</v>
      </c>
      <c r="AT102" s="337">
        <f t="shared" si="185"/>
        <v>1.6871983667168997</v>
      </c>
      <c r="AU102" s="455" t="str">
        <f t="shared" si="186"/>
        <v>(4,4,4,3,1,5); Calculation: Tap water - wastewater treated OR 10% of tap water</v>
      </c>
      <c r="AV102" s="440">
        <v>0</v>
      </c>
      <c r="AW102" s="336">
        <v>1</v>
      </c>
      <c r="AX102" s="337">
        <f t="shared" si="187"/>
        <v>1.6871983667168997</v>
      </c>
      <c r="AY102" s="437" t="str">
        <f t="shared" si="188"/>
        <v>(4,4,4,3,1,5); Calculation: Tap water - wastewater treated OR 10% of tap water</v>
      </c>
      <c r="AZ102" s="440">
        <f>$AF$52*($J$126+$J$128)</f>
        <v>2.9019854554418831</v>
      </c>
      <c r="BA102" s="336">
        <v>1</v>
      </c>
      <c r="BB102" s="337">
        <f t="shared" si="189"/>
        <v>1.6871983667168997</v>
      </c>
      <c r="BC102" s="455" t="str">
        <f t="shared" si="190"/>
        <v>(4,4,4,3,1,5); Calculation: Tap water - wastewater treated OR 10% of tap water</v>
      </c>
      <c r="BD102" s="440">
        <f>$AF$52*($J$126+$J$128)</f>
        <v>2.9019854554418831</v>
      </c>
      <c r="BE102" s="336">
        <v>1</v>
      </c>
      <c r="BF102" s="337">
        <f t="shared" si="191"/>
        <v>1.6871983667168997</v>
      </c>
      <c r="BG102" s="455" t="str">
        <f t="shared" si="192"/>
        <v>(4,4,4,3,1,5); Calculation: Tap water - wastewater treated OR 10% of tap water</v>
      </c>
      <c r="BH102" s="440">
        <f>$AF$52*($J$126+$J$128)</f>
        <v>2.9019854554418831</v>
      </c>
      <c r="BI102" s="336">
        <v>1</v>
      </c>
      <c r="BJ102" s="337">
        <f t="shared" si="193"/>
        <v>1.6871983667168997</v>
      </c>
      <c r="BK102" s="455" t="str">
        <f t="shared" si="194"/>
        <v>(4,4,4,3,1,5); Calculation: Tap water - wastewater treated OR 10% of tap water</v>
      </c>
      <c r="BL102" s="440">
        <f>$AF$52*($J$126+$J$128)</f>
        <v>2.9019854554418831</v>
      </c>
      <c r="BM102" s="336">
        <v>1</v>
      </c>
      <c r="BN102" s="337">
        <f t="shared" si="195"/>
        <v>1.6871983667168997</v>
      </c>
      <c r="BO102" s="455" t="str">
        <f t="shared" si="196"/>
        <v>(4,4,4,3,1,5); Calculation: Tap water - wastewater treated OR 10% of tap water</v>
      </c>
      <c r="BP102" s="440">
        <f>$AF$52*($J$126+$J$128)</f>
        <v>2.9019854554418831</v>
      </c>
      <c r="BQ102" s="336">
        <v>1</v>
      </c>
      <c r="BR102" s="337">
        <f t="shared" si="197"/>
        <v>1.6871983667168997</v>
      </c>
      <c r="BS102" s="437" t="str">
        <f t="shared" si="198"/>
        <v>(4,4,4,3,1,5); Calculation: Tap water - wastewater treated OR 10% of tap water</v>
      </c>
      <c r="BT102" s="440">
        <v>0</v>
      </c>
      <c r="BU102" s="336">
        <v>1</v>
      </c>
      <c r="BV102" s="337">
        <f t="shared" si="199"/>
        <v>1.6871983667168997</v>
      </c>
      <c r="BW102" s="455" t="str">
        <f t="shared" si="200"/>
        <v>(4,4,4,3,1,5); Calculation: Tap water - wastewater treated OR 10% of tap water</v>
      </c>
      <c r="BX102" s="440">
        <v>0</v>
      </c>
      <c r="BY102" s="336">
        <v>1</v>
      </c>
      <c r="BZ102" s="337">
        <f t="shared" si="201"/>
        <v>1.6871983667168997</v>
      </c>
      <c r="CA102" s="455" t="str">
        <f t="shared" si="202"/>
        <v>(4,4,4,3,1,5); Calculation: Tap water - wastewater treated OR 10% of tap water</v>
      </c>
      <c r="CB102" s="440">
        <v>0</v>
      </c>
      <c r="CC102" s="336">
        <v>1</v>
      </c>
      <c r="CD102" s="337">
        <f t="shared" si="203"/>
        <v>1.6871983667168997</v>
      </c>
      <c r="CE102" s="455" t="str">
        <f t="shared" si="204"/>
        <v>(4,4,4,3,1,5); Calculation: Tap water - wastewater treated OR 10% of tap water</v>
      </c>
      <c r="CF102" s="440">
        <v>0</v>
      </c>
      <c r="CG102" s="336">
        <v>1</v>
      </c>
      <c r="CH102" s="337">
        <f t="shared" si="205"/>
        <v>1.6871983667168997</v>
      </c>
      <c r="CI102" s="455" t="str">
        <f t="shared" si="168"/>
        <v>(4,4,4,3,1,5); Calculation: Tap water - wastewater treated OR 10% of tap water</v>
      </c>
      <c r="CJ102" s="440">
        <v>0</v>
      </c>
      <c r="CK102" s="336">
        <v>1</v>
      </c>
      <c r="CL102" s="337">
        <f t="shared" si="206"/>
        <v>1.6871983667168997</v>
      </c>
      <c r="CM102" s="437" t="str">
        <f t="shared" si="207"/>
        <v>(4,4,4,3,1,5); Calculation: Tap water - wastewater treated OR 10% of tap water</v>
      </c>
      <c r="CN102" s="440">
        <v>0</v>
      </c>
      <c r="CO102" s="336">
        <v>1</v>
      </c>
      <c r="CP102" s="337">
        <f t="shared" si="208"/>
        <v>1.5</v>
      </c>
      <c r="CQ102" s="455" t="str">
        <f t="shared" si="209"/>
        <v xml:space="preserve">(na,na,na,na,na,na); </v>
      </c>
      <c r="CR102" s="440">
        <v>0</v>
      </c>
      <c r="CS102" s="336">
        <v>1</v>
      </c>
      <c r="CT102" s="337">
        <f t="shared" si="210"/>
        <v>1.5</v>
      </c>
      <c r="CU102" s="437" t="str">
        <f t="shared" si="211"/>
        <v xml:space="preserve">(na,na,na,na,na,na); </v>
      </c>
      <c r="CW102" s="440"/>
      <c r="CX102" s="440"/>
      <c r="CY102" s="440"/>
      <c r="CZ102" s="440"/>
      <c r="DA102" s="691" t="s">
        <v>1231</v>
      </c>
      <c r="DB102" s="83">
        <v>4</v>
      </c>
      <c r="DC102" s="83">
        <v>4</v>
      </c>
      <c r="DD102" s="83">
        <v>4</v>
      </c>
      <c r="DE102" s="83">
        <v>3</v>
      </c>
      <c r="DF102" s="83">
        <v>1</v>
      </c>
      <c r="DG102" s="83">
        <v>5</v>
      </c>
      <c r="DH102" s="104">
        <v>31</v>
      </c>
      <c r="DI102" s="104">
        <v>1.5</v>
      </c>
      <c r="DJ102" s="107">
        <f t="shared" si="212"/>
        <v>1.3915993050235766</v>
      </c>
      <c r="DK102" s="107">
        <f t="shared" si="213"/>
        <v>1.6871983667168997</v>
      </c>
      <c r="DL102" s="107" t="str">
        <f t="shared" si="214"/>
        <v>(4,4,4,3,1,5)</v>
      </c>
      <c r="DM102" s="108">
        <v>1.2</v>
      </c>
      <c r="DN102" s="108">
        <v>1.1000000000000001</v>
      </c>
      <c r="DO102" s="108">
        <v>1.2</v>
      </c>
      <c r="DP102" s="108">
        <v>1.02</v>
      </c>
      <c r="DQ102" s="108">
        <v>1</v>
      </c>
      <c r="DR102" s="108">
        <v>1.2</v>
      </c>
      <c r="DT102" s="691"/>
      <c r="DU102" s="83" t="s">
        <v>106</v>
      </c>
      <c r="DV102" s="83" t="s">
        <v>106</v>
      </c>
      <c r="DW102" s="83" t="s">
        <v>106</v>
      </c>
      <c r="DX102" s="83" t="s">
        <v>106</v>
      </c>
      <c r="DY102" s="83" t="s">
        <v>106</v>
      </c>
      <c r="DZ102" s="83" t="s">
        <v>106</v>
      </c>
      <c r="EA102" s="104">
        <v>31</v>
      </c>
      <c r="EB102" s="104">
        <v>1.5</v>
      </c>
      <c r="EC102" s="107">
        <f t="shared" si="215"/>
        <v>1</v>
      </c>
      <c r="ED102" s="107">
        <f t="shared" si="216"/>
        <v>1.5</v>
      </c>
      <c r="EE102" s="107" t="str">
        <f t="shared" si="217"/>
        <v>(na,na,na,na,na,na)</v>
      </c>
      <c r="EF102" s="108">
        <v>1</v>
      </c>
      <c r="EG102" s="108">
        <v>1</v>
      </c>
      <c r="EH102" s="108">
        <v>1</v>
      </c>
      <c r="EI102" s="108">
        <v>1</v>
      </c>
      <c r="EJ102" s="108">
        <v>1</v>
      </c>
      <c r="EK102" s="108">
        <v>1</v>
      </c>
    </row>
    <row r="103" spans="1:141" s="171" customFormat="1" ht="24">
      <c r="A103" s="333">
        <v>46430</v>
      </c>
      <c r="B103" s="216"/>
      <c r="C103" s="334"/>
      <c r="D103" s="342" t="s">
        <v>98</v>
      </c>
      <c r="E103" s="343">
        <v>4</v>
      </c>
      <c r="F103" s="437" t="s">
        <v>623</v>
      </c>
      <c r="G103" s="438" t="s">
        <v>98</v>
      </c>
      <c r="H103" s="439" t="s">
        <v>247</v>
      </c>
      <c r="I103" s="439" t="s">
        <v>248</v>
      </c>
      <c r="J103" s="335" t="s">
        <v>98</v>
      </c>
      <c r="K103" s="438" t="s">
        <v>96</v>
      </c>
      <c r="L103" s="440">
        <f t="shared" si="218"/>
        <v>0</v>
      </c>
      <c r="M103" s="336">
        <v>1</v>
      </c>
      <c r="N103" s="337">
        <f t="shared" si="169"/>
        <v>1.6871983667168997</v>
      </c>
      <c r="O103" s="455" t="str">
        <f t="shared" si="170"/>
        <v>(4,4,4,3,1,5); Calculation: Tap water - wastewater treated OR 10% of tap water</v>
      </c>
      <c r="P103" s="440">
        <f t="shared" si="219"/>
        <v>0</v>
      </c>
      <c r="Q103" s="336">
        <v>1</v>
      </c>
      <c r="R103" s="337">
        <f t="shared" si="171"/>
        <v>1.6871983667168997</v>
      </c>
      <c r="S103" s="455" t="str">
        <f t="shared" si="172"/>
        <v>(4,4,4,3,1,5); Calculation: Tap water - wastewater treated OR 10% of tap water</v>
      </c>
      <c r="T103" s="440">
        <f t="shared" si="220"/>
        <v>0</v>
      </c>
      <c r="U103" s="336">
        <v>1</v>
      </c>
      <c r="V103" s="337">
        <f t="shared" si="173"/>
        <v>1.6871983667168997</v>
      </c>
      <c r="W103" s="455" t="str">
        <f t="shared" si="174"/>
        <v>(4,4,4,3,1,5); Calculation: Tap water - wastewater treated OR 10% of tap water</v>
      </c>
      <c r="X103" s="440">
        <f t="shared" si="221"/>
        <v>0</v>
      </c>
      <c r="Y103" s="336">
        <v>1</v>
      </c>
      <c r="Z103" s="337">
        <f t="shared" si="175"/>
        <v>1.6871983667168997</v>
      </c>
      <c r="AA103" s="455" t="str">
        <f t="shared" si="176"/>
        <v>(4,4,4,3,1,5); Calculation: Tap water - wastewater treated OR 10% of tap water</v>
      </c>
      <c r="AB103" s="440">
        <v>0</v>
      </c>
      <c r="AC103" s="336">
        <v>1</v>
      </c>
      <c r="AD103" s="337">
        <f t="shared" si="177"/>
        <v>1.6871983667168997</v>
      </c>
      <c r="AE103" s="437" t="str">
        <f t="shared" si="178"/>
        <v>(4,4,4,3,1,5); Calculation: Tap water - wastewater treated OR 10% of tap water</v>
      </c>
      <c r="AF103" s="440">
        <f t="shared" si="222"/>
        <v>0</v>
      </c>
      <c r="AG103" s="336">
        <v>1</v>
      </c>
      <c r="AH103" s="337">
        <f t="shared" si="179"/>
        <v>1.6871983667168997</v>
      </c>
      <c r="AI103" s="455" t="str">
        <f t="shared" si="180"/>
        <v>(4,4,4,3,1,5); Calculation: Tap water - wastewater treated OR 10% of tap water</v>
      </c>
      <c r="AJ103" s="440">
        <f t="shared" si="223"/>
        <v>0</v>
      </c>
      <c r="AK103" s="336">
        <v>1</v>
      </c>
      <c r="AL103" s="337">
        <f t="shared" si="181"/>
        <v>1.6871983667168997</v>
      </c>
      <c r="AM103" s="455" t="str">
        <f t="shared" si="182"/>
        <v>(4,4,4,3,1,5); Calculation: Tap water - wastewater treated OR 10% of tap water</v>
      </c>
      <c r="AN103" s="440">
        <f t="shared" si="224"/>
        <v>0</v>
      </c>
      <c r="AO103" s="336">
        <v>1</v>
      </c>
      <c r="AP103" s="337">
        <f t="shared" si="183"/>
        <v>1.6871983667168997</v>
      </c>
      <c r="AQ103" s="455" t="str">
        <f t="shared" si="184"/>
        <v>(4,4,4,3,1,5); Calculation: Tap water - wastewater treated OR 10% of tap water</v>
      </c>
      <c r="AR103" s="440">
        <f t="shared" si="225"/>
        <v>0</v>
      </c>
      <c r="AS103" s="336">
        <v>1</v>
      </c>
      <c r="AT103" s="337">
        <f t="shared" si="185"/>
        <v>1.6871983667168997</v>
      </c>
      <c r="AU103" s="455" t="str">
        <f t="shared" si="186"/>
        <v>(4,4,4,3,1,5); Calculation: Tap water - wastewater treated OR 10% of tap water</v>
      </c>
      <c r="AV103" s="440">
        <v>0</v>
      </c>
      <c r="AW103" s="336">
        <v>1</v>
      </c>
      <c r="AX103" s="337">
        <f t="shared" si="187"/>
        <v>1.6871983667168997</v>
      </c>
      <c r="AY103" s="437" t="str">
        <f t="shared" si="188"/>
        <v>(4,4,4,3,1,5); Calculation: Tap water - wastewater treated OR 10% of tap water</v>
      </c>
      <c r="AZ103" s="440">
        <f>AF99*$J$127</f>
        <v>3.3720880069025308E-2</v>
      </c>
      <c r="BA103" s="336">
        <v>1</v>
      </c>
      <c r="BB103" s="337">
        <f t="shared" si="189"/>
        <v>1.6871983667168997</v>
      </c>
      <c r="BC103" s="455" t="str">
        <f t="shared" si="190"/>
        <v>(4,4,4,3,1,5); Calculation: Tap water - wastewater treated OR 10% of tap water</v>
      </c>
      <c r="BD103" s="440">
        <f>AJ99*$J$127</f>
        <v>0.23870424010846786</v>
      </c>
      <c r="BE103" s="336">
        <v>1</v>
      </c>
      <c r="BF103" s="337">
        <f t="shared" si="191"/>
        <v>1.6871983667168997</v>
      </c>
      <c r="BG103" s="455" t="str">
        <f t="shared" si="192"/>
        <v>(4,4,4,3,1,5); Calculation: Tap water - wastewater treated OR 10% of tap water</v>
      </c>
      <c r="BH103" s="440">
        <f>AN99*$J$127</f>
        <v>0.23075004023820997</v>
      </c>
      <c r="BI103" s="336">
        <v>1</v>
      </c>
      <c r="BJ103" s="337">
        <f t="shared" si="193"/>
        <v>1.6871983667168997</v>
      </c>
      <c r="BK103" s="455" t="str">
        <f t="shared" si="194"/>
        <v>(4,4,4,3,1,5); Calculation: Tap water - wastewater treated OR 10% of tap water</v>
      </c>
      <c r="BL103" s="440">
        <f>AR99*$J$127</f>
        <v>3.3259070005109838E-2</v>
      </c>
      <c r="BM103" s="336">
        <v>1</v>
      </c>
      <c r="BN103" s="337">
        <f t="shared" si="195"/>
        <v>1.6871983667168997</v>
      </c>
      <c r="BO103" s="455" t="str">
        <f t="shared" si="196"/>
        <v>(4,4,4,3,1,5); Calculation: Tap water - wastewater treated OR 10% of tap water</v>
      </c>
      <c r="BP103" s="440">
        <f>AV99*$J$127</f>
        <v>3.3259070005109838E-2</v>
      </c>
      <c r="BQ103" s="336">
        <v>1</v>
      </c>
      <c r="BR103" s="337">
        <f t="shared" si="197"/>
        <v>1.6871983667168997</v>
      </c>
      <c r="BS103" s="437" t="str">
        <f t="shared" si="198"/>
        <v>(4,4,4,3,1,5); Calculation: Tap water - wastewater treated OR 10% of tap water</v>
      </c>
      <c r="BT103" s="440">
        <v>0</v>
      </c>
      <c r="BU103" s="336">
        <v>1</v>
      </c>
      <c r="BV103" s="337">
        <f t="shared" si="199"/>
        <v>1.6871983667168997</v>
      </c>
      <c r="BW103" s="455" t="str">
        <f t="shared" si="200"/>
        <v>(4,4,4,3,1,5); Calculation: Tap water - wastewater treated OR 10% of tap water</v>
      </c>
      <c r="BX103" s="440">
        <v>0</v>
      </c>
      <c r="BY103" s="336">
        <v>1</v>
      </c>
      <c r="BZ103" s="337">
        <f t="shared" si="201"/>
        <v>1.6871983667168997</v>
      </c>
      <c r="CA103" s="455" t="str">
        <f t="shared" si="202"/>
        <v>(4,4,4,3,1,5); Calculation: Tap water - wastewater treated OR 10% of tap water</v>
      </c>
      <c r="CB103" s="440">
        <v>0</v>
      </c>
      <c r="CC103" s="336">
        <v>1</v>
      </c>
      <c r="CD103" s="337">
        <f t="shared" si="203"/>
        <v>1.6871983667168997</v>
      </c>
      <c r="CE103" s="455" t="str">
        <f t="shared" si="204"/>
        <v>(4,4,4,3,1,5); Calculation: Tap water - wastewater treated OR 10% of tap water</v>
      </c>
      <c r="CF103" s="440">
        <v>0</v>
      </c>
      <c r="CG103" s="336">
        <v>1</v>
      </c>
      <c r="CH103" s="337">
        <f t="shared" si="205"/>
        <v>1.6871983667168997</v>
      </c>
      <c r="CI103" s="455" t="str">
        <f t="shared" si="168"/>
        <v>(4,4,4,3,1,5); Calculation: Tap water - wastewater treated OR 10% of tap water</v>
      </c>
      <c r="CJ103" s="440">
        <v>0</v>
      </c>
      <c r="CK103" s="336">
        <v>1</v>
      </c>
      <c r="CL103" s="337">
        <f t="shared" si="206"/>
        <v>1.6871983667168997</v>
      </c>
      <c r="CM103" s="437" t="str">
        <f t="shared" si="207"/>
        <v>(4,4,4,3,1,5); Calculation: Tap water - wastewater treated OR 10% of tap water</v>
      </c>
      <c r="CN103" s="440">
        <v>0</v>
      </c>
      <c r="CO103" s="336">
        <v>1</v>
      </c>
      <c r="CP103" s="337">
        <f t="shared" si="208"/>
        <v>1.5</v>
      </c>
      <c r="CQ103" s="455" t="str">
        <f t="shared" si="209"/>
        <v xml:space="preserve">(na,na,na,na,na,na); </v>
      </c>
      <c r="CR103" s="440">
        <v>0</v>
      </c>
      <c r="CS103" s="336">
        <v>1</v>
      </c>
      <c r="CT103" s="337">
        <f t="shared" si="210"/>
        <v>1.5</v>
      </c>
      <c r="CU103" s="437" t="str">
        <f t="shared" si="211"/>
        <v xml:space="preserve">(na,na,na,na,na,na); </v>
      </c>
      <c r="CW103" s="440"/>
      <c r="CX103" s="440"/>
      <c r="CY103" s="440"/>
      <c r="CZ103" s="440"/>
      <c r="DA103" s="691" t="s">
        <v>1231</v>
      </c>
      <c r="DB103" s="83">
        <v>4</v>
      </c>
      <c r="DC103" s="83">
        <v>4</v>
      </c>
      <c r="DD103" s="83">
        <v>4</v>
      </c>
      <c r="DE103" s="83">
        <v>3</v>
      </c>
      <c r="DF103" s="83">
        <v>1</v>
      </c>
      <c r="DG103" s="83">
        <v>5</v>
      </c>
      <c r="DH103" s="104">
        <v>31</v>
      </c>
      <c r="DI103" s="104">
        <v>1.5</v>
      </c>
      <c r="DJ103" s="107">
        <f t="shared" si="212"/>
        <v>1.3915993050235766</v>
      </c>
      <c r="DK103" s="107">
        <f t="shared" si="213"/>
        <v>1.6871983667168997</v>
      </c>
      <c r="DL103" s="107" t="str">
        <f t="shared" si="214"/>
        <v>(4,4,4,3,1,5)</v>
      </c>
      <c r="DM103" s="108">
        <v>1.2</v>
      </c>
      <c r="DN103" s="108">
        <v>1.1000000000000001</v>
      </c>
      <c r="DO103" s="108">
        <v>1.2</v>
      </c>
      <c r="DP103" s="108">
        <v>1.02</v>
      </c>
      <c r="DQ103" s="108">
        <v>1</v>
      </c>
      <c r="DR103" s="108">
        <v>1.2</v>
      </c>
      <c r="DT103" s="691"/>
      <c r="DU103" s="83" t="s">
        <v>106</v>
      </c>
      <c r="DV103" s="83" t="s">
        <v>106</v>
      </c>
      <c r="DW103" s="83" t="s">
        <v>106</v>
      </c>
      <c r="DX103" s="83" t="s">
        <v>106</v>
      </c>
      <c r="DY103" s="83" t="s">
        <v>106</v>
      </c>
      <c r="DZ103" s="83" t="s">
        <v>106</v>
      </c>
      <c r="EA103" s="104">
        <v>31</v>
      </c>
      <c r="EB103" s="104">
        <v>1.5</v>
      </c>
      <c r="EC103" s="107">
        <f t="shared" si="215"/>
        <v>1</v>
      </c>
      <c r="ED103" s="107">
        <f t="shared" si="216"/>
        <v>1.5</v>
      </c>
      <c r="EE103" s="107" t="str">
        <f t="shared" si="217"/>
        <v>(na,na,na,na,na,na)</v>
      </c>
      <c r="EF103" s="108">
        <v>1</v>
      </c>
      <c r="EG103" s="108">
        <v>1</v>
      </c>
      <c r="EH103" s="108">
        <v>1</v>
      </c>
      <c r="EI103" s="108">
        <v>1</v>
      </c>
      <c r="EJ103" s="108">
        <v>1</v>
      </c>
      <c r="EK103" s="108">
        <v>1</v>
      </c>
    </row>
    <row r="104" spans="1:141" s="171" customFormat="1" ht="24">
      <c r="A104" s="333">
        <v>84449</v>
      </c>
      <c r="B104" s="216"/>
      <c r="C104" s="334"/>
      <c r="D104" s="342" t="s">
        <v>98</v>
      </c>
      <c r="E104" s="343">
        <v>4</v>
      </c>
      <c r="F104" s="437" t="s">
        <v>1011</v>
      </c>
      <c r="G104" s="438" t="s">
        <v>98</v>
      </c>
      <c r="H104" s="439" t="s">
        <v>247</v>
      </c>
      <c r="I104" s="439" t="s">
        <v>248</v>
      </c>
      <c r="J104" s="335" t="s">
        <v>98</v>
      </c>
      <c r="K104" s="438" t="s">
        <v>96</v>
      </c>
      <c r="L104" s="440">
        <f t="shared" si="218"/>
        <v>0</v>
      </c>
      <c r="M104" s="336">
        <v>1</v>
      </c>
      <c r="N104" s="337">
        <f t="shared" si="169"/>
        <v>1.6871983667168997</v>
      </c>
      <c r="O104" s="455" t="str">
        <f t="shared" si="170"/>
        <v>(4,4,4,3,1,5); Calculation: Tap water - wastewater treated OR 10% of tap water</v>
      </c>
      <c r="P104" s="440">
        <f t="shared" si="219"/>
        <v>0</v>
      </c>
      <c r="Q104" s="336">
        <v>1</v>
      </c>
      <c r="R104" s="337">
        <f t="shared" si="171"/>
        <v>1.6871983667168997</v>
      </c>
      <c r="S104" s="455" t="str">
        <f t="shared" si="172"/>
        <v>(4,4,4,3,1,5); Calculation: Tap water - wastewater treated OR 10% of tap water</v>
      </c>
      <c r="T104" s="440">
        <f t="shared" si="220"/>
        <v>0</v>
      </c>
      <c r="U104" s="336">
        <v>1</v>
      </c>
      <c r="V104" s="337">
        <f t="shared" si="173"/>
        <v>1.6871983667168997</v>
      </c>
      <c r="W104" s="455" t="str">
        <f t="shared" si="174"/>
        <v>(4,4,4,3,1,5); Calculation: Tap water - wastewater treated OR 10% of tap water</v>
      </c>
      <c r="X104" s="440">
        <f t="shared" si="221"/>
        <v>0</v>
      </c>
      <c r="Y104" s="336">
        <v>1</v>
      </c>
      <c r="Z104" s="337">
        <f t="shared" si="175"/>
        <v>1.6871983667168997</v>
      </c>
      <c r="AA104" s="455" t="str">
        <f t="shared" si="176"/>
        <v>(4,4,4,3,1,5); Calculation: Tap water - wastewater treated OR 10% of tap water</v>
      </c>
      <c r="AB104" s="440">
        <v>0</v>
      </c>
      <c r="AC104" s="336">
        <v>1</v>
      </c>
      <c r="AD104" s="337">
        <f t="shared" si="177"/>
        <v>1.6871983667168997</v>
      </c>
      <c r="AE104" s="437" t="str">
        <f t="shared" si="178"/>
        <v>(4,4,4,3,1,5); Calculation: Tap water - wastewater treated OR 10% of tap water</v>
      </c>
      <c r="AF104" s="440">
        <f t="shared" si="222"/>
        <v>0</v>
      </c>
      <c r="AG104" s="336">
        <v>1</v>
      </c>
      <c r="AH104" s="337">
        <f t="shared" si="179"/>
        <v>1.6871983667168997</v>
      </c>
      <c r="AI104" s="455" t="str">
        <f t="shared" si="180"/>
        <v>(4,4,4,3,1,5); Calculation: Tap water - wastewater treated OR 10% of tap water</v>
      </c>
      <c r="AJ104" s="440">
        <f t="shared" si="223"/>
        <v>0</v>
      </c>
      <c r="AK104" s="336">
        <v>1</v>
      </c>
      <c r="AL104" s="337">
        <f t="shared" si="181"/>
        <v>1.6871983667168997</v>
      </c>
      <c r="AM104" s="455" t="str">
        <f t="shared" si="182"/>
        <v>(4,4,4,3,1,5); Calculation: Tap water - wastewater treated OR 10% of tap water</v>
      </c>
      <c r="AN104" s="440">
        <f t="shared" si="224"/>
        <v>0</v>
      </c>
      <c r="AO104" s="336">
        <v>1</v>
      </c>
      <c r="AP104" s="337">
        <f t="shared" si="183"/>
        <v>1.6871983667168997</v>
      </c>
      <c r="AQ104" s="455" t="str">
        <f t="shared" si="184"/>
        <v>(4,4,4,3,1,5); Calculation: Tap water - wastewater treated OR 10% of tap water</v>
      </c>
      <c r="AR104" s="440">
        <f t="shared" si="225"/>
        <v>0</v>
      </c>
      <c r="AS104" s="336">
        <v>1</v>
      </c>
      <c r="AT104" s="337">
        <f t="shared" si="185"/>
        <v>1.6871983667168997</v>
      </c>
      <c r="AU104" s="455" t="str">
        <f t="shared" si="186"/>
        <v>(4,4,4,3,1,5); Calculation: Tap water - wastewater treated OR 10% of tap water</v>
      </c>
      <c r="AV104" s="440">
        <v>0</v>
      </c>
      <c r="AW104" s="336">
        <v>1</v>
      </c>
      <c r="AX104" s="337">
        <f t="shared" si="187"/>
        <v>1.6871983667168997</v>
      </c>
      <c r="AY104" s="437" t="str">
        <f t="shared" si="188"/>
        <v>(4,4,4,3,1,5); Calculation: Tap water - wastewater treated OR 10% of tap water</v>
      </c>
      <c r="AZ104" s="440">
        <f>AF99*$J$129</f>
        <v>0.22255780845556708</v>
      </c>
      <c r="BA104" s="336">
        <v>1</v>
      </c>
      <c r="BB104" s="337">
        <f t="shared" si="189"/>
        <v>1.6871983667168997</v>
      </c>
      <c r="BC104" s="455" t="str">
        <f t="shared" si="190"/>
        <v>(4,4,4,3,1,5); Calculation: Tap water - wastewater treated OR 10% of tap water</v>
      </c>
      <c r="BD104" s="440">
        <f>AJ99*$J$129</f>
        <v>1.575447984715888</v>
      </c>
      <c r="BE104" s="336">
        <v>1</v>
      </c>
      <c r="BF104" s="337">
        <f t="shared" si="191"/>
        <v>1.6871983667168997</v>
      </c>
      <c r="BG104" s="455" t="str">
        <f t="shared" si="192"/>
        <v>(4,4,4,3,1,5); Calculation: Tap water - wastewater treated OR 10% of tap water</v>
      </c>
      <c r="BH104" s="440">
        <f>AN99*$J$129</f>
        <v>1.522950265572186</v>
      </c>
      <c r="BI104" s="336">
        <v>1</v>
      </c>
      <c r="BJ104" s="337">
        <f t="shared" si="193"/>
        <v>1.6871983667168997</v>
      </c>
      <c r="BK104" s="455" t="str">
        <f t="shared" si="194"/>
        <v>(4,4,4,3,1,5); Calculation: Tap water - wastewater treated OR 10% of tap water</v>
      </c>
      <c r="BL104" s="440">
        <f>AR99*$J$129</f>
        <v>0.21950986203372497</v>
      </c>
      <c r="BM104" s="336">
        <v>1</v>
      </c>
      <c r="BN104" s="337">
        <f t="shared" si="195"/>
        <v>1.6871983667168997</v>
      </c>
      <c r="BO104" s="455" t="str">
        <f t="shared" si="196"/>
        <v>(4,4,4,3,1,5); Calculation: Tap water - wastewater treated OR 10% of tap water</v>
      </c>
      <c r="BP104" s="440">
        <f>AV99*$J$129</f>
        <v>0.21950986203372497</v>
      </c>
      <c r="BQ104" s="336">
        <v>1</v>
      </c>
      <c r="BR104" s="337">
        <f t="shared" si="197"/>
        <v>1.6871983667168997</v>
      </c>
      <c r="BS104" s="437" t="str">
        <f t="shared" si="198"/>
        <v>(4,4,4,3,1,5); Calculation: Tap water - wastewater treated OR 10% of tap water</v>
      </c>
      <c r="BT104" s="440">
        <v>0</v>
      </c>
      <c r="BU104" s="336">
        <v>1</v>
      </c>
      <c r="BV104" s="337">
        <f t="shared" si="199"/>
        <v>1.6871983667168997</v>
      </c>
      <c r="BW104" s="455" t="str">
        <f t="shared" si="200"/>
        <v>(4,4,4,3,1,5); Calculation: Tap water - wastewater treated OR 10% of tap water</v>
      </c>
      <c r="BX104" s="440">
        <v>0</v>
      </c>
      <c r="BY104" s="336">
        <v>1</v>
      </c>
      <c r="BZ104" s="337">
        <f t="shared" si="201"/>
        <v>1.6871983667168997</v>
      </c>
      <c r="CA104" s="455" t="str">
        <f t="shared" si="202"/>
        <v>(4,4,4,3,1,5); Calculation: Tap water - wastewater treated OR 10% of tap water</v>
      </c>
      <c r="CB104" s="440">
        <v>0</v>
      </c>
      <c r="CC104" s="336">
        <v>1</v>
      </c>
      <c r="CD104" s="337">
        <f t="shared" si="203"/>
        <v>1.6871983667168997</v>
      </c>
      <c r="CE104" s="455" t="str">
        <f t="shared" si="204"/>
        <v>(4,4,4,3,1,5); Calculation: Tap water - wastewater treated OR 10% of tap water</v>
      </c>
      <c r="CF104" s="440">
        <v>0</v>
      </c>
      <c r="CG104" s="336">
        <v>1</v>
      </c>
      <c r="CH104" s="337">
        <f t="shared" si="205"/>
        <v>1.6871983667168997</v>
      </c>
      <c r="CI104" s="455" t="str">
        <f t="shared" si="168"/>
        <v>(4,4,4,3,1,5); Calculation: Tap water - wastewater treated OR 10% of tap water</v>
      </c>
      <c r="CJ104" s="440">
        <v>0</v>
      </c>
      <c r="CK104" s="336">
        <v>1</v>
      </c>
      <c r="CL104" s="337">
        <f t="shared" si="206"/>
        <v>1.6871983667168997</v>
      </c>
      <c r="CM104" s="437" t="str">
        <f t="shared" si="207"/>
        <v>(4,4,4,3,1,5); Calculation: Tap water - wastewater treated OR 10% of tap water</v>
      </c>
      <c r="CN104" s="440">
        <v>0</v>
      </c>
      <c r="CO104" s="336">
        <v>1</v>
      </c>
      <c r="CP104" s="337">
        <f t="shared" si="208"/>
        <v>1.5</v>
      </c>
      <c r="CQ104" s="455" t="str">
        <f t="shared" si="209"/>
        <v xml:space="preserve">(na,na,na,na,na,na); </v>
      </c>
      <c r="CR104" s="440">
        <v>0</v>
      </c>
      <c r="CS104" s="336">
        <v>1</v>
      </c>
      <c r="CT104" s="337">
        <f t="shared" si="210"/>
        <v>1.5</v>
      </c>
      <c r="CU104" s="437" t="str">
        <f t="shared" si="211"/>
        <v xml:space="preserve">(na,na,na,na,na,na); </v>
      </c>
      <c r="CW104" s="440"/>
      <c r="CX104" s="440"/>
      <c r="CY104" s="440"/>
      <c r="CZ104" s="440"/>
      <c r="DA104" s="691" t="s">
        <v>1231</v>
      </c>
      <c r="DB104" s="83">
        <v>4</v>
      </c>
      <c r="DC104" s="83">
        <v>4</v>
      </c>
      <c r="DD104" s="83">
        <v>4</v>
      </c>
      <c r="DE104" s="83">
        <v>3</v>
      </c>
      <c r="DF104" s="83">
        <v>1</v>
      </c>
      <c r="DG104" s="83">
        <v>5</v>
      </c>
      <c r="DH104" s="104">
        <v>31</v>
      </c>
      <c r="DI104" s="104">
        <v>1.5</v>
      </c>
      <c r="DJ104" s="107">
        <f t="shared" si="212"/>
        <v>1.3915993050235766</v>
      </c>
      <c r="DK104" s="107">
        <f t="shared" si="213"/>
        <v>1.6871983667168997</v>
      </c>
      <c r="DL104" s="107" t="str">
        <f t="shared" si="214"/>
        <v>(4,4,4,3,1,5)</v>
      </c>
      <c r="DM104" s="108">
        <v>1.2</v>
      </c>
      <c r="DN104" s="108">
        <v>1.1000000000000001</v>
      </c>
      <c r="DO104" s="108">
        <v>1.2</v>
      </c>
      <c r="DP104" s="108">
        <v>1.02</v>
      </c>
      <c r="DQ104" s="108">
        <v>1</v>
      </c>
      <c r="DR104" s="108">
        <v>1.2</v>
      </c>
      <c r="DT104" s="691"/>
      <c r="DU104" s="83" t="s">
        <v>106</v>
      </c>
      <c r="DV104" s="83" t="s">
        <v>106</v>
      </c>
      <c r="DW104" s="83" t="s">
        <v>106</v>
      </c>
      <c r="DX104" s="83" t="s">
        <v>106</v>
      </c>
      <c r="DY104" s="83" t="s">
        <v>106</v>
      </c>
      <c r="DZ104" s="83" t="s">
        <v>106</v>
      </c>
      <c r="EA104" s="104">
        <v>31</v>
      </c>
      <c r="EB104" s="104">
        <v>1.5</v>
      </c>
      <c r="EC104" s="107">
        <f t="shared" si="215"/>
        <v>1</v>
      </c>
      <c r="ED104" s="107">
        <f t="shared" si="216"/>
        <v>1.5</v>
      </c>
      <c r="EE104" s="107" t="str">
        <f t="shared" si="217"/>
        <v>(na,na,na,na,na,na)</v>
      </c>
      <c r="EF104" s="108">
        <v>1</v>
      </c>
      <c r="EG104" s="108">
        <v>1</v>
      </c>
      <c r="EH104" s="108">
        <v>1</v>
      </c>
      <c r="EI104" s="108">
        <v>1</v>
      </c>
      <c r="EJ104" s="108">
        <v>1</v>
      </c>
      <c r="EK104" s="108">
        <v>1</v>
      </c>
    </row>
    <row r="105" spans="1:141" s="171" customFormat="1" ht="24">
      <c r="A105" s="333">
        <v>50312</v>
      </c>
      <c r="B105" s="216"/>
      <c r="C105" s="334"/>
      <c r="D105" s="342" t="s">
        <v>98</v>
      </c>
      <c r="E105" s="343">
        <v>4</v>
      </c>
      <c r="F105" s="437" t="s">
        <v>520</v>
      </c>
      <c r="G105" s="438" t="s">
        <v>98</v>
      </c>
      <c r="H105" s="439" t="s">
        <v>247</v>
      </c>
      <c r="I105" s="439" t="s">
        <v>248</v>
      </c>
      <c r="J105" s="335" t="s">
        <v>98</v>
      </c>
      <c r="K105" s="438" t="s">
        <v>96</v>
      </c>
      <c r="L105" s="440">
        <f t="shared" si="218"/>
        <v>0</v>
      </c>
      <c r="M105" s="336">
        <v>1</v>
      </c>
      <c r="N105" s="337">
        <f t="shared" si="169"/>
        <v>1.6871983667168997</v>
      </c>
      <c r="O105" s="455" t="str">
        <f t="shared" si="170"/>
        <v>(4,4,4,3,1,5); Calculation: Tap water - wastewater treated OR 10% of tap water</v>
      </c>
      <c r="P105" s="440">
        <f t="shared" si="219"/>
        <v>0</v>
      </c>
      <c r="Q105" s="336">
        <v>1</v>
      </c>
      <c r="R105" s="337">
        <f t="shared" si="171"/>
        <v>1.6871983667168997</v>
      </c>
      <c r="S105" s="455" t="str">
        <f t="shared" si="172"/>
        <v>(4,4,4,3,1,5); Calculation: Tap water - wastewater treated OR 10% of tap water</v>
      </c>
      <c r="T105" s="440">
        <f t="shared" si="220"/>
        <v>0</v>
      </c>
      <c r="U105" s="336">
        <v>1</v>
      </c>
      <c r="V105" s="337">
        <f t="shared" si="173"/>
        <v>1.6871983667168997</v>
      </c>
      <c r="W105" s="455" t="str">
        <f t="shared" si="174"/>
        <v>(4,4,4,3,1,5); Calculation: Tap water - wastewater treated OR 10% of tap water</v>
      </c>
      <c r="X105" s="440">
        <f t="shared" si="221"/>
        <v>0</v>
      </c>
      <c r="Y105" s="336">
        <v>1</v>
      </c>
      <c r="Z105" s="337">
        <f t="shared" si="175"/>
        <v>1.6871983667168997</v>
      </c>
      <c r="AA105" s="455" t="str">
        <f t="shared" si="176"/>
        <v>(4,4,4,3,1,5); Calculation: Tap water - wastewater treated OR 10% of tap water</v>
      </c>
      <c r="AB105" s="440">
        <v>0</v>
      </c>
      <c r="AC105" s="336">
        <v>1</v>
      </c>
      <c r="AD105" s="337">
        <f t="shared" si="177"/>
        <v>1.6871983667168997</v>
      </c>
      <c r="AE105" s="437" t="str">
        <f t="shared" si="178"/>
        <v>(4,4,4,3,1,5); Calculation: Tap water - wastewater treated OR 10% of tap water</v>
      </c>
      <c r="AF105" s="440">
        <f t="shared" si="222"/>
        <v>0</v>
      </c>
      <c r="AG105" s="336">
        <v>1</v>
      </c>
      <c r="AH105" s="337">
        <f t="shared" si="179"/>
        <v>1.6871983667168997</v>
      </c>
      <c r="AI105" s="455" t="str">
        <f t="shared" si="180"/>
        <v>(4,4,4,3,1,5); Calculation: Tap water - wastewater treated OR 10% of tap water</v>
      </c>
      <c r="AJ105" s="440">
        <f t="shared" si="223"/>
        <v>0</v>
      </c>
      <c r="AK105" s="336">
        <v>1</v>
      </c>
      <c r="AL105" s="337">
        <f t="shared" si="181"/>
        <v>1.6871983667168997</v>
      </c>
      <c r="AM105" s="455" t="str">
        <f t="shared" si="182"/>
        <v>(4,4,4,3,1,5); Calculation: Tap water - wastewater treated OR 10% of tap water</v>
      </c>
      <c r="AN105" s="440">
        <f t="shared" si="224"/>
        <v>0</v>
      </c>
      <c r="AO105" s="336">
        <v>1</v>
      </c>
      <c r="AP105" s="337">
        <f t="shared" si="183"/>
        <v>1.6871983667168997</v>
      </c>
      <c r="AQ105" s="455" t="str">
        <f t="shared" si="184"/>
        <v>(4,4,4,3,1,5); Calculation: Tap water - wastewater treated OR 10% of tap water</v>
      </c>
      <c r="AR105" s="440">
        <f t="shared" si="225"/>
        <v>0</v>
      </c>
      <c r="AS105" s="336">
        <v>1</v>
      </c>
      <c r="AT105" s="337">
        <f t="shared" si="185"/>
        <v>1.6871983667168997</v>
      </c>
      <c r="AU105" s="455" t="str">
        <f t="shared" si="186"/>
        <v>(4,4,4,3,1,5); Calculation: Tap water - wastewater treated OR 10% of tap water</v>
      </c>
      <c r="AV105" s="440">
        <v>0</v>
      </c>
      <c r="AW105" s="336">
        <v>1</v>
      </c>
      <c r="AX105" s="337">
        <f t="shared" si="187"/>
        <v>1.6871983667168997</v>
      </c>
      <c r="AY105" s="437" t="str">
        <f t="shared" si="188"/>
        <v>(4,4,4,3,1,5); Calculation: Tap water - wastewater treated OR 10% of tap water</v>
      </c>
      <c r="AZ105" s="440">
        <v>0</v>
      </c>
      <c r="BA105" s="336">
        <v>1</v>
      </c>
      <c r="BB105" s="337">
        <f t="shared" si="189"/>
        <v>1.6871983667168997</v>
      </c>
      <c r="BC105" s="455" t="str">
        <f t="shared" si="190"/>
        <v>(4,4,4,3,1,5); Calculation: Tap water - wastewater treated OR 10% of tap water</v>
      </c>
      <c r="BD105" s="440">
        <v>0</v>
      </c>
      <c r="BE105" s="336">
        <v>1</v>
      </c>
      <c r="BF105" s="337">
        <f t="shared" si="191"/>
        <v>1.6871983667168997</v>
      </c>
      <c r="BG105" s="455" t="str">
        <f t="shared" si="192"/>
        <v>(4,4,4,3,1,5); Calculation: Tap water - wastewater treated OR 10% of tap water</v>
      </c>
      <c r="BH105" s="440">
        <v>0</v>
      </c>
      <c r="BI105" s="336">
        <v>1</v>
      </c>
      <c r="BJ105" s="337">
        <f t="shared" si="193"/>
        <v>1.6871983667168997</v>
      </c>
      <c r="BK105" s="455" t="str">
        <f t="shared" si="194"/>
        <v>(4,4,4,3,1,5); Calculation: Tap water - wastewater treated OR 10% of tap water</v>
      </c>
      <c r="BL105" s="440">
        <v>0</v>
      </c>
      <c r="BM105" s="336">
        <v>1</v>
      </c>
      <c r="BN105" s="337">
        <f t="shared" si="195"/>
        <v>1.6871983667168997</v>
      </c>
      <c r="BO105" s="455" t="str">
        <f t="shared" si="196"/>
        <v>(4,4,4,3,1,5); Calculation: Tap water - wastewater treated OR 10% of tap water</v>
      </c>
      <c r="BP105" s="440">
        <f>0.1*BP58</f>
        <v>0</v>
      </c>
      <c r="BQ105" s="336">
        <v>1</v>
      </c>
      <c r="BR105" s="337">
        <f t="shared" si="197"/>
        <v>1.6871983667168997</v>
      </c>
      <c r="BS105" s="455" t="str">
        <f t="shared" si="198"/>
        <v>(4,4,4,3,1,5); Calculation: Tap water - wastewater treated OR 10% of tap water</v>
      </c>
      <c r="BT105" s="440">
        <v>0</v>
      </c>
      <c r="BU105" s="336">
        <v>1</v>
      </c>
      <c r="BV105" s="337">
        <f t="shared" si="199"/>
        <v>1.6871983667168997</v>
      </c>
      <c r="BW105" s="455" t="str">
        <f t="shared" si="200"/>
        <v>(4,4,4,3,1,5); Calculation: Tap water - wastewater treated OR 10% of tap water</v>
      </c>
      <c r="BX105" s="440">
        <v>0</v>
      </c>
      <c r="BY105" s="336">
        <v>1</v>
      </c>
      <c r="BZ105" s="337">
        <f t="shared" si="201"/>
        <v>1.6871983667168997</v>
      </c>
      <c r="CA105" s="455" t="str">
        <f t="shared" si="202"/>
        <v>(4,4,4,3,1,5); Calculation: Tap water - wastewater treated OR 10% of tap water</v>
      </c>
      <c r="CB105" s="440">
        <v>0</v>
      </c>
      <c r="CC105" s="336">
        <v>1</v>
      </c>
      <c r="CD105" s="337">
        <f t="shared" si="203"/>
        <v>1.6871983667168997</v>
      </c>
      <c r="CE105" s="455" t="str">
        <f t="shared" si="204"/>
        <v>(4,4,4,3,1,5); Calculation: Tap water - wastewater treated OR 10% of tap water</v>
      </c>
      <c r="CF105" s="440">
        <v>0</v>
      </c>
      <c r="CG105" s="336">
        <v>1</v>
      </c>
      <c r="CH105" s="337">
        <f t="shared" si="205"/>
        <v>1.6871983667168997</v>
      </c>
      <c r="CI105" s="455" t="str">
        <f t="shared" si="168"/>
        <v>(4,4,4,3,1,5); Calculation: Tap water - wastewater treated OR 10% of tap water</v>
      </c>
      <c r="CJ105" s="440">
        <v>0</v>
      </c>
      <c r="CK105" s="336">
        <v>1</v>
      </c>
      <c r="CL105" s="337">
        <f t="shared" si="206"/>
        <v>1.6871983667168997</v>
      </c>
      <c r="CM105" s="437" t="str">
        <f t="shared" si="207"/>
        <v>(4,4,4,3,1,5); Calculation: Tap water - wastewater treated OR 10% of tap water</v>
      </c>
      <c r="CN105" s="440">
        <v>0.71374534999999995</v>
      </c>
      <c r="CO105" s="336">
        <v>1</v>
      </c>
      <c r="CP105" s="337">
        <f t="shared" si="208"/>
        <v>1.6871983667168997</v>
      </c>
      <c r="CQ105" s="455" t="str">
        <f t="shared" si="209"/>
        <v>(4,4,4,3,1,5); Brailovsky (2026) GP 08</v>
      </c>
      <c r="CR105" s="440">
        <v>0</v>
      </c>
      <c r="CS105" s="336">
        <v>1</v>
      </c>
      <c r="CT105" s="337">
        <f t="shared" si="210"/>
        <v>1.6871983667168997</v>
      </c>
      <c r="CU105" s="437" t="str">
        <f t="shared" si="211"/>
        <v>(4,4,4,3,1,5); Brailovsky (2026) GP 08</v>
      </c>
      <c r="CW105" s="440"/>
      <c r="CX105" s="440"/>
      <c r="CY105" s="440"/>
      <c r="CZ105" s="440"/>
      <c r="DA105" s="691" t="s">
        <v>1231</v>
      </c>
      <c r="DB105" s="83">
        <v>4</v>
      </c>
      <c r="DC105" s="83">
        <v>4</v>
      </c>
      <c r="DD105" s="83">
        <v>4</v>
      </c>
      <c r="DE105" s="83">
        <v>3</v>
      </c>
      <c r="DF105" s="83">
        <v>1</v>
      </c>
      <c r="DG105" s="83">
        <v>5</v>
      </c>
      <c r="DH105" s="104">
        <v>31</v>
      </c>
      <c r="DI105" s="104">
        <v>1.5</v>
      </c>
      <c r="DJ105" s="107">
        <f t="shared" si="212"/>
        <v>1.3915993050235766</v>
      </c>
      <c r="DK105" s="107">
        <f t="shared" si="213"/>
        <v>1.6871983667168997</v>
      </c>
      <c r="DL105" s="107" t="str">
        <f t="shared" si="214"/>
        <v>(4,4,4,3,1,5)</v>
      </c>
      <c r="DM105" s="108">
        <v>1.2</v>
      </c>
      <c r="DN105" s="108">
        <v>1.1000000000000001</v>
      </c>
      <c r="DO105" s="108">
        <v>1.2</v>
      </c>
      <c r="DP105" s="108">
        <v>1.02</v>
      </c>
      <c r="DQ105" s="108">
        <v>1</v>
      </c>
      <c r="DR105" s="108">
        <v>1.2</v>
      </c>
      <c r="DT105" s="691" t="s">
        <v>1171</v>
      </c>
      <c r="DU105" s="83">
        <v>4</v>
      </c>
      <c r="DV105" s="83">
        <v>4</v>
      </c>
      <c r="DW105" s="83">
        <v>4</v>
      </c>
      <c r="DX105" s="83">
        <v>3</v>
      </c>
      <c r="DY105" s="83">
        <v>1</v>
      </c>
      <c r="DZ105" s="83">
        <v>5</v>
      </c>
      <c r="EA105" s="104">
        <v>31</v>
      </c>
      <c r="EB105" s="104">
        <v>1.5</v>
      </c>
      <c r="EC105" s="107">
        <f t="shared" si="215"/>
        <v>1.3915993050235766</v>
      </c>
      <c r="ED105" s="107">
        <f t="shared" si="216"/>
        <v>1.6871983667168997</v>
      </c>
      <c r="EE105" s="107" t="str">
        <f t="shared" si="217"/>
        <v>(4,4,4,3,1,5)</v>
      </c>
      <c r="EF105" s="108">
        <v>1.2</v>
      </c>
      <c r="EG105" s="108">
        <v>1.1000000000000001</v>
      </c>
      <c r="EH105" s="108">
        <v>1.2</v>
      </c>
      <c r="EI105" s="108">
        <v>1.02</v>
      </c>
      <c r="EJ105" s="108">
        <v>1</v>
      </c>
      <c r="EK105" s="108">
        <v>1.2</v>
      </c>
    </row>
    <row r="106" spans="1:141" ht="24">
      <c r="A106" s="330">
        <v>75740</v>
      </c>
      <c r="B106" s="331"/>
      <c r="C106" s="88"/>
      <c r="D106" s="340" t="s">
        <v>98</v>
      </c>
      <c r="E106" s="341">
        <v>4</v>
      </c>
      <c r="F106" s="432" t="s">
        <v>521</v>
      </c>
      <c r="G106" s="433" t="s">
        <v>98</v>
      </c>
      <c r="H106" s="434" t="s">
        <v>247</v>
      </c>
      <c r="I106" s="434" t="s">
        <v>248</v>
      </c>
      <c r="J106" s="94" t="s">
        <v>98</v>
      </c>
      <c r="K106" s="433" t="s">
        <v>96</v>
      </c>
      <c r="L106" s="435">
        <f t="shared" si="218"/>
        <v>0</v>
      </c>
      <c r="M106" s="95">
        <v>1</v>
      </c>
      <c r="N106" s="96">
        <f t="shared" si="169"/>
        <v>1.6871983667168997</v>
      </c>
      <c r="O106" s="457" t="str">
        <f t="shared" si="170"/>
        <v>(4,4,4,3,1,5); Calculation: Tap water - wastewater treated OR 10% of tap water</v>
      </c>
      <c r="P106" s="435">
        <f t="shared" si="219"/>
        <v>0</v>
      </c>
      <c r="Q106" s="95">
        <v>1</v>
      </c>
      <c r="R106" s="96">
        <f t="shared" si="171"/>
        <v>1.6871983667168997</v>
      </c>
      <c r="S106" s="457" t="str">
        <f t="shared" si="172"/>
        <v>(4,4,4,3,1,5); Calculation: Tap water - wastewater treated OR 10% of tap water</v>
      </c>
      <c r="T106" s="435">
        <f t="shared" si="220"/>
        <v>0</v>
      </c>
      <c r="U106" s="95">
        <v>1</v>
      </c>
      <c r="V106" s="96">
        <f t="shared" si="173"/>
        <v>1.6871983667168997</v>
      </c>
      <c r="W106" s="457" t="str">
        <f t="shared" si="174"/>
        <v>(4,4,4,3,1,5); Calculation: Tap water - wastewater treated OR 10% of tap water</v>
      </c>
      <c r="X106" s="435">
        <f t="shared" si="221"/>
        <v>0</v>
      </c>
      <c r="Y106" s="95">
        <v>1</v>
      </c>
      <c r="Z106" s="96">
        <f t="shared" si="175"/>
        <v>1.6871983667168997</v>
      </c>
      <c r="AA106" s="455" t="str">
        <f t="shared" si="176"/>
        <v>(4,4,4,3,1,5); Calculation: Tap water - wastewater treated OR 10% of tap water</v>
      </c>
      <c r="AB106" s="440">
        <v>0</v>
      </c>
      <c r="AC106" s="336">
        <v>1</v>
      </c>
      <c r="AD106" s="337">
        <f t="shared" si="177"/>
        <v>1.6871983667168997</v>
      </c>
      <c r="AE106" s="437" t="str">
        <f t="shared" si="178"/>
        <v>(4,4,4,3,1,5); Calculation: Tap water - wastewater treated OR 10% of tap water</v>
      </c>
      <c r="AF106" s="440">
        <f t="shared" si="222"/>
        <v>0</v>
      </c>
      <c r="AG106" s="336">
        <v>1</v>
      </c>
      <c r="AH106" s="337">
        <f t="shared" si="179"/>
        <v>1.6871983667168997</v>
      </c>
      <c r="AI106" s="455" t="str">
        <f t="shared" si="180"/>
        <v>(4,4,4,3,1,5); Calculation: Tap water - wastewater treated OR 10% of tap water</v>
      </c>
      <c r="AJ106" s="440">
        <f t="shared" si="223"/>
        <v>0</v>
      </c>
      <c r="AK106" s="336">
        <v>1</v>
      </c>
      <c r="AL106" s="337">
        <f t="shared" si="181"/>
        <v>1.6871983667168997</v>
      </c>
      <c r="AM106" s="455" t="str">
        <f t="shared" si="182"/>
        <v>(4,4,4,3,1,5); Calculation: Tap water - wastewater treated OR 10% of tap water</v>
      </c>
      <c r="AN106" s="440">
        <f t="shared" si="224"/>
        <v>0</v>
      </c>
      <c r="AO106" s="336">
        <v>1</v>
      </c>
      <c r="AP106" s="337">
        <f t="shared" si="183"/>
        <v>1.6871983667168997</v>
      </c>
      <c r="AQ106" s="455" t="str">
        <f t="shared" si="184"/>
        <v>(4,4,4,3,1,5); Calculation: Tap water - wastewater treated OR 10% of tap water</v>
      </c>
      <c r="AR106" s="440">
        <f t="shared" si="225"/>
        <v>0</v>
      </c>
      <c r="AS106" s="336">
        <v>1</v>
      </c>
      <c r="AT106" s="337">
        <f t="shared" si="185"/>
        <v>1.6871983667168997</v>
      </c>
      <c r="AU106" s="455" t="str">
        <f t="shared" si="186"/>
        <v>(4,4,4,3,1,5); Calculation: Tap water - wastewater treated OR 10% of tap water</v>
      </c>
      <c r="AV106" s="440">
        <v>0</v>
      </c>
      <c r="AW106" s="336">
        <v>1</v>
      </c>
      <c r="AX106" s="337">
        <f t="shared" si="187"/>
        <v>1.6871983667168997</v>
      </c>
      <c r="AY106" s="437" t="str">
        <f t="shared" si="188"/>
        <v>(4,4,4,3,1,5); Calculation: Tap water - wastewater treated OR 10% of tap water</v>
      </c>
      <c r="AZ106" s="440">
        <v>0</v>
      </c>
      <c r="BA106" s="95">
        <v>1</v>
      </c>
      <c r="BB106" s="96">
        <f t="shared" si="189"/>
        <v>1.6871983667168997</v>
      </c>
      <c r="BC106" s="457" t="str">
        <f t="shared" si="190"/>
        <v>(4,4,4,3,1,5); Calculation: Tap water - wastewater treated OR 10% of tap water</v>
      </c>
      <c r="BD106" s="435">
        <v>0</v>
      </c>
      <c r="BE106" s="95">
        <v>1</v>
      </c>
      <c r="BF106" s="96">
        <f t="shared" si="191"/>
        <v>1.6871983667168997</v>
      </c>
      <c r="BG106" s="457" t="str">
        <f t="shared" si="192"/>
        <v>(4,4,4,3,1,5); Calculation: Tap water - wastewater treated OR 10% of tap water</v>
      </c>
      <c r="BH106" s="435">
        <v>0</v>
      </c>
      <c r="BI106" s="95">
        <v>1</v>
      </c>
      <c r="BJ106" s="96">
        <f t="shared" si="193"/>
        <v>1.6871983667168997</v>
      </c>
      <c r="BK106" s="457" t="str">
        <f t="shared" si="194"/>
        <v>(4,4,4,3,1,5); Calculation: Tap water - wastewater treated OR 10% of tap water</v>
      </c>
      <c r="BL106" s="435">
        <v>0</v>
      </c>
      <c r="BM106" s="95">
        <v>1</v>
      </c>
      <c r="BN106" s="96">
        <f t="shared" si="195"/>
        <v>1.6871983667168997</v>
      </c>
      <c r="BO106" s="457" t="str">
        <f t="shared" si="196"/>
        <v>(4,4,4,3,1,5); Calculation: Tap water - wastewater treated OR 10% of tap water</v>
      </c>
      <c r="BP106" s="435">
        <v>0</v>
      </c>
      <c r="BQ106" s="95">
        <v>1</v>
      </c>
      <c r="BR106" s="96">
        <f t="shared" si="197"/>
        <v>1.6871983667168997</v>
      </c>
      <c r="BS106" s="457" t="str">
        <f t="shared" si="198"/>
        <v>(4,4,4,3,1,5); Calculation: Tap water - wastewater treated OR 10% of tap water</v>
      </c>
      <c r="BT106" s="435">
        <f>AZ100</f>
        <v>6.7441760138050616E-2</v>
      </c>
      <c r="BU106" s="95">
        <v>1</v>
      </c>
      <c r="BV106" s="96">
        <f t="shared" si="199"/>
        <v>1.6871983667168997</v>
      </c>
      <c r="BW106" s="457" t="str">
        <f t="shared" si="200"/>
        <v>(4,4,4,3,1,5); Calculation: Tap water - wastewater treated OR 10% of tap water</v>
      </c>
      <c r="BX106" s="435">
        <f>BD100</f>
        <v>0.47740848021693572</v>
      </c>
      <c r="BY106" s="95">
        <v>1</v>
      </c>
      <c r="BZ106" s="96">
        <f t="shared" si="201"/>
        <v>1.6871983667168997</v>
      </c>
      <c r="CA106" s="457" t="str">
        <f t="shared" si="202"/>
        <v>(4,4,4,3,1,5); Calculation: Tap water - wastewater treated OR 10% of tap water</v>
      </c>
      <c r="CB106" s="435">
        <f>BH100</f>
        <v>0.46150008047641994</v>
      </c>
      <c r="CC106" s="95">
        <v>1</v>
      </c>
      <c r="CD106" s="96">
        <f t="shared" si="203"/>
        <v>1.6871983667168997</v>
      </c>
      <c r="CE106" s="457" t="str">
        <f t="shared" si="204"/>
        <v>(4,4,4,3,1,5); Calculation: Tap water - wastewater treated OR 10% of tap water</v>
      </c>
      <c r="CF106" s="435">
        <f>BL100</f>
        <v>6.6518140010219676E-2</v>
      </c>
      <c r="CG106" s="95">
        <v>1</v>
      </c>
      <c r="CH106" s="96">
        <f t="shared" si="205"/>
        <v>1.6871983667168997</v>
      </c>
      <c r="CI106" s="457" t="str">
        <f t="shared" si="168"/>
        <v>(4,4,4,3,1,5); Calculation: Tap water - wastewater treated OR 10% of tap water</v>
      </c>
      <c r="CJ106" s="435">
        <f>0.1*CJ58</f>
        <v>6.6518140010219676E-2</v>
      </c>
      <c r="CK106" s="95">
        <v>1</v>
      </c>
      <c r="CL106" s="96">
        <f t="shared" si="206"/>
        <v>1.6871983667168997</v>
      </c>
      <c r="CM106" s="437" t="str">
        <f t="shared" si="207"/>
        <v>(4,4,4,3,1,5); Calculation: Tap water - wastewater treated OR 10% of tap water</v>
      </c>
      <c r="CN106" s="435">
        <v>0</v>
      </c>
      <c r="CO106" s="95">
        <v>1</v>
      </c>
      <c r="CP106" s="96">
        <f t="shared" si="208"/>
        <v>1.5</v>
      </c>
      <c r="CQ106" s="457" t="str">
        <f t="shared" si="209"/>
        <v xml:space="preserve">(na,na,na,na,na,na); </v>
      </c>
      <c r="CR106" s="435">
        <v>0</v>
      </c>
      <c r="CS106" s="95">
        <v>1</v>
      </c>
      <c r="CT106" s="96">
        <f t="shared" si="210"/>
        <v>1.5</v>
      </c>
      <c r="CU106" s="432" t="str">
        <f t="shared" si="211"/>
        <v xml:space="preserve">(na,na,na,na,na,na); </v>
      </c>
      <c r="CV106" s="399"/>
      <c r="CW106" s="435"/>
      <c r="CX106" s="435"/>
      <c r="CY106" s="435"/>
      <c r="CZ106" s="435"/>
      <c r="DA106" s="692" t="s">
        <v>1231</v>
      </c>
      <c r="DB106" s="83">
        <v>4</v>
      </c>
      <c r="DC106" s="83">
        <v>4</v>
      </c>
      <c r="DD106" s="83">
        <v>4</v>
      </c>
      <c r="DE106" s="83">
        <v>3</v>
      </c>
      <c r="DF106" s="83">
        <v>1</v>
      </c>
      <c r="DG106" s="83">
        <v>5</v>
      </c>
      <c r="DH106" s="104">
        <v>31</v>
      </c>
      <c r="DI106" s="104">
        <v>1.5</v>
      </c>
      <c r="DJ106" s="107">
        <f t="shared" si="212"/>
        <v>1.3915993050235766</v>
      </c>
      <c r="DK106" s="107">
        <f t="shared" si="213"/>
        <v>1.6871983667168997</v>
      </c>
      <c r="DL106" s="107" t="str">
        <f t="shared" si="214"/>
        <v>(4,4,4,3,1,5)</v>
      </c>
      <c r="DM106" s="108">
        <v>1.2</v>
      </c>
      <c r="DN106" s="108">
        <v>1.1000000000000001</v>
      </c>
      <c r="DO106" s="108">
        <v>1.2</v>
      </c>
      <c r="DP106" s="108">
        <v>1.02</v>
      </c>
      <c r="DQ106" s="108">
        <v>1</v>
      </c>
      <c r="DR106" s="108">
        <v>1.2</v>
      </c>
      <c r="DS106" s="399"/>
      <c r="DT106" s="692"/>
      <c r="DU106" s="83" t="s">
        <v>106</v>
      </c>
      <c r="DV106" s="83" t="s">
        <v>106</v>
      </c>
      <c r="DW106" s="83" t="s">
        <v>106</v>
      </c>
      <c r="DX106" s="83" t="s">
        <v>106</v>
      </c>
      <c r="DY106" s="83" t="s">
        <v>106</v>
      </c>
      <c r="DZ106" s="83" t="s">
        <v>106</v>
      </c>
      <c r="EA106" s="104">
        <v>31</v>
      </c>
      <c r="EB106" s="104">
        <v>1.5</v>
      </c>
      <c r="EC106" s="107">
        <f t="shared" si="215"/>
        <v>1</v>
      </c>
      <c r="ED106" s="107">
        <f t="shared" si="216"/>
        <v>1.5</v>
      </c>
      <c r="EE106" s="107" t="str">
        <f t="shared" si="217"/>
        <v>(na,na,na,na,na,na)</v>
      </c>
      <c r="EF106" s="108">
        <v>1</v>
      </c>
      <c r="EG106" s="108">
        <v>1</v>
      </c>
      <c r="EH106" s="108">
        <v>1</v>
      </c>
      <c r="EI106" s="108">
        <v>1</v>
      </c>
      <c r="EJ106" s="108">
        <v>1</v>
      </c>
      <c r="EK106" s="108">
        <v>1</v>
      </c>
    </row>
    <row r="107" spans="1:141" s="179" customFormat="1"/>
    <row r="108" spans="1:141" s="179" customFormat="1"/>
    <row r="109" spans="1:141" s="179" customFormat="1">
      <c r="F109" s="701" t="s">
        <v>1232</v>
      </c>
    </row>
    <row r="110" spans="1:141" s="179" customFormat="1" ht="13.5" customHeight="1">
      <c r="F110" s="702" t="s">
        <v>1233</v>
      </c>
      <c r="G110" s="702"/>
      <c r="H110" s="702"/>
      <c r="I110" s="702"/>
      <c r="J110" s="702"/>
      <c r="K110" s="702" t="s">
        <v>1234</v>
      </c>
      <c r="L110" s="703">
        <v>0.93703512880562101</v>
      </c>
    </row>
    <row r="111" spans="1:141" s="179" customFormat="1" ht="13.5" customHeight="1">
      <c r="F111" s="702" t="s">
        <v>1235</v>
      </c>
      <c r="G111" s="702"/>
      <c r="H111" s="702"/>
      <c r="I111" s="702"/>
      <c r="J111" s="702"/>
      <c r="K111" s="702" t="s">
        <v>1234</v>
      </c>
      <c r="L111" s="703">
        <v>0.95533311475409799</v>
      </c>
    </row>
    <row r="112" spans="1:141" s="179" customFormat="1" ht="13.5" customHeight="1">
      <c r="F112" s="702" t="s">
        <v>1236</v>
      </c>
      <c r="G112" s="702"/>
      <c r="H112" s="702"/>
      <c r="I112" s="702"/>
      <c r="J112" s="702"/>
      <c r="K112" s="702" t="s">
        <v>1234</v>
      </c>
      <c r="L112" s="703">
        <v>0.92492340884573898</v>
      </c>
      <c r="CV112" s="326" t="s">
        <v>564</v>
      </c>
      <c r="CW112" s="277"/>
      <c r="CX112" s="277"/>
      <c r="CY112" s="277"/>
      <c r="CZ112" s="277"/>
      <c r="DA112" s="277"/>
      <c r="DB112" s="277"/>
    </row>
    <row r="113" spans="6:106" s="179" customFormat="1" ht="13.5" customHeight="1">
      <c r="F113" s="702" t="s">
        <v>1237</v>
      </c>
      <c r="G113" s="702"/>
      <c r="H113" s="702"/>
      <c r="I113" s="702"/>
      <c r="J113" s="702"/>
      <c r="K113" s="702" t="s">
        <v>1234</v>
      </c>
      <c r="L113" s="703">
        <v>0.95227522935779796</v>
      </c>
      <c r="CV113" s="320" t="s">
        <v>874</v>
      </c>
      <c r="CW113" s="321">
        <v>1.7216393442622999E-4</v>
      </c>
      <c r="CX113" s="321">
        <v>1.89892271662764E-4</v>
      </c>
      <c r="CY113" s="320">
        <v>1.1475229357798199E-4</v>
      </c>
      <c r="CZ113" s="320">
        <v>2.4856957928802599E-4</v>
      </c>
      <c r="DA113" s="321" t="s">
        <v>538</v>
      </c>
      <c r="DB113" s="259" t="s">
        <v>462</v>
      </c>
    </row>
    <row r="114" spans="6:106" s="179" customFormat="1" ht="13.5" customHeight="1">
      <c r="F114" s="702" t="s">
        <v>1238</v>
      </c>
      <c r="G114" s="702"/>
      <c r="H114" s="702"/>
      <c r="I114" s="702"/>
      <c r="J114" s="702"/>
      <c r="K114" s="702" t="s">
        <v>1239</v>
      </c>
      <c r="L114" s="703">
        <v>0.33653667896679001</v>
      </c>
      <c r="CV114" s="320"/>
      <c r="CW114" s="321"/>
      <c r="CX114" s="321"/>
      <c r="CY114" s="320"/>
      <c r="CZ114" s="320"/>
      <c r="DA114" s="321"/>
      <c r="DB114" s="259"/>
    </row>
    <row r="115" spans="6:106" s="179" customFormat="1">
      <c r="F115" s="702" t="s">
        <v>1240</v>
      </c>
      <c r="G115" s="702"/>
      <c r="H115" s="702"/>
      <c r="I115" s="702"/>
      <c r="J115" s="702"/>
      <c r="K115" s="702" t="s">
        <v>1239</v>
      </c>
      <c r="L115" s="703">
        <v>0.33006921278317197</v>
      </c>
      <c r="CV115" s="320"/>
      <c r="CW115" s="321"/>
      <c r="CX115" s="321"/>
      <c r="CY115" s="702"/>
      <c r="CZ115" s="320"/>
      <c r="DA115" s="321"/>
      <c r="DB115" s="259"/>
    </row>
    <row r="116" spans="6:106" s="179" customFormat="1">
      <c r="F116" s="702" t="s">
        <v>1241</v>
      </c>
      <c r="G116" s="702"/>
      <c r="H116" s="702"/>
      <c r="I116" s="702"/>
      <c r="J116" s="702"/>
      <c r="K116" s="702" t="s">
        <v>1239</v>
      </c>
      <c r="L116" s="703">
        <v>0.33330294587498099</v>
      </c>
      <c r="CV116" s="320"/>
      <c r="CW116" s="321"/>
      <c r="CX116" s="321"/>
      <c r="CY116" s="702"/>
      <c r="CZ116" s="320"/>
      <c r="DA116" s="321"/>
      <c r="DB116" s="259"/>
    </row>
    <row r="117" spans="6:106" s="179" customFormat="1">
      <c r="F117" s="702" t="s">
        <v>1242</v>
      </c>
      <c r="G117" s="702"/>
      <c r="H117" s="702"/>
      <c r="I117" s="702"/>
      <c r="J117" s="702"/>
      <c r="K117" s="702" t="s">
        <v>1239</v>
      </c>
      <c r="L117" s="703">
        <v>0.31806600000000002</v>
      </c>
      <c r="CV117" s="320"/>
      <c r="CW117" s="321"/>
      <c r="CX117" s="321"/>
      <c r="CY117" s="702"/>
      <c r="CZ117" s="320"/>
      <c r="DA117" s="321"/>
      <c r="DB117" s="259"/>
    </row>
    <row r="118" spans="6:106" s="179" customFormat="1">
      <c r="F118" s="702" t="s">
        <v>1243</v>
      </c>
      <c r="G118" s="702"/>
      <c r="H118" s="702"/>
      <c r="I118" s="702"/>
      <c r="J118" s="702"/>
      <c r="K118" s="702" t="s">
        <v>1244</v>
      </c>
      <c r="L118" s="703">
        <f>SUM(L29:L35)*$L$116+SUM(L36:L47)</f>
        <v>11.410670514741566</v>
      </c>
      <c r="M118" s="512"/>
      <c r="N118" s="512"/>
      <c r="O118" s="512"/>
      <c r="P118" s="703">
        <f>SUM(P29:P35)*$L$116+SUM(P36:P47)</f>
        <v>11.223294547741963</v>
      </c>
      <c r="Q118" s="702"/>
      <c r="R118" s="702"/>
      <c r="S118" s="702"/>
      <c r="T118" s="703">
        <f>SUM(T29:T35)*$L$116+SUM(T36:T47)</f>
        <v>12.236943417516182</v>
      </c>
      <c r="U118" s="702"/>
      <c r="V118" s="702"/>
      <c r="W118" s="702"/>
      <c r="X118" s="703">
        <f>SUM(X29:X35)*$L$116+SUM(X36:X47)</f>
        <v>12.746451505617648</v>
      </c>
      <c r="Y118" s="702"/>
      <c r="Z118" s="702"/>
      <c r="AA118" s="702"/>
      <c r="AB118" s="703">
        <f>SUM(AB29:AB35)*$L$116+SUM(AB36:AB47)</f>
        <v>11.660917525035126</v>
      </c>
      <c r="AC118" s="702"/>
      <c r="AD118" s="702"/>
      <c r="AE118" s="702"/>
      <c r="AF118" s="703">
        <f>SUM(AF29:AF35)*$L$116+SUM(AF36:AF47)</f>
        <v>11.410670514741566</v>
      </c>
      <c r="AG118" s="702"/>
      <c r="AH118" s="702"/>
      <c r="AI118" s="702"/>
      <c r="AJ118" s="703">
        <f>SUM(AJ29:AJ35)*$L$116+SUM(AJ36:AJ47)</f>
        <v>11.223294547741963</v>
      </c>
      <c r="AK118" s="702"/>
      <c r="AL118" s="702"/>
      <c r="AM118" s="702"/>
      <c r="AN118" s="703">
        <f>SUM(AN29:AN35)*$L$116+SUM(AN36:AN47)</f>
        <v>12.236943417516182</v>
      </c>
      <c r="AO118" s="702"/>
      <c r="AP118" s="702"/>
      <c r="AQ118" s="702"/>
      <c r="AR118" s="703">
        <f>SUM(AR29:AR35)*$L$116+SUM(AR36:AR47)</f>
        <v>12.746451505617648</v>
      </c>
      <c r="AS118" s="702"/>
      <c r="AT118" s="702"/>
      <c r="AU118" s="702"/>
      <c r="AV118" s="703">
        <f>SUM(AV29:AV35)*$L$116+SUM(AV36:AV47)</f>
        <v>11.660917525035126</v>
      </c>
      <c r="AW118" s="702"/>
      <c r="AX118" s="702"/>
      <c r="AY118" s="702"/>
      <c r="AZ118" s="703">
        <f>SUM(AZ29:AZ35)*$L$116+SUM(AZ36:AZ47)</f>
        <v>11.410670514741566</v>
      </c>
      <c r="BA118" s="702"/>
      <c r="BB118" s="702"/>
      <c r="BC118" s="702"/>
      <c r="BD118" s="703">
        <f>SUM(BD29:BD35)*$L$116+SUM(BD36:BD47)</f>
        <v>11.223294547741963</v>
      </c>
      <c r="BE118" s="702"/>
      <c r="BF118" s="702"/>
      <c r="BG118" s="702"/>
      <c r="BH118" s="703">
        <f>SUM(BH29:BH35)*$L$116+SUM(BH36:BH47)</f>
        <v>12.236943417516182</v>
      </c>
      <c r="BI118" s="702"/>
      <c r="BJ118" s="702"/>
      <c r="BK118" s="702"/>
      <c r="BL118" s="703">
        <f>SUM(BL29:BL35)*$L$116+SUM(BL36:BL47)</f>
        <v>12.746451505617648</v>
      </c>
      <c r="BM118" s="702"/>
      <c r="BN118" s="702"/>
      <c r="BO118" s="702"/>
      <c r="BP118" s="703">
        <f>SUM(BP29:BP35)*$L$116+SUM(BP36:BP47)</f>
        <v>11.660917525035126</v>
      </c>
      <c r="BQ118" s="702"/>
      <c r="BR118" s="702"/>
      <c r="BS118" s="702"/>
      <c r="BT118" s="703">
        <f>SUM(BT29:BT35)*$L$116+SUM(BT36:BT47)</f>
        <v>11.410670514741566</v>
      </c>
      <c r="BU118" s="702"/>
      <c r="BV118" s="702"/>
      <c r="BW118" s="702"/>
      <c r="BX118" s="703">
        <f>SUM(BX29:BX35)*$L$116+SUM(BX36:BX47)</f>
        <v>11.223294547741963</v>
      </c>
      <c r="BY118" s="702"/>
      <c r="BZ118" s="702"/>
      <c r="CA118" s="702"/>
      <c r="CB118" s="703">
        <f>SUM(CB29:CB35)*$L$116+SUM(CB36:CB47)</f>
        <v>12.236943417516182</v>
      </c>
      <c r="CC118" s="702"/>
      <c r="CD118" s="702"/>
      <c r="CE118" s="702"/>
      <c r="CF118" s="703">
        <f>SUM(CF29:CF35)*$L$116+SUM(CF36:CF47)</f>
        <v>12.746451505617648</v>
      </c>
      <c r="CG118" s="702"/>
      <c r="CH118" s="702"/>
      <c r="CI118" s="702"/>
      <c r="CJ118" s="703">
        <f>SUM(CJ29:CJ35)*$L$116+SUM(CJ36:CJ47)</f>
        <v>11.660917525035126</v>
      </c>
      <c r="CK118" s="702"/>
      <c r="CL118" s="702"/>
      <c r="CM118" s="702"/>
      <c r="CN118" s="703">
        <f>SUM(CN29:CN35)*$L$117+SUM(CN36:CN47)</f>
        <v>11.657391314000002</v>
      </c>
      <c r="CO118" s="702"/>
      <c r="CP118" s="702"/>
      <c r="CQ118" s="702"/>
      <c r="CR118" s="703">
        <f>SUM(CR29:CR35)*$L$117+SUM(CR36:CR47)</f>
        <v>11.657391314000002</v>
      </c>
      <c r="CV118" s="320"/>
      <c r="CW118" s="321"/>
      <c r="CX118" s="321"/>
      <c r="CY118" s="702"/>
      <c r="CZ118" s="320"/>
      <c r="DA118" s="321"/>
      <c r="DB118" s="259"/>
    </row>
    <row r="119" spans="6:106" s="179" customFormat="1">
      <c r="L119" s="347"/>
      <c r="CV119" s="320"/>
      <c r="CW119" s="321"/>
      <c r="CX119" s="321"/>
      <c r="CY119" s="702"/>
      <c r="CZ119" s="320"/>
      <c r="DA119" s="321"/>
      <c r="DB119" s="259"/>
    </row>
    <row r="120" spans="6:106" s="179" customFormat="1">
      <c r="F120" s="319"/>
      <c r="CV120" s="322" t="s">
        <v>875</v>
      </c>
      <c r="CW120" s="322">
        <v>76341</v>
      </c>
      <c r="CX120" s="322">
        <v>76341</v>
      </c>
      <c r="CY120" s="322">
        <v>76341</v>
      </c>
      <c r="CZ120" s="322">
        <v>76341</v>
      </c>
      <c r="DA120" s="321" t="s">
        <v>538</v>
      </c>
      <c r="DB120" s="259" t="s">
        <v>469</v>
      </c>
    </row>
    <row r="121" spans="6:106" s="179" customFormat="1" ht="24">
      <c r="F121" s="371" t="s">
        <v>544</v>
      </c>
      <c r="G121" s="353" t="s">
        <v>545</v>
      </c>
      <c r="H121" s="353"/>
      <c r="I121" s="353"/>
      <c r="J121" s="353"/>
      <c r="CV121" s="322" t="s">
        <v>1245</v>
      </c>
      <c r="CW121" s="322">
        <v>3.2700000000000001E-10</v>
      </c>
      <c r="CX121" s="322">
        <v>3.2700000000000001E-10</v>
      </c>
      <c r="CY121" s="322">
        <v>3.2700000000000001E-10</v>
      </c>
      <c r="CZ121" s="322">
        <v>3.2700000000000001E-10</v>
      </c>
      <c r="DA121" s="321" t="s">
        <v>144</v>
      </c>
      <c r="DB121" s="259" t="s">
        <v>469</v>
      </c>
    </row>
    <row r="122" spans="6:106" s="179" customFormat="1">
      <c r="F122" s="355"/>
      <c r="G122" s="353"/>
      <c r="H122" s="353"/>
      <c r="I122" s="353"/>
      <c r="J122" s="353"/>
      <c r="CV122" s="322" t="s">
        <v>876</v>
      </c>
      <c r="CW122" s="348">
        <f>$CY$120*$CY$121/($CY$120*$CY$121+$CY$126*$CY$127)</f>
        <v>0.23601498284163472</v>
      </c>
      <c r="CX122" s="348">
        <f>$CY$120*$CY$121/($CY$120*$CY$121+$CY$126*$CY$127)</f>
        <v>0.23601498284163472</v>
      </c>
      <c r="CY122" s="348">
        <f>$CY$120*$CY$121/($CY$120*$CY$121+$CY$126*$CY$127)</f>
        <v>0.23601498284163472</v>
      </c>
      <c r="CZ122" s="348">
        <f>$CY$120*$CY$121/($CY$120*$CY$121+$CY$126*$CY$127)</f>
        <v>0.23601498284163472</v>
      </c>
      <c r="DA122" s="321"/>
      <c r="DB122" s="259" t="s">
        <v>543</v>
      </c>
    </row>
    <row r="123" spans="6:106" s="179" customFormat="1">
      <c r="F123" s="355"/>
      <c r="G123" s="353" t="s">
        <v>546</v>
      </c>
      <c r="H123" s="353"/>
      <c r="I123" s="353"/>
      <c r="J123" s="353" t="s">
        <v>547</v>
      </c>
      <c r="CV123" s="323" t="s">
        <v>877</v>
      </c>
      <c r="CW123" s="459">
        <f>CW122*CW113</f>
        <v>4.0633268029554994E-5</v>
      </c>
      <c r="CX123" s="459">
        <f>CX122*CX113</f>
        <v>4.4817421238246285E-5</v>
      </c>
      <c r="CY123" s="459">
        <f>CY122*CY113</f>
        <v>2.7083260599845649E-5</v>
      </c>
      <c r="CZ123" s="459">
        <f>CZ122*CZ113</f>
        <v>5.8666144990615817E-5</v>
      </c>
      <c r="DA123" s="321" t="s">
        <v>538</v>
      </c>
      <c r="DB123" s="259" t="s">
        <v>543</v>
      </c>
    </row>
    <row r="124" spans="6:106" s="179" customFormat="1">
      <c r="F124" s="355" t="s">
        <v>548</v>
      </c>
      <c r="G124" s="372">
        <v>0.01</v>
      </c>
      <c r="H124" s="372"/>
      <c r="I124" s="372"/>
      <c r="J124" s="372">
        <f t="shared" ref="J124:J129" si="226">G124/SUM($G$124:$G$129)</f>
        <v>0.10526315789473684</v>
      </c>
      <c r="CV124" s="324" t="s">
        <v>1020</v>
      </c>
      <c r="CW124" s="460">
        <f>CW123/CW120</f>
        <v>5.3226009653469289E-10</v>
      </c>
      <c r="CX124" s="460">
        <f>CX123/CX120</f>
        <v>5.8706882590280825E-10</v>
      </c>
      <c r="CY124" s="460">
        <f>CY123/CY120</f>
        <v>3.5476690899838421E-10</v>
      </c>
      <c r="CZ124" s="460">
        <f>CZ123/CZ120</f>
        <v>7.6847493470894823E-10</v>
      </c>
      <c r="DA124" s="321" t="s">
        <v>144</v>
      </c>
      <c r="DB124" s="259" t="s">
        <v>543</v>
      </c>
    </row>
    <row r="125" spans="6:106" s="179" customFormat="1">
      <c r="F125" s="320" t="s">
        <v>665</v>
      </c>
      <c r="G125" s="363">
        <v>1.4999999999999999E-2</v>
      </c>
      <c r="H125" s="129"/>
      <c r="I125" s="129"/>
      <c r="J125" s="372">
        <f t="shared" si="226"/>
        <v>0.15789473684210525</v>
      </c>
      <c r="CV125" s="324"/>
      <c r="CW125" s="702"/>
      <c r="CX125" s="702"/>
      <c r="CY125" s="702"/>
      <c r="CZ125" s="702"/>
      <c r="DA125" s="321"/>
      <c r="DB125" s="259"/>
    </row>
    <row r="126" spans="6:106" s="179" customFormat="1">
      <c r="F126" s="320" t="s">
        <v>666</v>
      </c>
      <c r="G126" s="363">
        <v>2.5000000000000001E-2</v>
      </c>
      <c r="H126" s="129"/>
      <c r="I126" s="129"/>
      <c r="J126" s="372">
        <f t="shared" si="226"/>
        <v>0.26315789473684209</v>
      </c>
      <c r="CV126" s="320" t="s">
        <v>1246</v>
      </c>
      <c r="CW126" s="322">
        <v>61685</v>
      </c>
      <c r="CX126" s="322">
        <v>61685</v>
      </c>
      <c r="CY126" s="322">
        <v>61685</v>
      </c>
      <c r="CZ126" s="322">
        <v>61685</v>
      </c>
      <c r="DA126" s="321" t="s">
        <v>538</v>
      </c>
      <c r="DB126" s="259" t="s">
        <v>541</v>
      </c>
    </row>
    <row r="127" spans="6:106" s="179" customFormat="1" ht="24" customHeight="1">
      <c r="F127" s="320" t="s">
        <v>1025</v>
      </c>
      <c r="G127" s="363">
        <v>5.0000000000000001E-3</v>
      </c>
      <c r="H127" s="129"/>
      <c r="I127" s="129"/>
      <c r="J127" s="372">
        <f t="shared" si="226"/>
        <v>5.2631578947368418E-2</v>
      </c>
      <c r="CV127" s="320" t="s">
        <v>1247</v>
      </c>
      <c r="CW127" s="322">
        <v>1.31E-9</v>
      </c>
      <c r="CX127" s="322">
        <v>1.31E-9</v>
      </c>
      <c r="CY127" s="322">
        <v>1.31E-9</v>
      </c>
      <c r="CZ127" s="322">
        <v>1.31E-9</v>
      </c>
      <c r="DA127" s="321" t="s">
        <v>144</v>
      </c>
      <c r="DB127" s="344" t="s">
        <v>541</v>
      </c>
    </row>
    <row r="128" spans="6:106" s="179" customFormat="1" ht="24" customHeight="1">
      <c r="F128" s="320" t="s">
        <v>1248</v>
      </c>
      <c r="G128" s="363">
        <v>7.0000000000000001E-3</v>
      </c>
      <c r="H128" s="129"/>
      <c r="I128" s="129"/>
      <c r="J128" s="372">
        <f t="shared" si="226"/>
        <v>7.3684210526315796E-2</v>
      </c>
      <c r="CV128" s="320" t="s">
        <v>1249</v>
      </c>
      <c r="CW128" s="363">
        <f>$CY$126*$CY$127/($CY$126*$CY$127+$CY$120*$CY$121)</f>
        <v>0.7639850171583652</v>
      </c>
      <c r="CX128" s="363">
        <f>$CY$126*$CY$127/($CY$126*$CY$127+$CY$120*$CY$121)</f>
        <v>0.7639850171583652</v>
      </c>
      <c r="CY128" s="363">
        <f>$CY$126*$CY$127/($CY$126*$CY$127+$CY$120*$CY$121)</f>
        <v>0.7639850171583652</v>
      </c>
      <c r="CZ128" s="363">
        <f>$CY$126*$CY$127/($CY$126*$CY$127+$CY$120*$CY$121)</f>
        <v>0.7639850171583652</v>
      </c>
      <c r="DA128" s="321"/>
      <c r="DB128" s="344"/>
    </row>
    <row r="129" spans="6:106" s="179" customFormat="1" ht="24" customHeight="1">
      <c r="F129" s="320" t="s">
        <v>1027</v>
      </c>
      <c r="G129" s="363">
        <v>3.3000000000000002E-2</v>
      </c>
      <c r="H129" s="129"/>
      <c r="I129" s="129"/>
      <c r="J129" s="372">
        <f t="shared" si="226"/>
        <v>0.3473684210526316</v>
      </c>
      <c r="CV129" s="325" t="s">
        <v>1250</v>
      </c>
      <c r="CW129" s="461">
        <f>CW128*CW113</f>
        <v>1.3153066639667499E-4</v>
      </c>
      <c r="CX129" s="461">
        <f>CX128*CX113</f>
        <v>1.450748504245177E-4</v>
      </c>
      <c r="CY129" s="461">
        <f>CY128*CY113</f>
        <v>8.7669032978136339E-5</v>
      </c>
      <c r="CZ129" s="461">
        <f>CZ128*CZ113</f>
        <v>1.8990343429741016E-4</v>
      </c>
      <c r="DA129" s="321" t="s">
        <v>538</v>
      </c>
      <c r="DB129" s="344"/>
    </row>
    <row r="130" spans="6:106" s="179" customFormat="1">
      <c r="CV130" s="324" t="s">
        <v>1251</v>
      </c>
      <c r="CW130" s="460">
        <f>CW129/CW126</f>
        <v>2.1322957995732349E-9</v>
      </c>
      <c r="CX130" s="460">
        <f>CX129/CX126</f>
        <v>2.3518659386320449E-9</v>
      </c>
      <c r="CY130" s="460">
        <f>CY129/CY126</f>
        <v>1.4212374641831295E-9</v>
      </c>
      <c r="CZ130" s="460">
        <f>CZ129/CZ126</f>
        <v>3.0785998913416578E-9</v>
      </c>
      <c r="DA130" s="322" t="s">
        <v>144</v>
      </c>
      <c r="DB130" s="344"/>
    </row>
    <row r="131" spans="6:106" s="179" customFormat="1">
      <c r="CV131" s="320"/>
      <c r="CW131" s="322"/>
      <c r="CX131" s="322"/>
      <c r="CY131" s="322"/>
      <c r="CZ131" s="322"/>
      <c r="DA131" s="321"/>
      <c r="DB131" s="344"/>
    </row>
    <row r="132" spans="6:106" s="179" customFormat="1">
      <c r="DB132" s="259" t="s">
        <v>543</v>
      </c>
    </row>
    <row r="133" spans="6:106" s="179" customFormat="1">
      <c r="DB133" s="259" t="s">
        <v>543</v>
      </c>
    </row>
    <row r="134" spans="6:106" s="179" customFormat="1">
      <c r="J134" s="373"/>
      <c r="DB134" s="345" t="s">
        <v>543</v>
      </c>
    </row>
    <row r="135" spans="6:106">
      <c r="AA135" s="582"/>
      <c r="AB135" s="583"/>
      <c r="AC135" s="582"/>
      <c r="AD135" s="582"/>
      <c r="AE135" s="582"/>
      <c r="AF135" s="583"/>
      <c r="AG135" s="582"/>
      <c r="AH135" s="582"/>
      <c r="AI135" s="582"/>
      <c r="AJ135" s="583"/>
      <c r="AK135" s="582"/>
      <c r="AL135" s="582"/>
      <c r="AM135" s="582"/>
      <c r="AN135" s="583"/>
      <c r="AO135" s="582"/>
      <c r="AP135" s="582"/>
      <c r="AQ135" s="582"/>
      <c r="AR135" s="583"/>
      <c r="AS135" s="582"/>
      <c r="AT135" s="582"/>
      <c r="AU135" s="582"/>
      <c r="AV135" s="583"/>
      <c r="AW135" s="582"/>
      <c r="AX135" s="582"/>
      <c r="AY135" s="582"/>
      <c r="AZ135" s="583"/>
      <c r="CV135" s="112"/>
    </row>
    <row r="136" spans="6:106">
      <c r="AA136" s="582"/>
      <c r="AB136" s="583"/>
      <c r="AC136" s="582"/>
      <c r="AD136" s="582"/>
      <c r="AE136" s="582"/>
      <c r="AF136" s="583"/>
      <c r="AG136" s="582"/>
      <c r="AH136" s="582"/>
      <c r="AI136" s="582"/>
      <c r="AJ136" s="583"/>
      <c r="AK136" s="582"/>
      <c r="AL136" s="582"/>
      <c r="AM136" s="582"/>
      <c r="AN136" s="583"/>
      <c r="AO136" s="582"/>
      <c r="AP136" s="582"/>
      <c r="AQ136" s="582"/>
      <c r="AR136" s="583"/>
      <c r="AS136" s="582"/>
      <c r="AT136" s="582"/>
      <c r="AU136" s="582"/>
      <c r="AV136" s="583"/>
      <c r="AW136" s="582"/>
      <c r="AX136" s="582"/>
      <c r="AY136" s="582"/>
      <c r="AZ136" s="583"/>
      <c r="CV136" s="112"/>
    </row>
    <row r="137" spans="6:106">
      <c r="AA137" s="582"/>
      <c r="AB137" s="583"/>
      <c r="AC137" s="582"/>
      <c r="AD137" s="582"/>
      <c r="AE137" s="582"/>
      <c r="AF137" s="583"/>
      <c r="AG137" s="582"/>
      <c r="AH137" s="582"/>
      <c r="AI137" s="582"/>
      <c r="AJ137" s="583"/>
      <c r="AK137" s="582"/>
      <c r="AL137" s="582"/>
      <c r="AM137" s="582"/>
      <c r="AN137" s="583"/>
      <c r="AO137" s="582"/>
      <c r="AP137" s="582"/>
      <c r="AQ137" s="582"/>
      <c r="AR137" s="583"/>
      <c r="AS137" s="582"/>
      <c r="AT137" s="582"/>
      <c r="AU137" s="582"/>
      <c r="AV137" s="583"/>
      <c r="AW137" s="582"/>
      <c r="AX137" s="582"/>
      <c r="AY137" s="582"/>
      <c r="AZ137" s="583"/>
      <c r="CV137" s="112"/>
    </row>
    <row r="138" spans="6:106">
      <c r="AA138" s="582"/>
      <c r="AB138" s="583"/>
      <c r="AC138" s="582"/>
      <c r="AD138" s="582"/>
      <c r="AE138" s="582"/>
      <c r="AF138" s="583"/>
      <c r="AG138" s="582"/>
      <c r="AH138" s="582"/>
      <c r="AI138" s="582"/>
      <c r="AJ138" s="583"/>
      <c r="AK138" s="582"/>
      <c r="AL138" s="582"/>
      <c r="AM138" s="582"/>
      <c r="AN138" s="583"/>
      <c r="AO138" s="582"/>
      <c r="AP138" s="582"/>
      <c r="AQ138" s="582"/>
      <c r="AR138" s="583"/>
      <c r="AS138" s="582"/>
      <c r="AT138" s="582"/>
      <c r="AU138" s="582"/>
      <c r="AV138" s="583"/>
      <c r="AW138" s="582"/>
      <c r="AX138" s="582"/>
      <c r="AY138" s="582"/>
      <c r="AZ138" s="583"/>
      <c r="CV138" s="112"/>
      <c r="CW138" s="399"/>
    </row>
    <row r="139" spans="6:106">
      <c r="AA139" s="582"/>
      <c r="AB139" s="583"/>
      <c r="AC139" s="582"/>
      <c r="AD139" s="582"/>
      <c r="AE139" s="582"/>
      <c r="AF139" s="583"/>
      <c r="AG139" s="582"/>
      <c r="AH139" s="582"/>
      <c r="AI139" s="582"/>
      <c r="AJ139" s="583"/>
      <c r="AK139" s="582"/>
      <c r="AL139" s="582"/>
      <c r="AM139" s="582"/>
      <c r="AN139" s="583"/>
      <c r="AO139" s="582"/>
      <c r="AP139" s="582"/>
      <c r="AQ139" s="582"/>
      <c r="AR139" s="583"/>
      <c r="AS139" s="582"/>
      <c r="AT139" s="582"/>
      <c r="AU139" s="582"/>
      <c r="AV139" s="583"/>
      <c r="AW139" s="582"/>
      <c r="AX139" s="582"/>
      <c r="AY139" s="582"/>
      <c r="AZ139" s="583"/>
    </row>
    <row r="140" spans="6:106">
      <c r="AA140" s="582"/>
      <c r="AB140" s="583"/>
      <c r="AC140" s="582"/>
      <c r="AD140" s="582"/>
      <c r="AE140" s="582"/>
      <c r="AF140" s="583"/>
      <c r="AG140" s="582"/>
      <c r="AH140" s="582"/>
      <c r="AI140" s="582"/>
      <c r="AJ140" s="583"/>
      <c r="AK140" s="582"/>
      <c r="AL140" s="582"/>
      <c r="AM140" s="582"/>
      <c r="AN140" s="583"/>
      <c r="AO140" s="582"/>
      <c r="AP140" s="582"/>
      <c r="AQ140" s="582"/>
      <c r="AR140" s="583"/>
      <c r="AS140" s="582"/>
      <c r="AT140" s="582"/>
      <c r="AU140" s="582"/>
      <c r="AV140" s="583"/>
      <c r="AW140" s="582"/>
      <c r="AX140" s="582"/>
      <c r="AY140" s="582"/>
      <c r="AZ140" s="583"/>
      <c r="CJ140" s="126">
        <f>7.6*1.6</f>
        <v>12.16</v>
      </c>
      <c r="CR140" s="126">
        <f>7.6*1.6</f>
        <v>12.16</v>
      </c>
    </row>
    <row r="141" spans="6:106">
      <c r="AA141" s="582"/>
      <c r="AB141" s="583"/>
      <c r="AC141" s="582"/>
      <c r="AD141" s="582"/>
      <c r="AE141" s="582"/>
      <c r="AF141" s="583"/>
      <c r="AG141" s="582"/>
      <c r="AH141" s="582"/>
      <c r="AI141" s="582"/>
      <c r="AJ141" s="583"/>
      <c r="AK141" s="582"/>
      <c r="AL141" s="582"/>
      <c r="AM141" s="582"/>
      <c r="AN141" s="583"/>
      <c r="AO141" s="582"/>
      <c r="AP141" s="582"/>
      <c r="AQ141" s="582"/>
      <c r="AR141" s="583"/>
      <c r="AS141" s="582"/>
      <c r="AT141" s="582"/>
      <c r="AU141" s="582"/>
      <c r="AV141" s="583"/>
      <c r="AW141" s="582"/>
      <c r="AX141" s="582"/>
      <c r="AY141" s="582"/>
      <c r="AZ141" s="583"/>
    </row>
    <row r="142" spans="6:106">
      <c r="AA142" s="582"/>
      <c r="AB142" s="583"/>
      <c r="AC142" s="582"/>
      <c r="AD142" s="582"/>
      <c r="AE142" s="582"/>
      <c r="AF142" s="583"/>
      <c r="AG142" s="582"/>
      <c r="AH142" s="582"/>
      <c r="AI142" s="582"/>
      <c r="AJ142" s="583"/>
      <c r="AK142" s="582"/>
      <c r="AL142" s="582"/>
      <c r="AM142" s="582"/>
      <c r="AN142" s="583"/>
      <c r="AO142" s="582"/>
      <c r="AP142" s="582"/>
      <c r="AQ142" s="582"/>
      <c r="AR142" s="583"/>
      <c r="AS142" s="582"/>
      <c r="AT142" s="582"/>
      <c r="AU142" s="582"/>
      <c r="AV142" s="583"/>
      <c r="AW142" s="582"/>
      <c r="AX142" s="582"/>
      <c r="AY142" s="582"/>
      <c r="AZ142" s="583"/>
    </row>
    <row r="143" spans="6:106">
      <c r="AA143" s="582"/>
      <c r="AB143" s="583"/>
      <c r="AC143" s="582"/>
      <c r="AD143" s="582"/>
      <c r="AE143" s="582"/>
      <c r="AF143" s="583"/>
      <c r="AG143" s="582"/>
      <c r="AH143" s="582"/>
      <c r="AI143" s="582"/>
      <c r="AJ143" s="583"/>
      <c r="AK143" s="582"/>
      <c r="AL143" s="582"/>
      <c r="AM143" s="582"/>
      <c r="AN143" s="583"/>
      <c r="AO143" s="582"/>
      <c r="AP143" s="582"/>
      <c r="AQ143" s="582"/>
      <c r="AR143" s="583"/>
      <c r="AS143" s="582"/>
      <c r="AT143" s="582"/>
      <c r="AU143" s="582"/>
      <c r="AV143" s="583"/>
      <c r="AW143" s="582"/>
      <c r="AX143" s="582"/>
      <c r="AY143" s="582"/>
      <c r="AZ143" s="583"/>
    </row>
    <row r="144" spans="6:106">
      <c r="AA144" s="582"/>
      <c r="AB144" s="583"/>
      <c r="AC144" s="582"/>
      <c r="AD144" s="582"/>
      <c r="AE144" s="582"/>
      <c r="AF144" s="583"/>
      <c r="AG144" s="582"/>
      <c r="AH144" s="582"/>
      <c r="AI144" s="582"/>
      <c r="AJ144" s="583"/>
      <c r="AK144" s="582"/>
      <c r="AL144" s="582"/>
      <c r="AM144" s="582"/>
      <c r="AN144" s="583"/>
      <c r="AO144" s="582"/>
      <c r="AP144" s="582"/>
      <c r="AQ144" s="582"/>
      <c r="AR144" s="583"/>
      <c r="AS144" s="582"/>
      <c r="AT144" s="582"/>
      <c r="AU144" s="582"/>
      <c r="AV144" s="583"/>
      <c r="AW144" s="582"/>
      <c r="AX144" s="582"/>
      <c r="AY144" s="582"/>
      <c r="AZ144" s="583"/>
    </row>
    <row r="145" spans="27:52">
      <c r="AA145" s="582"/>
      <c r="AB145" s="583"/>
      <c r="AC145" s="582"/>
      <c r="AD145" s="582"/>
      <c r="AE145" s="582"/>
      <c r="AF145" s="583"/>
      <c r="AG145" s="582"/>
      <c r="AH145" s="582"/>
      <c r="AI145" s="582"/>
      <c r="AJ145" s="583"/>
      <c r="AK145" s="582"/>
      <c r="AL145" s="582"/>
      <c r="AM145" s="582"/>
      <c r="AN145" s="583"/>
      <c r="AO145" s="582"/>
      <c r="AP145" s="582"/>
      <c r="AQ145" s="582"/>
      <c r="AR145" s="583"/>
      <c r="AS145" s="582"/>
      <c r="AT145" s="582"/>
      <c r="AU145" s="582"/>
      <c r="AV145" s="583"/>
      <c r="AW145" s="582"/>
      <c r="AX145" s="582"/>
      <c r="AY145" s="582"/>
      <c r="AZ145" s="583"/>
    </row>
    <row r="146" spans="27:52">
      <c r="AA146" s="582"/>
      <c r="AB146" s="583"/>
      <c r="AC146" s="582"/>
      <c r="AD146" s="582"/>
      <c r="AE146" s="582"/>
      <c r="AF146" s="583"/>
      <c r="AG146" s="582"/>
      <c r="AH146" s="582"/>
      <c r="AI146" s="582"/>
      <c r="AJ146" s="583"/>
      <c r="AK146" s="582"/>
      <c r="AL146" s="582"/>
      <c r="AM146" s="582"/>
      <c r="AN146" s="583"/>
      <c r="AO146" s="582"/>
      <c r="AP146" s="582"/>
      <c r="AQ146" s="582"/>
      <c r="AR146" s="583"/>
      <c r="AS146" s="582"/>
      <c r="AT146" s="582"/>
      <c r="AU146" s="582"/>
      <c r="AV146" s="583"/>
      <c r="AW146" s="582"/>
      <c r="AX146" s="582"/>
      <c r="AY146" s="582"/>
      <c r="AZ146" s="583"/>
    </row>
    <row r="147" spans="27:52">
      <c r="AA147" s="582"/>
      <c r="AB147" s="583"/>
      <c r="AC147" s="582"/>
      <c r="AD147" s="582"/>
      <c r="AE147" s="582"/>
      <c r="AF147" s="583"/>
      <c r="AG147" s="582"/>
      <c r="AH147" s="582"/>
      <c r="AI147" s="582"/>
      <c r="AJ147" s="583"/>
      <c r="AK147" s="582"/>
      <c r="AL147" s="582"/>
      <c r="AM147" s="582"/>
      <c r="AN147" s="583"/>
      <c r="AO147" s="582"/>
      <c r="AP147" s="582"/>
      <c r="AQ147" s="582"/>
      <c r="AR147" s="583"/>
      <c r="AS147" s="582"/>
      <c r="AT147" s="582"/>
      <c r="AU147" s="582"/>
      <c r="AV147" s="583"/>
      <c r="AW147" s="582"/>
      <c r="AX147" s="582"/>
      <c r="AY147" s="582"/>
      <c r="AZ147" s="583"/>
    </row>
    <row r="148" spans="27:52">
      <c r="AA148" s="582"/>
      <c r="AB148" s="583"/>
      <c r="AC148" s="582"/>
      <c r="AD148" s="582"/>
      <c r="AE148" s="582"/>
      <c r="AF148" s="583"/>
      <c r="AG148" s="582"/>
      <c r="AH148" s="582"/>
      <c r="AI148" s="582"/>
      <c r="AJ148" s="583"/>
      <c r="AK148" s="582"/>
      <c r="AL148" s="582"/>
      <c r="AM148" s="582"/>
      <c r="AN148" s="583"/>
      <c r="AO148" s="582"/>
      <c r="AP148" s="582"/>
      <c r="AQ148" s="582"/>
      <c r="AR148" s="583"/>
      <c r="AS148" s="582"/>
      <c r="AT148" s="582"/>
      <c r="AU148" s="582"/>
      <c r="AV148" s="583"/>
      <c r="AW148" s="582"/>
      <c r="AX148" s="582"/>
      <c r="AY148" s="582"/>
      <c r="AZ148" s="583"/>
    </row>
    <row r="149" spans="27:52">
      <c r="AA149" s="582"/>
      <c r="AB149" s="583"/>
      <c r="AC149" s="582"/>
      <c r="AD149" s="582"/>
      <c r="AE149" s="582"/>
      <c r="AF149" s="583"/>
      <c r="AG149" s="582"/>
      <c r="AH149" s="582"/>
      <c r="AI149" s="582"/>
      <c r="AJ149" s="583"/>
      <c r="AK149" s="582"/>
      <c r="AL149" s="582"/>
      <c r="AM149" s="582"/>
      <c r="AN149" s="583"/>
      <c r="AO149" s="582"/>
      <c r="AP149" s="582"/>
      <c r="AQ149" s="582"/>
      <c r="AR149" s="583"/>
      <c r="AS149" s="582"/>
      <c r="AT149" s="582"/>
      <c r="AU149" s="582"/>
      <c r="AV149" s="583"/>
      <c r="AW149" s="582"/>
      <c r="AX149" s="582"/>
      <c r="AY149" s="582"/>
      <c r="AZ149" s="583"/>
    </row>
    <row r="150" spans="27:52">
      <c r="AA150" s="582"/>
      <c r="AB150" s="583"/>
      <c r="AC150" s="582"/>
      <c r="AD150" s="582"/>
      <c r="AE150" s="582"/>
      <c r="AF150" s="583"/>
      <c r="AG150" s="582"/>
      <c r="AH150" s="582"/>
      <c r="AI150" s="582"/>
      <c r="AJ150" s="583"/>
      <c r="AK150" s="582"/>
      <c r="AL150" s="582"/>
      <c r="AM150" s="582"/>
      <c r="AN150" s="583"/>
      <c r="AO150" s="582"/>
      <c r="AP150" s="582"/>
      <c r="AQ150" s="582"/>
      <c r="AR150" s="583"/>
      <c r="AS150" s="582"/>
      <c r="AT150" s="582"/>
      <c r="AU150" s="582"/>
      <c r="AV150" s="583"/>
      <c r="AW150" s="582"/>
      <c r="AX150" s="582"/>
      <c r="AY150" s="582"/>
      <c r="AZ150" s="583"/>
    </row>
    <row r="151" spans="27:52">
      <c r="AA151" s="582"/>
      <c r="AB151" s="583"/>
      <c r="AC151" s="582"/>
      <c r="AD151" s="582"/>
      <c r="AE151" s="582"/>
      <c r="AF151" s="583"/>
      <c r="AG151" s="582"/>
      <c r="AH151" s="582"/>
      <c r="AI151" s="582"/>
      <c r="AJ151" s="583"/>
      <c r="AK151" s="582"/>
      <c r="AL151" s="582"/>
      <c r="AM151" s="582"/>
      <c r="AN151" s="583"/>
      <c r="AO151" s="582"/>
      <c r="AP151" s="582"/>
      <c r="AQ151" s="582"/>
      <c r="AR151" s="583"/>
      <c r="AS151" s="582"/>
      <c r="AT151" s="582"/>
      <c r="AU151" s="582"/>
      <c r="AV151" s="583"/>
      <c r="AW151" s="582"/>
      <c r="AX151" s="582"/>
      <c r="AY151" s="582"/>
      <c r="AZ151" s="583"/>
    </row>
    <row r="152" spans="27:52">
      <c r="AA152" s="582"/>
      <c r="AB152" s="583"/>
      <c r="AC152" s="582"/>
      <c r="AD152" s="582"/>
      <c r="AE152" s="582"/>
      <c r="AF152" s="583"/>
      <c r="AG152" s="582"/>
      <c r="AH152" s="582"/>
      <c r="AI152" s="582"/>
      <c r="AJ152" s="583"/>
      <c r="AK152" s="582"/>
      <c r="AL152" s="582"/>
      <c r="AM152" s="582"/>
      <c r="AN152" s="583"/>
      <c r="AO152" s="582"/>
      <c r="AP152" s="582"/>
      <c r="AQ152" s="582"/>
      <c r="AR152" s="583"/>
      <c r="AS152" s="582"/>
      <c r="AT152" s="582"/>
      <c r="AU152" s="582"/>
      <c r="AV152" s="583"/>
      <c r="AW152" s="582"/>
      <c r="AX152" s="582"/>
      <c r="AY152" s="582"/>
      <c r="AZ152" s="583"/>
    </row>
  </sheetData>
  <mergeCells count="2">
    <mergeCell ref="DB1:DG1"/>
    <mergeCell ref="DU1:DZ1"/>
  </mergeCells>
  <conditionalFormatting sqref="AC70:AC71 BY71 CK71 AC77 AW77">
    <cfRule type="expression" dxfId="283" priority="100">
      <formula>MOD(ROW(),2)=0</formula>
    </cfRule>
  </conditionalFormatting>
  <conditionalFormatting sqref="AF70:AF71">
    <cfRule type="expression" dxfId="282" priority="14">
      <formula>MOD(ROW(),2)=0</formula>
    </cfRule>
  </conditionalFormatting>
  <conditionalFormatting sqref="AF77:AF78">
    <cfRule type="expression" dxfId="281" priority="46">
      <formula>MOD(ROW(),2)=0</formula>
    </cfRule>
  </conditionalFormatting>
  <conditionalFormatting sqref="AJ68:AJ71">
    <cfRule type="expression" dxfId="280" priority="13">
      <formula>MOD(ROW(),2)=0</formula>
    </cfRule>
  </conditionalFormatting>
  <conditionalFormatting sqref="AJ77:AJ78">
    <cfRule type="expression" dxfId="279" priority="45">
      <formula>MOD(ROW(),2)=0</formula>
    </cfRule>
  </conditionalFormatting>
  <conditionalFormatting sqref="AJ80">
    <cfRule type="expression" dxfId="278" priority="9">
      <formula>MOD(ROW(),2)=0</formula>
    </cfRule>
  </conditionalFormatting>
  <conditionalFormatting sqref="AK68:AK69 AO68:AO69 AS68:AS69 BE68:BE69 BI68:BI69 BM68:BM69 CK68:CK69 CN68:CQ69 CS68:CU69 CR68:CR70">
    <cfRule type="expression" dxfId="277" priority="99">
      <formula>MOD(ROW(),2)=0</formula>
    </cfRule>
  </conditionalFormatting>
  <conditionalFormatting sqref="AK77">
    <cfRule type="expression" dxfId="276" priority="86">
      <formula>MOD(ROW(),2)=0</formula>
    </cfRule>
  </conditionalFormatting>
  <conditionalFormatting sqref="AN68:AN71">
    <cfRule type="expression" dxfId="275" priority="12">
      <formula>MOD(ROW(),2)=0</formula>
    </cfRule>
  </conditionalFormatting>
  <conditionalFormatting sqref="AN77:AN78 AR77:AR78">
    <cfRule type="expression" dxfId="274" priority="44">
      <formula>MOD(ROW(),2)=0</formula>
    </cfRule>
  </conditionalFormatting>
  <conditionalFormatting sqref="AO77 AS77">
    <cfRule type="expression" dxfId="273" priority="84">
      <formula>MOD(ROW(),2)=0</formula>
    </cfRule>
  </conditionalFormatting>
  <conditionalFormatting sqref="AR68:AR71">
    <cfRule type="expression" dxfId="272" priority="11">
      <formula>MOD(ROW(),2)=0</formula>
    </cfRule>
  </conditionalFormatting>
  <conditionalFormatting sqref="AR81:AR82">
    <cfRule type="expression" dxfId="271" priority="87">
      <formula>MOD(ROW(),2)=0</formula>
    </cfRule>
  </conditionalFormatting>
  <conditionalFormatting sqref="AV77:AV78">
    <cfRule type="expression" dxfId="270" priority="83">
      <formula>MOD(ROW(),2)=0</formula>
    </cfRule>
  </conditionalFormatting>
  <conditionalFormatting sqref="AZ33 BD33 BH33 BL33 BP33 BD35 BH35 BL35 BP35:BP37 AV48:AW50 CJ68:CJ70 CL105:CU106">
    <cfRule type="expression" dxfId="269" priority="88">
      <formula>MOD(ROW(),2)=0</formula>
    </cfRule>
  </conditionalFormatting>
  <conditionalFormatting sqref="AZ35:AZ59 BA36:BA59 BP38:BQ71 AW43:AW47 AV43:AV62 AW51:AW62 AJ54:AK67 AN54:AO67 AR54:AS67 CJ54:CK67 AB54:AC69 BR54:CI76 AD54:AE106 AH54:AI106 AL54:AM106 AP54:AQ106 AT54:AU106 AZ60:BA71 AV63:AW106 AB70 CN70:CU104 BD70:BE106 BH70:BI106 BP72:BP80 AF72:AG106 AN72:AO106 AR72:AS106 D77:AC106 AZ77:BA106 BL77:BM106 BP77:CK106 AK79:AK85 AJ81:AK106">
    <cfRule type="expression" dxfId="268" priority="15">
      <formula>MOD(ROW(),2)=0</formula>
    </cfRule>
  </conditionalFormatting>
  <conditionalFormatting sqref="AZ72:AZ78">
    <cfRule type="expression" dxfId="267" priority="18">
      <formula>MOD(ROW(),2)=0</formula>
    </cfRule>
  </conditionalFormatting>
  <conditionalFormatting sqref="AZ29:BA35 BP29:BQ35 AV29:AW42 AB29:AE53 AH29:AU53 BR29:CK53 BD29:BE67 BH29:BI67 BL29:BM67 CN29:CU67 AF29:AG70 D29:AA76 CL29:CM104 AX29:AY106 BB29:BC106 BF29:BG106 BJ29:BK106 BN29:BO106 CW29:DG106 DT29:DZ106 CM33:CM106 AB77:AB78">
    <cfRule type="expression" dxfId="266" priority="90">
      <formula>MOD(ROW(),2)=0</formula>
    </cfRule>
  </conditionalFormatting>
  <conditionalFormatting sqref="BA72:BA76">
    <cfRule type="expression" dxfId="265" priority="76">
      <formula>MOD(ROW(),2)=0</formula>
    </cfRule>
  </conditionalFormatting>
  <conditionalFormatting sqref="BD68:BD78 BH68:BH78 BL68:BL78 AJ70:AK70 AN70:AO70 AR70:AS70 CJ70:CK76 AG71 AK71 AO71 AS71 AB71:AC76 BM71:BM76 BQ71:BQ77 AJ72:AK79">
    <cfRule type="expression" dxfId="264" priority="89">
      <formula>MOD(ROW(),2)=0</formula>
    </cfRule>
  </conditionalFormatting>
  <conditionalFormatting sqref="BI71">
    <cfRule type="expression" dxfId="263" priority="80">
      <formula>MOD(ROW(),2)=0</formula>
    </cfRule>
  </conditionalFormatting>
  <conditionalFormatting sqref="BL70:BM71">
    <cfRule type="expression" dxfId="262" priority="81">
      <formula>MOD(ROW(),2)=0</formula>
    </cfRule>
  </conditionalFormatting>
  <conditionalFormatting sqref="BQ36:BQ37">
    <cfRule type="expression" dxfId="261" priority="50">
      <formula>MOD(ROW(),2)=0</formula>
    </cfRule>
  </conditionalFormatting>
  <conditionalFormatting sqref="BT70:BT71">
    <cfRule type="expression" dxfId="260" priority="95">
      <formula>MOD(ROW(),2)=0</formula>
    </cfRule>
  </conditionalFormatting>
  <conditionalFormatting sqref="BT78">
    <cfRule type="expression" dxfId="259" priority="94">
      <formula>MOD(ROW(),2)=0</formula>
    </cfRule>
  </conditionalFormatting>
  <conditionalFormatting sqref="BU71 CC71 CG71">
    <cfRule type="expression" dxfId="258" priority="98">
      <formula>MOD(ROW(),2)=0</formula>
    </cfRule>
  </conditionalFormatting>
  <conditionalFormatting sqref="BU79:BU80">
    <cfRule type="expression" dxfId="257" priority="35">
      <formula>MOD(ROW(),2)=0</formula>
    </cfRule>
  </conditionalFormatting>
  <conditionalFormatting sqref="BX70:BX71">
    <cfRule type="expression" dxfId="256" priority="93">
      <formula>MOD(ROW(),2)=0</formula>
    </cfRule>
  </conditionalFormatting>
  <conditionalFormatting sqref="BX78">
    <cfRule type="expression" dxfId="255" priority="38">
      <formula>MOD(ROW(),2)=0</formula>
    </cfRule>
  </conditionalFormatting>
  <conditionalFormatting sqref="BY79:BY80">
    <cfRule type="expression" dxfId="254" priority="34">
      <formula>MOD(ROW(),2)=0</formula>
    </cfRule>
  </conditionalFormatting>
  <conditionalFormatting sqref="CB70:CB71">
    <cfRule type="expression" dxfId="253" priority="96">
      <formula>MOD(ROW(),2)=0</formula>
    </cfRule>
  </conditionalFormatting>
  <conditionalFormatting sqref="CB78">
    <cfRule type="expression" dxfId="252" priority="37">
      <formula>MOD(ROW(),2)=0</formula>
    </cfRule>
  </conditionalFormatting>
  <conditionalFormatting sqref="CB80 CF80 CN80">
    <cfRule type="expression" dxfId="251" priority="92">
      <formula>MOD(ROW(),2)=0</formula>
    </cfRule>
  </conditionalFormatting>
  <conditionalFormatting sqref="CC79:CC80">
    <cfRule type="expression" dxfId="250" priority="33">
      <formula>MOD(ROW(),2)=0</formula>
    </cfRule>
  </conditionalFormatting>
  <conditionalFormatting sqref="CF70:CF71">
    <cfRule type="expression" dxfId="249" priority="51">
      <formula>MOD(ROW(),2)=0</formula>
    </cfRule>
  </conditionalFormatting>
  <conditionalFormatting sqref="CF78">
    <cfRule type="expression" dxfId="248" priority="36">
      <formula>MOD(ROW(),2)=0</formula>
    </cfRule>
  </conditionalFormatting>
  <conditionalFormatting sqref="CJ78">
    <cfRule type="expression" dxfId="247" priority="97">
      <formula>MOD(ROW(),2)=0</formula>
    </cfRule>
  </conditionalFormatting>
  <conditionalFormatting sqref="CN70:CN71">
    <cfRule type="expression" dxfId="246" priority="22">
      <formula>MOD(ROW(),2)=0</formula>
    </cfRule>
  </conditionalFormatting>
  <conditionalFormatting sqref="CN77:CN78">
    <cfRule type="expression" dxfId="245" priority="21">
      <formula>MOD(ROW(),2)=0</formula>
    </cfRule>
  </conditionalFormatting>
  <conditionalFormatting sqref="CO71:CQ71">
    <cfRule type="expression" dxfId="244" priority="24">
      <formula>MOD(ROW(),2)=0</formula>
    </cfRule>
  </conditionalFormatting>
  <conditionalFormatting sqref="CR77:CR78">
    <cfRule type="expression" dxfId="243" priority="6">
      <formula>MOD(ROW(),2)=0</formula>
    </cfRule>
  </conditionalFormatting>
  <conditionalFormatting sqref="CS71:CT71">
    <cfRule type="expression" dxfId="242" priority="25">
      <formula>MOD(ROW(),2)=0</formula>
    </cfRule>
  </conditionalFormatting>
  <conditionalFormatting sqref="DH29:DR106 EA29:EK106">
    <cfRule type="expression" dxfId="241" priority="75">
      <formula>MOD(ROW(),2)=0</formula>
    </cfRule>
  </conditionalFormatting>
  <dataValidations count="9">
    <dataValidation allowBlank="1" showInputMessage="1" showErrorMessage="1" prompt="always 1" sqref="L7:L30 P7:P30 T7:T30 X7:X30 AB7:AB30 AF7:AF28 AJ7:AJ28 AJ31 AN7:AN28 AR7:AR28 AV7:AV28 AV31 AZ7:AZ28 AZ32 AZ34 BD7:BD28 BD32 BD34 BH7:BH28 BH32 BH34 BL7:BL28 BL32 BL34 BP7:BP28 BP32 BP34 BT7:BT28 BX7:BX28 CB7:CB28 CF7:CF28 CJ7:CJ28 CN7:CN28 CR7:CR28 EM7:FC9 EM10:EP14 EM15:EO19 EM20:EN24 EM25:EM28 EN25:EN30 EO20:EO28 EP15:EP30 EQ10:FC28 ER31 ET31 EV32 EV34 EX32 EX34 EZ33 EZ35 FB33:FC33 FB35:FC35 FD7:FD35" xr:uid="{00000000-0002-0000-1F00-000000000000}"/>
    <dataValidation allowBlank="1" showInputMessage="1" showErrorMessage="1" prompt="Do not change." sqref="DH3:DR4 EA3:EK4" xr:uid="{00000000-0002-0000-1F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DC3 DV3" xr:uid="{00000000-0002-0000-1F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DD3 DW3" xr:uid="{00000000-0002-0000-1F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DE3 DX3" xr:uid="{00000000-0002-0000-1F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DF3 DY3" xr:uid="{00000000-0002-0000-1F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DG3 DZ3" xr:uid="{00000000-0002-0000-1F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DB3 DU3" xr:uid="{00000000-0002-0000-1F00-000007000000}"/>
    <dataValidation allowBlank="1" showInputMessage="1" showErrorMessage="1" promptTitle="Do not change" prompt="This field is automatically updated from the names-list" sqref="EA29:EA106 DH29:DH106" xr:uid="{00000000-0002-0000-1F00-000008000000}"/>
  </dataValidations>
  <pageMargins left="0.57999999999999996" right="0.52" top="0.984251969" bottom="0.984251969" header="0.4921259845" footer="0.4921259845"/>
  <pageSetup paperSize="9" scale="11" orientation="portrait" r:id="rId1"/>
  <headerFooter alignWithMargins="0">
    <oddHeader>&amp;L&amp;C&amp;R</oddHeader>
    <oddFooter>&amp;L&amp;"Arial,Fett"&amp;F&amp;C&amp;D&amp;RSeite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7C91-3F5E-4953-9E07-8FC685F27DD0}">
  <sheetPr>
    <tabColor rgb="FF9CD9F0"/>
  </sheetPr>
  <dimension ref="B1:Z18"/>
  <sheetViews>
    <sheetView workbookViewId="0">
      <selection activeCell="D29" sqref="D29"/>
    </sheetView>
  </sheetViews>
  <sheetFormatPr baseColWidth="10" defaultColWidth="11.42578125" defaultRowHeight="12" outlineLevelCol="1"/>
  <cols>
    <col min="2" max="2" width="35.140625" customWidth="1"/>
    <col min="3" max="3" width="15.5703125" style="38" customWidth="1" outlineLevel="1"/>
    <col min="4" max="4" width="15.5703125" style="38" customWidth="1"/>
    <col min="5" max="5" width="15.5703125" style="38" customWidth="1" outlineLevel="1"/>
    <col min="6" max="6" width="15.5703125" style="38" customWidth="1"/>
    <col min="7" max="7" width="7.42578125" style="38" bestFit="1" customWidth="1"/>
    <col min="8" max="8" width="2.85546875" style="38" bestFit="1" customWidth="1"/>
    <col min="9" max="9" width="12" style="38" bestFit="1" customWidth="1"/>
  </cols>
  <sheetData>
    <row r="1" spans="2:26" s="38" customFormat="1" ht="31.5" customHeight="1">
      <c r="B1"/>
      <c r="J1"/>
      <c r="K1"/>
      <c r="L1"/>
      <c r="M1"/>
      <c r="N1"/>
      <c r="O1"/>
      <c r="P1"/>
      <c r="Q1"/>
      <c r="R1"/>
      <c r="S1"/>
      <c r="T1"/>
      <c r="U1"/>
      <c r="V1"/>
      <c r="W1"/>
      <c r="X1"/>
      <c r="Y1"/>
      <c r="Z1"/>
    </row>
    <row r="2" spans="2:26" s="38" customFormat="1" ht="21" customHeight="1">
      <c r="B2" s="1578" t="s">
        <v>0</v>
      </c>
      <c r="C2" s="585" t="s">
        <v>49</v>
      </c>
      <c r="D2" s="585" t="s">
        <v>49</v>
      </c>
      <c r="E2" s="585" t="s">
        <v>50</v>
      </c>
      <c r="F2" s="585" t="s">
        <v>50</v>
      </c>
      <c r="J2"/>
      <c r="K2"/>
      <c r="L2"/>
      <c r="M2"/>
      <c r="N2"/>
      <c r="O2"/>
      <c r="P2"/>
      <c r="Q2"/>
      <c r="R2"/>
      <c r="S2"/>
      <c r="T2"/>
      <c r="U2"/>
      <c r="V2"/>
      <c r="W2"/>
      <c r="X2"/>
      <c r="Y2"/>
      <c r="Z2"/>
    </row>
    <row r="3" spans="2:26" s="38" customFormat="1" ht="23.25" thickBot="1">
      <c r="B3" s="1579"/>
      <c r="C3" s="598" t="s">
        <v>51</v>
      </c>
      <c r="D3" s="598" t="s">
        <v>51</v>
      </c>
      <c r="E3" s="598" t="s">
        <v>52</v>
      </c>
      <c r="F3" s="598" t="s">
        <v>52</v>
      </c>
      <c r="J3"/>
      <c r="K3"/>
      <c r="L3"/>
      <c r="M3"/>
      <c r="N3"/>
      <c r="O3"/>
      <c r="P3"/>
      <c r="Q3"/>
      <c r="R3"/>
      <c r="S3"/>
      <c r="T3"/>
      <c r="U3"/>
      <c r="V3"/>
      <c r="W3"/>
      <c r="X3"/>
      <c r="Y3"/>
      <c r="Z3"/>
    </row>
    <row r="4" spans="2:26" s="38" customFormat="1">
      <c r="B4" s="599" t="s">
        <v>53</v>
      </c>
      <c r="C4" s="600">
        <v>29.083500000000001</v>
      </c>
      <c r="D4" s="609">
        <v>0.84299999999999997</v>
      </c>
      <c r="E4" s="600">
        <v>29.071999999999999</v>
      </c>
      <c r="F4" s="609">
        <v>0.79</v>
      </c>
      <c r="J4"/>
      <c r="K4"/>
      <c r="L4"/>
      <c r="M4"/>
      <c r="N4"/>
      <c r="O4"/>
      <c r="P4"/>
      <c r="Q4"/>
      <c r="R4"/>
      <c r="S4"/>
      <c r="T4"/>
      <c r="U4"/>
      <c r="V4"/>
      <c r="W4"/>
      <c r="X4"/>
      <c r="Y4"/>
      <c r="Z4"/>
    </row>
    <row r="5" spans="2:26" s="38" customFormat="1">
      <c r="B5" s="601" t="s">
        <v>54</v>
      </c>
      <c r="C5" s="602">
        <v>3.8984999999999999</v>
      </c>
      <c r="D5" s="610">
        <v>0.113</v>
      </c>
      <c r="E5" s="603" t="s">
        <v>55</v>
      </c>
      <c r="F5" s="611" t="s">
        <v>55</v>
      </c>
      <c r="J5"/>
      <c r="K5"/>
      <c r="L5"/>
      <c r="M5"/>
      <c r="N5"/>
      <c r="O5"/>
      <c r="P5"/>
      <c r="Q5"/>
      <c r="R5"/>
      <c r="S5"/>
      <c r="T5"/>
      <c r="U5"/>
      <c r="V5"/>
      <c r="W5"/>
      <c r="X5"/>
      <c r="Y5"/>
      <c r="Z5"/>
    </row>
    <row r="6" spans="2:26" s="38" customFormat="1">
      <c r="B6" s="601" t="s">
        <v>56</v>
      </c>
      <c r="C6" s="603" t="s">
        <v>55</v>
      </c>
      <c r="D6" s="611" t="s">
        <v>55</v>
      </c>
      <c r="E6" s="602">
        <v>6.44</v>
      </c>
      <c r="F6" s="610">
        <v>0.17499999999999999</v>
      </c>
      <c r="J6"/>
      <c r="K6"/>
      <c r="L6"/>
      <c r="M6"/>
      <c r="N6"/>
      <c r="O6"/>
      <c r="P6"/>
      <c r="Q6"/>
      <c r="R6"/>
      <c r="S6"/>
      <c r="T6"/>
      <c r="U6"/>
      <c r="V6"/>
      <c r="W6"/>
      <c r="X6"/>
      <c r="Y6"/>
      <c r="Z6"/>
    </row>
    <row r="7" spans="2:26" s="38" customFormat="1">
      <c r="B7" s="601" t="s">
        <v>57</v>
      </c>
      <c r="C7" s="602">
        <v>0.93149999999999999</v>
      </c>
      <c r="D7" s="610">
        <v>2.7E-2</v>
      </c>
      <c r="E7" s="602">
        <v>0.99360000000000004</v>
      </c>
      <c r="F7" s="610">
        <v>2.7E-2</v>
      </c>
      <c r="J7"/>
      <c r="K7"/>
      <c r="L7"/>
      <c r="M7"/>
      <c r="N7"/>
      <c r="O7"/>
      <c r="P7"/>
      <c r="Q7"/>
      <c r="R7"/>
      <c r="S7"/>
      <c r="T7"/>
      <c r="U7"/>
      <c r="V7"/>
      <c r="W7"/>
      <c r="X7"/>
      <c r="Y7"/>
      <c r="Z7"/>
    </row>
    <row r="8" spans="2:26" s="38" customFormat="1">
      <c r="B8" s="601" t="s">
        <v>58</v>
      </c>
      <c r="C8" s="602">
        <v>0.28634999999999999</v>
      </c>
      <c r="D8" s="610">
        <v>8.3000000000000001E-3</v>
      </c>
      <c r="E8" s="602">
        <v>0.1472</v>
      </c>
      <c r="F8" s="610">
        <v>4.0000000000000001E-3</v>
      </c>
      <c r="J8"/>
      <c r="K8"/>
      <c r="L8"/>
      <c r="M8"/>
      <c r="N8"/>
      <c r="O8"/>
      <c r="P8"/>
      <c r="Q8"/>
      <c r="R8"/>
      <c r="S8"/>
      <c r="T8"/>
      <c r="U8"/>
      <c r="V8"/>
      <c r="W8"/>
      <c r="X8"/>
      <c r="Y8"/>
      <c r="Z8"/>
    </row>
    <row r="9" spans="2:26" s="38" customFormat="1">
      <c r="B9" s="601" t="s">
        <v>59</v>
      </c>
      <c r="C9" s="602">
        <v>5.1749999999999997E-2</v>
      </c>
      <c r="D9" s="610">
        <v>1.5E-3</v>
      </c>
      <c r="E9" s="602">
        <v>3.6799999999999999E-2</v>
      </c>
      <c r="F9" s="610">
        <v>1E-3</v>
      </c>
      <c r="J9"/>
      <c r="K9"/>
      <c r="L9"/>
      <c r="M9"/>
      <c r="N9"/>
      <c r="O9"/>
      <c r="P9"/>
      <c r="Q9"/>
      <c r="R9"/>
      <c r="S9"/>
      <c r="T9"/>
      <c r="U9"/>
      <c r="V9"/>
      <c r="W9"/>
      <c r="X9"/>
      <c r="Y9"/>
      <c r="Z9"/>
    </row>
    <row r="10" spans="2:26" s="38" customFormat="1" ht="12.75" thickBot="1">
      <c r="B10" s="604" t="s">
        <v>60</v>
      </c>
      <c r="C10" s="605">
        <v>4.4850000000000001E-2</v>
      </c>
      <c r="D10" s="612">
        <v>1.2999999999999999E-3</v>
      </c>
      <c r="E10" s="605">
        <v>0.1104</v>
      </c>
      <c r="F10" s="612">
        <v>3.0000000000000001E-3</v>
      </c>
      <c r="J10"/>
      <c r="K10"/>
      <c r="L10"/>
      <c r="M10"/>
      <c r="N10"/>
      <c r="O10"/>
      <c r="P10"/>
      <c r="Q10"/>
      <c r="R10"/>
      <c r="S10"/>
      <c r="T10"/>
      <c r="U10"/>
      <c r="V10"/>
      <c r="W10"/>
      <c r="X10"/>
      <c r="Y10"/>
      <c r="Z10"/>
    </row>
    <row r="11" spans="2:26" s="38" customFormat="1">
      <c r="B11" s="606" t="s">
        <v>61</v>
      </c>
      <c r="C11" s="607">
        <v>34.5</v>
      </c>
      <c r="D11" s="607">
        <v>34.5</v>
      </c>
      <c r="E11" s="607">
        <v>36.799999999999997</v>
      </c>
      <c r="F11" s="607">
        <v>36.799999999999997</v>
      </c>
      <c r="J11"/>
      <c r="K11"/>
      <c r="L11"/>
      <c r="M11"/>
      <c r="N11"/>
      <c r="O11"/>
      <c r="P11"/>
      <c r="Q11"/>
      <c r="R11"/>
      <c r="S11"/>
      <c r="T11"/>
      <c r="U11"/>
      <c r="V11"/>
      <c r="W11"/>
      <c r="X11"/>
      <c r="Y11"/>
      <c r="Z11"/>
    </row>
    <row r="12" spans="2:26" s="38" customFormat="1">
      <c r="B12" s="585" t="s">
        <v>62</v>
      </c>
      <c r="C12" s="608">
        <v>13.9676113360324</v>
      </c>
      <c r="D12" s="608">
        <v>13.9676113360324</v>
      </c>
      <c r="E12" s="608">
        <v>13.1428571428571</v>
      </c>
      <c r="F12" s="608">
        <v>13.1428571428571</v>
      </c>
      <c r="J12"/>
      <c r="K12"/>
      <c r="L12"/>
      <c r="M12"/>
      <c r="N12"/>
      <c r="O12"/>
      <c r="P12"/>
      <c r="Q12"/>
      <c r="R12"/>
      <c r="S12"/>
      <c r="T12"/>
      <c r="U12"/>
      <c r="V12"/>
      <c r="W12"/>
      <c r="X12"/>
      <c r="Y12"/>
      <c r="Z12"/>
    </row>
    <row r="13" spans="2:26" s="38" customFormat="1">
      <c r="B13" s="585" t="s">
        <v>63</v>
      </c>
      <c r="C13" s="608">
        <v>2.4700000000000002</v>
      </c>
      <c r="D13" s="608">
        <v>2.4700000000000002</v>
      </c>
      <c r="E13" s="608">
        <v>2.8</v>
      </c>
      <c r="F13" s="608">
        <v>2.8</v>
      </c>
      <c r="J13"/>
      <c r="K13"/>
      <c r="L13"/>
      <c r="M13"/>
      <c r="N13"/>
      <c r="O13"/>
      <c r="P13"/>
      <c r="Q13"/>
      <c r="R13"/>
      <c r="S13"/>
      <c r="T13"/>
      <c r="U13"/>
      <c r="V13"/>
      <c r="W13"/>
      <c r="X13"/>
      <c r="Y13"/>
      <c r="Z13"/>
    </row>
    <row r="14" spans="2:26" s="38" customFormat="1">
      <c r="B14" s="585" t="s">
        <v>64</v>
      </c>
      <c r="C14" s="597">
        <v>184</v>
      </c>
      <c r="D14" s="597">
        <v>184</v>
      </c>
      <c r="E14" s="597">
        <v>187</v>
      </c>
      <c r="F14" s="597">
        <v>187</v>
      </c>
      <c r="J14"/>
      <c r="K14"/>
      <c r="L14"/>
      <c r="M14"/>
      <c r="N14"/>
      <c r="O14"/>
      <c r="P14"/>
      <c r="Q14"/>
      <c r="R14"/>
      <c r="S14"/>
      <c r="T14"/>
      <c r="U14"/>
      <c r="V14"/>
      <c r="W14"/>
      <c r="X14"/>
      <c r="Y14"/>
      <c r="Z14"/>
    </row>
    <row r="15" spans="2:26" s="38" customFormat="1">
      <c r="B15" s="585" t="s">
        <v>45</v>
      </c>
      <c r="C15" s="595">
        <v>0.184</v>
      </c>
      <c r="D15" s="595">
        <v>0.184</v>
      </c>
      <c r="E15" s="595">
        <v>0.187</v>
      </c>
      <c r="F15" s="595">
        <v>0.187</v>
      </c>
      <c r="J15"/>
      <c r="K15"/>
      <c r="L15"/>
      <c r="M15"/>
      <c r="N15"/>
      <c r="O15"/>
      <c r="P15"/>
      <c r="Q15"/>
      <c r="R15"/>
      <c r="S15"/>
      <c r="T15"/>
      <c r="U15"/>
      <c r="V15"/>
      <c r="W15"/>
      <c r="X15"/>
      <c r="Y15"/>
      <c r="Z15"/>
    </row>
    <row r="16" spans="2:26" s="38" customFormat="1">
      <c r="B16" s="585" t="s">
        <v>46</v>
      </c>
      <c r="C16" s="596">
        <v>54.347826086956502</v>
      </c>
      <c r="D16" s="596">
        <v>54.347826086956502</v>
      </c>
      <c r="E16" s="596">
        <v>53.475935828876999</v>
      </c>
      <c r="F16" s="596">
        <v>53.475935828876999</v>
      </c>
      <c r="J16"/>
      <c r="K16"/>
      <c r="L16"/>
      <c r="M16"/>
      <c r="N16"/>
      <c r="O16"/>
      <c r="P16"/>
      <c r="Q16"/>
      <c r="R16"/>
      <c r="S16"/>
      <c r="T16"/>
      <c r="U16"/>
      <c r="V16"/>
      <c r="W16"/>
      <c r="X16"/>
      <c r="Y16"/>
      <c r="Z16"/>
    </row>
    <row r="17" spans="2:26" s="38" customFormat="1">
      <c r="B17" s="585" t="s">
        <v>47</v>
      </c>
      <c r="C17" s="596">
        <v>1358.69565217391</v>
      </c>
      <c r="D17" s="596">
        <v>1358.69565217391</v>
      </c>
      <c r="E17" s="596">
        <v>1336.89839572193</v>
      </c>
      <c r="F17" s="596">
        <v>1336.89839572193</v>
      </c>
      <c r="J17"/>
      <c r="K17"/>
      <c r="L17"/>
      <c r="M17"/>
      <c r="N17"/>
      <c r="O17"/>
      <c r="P17"/>
      <c r="Q17"/>
      <c r="R17"/>
      <c r="S17"/>
      <c r="T17"/>
      <c r="U17"/>
      <c r="V17"/>
      <c r="W17"/>
      <c r="X17"/>
      <c r="Y17"/>
      <c r="Z17"/>
    </row>
    <row r="18" spans="2:26" s="38" customFormat="1">
      <c r="B18" s="585" t="s">
        <v>48</v>
      </c>
      <c r="C18" s="596">
        <v>54347.826086956498</v>
      </c>
      <c r="D18" s="596">
        <v>54347.826086956498</v>
      </c>
      <c r="E18" s="596">
        <v>53475.935828877002</v>
      </c>
      <c r="F18" s="596">
        <v>53475.935828877002</v>
      </c>
      <c r="J18"/>
      <c r="K18"/>
      <c r="L18"/>
      <c r="M18"/>
      <c r="N18"/>
      <c r="O18"/>
      <c r="P18"/>
      <c r="Q18"/>
      <c r="R18"/>
      <c r="S18"/>
      <c r="T18"/>
      <c r="U18"/>
      <c r="V18"/>
      <c r="W18"/>
      <c r="X18"/>
      <c r="Y18"/>
      <c r="Z18"/>
    </row>
  </sheetData>
  <mergeCells count="1">
    <mergeCell ref="B2:B3"/>
  </mergeCells>
  <pageMargins left="0.7" right="0.7" top="0.78740157499999996" bottom="0.78740157499999996" header="0.3" footer="0.3"/>
  <pageSetup paperSize="9"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61">
    <tabColor rgb="FF9CD9F0"/>
    <pageSetUpPr fitToPage="1"/>
  </sheetPr>
  <dimension ref="A1:CM112"/>
  <sheetViews>
    <sheetView topLeftCell="A80" workbookViewId="0">
      <selection activeCell="BB130" sqref="BB130"/>
    </sheetView>
  </sheetViews>
  <sheetFormatPr baseColWidth="10" defaultColWidth="11.42578125" defaultRowHeight="12" outlineLevelCol="1"/>
  <cols>
    <col min="1" max="1" width="12.7109375" style="277" customWidth="1"/>
    <col min="2" max="2" width="12.7109375" style="124" customWidth="1"/>
    <col min="3" max="3" width="12"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3.85546875" style="126" customWidth="1" collapsed="1"/>
    <col min="13" max="14" width="5.7109375" style="120" hidden="1" customWidth="1" outlineLevel="1"/>
    <col min="15" max="15" width="82.140625" style="120" hidden="1" customWidth="1" outlineLevel="1"/>
    <col min="16" max="16" width="15.5703125" style="126" customWidth="1" collapsed="1"/>
    <col min="17" max="18" width="5.7109375" style="120" hidden="1" customWidth="1" outlineLevel="1"/>
    <col min="19" max="19" width="77.85546875" style="120" hidden="1" customWidth="1" outlineLevel="1"/>
    <col min="20" max="20" width="13.85546875" style="126" customWidth="1" collapsed="1"/>
    <col min="21" max="22" width="5.7109375" style="120" hidden="1" customWidth="1" outlineLevel="1"/>
    <col min="23" max="23" width="68.140625" style="120" hidden="1" customWidth="1" outlineLevel="1"/>
    <col min="24" max="24" width="15.5703125" style="126" customWidth="1" collapsed="1"/>
    <col min="25" max="26" width="5.7109375" style="120" hidden="1" customWidth="1" outlineLevel="1"/>
    <col min="27" max="27" width="73.5703125" style="120" hidden="1" customWidth="1" outlineLevel="1"/>
    <col min="28" max="28" width="9.7109375" style="126" customWidth="1" collapsed="1"/>
    <col min="29" max="29" width="6" style="120" hidden="1" customWidth="1" outlineLevel="1"/>
    <col min="30" max="30" width="5" style="120" hidden="1" customWidth="1" outlineLevel="1"/>
    <col min="31" max="31" width="67.140625" style="120" hidden="1" customWidth="1" outlineLevel="1"/>
    <col min="32" max="32" width="9.7109375" style="126" customWidth="1" collapsed="1"/>
    <col min="33" max="34" width="5.7109375" style="120" hidden="1" customWidth="1" outlineLevel="1"/>
    <col min="35" max="35" width="65.5703125" style="120" hidden="1" customWidth="1" outlineLevel="1"/>
    <col min="36" max="36" width="9.7109375" style="126" customWidth="1" collapsed="1"/>
    <col min="37" max="38" width="5.7109375" style="120" hidden="1" customWidth="1" outlineLevel="1"/>
    <col min="39" max="39" width="66" style="120" hidden="1" customWidth="1" outlineLevel="1"/>
    <col min="40" max="40" width="9.7109375" style="126" customWidth="1" collapsed="1"/>
    <col min="41" max="42" width="5.7109375" style="120" hidden="1" customWidth="1" outlineLevel="1"/>
    <col min="43" max="43" width="68.7109375" style="120" hidden="1" customWidth="1" outlineLevel="1"/>
    <col min="44" max="44" width="15.7109375" style="126" customWidth="1" collapsed="1"/>
    <col min="45" max="46" width="5.7109375" style="120" hidden="1" customWidth="1" outlineLevel="1"/>
    <col min="47" max="47" width="62.42578125" style="120" hidden="1" customWidth="1" outlineLevel="1"/>
    <col min="48" max="48" width="15.7109375" style="126" customWidth="1" collapsed="1"/>
    <col min="49" max="50" width="5.7109375" style="120" hidden="1" customWidth="1" outlineLevel="1"/>
    <col min="51" max="51" width="63" style="120" hidden="1" customWidth="1" outlineLevel="1"/>
    <col min="52" max="52" width="4.140625" style="109" customWidth="1" collapsed="1"/>
    <col min="53" max="53" width="15.7109375" style="126" hidden="1" customWidth="1" outlineLevel="1"/>
    <col min="54" max="54" width="62.42578125" style="128" customWidth="1" collapsed="1"/>
    <col min="55" max="55" width="4.7109375" style="402" hidden="1" customWidth="1" outlineLevel="1"/>
    <col min="56" max="64" width="4.7109375" style="395" hidden="1" customWidth="1" outlineLevel="1"/>
    <col min="65" max="65" width="12.7109375" style="395" hidden="1" customWidth="1" outlineLevel="1"/>
    <col min="66" max="71" width="4.7109375" style="277" hidden="1" customWidth="1" outlineLevel="1"/>
    <col min="72" max="72" width="11.42578125" style="399" customWidth="1" collapsed="1"/>
    <col min="73" max="73" width="66.28515625" style="126" customWidth="1"/>
    <col min="74" max="74" width="4.7109375" style="402" hidden="1" customWidth="1" outlineLevel="1"/>
    <col min="75" max="83" width="4.7109375" style="395" hidden="1" customWidth="1" outlineLevel="1"/>
    <col min="84" max="84" width="12.7109375" style="395" hidden="1" customWidth="1" outlineLevel="1"/>
    <col min="85" max="90" width="4.7109375" style="277" hidden="1" customWidth="1" outlineLevel="1"/>
    <col min="91" max="91" width="11.42578125" style="399" customWidth="1" collapsed="1"/>
    <col min="92" max="16384" width="11.42578125" style="399"/>
  </cols>
  <sheetData>
    <row r="1" spans="1:90">
      <c r="A1" s="77"/>
      <c r="B1" s="78"/>
      <c r="C1" s="79"/>
      <c r="D1" s="77"/>
      <c r="E1" s="77"/>
      <c r="F1" s="80" t="s">
        <v>65</v>
      </c>
      <c r="G1" s="77"/>
      <c r="H1" s="77"/>
      <c r="I1" s="77"/>
      <c r="J1" s="77"/>
      <c r="K1" s="77"/>
      <c r="L1" s="330" t="str">
        <f>A7</f>
        <v>Z-PV-053</v>
      </c>
      <c r="M1" s="81"/>
      <c r="N1" s="81"/>
      <c r="O1" s="81"/>
      <c r="P1" s="330" t="str">
        <f>A8</f>
        <v>Z-PV-055</v>
      </c>
      <c r="Q1" s="81"/>
      <c r="R1" s="81"/>
      <c r="S1" s="81"/>
      <c r="T1" s="330" t="str">
        <f>A9</f>
        <v>Z-PV-066</v>
      </c>
      <c r="U1" s="81"/>
      <c r="V1" s="81"/>
      <c r="W1" s="81"/>
      <c r="X1" s="330" t="str">
        <f>A10</f>
        <v>Z-PV-068</v>
      </c>
      <c r="Y1" s="81"/>
      <c r="Z1" s="81"/>
      <c r="AA1" s="81"/>
      <c r="AB1" s="330" t="str">
        <f>A11</f>
        <v>Z-PV-070</v>
      </c>
      <c r="AC1" s="81"/>
      <c r="AD1" s="81"/>
      <c r="AE1" s="81"/>
      <c r="AF1" s="330" t="str">
        <f>A12</f>
        <v>Z-PV-072</v>
      </c>
      <c r="AG1" s="81"/>
      <c r="AH1" s="81"/>
      <c r="AI1" s="81"/>
      <c r="AJ1" s="330" t="str">
        <f>A13</f>
        <v>Z-PV-045</v>
      </c>
      <c r="AK1" s="81"/>
      <c r="AL1" s="81"/>
      <c r="AM1" s="81"/>
      <c r="AN1" s="330" t="str">
        <f>A14</f>
        <v>Z-PV-043</v>
      </c>
      <c r="AO1" s="81"/>
      <c r="AP1" s="81"/>
      <c r="AQ1" s="81"/>
      <c r="AR1" s="330" t="s">
        <v>1252</v>
      </c>
      <c r="AS1" s="81"/>
      <c r="AT1" s="81"/>
      <c r="AU1" s="227"/>
      <c r="AV1" s="330" t="s">
        <v>1253</v>
      </c>
      <c r="AW1" s="81"/>
      <c r="AX1" s="81"/>
      <c r="AY1" s="227"/>
      <c r="BA1" s="378"/>
      <c r="BB1" s="378"/>
      <c r="BC1" s="1586"/>
      <c r="BD1" s="1588"/>
      <c r="BE1" s="1588"/>
      <c r="BF1" s="1588"/>
      <c r="BG1" s="1588"/>
      <c r="BH1" s="1588"/>
      <c r="BI1" s="406"/>
      <c r="BJ1" s="406"/>
      <c r="BK1" s="406"/>
      <c r="BL1" s="406"/>
      <c r="BM1" s="406"/>
      <c r="BN1" s="378"/>
      <c r="BO1" s="378"/>
      <c r="BP1" s="378"/>
      <c r="BQ1" s="378"/>
      <c r="BR1" s="378"/>
      <c r="BS1" s="378"/>
      <c r="BU1" s="378"/>
      <c r="BV1" s="1586"/>
      <c r="BW1" s="1588"/>
      <c r="BX1" s="1588"/>
      <c r="BY1" s="1588"/>
      <c r="BZ1" s="1588"/>
      <c r="CA1" s="1588"/>
      <c r="CB1" s="406"/>
      <c r="CC1" s="406"/>
      <c r="CD1" s="406"/>
      <c r="CE1" s="406"/>
      <c r="CF1" s="406"/>
      <c r="CG1" s="378"/>
      <c r="CH1" s="378"/>
      <c r="CI1" s="378"/>
      <c r="CJ1" s="378"/>
      <c r="CK1" s="378"/>
      <c r="CL1" s="378"/>
    </row>
    <row r="2" spans="1:90">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421"/>
      <c r="BA2" s="406"/>
      <c r="BB2" s="393" t="s">
        <v>1031</v>
      </c>
      <c r="BC2" s="406"/>
      <c r="BD2" s="406"/>
      <c r="BE2" s="406"/>
      <c r="BF2" s="406"/>
      <c r="BG2" s="406"/>
      <c r="BH2" s="406"/>
      <c r="BI2" s="406"/>
      <c r="BJ2" s="378"/>
      <c r="BK2" s="378"/>
      <c r="BL2" s="378"/>
      <c r="BM2" s="378"/>
      <c r="BN2" s="378"/>
      <c r="BO2" s="378"/>
      <c r="BP2" s="378"/>
      <c r="BQ2" s="378"/>
      <c r="BR2" s="378"/>
      <c r="BS2" s="378"/>
      <c r="BU2" s="399" t="s">
        <v>1254</v>
      </c>
      <c r="BV2" s="406"/>
      <c r="BW2" s="406"/>
      <c r="BX2" s="406"/>
      <c r="BY2" s="406"/>
      <c r="BZ2" s="406"/>
      <c r="CA2" s="406"/>
      <c r="CB2" s="406"/>
      <c r="CC2" s="378"/>
      <c r="CD2" s="378"/>
      <c r="CE2" s="378"/>
      <c r="CF2" s="378"/>
      <c r="CG2" s="378"/>
      <c r="CH2" s="378"/>
      <c r="CI2" s="378"/>
      <c r="CJ2" s="378"/>
      <c r="CK2" s="378"/>
      <c r="CL2" s="378"/>
    </row>
    <row r="3" spans="1:90" ht="101.25" customHeight="1">
      <c r="A3" s="83" t="s">
        <v>68</v>
      </c>
      <c r="B3" s="84"/>
      <c r="C3" s="79">
        <v>401</v>
      </c>
      <c r="D3" s="85" t="s">
        <v>69</v>
      </c>
      <c r="E3" s="85" t="s">
        <v>70</v>
      </c>
      <c r="F3" s="86" t="s">
        <v>71</v>
      </c>
      <c r="G3" s="85" t="s">
        <v>72</v>
      </c>
      <c r="H3" s="85" t="s">
        <v>73</v>
      </c>
      <c r="I3" s="85" t="s">
        <v>74</v>
      </c>
      <c r="J3" s="85" t="s">
        <v>75</v>
      </c>
      <c r="K3" s="85" t="s">
        <v>76</v>
      </c>
      <c r="L3" s="87" t="s">
        <v>1255</v>
      </c>
      <c r="M3" s="422" t="s">
        <v>78</v>
      </c>
      <c r="N3" s="422" t="s">
        <v>79</v>
      </c>
      <c r="O3" s="422" t="s">
        <v>80</v>
      </c>
      <c r="P3" s="87" t="s">
        <v>1256</v>
      </c>
      <c r="Q3" s="422" t="s">
        <v>78</v>
      </c>
      <c r="R3" s="422" t="s">
        <v>79</v>
      </c>
      <c r="S3" s="422" t="s">
        <v>80</v>
      </c>
      <c r="T3" s="87" t="s">
        <v>1257</v>
      </c>
      <c r="U3" s="422" t="s">
        <v>78</v>
      </c>
      <c r="V3" s="422" t="s">
        <v>79</v>
      </c>
      <c r="W3" s="422" t="s">
        <v>80</v>
      </c>
      <c r="X3" s="87" t="s">
        <v>1258</v>
      </c>
      <c r="Y3" s="422" t="s">
        <v>78</v>
      </c>
      <c r="Z3" s="422" t="s">
        <v>79</v>
      </c>
      <c r="AA3" s="422" t="s">
        <v>80</v>
      </c>
      <c r="AB3" s="87" t="s">
        <v>1259</v>
      </c>
      <c r="AC3" s="422" t="s">
        <v>78</v>
      </c>
      <c r="AD3" s="422" t="s">
        <v>79</v>
      </c>
      <c r="AE3" s="422" t="s">
        <v>80</v>
      </c>
      <c r="AF3" s="87" t="s">
        <v>1260</v>
      </c>
      <c r="AG3" s="422" t="s">
        <v>78</v>
      </c>
      <c r="AH3" s="422" t="s">
        <v>79</v>
      </c>
      <c r="AI3" s="422" t="s">
        <v>80</v>
      </c>
      <c r="AJ3" s="87" t="s">
        <v>1261</v>
      </c>
      <c r="AK3" s="422" t="s">
        <v>78</v>
      </c>
      <c r="AL3" s="422" t="s">
        <v>79</v>
      </c>
      <c r="AM3" s="422" t="s">
        <v>80</v>
      </c>
      <c r="AN3" s="87" t="s">
        <v>1262</v>
      </c>
      <c r="AO3" s="422" t="s">
        <v>78</v>
      </c>
      <c r="AP3" s="422" t="s">
        <v>79</v>
      </c>
      <c r="AQ3" s="422" t="s">
        <v>80</v>
      </c>
      <c r="AR3" s="87" t="s">
        <v>1263</v>
      </c>
      <c r="AS3" s="422" t="s">
        <v>78</v>
      </c>
      <c r="AT3" s="422" t="s">
        <v>79</v>
      </c>
      <c r="AU3" s="422" t="s">
        <v>80</v>
      </c>
      <c r="AV3" s="87" t="s">
        <v>1264</v>
      </c>
      <c r="AW3" s="422" t="s">
        <v>78</v>
      </c>
      <c r="AX3" s="422" t="s">
        <v>79</v>
      </c>
      <c r="AY3" s="422" t="s">
        <v>80</v>
      </c>
      <c r="AZ3" s="424"/>
      <c r="BA3" s="87" t="s">
        <v>1265</v>
      </c>
      <c r="BB3" s="97" t="s">
        <v>363</v>
      </c>
      <c r="BC3" s="98" t="s">
        <v>364</v>
      </c>
      <c r="BD3" s="98" t="s">
        <v>365</v>
      </c>
      <c r="BE3" s="98" t="s">
        <v>366</v>
      </c>
      <c r="BF3" s="98" t="s">
        <v>367</v>
      </c>
      <c r="BG3" s="98" t="s">
        <v>368</v>
      </c>
      <c r="BH3" s="98" t="s">
        <v>369</v>
      </c>
      <c r="BI3" s="99" t="s">
        <v>88</v>
      </c>
      <c r="BJ3" s="99" t="s">
        <v>370</v>
      </c>
      <c r="BK3" s="99" t="s">
        <v>90</v>
      </c>
      <c r="BL3" s="99" t="s">
        <v>91</v>
      </c>
      <c r="BM3" s="99" t="s">
        <v>371</v>
      </c>
      <c r="BN3" s="100" t="s">
        <v>364</v>
      </c>
      <c r="BO3" s="100" t="s">
        <v>365</v>
      </c>
      <c r="BP3" s="100" t="s">
        <v>366</v>
      </c>
      <c r="BQ3" s="100" t="s">
        <v>367</v>
      </c>
      <c r="BR3" s="100" t="s">
        <v>368</v>
      </c>
      <c r="BS3" s="100" t="s">
        <v>369</v>
      </c>
      <c r="BU3" s="87" t="s">
        <v>363</v>
      </c>
      <c r="BV3" s="98" t="s">
        <v>364</v>
      </c>
      <c r="BW3" s="98" t="s">
        <v>365</v>
      </c>
      <c r="BX3" s="98" t="s">
        <v>366</v>
      </c>
      <c r="BY3" s="98" t="s">
        <v>367</v>
      </c>
      <c r="BZ3" s="98" t="s">
        <v>368</v>
      </c>
      <c r="CA3" s="98" t="s">
        <v>369</v>
      </c>
      <c r="CB3" s="99" t="s">
        <v>88</v>
      </c>
      <c r="CC3" s="99" t="s">
        <v>370</v>
      </c>
      <c r="CD3" s="99" t="s">
        <v>90</v>
      </c>
      <c r="CE3" s="99" t="s">
        <v>91</v>
      </c>
      <c r="CF3" s="99" t="s">
        <v>371</v>
      </c>
      <c r="CG3" s="100" t="s">
        <v>364</v>
      </c>
      <c r="CH3" s="100" t="s">
        <v>365</v>
      </c>
      <c r="CI3" s="100" t="s">
        <v>366</v>
      </c>
      <c r="CJ3" s="100" t="s">
        <v>367</v>
      </c>
      <c r="CK3" s="100" t="s">
        <v>368</v>
      </c>
      <c r="CL3" s="100" t="s">
        <v>369</v>
      </c>
    </row>
    <row r="4" spans="1:90" ht="24" customHeight="1">
      <c r="A4" s="77"/>
      <c r="B4" s="84"/>
      <c r="C4" s="79">
        <v>662</v>
      </c>
      <c r="D4" s="86"/>
      <c r="E4" s="86"/>
      <c r="F4" s="86" t="s">
        <v>72</v>
      </c>
      <c r="G4" s="86"/>
      <c r="H4" s="86"/>
      <c r="I4" s="86"/>
      <c r="J4" s="86"/>
      <c r="K4" s="86"/>
      <c r="L4" s="87" t="s">
        <v>372</v>
      </c>
      <c r="M4" s="425"/>
      <c r="N4" s="425"/>
      <c r="O4" s="426"/>
      <c r="P4" s="87" t="s">
        <v>372</v>
      </c>
      <c r="Q4" s="425"/>
      <c r="R4" s="425"/>
      <c r="S4" s="426"/>
      <c r="T4" s="87" t="s">
        <v>215</v>
      </c>
      <c r="U4" s="425"/>
      <c r="V4" s="425"/>
      <c r="W4" s="426"/>
      <c r="X4" s="87" t="s">
        <v>215</v>
      </c>
      <c r="Y4" s="425"/>
      <c r="Z4" s="425"/>
      <c r="AA4" s="426"/>
      <c r="AB4" s="87" t="s">
        <v>373</v>
      </c>
      <c r="AC4" s="425"/>
      <c r="AD4" s="425"/>
      <c r="AE4" s="426"/>
      <c r="AF4" s="87" t="s">
        <v>373</v>
      </c>
      <c r="AG4" s="425"/>
      <c r="AH4" s="425"/>
      <c r="AI4" s="426"/>
      <c r="AJ4" s="87" t="s">
        <v>93</v>
      </c>
      <c r="AK4" s="425"/>
      <c r="AL4" s="425"/>
      <c r="AM4" s="426"/>
      <c r="AN4" s="87" t="s">
        <v>93</v>
      </c>
      <c r="AO4" s="425"/>
      <c r="AP4" s="425"/>
      <c r="AQ4" s="426"/>
      <c r="AR4" s="87" t="s">
        <v>340</v>
      </c>
      <c r="AS4" s="425"/>
      <c r="AT4" s="425"/>
      <c r="AU4" s="454"/>
      <c r="AV4" s="87" t="s">
        <v>372</v>
      </c>
      <c r="AW4" s="425"/>
      <c r="AX4" s="425"/>
      <c r="AY4" s="454"/>
      <c r="AZ4" s="427"/>
      <c r="BA4" s="87" t="s">
        <v>93</v>
      </c>
      <c r="BB4" s="101"/>
      <c r="BC4" s="102" t="s">
        <v>94</v>
      </c>
      <c r="BD4" s="97"/>
      <c r="BE4" s="97"/>
      <c r="BF4" s="97"/>
      <c r="BG4" s="97"/>
      <c r="BH4" s="97"/>
      <c r="BI4" s="103"/>
      <c r="BJ4" s="103"/>
      <c r="BK4" s="103" t="s">
        <v>95</v>
      </c>
      <c r="BL4" s="103" t="s">
        <v>95</v>
      </c>
      <c r="BM4" s="104"/>
      <c r="BN4" s="105"/>
      <c r="BO4" s="105"/>
      <c r="BP4" s="105"/>
      <c r="BQ4" s="105"/>
      <c r="BR4" s="105"/>
      <c r="BS4" s="105"/>
      <c r="BU4" s="87"/>
      <c r="BV4" s="102" t="s">
        <v>94</v>
      </c>
      <c r="BW4" s="97"/>
      <c r="BX4" s="97"/>
      <c r="BY4" s="97"/>
      <c r="BZ4" s="97"/>
      <c r="CA4" s="97"/>
      <c r="CB4" s="103"/>
      <c r="CC4" s="103"/>
      <c r="CD4" s="103" t="s">
        <v>95</v>
      </c>
      <c r="CE4" s="103" t="s">
        <v>95</v>
      </c>
      <c r="CF4" s="104"/>
      <c r="CG4" s="105"/>
      <c r="CH4" s="105"/>
      <c r="CI4" s="105"/>
      <c r="CJ4" s="105"/>
      <c r="CK4" s="105"/>
      <c r="CL4" s="105"/>
    </row>
    <row r="5" spans="1:90">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87">
        <v>1</v>
      </c>
      <c r="Y5" s="425"/>
      <c r="Z5" s="425"/>
      <c r="AA5" s="426"/>
      <c r="AB5" s="87">
        <v>1</v>
      </c>
      <c r="AC5" s="425"/>
      <c r="AD5" s="425"/>
      <c r="AE5" s="426"/>
      <c r="AF5" s="87">
        <v>1</v>
      </c>
      <c r="AG5" s="425"/>
      <c r="AH5" s="425"/>
      <c r="AI5" s="426"/>
      <c r="AJ5" s="87">
        <v>1</v>
      </c>
      <c r="AK5" s="425"/>
      <c r="AL5" s="425"/>
      <c r="AM5" s="426"/>
      <c r="AN5" s="87">
        <v>1</v>
      </c>
      <c r="AO5" s="425"/>
      <c r="AP5" s="425"/>
      <c r="AQ5" s="426"/>
      <c r="AR5" s="87">
        <v>1</v>
      </c>
      <c r="AS5" s="425"/>
      <c r="AT5" s="425"/>
      <c r="AU5" s="454"/>
      <c r="AV5" s="87">
        <v>1</v>
      </c>
      <c r="AW5" s="425"/>
      <c r="AX5" s="425"/>
      <c r="AY5" s="454"/>
      <c r="AZ5" s="427"/>
      <c r="BA5" s="87">
        <v>1</v>
      </c>
      <c r="BB5" s="101"/>
      <c r="BC5" s="97"/>
      <c r="BD5" s="97"/>
      <c r="BE5" s="97"/>
      <c r="BF5" s="97"/>
      <c r="BG5" s="97"/>
      <c r="BH5" s="97"/>
      <c r="BI5" s="104"/>
      <c r="BJ5" s="104"/>
      <c r="BK5" s="104"/>
      <c r="BL5" s="104"/>
      <c r="BM5" s="104"/>
      <c r="BN5" s="105"/>
      <c r="BO5" s="105"/>
      <c r="BP5" s="105"/>
      <c r="BQ5" s="105"/>
      <c r="BR5" s="105"/>
      <c r="BS5" s="105"/>
      <c r="BU5" s="87"/>
      <c r="BV5" s="97"/>
      <c r="BW5" s="97"/>
      <c r="BX5" s="97"/>
      <c r="BY5" s="97"/>
      <c r="BZ5" s="97"/>
      <c r="CA5" s="97"/>
      <c r="CB5" s="104"/>
      <c r="CC5" s="104"/>
      <c r="CD5" s="104"/>
      <c r="CE5" s="104"/>
      <c r="CF5" s="104"/>
      <c r="CG5" s="105"/>
      <c r="CH5" s="105"/>
      <c r="CI5" s="105"/>
      <c r="CJ5" s="105"/>
      <c r="CK5" s="105"/>
      <c r="CL5" s="105"/>
    </row>
    <row r="6" spans="1:90">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26"/>
      <c r="AB6" s="87" t="s">
        <v>679</v>
      </c>
      <c r="AC6" s="425"/>
      <c r="AD6" s="425"/>
      <c r="AE6" s="426"/>
      <c r="AF6" s="87" t="s">
        <v>679</v>
      </c>
      <c r="AG6" s="425"/>
      <c r="AH6" s="425"/>
      <c r="AI6" s="426"/>
      <c r="AJ6" s="87" t="s">
        <v>679</v>
      </c>
      <c r="AK6" s="425"/>
      <c r="AL6" s="425"/>
      <c r="AM6" s="426"/>
      <c r="AN6" s="87" t="s">
        <v>679</v>
      </c>
      <c r="AO6" s="425"/>
      <c r="AP6" s="425"/>
      <c r="AQ6" s="426"/>
      <c r="AR6" s="87" t="s">
        <v>679</v>
      </c>
      <c r="AS6" s="425"/>
      <c r="AT6" s="425"/>
      <c r="AU6" s="454"/>
      <c r="AV6" s="87" t="s">
        <v>679</v>
      </c>
      <c r="AW6" s="425"/>
      <c r="AX6" s="425"/>
      <c r="AY6" s="454"/>
      <c r="AZ6" s="427"/>
      <c r="BA6" s="87" t="s">
        <v>679</v>
      </c>
      <c r="BB6" s="101"/>
      <c r="BC6" s="106"/>
      <c r="BD6" s="106"/>
      <c r="BE6" s="106"/>
      <c r="BF6" s="106"/>
      <c r="BG6" s="106"/>
      <c r="BH6" s="106"/>
      <c r="BI6" s="104"/>
      <c r="BJ6" s="104"/>
      <c r="BK6" s="428"/>
      <c r="BL6" s="428"/>
      <c r="BM6" s="107"/>
      <c r="BN6" s="105"/>
      <c r="BO6" s="105"/>
      <c r="BP6" s="105"/>
      <c r="BQ6" s="105"/>
      <c r="BR6" s="105"/>
      <c r="BS6" s="105"/>
      <c r="BU6" s="87"/>
      <c r="BV6" s="106"/>
      <c r="BW6" s="106"/>
      <c r="BX6" s="106"/>
      <c r="BY6" s="106"/>
      <c r="BZ6" s="106"/>
      <c r="CA6" s="106"/>
      <c r="CB6" s="104"/>
      <c r="CC6" s="104"/>
      <c r="CD6" s="428"/>
      <c r="CE6" s="428"/>
      <c r="CF6" s="107"/>
      <c r="CG6" s="105"/>
      <c r="CH6" s="105"/>
      <c r="CI6" s="105"/>
      <c r="CJ6" s="105"/>
      <c r="CK6" s="105"/>
      <c r="CL6" s="105"/>
    </row>
    <row r="7" spans="1:90" ht="24">
      <c r="A7" s="330" t="s">
        <v>1266</v>
      </c>
      <c r="B7" s="331" t="s">
        <v>97</v>
      </c>
      <c r="C7" s="88"/>
      <c r="D7" s="294" t="s">
        <v>98</v>
      </c>
      <c r="E7" s="295">
        <v>0</v>
      </c>
      <c r="F7" s="429" t="s">
        <v>1255</v>
      </c>
      <c r="G7" s="430" t="s">
        <v>372</v>
      </c>
      <c r="H7" s="431" t="s">
        <v>98</v>
      </c>
      <c r="I7" s="431" t="s">
        <v>98</v>
      </c>
      <c r="J7" s="89">
        <v>1</v>
      </c>
      <c r="K7" s="430" t="s">
        <v>679</v>
      </c>
      <c r="L7" s="90">
        <f t="shared" ref="L7:L16" si="0">IF($A7=L$1,1,0)</f>
        <v>1</v>
      </c>
      <c r="M7" s="91"/>
      <c r="N7" s="92"/>
      <c r="O7" s="93"/>
      <c r="P7" s="90">
        <f t="shared" ref="P7:P16" si="1">IF($A7=P$1,1,0)</f>
        <v>0</v>
      </c>
      <c r="Q7" s="91"/>
      <c r="R7" s="92"/>
      <c r="S7" s="93"/>
      <c r="T7" s="90">
        <f t="shared" ref="T7:T16" si="2">IF($A7=T$1,1,0)</f>
        <v>0</v>
      </c>
      <c r="U7" s="91"/>
      <c r="V7" s="92"/>
      <c r="W7" s="93"/>
      <c r="X7" s="90">
        <f t="shared" ref="X7:X16" si="3">IF($A7=X$1,1,0)</f>
        <v>0</v>
      </c>
      <c r="Y7" s="91"/>
      <c r="Z7" s="92"/>
      <c r="AA7" s="93"/>
      <c r="AB7" s="90">
        <f t="shared" ref="AB7:AB16" si="4">IF($A7=AB$1,1,0)</f>
        <v>0</v>
      </c>
      <c r="AC7" s="91"/>
      <c r="AD7" s="92"/>
      <c r="AE7" s="93"/>
      <c r="AF7" s="90">
        <f t="shared" ref="AF7:AF16" si="5">IF($A7=AF$1,1,0)</f>
        <v>0</v>
      </c>
      <c r="AG7" s="91"/>
      <c r="AH7" s="92"/>
      <c r="AI7" s="93"/>
      <c r="AJ7" s="90">
        <f t="shared" ref="AJ7:AJ16" si="6">IF($A7=AJ$1,1,0)</f>
        <v>0</v>
      </c>
      <c r="AK7" s="91"/>
      <c r="AL7" s="92"/>
      <c r="AM7" s="93"/>
      <c r="AN7" s="90">
        <f t="shared" ref="AN7:AN16" si="7">IF($A7=AN$1,1,0)</f>
        <v>0</v>
      </c>
      <c r="AO7" s="91"/>
      <c r="AP7" s="92"/>
      <c r="AQ7" s="93"/>
      <c r="AR7" s="90">
        <f t="shared" ref="AR7:AR14" si="8">IF($A7=AR$1,1,0)</f>
        <v>0</v>
      </c>
      <c r="AS7" s="91"/>
      <c r="AT7" s="92"/>
      <c r="AU7" s="206"/>
      <c r="AV7" s="90">
        <f t="shared" ref="AV7:AV14" si="9">IF($A7=AV$1,1,0)</f>
        <v>0</v>
      </c>
      <c r="AW7" s="91"/>
      <c r="AX7" s="92"/>
      <c r="AY7" s="206"/>
      <c r="AZ7" s="427"/>
      <c r="BA7" s="90"/>
      <c r="BB7" s="101"/>
      <c r="BC7" s="97"/>
      <c r="BD7" s="97"/>
      <c r="BE7" s="97"/>
      <c r="BF7" s="97"/>
      <c r="BG7" s="97"/>
      <c r="BH7" s="97"/>
      <c r="BI7" s="104"/>
      <c r="BJ7" s="104"/>
      <c r="BK7" s="104"/>
      <c r="BL7" s="104"/>
      <c r="BM7" s="104"/>
      <c r="BN7" s="104"/>
      <c r="BO7" s="104"/>
      <c r="BP7" s="104"/>
      <c r="BQ7" s="104"/>
      <c r="BR7" s="104"/>
      <c r="BS7" s="104"/>
      <c r="BU7" s="90"/>
      <c r="BV7" s="97"/>
      <c r="BW7" s="97"/>
      <c r="BX7" s="97"/>
      <c r="BY7" s="97"/>
      <c r="BZ7" s="97"/>
      <c r="CA7" s="97"/>
      <c r="CB7" s="104"/>
      <c r="CC7" s="104"/>
      <c r="CD7" s="104"/>
      <c r="CE7" s="104"/>
      <c r="CF7" s="104"/>
      <c r="CG7" s="104"/>
      <c r="CH7" s="104"/>
      <c r="CI7" s="104"/>
      <c r="CJ7" s="104"/>
      <c r="CK7" s="104"/>
      <c r="CL7" s="104"/>
    </row>
    <row r="8" spans="1:90" ht="24">
      <c r="A8" s="330" t="s">
        <v>1267</v>
      </c>
      <c r="B8" s="331"/>
      <c r="C8" s="88"/>
      <c r="D8" s="294" t="s">
        <v>98</v>
      </c>
      <c r="E8" s="295">
        <v>0</v>
      </c>
      <c r="F8" s="429" t="s">
        <v>1256</v>
      </c>
      <c r="G8" s="430" t="s">
        <v>372</v>
      </c>
      <c r="H8" s="431" t="s">
        <v>98</v>
      </c>
      <c r="I8" s="431" t="s">
        <v>98</v>
      </c>
      <c r="J8" s="89">
        <v>1</v>
      </c>
      <c r="K8" s="430" t="s">
        <v>679</v>
      </c>
      <c r="L8" s="90">
        <f t="shared" si="0"/>
        <v>0</v>
      </c>
      <c r="M8" s="91"/>
      <c r="N8" s="92"/>
      <c r="O8" s="93"/>
      <c r="P8" s="90">
        <f t="shared" si="1"/>
        <v>1</v>
      </c>
      <c r="Q8" s="91"/>
      <c r="R8" s="92"/>
      <c r="S8" s="93"/>
      <c r="T8" s="90">
        <f t="shared" si="2"/>
        <v>0</v>
      </c>
      <c r="U8" s="91"/>
      <c r="V8" s="92"/>
      <c r="W8" s="93"/>
      <c r="X8" s="90">
        <f t="shared" si="3"/>
        <v>0</v>
      </c>
      <c r="Y8" s="91"/>
      <c r="Z8" s="92"/>
      <c r="AA8" s="93"/>
      <c r="AB8" s="90">
        <f t="shared" si="4"/>
        <v>0</v>
      </c>
      <c r="AC8" s="91"/>
      <c r="AD8" s="92"/>
      <c r="AE8" s="93"/>
      <c r="AF8" s="90">
        <f t="shared" si="5"/>
        <v>0</v>
      </c>
      <c r="AG8" s="91"/>
      <c r="AH8" s="92"/>
      <c r="AI8" s="93"/>
      <c r="AJ8" s="90">
        <f t="shared" si="6"/>
        <v>0</v>
      </c>
      <c r="AK8" s="91"/>
      <c r="AL8" s="92"/>
      <c r="AM8" s="93"/>
      <c r="AN8" s="90">
        <f t="shared" si="7"/>
        <v>0</v>
      </c>
      <c r="AO8" s="91"/>
      <c r="AP8" s="92"/>
      <c r="AQ8" s="93"/>
      <c r="AR8" s="90">
        <f t="shared" si="8"/>
        <v>0</v>
      </c>
      <c r="AS8" s="91"/>
      <c r="AT8" s="92"/>
      <c r="AU8" s="206"/>
      <c r="AV8" s="90">
        <f t="shared" si="9"/>
        <v>0</v>
      </c>
      <c r="AW8" s="91"/>
      <c r="AX8" s="92"/>
      <c r="AY8" s="206"/>
      <c r="AZ8" s="427"/>
      <c r="BA8" s="90"/>
      <c r="BB8" s="101"/>
      <c r="BC8" s="97"/>
      <c r="BD8" s="97"/>
      <c r="BE8" s="97"/>
      <c r="BF8" s="97"/>
      <c r="BG8" s="97"/>
      <c r="BH8" s="97"/>
      <c r="BI8" s="104"/>
      <c r="BJ8" s="104"/>
      <c r="BK8" s="104"/>
      <c r="BL8" s="104"/>
      <c r="BM8" s="104"/>
      <c r="BN8" s="104"/>
      <c r="BO8" s="104"/>
      <c r="BP8" s="104"/>
      <c r="BQ8" s="104"/>
      <c r="BR8" s="104"/>
      <c r="BS8" s="104"/>
      <c r="BU8" s="90"/>
      <c r="BV8" s="97"/>
      <c r="BW8" s="97"/>
      <c r="BX8" s="97"/>
      <c r="BY8" s="97"/>
      <c r="BZ8" s="97"/>
      <c r="CA8" s="97"/>
      <c r="CB8" s="104"/>
      <c r="CC8" s="104"/>
      <c r="CD8" s="104"/>
      <c r="CE8" s="104"/>
      <c r="CF8" s="104"/>
      <c r="CG8" s="104"/>
      <c r="CH8" s="104"/>
      <c r="CI8" s="104"/>
      <c r="CJ8" s="104"/>
      <c r="CK8" s="104"/>
      <c r="CL8" s="104"/>
    </row>
    <row r="9" spans="1:90" ht="24">
      <c r="A9" s="330" t="s">
        <v>1268</v>
      </c>
      <c r="B9" s="331"/>
      <c r="C9" s="88"/>
      <c r="D9" s="294" t="s">
        <v>98</v>
      </c>
      <c r="E9" s="295">
        <v>0</v>
      </c>
      <c r="F9" s="429" t="s">
        <v>1257</v>
      </c>
      <c r="G9" s="430" t="s">
        <v>215</v>
      </c>
      <c r="H9" s="431" t="s">
        <v>98</v>
      </c>
      <c r="I9" s="431" t="s">
        <v>98</v>
      </c>
      <c r="J9" s="89">
        <v>1</v>
      </c>
      <c r="K9" s="430" t="s">
        <v>679</v>
      </c>
      <c r="L9" s="90">
        <f t="shared" si="0"/>
        <v>0</v>
      </c>
      <c r="M9" s="91"/>
      <c r="N9" s="92"/>
      <c r="O9" s="93"/>
      <c r="P9" s="90">
        <f t="shared" si="1"/>
        <v>0</v>
      </c>
      <c r="Q9" s="91"/>
      <c r="R9" s="92"/>
      <c r="S9" s="93"/>
      <c r="T9" s="90">
        <f t="shared" si="2"/>
        <v>1</v>
      </c>
      <c r="U9" s="91"/>
      <c r="V9" s="92"/>
      <c r="W9" s="93"/>
      <c r="X9" s="90">
        <f t="shared" si="3"/>
        <v>0</v>
      </c>
      <c r="Y9" s="91"/>
      <c r="Z9" s="92"/>
      <c r="AA9" s="93"/>
      <c r="AB9" s="90">
        <f t="shared" si="4"/>
        <v>0</v>
      </c>
      <c r="AC9" s="91"/>
      <c r="AD9" s="92"/>
      <c r="AE9" s="93"/>
      <c r="AF9" s="90">
        <f t="shared" si="5"/>
        <v>0</v>
      </c>
      <c r="AG9" s="91"/>
      <c r="AH9" s="92"/>
      <c r="AI9" s="93"/>
      <c r="AJ9" s="90">
        <f t="shared" si="6"/>
        <v>0</v>
      </c>
      <c r="AK9" s="91"/>
      <c r="AL9" s="92"/>
      <c r="AM9" s="93"/>
      <c r="AN9" s="90">
        <f t="shared" si="7"/>
        <v>0</v>
      </c>
      <c r="AO9" s="91"/>
      <c r="AP9" s="92"/>
      <c r="AQ9" s="93"/>
      <c r="AR9" s="90">
        <f t="shared" si="8"/>
        <v>0</v>
      </c>
      <c r="AS9" s="91"/>
      <c r="AT9" s="92"/>
      <c r="AU9" s="206"/>
      <c r="AV9" s="90">
        <f t="shared" si="9"/>
        <v>0</v>
      </c>
      <c r="AW9" s="91"/>
      <c r="AX9" s="92"/>
      <c r="AY9" s="206"/>
      <c r="AZ9" s="427"/>
      <c r="BA9" s="90"/>
      <c r="BB9" s="101"/>
      <c r="BC9" s="97"/>
      <c r="BD9" s="97"/>
      <c r="BE9" s="97"/>
      <c r="BF9" s="97"/>
      <c r="BG9" s="97"/>
      <c r="BH9" s="97"/>
      <c r="BI9" s="104"/>
      <c r="BJ9" s="104"/>
      <c r="BK9" s="104"/>
      <c r="BL9" s="104"/>
      <c r="BM9" s="104"/>
      <c r="BN9" s="104"/>
      <c r="BO9" s="104"/>
      <c r="BP9" s="104"/>
      <c r="BQ9" s="104"/>
      <c r="BR9" s="104"/>
      <c r="BS9" s="104"/>
      <c r="BU9" s="90"/>
      <c r="BV9" s="97"/>
      <c r="BW9" s="97"/>
      <c r="BX9" s="97"/>
      <c r="BY9" s="97"/>
      <c r="BZ9" s="97"/>
      <c r="CA9" s="97"/>
      <c r="CB9" s="104"/>
      <c r="CC9" s="104"/>
      <c r="CD9" s="104"/>
      <c r="CE9" s="104"/>
      <c r="CF9" s="104"/>
      <c r="CG9" s="104"/>
      <c r="CH9" s="104"/>
      <c r="CI9" s="104"/>
      <c r="CJ9" s="104"/>
      <c r="CK9" s="104"/>
      <c r="CL9" s="104"/>
    </row>
    <row r="10" spans="1:90" ht="24">
      <c r="A10" s="330" t="s">
        <v>1269</v>
      </c>
      <c r="B10" s="331"/>
      <c r="C10" s="88"/>
      <c r="D10" s="294" t="s">
        <v>98</v>
      </c>
      <c r="E10" s="295">
        <v>0</v>
      </c>
      <c r="F10" s="429" t="s">
        <v>1258</v>
      </c>
      <c r="G10" s="430" t="s">
        <v>215</v>
      </c>
      <c r="H10" s="431" t="s">
        <v>98</v>
      </c>
      <c r="I10" s="431" t="s">
        <v>98</v>
      </c>
      <c r="J10" s="89">
        <v>1</v>
      </c>
      <c r="K10" s="430" t="s">
        <v>679</v>
      </c>
      <c r="L10" s="90">
        <f t="shared" si="0"/>
        <v>0</v>
      </c>
      <c r="M10" s="91"/>
      <c r="N10" s="92"/>
      <c r="O10" s="93"/>
      <c r="P10" s="90">
        <f t="shared" si="1"/>
        <v>0</v>
      </c>
      <c r="Q10" s="91"/>
      <c r="R10" s="92"/>
      <c r="S10" s="93"/>
      <c r="T10" s="90">
        <f t="shared" si="2"/>
        <v>0</v>
      </c>
      <c r="U10" s="91"/>
      <c r="V10" s="92"/>
      <c r="W10" s="93"/>
      <c r="X10" s="90">
        <f t="shared" si="3"/>
        <v>1</v>
      </c>
      <c r="Y10" s="91"/>
      <c r="Z10" s="92"/>
      <c r="AA10" s="93"/>
      <c r="AB10" s="90">
        <f t="shared" si="4"/>
        <v>0</v>
      </c>
      <c r="AC10" s="91"/>
      <c r="AD10" s="92"/>
      <c r="AE10" s="93"/>
      <c r="AF10" s="90">
        <f t="shared" si="5"/>
        <v>0</v>
      </c>
      <c r="AG10" s="91"/>
      <c r="AH10" s="92"/>
      <c r="AI10" s="93"/>
      <c r="AJ10" s="90">
        <f t="shared" si="6"/>
        <v>0</v>
      </c>
      <c r="AK10" s="91"/>
      <c r="AL10" s="92"/>
      <c r="AM10" s="93"/>
      <c r="AN10" s="90">
        <f t="shared" si="7"/>
        <v>0</v>
      </c>
      <c r="AO10" s="91"/>
      <c r="AP10" s="92"/>
      <c r="AQ10" s="93"/>
      <c r="AR10" s="90">
        <f t="shared" si="8"/>
        <v>0</v>
      </c>
      <c r="AS10" s="91"/>
      <c r="AT10" s="92"/>
      <c r="AU10" s="206"/>
      <c r="AV10" s="90">
        <f t="shared" si="9"/>
        <v>0</v>
      </c>
      <c r="AW10" s="91"/>
      <c r="AX10" s="92"/>
      <c r="AY10" s="206"/>
      <c r="AZ10" s="112"/>
      <c r="BA10" s="90"/>
      <c r="BB10" s="101"/>
      <c r="BC10" s="97"/>
      <c r="BD10" s="97"/>
      <c r="BE10" s="97"/>
      <c r="BF10" s="97"/>
      <c r="BG10" s="97"/>
      <c r="BH10" s="97"/>
      <c r="BI10" s="104"/>
      <c r="BJ10" s="104"/>
      <c r="BK10" s="104"/>
      <c r="BL10" s="104"/>
      <c r="BM10" s="104"/>
      <c r="BN10" s="104"/>
      <c r="BO10" s="104"/>
      <c r="BP10" s="104"/>
      <c r="BQ10" s="104"/>
      <c r="BR10" s="104"/>
      <c r="BS10" s="104"/>
      <c r="BU10" s="90"/>
      <c r="BV10" s="97"/>
      <c r="BW10" s="97"/>
      <c r="BX10" s="97"/>
      <c r="BY10" s="97"/>
      <c r="BZ10" s="97"/>
      <c r="CA10" s="97"/>
      <c r="CB10" s="104"/>
      <c r="CC10" s="104"/>
      <c r="CD10" s="104"/>
      <c r="CE10" s="104"/>
      <c r="CF10" s="104"/>
      <c r="CG10" s="104"/>
      <c r="CH10" s="104"/>
      <c r="CI10" s="104"/>
      <c r="CJ10" s="104"/>
      <c r="CK10" s="104"/>
      <c r="CL10" s="104"/>
    </row>
    <row r="11" spans="1:90" ht="24">
      <c r="A11" s="330" t="s">
        <v>1270</v>
      </c>
      <c r="B11" s="331"/>
      <c r="C11" s="88"/>
      <c r="D11" s="294" t="s">
        <v>98</v>
      </c>
      <c r="E11" s="295">
        <v>0</v>
      </c>
      <c r="F11" s="429" t="s">
        <v>1259</v>
      </c>
      <c r="G11" s="430" t="s">
        <v>373</v>
      </c>
      <c r="H11" s="431" t="s">
        <v>98</v>
      </c>
      <c r="I11" s="431" t="s">
        <v>98</v>
      </c>
      <c r="J11" s="89">
        <v>1</v>
      </c>
      <c r="K11" s="430" t="s">
        <v>679</v>
      </c>
      <c r="L11" s="90">
        <f t="shared" si="0"/>
        <v>0</v>
      </c>
      <c r="M11" s="91"/>
      <c r="N11" s="92"/>
      <c r="O11" s="93"/>
      <c r="P11" s="90">
        <f t="shared" si="1"/>
        <v>0</v>
      </c>
      <c r="Q11" s="91"/>
      <c r="R11" s="92"/>
      <c r="S11" s="93"/>
      <c r="T11" s="90">
        <f t="shared" si="2"/>
        <v>0</v>
      </c>
      <c r="U11" s="91"/>
      <c r="V11" s="92"/>
      <c r="W11" s="93"/>
      <c r="X11" s="90">
        <f t="shared" si="3"/>
        <v>0</v>
      </c>
      <c r="Y11" s="91"/>
      <c r="Z11" s="92"/>
      <c r="AA11" s="93"/>
      <c r="AB11" s="90">
        <f t="shared" si="4"/>
        <v>1</v>
      </c>
      <c r="AC11" s="91"/>
      <c r="AD11" s="92"/>
      <c r="AE11" s="93"/>
      <c r="AF11" s="90">
        <f t="shared" si="5"/>
        <v>0</v>
      </c>
      <c r="AG11" s="91"/>
      <c r="AH11" s="92"/>
      <c r="AI11" s="93"/>
      <c r="AJ11" s="90">
        <f t="shared" si="6"/>
        <v>0</v>
      </c>
      <c r="AK11" s="91"/>
      <c r="AL11" s="92"/>
      <c r="AM11" s="93"/>
      <c r="AN11" s="90">
        <f t="shared" si="7"/>
        <v>0</v>
      </c>
      <c r="AO11" s="91"/>
      <c r="AP11" s="92"/>
      <c r="AQ11" s="93"/>
      <c r="AR11" s="90">
        <f t="shared" si="8"/>
        <v>0</v>
      </c>
      <c r="AS11" s="91"/>
      <c r="AT11" s="92"/>
      <c r="AU11" s="206"/>
      <c r="AV11" s="90">
        <f t="shared" si="9"/>
        <v>0</v>
      </c>
      <c r="AW11" s="91"/>
      <c r="AX11" s="92"/>
      <c r="AY11" s="206"/>
      <c r="AZ11" s="112"/>
      <c r="BA11" s="90"/>
      <c r="BB11" s="101"/>
      <c r="BC11" s="97"/>
      <c r="BD11" s="97"/>
      <c r="BE11" s="97"/>
      <c r="BF11" s="97"/>
      <c r="BG11" s="97"/>
      <c r="BH11" s="97"/>
      <c r="BI11" s="104"/>
      <c r="BJ11" s="104"/>
      <c r="BK11" s="104"/>
      <c r="BL11" s="104"/>
      <c r="BM11" s="104"/>
      <c r="BN11" s="104"/>
      <c r="BO11" s="104"/>
      <c r="BP11" s="104"/>
      <c r="BQ11" s="104"/>
      <c r="BR11" s="104"/>
      <c r="BS11" s="104"/>
      <c r="BU11" s="90"/>
      <c r="BV11" s="97"/>
      <c r="BW11" s="97"/>
      <c r="BX11" s="97"/>
      <c r="BY11" s="97"/>
      <c r="BZ11" s="97"/>
      <c r="CA11" s="97"/>
      <c r="CB11" s="104"/>
      <c r="CC11" s="104"/>
      <c r="CD11" s="104"/>
      <c r="CE11" s="104"/>
      <c r="CF11" s="104"/>
      <c r="CG11" s="104"/>
      <c r="CH11" s="104"/>
      <c r="CI11" s="104"/>
      <c r="CJ11" s="104"/>
      <c r="CK11" s="104"/>
      <c r="CL11" s="104"/>
    </row>
    <row r="12" spans="1:90" ht="24">
      <c r="A12" s="330" t="s">
        <v>1271</v>
      </c>
      <c r="B12" s="331"/>
      <c r="C12" s="88"/>
      <c r="D12" s="294" t="s">
        <v>98</v>
      </c>
      <c r="E12" s="295">
        <v>0</v>
      </c>
      <c r="F12" s="429" t="s">
        <v>1260</v>
      </c>
      <c r="G12" s="430" t="s">
        <v>373</v>
      </c>
      <c r="H12" s="431" t="s">
        <v>98</v>
      </c>
      <c r="I12" s="431" t="s">
        <v>98</v>
      </c>
      <c r="J12" s="89">
        <v>1</v>
      </c>
      <c r="K12" s="430" t="s">
        <v>679</v>
      </c>
      <c r="L12" s="90">
        <f t="shared" si="0"/>
        <v>0</v>
      </c>
      <c r="M12" s="91"/>
      <c r="N12" s="92"/>
      <c r="O12" s="93"/>
      <c r="P12" s="90">
        <f t="shared" si="1"/>
        <v>0</v>
      </c>
      <c r="Q12" s="91"/>
      <c r="R12" s="92"/>
      <c r="S12" s="93"/>
      <c r="T12" s="90">
        <f t="shared" si="2"/>
        <v>0</v>
      </c>
      <c r="U12" s="91"/>
      <c r="V12" s="92"/>
      <c r="W12" s="93"/>
      <c r="X12" s="90">
        <f t="shared" si="3"/>
        <v>0</v>
      </c>
      <c r="Y12" s="91"/>
      <c r="Z12" s="92"/>
      <c r="AA12" s="93"/>
      <c r="AB12" s="90">
        <f t="shared" si="4"/>
        <v>0</v>
      </c>
      <c r="AC12" s="91"/>
      <c r="AD12" s="92"/>
      <c r="AE12" s="93"/>
      <c r="AF12" s="90">
        <f t="shared" si="5"/>
        <v>1</v>
      </c>
      <c r="AG12" s="91"/>
      <c r="AH12" s="92"/>
      <c r="AI12" s="93"/>
      <c r="AJ12" s="90">
        <f t="shared" si="6"/>
        <v>0</v>
      </c>
      <c r="AK12" s="91"/>
      <c r="AL12" s="92"/>
      <c r="AM12" s="93"/>
      <c r="AN12" s="90">
        <f t="shared" si="7"/>
        <v>0</v>
      </c>
      <c r="AO12" s="91"/>
      <c r="AP12" s="92"/>
      <c r="AQ12" s="93"/>
      <c r="AR12" s="90">
        <f t="shared" si="8"/>
        <v>0</v>
      </c>
      <c r="AS12" s="91"/>
      <c r="AT12" s="92"/>
      <c r="AU12" s="206"/>
      <c r="AV12" s="90">
        <f t="shared" si="9"/>
        <v>0</v>
      </c>
      <c r="AW12" s="91"/>
      <c r="AX12" s="92"/>
      <c r="AY12" s="206"/>
      <c r="AZ12" s="112"/>
      <c r="BA12" s="90"/>
      <c r="BB12" s="101"/>
      <c r="BC12" s="97"/>
      <c r="BD12" s="97"/>
      <c r="BE12" s="97"/>
      <c r="BF12" s="97"/>
      <c r="BG12" s="97"/>
      <c r="BH12" s="97"/>
      <c r="BI12" s="104"/>
      <c r="BJ12" s="104"/>
      <c r="BK12" s="104"/>
      <c r="BL12" s="104"/>
      <c r="BM12" s="104"/>
      <c r="BN12" s="104"/>
      <c r="BO12" s="104"/>
      <c r="BP12" s="104"/>
      <c r="BQ12" s="104"/>
      <c r="BR12" s="104"/>
      <c r="BS12" s="104"/>
      <c r="BU12" s="90"/>
      <c r="BV12" s="97"/>
      <c r="BW12" s="97"/>
      <c r="BX12" s="97"/>
      <c r="BY12" s="97"/>
      <c r="BZ12" s="97"/>
      <c r="CA12" s="97"/>
      <c r="CB12" s="104"/>
      <c r="CC12" s="104"/>
      <c r="CD12" s="104"/>
      <c r="CE12" s="104"/>
      <c r="CF12" s="104"/>
      <c r="CG12" s="104"/>
      <c r="CH12" s="104"/>
      <c r="CI12" s="104"/>
      <c r="CJ12" s="104"/>
      <c r="CK12" s="104"/>
      <c r="CL12" s="104"/>
    </row>
    <row r="13" spans="1:90" ht="24">
      <c r="A13" s="330" t="s">
        <v>1272</v>
      </c>
      <c r="B13" s="331"/>
      <c r="C13" s="88"/>
      <c r="D13" s="294" t="s">
        <v>98</v>
      </c>
      <c r="E13" s="295">
        <v>0</v>
      </c>
      <c r="F13" s="429" t="s">
        <v>1261</v>
      </c>
      <c r="G13" s="430" t="s">
        <v>93</v>
      </c>
      <c r="H13" s="431" t="s">
        <v>98</v>
      </c>
      <c r="I13" s="431" t="s">
        <v>98</v>
      </c>
      <c r="J13" s="89">
        <v>1</v>
      </c>
      <c r="K13" s="430" t="s">
        <v>679</v>
      </c>
      <c r="L13" s="90">
        <f t="shared" si="0"/>
        <v>0</v>
      </c>
      <c r="M13" s="91"/>
      <c r="N13" s="92"/>
      <c r="O13" s="93"/>
      <c r="P13" s="90">
        <f t="shared" si="1"/>
        <v>0</v>
      </c>
      <c r="Q13" s="91"/>
      <c r="R13" s="92"/>
      <c r="S13" s="93"/>
      <c r="T13" s="90">
        <f t="shared" si="2"/>
        <v>0</v>
      </c>
      <c r="U13" s="91"/>
      <c r="V13" s="92"/>
      <c r="W13" s="93"/>
      <c r="X13" s="90">
        <f t="shared" si="3"/>
        <v>0</v>
      </c>
      <c r="Y13" s="91"/>
      <c r="Z13" s="92"/>
      <c r="AA13" s="93"/>
      <c r="AB13" s="90">
        <f t="shared" si="4"/>
        <v>0</v>
      </c>
      <c r="AC13" s="91"/>
      <c r="AD13" s="92"/>
      <c r="AE13" s="93"/>
      <c r="AF13" s="90">
        <f t="shared" si="5"/>
        <v>0</v>
      </c>
      <c r="AG13" s="91"/>
      <c r="AH13" s="92"/>
      <c r="AI13" s="93"/>
      <c r="AJ13" s="90">
        <f t="shared" si="6"/>
        <v>1</v>
      </c>
      <c r="AK13" s="91"/>
      <c r="AL13" s="92"/>
      <c r="AM13" s="93"/>
      <c r="AN13" s="90">
        <f t="shared" si="7"/>
        <v>0</v>
      </c>
      <c r="AO13" s="91"/>
      <c r="AP13" s="92"/>
      <c r="AQ13" s="93"/>
      <c r="AR13" s="90">
        <f t="shared" si="8"/>
        <v>0</v>
      </c>
      <c r="AS13" s="91"/>
      <c r="AT13" s="92"/>
      <c r="AU13" s="206"/>
      <c r="AV13" s="90">
        <f t="shared" si="9"/>
        <v>0</v>
      </c>
      <c r="AW13" s="91"/>
      <c r="AX13" s="92"/>
      <c r="AY13" s="206"/>
      <c r="AZ13" s="112"/>
      <c r="BA13" s="90"/>
      <c r="BB13" s="101"/>
      <c r="BC13" s="97"/>
      <c r="BD13" s="97"/>
      <c r="BE13" s="97"/>
      <c r="BF13" s="97"/>
      <c r="BG13" s="97"/>
      <c r="BH13" s="97"/>
      <c r="BI13" s="104"/>
      <c r="BJ13" s="104"/>
      <c r="BK13" s="104"/>
      <c r="BL13" s="104"/>
      <c r="BM13" s="104"/>
      <c r="BN13" s="104"/>
      <c r="BO13" s="104"/>
      <c r="BP13" s="104"/>
      <c r="BQ13" s="104"/>
      <c r="BR13" s="104"/>
      <c r="BS13" s="104"/>
      <c r="BU13" s="90"/>
      <c r="BV13" s="97"/>
      <c r="BW13" s="97"/>
      <c r="BX13" s="97"/>
      <c r="BY13" s="97"/>
      <c r="BZ13" s="97"/>
      <c r="CA13" s="97"/>
      <c r="CB13" s="104"/>
      <c r="CC13" s="104"/>
      <c r="CD13" s="104"/>
      <c r="CE13" s="104"/>
      <c r="CF13" s="104"/>
      <c r="CG13" s="104"/>
      <c r="CH13" s="104"/>
      <c r="CI13" s="104"/>
      <c r="CJ13" s="104"/>
      <c r="CK13" s="104"/>
      <c r="CL13" s="104"/>
    </row>
    <row r="14" spans="1:90" ht="24">
      <c r="A14" s="330" t="s">
        <v>1273</v>
      </c>
      <c r="B14" s="331"/>
      <c r="C14" s="88"/>
      <c r="D14" s="294" t="s">
        <v>98</v>
      </c>
      <c r="E14" s="295">
        <v>0</v>
      </c>
      <c r="F14" s="429" t="s">
        <v>1262</v>
      </c>
      <c r="G14" s="430" t="s">
        <v>93</v>
      </c>
      <c r="H14" s="431" t="s">
        <v>98</v>
      </c>
      <c r="I14" s="431" t="s">
        <v>98</v>
      </c>
      <c r="J14" s="89">
        <v>1</v>
      </c>
      <c r="K14" s="430" t="s">
        <v>679</v>
      </c>
      <c r="L14" s="90">
        <f t="shared" si="0"/>
        <v>0</v>
      </c>
      <c r="M14" s="91"/>
      <c r="N14" s="92"/>
      <c r="O14" s="93"/>
      <c r="P14" s="90">
        <f t="shared" si="1"/>
        <v>0</v>
      </c>
      <c r="Q14" s="91"/>
      <c r="R14" s="92"/>
      <c r="S14" s="93"/>
      <c r="T14" s="90">
        <f t="shared" si="2"/>
        <v>0</v>
      </c>
      <c r="U14" s="91"/>
      <c r="V14" s="92"/>
      <c r="W14" s="93"/>
      <c r="X14" s="90">
        <f t="shared" si="3"/>
        <v>0</v>
      </c>
      <c r="Y14" s="91"/>
      <c r="Z14" s="92"/>
      <c r="AA14" s="93"/>
      <c r="AB14" s="90">
        <f t="shared" si="4"/>
        <v>0</v>
      </c>
      <c r="AC14" s="91"/>
      <c r="AD14" s="92"/>
      <c r="AE14" s="93"/>
      <c r="AF14" s="90">
        <f t="shared" si="5"/>
        <v>0</v>
      </c>
      <c r="AG14" s="91"/>
      <c r="AH14" s="92"/>
      <c r="AI14" s="93"/>
      <c r="AJ14" s="90">
        <f t="shared" si="6"/>
        <v>0</v>
      </c>
      <c r="AK14" s="91"/>
      <c r="AL14" s="92"/>
      <c r="AM14" s="93"/>
      <c r="AN14" s="90">
        <f t="shared" si="7"/>
        <v>1</v>
      </c>
      <c r="AO14" s="91"/>
      <c r="AP14" s="92"/>
      <c r="AQ14" s="93"/>
      <c r="AR14" s="90">
        <f t="shared" si="8"/>
        <v>0</v>
      </c>
      <c r="AS14" s="91"/>
      <c r="AT14" s="92"/>
      <c r="AU14" s="206"/>
      <c r="AV14" s="90">
        <f t="shared" si="9"/>
        <v>0</v>
      </c>
      <c r="AW14" s="91"/>
      <c r="AX14" s="92"/>
      <c r="AY14" s="206"/>
      <c r="AZ14" s="112"/>
      <c r="BA14" s="90"/>
      <c r="BB14" s="101"/>
      <c r="BC14" s="97"/>
      <c r="BD14" s="97"/>
      <c r="BE14" s="97"/>
      <c r="BF14" s="97"/>
      <c r="BG14" s="97"/>
      <c r="BH14" s="97"/>
      <c r="BI14" s="104"/>
      <c r="BJ14" s="104"/>
      <c r="BK14" s="104"/>
      <c r="BL14" s="104"/>
      <c r="BM14" s="104"/>
      <c r="BN14" s="104"/>
      <c r="BO14" s="104"/>
      <c r="BP14" s="104"/>
      <c r="BQ14" s="104"/>
      <c r="BR14" s="104"/>
      <c r="BS14" s="104"/>
      <c r="BU14" s="90"/>
      <c r="BV14" s="97"/>
      <c r="BW14" s="97"/>
      <c r="BX14" s="97"/>
      <c r="BY14" s="97"/>
      <c r="BZ14" s="97"/>
      <c r="CA14" s="97"/>
      <c r="CB14" s="104"/>
      <c r="CC14" s="104"/>
      <c r="CD14" s="104"/>
      <c r="CE14" s="104"/>
      <c r="CF14" s="104"/>
      <c r="CG14" s="104"/>
      <c r="CH14" s="104"/>
      <c r="CI14" s="104"/>
      <c r="CJ14" s="104"/>
      <c r="CK14" s="104"/>
      <c r="CL14" s="104"/>
    </row>
    <row r="15" spans="1:90" ht="24">
      <c r="A15" s="330" t="s">
        <v>1252</v>
      </c>
      <c r="B15" s="331"/>
      <c r="C15" s="88"/>
      <c r="D15" s="294" t="s">
        <v>98</v>
      </c>
      <c r="E15" s="295">
        <v>0</v>
      </c>
      <c r="F15" s="429" t="s">
        <v>1263</v>
      </c>
      <c r="G15" s="430" t="s">
        <v>340</v>
      </c>
      <c r="H15" s="431" t="s">
        <v>98</v>
      </c>
      <c r="I15" s="431" t="s">
        <v>98</v>
      </c>
      <c r="J15" s="89">
        <v>1</v>
      </c>
      <c r="K15" s="430" t="s">
        <v>679</v>
      </c>
      <c r="L15" s="90">
        <f t="shared" si="0"/>
        <v>0</v>
      </c>
      <c r="M15" s="91"/>
      <c r="N15" s="92"/>
      <c r="O15" s="93"/>
      <c r="P15" s="90">
        <f t="shared" si="1"/>
        <v>0</v>
      </c>
      <c r="Q15" s="91"/>
      <c r="R15" s="92"/>
      <c r="S15" s="93"/>
      <c r="T15" s="90">
        <f t="shared" si="2"/>
        <v>0</v>
      </c>
      <c r="U15" s="91"/>
      <c r="V15" s="92"/>
      <c r="W15" s="93"/>
      <c r="X15" s="90">
        <f t="shared" si="3"/>
        <v>0</v>
      </c>
      <c r="Y15" s="91"/>
      <c r="Z15" s="92"/>
      <c r="AA15" s="93"/>
      <c r="AB15" s="90">
        <f t="shared" si="4"/>
        <v>0</v>
      </c>
      <c r="AC15" s="91"/>
      <c r="AD15" s="92"/>
      <c r="AE15" s="93"/>
      <c r="AF15" s="90">
        <f t="shared" si="5"/>
        <v>0</v>
      </c>
      <c r="AG15" s="91"/>
      <c r="AH15" s="92"/>
      <c r="AI15" s="93"/>
      <c r="AJ15" s="90">
        <f t="shared" si="6"/>
        <v>0</v>
      </c>
      <c r="AK15" s="91"/>
      <c r="AL15" s="92"/>
      <c r="AM15" s="93"/>
      <c r="AN15" s="90">
        <f t="shared" si="7"/>
        <v>0</v>
      </c>
      <c r="AO15" s="91"/>
      <c r="AP15" s="92"/>
      <c r="AQ15" s="93"/>
      <c r="AR15" s="90">
        <v>1</v>
      </c>
      <c r="AS15" s="91"/>
      <c r="AT15" s="92"/>
      <c r="AU15" s="206"/>
      <c r="AV15" s="90">
        <v>0</v>
      </c>
      <c r="AW15" s="91"/>
      <c r="AX15" s="92"/>
      <c r="AY15" s="206"/>
      <c r="AZ15" s="112"/>
      <c r="BA15" s="90"/>
      <c r="BB15" s="101"/>
      <c r="BC15" s="97"/>
      <c r="BD15" s="97"/>
      <c r="BE15" s="97"/>
      <c r="BF15" s="97"/>
      <c r="BG15" s="97"/>
      <c r="BH15" s="97"/>
      <c r="BI15" s="104"/>
      <c r="BJ15" s="104"/>
      <c r="BK15" s="104"/>
      <c r="BL15" s="104"/>
      <c r="BM15" s="104"/>
      <c r="BN15" s="104"/>
      <c r="BO15" s="104"/>
      <c r="BP15" s="104"/>
      <c r="BQ15" s="104"/>
      <c r="BR15" s="104"/>
      <c r="BS15" s="104"/>
      <c r="BU15" s="90"/>
      <c r="BV15" s="97"/>
      <c r="BW15" s="97"/>
      <c r="BX15" s="97"/>
      <c r="BY15" s="97"/>
      <c r="BZ15" s="97"/>
      <c r="CA15" s="97"/>
      <c r="CB15" s="104"/>
      <c r="CC15" s="104"/>
      <c r="CD15" s="104"/>
      <c r="CE15" s="104"/>
      <c r="CF15" s="104"/>
      <c r="CG15" s="104"/>
      <c r="CH15" s="104"/>
      <c r="CI15" s="104"/>
      <c r="CJ15" s="104"/>
      <c r="CK15" s="104"/>
      <c r="CL15" s="104"/>
    </row>
    <row r="16" spans="1:90" ht="24">
      <c r="A16" s="330" t="s">
        <v>1253</v>
      </c>
      <c r="B16" s="331"/>
      <c r="C16" s="88"/>
      <c r="D16" s="294" t="s">
        <v>98</v>
      </c>
      <c r="E16" s="295">
        <v>0</v>
      </c>
      <c r="F16" s="429" t="s">
        <v>1264</v>
      </c>
      <c r="G16" s="430" t="s">
        <v>372</v>
      </c>
      <c r="H16" s="431" t="s">
        <v>98</v>
      </c>
      <c r="I16" s="431" t="s">
        <v>98</v>
      </c>
      <c r="J16" s="89">
        <v>1</v>
      </c>
      <c r="K16" s="430" t="s">
        <v>679</v>
      </c>
      <c r="L16" s="90">
        <f t="shared" si="0"/>
        <v>0</v>
      </c>
      <c r="M16" s="91"/>
      <c r="N16" s="92"/>
      <c r="O16" s="93"/>
      <c r="P16" s="90">
        <f t="shared" si="1"/>
        <v>0</v>
      </c>
      <c r="Q16" s="91"/>
      <c r="R16" s="92"/>
      <c r="S16" s="93"/>
      <c r="T16" s="90">
        <f t="shared" si="2"/>
        <v>0</v>
      </c>
      <c r="U16" s="91"/>
      <c r="V16" s="92"/>
      <c r="W16" s="93"/>
      <c r="X16" s="90">
        <f t="shared" si="3"/>
        <v>0</v>
      </c>
      <c r="Y16" s="91"/>
      <c r="Z16" s="92"/>
      <c r="AA16" s="93"/>
      <c r="AB16" s="90">
        <f t="shared" si="4"/>
        <v>0</v>
      </c>
      <c r="AC16" s="91"/>
      <c r="AD16" s="92"/>
      <c r="AE16" s="93"/>
      <c r="AF16" s="90">
        <f t="shared" si="5"/>
        <v>0</v>
      </c>
      <c r="AG16" s="91"/>
      <c r="AH16" s="92"/>
      <c r="AI16" s="93"/>
      <c r="AJ16" s="90">
        <f t="shared" si="6"/>
        <v>0</v>
      </c>
      <c r="AK16" s="91"/>
      <c r="AL16" s="92"/>
      <c r="AM16" s="93"/>
      <c r="AN16" s="90">
        <f t="shared" si="7"/>
        <v>0</v>
      </c>
      <c r="AO16" s="91"/>
      <c r="AP16" s="92"/>
      <c r="AQ16" s="93"/>
      <c r="AR16" s="90">
        <v>0</v>
      </c>
      <c r="AS16" s="91"/>
      <c r="AT16" s="92"/>
      <c r="AU16" s="206"/>
      <c r="AV16" s="90">
        <v>1</v>
      </c>
      <c r="AW16" s="91"/>
      <c r="AX16" s="92"/>
      <c r="AY16" s="206"/>
      <c r="AZ16" s="112"/>
      <c r="BA16" s="90"/>
      <c r="BB16" s="101"/>
      <c r="BC16" s="97"/>
      <c r="BD16" s="97"/>
      <c r="BE16" s="97"/>
      <c r="BF16" s="97"/>
      <c r="BG16" s="97"/>
      <c r="BH16" s="97"/>
      <c r="BI16" s="104"/>
      <c r="BJ16" s="104"/>
      <c r="BK16" s="104"/>
      <c r="BL16" s="104"/>
      <c r="BM16" s="104"/>
      <c r="BN16" s="104"/>
      <c r="BO16" s="104"/>
      <c r="BP16" s="104"/>
      <c r="BQ16" s="104"/>
      <c r="BR16" s="104"/>
      <c r="BS16" s="104"/>
      <c r="BU16" s="90"/>
      <c r="BV16" s="97"/>
      <c r="BW16" s="97"/>
      <c r="BX16" s="97"/>
      <c r="BY16" s="97"/>
      <c r="BZ16" s="97"/>
      <c r="CA16" s="97"/>
      <c r="CB16" s="104"/>
      <c r="CC16" s="104"/>
      <c r="CD16" s="104"/>
      <c r="CE16" s="104"/>
      <c r="CF16" s="104"/>
      <c r="CG16" s="104"/>
      <c r="CH16" s="104"/>
      <c r="CI16" s="104"/>
      <c r="CJ16" s="104"/>
      <c r="CK16" s="104"/>
      <c r="CL16" s="104"/>
    </row>
    <row r="17" spans="1:90" ht="48" collapsed="1">
      <c r="A17" s="330" t="s">
        <v>1039</v>
      </c>
      <c r="B17" s="331"/>
      <c r="C17" s="88"/>
      <c r="D17" s="340">
        <v>5</v>
      </c>
      <c r="E17" s="341" t="s">
        <v>98</v>
      </c>
      <c r="F17" s="432" t="s">
        <v>1032</v>
      </c>
      <c r="G17" s="433" t="s">
        <v>372</v>
      </c>
      <c r="H17" s="434" t="s">
        <v>98</v>
      </c>
      <c r="I17" s="434" t="s">
        <v>98</v>
      </c>
      <c r="J17" s="94">
        <v>0</v>
      </c>
      <c r="K17" s="433" t="s">
        <v>679</v>
      </c>
      <c r="L17" s="435">
        <f>$BA$20</f>
        <v>0.94021200000000005</v>
      </c>
      <c r="M17" s="95">
        <v>1</v>
      </c>
      <c r="N17" s="96">
        <f t="shared" ref="N17:N48" si="10">$BL17</f>
        <v>1.2434566510799234</v>
      </c>
      <c r="O17" s="432" t="str">
        <f t="shared" ref="O17:O48" si="11">$BM17&amp;"; "&amp;$BB17</f>
        <v>(1,4,4,3,1,3); Calculated for a PV module with 108 half-cut cells, M10 format (0.182 m * 0.182 m); cell breakage rate of 2.5 % according to de Wild-Scholten (2014) Life Cycle Assessment of Photovoltaics Status 2011, Part 1 Data Collection (Table 37)</v>
      </c>
      <c r="P17" s="435">
        <f>$BA$20</f>
        <v>0.94021200000000005</v>
      </c>
      <c r="Q17" s="95">
        <v>1</v>
      </c>
      <c r="R17" s="96">
        <f t="shared" ref="R17:R48" si="12">$BL17</f>
        <v>1.2434566510799234</v>
      </c>
      <c r="S17" s="432" t="str">
        <f t="shared" ref="S17:S48" si="13">$BM17&amp;"; "&amp;$BB17</f>
        <v>(1,4,4,3,1,3); Calculated for a PV module with 108 half-cut cells, M10 format (0.182 m * 0.182 m); cell breakage rate of 2.5 % according to de Wild-Scholten (2014) Life Cycle Assessment of Photovoltaics Status 2011, Part 1 Data Collection (Table 37)</v>
      </c>
      <c r="T17" s="435">
        <v>0</v>
      </c>
      <c r="U17" s="95">
        <v>1</v>
      </c>
      <c r="V17" s="96">
        <f t="shared" ref="V17:V48" si="14">$BL17</f>
        <v>1.2434566510799234</v>
      </c>
      <c r="W17" s="432" t="str">
        <f t="shared" ref="W17:W48" si="15">$BM17&amp;"; "&amp;$BB17</f>
        <v>(1,4,4,3,1,3); Calculated for a PV module with 108 half-cut cells, M10 format (0.182 m * 0.182 m); cell breakage rate of 2.5 % according to de Wild-Scholten (2014) Life Cycle Assessment of Photovoltaics Status 2011, Part 1 Data Collection (Table 37)</v>
      </c>
      <c r="X17" s="435">
        <v>0</v>
      </c>
      <c r="Y17" s="95">
        <v>1</v>
      </c>
      <c r="Z17" s="96">
        <f t="shared" ref="Z17:Z48" si="16">$BL17</f>
        <v>1.2434566510799234</v>
      </c>
      <c r="AA17" s="432" t="str">
        <f t="shared" ref="AA17:AA48" si="17">$BM17&amp;"; "&amp;$BB17</f>
        <v>(1,4,4,3,1,3); Calculated for a PV module with 108 half-cut cells, M10 format (0.182 m * 0.182 m); cell breakage rate of 2.5 % according to de Wild-Scholten (2014) Life Cycle Assessment of Photovoltaics Status 2011, Part 1 Data Collection (Table 37)</v>
      </c>
      <c r="AB17" s="435">
        <v>0</v>
      </c>
      <c r="AC17" s="95">
        <v>1</v>
      </c>
      <c r="AD17" s="96">
        <f t="shared" ref="AD17:AD48" si="18">$BL17</f>
        <v>1.2434566510799234</v>
      </c>
      <c r="AE17" s="432" t="str">
        <f t="shared" ref="AE17:AE48" si="19">$BM17&amp;"; "&amp;$BB17</f>
        <v>(1,4,4,3,1,3); Calculated for a PV module with 108 half-cut cells, M10 format (0.182 m * 0.182 m); cell breakage rate of 2.5 % according to de Wild-Scholten (2014) Life Cycle Assessment of Photovoltaics Status 2011, Part 1 Data Collection (Table 37)</v>
      </c>
      <c r="AF17" s="435">
        <v>0</v>
      </c>
      <c r="AG17" s="95">
        <v>1</v>
      </c>
      <c r="AH17" s="96">
        <f t="shared" ref="AH17:AH48" si="20">$BL17</f>
        <v>1.2434566510799234</v>
      </c>
      <c r="AI17" s="432" t="str">
        <f t="shared" ref="AI17:AI48" si="21">$BM17&amp;"; "&amp;$BB17</f>
        <v>(1,4,4,3,1,3); Calculated for a PV module with 108 half-cut cells, M10 format (0.182 m * 0.182 m); cell breakage rate of 2.5 % according to de Wild-Scholten (2014) Life Cycle Assessment of Photovoltaics Status 2011, Part 1 Data Collection (Table 37)</v>
      </c>
      <c r="AJ17" s="435">
        <v>0</v>
      </c>
      <c r="AK17" s="95">
        <v>1</v>
      </c>
      <c r="AL17" s="96">
        <f t="shared" ref="AL17:AL48" si="22">$BL17</f>
        <v>1.2434566510799234</v>
      </c>
      <c r="AM17" s="432" t="str">
        <f t="shared" ref="AM17:AM48" si="23">$BM17&amp;"; "&amp;$BB17</f>
        <v>(1,4,4,3,1,3); Calculated for a PV module with 108 half-cut cells, M10 format (0.182 m * 0.182 m); cell breakage rate of 2.5 % according to de Wild-Scholten (2014) Life Cycle Assessment of Photovoltaics Status 2011, Part 1 Data Collection (Table 37)</v>
      </c>
      <c r="AN17" s="435">
        <v>0</v>
      </c>
      <c r="AO17" s="95">
        <v>1</v>
      </c>
      <c r="AP17" s="96">
        <f t="shared" ref="AP17:AP48" si="24">$BL17</f>
        <v>1.2434566510799234</v>
      </c>
      <c r="AQ17" s="432" t="str">
        <f t="shared" ref="AQ17:AQ48" si="25">$BM17&amp;"; "&amp;$BB17</f>
        <v>(1,4,4,3,1,3); Calculated for a PV module with 108 half-cut cells, M10 format (0.182 m * 0.182 m); cell breakage rate of 2.5 % according to de Wild-Scholten (2014) Life Cycle Assessment of Photovoltaics Status 2011, Part 1 Data Collection (Table 37)</v>
      </c>
      <c r="AR17" s="435">
        <v>0</v>
      </c>
      <c r="AS17" s="95">
        <v>1</v>
      </c>
      <c r="AT17" s="96">
        <f t="shared" ref="AT17:AT48" si="26">$CE17</f>
        <v>1.05</v>
      </c>
      <c r="AU17" s="432" t="str">
        <f t="shared" ref="AU17:AU48" si="27">$CF17&amp;"; "&amp;$BU17</f>
        <v xml:space="preserve">(na,na,na,na,na,na); </v>
      </c>
      <c r="AV17" s="435">
        <v>0</v>
      </c>
      <c r="AW17" s="95">
        <v>1</v>
      </c>
      <c r="AX17" s="96">
        <f t="shared" ref="AX17:AX48" si="28">$CE17</f>
        <v>1.05</v>
      </c>
      <c r="AY17" s="432" t="str">
        <f t="shared" ref="AY17:AY48" si="29">$CF17&amp;"; "&amp;$BU17</f>
        <v xml:space="preserve">(na,na,na,na,na,na); </v>
      </c>
      <c r="AZ17" s="112"/>
      <c r="BA17" s="435">
        <v>0</v>
      </c>
      <c r="BB17" s="216" t="s">
        <v>1274</v>
      </c>
      <c r="BC17" s="83">
        <f t="shared" ref="BC17:BD20" si="30">BC$23</f>
        <v>1</v>
      </c>
      <c r="BD17" s="83">
        <f t="shared" si="30"/>
        <v>4</v>
      </c>
      <c r="BE17" s="83">
        <v>4</v>
      </c>
      <c r="BF17" s="83">
        <f t="shared" ref="BF17:BH20" si="31">BF$23</f>
        <v>3</v>
      </c>
      <c r="BG17" s="83">
        <f t="shared" si="31"/>
        <v>1</v>
      </c>
      <c r="BH17" s="83">
        <f t="shared" si="31"/>
        <v>3</v>
      </c>
      <c r="BI17" s="104">
        <v>3</v>
      </c>
      <c r="BJ17" s="104">
        <v>1.05</v>
      </c>
      <c r="BK17" s="107">
        <f t="shared" ref="BK17:BK48" si="32">EXP(SQRT((LN(BN17)^2)+(LN(BO17)^2)+(LN(BP17)^2)+(LN(BQ17)^2)+(LN(BR17)^2)+(LN(BS17)^2)))</f>
        <v>1.2365959919080913</v>
      </c>
      <c r="BL17" s="107">
        <f t="shared" ref="BL17:BL48" si="33">EXP(SQRT((LN(BN17)^2)+(LN(BO17)^2)+(LN(BP17)^2)+(LN(BQ17)^2)+(LN(BR17)^2)+(LN(BS17)^2)+LN(BJ17)^2))</f>
        <v>1.2434566510799234</v>
      </c>
      <c r="BM17" s="107" t="str">
        <f t="shared" ref="BM17:BM48" si="34">CONCATENATE("(",BC17,",",BD17,",",BE17,",",BF17,",",BG17,",",BH17,")")</f>
        <v>(1,4,4,3,1,3)</v>
      </c>
      <c r="BN17" s="108">
        <v>1</v>
      </c>
      <c r="BO17" s="108">
        <v>1.1000000000000001</v>
      </c>
      <c r="BP17" s="108">
        <v>1.2</v>
      </c>
      <c r="BQ17" s="108">
        <v>1.02</v>
      </c>
      <c r="BR17" s="108">
        <v>1</v>
      </c>
      <c r="BS17" s="108">
        <v>1.05</v>
      </c>
      <c r="BU17" s="692"/>
      <c r="BV17" s="83" t="s">
        <v>106</v>
      </c>
      <c r="BW17" s="83" t="s">
        <v>106</v>
      </c>
      <c r="BX17" s="83" t="s">
        <v>106</v>
      </c>
      <c r="BY17" s="83" t="s">
        <v>106</v>
      </c>
      <c r="BZ17" s="83" t="s">
        <v>106</v>
      </c>
      <c r="CA17" s="83" t="s">
        <v>106</v>
      </c>
      <c r="CB17" s="104">
        <v>3</v>
      </c>
      <c r="CC17" s="104">
        <v>1.05</v>
      </c>
      <c r="CD17" s="107">
        <f t="shared" ref="CD17:CD48" si="35">EXP(SQRT((LN(CG17)^2)+(LN(CH17)^2)+(LN(CI17)^2)+(LN(CJ17)^2)+(LN(CK17)^2)+(LN(CL17)^2)))</f>
        <v>1</v>
      </c>
      <c r="CE17" s="107">
        <f t="shared" ref="CE17:CE48" si="36">EXP(SQRT((LN(CG17)^2)+(LN(CH17)^2)+(LN(CI17)^2)+(LN(CJ17)^2)+(LN(CK17)^2)+(LN(CL17)^2)+LN(CC17)^2))</f>
        <v>1.05</v>
      </c>
      <c r="CF17" s="107" t="str">
        <f t="shared" ref="CF17:CF48" si="37">CONCATENATE("(",BV17,",",BW17,",",BX17,",",BY17,",",BZ17,",",CA17,")")</f>
        <v>(na,na,na,na,na,na)</v>
      </c>
      <c r="CG17" s="108">
        <v>1</v>
      </c>
      <c r="CH17" s="108">
        <v>1</v>
      </c>
      <c r="CI17" s="108">
        <v>1</v>
      </c>
      <c r="CJ17" s="108">
        <v>1</v>
      </c>
      <c r="CK17" s="108">
        <v>1</v>
      </c>
      <c r="CL17" s="108">
        <v>1</v>
      </c>
    </row>
    <row r="18" spans="1:90" ht="48">
      <c r="A18" s="330" t="s">
        <v>1087</v>
      </c>
      <c r="B18" s="331"/>
      <c r="C18" s="88"/>
      <c r="D18" s="340">
        <v>5</v>
      </c>
      <c r="E18" s="341" t="s">
        <v>98</v>
      </c>
      <c r="F18" s="432" t="s">
        <v>1081</v>
      </c>
      <c r="G18" s="433" t="s">
        <v>215</v>
      </c>
      <c r="H18" s="434" t="s">
        <v>98</v>
      </c>
      <c r="I18" s="434" t="s">
        <v>98</v>
      </c>
      <c r="J18" s="94">
        <v>0</v>
      </c>
      <c r="K18" s="433" t="s">
        <v>679</v>
      </c>
      <c r="L18" s="435">
        <v>0</v>
      </c>
      <c r="M18" s="95">
        <v>1</v>
      </c>
      <c r="N18" s="96">
        <f t="shared" si="10"/>
        <v>1.2434566510799234</v>
      </c>
      <c r="O18" s="432" t="str">
        <f t="shared" si="11"/>
        <v>(1,4,4,3,1,3); Calculated for a PV module with 108 half-cut cells, M10 format (0.182 m * 0.182 m); cell breakage rate of 2.5 % according to de Wild-Scholten (2014) Life Cycle Assessment of Photovoltaics Status 2011, Part 1 Data Collection (Table 37)</v>
      </c>
      <c r="P18" s="435">
        <v>0</v>
      </c>
      <c r="Q18" s="95">
        <v>1</v>
      </c>
      <c r="R18" s="96">
        <f t="shared" si="12"/>
        <v>1.2434566510799234</v>
      </c>
      <c r="S18" s="432" t="str">
        <f t="shared" si="13"/>
        <v>(1,4,4,3,1,3); Calculated for a PV module with 108 half-cut cells, M10 format (0.182 m * 0.182 m); cell breakage rate of 2.5 % according to de Wild-Scholten (2014) Life Cycle Assessment of Photovoltaics Status 2011, Part 1 Data Collection (Table 37)</v>
      </c>
      <c r="T18" s="435">
        <f>$BA$20</f>
        <v>0.94021200000000005</v>
      </c>
      <c r="U18" s="95">
        <v>1</v>
      </c>
      <c r="V18" s="96">
        <f t="shared" si="14"/>
        <v>1.2434566510799234</v>
      </c>
      <c r="W18" s="432" t="str">
        <f t="shared" si="15"/>
        <v>(1,4,4,3,1,3); Calculated for a PV module with 108 half-cut cells, M10 format (0.182 m * 0.182 m); cell breakage rate of 2.5 % according to de Wild-Scholten (2014) Life Cycle Assessment of Photovoltaics Status 2011, Part 1 Data Collection (Table 37)</v>
      </c>
      <c r="X18" s="435">
        <f>$BA$20</f>
        <v>0.94021200000000005</v>
      </c>
      <c r="Y18" s="95">
        <v>1</v>
      </c>
      <c r="Z18" s="96">
        <f t="shared" si="16"/>
        <v>1.2434566510799234</v>
      </c>
      <c r="AA18" s="432" t="str">
        <f t="shared" si="17"/>
        <v>(1,4,4,3,1,3); Calculated for a PV module with 108 half-cut cells, M10 format (0.182 m * 0.182 m); cell breakage rate of 2.5 % according to de Wild-Scholten (2014) Life Cycle Assessment of Photovoltaics Status 2011, Part 1 Data Collection (Table 37)</v>
      </c>
      <c r="AB18" s="435">
        <v>0</v>
      </c>
      <c r="AC18" s="95">
        <v>1</v>
      </c>
      <c r="AD18" s="96">
        <f t="shared" si="18"/>
        <v>1.2434566510799234</v>
      </c>
      <c r="AE18" s="432" t="str">
        <f t="shared" si="19"/>
        <v>(1,4,4,3,1,3); Calculated for a PV module with 108 half-cut cells, M10 format (0.182 m * 0.182 m); cell breakage rate of 2.5 % according to de Wild-Scholten (2014) Life Cycle Assessment of Photovoltaics Status 2011, Part 1 Data Collection (Table 37)</v>
      </c>
      <c r="AF18" s="435">
        <v>0</v>
      </c>
      <c r="AG18" s="95">
        <v>1</v>
      </c>
      <c r="AH18" s="96">
        <f t="shared" si="20"/>
        <v>1.2434566510799234</v>
      </c>
      <c r="AI18" s="432" t="str">
        <f t="shared" si="21"/>
        <v>(1,4,4,3,1,3); Calculated for a PV module with 108 half-cut cells, M10 format (0.182 m * 0.182 m); cell breakage rate of 2.5 % according to de Wild-Scholten (2014) Life Cycle Assessment of Photovoltaics Status 2011, Part 1 Data Collection (Table 37)</v>
      </c>
      <c r="AJ18" s="435">
        <v>0</v>
      </c>
      <c r="AK18" s="95">
        <v>1</v>
      </c>
      <c r="AL18" s="96">
        <f t="shared" si="22"/>
        <v>1.2434566510799234</v>
      </c>
      <c r="AM18" s="432" t="str">
        <f t="shared" si="23"/>
        <v>(1,4,4,3,1,3); Calculated for a PV module with 108 half-cut cells, M10 format (0.182 m * 0.182 m); cell breakage rate of 2.5 % according to de Wild-Scholten (2014) Life Cycle Assessment of Photovoltaics Status 2011, Part 1 Data Collection (Table 37)</v>
      </c>
      <c r="AN18" s="435">
        <v>0</v>
      </c>
      <c r="AO18" s="95">
        <v>1</v>
      </c>
      <c r="AP18" s="96">
        <f t="shared" si="24"/>
        <v>1.2434566510799234</v>
      </c>
      <c r="AQ18" s="432" t="str">
        <f t="shared" si="25"/>
        <v>(1,4,4,3,1,3); Calculated for a PV module with 108 half-cut cells, M10 format (0.182 m * 0.182 m); cell breakage rate of 2.5 % according to de Wild-Scholten (2014) Life Cycle Assessment of Photovoltaics Status 2011, Part 1 Data Collection (Table 37)</v>
      </c>
      <c r="AR18" s="435">
        <v>0</v>
      </c>
      <c r="AS18" s="95">
        <v>1</v>
      </c>
      <c r="AT18" s="96">
        <f t="shared" si="26"/>
        <v>1.05</v>
      </c>
      <c r="AU18" s="432" t="str">
        <f t="shared" si="27"/>
        <v xml:space="preserve">(na,na,na,na,na,na); </v>
      </c>
      <c r="AV18" s="435">
        <v>0</v>
      </c>
      <c r="AW18" s="95">
        <v>1</v>
      </c>
      <c r="AX18" s="96">
        <f t="shared" si="28"/>
        <v>1.05</v>
      </c>
      <c r="AY18" s="432" t="str">
        <f t="shared" si="29"/>
        <v xml:space="preserve">(na,na,na,na,na,na); </v>
      </c>
      <c r="AZ18" s="112"/>
      <c r="BA18" s="435">
        <v>0</v>
      </c>
      <c r="BB18" s="216" t="s">
        <v>1274</v>
      </c>
      <c r="BC18" s="83">
        <f t="shared" si="30"/>
        <v>1</v>
      </c>
      <c r="BD18" s="83">
        <f t="shared" si="30"/>
        <v>4</v>
      </c>
      <c r="BE18" s="83">
        <v>4</v>
      </c>
      <c r="BF18" s="83">
        <f t="shared" si="31"/>
        <v>3</v>
      </c>
      <c r="BG18" s="83">
        <f t="shared" si="31"/>
        <v>1</v>
      </c>
      <c r="BH18" s="83">
        <f t="shared" si="31"/>
        <v>3</v>
      </c>
      <c r="BI18" s="104">
        <v>3</v>
      </c>
      <c r="BJ18" s="104">
        <v>1.05</v>
      </c>
      <c r="BK18" s="107">
        <f t="shared" si="32"/>
        <v>1.2365959919080913</v>
      </c>
      <c r="BL18" s="107">
        <f t="shared" si="33"/>
        <v>1.2434566510799234</v>
      </c>
      <c r="BM18" s="107" t="str">
        <f t="shared" si="34"/>
        <v>(1,4,4,3,1,3)</v>
      </c>
      <c r="BN18" s="108">
        <v>1</v>
      </c>
      <c r="BO18" s="108">
        <v>1.1000000000000001</v>
      </c>
      <c r="BP18" s="108">
        <v>1.2</v>
      </c>
      <c r="BQ18" s="108">
        <v>1.02</v>
      </c>
      <c r="BR18" s="108">
        <v>1</v>
      </c>
      <c r="BS18" s="108">
        <v>1.05</v>
      </c>
      <c r="BU18" s="692"/>
      <c r="BV18" s="83" t="s">
        <v>106</v>
      </c>
      <c r="BW18" s="83" t="s">
        <v>106</v>
      </c>
      <c r="BX18" s="83" t="s">
        <v>106</v>
      </c>
      <c r="BY18" s="83" t="s">
        <v>106</v>
      </c>
      <c r="BZ18" s="83" t="s">
        <v>106</v>
      </c>
      <c r="CA18" s="83" t="s">
        <v>106</v>
      </c>
      <c r="CB18" s="104">
        <v>3</v>
      </c>
      <c r="CC18" s="104">
        <v>1.05</v>
      </c>
      <c r="CD18" s="107">
        <f t="shared" si="35"/>
        <v>1</v>
      </c>
      <c r="CE18" s="107">
        <f t="shared" si="36"/>
        <v>1.05</v>
      </c>
      <c r="CF18" s="107" t="str">
        <f t="shared" si="37"/>
        <v>(na,na,na,na,na,na)</v>
      </c>
      <c r="CG18" s="108">
        <v>1</v>
      </c>
      <c r="CH18" s="108">
        <v>1</v>
      </c>
      <c r="CI18" s="108">
        <v>1</v>
      </c>
      <c r="CJ18" s="108">
        <v>1</v>
      </c>
      <c r="CK18" s="108">
        <v>1</v>
      </c>
      <c r="CL18" s="108">
        <v>1</v>
      </c>
    </row>
    <row r="19" spans="1:90" ht="48">
      <c r="A19" s="330" t="s">
        <v>1041</v>
      </c>
      <c r="B19" s="331"/>
      <c r="C19" s="88"/>
      <c r="D19" s="340">
        <v>5</v>
      </c>
      <c r="E19" s="341" t="s">
        <v>98</v>
      </c>
      <c r="F19" s="432" t="s">
        <v>1034</v>
      </c>
      <c r="G19" s="433" t="s">
        <v>373</v>
      </c>
      <c r="H19" s="434" t="s">
        <v>98</v>
      </c>
      <c r="I19" s="434" t="s">
        <v>98</v>
      </c>
      <c r="J19" s="94">
        <v>0</v>
      </c>
      <c r="K19" s="433" t="s">
        <v>679</v>
      </c>
      <c r="L19" s="435">
        <v>0</v>
      </c>
      <c r="M19" s="95">
        <v>1</v>
      </c>
      <c r="N19" s="96">
        <f t="shared" si="10"/>
        <v>1.2434566510799234</v>
      </c>
      <c r="O19" s="432" t="str">
        <f t="shared" si="11"/>
        <v>(1,4,4,3,1,3); Calculated for a PV module with 108 half-cut cells, M10 format (0.182 m * 0.182 m); cell breakage rate of 2.5 % according to de Wild-Scholten (2014) Life Cycle Assessment of Photovoltaics Status 2011, Part 1 Data Collection (Table 37)</v>
      </c>
      <c r="P19" s="435">
        <v>0</v>
      </c>
      <c r="Q19" s="95">
        <v>1</v>
      </c>
      <c r="R19" s="96">
        <f t="shared" si="12"/>
        <v>1.2434566510799234</v>
      </c>
      <c r="S19" s="432" t="str">
        <f t="shared" si="13"/>
        <v>(1,4,4,3,1,3); Calculated for a PV module with 108 half-cut cells, M10 format (0.182 m * 0.182 m); cell breakage rate of 2.5 % according to de Wild-Scholten (2014) Life Cycle Assessment of Photovoltaics Status 2011, Part 1 Data Collection (Table 37)</v>
      </c>
      <c r="T19" s="435">
        <v>0</v>
      </c>
      <c r="U19" s="95">
        <v>1</v>
      </c>
      <c r="V19" s="96">
        <f t="shared" si="14"/>
        <v>1.2434566510799234</v>
      </c>
      <c r="W19" s="432" t="str">
        <f t="shared" si="15"/>
        <v>(1,4,4,3,1,3); Calculated for a PV module with 108 half-cut cells, M10 format (0.182 m * 0.182 m); cell breakage rate of 2.5 % according to de Wild-Scholten (2014) Life Cycle Assessment of Photovoltaics Status 2011, Part 1 Data Collection (Table 37)</v>
      </c>
      <c r="X19" s="435">
        <v>0</v>
      </c>
      <c r="Y19" s="95">
        <v>1</v>
      </c>
      <c r="Z19" s="96">
        <f t="shared" si="16"/>
        <v>1.2434566510799234</v>
      </c>
      <c r="AA19" s="432" t="str">
        <f t="shared" si="17"/>
        <v>(1,4,4,3,1,3); Calculated for a PV module with 108 half-cut cells, M10 format (0.182 m * 0.182 m); cell breakage rate of 2.5 % according to de Wild-Scholten (2014) Life Cycle Assessment of Photovoltaics Status 2011, Part 1 Data Collection (Table 37)</v>
      </c>
      <c r="AB19" s="435">
        <f>$BA$20</f>
        <v>0.94021200000000005</v>
      </c>
      <c r="AC19" s="95">
        <v>1</v>
      </c>
      <c r="AD19" s="96">
        <f t="shared" si="18"/>
        <v>1.2434566510799234</v>
      </c>
      <c r="AE19" s="432" t="str">
        <f t="shared" si="19"/>
        <v>(1,4,4,3,1,3); Calculated for a PV module with 108 half-cut cells, M10 format (0.182 m * 0.182 m); cell breakage rate of 2.5 % according to de Wild-Scholten (2014) Life Cycle Assessment of Photovoltaics Status 2011, Part 1 Data Collection (Table 37)</v>
      </c>
      <c r="AF19" s="435">
        <f>$BA$20</f>
        <v>0.94021200000000005</v>
      </c>
      <c r="AG19" s="95">
        <v>1</v>
      </c>
      <c r="AH19" s="96">
        <f t="shared" si="20"/>
        <v>1.2434566510799234</v>
      </c>
      <c r="AI19" s="432" t="str">
        <f t="shared" si="21"/>
        <v>(1,4,4,3,1,3); Calculated for a PV module with 108 half-cut cells, M10 format (0.182 m * 0.182 m); cell breakage rate of 2.5 % according to de Wild-Scholten (2014) Life Cycle Assessment of Photovoltaics Status 2011, Part 1 Data Collection (Table 37)</v>
      </c>
      <c r="AJ19" s="435">
        <v>0</v>
      </c>
      <c r="AK19" s="95">
        <v>1</v>
      </c>
      <c r="AL19" s="96">
        <f t="shared" si="22"/>
        <v>1.2434566510799234</v>
      </c>
      <c r="AM19" s="432" t="str">
        <f t="shared" si="23"/>
        <v>(1,4,4,3,1,3); Calculated for a PV module with 108 half-cut cells, M10 format (0.182 m * 0.182 m); cell breakage rate of 2.5 % according to de Wild-Scholten (2014) Life Cycle Assessment of Photovoltaics Status 2011, Part 1 Data Collection (Table 37)</v>
      </c>
      <c r="AN19" s="435">
        <v>0</v>
      </c>
      <c r="AO19" s="95">
        <v>1</v>
      </c>
      <c r="AP19" s="96">
        <f t="shared" si="24"/>
        <v>1.2434566510799234</v>
      </c>
      <c r="AQ19" s="432" t="str">
        <f t="shared" si="25"/>
        <v>(1,4,4,3,1,3); Calculated for a PV module with 108 half-cut cells, M10 format (0.182 m * 0.182 m); cell breakage rate of 2.5 % according to de Wild-Scholten (2014) Life Cycle Assessment of Photovoltaics Status 2011, Part 1 Data Collection (Table 37)</v>
      </c>
      <c r="AR19" s="435">
        <v>0</v>
      </c>
      <c r="AS19" s="95">
        <v>1</v>
      </c>
      <c r="AT19" s="96">
        <f t="shared" si="26"/>
        <v>1.05</v>
      </c>
      <c r="AU19" s="432" t="str">
        <f t="shared" si="27"/>
        <v xml:space="preserve">(na,na,na,na,na,na); </v>
      </c>
      <c r="AV19" s="435">
        <v>0</v>
      </c>
      <c r="AW19" s="95">
        <v>1</v>
      </c>
      <c r="AX19" s="96">
        <f t="shared" si="28"/>
        <v>1.05</v>
      </c>
      <c r="AY19" s="432" t="str">
        <f t="shared" si="29"/>
        <v xml:space="preserve">(na,na,na,na,na,na); </v>
      </c>
      <c r="AZ19" s="112"/>
      <c r="BA19" s="435">
        <v>0</v>
      </c>
      <c r="BB19" s="216" t="s">
        <v>1274</v>
      </c>
      <c r="BC19" s="83">
        <f t="shared" si="30"/>
        <v>1</v>
      </c>
      <c r="BD19" s="83">
        <f t="shared" si="30"/>
        <v>4</v>
      </c>
      <c r="BE19" s="83">
        <v>4</v>
      </c>
      <c r="BF19" s="83">
        <f t="shared" si="31"/>
        <v>3</v>
      </c>
      <c r="BG19" s="83">
        <f t="shared" si="31"/>
        <v>1</v>
      </c>
      <c r="BH19" s="83">
        <f t="shared" si="31"/>
        <v>3</v>
      </c>
      <c r="BI19" s="104">
        <v>3</v>
      </c>
      <c r="BJ19" s="104">
        <v>1.05</v>
      </c>
      <c r="BK19" s="107">
        <f t="shared" si="32"/>
        <v>1.2365959919080913</v>
      </c>
      <c r="BL19" s="107">
        <f t="shared" si="33"/>
        <v>1.2434566510799234</v>
      </c>
      <c r="BM19" s="107" t="str">
        <f t="shared" si="34"/>
        <v>(1,4,4,3,1,3)</v>
      </c>
      <c r="BN19" s="108">
        <v>1</v>
      </c>
      <c r="BO19" s="108">
        <v>1.1000000000000001</v>
      </c>
      <c r="BP19" s="108">
        <v>1.2</v>
      </c>
      <c r="BQ19" s="108">
        <v>1.02</v>
      </c>
      <c r="BR19" s="108">
        <v>1</v>
      </c>
      <c r="BS19" s="108">
        <v>1.05</v>
      </c>
      <c r="BU19" s="692"/>
      <c r="BV19" s="83" t="s">
        <v>106</v>
      </c>
      <c r="BW19" s="83" t="s">
        <v>106</v>
      </c>
      <c r="BX19" s="83" t="s">
        <v>106</v>
      </c>
      <c r="BY19" s="83" t="s">
        <v>106</v>
      </c>
      <c r="BZ19" s="83" t="s">
        <v>106</v>
      </c>
      <c r="CA19" s="83" t="s">
        <v>106</v>
      </c>
      <c r="CB19" s="104">
        <v>3</v>
      </c>
      <c r="CC19" s="104">
        <v>1.05</v>
      </c>
      <c r="CD19" s="107">
        <f t="shared" si="35"/>
        <v>1</v>
      </c>
      <c r="CE19" s="107">
        <f t="shared" si="36"/>
        <v>1.05</v>
      </c>
      <c r="CF19" s="107" t="str">
        <f t="shared" si="37"/>
        <v>(na,na,na,na,na,na)</v>
      </c>
      <c r="CG19" s="108">
        <v>1</v>
      </c>
      <c r="CH19" s="108">
        <v>1</v>
      </c>
      <c r="CI19" s="108">
        <v>1</v>
      </c>
      <c r="CJ19" s="108">
        <v>1</v>
      </c>
      <c r="CK19" s="108">
        <v>1</v>
      </c>
      <c r="CL19" s="108">
        <v>1</v>
      </c>
    </row>
    <row r="20" spans="1:90" ht="48">
      <c r="A20" s="330" t="s">
        <v>1085</v>
      </c>
      <c r="B20" s="331"/>
      <c r="C20" s="88"/>
      <c r="D20" s="340">
        <v>5</v>
      </c>
      <c r="E20" s="341" t="s">
        <v>98</v>
      </c>
      <c r="F20" s="432" t="s">
        <v>1079</v>
      </c>
      <c r="G20" s="433" t="s">
        <v>93</v>
      </c>
      <c r="H20" s="434" t="s">
        <v>98</v>
      </c>
      <c r="I20" s="434" t="s">
        <v>98</v>
      </c>
      <c r="J20" s="94">
        <v>0</v>
      </c>
      <c r="K20" s="433" t="s">
        <v>679</v>
      </c>
      <c r="L20" s="435">
        <v>0</v>
      </c>
      <c r="M20" s="95">
        <v>1</v>
      </c>
      <c r="N20" s="96">
        <f t="shared" si="10"/>
        <v>1.2434566510799234</v>
      </c>
      <c r="O20" s="432" t="str">
        <f t="shared" si="11"/>
        <v>(1,4,4,3,1,3); Calculated for a PV module with 108 half-cut cells, M10 format (0.182 m * 0.182 m); cell breakage rate of 2.5 % according to de Wild-Scholten (2014) Life Cycle Assessment of Photovoltaics Status 2011, Part 1 Data Collection (Table 37)</v>
      </c>
      <c r="P20" s="435">
        <v>0</v>
      </c>
      <c r="Q20" s="95">
        <v>1</v>
      </c>
      <c r="R20" s="96">
        <f t="shared" si="12"/>
        <v>1.2434566510799234</v>
      </c>
      <c r="S20" s="432" t="str">
        <f t="shared" si="13"/>
        <v>(1,4,4,3,1,3); Calculated for a PV module with 108 half-cut cells, M10 format (0.182 m * 0.182 m); cell breakage rate of 2.5 % according to de Wild-Scholten (2014) Life Cycle Assessment of Photovoltaics Status 2011, Part 1 Data Collection (Table 37)</v>
      </c>
      <c r="T20" s="435">
        <v>0</v>
      </c>
      <c r="U20" s="95">
        <v>1</v>
      </c>
      <c r="V20" s="96">
        <f t="shared" si="14"/>
        <v>1.2434566510799234</v>
      </c>
      <c r="W20" s="432" t="str">
        <f t="shared" si="15"/>
        <v>(1,4,4,3,1,3); Calculated for a PV module with 108 half-cut cells, M10 format (0.182 m * 0.182 m); cell breakage rate of 2.5 % according to de Wild-Scholten (2014) Life Cycle Assessment of Photovoltaics Status 2011, Part 1 Data Collection (Table 37)</v>
      </c>
      <c r="X20" s="435">
        <v>0</v>
      </c>
      <c r="Y20" s="95">
        <v>1</v>
      </c>
      <c r="Z20" s="96">
        <f t="shared" si="16"/>
        <v>1.2434566510799234</v>
      </c>
      <c r="AA20" s="432" t="str">
        <f t="shared" si="17"/>
        <v>(1,4,4,3,1,3); Calculated for a PV module with 108 half-cut cells, M10 format (0.182 m * 0.182 m); cell breakage rate of 2.5 % according to de Wild-Scholten (2014) Life Cycle Assessment of Photovoltaics Status 2011, Part 1 Data Collection (Table 37)</v>
      </c>
      <c r="AB20" s="435">
        <v>0</v>
      </c>
      <c r="AC20" s="95">
        <v>1</v>
      </c>
      <c r="AD20" s="96">
        <f t="shared" si="18"/>
        <v>1.2434566510799234</v>
      </c>
      <c r="AE20" s="432" t="str">
        <f t="shared" si="19"/>
        <v>(1,4,4,3,1,3); Calculated for a PV module with 108 half-cut cells, M10 format (0.182 m * 0.182 m); cell breakage rate of 2.5 % according to de Wild-Scholten (2014) Life Cycle Assessment of Photovoltaics Status 2011, Part 1 Data Collection (Table 37)</v>
      </c>
      <c r="AF20" s="435">
        <v>0</v>
      </c>
      <c r="AG20" s="95">
        <v>1</v>
      </c>
      <c r="AH20" s="96">
        <f t="shared" si="20"/>
        <v>1.2434566510799234</v>
      </c>
      <c r="AI20" s="432" t="str">
        <f t="shared" si="21"/>
        <v>(1,4,4,3,1,3); Calculated for a PV module with 108 half-cut cells, M10 format (0.182 m * 0.182 m); cell breakage rate of 2.5 % according to de Wild-Scholten (2014) Life Cycle Assessment of Photovoltaics Status 2011, Part 1 Data Collection (Table 37)</v>
      </c>
      <c r="AJ20" s="435">
        <f>$BA$20</f>
        <v>0.94021200000000005</v>
      </c>
      <c r="AK20" s="95">
        <v>1</v>
      </c>
      <c r="AL20" s="96">
        <f t="shared" si="22"/>
        <v>1.2434566510799234</v>
      </c>
      <c r="AM20" s="432" t="str">
        <f t="shared" si="23"/>
        <v>(1,4,4,3,1,3); Calculated for a PV module with 108 half-cut cells, M10 format (0.182 m * 0.182 m); cell breakage rate of 2.5 % according to de Wild-Scholten (2014) Life Cycle Assessment of Photovoltaics Status 2011, Part 1 Data Collection (Table 37)</v>
      </c>
      <c r="AN20" s="435">
        <f>$BA$20</f>
        <v>0.94021200000000005</v>
      </c>
      <c r="AO20" s="95">
        <v>1</v>
      </c>
      <c r="AP20" s="96">
        <f t="shared" si="24"/>
        <v>1.2434566510799234</v>
      </c>
      <c r="AQ20" s="432" t="str">
        <f t="shared" si="25"/>
        <v>(1,4,4,3,1,3); Calculated for a PV module with 108 half-cut cells, M10 format (0.182 m * 0.182 m); cell breakage rate of 2.5 % according to de Wild-Scholten (2014) Life Cycle Assessment of Photovoltaics Status 2011, Part 1 Data Collection (Table 37)</v>
      </c>
      <c r="AR20" s="435">
        <v>0</v>
      </c>
      <c r="AS20" s="95">
        <v>1</v>
      </c>
      <c r="AT20" s="96">
        <f t="shared" si="26"/>
        <v>1.05</v>
      </c>
      <c r="AU20" s="432" t="str">
        <f t="shared" si="27"/>
        <v xml:space="preserve">(na,na,na,na,na,na); </v>
      </c>
      <c r="AV20" s="435">
        <v>0</v>
      </c>
      <c r="AW20" s="95">
        <v>1</v>
      </c>
      <c r="AX20" s="96">
        <f t="shared" si="28"/>
        <v>1.05</v>
      </c>
      <c r="AY20" s="432" t="str">
        <f t="shared" si="29"/>
        <v xml:space="preserve">(na,na,na,na,na,na); </v>
      </c>
      <c r="AZ20" s="112"/>
      <c r="BA20" s="287">
        <v>0.94021200000000005</v>
      </c>
      <c r="BB20" s="216" t="s">
        <v>1274</v>
      </c>
      <c r="BC20" s="83">
        <f t="shared" si="30"/>
        <v>1</v>
      </c>
      <c r="BD20" s="83">
        <f t="shared" si="30"/>
        <v>4</v>
      </c>
      <c r="BE20" s="83">
        <v>4</v>
      </c>
      <c r="BF20" s="83">
        <f t="shared" si="31"/>
        <v>3</v>
      </c>
      <c r="BG20" s="83">
        <f t="shared" si="31"/>
        <v>1</v>
      </c>
      <c r="BH20" s="83">
        <f t="shared" si="31"/>
        <v>3</v>
      </c>
      <c r="BI20" s="104">
        <v>3</v>
      </c>
      <c r="BJ20" s="104">
        <v>1.05</v>
      </c>
      <c r="BK20" s="107">
        <f t="shared" si="32"/>
        <v>1.2365959919080913</v>
      </c>
      <c r="BL20" s="107">
        <f t="shared" si="33"/>
        <v>1.2434566510799234</v>
      </c>
      <c r="BM20" s="107" t="str">
        <f t="shared" si="34"/>
        <v>(1,4,4,3,1,3)</v>
      </c>
      <c r="BN20" s="108">
        <v>1</v>
      </c>
      <c r="BO20" s="108">
        <v>1.1000000000000001</v>
      </c>
      <c r="BP20" s="108">
        <v>1.2</v>
      </c>
      <c r="BQ20" s="108">
        <v>1.02</v>
      </c>
      <c r="BR20" s="108">
        <v>1</v>
      </c>
      <c r="BS20" s="108">
        <v>1.05</v>
      </c>
      <c r="BU20" s="692"/>
      <c r="BV20" s="83" t="s">
        <v>106</v>
      </c>
      <c r="BW20" s="83" t="s">
        <v>106</v>
      </c>
      <c r="BX20" s="83" t="s">
        <v>106</v>
      </c>
      <c r="BY20" s="83" t="s">
        <v>106</v>
      </c>
      <c r="BZ20" s="83" t="s">
        <v>106</v>
      </c>
      <c r="CA20" s="83" t="s">
        <v>106</v>
      </c>
      <c r="CB20" s="104">
        <v>3</v>
      </c>
      <c r="CC20" s="104">
        <v>1.05</v>
      </c>
      <c r="CD20" s="107">
        <f t="shared" si="35"/>
        <v>1</v>
      </c>
      <c r="CE20" s="107">
        <f t="shared" si="36"/>
        <v>1.05</v>
      </c>
      <c r="CF20" s="107" t="str">
        <f t="shared" si="37"/>
        <v>(na,na,na,na,na,na)</v>
      </c>
      <c r="CG20" s="108">
        <v>1</v>
      </c>
      <c r="CH20" s="108">
        <v>1</v>
      </c>
      <c r="CI20" s="108">
        <v>1</v>
      </c>
      <c r="CJ20" s="108">
        <v>1</v>
      </c>
      <c r="CK20" s="108">
        <v>1</v>
      </c>
      <c r="CL20" s="108">
        <v>1</v>
      </c>
    </row>
    <row r="21" spans="1:90" ht="24">
      <c r="A21" s="330" t="s">
        <v>1029</v>
      </c>
      <c r="B21" s="331"/>
      <c r="C21" s="88"/>
      <c r="D21" s="340">
        <v>5</v>
      </c>
      <c r="E21" s="341" t="s">
        <v>98</v>
      </c>
      <c r="F21" s="432" t="s">
        <v>1036</v>
      </c>
      <c r="G21" s="433" t="s">
        <v>340</v>
      </c>
      <c r="H21" s="434" t="s">
        <v>98</v>
      </c>
      <c r="I21" s="434" t="s">
        <v>98</v>
      </c>
      <c r="J21" s="94">
        <v>0</v>
      </c>
      <c r="K21" s="433" t="s">
        <v>679</v>
      </c>
      <c r="L21" s="435">
        <v>0</v>
      </c>
      <c r="M21" s="95">
        <v>1</v>
      </c>
      <c r="N21" s="96">
        <f t="shared" si="10"/>
        <v>1.05</v>
      </c>
      <c r="O21" s="432" t="str">
        <f t="shared" si="11"/>
        <v xml:space="preserve">(na,na,na,na,na,na); </v>
      </c>
      <c r="P21" s="435">
        <v>0</v>
      </c>
      <c r="Q21" s="95">
        <v>1</v>
      </c>
      <c r="R21" s="96">
        <f t="shared" si="12"/>
        <v>1.05</v>
      </c>
      <c r="S21" s="432" t="str">
        <f t="shared" si="13"/>
        <v xml:space="preserve">(na,na,na,na,na,na); </v>
      </c>
      <c r="T21" s="435">
        <v>0</v>
      </c>
      <c r="U21" s="95">
        <v>1</v>
      </c>
      <c r="V21" s="96">
        <f t="shared" si="14"/>
        <v>1.05</v>
      </c>
      <c r="W21" s="432" t="str">
        <f t="shared" si="15"/>
        <v xml:space="preserve">(na,na,na,na,na,na); </v>
      </c>
      <c r="X21" s="435">
        <v>0</v>
      </c>
      <c r="Y21" s="95">
        <v>1</v>
      </c>
      <c r="Z21" s="96">
        <f t="shared" si="16"/>
        <v>1.05</v>
      </c>
      <c r="AA21" s="432" t="str">
        <f t="shared" si="17"/>
        <v xml:space="preserve">(na,na,na,na,na,na); </v>
      </c>
      <c r="AB21" s="435">
        <v>0</v>
      </c>
      <c r="AC21" s="95">
        <v>1</v>
      </c>
      <c r="AD21" s="96">
        <f t="shared" si="18"/>
        <v>1.05</v>
      </c>
      <c r="AE21" s="432" t="str">
        <f t="shared" si="19"/>
        <v xml:space="preserve">(na,na,na,na,na,na); </v>
      </c>
      <c r="AF21" s="435">
        <v>0</v>
      </c>
      <c r="AG21" s="95">
        <v>1</v>
      </c>
      <c r="AH21" s="96">
        <f t="shared" si="20"/>
        <v>1.05</v>
      </c>
      <c r="AI21" s="432" t="str">
        <f t="shared" si="21"/>
        <v xml:space="preserve">(na,na,na,na,na,na); </v>
      </c>
      <c r="AJ21" s="435">
        <v>0</v>
      </c>
      <c r="AK21" s="95">
        <v>1</v>
      </c>
      <c r="AL21" s="96">
        <f t="shared" si="22"/>
        <v>1.05</v>
      </c>
      <c r="AM21" s="432" t="str">
        <f t="shared" si="23"/>
        <v xml:space="preserve">(na,na,na,na,na,na); </v>
      </c>
      <c r="AN21" s="435">
        <v>0</v>
      </c>
      <c r="AO21" s="95">
        <v>1</v>
      </c>
      <c r="AP21" s="96">
        <f t="shared" si="24"/>
        <v>1.05</v>
      </c>
      <c r="AQ21" s="432" t="str">
        <f t="shared" si="25"/>
        <v xml:space="preserve">(na,na,na,na,na,na); </v>
      </c>
      <c r="AR21" s="435">
        <v>0.92700000000000005</v>
      </c>
      <c r="AS21" s="95">
        <v>1</v>
      </c>
      <c r="AT21" s="96">
        <f t="shared" si="26"/>
        <v>1.2434566510799234</v>
      </c>
      <c r="AU21" s="432" t="str">
        <f t="shared" si="27"/>
        <v>(2,4,1,3,1,5); Brailovsky (2026) GM 08</v>
      </c>
      <c r="AV21" s="435">
        <v>0</v>
      </c>
      <c r="AW21" s="95">
        <v>1</v>
      </c>
      <c r="AX21" s="96">
        <f t="shared" si="28"/>
        <v>1.2434566510799234</v>
      </c>
      <c r="AY21" s="432" t="str">
        <f t="shared" si="29"/>
        <v>(2,4,1,3,1,5); Brailovsky (2026) GM 08</v>
      </c>
      <c r="AZ21" s="112"/>
      <c r="BA21" s="288"/>
      <c r="BB21" s="690"/>
      <c r="BC21" s="83" t="s">
        <v>106</v>
      </c>
      <c r="BD21" s="83" t="s">
        <v>106</v>
      </c>
      <c r="BE21" s="83" t="s">
        <v>106</v>
      </c>
      <c r="BF21" s="83" t="s">
        <v>106</v>
      </c>
      <c r="BG21" s="83" t="s">
        <v>106</v>
      </c>
      <c r="BH21" s="83" t="s">
        <v>106</v>
      </c>
      <c r="BI21" s="104">
        <v>3</v>
      </c>
      <c r="BJ21" s="104">
        <v>1.05</v>
      </c>
      <c r="BK21" s="107">
        <f t="shared" si="32"/>
        <v>1</v>
      </c>
      <c r="BL21" s="107">
        <f t="shared" si="33"/>
        <v>1.05</v>
      </c>
      <c r="BM21" s="107" t="str">
        <f t="shared" si="34"/>
        <v>(na,na,na,na,na,na)</v>
      </c>
      <c r="BN21" s="108">
        <v>1</v>
      </c>
      <c r="BO21" s="108">
        <v>1</v>
      </c>
      <c r="BP21" s="108">
        <v>1</v>
      </c>
      <c r="BQ21" s="108">
        <v>1</v>
      </c>
      <c r="BR21" s="108">
        <v>1</v>
      </c>
      <c r="BS21" s="108">
        <v>1</v>
      </c>
      <c r="BU21" s="692" t="s">
        <v>1275</v>
      </c>
      <c r="BV21" s="83">
        <v>2</v>
      </c>
      <c r="BW21" s="83">
        <f>BW$23</f>
        <v>4</v>
      </c>
      <c r="BX21" s="83">
        <v>1</v>
      </c>
      <c r="BY21" s="83">
        <f>BY$23</f>
        <v>3</v>
      </c>
      <c r="BZ21" s="83">
        <f>BZ$23</f>
        <v>1</v>
      </c>
      <c r="CA21" s="83">
        <v>5</v>
      </c>
      <c r="CB21" s="104">
        <v>3</v>
      </c>
      <c r="CC21" s="104">
        <v>1.05</v>
      </c>
      <c r="CD21" s="107">
        <f t="shared" si="35"/>
        <v>1.2365959919080913</v>
      </c>
      <c r="CE21" s="107">
        <f t="shared" si="36"/>
        <v>1.2434566510799234</v>
      </c>
      <c r="CF21" s="107" t="str">
        <f t="shared" si="37"/>
        <v>(2,4,1,3,1,5)</v>
      </c>
      <c r="CG21" s="108">
        <v>1.05</v>
      </c>
      <c r="CH21" s="108">
        <v>1.1000000000000001</v>
      </c>
      <c r="CI21" s="108">
        <v>1</v>
      </c>
      <c r="CJ21" s="108">
        <v>1.02</v>
      </c>
      <c r="CK21" s="108">
        <v>1</v>
      </c>
      <c r="CL21" s="108">
        <v>1.2</v>
      </c>
    </row>
    <row r="22" spans="1:90" ht="24">
      <c r="A22" s="330" t="s">
        <v>1030</v>
      </c>
      <c r="B22" s="331"/>
      <c r="C22" s="88"/>
      <c r="D22" s="340">
        <v>5</v>
      </c>
      <c r="E22" s="341" t="s">
        <v>98</v>
      </c>
      <c r="F22" s="432" t="s">
        <v>1037</v>
      </c>
      <c r="G22" s="433" t="s">
        <v>372</v>
      </c>
      <c r="H22" s="434" t="s">
        <v>98</v>
      </c>
      <c r="I22" s="434" t="s">
        <v>98</v>
      </c>
      <c r="J22" s="94">
        <v>0</v>
      </c>
      <c r="K22" s="433" t="s">
        <v>679</v>
      </c>
      <c r="L22" s="435">
        <v>0</v>
      </c>
      <c r="M22" s="95">
        <v>1</v>
      </c>
      <c r="N22" s="96">
        <f t="shared" si="10"/>
        <v>1.05</v>
      </c>
      <c r="O22" s="432" t="str">
        <f t="shared" si="11"/>
        <v xml:space="preserve">(na,na,na,na,na,na); </v>
      </c>
      <c r="P22" s="435">
        <v>0</v>
      </c>
      <c r="Q22" s="95">
        <v>1</v>
      </c>
      <c r="R22" s="96">
        <f t="shared" si="12"/>
        <v>1.05</v>
      </c>
      <c r="S22" s="432" t="str">
        <f t="shared" si="13"/>
        <v xml:space="preserve">(na,na,na,na,na,na); </v>
      </c>
      <c r="T22" s="435">
        <v>0</v>
      </c>
      <c r="U22" s="95">
        <v>1</v>
      </c>
      <c r="V22" s="96">
        <f t="shared" si="14"/>
        <v>1.05</v>
      </c>
      <c r="W22" s="432" t="str">
        <f t="shared" si="15"/>
        <v xml:space="preserve">(na,na,na,na,na,na); </v>
      </c>
      <c r="X22" s="435">
        <v>0</v>
      </c>
      <c r="Y22" s="95">
        <v>1</v>
      </c>
      <c r="Z22" s="96">
        <f t="shared" si="16"/>
        <v>1.05</v>
      </c>
      <c r="AA22" s="432" t="str">
        <f t="shared" si="17"/>
        <v xml:space="preserve">(na,na,na,na,na,na); </v>
      </c>
      <c r="AB22" s="435">
        <v>0</v>
      </c>
      <c r="AC22" s="95">
        <v>1</v>
      </c>
      <c r="AD22" s="96">
        <f t="shared" si="18"/>
        <v>1.05</v>
      </c>
      <c r="AE22" s="432" t="str">
        <f t="shared" si="19"/>
        <v xml:space="preserve">(na,na,na,na,na,na); </v>
      </c>
      <c r="AF22" s="435">
        <v>0</v>
      </c>
      <c r="AG22" s="95">
        <v>1</v>
      </c>
      <c r="AH22" s="96">
        <f t="shared" si="20"/>
        <v>1.05</v>
      </c>
      <c r="AI22" s="432" t="str">
        <f t="shared" si="21"/>
        <v xml:space="preserve">(na,na,na,na,na,na); </v>
      </c>
      <c r="AJ22" s="435">
        <v>0</v>
      </c>
      <c r="AK22" s="95">
        <v>1</v>
      </c>
      <c r="AL22" s="96">
        <f t="shared" si="22"/>
        <v>1.05</v>
      </c>
      <c r="AM22" s="432" t="str">
        <f t="shared" si="23"/>
        <v xml:space="preserve">(na,na,na,na,na,na); </v>
      </c>
      <c r="AN22" s="435">
        <v>0</v>
      </c>
      <c r="AO22" s="95">
        <v>1</v>
      </c>
      <c r="AP22" s="96">
        <f t="shared" si="24"/>
        <v>1.05</v>
      </c>
      <c r="AQ22" s="432" t="str">
        <f t="shared" si="25"/>
        <v xml:space="preserve">(na,na,na,na,na,na); </v>
      </c>
      <c r="AR22" s="435">
        <v>0</v>
      </c>
      <c r="AS22" s="95">
        <v>1</v>
      </c>
      <c r="AT22" s="96">
        <f t="shared" si="26"/>
        <v>1.2434566510799234</v>
      </c>
      <c r="AU22" s="432" t="str">
        <f t="shared" si="27"/>
        <v>(2,4,1,3,1,5); Brailovsky (2026) GM 08</v>
      </c>
      <c r="AV22" s="435">
        <v>0.92700000000000005</v>
      </c>
      <c r="AW22" s="95">
        <v>1</v>
      </c>
      <c r="AX22" s="96">
        <f t="shared" si="28"/>
        <v>1.2434566510799234</v>
      </c>
      <c r="AY22" s="432" t="str">
        <f t="shared" si="29"/>
        <v>(2,4,1,3,1,5); Brailovsky (2026) GM 08</v>
      </c>
      <c r="AZ22" s="112"/>
      <c r="BA22" s="288"/>
      <c r="BB22" s="690"/>
      <c r="BC22" s="83" t="s">
        <v>106</v>
      </c>
      <c r="BD22" s="83" t="s">
        <v>106</v>
      </c>
      <c r="BE22" s="83" t="s">
        <v>106</v>
      </c>
      <c r="BF22" s="83" t="s">
        <v>106</v>
      </c>
      <c r="BG22" s="83" t="s">
        <v>106</v>
      </c>
      <c r="BH22" s="83" t="s">
        <v>106</v>
      </c>
      <c r="BI22" s="104">
        <v>3</v>
      </c>
      <c r="BJ22" s="104">
        <v>1.05</v>
      </c>
      <c r="BK22" s="107">
        <f t="shared" si="32"/>
        <v>1</v>
      </c>
      <c r="BL22" s="107">
        <f t="shared" si="33"/>
        <v>1.05</v>
      </c>
      <c r="BM22" s="107" t="str">
        <f t="shared" si="34"/>
        <v>(na,na,na,na,na,na)</v>
      </c>
      <c r="BN22" s="108">
        <v>1</v>
      </c>
      <c r="BO22" s="108">
        <v>1</v>
      </c>
      <c r="BP22" s="108">
        <v>1</v>
      </c>
      <c r="BQ22" s="108">
        <v>1</v>
      </c>
      <c r="BR22" s="108">
        <v>1</v>
      </c>
      <c r="BS22" s="108">
        <v>1</v>
      </c>
      <c r="BU22" s="692" t="s">
        <v>1275</v>
      </c>
      <c r="BV22" s="83">
        <v>2</v>
      </c>
      <c r="BW22" s="83">
        <f>BW$23</f>
        <v>4</v>
      </c>
      <c r="BX22" s="83">
        <v>1</v>
      </c>
      <c r="BY22" s="83">
        <f>BY$23</f>
        <v>3</v>
      </c>
      <c r="BZ22" s="83">
        <f>BZ$23</f>
        <v>1</v>
      </c>
      <c r="CA22" s="83">
        <v>5</v>
      </c>
      <c r="CB22" s="104">
        <v>3</v>
      </c>
      <c r="CC22" s="104">
        <v>1.05</v>
      </c>
      <c r="CD22" s="107">
        <f t="shared" si="35"/>
        <v>1.2365959919080913</v>
      </c>
      <c r="CE22" s="107">
        <f t="shared" si="36"/>
        <v>1.2434566510799234</v>
      </c>
      <c r="CF22" s="107" t="str">
        <f t="shared" si="37"/>
        <v>(2,4,1,3,1,5)</v>
      </c>
      <c r="CG22" s="108">
        <v>1.05</v>
      </c>
      <c r="CH22" s="108">
        <v>1.1000000000000001</v>
      </c>
      <c r="CI22" s="108">
        <v>1</v>
      </c>
      <c r="CJ22" s="108">
        <v>1.02</v>
      </c>
      <c r="CK22" s="108">
        <v>1</v>
      </c>
      <c r="CL22" s="108">
        <v>1.2</v>
      </c>
    </row>
    <row r="23" spans="1:90" ht="24">
      <c r="A23" s="330">
        <v>269089</v>
      </c>
      <c r="B23" s="331" t="s">
        <v>582</v>
      </c>
      <c r="C23" s="88"/>
      <c r="D23" s="340">
        <v>5</v>
      </c>
      <c r="E23" s="341" t="s">
        <v>98</v>
      </c>
      <c r="F23" s="432" t="s">
        <v>675</v>
      </c>
      <c r="G23" s="433" t="s">
        <v>93</v>
      </c>
      <c r="H23" s="434" t="s">
        <v>98</v>
      </c>
      <c r="I23" s="434" t="s">
        <v>98</v>
      </c>
      <c r="J23" s="94">
        <v>0</v>
      </c>
      <c r="K23" s="433" t="s">
        <v>96</v>
      </c>
      <c r="L23" s="435">
        <f>$BA23</f>
        <v>1.5</v>
      </c>
      <c r="M23" s="95">
        <v>1</v>
      </c>
      <c r="N23" s="96">
        <f t="shared" si="10"/>
        <v>1.2434566510799234</v>
      </c>
      <c r="O23" s="432" t="str">
        <f t="shared" si="11"/>
        <v>(1,4,4,3,1,3); Calculation: 0.5 kg/m assumed Alluminium weight for 35 mm x 35 mm frame profile suitable for 3.2 mm glass module.</v>
      </c>
      <c r="P23" s="435">
        <v>0</v>
      </c>
      <c r="Q23" s="95">
        <v>1</v>
      </c>
      <c r="R23" s="96">
        <f t="shared" si="12"/>
        <v>1.2434566510799234</v>
      </c>
      <c r="S23" s="432" t="str">
        <f t="shared" si="13"/>
        <v>(1,4,4,3,1,3); Calculation: 0.5 kg/m assumed Alluminium weight for 35 mm x 35 mm frame profile suitable for 3.2 mm glass module.</v>
      </c>
      <c r="T23" s="435">
        <f>$BA23</f>
        <v>1.5</v>
      </c>
      <c r="U23" s="95">
        <v>1</v>
      </c>
      <c r="V23" s="96">
        <f t="shared" si="14"/>
        <v>1.2434566510799234</v>
      </c>
      <c r="W23" s="432" t="str">
        <f t="shared" si="15"/>
        <v>(1,4,4,3,1,3); Calculation: 0.5 kg/m assumed Alluminium weight for 35 mm x 35 mm frame profile suitable for 3.2 mm glass module.</v>
      </c>
      <c r="X23" s="435">
        <v>0</v>
      </c>
      <c r="Y23" s="95">
        <v>1</v>
      </c>
      <c r="Z23" s="96">
        <f t="shared" si="16"/>
        <v>1.2434566510799234</v>
      </c>
      <c r="AA23" s="432" t="str">
        <f t="shared" si="17"/>
        <v>(1,4,4,3,1,3); Calculation: 0.5 kg/m assumed Alluminium weight for 35 mm x 35 mm frame profile suitable for 3.2 mm glass module.</v>
      </c>
      <c r="AB23" s="435">
        <f>$BA23</f>
        <v>1.5</v>
      </c>
      <c r="AC23" s="95">
        <v>1</v>
      </c>
      <c r="AD23" s="96">
        <f t="shared" si="18"/>
        <v>1.2434566510799234</v>
      </c>
      <c r="AE23" s="432" t="str">
        <f t="shared" si="19"/>
        <v>(1,4,4,3,1,3); Calculation: 0.5 kg/m assumed Alluminium weight for 35 mm x 35 mm frame profile suitable for 3.2 mm glass module.</v>
      </c>
      <c r="AF23" s="435">
        <v>0</v>
      </c>
      <c r="AG23" s="95">
        <v>1</v>
      </c>
      <c r="AH23" s="96">
        <f t="shared" si="20"/>
        <v>1.2434566510799234</v>
      </c>
      <c r="AI23" s="432" t="str">
        <f t="shared" si="21"/>
        <v>(1,4,4,3,1,3); Calculation: 0.5 kg/m assumed Alluminium weight for 35 mm x 35 mm frame profile suitable for 3.2 mm glass module.</v>
      </c>
      <c r="AJ23" s="435">
        <f>$BA23</f>
        <v>1.5</v>
      </c>
      <c r="AK23" s="95">
        <v>1</v>
      </c>
      <c r="AL23" s="96">
        <f t="shared" si="22"/>
        <v>1.2434566510799234</v>
      </c>
      <c r="AM23" s="432" t="str">
        <f t="shared" si="23"/>
        <v>(1,4,4,3,1,3); Calculation: 0.5 kg/m assumed Alluminium weight for 35 mm x 35 mm frame profile suitable for 3.2 mm glass module.</v>
      </c>
      <c r="AN23" s="435">
        <v>0</v>
      </c>
      <c r="AO23" s="95">
        <v>1</v>
      </c>
      <c r="AP23" s="96">
        <f t="shared" si="24"/>
        <v>1.2434566510799234</v>
      </c>
      <c r="AQ23" s="432" t="str">
        <f t="shared" si="25"/>
        <v>(1,4,4,3,1,3); Calculation: 0.5 kg/m assumed Alluminium weight for 35 mm x 35 mm frame profile suitable for 3.2 mm glass module.</v>
      </c>
      <c r="AR23" s="435">
        <v>1.35</v>
      </c>
      <c r="AS23" s="95">
        <v>1</v>
      </c>
      <c r="AT23" s="96">
        <f t="shared" si="26"/>
        <v>1.2434566510799234</v>
      </c>
      <c r="AU23" s="432" t="str">
        <f t="shared" si="27"/>
        <v>(2,4,1,3,1,5); Brailovsky (2026) GM 08; iso aluminium frame, RER iso GLO, personal information from Brailovsky</v>
      </c>
      <c r="AV23" s="435">
        <f>AR23</f>
        <v>1.35</v>
      </c>
      <c r="AW23" s="95">
        <v>1</v>
      </c>
      <c r="AX23" s="96">
        <f t="shared" si="28"/>
        <v>1.2434566510799234</v>
      </c>
      <c r="AY23" s="432" t="str">
        <f t="shared" si="29"/>
        <v>(2,4,1,3,1,5); Brailovsky (2026) GM 08; iso aluminium frame, RER iso GLO, personal information from Brailovsky</v>
      </c>
      <c r="AZ23" s="112"/>
      <c r="BA23" s="435">
        <f>0.5*6/2</f>
        <v>1.5</v>
      </c>
      <c r="BB23" s="216" t="s">
        <v>1276</v>
      </c>
      <c r="BC23" s="83">
        <v>1</v>
      </c>
      <c r="BD23" s="83">
        <v>4</v>
      </c>
      <c r="BE23" s="83">
        <v>4</v>
      </c>
      <c r="BF23" s="83">
        <v>3</v>
      </c>
      <c r="BG23" s="83">
        <v>1</v>
      </c>
      <c r="BH23" s="83">
        <v>3</v>
      </c>
      <c r="BI23" s="104">
        <v>3</v>
      </c>
      <c r="BJ23" s="104">
        <v>1.05</v>
      </c>
      <c r="BK23" s="107">
        <f t="shared" si="32"/>
        <v>1.2365959919080913</v>
      </c>
      <c r="BL23" s="107">
        <f t="shared" si="33"/>
        <v>1.2434566510799234</v>
      </c>
      <c r="BM23" s="107" t="str">
        <f t="shared" si="34"/>
        <v>(1,4,4,3,1,3)</v>
      </c>
      <c r="BN23" s="108">
        <v>1</v>
      </c>
      <c r="BO23" s="108">
        <v>1.1000000000000001</v>
      </c>
      <c r="BP23" s="108">
        <v>1.2</v>
      </c>
      <c r="BQ23" s="108">
        <v>1.02</v>
      </c>
      <c r="BR23" s="108">
        <v>1</v>
      </c>
      <c r="BS23" s="108">
        <v>1.05</v>
      </c>
      <c r="BU23" s="692" t="s">
        <v>1277</v>
      </c>
      <c r="BV23" s="83">
        <v>2</v>
      </c>
      <c r="BW23" s="83">
        <v>4</v>
      </c>
      <c r="BX23" s="83">
        <v>1</v>
      </c>
      <c r="BY23" s="83">
        <v>3</v>
      </c>
      <c r="BZ23" s="83">
        <v>1</v>
      </c>
      <c r="CA23" s="83">
        <v>5</v>
      </c>
      <c r="CB23" s="104">
        <v>3</v>
      </c>
      <c r="CC23" s="104">
        <v>1.05</v>
      </c>
      <c r="CD23" s="107">
        <f t="shared" si="35"/>
        <v>1.2365959919080913</v>
      </c>
      <c r="CE23" s="107">
        <f t="shared" si="36"/>
        <v>1.2434566510799234</v>
      </c>
      <c r="CF23" s="107" t="str">
        <f t="shared" si="37"/>
        <v>(2,4,1,3,1,5)</v>
      </c>
      <c r="CG23" s="108">
        <v>1.05</v>
      </c>
      <c r="CH23" s="108">
        <v>1.1000000000000001</v>
      </c>
      <c r="CI23" s="108">
        <v>1</v>
      </c>
      <c r="CJ23" s="108">
        <v>1.02</v>
      </c>
      <c r="CK23" s="108">
        <v>1</v>
      </c>
      <c r="CL23" s="108">
        <v>1.2</v>
      </c>
    </row>
    <row r="24" spans="1:90" ht="24">
      <c r="A24" s="330">
        <v>160379</v>
      </c>
      <c r="B24" s="331"/>
      <c r="C24" s="88"/>
      <c r="D24" s="340">
        <v>5</v>
      </c>
      <c r="E24" s="341" t="s">
        <v>98</v>
      </c>
      <c r="F24" s="432" t="s">
        <v>1174</v>
      </c>
      <c r="G24" s="433" t="s">
        <v>93</v>
      </c>
      <c r="H24" s="434" t="s">
        <v>98</v>
      </c>
      <c r="I24" s="434" t="s">
        <v>98</v>
      </c>
      <c r="J24" s="94">
        <v>0</v>
      </c>
      <c r="K24" s="433" t="s">
        <v>96</v>
      </c>
      <c r="L24" s="435">
        <f>$BA24</f>
        <v>0.10249999999999999</v>
      </c>
      <c r="M24" s="95">
        <v>1</v>
      </c>
      <c r="N24" s="96">
        <f t="shared" si="10"/>
        <v>1.2434566510799234</v>
      </c>
      <c r="O24" s="432" t="str">
        <f t="shared" si="11"/>
        <v>(1,4,4,3,1,3); de Wild-Scholten (2014) Life Cycle Assessment of Photovoltaics Status 2011, Part 1 Data Collection (Table 37)</v>
      </c>
      <c r="P24" s="435">
        <f>$BA24</f>
        <v>0.10249999999999999</v>
      </c>
      <c r="Q24" s="95">
        <v>1</v>
      </c>
      <c r="R24" s="96">
        <f t="shared" si="12"/>
        <v>1.2434566510799234</v>
      </c>
      <c r="S24" s="432" t="str">
        <f t="shared" si="13"/>
        <v>(1,4,4,3,1,3); de Wild-Scholten (2014) Life Cycle Assessment of Photovoltaics Status 2011, Part 1 Data Collection (Table 37)</v>
      </c>
      <c r="T24" s="435">
        <f>$BA24</f>
        <v>0.10249999999999999</v>
      </c>
      <c r="U24" s="95">
        <v>1</v>
      </c>
      <c r="V24" s="96">
        <f t="shared" si="14"/>
        <v>1.2434566510799234</v>
      </c>
      <c r="W24" s="432" t="str">
        <f t="shared" si="15"/>
        <v>(1,4,4,3,1,3); de Wild-Scholten (2014) Life Cycle Assessment of Photovoltaics Status 2011, Part 1 Data Collection (Table 37)</v>
      </c>
      <c r="X24" s="435">
        <f>$BA24</f>
        <v>0.10249999999999999</v>
      </c>
      <c r="Y24" s="95">
        <v>1</v>
      </c>
      <c r="Z24" s="96">
        <f t="shared" si="16"/>
        <v>1.2434566510799234</v>
      </c>
      <c r="AA24" s="432" t="str">
        <f t="shared" si="17"/>
        <v>(1,4,4,3,1,3); de Wild-Scholten (2014) Life Cycle Assessment of Photovoltaics Status 2011, Part 1 Data Collection (Table 37)</v>
      </c>
      <c r="AB24" s="435">
        <f>$BA24</f>
        <v>0.10249999999999999</v>
      </c>
      <c r="AC24" s="95">
        <v>1</v>
      </c>
      <c r="AD24" s="96">
        <f t="shared" si="18"/>
        <v>1.2434566510799234</v>
      </c>
      <c r="AE24" s="432" t="str">
        <f t="shared" si="19"/>
        <v>(1,4,4,3,1,3); de Wild-Scholten (2014) Life Cycle Assessment of Photovoltaics Status 2011, Part 1 Data Collection (Table 37)</v>
      </c>
      <c r="AF24" s="435">
        <f>$BA24</f>
        <v>0.10249999999999999</v>
      </c>
      <c r="AG24" s="95">
        <v>1</v>
      </c>
      <c r="AH24" s="96">
        <f t="shared" si="20"/>
        <v>1.2434566510799234</v>
      </c>
      <c r="AI24" s="432" t="str">
        <f t="shared" si="21"/>
        <v>(1,4,4,3,1,3); de Wild-Scholten (2014) Life Cycle Assessment of Photovoltaics Status 2011, Part 1 Data Collection (Table 37)</v>
      </c>
      <c r="AJ24" s="435">
        <f>$BA24</f>
        <v>0.10249999999999999</v>
      </c>
      <c r="AK24" s="95">
        <v>1</v>
      </c>
      <c r="AL24" s="96">
        <f t="shared" si="22"/>
        <v>1.2434566510799234</v>
      </c>
      <c r="AM24" s="432" t="str">
        <f t="shared" si="23"/>
        <v>(1,4,4,3,1,3); de Wild-Scholten (2014) Life Cycle Assessment of Photovoltaics Status 2011, Part 1 Data Collection (Table 37)</v>
      </c>
      <c r="AN24" s="435">
        <f>$BA24</f>
        <v>0.10249999999999999</v>
      </c>
      <c r="AO24" s="95">
        <v>1</v>
      </c>
      <c r="AP24" s="96">
        <f t="shared" si="24"/>
        <v>1.2434566510799234</v>
      </c>
      <c r="AQ24" s="432" t="str">
        <f t="shared" si="25"/>
        <v>(1,4,4,3,1,3); de Wild-Scholten (2014) Life Cycle Assessment of Photovoltaics Status 2011, Part 1 Data Collection (Table 37)</v>
      </c>
      <c r="AR24" s="435">
        <v>0.113</v>
      </c>
      <c r="AS24" s="95">
        <v>1</v>
      </c>
      <c r="AT24" s="96">
        <f t="shared" si="26"/>
        <v>1.2434566510799234</v>
      </c>
      <c r="AU24" s="432" t="str">
        <f t="shared" si="27"/>
        <v>(2,4,1,3,1,5); Brailovsky (2026) GM 08; iso copper, cathode</v>
      </c>
      <c r="AV24" s="435">
        <v>0.113</v>
      </c>
      <c r="AW24" s="95">
        <v>1</v>
      </c>
      <c r="AX24" s="96">
        <f t="shared" si="28"/>
        <v>1.2434566510799234</v>
      </c>
      <c r="AY24" s="432" t="str">
        <f t="shared" si="29"/>
        <v>(2,4,1,3,1,5); Brailovsky (2026) GM 08; iso copper, cathode</v>
      </c>
      <c r="AZ24" s="112"/>
      <c r="BA24" s="435">
        <f>0.164/1.6</f>
        <v>0.10249999999999999</v>
      </c>
      <c r="BB24" s="216" t="s">
        <v>1230</v>
      </c>
      <c r="BC24" s="83">
        <f>BC$23</f>
        <v>1</v>
      </c>
      <c r="BD24" s="83">
        <f>BD$23</f>
        <v>4</v>
      </c>
      <c r="BE24" s="83">
        <v>4</v>
      </c>
      <c r="BF24" s="83">
        <f t="shared" ref="BF24:BH25" si="38">BF$23</f>
        <v>3</v>
      </c>
      <c r="BG24" s="83">
        <f t="shared" si="38"/>
        <v>1</v>
      </c>
      <c r="BH24" s="83">
        <f t="shared" si="38"/>
        <v>3</v>
      </c>
      <c r="BI24" s="104">
        <v>3</v>
      </c>
      <c r="BJ24" s="104">
        <v>1.05</v>
      </c>
      <c r="BK24" s="107">
        <f t="shared" si="32"/>
        <v>1.2365959919080913</v>
      </c>
      <c r="BL24" s="107">
        <f t="shared" si="33"/>
        <v>1.2434566510799234</v>
      </c>
      <c r="BM24" s="107" t="str">
        <f t="shared" si="34"/>
        <v>(1,4,4,3,1,3)</v>
      </c>
      <c r="BN24" s="108">
        <v>1</v>
      </c>
      <c r="BO24" s="108">
        <v>1.1000000000000001</v>
      </c>
      <c r="BP24" s="108">
        <v>1.2</v>
      </c>
      <c r="BQ24" s="108">
        <v>1.02</v>
      </c>
      <c r="BR24" s="108">
        <v>1</v>
      </c>
      <c r="BS24" s="108">
        <v>1.05</v>
      </c>
      <c r="BU24" s="692" t="s">
        <v>1278</v>
      </c>
      <c r="BV24" s="83">
        <v>2</v>
      </c>
      <c r="BW24" s="83">
        <f t="shared" ref="BW24:BW37" si="39">BW$23</f>
        <v>4</v>
      </c>
      <c r="BX24" s="83">
        <v>1</v>
      </c>
      <c r="BY24" s="83">
        <f t="shared" ref="BY24:BZ37" si="40">BY$23</f>
        <v>3</v>
      </c>
      <c r="BZ24" s="83">
        <f t="shared" si="40"/>
        <v>1</v>
      </c>
      <c r="CA24" s="83">
        <v>5</v>
      </c>
      <c r="CB24" s="104">
        <v>3</v>
      </c>
      <c r="CC24" s="104">
        <v>1.05</v>
      </c>
      <c r="CD24" s="107">
        <f t="shared" si="35"/>
        <v>1.2365959919080913</v>
      </c>
      <c r="CE24" s="107">
        <f t="shared" si="36"/>
        <v>1.2434566510799234</v>
      </c>
      <c r="CF24" s="107" t="str">
        <f t="shared" si="37"/>
        <v>(2,4,1,3,1,5)</v>
      </c>
      <c r="CG24" s="108">
        <v>1.05</v>
      </c>
      <c r="CH24" s="108">
        <v>1.1000000000000001</v>
      </c>
      <c r="CI24" s="108">
        <v>1</v>
      </c>
      <c r="CJ24" s="108">
        <v>1.02</v>
      </c>
      <c r="CK24" s="108">
        <v>1</v>
      </c>
      <c r="CL24" s="108">
        <v>1.2</v>
      </c>
    </row>
    <row r="25" spans="1:90" ht="24">
      <c r="A25" s="330">
        <v>269435</v>
      </c>
      <c r="B25" s="331"/>
      <c r="C25" s="88"/>
      <c r="D25" s="340">
        <v>5</v>
      </c>
      <c r="E25" s="341" t="s">
        <v>98</v>
      </c>
      <c r="F25" s="432" t="s">
        <v>1194</v>
      </c>
      <c r="G25" s="433" t="s">
        <v>93</v>
      </c>
      <c r="H25" s="434" t="s">
        <v>98</v>
      </c>
      <c r="I25" s="434" t="s">
        <v>98</v>
      </c>
      <c r="J25" s="94">
        <v>0</v>
      </c>
      <c r="K25" s="433" t="s">
        <v>96</v>
      </c>
      <c r="L25" s="435">
        <f>L24</f>
        <v>0.10249999999999999</v>
      </c>
      <c r="M25" s="95">
        <v>1</v>
      </c>
      <c r="N25" s="96">
        <f t="shared" si="10"/>
        <v>1.2434566510799234</v>
      </c>
      <c r="O25" s="432" t="str">
        <f t="shared" si="11"/>
        <v>(1,4,4,3,1,3); de Wild-Scholten (2014) Life Cycle Assessment of Photovoltaics Status 2011, Part 1 Data Collection (Table 37)</v>
      </c>
      <c r="P25" s="435">
        <f>P24</f>
        <v>0.10249999999999999</v>
      </c>
      <c r="Q25" s="95">
        <v>1</v>
      </c>
      <c r="R25" s="96">
        <f t="shared" si="12"/>
        <v>1.2434566510799234</v>
      </c>
      <c r="S25" s="432" t="str">
        <f t="shared" si="13"/>
        <v>(1,4,4,3,1,3); de Wild-Scholten (2014) Life Cycle Assessment of Photovoltaics Status 2011, Part 1 Data Collection (Table 37)</v>
      </c>
      <c r="T25" s="435">
        <f>T24</f>
        <v>0.10249999999999999</v>
      </c>
      <c r="U25" s="95">
        <v>1</v>
      </c>
      <c r="V25" s="96">
        <f t="shared" si="14"/>
        <v>1.2434566510799234</v>
      </c>
      <c r="W25" s="432" t="str">
        <f t="shared" si="15"/>
        <v>(1,4,4,3,1,3); de Wild-Scholten (2014) Life Cycle Assessment of Photovoltaics Status 2011, Part 1 Data Collection (Table 37)</v>
      </c>
      <c r="X25" s="435">
        <f>X24</f>
        <v>0.10249999999999999</v>
      </c>
      <c r="Y25" s="95">
        <v>1</v>
      </c>
      <c r="Z25" s="96">
        <f t="shared" si="16"/>
        <v>1.2434566510799234</v>
      </c>
      <c r="AA25" s="432" t="str">
        <f t="shared" si="17"/>
        <v>(1,4,4,3,1,3); de Wild-Scholten (2014) Life Cycle Assessment of Photovoltaics Status 2011, Part 1 Data Collection (Table 37)</v>
      </c>
      <c r="AB25" s="435">
        <f>AB24</f>
        <v>0.10249999999999999</v>
      </c>
      <c r="AC25" s="95">
        <v>1</v>
      </c>
      <c r="AD25" s="96">
        <f t="shared" si="18"/>
        <v>1.2434566510799234</v>
      </c>
      <c r="AE25" s="432" t="str">
        <f t="shared" si="19"/>
        <v>(1,4,4,3,1,3); de Wild-Scholten (2014) Life Cycle Assessment of Photovoltaics Status 2011, Part 1 Data Collection (Table 37)</v>
      </c>
      <c r="AF25" s="435">
        <f>AF24</f>
        <v>0.10249999999999999</v>
      </c>
      <c r="AG25" s="95">
        <v>1</v>
      </c>
      <c r="AH25" s="96">
        <f t="shared" si="20"/>
        <v>1.2434566510799234</v>
      </c>
      <c r="AI25" s="432" t="str">
        <f t="shared" si="21"/>
        <v>(1,4,4,3,1,3); de Wild-Scholten (2014) Life Cycle Assessment of Photovoltaics Status 2011, Part 1 Data Collection (Table 37)</v>
      </c>
      <c r="AJ25" s="435">
        <f>AJ24</f>
        <v>0.10249999999999999</v>
      </c>
      <c r="AK25" s="95">
        <v>1</v>
      </c>
      <c r="AL25" s="96">
        <f t="shared" si="22"/>
        <v>1.2434566510799234</v>
      </c>
      <c r="AM25" s="432" t="str">
        <f t="shared" si="23"/>
        <v>(1,4,4,3,1,3); de Wild-Scholten (2014) Life Cycle Assessment of Photovoltaics Status 2011, Part 1 Data Collection (Table 37)</v>
      </c>
      <c r="AN25" s="435">
        <f>AN24</f>
        <v>0.10249999999999999</v>
      </c>
      <c r="AO25" s="95">
        <v>1</v>
      </c>
      <c r="AP25" s="96">
        <f t="shared" si="24"/>
        <v>1.2434566510799234</v>
      </c>
      <c r="AQ25" s="432" t="str">
        <f t="shared" si="25"/>
        <v>(1,4,4,3,1,3); de Wild-Scholten (2014) Life Cycle Assessment of Photovoltaics Status 2011, Part 1 Data Collection (Table 37)</v>
      </c>
      <c r="AR25" s="435">
        <v>0.113</v>
      </c>
      <c r="AS25" s="95">
        <v>1</v>
      </c>
      <c r="AT25" s="96">
        <f t="shared" si="26"/>
        <v>1.2434566510799234</v>
      </c>
      <c r="AU25" s="432" t="str">
        <f t="shared" si="27"/>
        <v>(2,4,1,3,1,5); Brailovsky (2026) GM 08</v>
      </c>
      <c r="AV25" s="435">
        <v>0.113</v>
      </c>
      <c r="AW25" s="95">
        <v>1</v>
      </c>
      <c r="AX25" s="96">
        <f t="shared" si="28"/>
        <v>1.2434566510799234</v>
      </c>
      <c r="AY25" s="432" t="str">
        <f t="shared" si="29"/>
        <v>(2,4,1,3,1,5); Brailovsky (2026) GM 08</v>
      </c>
      <c r="AZ25" s="112"/>
      <c r="BA25" s="435">
        <f>0.164/1.6</f>
        <v>0.10249999999999999</v>
      </c>
      <c r="BB25" s="216" t="s">
        <v>1230</v>
      </c>
      <c r="BC25" s="83">
        <f>BC$23</f>
        <v>1</v>
      </c>
      <c r="BD25" s="83">
        <f>BD$23</f>
        <v>4</v>
      </c>
      <c r="BE25" s="83">
        <v>4</v>
      </c>
      <c r="BF25" s="83">
        <f t="shared" si="38"/>
        <v>3</v>
      </c>
      <c r="BG25" s="83">
        <f t="shared" si="38"/>
        <v>1</v>
      </c>
      <c r="BH25" s="83">
        <f t="shared" si="38"/>
        <v>3</v>
      </c>
      <c r="BI25" s="104">
        <v>3</v>
      </c>
      <c r="BJ25" s="104">
        <v>1.05</v>
      </c>
      <c r="BK25" s="107">
        <f t="shared" si="32"/>
        <v>1.2365959919080913</v>
      </c>
      <c r="BL25" s="107">
        <f t="shared" si="33"/>
        <v>1.2434566510799234</v>
      </c>
      <c r="BM25" s="107" t="str">
        <f t="shared" si="34"/>
        <v>(1,4,4,3,1,3)</v>
      </c>
      <c r="BN25" s="108">
        <v>1</v>
      </c>
      <c r="BO25" s="108">
        <v>1.1000000000000001</v>
      </c>
      <c r="BP25" s="108">
        <v>1.2</v>
      </c>
      <c r="BQ25" s="108">
        <v>1.02</v>
      </c>
      <c r="BR25" s="108">
        <v>1</v>
      </c>
      <c r="BS25" s="108">
        <v>1.05</v>
      </c>
      <c r="BU25" s="692" t="s">
        <v>1275</v>
      </c>
      <c r="BV25" s="83">
        <v>2</v>
      </c>
      <c r="BW25" s="83">
        <f t="shared" si="39"/>
        <v>4</v>
      </c>
      <c r="BX25" s="83">
        <v>1</v>
      </c>
      <c r="BY25" s="83">
        <f t="shared" si="40"/>
        <v>3</v>
      </c>
      <c r="BZ25" s="83">
        <f t="shared" si="40"/>
        <v>1</v>
      </c>
      <c r="CA25" s="83">
        <v>5</v>
      </c>
      <c r="CB25" s="104">
        <v>3</v>
      </c>
      <c r="CC25" s="104">
        <v>1.05</v>
      </c>
      <c r="CD25" s="107">
        <f t="shared" si="35"/>
        <v>1.2365959919080913</v>
      </c>
      <c r="CE25" s="107">
        <f t="shared" si="36"/>
        <v>1.2434566510799234</v>
      </c>
      <c r="CF25" s="107" t="str">
        <f t="shared" si="37"/>
        <v>(2,4,1,3,1,5)</v>
      </c>
      <c r="CG25" s="108">
        <v>1.05</v>
      </c>
      <c r="CH25" s="108">
        <v>1.1000000000000001</v>
      </c>
      <c r="CI25" s="108">
        <v>1</v>
      </c>
      <c r="CJ25" s="108">
        <v>1.02</v>
      </c>
      <c r="CK25" s="108">
        <v>1</v>
      </c>
      <c r="CL25" s="108">
        <v>1.2</v>
      </c>
    </row>
    <row r="26" spans="1:90" s="169" customFormat="1" ht="24">
      <c r="A26" s="330">
        <v>269111</v>
      </c>
      <c r="B26" s="331"/>
      <c r="C26" s="88"/>
      <c r="D26" s="340">
        <v>5</v>
      </c>
      <c r="E26" s="341" t="s">
        <v>98</v>
      </c>
      <c r="F26" s="432" t="s">
        <v>1279</v>
      </c>
      <c r="G26" s="433" t="s">
        <v>154</v>
      </c>
      <c r="H26" s="434" t="s">
        <v>98</v>
      </c>
      <c r="I26" s="434" t="s">
        <v>98</v>
      </c>
      <c r="J26" s="94">
        <v>0</v>
      </c>
      <c r="K26" s="433" t="s">
        <v>96</v>
      </c>
      <c r="L26" s="435">
        <f>$BA26</f>
        <v>2.8124999999999995E-3</v>
      </c>
      <c r="M26" s="95">
        <v>1</v>
      </c>
      <c r="N26" s="96">
        <f t="shared" si="10"/>
        <v>1.3440316373092398</v>
      </c>
      <c r="O26" s="432" t="str">
        <f t="shared" si="11"/>
        <v>(3,4,4,3,1,5); de Wild-Scholten (2014) Life Cycle Assessment of Photovoltaics Status 2011, Part 1 Data Collection (Table 37)</v>
      </c>
      <c r="P26" s="435">
        <f>$BA26</f>
        <v>2.8124999999999995E-3</v>
      </c>
      <c r="Q26" s="95">
        <v>1</v>
      </c>
      <c r="R26" s="96">
        <f t="shared" si="12"/>
        <v>1.3440316373092398</v>
      </c>
      <c r="S26" s="432" t="str">
        <f t="shared" si="13"/>
        <v>(3,4,4,3,1,5); de Wild-Scholten (2014) Life Cycle Assessment of Photovoltaics Status 2011, Part 1 Data Collection (Table 37)</v>
      </c>
      <c r="T26" s="435">
        <f>$BA26</f>
        <v>2.8124999999999995E-3</v>
      </c>
      <c r="U26" s="95">
        <v>1</v>
      </c>
      <c r="V26" s="96">
        <f t="shared" si="14"/>
        <v>1.3440316373092398</v>
      </c>
      <c r="W26" s="432" t="str">
        <f t="shared" si="15"/>
        <v>(3,4,4,3,1,5); de Wild-Scholten (2014) Life Cycle Assessment of Photovoltaics Status 2011, Part 1 Data Collection (Table 37)</v>
      </c>
      <c r="X26" s="435">
        <f>$BA26</f>
        <v>2.8124999999999995E-3</v>
      </c>
      <c r="Y26" s="95">
        <v>1</v>
      </c>
      <c r="Z26" s="96">
        <f t="shared" si="16"/>
        <v>1.3440316373092398</v>
      </c>
      <c r="AA26" s="432" t="str">
        <f t="shared" si="17"/>
        <v>(3,4,4,3,1,5); de Wild-Scholten (2014) Life Cycle Assessment of Photovoltaics Status 2011, Part 1 Data Collection (Table 37)</v>
      </c>
      <c r="AB26" s="435">
        <f>$BA26</f>
        <v>2.8124999999999995E-3</v>
      </c>
      <c r="AC26" s="95">
        <v>1</v>
      </c>
      <c r="AD26" s="96">
        <f t="shared" si="18"/>
        <v>1.3440316373092398</v>
      </c>
      <c r="AE26" s="432" t="str">
        <f t="shared" si="19"/>
        <v>(3,4,4,3,1,5); de Wild-Scholten (2014) Life Cycle Assessment of Photovoltaics Status 2011, Part 1 Data Collection (Table 37)</v>
      </c>
      <c r="AF26" s="435">
        <f>$BA26</f>
        <v>2.8124999999999995E-3</v>
      </c>
      <c r="AG26" s="95">
        <v>1</v>
      </c>
      <c r="AH26" s="96">
        <f t="shared" si="20"/>
        <v>1.3440316373092398</v>
      </c>
      <c r="AI26" s="432" t="str">
        <f t="shared" si="21"/>
        <v>(3,4,4,3,1,5); de Wild-Scholten (2014) Life Cycle Assessment of Photovoltaics Status 2011, Part 1 Data Collection (Table 37)</v>
      </c>
      <c r="AJ26" s="435">
        <f>$BA26</f>
        <v>2.8124999999999995E-3</v>
      </c>
      <c r="AK26" s="95">
        <v>1</v>
      </c>
      <c r="AL26" s="96">
        <f t="shared" si="22"/>
        <v>1.3440316373092398</v>
      </c>
      <c r="AM26" s="432" t="str">
        <f t="shared" si="23"/>
        <v>(3,4,4,3,1,5); de Wild-Scholten (2014) Life Cycle Assessment of Photovoltaics Status 2011, Part 1 Data Collection (Table 37)</v>
      </c>
      <c r="AN26" s="435">
        <f>$BA26</f>
        <v>2.8124999999999995E-3</v>
      </c>
      <c r="AO26" s="95">
        <v>1</v>
      </c>
      <c r="AP26" s="96">
        <f t="shared" si="24"/>
        <v>1.3440316373092398</v>
      </c>
      <c r="AQ26" s="432" t="str">
        <f t="shared" si="25"/>
        <v>(3,4,4,3,1,5); de Wild-Scholten (2014) Life Cycle Assessment of Photovoltaics Status 2011, Part 1 Data Collection (Table 37)</v>
      </c>
      <c r="AR26" s="435">
        <v>1.8799999999999999E-4</v>
      </c>
      <c r="AS26" s="95">
        <v>1</v>
      </c>
      <c r="AT26" s="96">
        <f t="shared" si="26"/>
        <v>1.2434566510799234</v>
      </c>
      <c r="AU26" s="432" t="str">
        <f t="shared" si="27"/>
        <v>(2,4,1,3,1,5); Brailovsky (2026) GM 08; at plant iso market</v>
      </c>
      <c r="AV26" s="435">
        <v>1.8799999999999999E-4</v>
      </c>
      <c r="AW26" s="95">
        <v>1</v>
      </c>
      <c r="AX26" s="96">
        <f t="shared" si="28"/>
        <v>1.2434566510799234</v>
      </c>
      <c r="AY26" s="432" t="str">
        <f t="shared" si="29"/>
        <v>(2,4,1,3,1,5); Brailovsky (2026) GM 08; at plant iso market</v>
      </c>
      <c r="AZ26" s="112"/>
      <c r="BA26" s="435">
        <f>0.0045/1.6</f>
        <v>2.8124999999999995E-3</v>
      </c>
      <c r="BB26" s="216" t="s">
        <v>1230</v>
      </c>
      <c r="BC26" s="83">
        <v>3</v>
      </c>
      <c r="BD26" s="83">
        <v>4</v>
      </c>
      <c r="BE26" s="83">
        <v>4</v>
      </c>
      <c r="BF26" s="83">
        <v>3</v>
      </c>
      <c r="BG26" s="83">
        <v>1</v>
      </c>
      <c r="BH26" s="83">
        <v>5</v>
      </c>
      <c r="BI26" s="104">
        <v>3</v>
      </c>
      <c r="BJ26" s="104">
        <v>1.05</v>
      </c>
      <c r="BK26" s="107">
        <f t="shared" si="32"/>
        <v>1.3385948990307144</v>
      </c>
      <c r="BL26" s="107">
        <f t="shared" si="33"/>
        <v>1.3440316373092398</v>
      </c>
      <c r="BM26" s="107" t="str">
        <f t="shared" si="34"/>
        <v>(3,4,4,3,1,5)</v>
      </c>
      <c r="BN26" s="108">
        <v>1.1000000000000001</v>
      </c>
      <c r="BO26" s="108">
        <v>1.1000000000000001</v>
      </c>
      <c r="BP26" s="108">
        <v>1.2</v>
      </c>
      <c r="BQ26" s="108">
        <v>1.02</v>
      </c>
      <c r="BR26" s="108">
        <v>1</v>
      </c>
      <c r="BS26" s="108">
        <v>1.2</v>
      </c>
      <c r="BU26" s="692" t="s">
        <v>1280</v>
      </c>
      <c r="BV26" s="83">
        <v>2</v>
      </c>
      <c r="BW26" s="83">
        <f t="shared" si="39"/>
        <v>4</v>
      </c>
      <c r="BX26" s="83">
        <v>1</v>
      </c>
      <c r="BY26" s="83">
        <f t="shared" si="40"/>
        <v>3</v>
      </c>
      <c r="BZ26" s="83">
        <f t="shared" si="40"/>
        <v>1</v>
      </c>
      <c r="CA26" s="83">
        <v>5</v>
      </c>
      <c r="CB26" s="104">
        <v>3</v>
      </c>
      <c r="CC26" s="104">
        <v>1.05</v>
      </c>
      <c r="CD26" s="107">
        <f t="shared" si="35"/>
        <v>1.2365959919080913</v>
      </c>
      <c r="CE26" s="107">
        <f t="shared" si="36"/>
        <v>1.2434566510799234</v>
      </c>
      <c r="CF26" s="107" t="str">
        <f t="shared" si="37"/>
        <v>(2,4,1,3,1,5)</v>
      </c>
      <c r="CG26" s="108">
        <v>1.05</v>
      </c>
      <c r="CH26" s="108">
        <v>1.1000000000000001</v>
      </c>
      <c r="CI26" s="108">
        <v>1</v>
      </c>
      <c r="CJ26" s="108">
        <v>1.02</v>
      </c>
      <c r="CK26" s="108">
        <v>1</v>
      </c>
      <c r="CL26" s="108">
        <v>1.2</v>
      </c>
    </row>
    <row r="27" spans="1:90" ht="24">
      <c r="A27" s="330">
        <v>269331</v>
      </c>
      <c r="B27" s="331"/>
      <c r="C27" s="88"/>
      <c r="D27" s="340">
        <v>5</v>
      </c>
      <c r="E27" s="341" t="s">
        <v>98</v>
      </c>
      <c r="F27" s="432" t="s">
        <v>1179</v>
      </c>
      <c r="G27" s="433" t="s">
        <v>93</v>
      </c>
      <c r="H27" s="434" t="s">
        <v>98</v>
      </c>
      <c r="I27" s="434" t="s">
        <v>98</v>
      </c>
      <c r="J27" s="94">
        <v>0</v>
      </c>
      <c r="K27" s="433" t="s">
        <v>96</v>
      </c>
      <c r="L27" s="435">
        <f>$BA27</f>
        <v>0.121875</v>
      </c>
      <c r="M27" s="95">
        <v>1</v>
      </c>
      <c r="N27" s="96">
        <f t="shared" si="10"/>
        <v>1.2434566510799234</v>
      </c>
      <c r="O27" s="432" t="str">
        <f t="shared" si="11"/>
        <v>(1,4,4,3,1,3); de Wild-Scholten (2014) Life Cycle Assessment of Photovoltaics Status 2011, Part 1 Data Collection (Table 37)</v>
      </c>
      <c r="P27" s="435">
        <f>$BA27</f>
        <v>0.121875</v>
      </c>
      <c r="Q27" s="95">
        <v>1</v>
      </c>
      <c r="R27" s="96">
        <f t="shared" si="12"/>
        <v>1.2434566510799234</v>
      </c>
      <c r="S27" s="432" t="str">
        <f t="shared" si="13"/>
        <v>(1,4,4,3,1,3); de Wild-Scholten (2014) Life Cycle Assessment of Photovoltaics Status 2011, Part 1 Data Collection (Table 37)</v>
      </c>
      <c r="T27" s="435">
        <f>$BA27</f>
        <v>0.121875</v>
      </c>
      <c r="U27" s="95">
        <v>1</v>
      </c>
      <c r="V27" s="96">
        <f t="shared" si="14"/>
        <v>1.2434566510799234</v>
      </c>
      <c r="W27" s="432" t="str">
        <f t="shared" si="15"/>
        <v>(1,4,4,3,1,3); de Wild-Scholten (2014) Life Cycle Assessment of Photovoltaics Status 2011, Part 1 Data Collection (Table 37)</v>
      </c>
      <c r="X27" s="435">
        <f>$BA27</f>
        <v>0.121875</v>
      </c>
      <c r="Y27" s="95">
        <v>1</v>
      </c>
      <c r="Z27" s="96">
        <f t="shared" si="16"/>
        <v>1.2434566510799234</v>
      </c>
      <c r="AA27" s="432" t="str">
        <f t="shared" si="17"/>
        <v>(1,4,4,3,1,3); de Wild-Scholten (2014) Life Cycle Assessment of Photovoltaics Status 2011, Part 1 Data Collection (Table 37)</v>
      </c>
      <c r="AB27" s="435">
        <f>$BA27</f>
        <v>0.121875</v>
      </c>
      <c r="AC27" s="95">
        <v>1</v>
      </c>
      <c r="AD27" s="96">
        <f t="shared" si="18"/>
        <v>1.2434566510799234</v>
      </c>
      <c r="AE27" s="432" t="str">
        <f t="shared" si="19"/>
        <v>(1,4,4,3,1,3); de Wild-Scholten (2014) Life Cycle Assessment of Photovoltaics Status 2011, Part 1 Data Collection (Table 37)</v>
      </c>
      <c r="AF27" s="435">
        <f>$BA27</f>
        <v>0.121875</v>
      </c>
      <c r="AG27" s="95">
        <v>1</v>
      </c>
      <c r="AH27" s="96">
        <f t="shared" si="20"/>
        <v>1.2434566510799234</v>
      </c>
      <c r="AI27" s="432" t="str">
        <f t="shared" si="21"/>
        <v>(1,4,4,3,1,3); de Wild-Scholten (2014) Life Cycle Assessment of Photovoltaics Status 2011, Part 1 Data Collection (Table 37)</v>
      </c>
      <c r="AJ27" s="435">
        <f>$BA27</f>
        <v>0.121875</v>
      </c>
      <c r="AK27" s="95">
        <v>1</v>
      </c>
      <c r="AL27" s="96">
        <f t="shared" si="22"/>
        <v>1.2434566510799234</v>
      </c>
      <c r="AM27" s="432" t="str">
        <f t="shared" si="23"/>
        <v>(1,4,4,3,1,3); de Wild-Scholten (2014) Life Cycle Assessment of Photovoltaics Status 2011, Part 1 Data Collection (Table 37)</v>
      </c>
      <c r="AN27" s="435">
        <f>$BA27</f>
        <v>0.121875</v>
      </c>
      <c r="AO27" s="95">
        <v>1</v>
      </c>
      <c r="AP27" s="96">
        <f t="shared" si="24"/>
        <v>1.2434566510799234</v>
      </c>
      <c r="AQ27" s="432" t="str">
        <f t="shared" si="25"/>
        <v>(1,4,4,3,1,3); de Wild-Scholten (2014) Life Cycle Assessment of Photovoltaics Status 2011, Part 1 Data Collection (Table 37)</v>
      </c>
      <c r="AR27" s="435">
        <v>9.0999999999999998E-2</v>
      </c>
      <c r="AS27" s="95">
        <v>1</v>
      </c>
      <c r="AT27" s="96">
        <f t="shared" si="26"/>
        <v>1.2434566510799234</v>
      </c>
      <c r="AU27" s="432" t="str">
        <f t="shared" si="27"/>
        <v>(2,4,1,3,1,5); Brailovsky (2026) GM 08; at plant iso market</v>
      </c>
      <c r="AV27" s="435">
        <v>9.0999999999999998E-2</v>
      </c>
      <c r="AW27" s="95">
        <v>1</v>
      </c>
      <c r="AX27" s="96">
        <f t="shared" si="28"/>
        <v>1.2434566510799234</v>
      </c>
      <c r="AY27" s="432" t="str">
        <f t="shared" si="29"/>
        <v>(2,4,1,3,1,5); Brailovsky (2026) GM 08; at plant iso market</v>
      </c>
      <c r="AZ27" s="112"/>
      <c r="BA27" s="435">
        <f>0.195/1.6</f>
        <v>0.121875</v>
      </c>
      <c r="BB27" s="216" t="s">
        <v>1230</v>
      </c>
      <c r="BC27" s="83">
        <f>BC$23</f>
        <v>1</v>
      </c>
      <c r="BD27" s="83">
        <f>BD$23</f>
        <v>4</v>
      </c>
      <c r="BE27" s="83">
        <v>4</v>
      </c>
      <c r="BF27" s="83">
        <f>BF$23</f>
        <v>3</v>
      </c>
      <c r="BG27" s="83">
        <f>BG$23</f>
        <v>1</v>
      </c>
      <c r="BH27" s="83">
        <f>BH$23</f>
        <v>3</v>
      </c>
      <c r="BI27" s="104">
        <v>3</v>
      </c>
      <c r="BJ27" s="104">
        <v>1.05</v>
      </c>
      <c r="BK27" s="107">
        <f t="shared" si="32"/>
        <v>1.2365959919080913</v>
      </c>
      <c r="BL27" s="107">
        <f t="shared" si="33"/>
        <v>1.2434566510799234</v>
      </c>
      <c r="BM27" s="107" t="str">
        <f t="shared" si="34"/>
        <v>(1,4,4,3,1,3)</v>
      </c>
      <c r="BN27" s="108">
        <v>1</v>
      </c>
      <c r="BO27" s="108">
        <v>1.1000000000000001</v>
      </c>
      <c r="BP27" s="108">
        <v>1.2</v>
      </c>
      <c r="BQ27" s="108">
        <v>1.02</v>
      </c>
      <c r="BR27" s="108">
        <v>1</v>
      </c>
      <c r="BS27" s="108">
        <v>1.05</v>
      </c>
      <c r="BU27" s="692" t="s">
        <v>1280</v>
      </c>
      <c r="BV27" s="83">
        <v>2</v>
      </c>
      <c r="BW27" s="83">
        <f t="shared" si="39"/>
        <v>4</v>
      </c>
      <c r="BX27" s="83">
        <v>1</v>
      </c>
      <c r="BY27" s="83">
        <f t="shared" si="40"/>
        <v>3</v>
      </c>
      <c r="BZ27" s="83">
        <f t="shared" si="40"/>
        <v>1</v>
      </c>
      <c r="CA27" s="83">
        <v>5</v>
      </c>
      <c r="CB27" s="104">
        <v>3</v>
      </c>
      <c r="CC27" s="104">
        <v>1.05</v>
      </c>
      <c r="CD27" s="107">
        <f t="shared" si="35"/>
        <v>1.2365959919080913</v>
      </c>
      <c r="CE27" s="107">
        <f t="shared" si="36"/>
        <v>1.2434566510799234</v>
      </c>
      <c r="CF27" s="107" t="str">
        <f t="shared" si="37"/>
        <v>(2,4,1,3,1,5)</v>
      </c>
      <c r="CG27" s="108">
        <v>1.05</v>
      </c>
      <c r="CH27" s="108">
        <v>1.1000000000000001</v>
      </c>
      <c r="CI27" s="108">
        <v>1</v>
      </c>
      <c r="CJ27" s="108">
        <v>1.02</v>
      </c>
      <c r="CK27" s="108">
        <v>1</v>
      </c>
      <c r="CL27" s="108">
        <v>1.2</v>
      </c>
    </row>
    <row r="28" spans="1:90" s="169" customFormat="1" ht="24">
      <c r="A28" s="330">
        <v>269093</v>
      </c>
      <c r="B28" s="331"/>
      <c r="C28" s="88"/>
      <c r="D28" s="340">
        <v>5</v>
      </c>
      <c r="E28" s="341" t="s">
        <v>98</v>
      </c>
      <c r="F28" s="432" t="s">
        <v>1180</v>
      </c>
      <c r="G28" s="433" t="s">
        <v>93</v>
      </c>
      <c r="H28" s="434" t="s">
        <v>98</v>
      </c>
      <c r="I28" s="434" t="s">
        <v>98</v>
      </c>
      <c r="J28" s="94">
        <v>0</v>
      </c>
      <c r="K28" s="433" t="s">
        <v>96</v>
      </c>
      <c r="L28" s="435">
        <f>$BA28</f>
        <v>1.2874999999999999E-2</v>
      </c>
      <c r="M28" s="95">
        <v>1</v>
      </c>
      <c r="N28" s="96">
        <f t="shared" si="10"/>
        <v>1.3440316373092398</v>
      </c>
      <c r="O28" s="432" t="str">
        <f t="shared" si="11"/>
        <v>(3,4,4,3,1,5); de Wild-Scholten (2014) Life Cycle Assessment of Photovoltaics Status 2011, Part 1 Data Collection (Table 37)</v>
      </c>
      <c r="P28" s="435">
        <f>$BA28</f>
        <v>1.2874999999999999E-2</v>
      </c>
      <c r="Q28" s="95">
        <v>1</v>
      </c>
      <c r="R28" s="96">
        <f t="shared" si="12"/>
        <v>1.3440316373092398</v>
      </c>
      <c r="S28" s="432" t="str">
        <f t="shared" si="13"/>
        <v>(3,4,4,3,1,5); de Wild-Scholten (2014) Life Cycle Assessment of Photovoltaics Status 2011, Part 1 Data Collection (Table 37)</v>
      </c>
      <c r="T28" s="435">
        <f>$BA28</f>
        <v>1.2874999999999999E-2</v>
      </c>
      <c r="U28" s="95">
        <v>1</v>
      </c>
      <c r="V28" s="96">
        <f t="shared" si="14"/>
        <v>1.3440316373092398</v>
      </c>
      <c r="W28" s="432" t="str">
        <f t="shared" si="15"/>
        <v>(3,4,4,3,1,5); de Wild-Scholten (2014) Life Cycle Assessment of Photovoltaics Status 2011, Part 1 Data Collection (Table 37)</v>
      </c>
      <c r="X28" s="435">
        <f>$BA28</f>
        <v>1.2874999999999999E-2</v>
      </c>
      <c r="Y28" s="95">
        <v>1</v>
      </c>
      <c r="Z28" s="96">
        <f t="shared" si="16"/>
        <v>1.3440316373092398</v>
      </c>
      <c r="AA28" s="432" t="str">
        <f t="shared" si="17"/>
        <v>(3,4,4,3,1,5); de Wild-Scholten (2014) Life Cycle Assessment of Photovoltaics Status 2011, Part 1 Data Collection (Table 37)</v>
      </c>
      <c r="AB28" s="435">
        <f>$BA28</f>
        <v>1.2874999999999999E-2</v>
      </c>
      <c r="AC28" s="95">
        <v>1</v>
      </c>
      <c r="AD28" s="96">
        <f t="shared" si="18"/>
        <v>1.3440316373092398</v>
      </c>
      <c r="AE28" s="432" t="str">
        <f t="shared" si="19"/>
        <v>(3,4,4,3,1,5); de Wild-Scholten (2014) Life Cycle Assessment of Photovoltaics Status 2011, Part 1 Data Collection (Table 37)</v>
      </c>
      <c r="AF28" s="435">
        <f>$BA28</f>
        <v>1.2874999999999999E-2</v>
      </c>
      <c r="AG28" s="95">
        <v>1</v>
      </c>
      <c r="AH28" s="96">
        <f t="shared" si="20"/>
        <v>1.3440316373092398</v>
      </c>
      <c r="AI28" s="432" t="str">
        <f t="shared" si="21"/>
        <v>(3,4,4,3,1,5); de Wild-Scholten (2014) Life Cycle Assessment of Photovoltaics Status 2011, Part 1 Data Collection (Table 37)</v>
      </c>
      <c r="AJ28" s="435">
        <f>$BA28</f>
        <v>1.2874999999999999E-2</v>
      </c>
      <c r="AK28" s="95">
        <v>1</v>
      </c>
      <c r="AL28" s="96">
        <f t="shared" si="22"/>
        <v>1.3440316373092398</v>
      </c>
      <c r="AM28" s="432" t="str">
        <f t="shared" si="23"/>
        <v>(3,4,4,3,1,5); de Wild-Scholten (2014) Life Cycle Assessment of Photovoltaics Status 2011, Part 1 Data Collection (Table 37)</v>
      </c>
      <c r="AN28" s="435">
        <f>$BA28</f>
        <v>1.2874999999999999E-2</v>
      </c>
      <c r="AO28" s="95">
        <v>1</v>
      </c>
      <c r="AP28" s="96">
        <f t="shared" si="24"/>
        <v>1.3440316373092398</v>
      </c>
      <c r="AQ28" s="432" t="str">
        <f t="shared" si="25"/>
        <v>(3,4,4,3,1,5); de Wild-Scholten (2014) Life Cycle Assessment of Photovoltaics Status 2011, Part 1 Data Collection (Table 37)</v>
      </c>
      <c r="AR28" s="435">
        <v>4.1900000000000001E-3</v>
      </c>
      <c r="AS28" s="95">
        <v>1</v>
      </c>
      <c r="AT28" s="96">
        <f t="shared" si="26"/>
        <v>1.2434566510799234</v>
      </c>
      <c r="AU28" s="432" t="str">
        <f t="shared" si="27"/>
        <v>(2,4,1,3,1,5); Brailovsky (2026) GM 08</v>
      </c>
      <c r="AV28" s="435">
        <v>4.1900000000000001E-3</v>
      </c>
      <c r="AW28" s="95">
        <v>1</v>
      </c>
      <c r="AX28" s="96">
        <f t="shared" si="28"/>
        <v>1.2434566510799234</v>
      </c>
      <c r="AY28" s="432" t="str">
        <f t="shared" si="29"/>
        <v>(2,4,1,3,1,5); Brailovsky (2026) GM 08</v>
      </c>
      <c r="AZ28" s="112"/>
      <c r="BA28" s="435">
        <f>0.0206/1.6</f>
        <v>1.2874999999999999E-2</v>
      </c>
      <c r="BB28" s="216" t="s">
        <v>1230</v>
      </c>
      <c r="BC28" s="83">
        <v>3</v>
      </c>
      <c r="BD28" s="83">
        <v>4</v>
      </c>
      <c r="BE28" s="83">
        <v>4</v>
      </c>
      <c r="BF28" s="83">
        <v>3</v>
      </c>
      <c r="BG28" s="83">
        <v>1</v>
      </c>
      <c r="BH28" s="83">
        <v>5</v>
      </c>
      <c r="BI28" s="104">
        <v>3</v>
      </c>
      <c r="BJ28" s="104">
        <v>1.05</v>
      </c>
      <c r="BK28" s="107">
        <f t="shared" si="32"/>
        <v>1.3385948990307144</v>
      </c>
      <c r="BL28" s="107">
        <f t="shared" si="33"/>
        <v>1.3440316373092398</v>
      </c>
      <c r="BM28" s="107" t="str">
        <f t="shared" si="34"/>
        <v>(3,4,4,3,1,5)</v>
      </c>
      <c r="BN28" s="108">
        <v>1.1000000000000001</v>
      </c>
      <c r="BO28" s="108">
        <v>1.1000000000000001</v>
      </c>
      <c r="BP28" s="108">
        <v>1.2</v>
      </c>
      <c r="BQ28" s="108">
        <v>1.02</v>
      </c>
      <c r="BR28" s="108">
        <v>1</v>
      </c>
      <c r="BS28" s="108">
        <v>1.2</v>
      </c>
      <c r="BU28" s="692" t="s">
        <v>1275</v>
      </c>
      <c r="BV28" s="83">
        <v>2</v>
      </c>
      <c r="BW28" s="83">
        <f t="shared" si="39"/>
        <v>4</v>
      </c>
      <c r="BX28" s="83">
        <v>1</v>
      </c>
      <c r="BY28" s="83">
        <f t="shared" si="40"/>
        <v>3</v>
      </c>
      <c r="BZ28" s="83">
        <f t="shared" si="40"/>
        <v>1</v>
      </c>
      <c r="CA28" s="83">
        <v>5</v>
      </c>
      <c r="CB28" s="104">
        <v>3</v>
      </c>
      <c r="CC28" s="104">
        <v>1.05</v>
      </c>
      <c r="CD28" s="107">
        <f t="shared" si="35"/>
        <v>1.2365959919080913</v>
      </c>
      <c r="CE28" s="107">
        <f t="shared" si="36"/>
        <v>1.2434566510799234</v>
      </c>
      <c r="CF28" s="107" t="str">
        <f t="shared" si="37"/>
        <v>(2,4,1,3,1,5)</v>
      </c>
      <c r="CG28" s="108">
        <v>1.05</v>
      </c>
      <c r="CH28" s="108">
        <v>1.1000000000000001</v>
      </c>
      <c r="CI28" s="108">
        <v>1</v>
      </c>
      <c r="CJ28" s="108">
        <v>1.02</v>
      </c>
      <c r="CK28" s="108">
        <v>1</v>
      </c>
      <c r="CL28" s="108">
        <v>1.2</v>
      </c>
    </row>
    <row r="29" spans="1:90" s="169" customFormat="1" ht="24">
      <c r="A29" s="330">
        <v>268491</v>
      </c>
      <c r="B29" s="331"/>
      <c r="C29" s="88"/>
      <c r="D29" s="340">
        <v>5</v>
      </c>
      <c r="E29" s="341" t="s">
        <v>98</v>
      </c>
      <c r="F29" s="432" t="s">
        <v>908</v>
      </c>
      <c r="G29" s="433" t="s">
        <v>93</v>
      </c>
      <c r="H29" s="434" t="s">
        <v>98</v>
      </c>
      <c r="I29" s="434" t="s">
        <v>98</v>
      </c>
      <c r="J29" s="94">
        <v>0</v>
      </c>
      <c r="K29" s="433" t="s">
        <v>96</v>
      </c>
      <c r="L29" s="435">
        <f>$BA29</f>
        <v>7.2499999999999995E-4</v>
      </c>
      <c r="M29" s="95">
        <v>1</v>
      </c>
      <c r="N29" s="96">
        <f t="shared" si="10"/>
        <v>1.3440316373092398</v>
      </c>
      <c r="O29" s="432" t="str">
        <f t="shared" si="11"/>
        <v>(3,4,4,3,1,5); de Wild-Scholten (2014) Life Cycle Assessment of Photovoltaics Status 2011, Part 1 Data Collection (Table 37)</v>
      </c>
      <c r="P29" s="435">
        <f>$BA29</f>
        <v>7.2499999999999995E-4</v>
      </c>
      <c r="Q29" s="95">
        <v>1</v>
      </c>
      <c r="R29" s="96">
        <f t="shared" si="12"/>
        <v>1.3440316373092398</v>
      </c>
      <c r="S29" s="432" t="str">
        <f t="shared" si="13"/>
        <v>(3,4,4,3,1,5); de Wild-Scholten (2014) Life Cycle Assessment of Photovoltaics Status 2011, Part 1 Data Collection (Table 37)</v>
      </c>
      <c r="T29" s="435">
        <f>$BA29</f>
        <v>7.2499999999999995E-4</v>
      </c>
      <c r="U29" s="95">
        <v>1</v>
      </c>
      <c r="V29" s="96">
        <f t="shared" si="14"/>
        <v>1.3440316373092398</v>
      </c>
      <c r="W29" s="432" t="str">
        <f t="shared" si="15"/>
        <v>(3,4,4,3,1,5); de Wild-Scholten (2014) Life Cycle Assessment of Photovoltaics Status 2011, Part 1 Data Collection (Table 37)</v>
      </c>
      <c r="X29" s="435">
        <f>$BA29</f>
        <v>7.2499999999999995E-4</v>
      </c>
      <c r="Y29" s="95">
        <v>1</v>
      </c>
      <c r="Z29" s="96">
        <f t="shared" si="16"/>
        <v>1.3440316373092398</v>
      </c>
      <c r="AA29" s="432" t="str">
        <f t="shared" si="17"/>
        <v>(3,4,4,3,1,5); de Wild-Scholten (2014) Life Cycle Assessment of Photovoltaics Status 2011, Part 1 Data Collection (Table 37)</v>
      </c>
      <c r="AB29" s="435">
        <f>$BA29</f>
        <v>7.2499999999999995E-4</v>
      </c>
      <c r="AC29" s="95">
        <v>1</v>
      </c>
      <c r="AD29" s="96">
        <f t="shared" si="18"/>
        <v>1.3440316373092398</v>
      </c>
      <c r="AE29" s="432" t="str">
        <f t="shared" si="19"/>
        <v>(3,4,4,3,1,5); de Wild-Scholten (2014) Life Cycle Assessment of Photovoltaics Status 2011, Part 1 Data Collection (Table 37)</v>
      </c>
      <c r="AF29" s="435">
        <f>$BA29</f>
        <v>7.2499999999999995E-4</v>
      </c>
      <c r="AG29" s="95">
        <v>1</v>
      </c>
      <c r="AH29" s="96">
        <f t="shared" si="20"/>
        <v>1.3440316373092398</v>
      </c>
      <c r="AI29" s="432" t="str">
        <f t="shared" si="21"/>
        <v>(3,4,4,3,1,5); de Wild-Scholten (2014) Life Cycle Assessment of Photovoltaics Status 2011, Part 1 Data Collection (Table 37)</v>
      </c>
      <c r="AJ29" s="435">
        <f>$BA29</f>
        <v>7.2499999999999995E-4</v>
      </c>
      <c r="AK29" s="95">
        <v>1</v>
      </c>
      <c r="AL29" s="96">
        <f t="shared" si="22"/>
        <v>1.3440316373092398</v>
      </c>
      <c r="AM29" s="432" t="str">
        <f t="shared" si="23"/>
        <v>(3,4,4,3,1,5); de Wild-Scholten (2014) Life Cycle Assessment of Photovoltaics Status 2011, Part 1 Data Collection (Table 37)</v>
      </c>
      <c r="AN29" s="435">
        <f>$BA29</f>
        <v>7.2499999999999995E-4</v>
      </c>
      <c r="AO29" s="95">
        <v>1</v>
      </c>
      <c r="AP29" s="96">
        <f t="shared" si="24"/>
        <v>1.3440316373092398</v>
      </c>
      <c r="AQ29" s="432" t="str">
        <f t="shared" si="25"/>
        <v>(3,4,4,3,1,5); de Wild-Scholten (2014) Life Cycle Assessment of Photovoltaics Status 2011, Part 1 Data Collection (Table 37)</v>
      </c>
      <c r="AR29" s="435">
        <v>4.3400000000000001E-3</v>
      </c>
      <c r="AS29" s="95">
        <v>1</v>
      </c>
      <c r="AT29" s="96">
        <f t="shared" si="26"/>
        <v>1.2434566510799234</v>
      </c>
      <c r="AU29" s="432" t="str">
        <f t="shared" si="27"/>
        <v>(2,4,1,3,1,5); Brailovsky (2026) GM 08; RER iso GLO</v>
      </c>
      <c r="AV29" s="435">
        <v>4.3400000000000001E-3</v>
      </c>
      <c r="AW29" s="95">
        <v>1</v>
      </c>
      <c r="AX29" s="96">
        <f t="shared" si="28"/>
        <v>1.2434566510799234</v>
      </c>
      <c r="AY29" s="432" t="str">
        <f t="shared" si="29"/>
        <v>(2,4,1,3,1,5); Brailovsky (2026) GM 08; RER iso GLO</v>
      </c>
      <c r="AZ29" s="112"/>
      <c r="BA29" s="435">
        <f>0.00116/1.6</f>
        <v>7.2499999999999995E-4</v>
      </c>
      <c r="BB29" s="216" t="s">
        <v>1230</v>
      </c>
      <c r="BC29" s="83">
        <v>3</v>
      </c>
      <c r="BD29" s="83">
        <v>4</v>
      </c>
      <c r="BE29" s="83">
        <v>4</v>
      </c>
      <c r="BF29" s="83">
        <v>3</v>
      </c>
      <c r="BG29" s="83">
        <v>1</v>
      </c>
      <c r="BH29" s="83">
        <v>5</v>
      </c>
      <c r="BI29" s="104">
        <v>3</v>
      </c>
      <c r="BJ29" s="104">
        <v>1.05</v>
      </c>
      <c r="BK29" s="107">
        <f t="shared" si="32"/>
        <v>1.3385948990307144</v>
      </c>
      <c r="BL29" s="107">
        <f t="shared" si="33"/>
        <v>1.3440316373092398</v>
      </c>
      <c r="BM29" s="107" t="str">
        <f t="shared" si="34"/>
        <v>(3,4,4,3,1,5)</v>
      </c>
      <c r="BN29" s="108">
        <v>1.1000000000000001</v>
      </c>
      <c r="BO29" s="108">
        <v>1.1000000000000001</v>
      </c>
      <c r="BP29" s="108">
        <v>1.2</v>
      </c>
      <c r="BQ29" s="108">
        <v>1.02</v>
      </c>
      <c r="BR29" s="108">
        <v>1</v>
      </c>
      <c r="BS29" s="108">
        <v>1.2</v>
      </c>
      <c r="BU29" s="692" t="s">
        <v>1281</v>
      </c>
      <c r="BV29" s="83">
        <v>2</v>
      </c>
      <c r="BW29" s="83">
        <f t="shared" si="39"/>
        <v>4</v>
      </c>
      <c r="BX29" s="83">
        <v>1</v>
      </c>
      <c r="BY29" s="83">
        <f t="shared" si="40"/>
        <v>3</v>
      </c>
      <c r="BZ29" s="83">
        <f t="shared" si="40"/>
        <v>1</v>
      </c>
      <c r="CA29" s="83">
        <v>5</v>
      </c>
      <c r="CB29" s="104">
        <v>3</v>
      </c>
      <c r="CC29" s="104">
        <v>1.05</v>
      </c>
      <c r="CD29" s="107">
        <f t="shared" si="35"/>
        <v>1.2365959919080913</v>
      </c>
      <c r="CE29" s="107">
        <f t="shared" si="36"/>
        <v>1.2434566510799234</v>
      </c>
      <c r="CF29" s="107" t="str">
        <f t="shared" si="37"/>
        <v>(2,4,1,3,1,5)</v>
      </c>
      <c r="CG29" s="108">
        <v>1.05</v>
      </c>
      <c r="CH29" s="108">
        <v>1.1000000000000001</v>
      </c>
      <c r="CI29" s="108">
        <v>1</v>
      </c>
      <c r="CJ29" s="108">
        <v>1.02</v>
      </c>
      <c r="CK29" s="108">
        <v>1</v>
      </c>
      <c r="CL29" s="108">
        <v>1.2</v>
      </c>
    </row>
    <row r="30" spans="1:90" ht="24">
      <c r="A30" s="330">
        <v>269103</v>
      </c>
      <c r="B30" s="331"/>
      <c r="C30" s="88"/>
      <c r="D30" s="340">
        <v>5</v>
      </c>
      <c r="E30" s="341" t="s">
        <v>98</v>
      </c>
      <c r="F30" s="432" t="s">
        <v>1183</v>
      </c>
      <c r="G30" s="433" t="s">
        <v>93</v>
      </c>
      <c r="H30" s="434" t="s">
        <v>98</v>
      </c>
      <c r="I30" s="434" t="s">
        <v>98</v>
      </c>
      <c r="J30" s="94">
        <v>0</v>
      </c>
      <c r="K30" s="433" t="s">
        <v>96</v>
      </c>
      <c r="L30" s="435">
        <f>$BA30</f>
        <v>8</v>
      </c>
      <c r="M30" s="95">
        <v>1</v>
      </c>
      <c r="N30" s="96">
        <f t="shared" si="10"/>
        <v>1.3285812705862265</v>
      </c>
      <c r="O30" s="432" t="str">
        <f t="shared" si="11"/>
        <v>(1,4,4,3,3,3); 3.2 mm glass thickness; industry standard in 2024.</v>
      </c>
      <c r="P30" s="435">
        <f>$BA30</f>
        <v>8</v>
      </c>
      <c r="Q30" s="95">
        <v>1</v>
      </c>
      <c r="R30" s="96">
        <f t="shared" si="12"/>
        <v>1.3285812705862265</v>
      </c>
      <c r="S30" s="432" t="str">
        <f t="shared" si="13"/>
        <v>(1,4,4,3,3,3); 3.2 mm glass thickness; industry standard in 2024.</v>
      </c>
      <c r="T30" s="435">
        <f>$BA30</f>
        <v>8</v>
      </c>
      <c r="U30" s="95">
        <v>1</v>
      </c>
      <c r="V30" s="96">
        <f t="shared" si="14"/>
        <v>1.3285812705862265</v>
      </c>
      <c r="W30" s="432" t="str">
        <f t="shared" si="15"/>
        <v>(1,4,4,3,3,3); 3.2 mm glass thickness; industry standard in 2024.</v>
      </c>
      <c r="X30" s="435">
        <f>$BA30</f>
        <v>8</v>
      </c>
      <c r="Y30" s="95">
        <v>1</v>
      </c>
      <c r="Z30" s="96">
        <f t="shared" si="16"/>
        <v>1.3285812705862265</v>
      </c>
      <c r="AA30" s="432" t="str">
        <f t="shared" si="17"/>
        <v>(1,4,4,3,3,3); 3.2 mm glass thickness; industry standard in 2024.</v>
      </c>
      <c r="AB30" s="435">
        <f>$BA30</f>
        <v>8</v>
      </c>
      <c r="AC30" s="95">
        <v>1</v>
      </c>
      <c r="AD30" s="96">
        <f t="shared" si="18"/>
        <v>1.3285812705862265</v>
      </c>
      <c r="AE30" s="432" t="str">
        <f t="shared" si="19"/>
        <v>(1,4,4,3,3,3); 3.2 mm glass thickness; industry standard in 2024.</v>
      </c>
      <c r="AF30" s="435">
        <f>$BA30</f>
        <v>8</v>
      </c>
      <c r="AG30" s="95">
        <v>1</v>
      </c>
      <c r="AH30" s="96">
        <f t="shared" si="20"/>
        <v>1.3285812705862265</v>
      </c>
      <c r="AI30" s="432" t="str">
        <f t="shared" si="21"/>
        <v>(1,4,4,3,3,3); 3.2 mm glass thickness; industry standard in 2024.</v>
      </c>
      <c r="AJ30" s="435">
        <f>$BA30</f>
        <v>8</v>
      </c>
      <c r="AK30" s="95">
        <v>1</v>
      </c>
      <c r="AL30" s="96">
        <f t="shared" si="22"/>
        <v>1.3285812705862265</v>
      </c>
      <c r="AM30" s="432" t="str">
        <f t="shared" si="23"/>
        <v>(1,4,4,3,3,3); 3.2 mm glass thickness; industry standard in 2024.</v>
      </c>
      <c r="AN30" s="435">
        <f>$BA30</f>
        <v>8</v>
      </c>
      <c r="AO30" s="95">
        <v>1</v>
      </c>
      <c r="AP30" s="96">
        <f t="shared" si="24"/>
        <v>1.3285812705862265</v>
      </c>
      <c r="AQ30" s="432" t="str">
        <f t="shared" si="25"/>
        <v>(1,4,4,3,3,3); 3.2 mm glass thickness; industry standard in 2024.</v>
      </c>
      <c r="AR30" s="435">
        <v>8.06</v>
      </c>
      <c r="AS30" s="95">
        <v>1</v>
      </c>
      <c r="AT30" s="96">
        <f t="shared" si="26"/>
        <v>1.2434566510799234</v>
      </c>
      <c r="AU30" s="432" t="str">
        <f t="shared" si="27"/>
        <v>(2,4,1,3,1,5); Brailovsky (2026) GM 08; RER iso GLO, tempering added seperately</v>
      </c>
      <c r="AV30" s="435">
        <v>8.06</v>
      </c>
      <c r="AW30" s="95">
        <v>1</v>
      </c>
      <c r="AX30" s="96">
        <f t="shared" si="28"/>
        <v>1.2434566510799234</v>
      </c>
      <c r="AY30" s="432" t="str">
        <f t="shared" si="29"/>
        <v>(2,4,1,3,1,5); Brailovsky (2026) GM 08; RER iso GLO, tempering added seperately</v>
      </c>
      <c r="AZ30" s="112"/>
      <c r="BA30" s="435">
        <f>3.2*2500/1000</f>
        <v>8</v>
      </c>
      <c r="BB30" s="216" t="s">
        <v>1282</v>
      </c>
      <c r="BC30" s="83">
        <f t="shared" ref="BC30:BD33" si="41">BC$23</f>
        <v>1</v>
      </c>
      <c r="BD30" s="83">
        <f t="shared" si="41"/>
        <v>4</v>
      </c>
      <c r="BE30" s="83">
        <v>4</v>
      </c>
      <c r="BF30" s="83">
        <f>BF$23</f>
        <v>3</v>
      </c>
      <c r="BG30" s="83">
        <v>3</v>
      </c>
      <c r="BH30" s="83">
        <f>BH$23</f>
        <v>3</v>
      </c>
      <c r="BI30" s="104">
        <v>3</v>
      </c>
      <c r="BJ30" s="104">
        <v>1.05</v>
      </c>
      <c r="BK30" s="107">
        <f t="shared" si="32"/>
        <v>1.3229855584076429</v>
      </c>
      <c r="BL30" s="107">
        <f t="shared" si="33"/>
        <v>1.3285812705862265</v>
      </c>
      <c r="BM30" s="107" t="str">
        <f t="shared" si="34"/>
        <v>(1,4,4,3,3,3)</v>
      </c>
      <c r="BN30" s="108">
        <v>1</v>
      </c>
      <c r="BO30" s="108">
        <v>1.1000000000000001</v>
      </c>
      <c r="BP30" s="108">
        <v>1.2</v>
      </c>
      <c r="BQ30" s="108">
        <v>1.02</v>
      </c>
      <c r="BR30" s="108">
        <v>1.2</v>
      </c>
      <c r="BS30" s="108">
        <v>1.05</v>
      </c>
      <c r="BU30" s="692" t="s">
        <v>1283</v>
      </c>
      <c r="BV30" s="83">
        <v>2</v>
      </c>
      <c r="BW30" s="83">
        <f t="shared" si="39"/>
        <v>4</v>
      </c>
      <c r="BX30" s="83">
        <v>1</v>
      </c>
      <c r="BY30" s="83">
        <f t="shared" si="40"/>
        <v>3</v>
      </c>
      <c r="BZ30" s="83">
        <f t="shared" si="40"/>
        <v>1</v>
      </c>
      <c r="CA30" s="83">
        <v>5</v>
      </c>
      <c r="CB30" s="104">
        <v>3</v>
      </c>
      <c r="CC30" s="104">
        <v>1.05</v>
      </c>
      <c r="CD30" s="107">
        <f t="shared" si="35"/>
        <v>1.2365959919080913</v>
      </c>
      <c r="CE30" s="107">
        <f t="shared" si="36"/>
        <v>1.2434566510799234</v>
      </c>
      <c r="CF30" s="107" t="str">
        <f t="shared" si="37"/>
        <v>(2,4,1,3,1,5)</v>
      </c>
      <c r="CG30" s="108">
        <v>1.05</v>
      </c>
      <c r="CH30" s="108">
        <v>1.1000000000000001</v>
      </c>
      <c r="CI30" s="108">
        <v>1</v>
      </c>
      <c r="CJ30" s="108">
        <v>1.02</v>
      </c>
      <c r="CK30" s="108">
        <v>1</v>
      </c>
      <c r="CL30" s="108">
        <v>1.2</v>
      </c>
    </row>
    <row r="31" spans="1:90">
      <c r="A31" s="330">
        <v>269341</v>
      </c>
      <c r="B31" s="331"/>
      <c r="C31" s="88"/>
      <c r="D31" s="340">
        <v>5</v>
      </c>
      <c r="E31" s="341" t="s">
        <v>98</v>
      </c>
      <c r="F31" s="432" t="s">
        <v>1196</v>
      </c>
      <c r="G31" s="433" t="s">
        <v>93</v>
      </c>
      <c r="H31" s="434" t="s">
        <v>98</v>
      </c>
      <c r="I31" s="434" t="s">
        <v>98</v>
      </c>
      <c r="J31" s="94">
        <v>0</v>
      </c>
      <c r="K31" s="433" t="s">
        <v>96</v>
      </c>
      <c r="L31" s="435">
        <f>L30</f>
        <v>8</v>
      </c>
      <c r="M31" s="95">
        <v>1</v>
      </c>
      <c r="N31" s="96">
        <f t="shared" si="10"/>
        <v>1.2434566510799234</v>
      </c>
      <c r="O31" s="432" t="str">
        <f t="shared" si="11"/>
        <v>(1,4,4,3,1,3); 3.2 mm glass thickness; industry standard in 2024.</v>
      </c>
      <c r="P31" s="435">
        <f>P30</f>
        <v>8</v>
      </c>
      <c r="Q31" s="95">
        <v>1</v>
      </c>
      <c r="R31" s="96">
        <f t="shared" si="12"/>
        <v>1.2434566510799234</v>
      </c>
      <c r="S31" s="432" t="str">
        <f t="shared" si="13"/>
        <v>(1,4,4,3,1,3); 3.2 mm glass thickness; industry standard in 2024.</v>
      </c>
      <c r="T31" s="435">
        <f>T30</f>
        <v>8</v>
      </c>
      <c r="U31" s="95">
        <v>1</v>
      </c>
      <c r="V31" s="96">
        <f t="shared" si="14"/>
        <v>1.2434566510799234</v>
      </c>
      <c r="W31" s="432" t="str">
        <f t="shared" si="15"/>
        <v>(1,4,4,3,1,3); 3.2 mm glass thickness; industry standard in 2024.</v>
      </c>
      <c r="X31" s="435">
        <f>X30</f>
        <v>8</v>
      </c>
      <c r="Y31" s="95">
        <v>1</v>
      </c>
      <c r="Z31" s="96">
        <f t="shared" si="16"/>
        <v>1.2434566510799234</v>
      </c>
      <c r="AA31" s="432" t="str">
        <f t="shared" si="17"/>
        <v>(1,4,4,3,1,3); 3.2 mm glass thickness; industry standard in 2024.</v>
      </c>
      <c r="AB31" s="435">
        <f>AB30</f>
        <v>8</v>
      </c>
      <c r="AC31" s="95">
        <v>1</v>
      </c>
      <c r="AD31" s="96">
        <f t="shared" si="18"/>
        <v>1.2434566510799234</v>
      </c>
      <c r="AE31" s="432" t="str">
        <f t="shared" si="19"/>
        <v>(1,4,4,3,1,3); 3.2 mm glass thickness; industry standard in 2024.</v>
      </c>
      <c r="AF31" s="435">
        <f>AF30</f>
        <v>8</v>
      </c>
      <c r="AG31" s="95">
        <v>1</v>
      </c>
      <c r="AH31" s="96">
        <f t="shared" si="20"/>
        <v>1.2434566510799234</v>
      </c>
      <c r="AI31" s="432" t="str">
        <f t="shared" si="21"/>
        <v>(1,4,4,3,1,3); 3.2 mm glass thickness; industry standard in 2024.</v>
      </c>
      <c r="AJ31" s="435">
        <f>AJ30</f>
        <v>8</v>
      </c>
      <c r="AK31" s="95">
        <v>1</v>
      </c>
      <c r="AL31" s="96">
        <f t="shared" si="22"/>
        <v>1.2434566510799234</v>
      </c>
      <c r="AM31" s="432" t="str">
        <f t="shared" si="23"/>
        <v>(1,4,4,3,1,3); 3.2 mm glass thickness; industry standard in 2024.</v>
      </c>
      <c r="AN31" s="435">
        <f>AN30</f>
        <v>8</v>
      </c>
      <c r="AO31" s="95">
        <v>1</v>
      </c>
      <c r="AP31" s="96">
        <f t="shared" si="24"/>
        <v>1.2434566510799234</v>
      </c>
      <c r="AQ31" s="432" t="str">
        <f t="shared" si="25"/>
        <v>(1,4,4,3,1,3); 3.2 mm glass thickness; industry standard in 2024.</v>
      </c>
      <c r="AR31" s="435">
        <v>8.06</v>
      </c>
      <c r="AS31" s="95">
        <v>1</v>
      </c>
      <c r="AT31" s="96">
        <f t="shared" si="26"/>
        <v>1.2434566510799234</v>
      </c>
      <c r="AU31" s="432" t="str">
        <f t="shared" si="27"/>
        <v>(2,4,1,3,1,5); Brailovsky (2026) GM 08</v>
      </c>
      <c r="AV31" s="435">
        <v>8.06</v>
      </c>
      <c r="AW31" s="95">
        <v>1</v>
      </c>
      <c r="AX31" s="96">
        <f t="shared" si="28"/>
        <v>1.2434566510799234</v>
      </c>
      <c r="AY31" s="432" t="str">
        <f t="shared" si="29"/>
        <v>(2,4,1,3,1,5); Brailovsky (2026) GM 08</v>
      </c>
      <c r="AZ31" s="112"/>
      <c r="BA31" s="435">
        <f>3.2*2500/1000</f>
        <v>8</v>
      </c>
      <c r="BB31" s="216" t="s">
        <v>1282</v>
      </c>
      <c r="BC31" s="83">
        <f t="shared" si="41"/>
        <v>1</v>
      </c>
      <c r="BD31" s="83">
        <f t="shared" si="41"/>
        <v>4</v>
      </c>
      <c r="BE31" s="83">
        <v>4</v>
      </c>
      <c r="BF31" s="83">
        <f>BF$23</f>
        <v>3</v>
      </c>
      <c r="BG31" s="83">
        <f>BG$23</f>
        <v>1</v>
      </c>
      <c r="BH31" s="83">
        <f>BH$23</f>
        <v>3</v>
      </c>
      <c r="BI31" s="104">
        <v>3</v>
      </c>
      <c r="BJ31" s="104">
        <v>1.05</v>
      </c>
      <c r="BK31" s="107">
        <f t="shared" si="32"/>
        <v>1.2365959919080913</v>
      </c>
      <c r="BL31" s="107">
        <f t="shared" si="33"/>
        <v>1.2434566510799234</v>
      </c>
      <c r="BM31" s="107" t="str">
        <f t="shared" si="34"/>
        <v>(1,4,4,3,1,3)</v>
      </c>
      <c r="BN31" s="108">
        <v>1</v>
      </c>
      <c r="BO31" s="108">
        <v>1.1000000000000001</v>
      </c>
      <c r="BP31" s="108">
        <v>1.2</v>
      </c>
      <c r="BQ31" s="108">
        <v>1.02</v>
      </c>
      <c r="BR31" s="108">
        <v>1</v>
      </c>
      <c r="BS31" s="108">
        <v>1.05</v>
      </c>
      <c r="BU31" s="692" t="s">
        <v>1275</v>
      </c>
      <c r="BV31" s="83">
        <v>2</v>
      </c>
      <c r="BW31" s="83">
        <f t="shared" si="39"/>
        <v>4</v>
      </c>
      <c r="BX31" s="83">
        <v>1</v>
      </c>
      <c r="BY31" s="83">
        <f t="shared" si="40"/>
        <v>3</v>
      </c>
      <c r="BZ31" s="83">
        <f t="shared" si="40"/>
        <v>1</v>
      </c>
      <c r="CA31" s="83">
        <v>5</v>
      </c>
      <c r="CB31" s="104">
        <v>3</v>
      </c>
      <c r="CC31" s="104">
        <v>1.05</v>
      </c>
      <c r="CD31" s="107">
        <f t="shared" si="35"/>
        <v>1.2365959919080913</v>
      </c>
      <c r="CE31" s="107">
        <f t="shared" si="36"/>
        <v>1.2434566510799234</v>
      </c>
      <c r="CF31" s="107" t="str">
        <f t="shared" si="37"/>
        <v>(2,4,1,3,1,5)</v>
      </c>
      <c r="CG31" s="108">
        <v>1.05</v>
      </c>
      <c r="CH31" s="108">
        <v>1.1000000000000001</v>
      </c>
      <c r="CI31" s="108">
        <v>1</v>
      </c>
      <c r="CJ31" s="108">
        <v>1.02</v>
      </c>
      <c r="CK31" s="108">
        <v>1</v>
      </c>
      <c r="CL31" s="108">
        <v>1.2</v>
      </c>
    </row>
    <row r="32" spans="1:90" ht="24">
      <c r="A32" s="330">
        <v>269117</v>
      </c>
      <c r="B32" s="331"/>
      <c r="C32" s="88"/>
      <c r="D32" s="340">
        <v>5</v>
      </c>
      <c r="E32" s="341" t="s">
        <v>98</v>
      </c>
      <c r="F32" s="432" t="s">
        <v>1284</v>
      </c>
      <c r="G32" s="433" t="s">
        <v>93</v>
      </c>
      <c r="H32" s="434" t="s">
        <v>98</v>
      </c>
      <c r="I32" s="434" t="s">
        <v>98</v>
      </c>
      <c r="J32" s="94">
        <v>0</v>
      </c>
      <c r="K32" s="433" t="s">
        <v>96</v>
      </c>
      <c r="L32" s="435">
        <f>$BA32</f>
        <v>0.29499999999999998</v>
      </c>
      <c r="M32" s="95">
        <v>1</v>
      </c>
      <c r="N32" s="96">
        <f t="shared" si="10"/>
        <v>1.2434566510799234</v>
      </c>
      <c r="O32" s="432" t="str">
        <f t="shared" si="11"/>
        <v>(1,4,4,3,1,3); de Wild-Scholten (2014) Life Cycle Assessment of Photovoltaics Status 2011, Part 1 Data Collection (Table 37)</v>
      </c>
      <c r="P32" s="435">
        <f>$BA32</f>
        <v>0.29499999999999998</v>
      </c>
      <c r="Q32" s="95">
        <v>1</v>
      </c>
      <c r="R32" s="96">
        <f t="shared" si="12"/>
        <v>1.2434566510799234</v>
      </c>
      <c r="S32" s="432" t="str">
        <f t="shared" si="13"/>
        <v>(1,4,4,3,1,3); de Wild-Scholten (2014) Life Cycle Assessment of Photovoltaics Status 2011, Part 1 Data Collection (Table 37)</v>
      </c>
      <c r="T32" s="435">
        <f t="shared" ref="T32:T37" si="42">$BA32</f>
        <v>0.29499999999999998</v>
      </c>
      <c r="U32" s="95">
        <v>1</v>
      </c>
      <c r="V32" s="96">
        <f t="shared" si="14"/>
        <v>1.2434566510799234</v>
      </c>
      <c r="W32" s="432" t="str">
        <f t="shared" si="15"/>
        <v>(1,4,4,3,1,3); de Wild-Scholten (2014) Life Cycle Assessment of Photovoltaics Status 2011, Part 1 Data Collection (Table 37)</v>
      </c>
      <c r="X32" s="435">
        <f t="shared" ref="X32:X37" si="43">$BA32</f>
        <v>0.29499999999999998</v>
      </c>
      <c r="Y32" s="95">
        <v>1</v>
      </c>
      <c r="Z32" s="96">
        <f t="shared" si="16"/>
        <v>1.2434566510799234</v>
      </c>
      <c r="AA32" s="432" t="str">
        <f t="shared" si="17"/>
        <v>(1,4,4,3,1,3); de Wild-Scholten (2014) Life Cycle Assessment of Photovoltaics Status 2011, Part 1 Data Collection (Table 37)</v>
      </c>
      <c r="AB32" s="435">
        <f t="shared" ref="AB32:AB38" si="44">$BA32</f>
        <v>0.29499999999999998</v>
      </c>
      <c r="AC32" s="95">
        <v>1</v>
      </c>
      <c r="AD32" s="96">
        <f t="shared" si="18"/>
        <v>1.2434566510799234</v>
      </c>
      <c r="AE32" s="432" t="str">
        <f t="shared" si="19"/>
        <v>(1,4,4,3,1,3); de Wild-Scholten (2014) Life Cycle Assessment of Photovoltaics Status 2011, Part 1 Data Collection (Table 37)</v>
      </c>
      <c r="AF32" s="435">
        <f t="shared" ref="AF32:AF38" si="45">$BA32</f>
        <v>0.29499999999999998</v>
      </c>
      <c r="AG32" s="95">
        <v>1</v>
      </c>
      <c r="AH32" s="96">
        <f t="shared" si="20"/>
        <v>1.2434566510799234</v>
      </c>
      <c r="AI32" s="432" t="str">
        <f t="shared" si="21"/>
        <v>(1,4,4,3,1,3); de Wild-Scholten (2014) Life Cycle Assessment of Photovoltaics Status 2011, Part 1 Data Collection (Table 37)</v>
      </c>
      <c r="AJ32" s="435">
        <f t="shared" ref="AJ32:AJ48" si="46">$BA32</f>
        <v>0.29499999999999998</v>
      </c>
      <c r="AK32" s="95">
        <v>1</v>
      </c>
      <c r="AL32" s="96">
        <f t="shared" si="22"/>
        <v>1.2434566510799234</v>
      </c>
      <c r="AM32" s="432" t="str">
        <f t="shared" si="23"/>
        <v>(1,4,4,3,1,3); de Wild-Scholten (2014) Life Cycle Assessment of Photovoltaics Status 2011, Part 1 Data Collection (Table 37)</v>
      </c>
      <c r="AN32" s="435">
        <f t="shared" ref="AN32:AN44" si="47">$BA32</f>
        <v>0.29499999999999998</v>
      </c>
      <c r="AO32" s="95">
        <v>1</v>
      </c>
      <c r="AP32" s="96">
        <f t="shared" si="24"/>
        <v>1.2434566510799234</v>
      </c>
      <c r="AQ32" s="432" t="str">
        <f t="shared" si="25"/>
        <v>(1,4,4,3,1,3); de Wild-Scholten (2014) Life Cycle Assessment of Photovoltaics Status 2011, Part 1 Data Collection (Table 37)</v>
      </c>
      <c r="AR32" s="435">
        <v>0.187</v>
      </c>
      <c r="AS32" s="95">
        <v>1</v>
      </c>
      <c r="AT32" s="96">
        <f t="shared" si="26"/>
        <v>1.2434566510799234</v>
      </c>
      <c r="AU32" s="432" t="str">
        <f t="shared" si="27"/>
        <v>(2,4,1,3,1,5); Brailovsky (2026) GM 08; at plant iso market</v>
      </c>
      <c r="AV32" s="435">
        <v>0.187</v>
      </c>
      <c r="AW32" s="95">
        <v>1</v>
      </c>
      <c r="AX32" s="96">
        <f t="shared" si="28"/>
        <v>1.2434566510799234</v>
      </c>
      <c r="AY32" s="432" t="str">
        <f t="shared" si="29"/>
        <v>(2,4,1,3,1,5); Brailovsky (2026) GM 08; at plant iso market</v>
      </c>
      <c r="AZ32" s="112"/>
      <c r="BA32" s="435">
        <f>0.472/1.6</f>
        <v>0.29499999999999998</v>
      </c>
      <c r="BB32" s="216" t="s">
        <v>1230</v>
      </c>
      <c r="BC32" s="83">
        <f t="shared" si="41"/>
        <v>1</v>
      </c>
      <c r="BD32" s="83">
        <f t="shared" si="41"/>
        <v>4</v>
      </c>
      <c r="BE32" s="83">
        <v>4</v>
      </c>
      <c r="BF32" s="83">
        <f>BF$23</f>
        <v>3</v>
      </c>
      <c r="BG32" s="83">
        <f>BG$23</f>
        <v>1</v>
      </c>
      <c r="BH32" s="83">
        <f>BH$23</f>
        <v>3</v>
      </c>
      <c r="BI32" s="104">
        <v>3</v>
      </c>
      <c r="BJ32" s="104">
        <v>1.05</v>
      </c>
      <c r="BK32" s="107">
        <f t="shared" si="32"/>
        <v>1.2365959919080913</v>
      </c>
      <c r="BL32" s="107">
        <f t="shared" si="33"/>
        <v>1.2434566510799234</v>
      </c>
      <c r="BM32" s="107" t="str">
        <f t="shared" si="34"/>
        <v>(1,4,4,3,1,3)</v>
      </c>
      <c r="BN32" s="108">
        <v>1</v>
      </c>
      <c r="BO32" s="108">
        <v>1.1000000000000001</v>
      </c>
      <c r="BP32" s="108">
        <v>1.2</v>
      </c>
      <c r="BQ32" s="108">
        <v>1.02</v>
      </c>
      <c r="BR32" s="108">
        <v>1</v>
      </c>
      <c r="BS32" s="108">
        <v>1.05</v>
      </c>
      <c r="BU32" s="692" t="s">
        <v>1280</v>
      </c>
      <c r="BV32" s="83">
        <v>2</v>
      </c>
      <c r="BW32" s="83">
        <f t="shared" si="39"/>
        <v>4</v>
      </c>
      <c r="BX32" s="83">
        <v>1</v>
      </c>
      <c r="BY32" s="83">
        <f t="shared" si="40"/>
        <v>3</v>
      </c>
      <c r="BZ32" s="83">
        <f t="shared" si="40"/>
        <v>1</v>
      </c>
      <c r="CA32" s="83">
        <v>5</v>
      </c>
      <c r="CB32" s="104">
        <v>3</v>
      </c>
      <c r="CC32" s="104">
        <v>1.05</v>
      </c>
      <c r="CD32" s="107">
        <f t="shared" si="35"/>
        <v>1.2365959919080913</v>
      </c>
      <c r="CE32" s="107">
        <f t="shared" si="36"/>
        <v>1.2434566510799234</v>
      </c>
      <c r="CF32" s="107" t="str">
        <f t="shared" si="37"/>
        <v>(2,4,1,3,1,5)</v>
      </c>
      <c r="CG32" s="108">
        <v>1.05</v>
      </c>
      <c r="CH32" s="108">
        <v>1.1000000000000001</v>
      </c>
      <c r="CI32" s="108">
        <v>1</v>
      </c>
      <c r="CJ32" s="108">
        <v>1.02</v>
      </c>
      <c r="CK32" s="108">
        <v>1</v>
      </c>
      <c r="CL32" s="108">
        <v>1.2</v>
      </c>
    </row>
    <row r="33" spans="1:90" ht="24">
      <c r="A33" s="330">
        <v>269087</v>
      </c>
      <c r="B33" s="331"/>
      <c r="C33" s="88"/>
      <c r="D33" s="340">
        <v>5</v>
      </c>
      <c r="E33" s="341" t="s">
        <v>98</v>
      </c>
      <c r="F33" s="432" t="s">
        <v>1285</v>
      </c>
      <c r="G33" s="433" t="s">
        <v>93</v>
      </c>
      <c r="H33" s="434" t="s">
        <v>98</v>
      </c>
      <c r="I33" s="434" t="s">
        <v>98</v>
      </c>
      <c r="J33" s="94">
        <v>0</v>
      </c>
      <c r="K33" s="433" t="s">
        <v>96</v>
      </c>
      <c r="L33" s="435">
        <f>$BA33</f>
        <v>0.34562500000000002</v>
      </c>
      <c r="M33" s="95">
        <v>1</v>
      </c>
      <c r="N33" s="96">
        <f t="shared" si="10"/>
        <v>1.2434566510799234</v>
      </c>
      <c r="O33" s="432" t="str">
        <f t="shared" si="11"/>
        <v>(1,4,4,3,1,3); de Wild-Scholten (2014) Life Cycle Assessment of Photovoltaics Status 2011, Part 1 Data Collection (Table 37)</v>
      </c>
      <c r="P33" s="435">
        <f>$BA33</f>
        <v>0.34562500000000002</v>
      </c>
      <c r="Q33" s="95">
        <v>1</v>
      </c>
      <c r="R33" s="96">
        <f t="shared" si="12"/>
        <v>1.2434566510799234</v>
      </c>
      <c r="S33" s="432" t="str">
        <f t="shared" si="13"/>
        <v>(1,4,4,3,1,3); de Wild-Scholten (2014) Life Cycle Assessment of Photovoltaics Status 2011, Part 1 Data Collection (Table 37)</v>
      </c>
      <c r="T33" s="435">
        <f t="shared" si="42"/>
        <v>0.34562500000000002</v>
      </c>
      <c r="U33" s="95">
        <v>1</v>
      </c>
      <c r="V33" s="96">
        <f t="shared" si="14"/>
        <v>1.2434566510799234</v>
      </c>
      <c r="W33" s="432" t="str">
        <f t="shared" si="15"/>
        <v>(1,4,4,3,1,3); de Wild-Scholten (2014) Life Cycle Assessment of Photovoltaics Status 2011, Part 1 Data Collection (Table 37)</v>
      </c>
      <c r="X33" s="435">
        <f t="shared" si="43"/>
        <v>0.34562500000000002</v>
      </c>
      <c r="Y33" s="95">
        <v>1</v>
      </c>
      <c r="Z33" s="96">
        <f t="shared" si="16"/>
        <v>1.2434566510799234</v>
      </c>
      <c r="AA33" s="432" t="str">
        <f t="shared" si="17"/>
        <v>(1,4,4,3,1,3); de Wild-Scholten (2014) Life Cycle Assessment of Photovoltaics Status 2011, Part 1 Data Collection (Table 37)</v>
      </c>
      <c r="AB33" s="435">
        <f t="shared" si="44"/>
        <v>0.34562500000000002</v>
      </c>
      <c r="AC33" s="95">
        <v>1</v>
      </c>
      <c r="AD33" s="96">
        <f t="shared" si="18"/>
        <v>1.2434566510799234</v>
      </c>
      <c r="AE33" s="432" t="str">
        <f t="shared" si="19"/>
        <v>(1,4,4,3,1,3); de Wild-Scholten (2014) Life Cycle Assessment of Photovoltaics Status 2011, Part 1 Data Collection (Table 37)</v>
      </c>
      <c r="AF33" s="435">
        <f t="shared" si="45"/>
        <v>0.34562500000000002</v>
      </c>
      <c r="AG33" s="95">
        <v>1</v>
      </c>
      <c r="AH33" s="96">
        <f t="shared" si="20"/>
        <v>1.2434566510799234</v>
      </c>
      <c r="AI33" s="432" t="str">
        <f t="shared" si="21"/>
        <v>(1,4,4,3,1,3); de Wild-Scholten (2014) Life Cycle Assessment of Photovoltaics Status 2011, Part 1 Data Collection (Table 37)</v>
      </c>
      <c r="AJ33" s="435">
        <f t="shared" si="46"/>
        <v>0.34562500000000002</v>
      </c>
      <c r="AK33" s="95">
        <v>1</v>
      </c>
      <c r="AL33" s="96">
        <f t="shared" si="22"/>
        <v>1.2434566510799234</v>
      </c>
      <c r="AM33" s="432" t="str">
        <f t="shared" si="23"/>
        <v>(1,4,4,3,1,3); de Wild-Scholten (2014) Life Cycle Assessment of Photovoltaics Status 2011, Part 1 Data Collection (Table 37)</v>
      </c>
      <c r="AN33" s="435">
        <f t="shared" si="47"/>
        <v>0.34562500000000002</v>
      </c>
      <c r="AO33" s="95">
        <v>1</v>
      </c>
      <c r="AP33" s="96">
        <f t="shared" si="24"/>
        <v>1.2434566510799234</v>
      </c>
      <c r="AQ33" s="432" t="str">
        <f t="shared" si="25"/>
        <v>(1,4,4,3,1,3); de Wild-Scholten (2014) Life Cycle Assessment of Photovoltaics Status 2011, Part 1 Data Collection (Table 37)</v>
      </c>
      <c r="AR33" s="435">
        <v>0.27900000000000003</v>
      </c>
      <c r="AS33" s="95">
        <v>1</v>
      </c>
      <c r="AT33" s="96">
        <f t="shared" si="26"/>
        <v>1.2434566510799234</v>
      </c>
      <c r="AU33" s="432" t="str">
        <f t="shared" si="27"/>
        <v>(2,4,1,3,1,5); Brailovsky (2026) GM 08</v>
      </c>
      <c r="AV33" s="435">
        <v>0.27900000000000003</v>
      </c>
      <c r="AW33" s="95">
        <v>1</v>
      </c>
      <c r="AX33" s="96">
        <f t="shared" si="28"/>
        <v>1.2434566510799234</v>
      </c>
      <c r="AY33" s="432" t="str">
        <f t="shared" si="29"/>
        <v>(2,4,1,3,1,5); Brailovsky (2026) GM 08</v>
      </c>
      <c r="AZ33" s="112"/>
      <c r="BA33" s="435">
        <f>0.553/1.6</f>
        <v>0.34562500000000002</v>
      </c>
      <c r="BB33" s="216" t="s">
        <v>1230</v>
      </c>
      <c r="BC33" s="83">
        <f t="shared" si="41"/>
        <v>1</v>
      </c>
      <c r="BD33" s="83">
        <f t="shared" si="41"/>
        <v>4</v>
      </c>
      <c r="BE33" s="83">
        <v>4</v>
      </c>
      <c r="BF33" s="83">
        <f>BF$23</f>
        <v>3</v>
      </c>
      <c r="BG33" s="83">
        <f>BG$23</f>
        <v>1</v>
      </c>
      <c r="BH33" s="83">
        <f>BH$23</f>
        <v>3</v>
      </c>
      <c r="BI33" s="104">
        <v>3</v>
      </c>
      <c r="BJ33" s="104">
        <v>1.05</v>
      </c>
      <c r="BK33" s="107">
        <f t="shared" si="32"/>
        <v>1.2365959919080913</v>
      </c>
      <c r="BL33" s="107">
        <f t="shared" si="33"/>
        <v>1.2434566510799234</v>
      </c>
      <c r="BM33" s="107" t="str">
        <f t="shared" si="34"/>
        <v>(1,4,4,3,1,3)</v>
      </c>
      <c r="BN33" s="108">
        <v>1</v>
      </c>
      <c r="BO33" s="108">
        <v>1.1000000000000001</v>
      </c>
      <c r="BP33" s="108">
        <v>1.2</v>
      </c>
      <c r="BQ33" s="108">
        <v>1.02</v>
      </c>
      <c r="BR33" s="108">
        <v>1</v>
      </c>
      <c r="BS33" s="108">
        <v>1.05</v>
      </c>
      <c r="BU33" s="692" t="s">
        <v>1275</v>
      </c>
      <c r="BV33" s="83">
        <v>2</v>
      </c>
      <c r="BW33" s="83">
        <f t="shared" si="39"/>
        <v>4</v>
      </c>
      <c r="BX33" s="83">
        <v>1</v>
      </c>
      <c r="BY33" s="83">
        <f t="shared" si="40"/>
        <v>3</v>
      </c>
      <c r="BZ33" s="83">
        <f t="shared" si="40"/>
        <v>1</v>
      </c>
      <c r="CA33" s="83">
        <v>5</v>
      </c>
      <c r="CB33" s="104">
        <v>3</v>
      </c>
      <c r="CC33" s="104">
        <v>1.05</v>
      </c>
      <c r="CD33" s="107">
        <f t="shared" si="35"/>
        <v>1.2365959919080913</v>
      </c>
      <c r="CE33" s="107">
        <f t="shared" si="36"/>
        <v>1.2434566510799234</v>
      </c>
      <c r="CF33" s="107" t="str">
        <f t="shared" si="37"/>
        <v>(2,4,1,3,1,5)</v>
      </c>
      <c r="CG33" s="108">
        <v>1.05</v>
      </c>
      <c r="CH33" s="108">
        <v>1.1000000000000001</v>
      </c>
      <c r="CI33" s="108">
        <v>1</v>
      </c>
      <c r="CJ33" s="108">
        <v>1.02</v>
      </c>
      <c r="CK33" s="108">
        <v>1</v>
      </c>
      <c r="CL33" s="108">
        <v>1.2</v>
      </c>
    </row>
    <row r="34" spans="1:90" s="169" customFormat="1" ht="24">
      <c r="A34" s="330">
        <v>269327</v>
      </c>
      <c r="B34" s="331"/>
      <c r="C34" s="88"/>
      <c r="D34" s="340">
        <v>5</v>
      </c>
      <c r="E34" s="341" t="s">
        <v>98</v>
      </c>
      <c r="F34" s="432" t="s">
        <v>492</v>
      </c>
      <c r="G34" s="433" t="s">
        <v>93</v>
      </c>
      <c r="H34" s="434" t="s">
        <v>98</v>
      </c>
      <c r="I34" s="434" t="s">
        <v>98</v>
      </c>
      <c r="J34" s="94">
        <v>0</v>
      </c>
      <c r="K34" s="433" t="s">
        <v>96</v>
      </c>
      <c r="L34" s="435">
        <f>$BA34</f>
        <v>2.3749999999999997E-2</v>
      </c>
      <c r="M34" s="95">
        <v>1</v>
      </c>
      <c r="N34" s="96">
        <f t="shared" si="10"/>
        <v>1.3440316373092398</v>
      </c>
      <c r="O34" s="432" t="str">
        <f t="shared" si="11"/>
        <v>(3,4,4,3,1,5); de Wild-Scholten (2014) Life Cycle Assessment of Photovoltaics Status 2011, Part 1 Data Collection (Table 37)</v>
      </c>
      <c r="P34" s="435">
        <f>$BA34</f>
        <v>2.3749999999999997E-2</v>
      </c>
      <c r="Q34" s="95">
        <v>1</v>
      </c>
      <c r="R34" s="96">
        <f t="shared" si="12"/>
        <v>1.3440316373092398</v>
      </c>
      <c r="S34" s="432" t="str">
        <f t="shared" si="13"/>
        <v>(3,4,4,3,1,5); de Wild-Scholten (2014) Life Cycle Assessment of Photovoltaics Status 2011, Part 1 Data Collection (Table 37)</v>
      </c>
      <c r="T34" s="435">
        <f t="shared" si="42"/>
        <v>2.3749999999999997E-2</v>
      </c>
      <c r="U34" s="95">
        <v>1</v>
      </c>
      <c r="V34" s="96">
        <f t="shared" si="14"/>
        <v>1.3440316373092398</v>
      </c>
      <c r="W34" s="432" t="str">
        <f t="shared" si="15"/>
        <v>(3,4,4,3,1,5); de Wild-Scholten (2014) Life Cycle Assessment of Photovoltaics Status 2011, Part 1 Data Collection (Table 37)</v>
      </c>
      <c r="X34" s="435">
        <f t="shared" si="43"/>
        <v>2.3749999999999997E-2</v>
      </c>
      <c r="Y34" s="95">
        <v>1</v>
      </c>
      <c r="Z34" s="96">
        <f t="shared" si="16"/>
        <v>1.3440316373092398</v>
      </c>
      <c r="AA34" s="432" t="str">
        <f t="shared" si="17"/>
        <v>(3,4,4,3,1,5); de Wild-Scholten (2014) Life Cycle Assessment of Photovoltaics Status 2011, Part 1 Data Collection (Table 37)</v>
      </c>
      <c r="AB34" s="435">
        <f t="shared" si="44"/>
        <v>2.3749999999999997E-2</v>
      </c>
      <c r="AC34" s="95">
        <v>1</v>
      </c>
      <c r="AD34" s="96">
        <f t="shared" si="18"/>
        <v>1.3440316373092398</v>
      </c>
      <c r="AE34" s="432" t="str">
        <f t="shared" si="19"/>
        <v>(3,4,4,3,1,5); de Wild-Scholten (2014) Life Cycle Assessment of Photovoltaics Status 2011, Part 1 Data Collection (Table 37)</v>
      </c>
      <c r="AF34" s="435">
        <f t="shared" si="45"/>
        <v>2.3749999999999997E-2</v>
      </c>
      <c r="AG34" s="95">
        <v>1</v>
      </c>
      <c r="AH34" s="96">
        <f t="shared" si="20"/>
        <v>1.3440316373092398</v>
      </c>
      <c r="AI34" s="432" t="str">
        <f t="shared" si="21"/>
        <v>(3,4,4,3,1,5); de Wild-Scholten (2014) Life Cycle Assessment of Photovoltaics Status 2011, Part 1 Data Collection (Table 37)</v>
      </c>
      <c r="AJ34" s="435">
        <f t="shared" si="46"/>
        <v>2.3749999999999997E-2</v>
      </c>
      <c r="AK34" s="95">
        <v>1</v>
      </c>
      <c r="AL34" s="96">
        <f t="shared" si="22"/>
        <v>1.3440316373092398</v>
      </c>
      <c r="AM34" s="432" t="str">
        <f t="shared" si="23"/>
        <v>(3,4,4,3,1,5); de Wild-Scholten (2014) Life Cycle Assessment of Photovoltaics Status 2011, Part 1 Data Collection (Table 37)</v>
      </c>
      <c r="AN34" s="435">
        <f t="shared" si="47"/>
        <v>2.3749999999999997E-2</v>
      </c>
      <c r="AO34" s="95">
        <v>1</v>
      </c>
      <c r="AP34" s="96">
        <f t="shared" si="24"/>
        <v>1.3440316373092398</v>
      </c>
      <c r="AQ34" s="432" t="str">
        <f t="shared" si="25"/>
        <v>(3,4,4,3,1,5); de Wild-Scholten (2014) Life Cycle Assessment of Photovoltaics Status 2011, Part 1 Data Collection (Table 37)</v>
      </c>
      <c r="AR34" s="435">
        <v>6.9699999999999998E-2</v>
      </c>
      <c r="AS34" s="95">
        <v>1</v>
      </c>
      <c r="AT34" s="96">
        <f t="shared" si="26"/>
        <v>1.2434566510799234</v>
      </c>
      <c r="AU34" s="432" t="str">
        <f t="shared" si="27"/>
        <v>(2,4,1,3,1,5); Brailovsky (2026) GM 08</v>
      </c>
      <c r="AV34" s="435">
        <v>6.9699999999999998E-2</v>
      </c>
      <c r="AW34" s="95">
        <v>1</v>
      </c>
      <c r="AX34" s="96">
        <f t="shared" si="28"/>
        <v>1.2434566510799234</v>
      </c>
      <c r="AY34" s="432" t="str">
        <f t="shared" si="29"/>
        <v>(2,4,1,3,1,5); Brailovsky (2026) GM 08</v>
      </c>
      <c r="AZ34" s="112"/>
      <c r="BA34" s="435">
        <f>0.038/1.6</f>
        <v>2.3749999999999997E-2</v>
      </c>
      <c r="BB34" s="216" t="s">
        <v>1230</v>
      </c>
      <c r="BC34" s="83">
        <v>3</v>
      </c>
      <c r="BD34" s="83">
        <v>4</v>
      </c>
      <c r="BE34" s="83">
        <v>4</v>
      </c>
      <c r="BF34" s="83">
        <v>3</v>
      </c>
      <c r="BG34" s="83">
        <v>1</v>
      </c>
      <c r="BH34" s="83">
        <v>5</v>
      </c>
      <c r="BI34" s="104">
        <v>3</v>
      </c>
      <c r="BJ34" s="104">
        <v>1.05</v>
      </c>
      <c r="BK34" s="107">
        <f t="shared" si="32"/>
        <v>1.3385948990307144</v>
      </c>
      <c r="BL34" s="107">
        <f t="shared" si="33"/>
        <v>1.3440316373092398</v>
      </c>
      <c r="BM34" s="107" t="str">
        <f t="shared" si="34"/>
        <v>(3,4,4,3,1,5)</v>
      </c>
      <c r="BN34" s="108">
        <v>1.1000000000000001</v>
      </c>
      <c r="BO34" s="108">
        <v>1.1000000000000001</v>
      </c>
      <c r="BP34" s="108">
        <v>1.2</v>
      </c>
      <c r="BQ34" s="108">
        <v>1.02</v>
      </c>
      <c r="BR34" s="108">
        <v>1</v>
      </c>
      <c r="BS34" s="108">
        <v>1.2</v>
      </c>
      <c r="BU34" s="692" t="s">
        <v>1275</v>
      </c>
      <c r="BV34" s="83">
        <v>2</v>
      </c>
      <c r="BW34" s="83">
        <f t="shared" si="39"/>
        <v>4</v>
      </c>
      <c r="BX34" s="83">
        <v>1</v>
      </c>
      <c r="BY34" s="83">
        <f t="shared" si="40"/>
        <v>3</v>
      </c>
      <c r="BZ34" s="83">
        <f t="shared" si="40"/>
        <v>1</v>
      </c>
      <c r="CA34" s="83">
        <v>5</v>
      </c>
      <c r="CB34" s="104">
        <v>3</v>
      </c>
      <c r="CC34" s="104">
        <v>1.05</v>
      </c>
      <c r="CD34" s="107">
        <f t="shared" si="35"/>
        <v>1.2365959919080913</v>
      </c>
      <c r="CE34" s="107">
        <f t="shared" si="36"/>
        <v>1.2434566510799234</v>
      </c>
      <c r="CF34" s="107" t="str">
        <f t="shared" si="37"/>
        <v>(2,4,1,3,1,5)</v>
      </c>
      <c r="CG34" s="108">
        <v>1.05</v>
      </c>
      <c r="CH34" s="108">
        <v>1.1000000000000001</v>
      </c>
      <c r="CI34" s="108">
        <v>1</v>
      </c>
      <c r="CJ34" s="108">
        <v>1.02</v>
      </c>
      <c r="CK34" s="108">
        <v>1</v>
      </c>
      <c r="CL34" s="108">
        <v>1.2</v>
      </c>
    </row>
    <row r="35" spans="1:90" ht="24">
      <c r="A35" s="330">
        <v>268437</v>
      </c>
      <c r="B35" s="331"/>
      <c r="C35" s="88"/>
      <c r="D35" s="340">
        <v>5</v>
      </c>
      <c r="E35" s="341" t="s">
        <v>98</v>
      </c>
      <c r="F35" s="432" t="s">
        <v>1188</v>
      </c>
      <c r="G35" s="433" t="s">
        <v>93</v>
      </c>
      <c r="H35" s="434" t="s">
        <v>98</v>
      </c>
      <c r="I35" s="434" t="s">
        <v>98</v>
      </c>
      <c r="J35" s="94">
        <v>0</v>
      </c>
      <c r="K35" s="433" t="s">
        <v>96</v>
      </c>
      <c r="L35" s="435">
        <f>$BA35</f>
        <v>0.87499999999999989</v>
      </c>
      <c r="M35" s="95">
        <v>1</v>
      </c>
      <c r="N35" s="96">
        <f t="shared" si="10"/>
        <v>1.2434566510799234</v>
      </c>
      <c r="O35" s="432" t="str">
        <f t="shared" si="11"/>
        <v>(1,4,4,3,1,3); de Wild-Scholten (2014) Life Cycle Assessment of Photovoltaics Status 2011, Part 1 Data Collection (Table 37)</v>
      </c>
      <c r="P35" s="435">
        <f>$BA35</f>
        <v>0.87499999999999989</v>
      </c>
      <c r="Q35" s="95">
        <v>1</v>
      </c>
      <c r="R35" s="96">
        <f t="shared" si="12"/>
        <v>1.2434566510799234</v>
      </c>
      <c r="S35" s="432" t="str">
        <f t="shared" si="13"/>
        <v>(1,4,4,3,1,3); de Wild-Scholten (2014) Life Cycle Assessment of Photovoltaics Status 2011, Part 1 Data Collection (Table 37)</v>
      </c>
      <c r="T35" s="435">
        <f t="shared" si="42"/>
        <v>0.87499999999999989</v>
      </c>
      <c r="U35" s="95">
        <v>1</v>
      </c>
      <c r="V35" s="96">
        <f t="shared" si="14"/>
        <v>1.2434566510799234</v>
      </c>
      <c r="W35" s="432" t="str">
        <f t="shared" si="15"/>
        <v>(1,4,4,3,1,3); de Wild-Scholten (2014) Life Cycle Assessment of Photovoltaics Status 2011, Part 1 Data Collection (Table 37)</v>
      </c>
      <c r="X35" s="435">
        <f t="shared" si="43"/>
        <v>0.87499999999999989</v>
      </c>
      <c r="Y35" s="95">
        <v>1</v>
      </c>
      <c r="Z35" s="96">
        <f t="shared" si="16"/>
        <v>1.2434566510799234</v>
      </c>
      <c r="AA35" s="432" t="str">
        <f t="shared" si="17"/>
        <v>(1,4,4,3,1,3); de Wild-Scholten (2014) Life Cycle Assessment of Photovoltaics Status 2011, Part 1 Data Collection (Table 37)</v>
      </c>
      <c r="AB35" s="435">
        <f t="shared" si="44"/>
        <v>0.87499999999999989</v>
      </c>
      <c r="AC35" s="95">
        <v>1</v>
      </c>
      <c r="AD35" s="96">
        <f t="shared" si="18"/>
        <v>1.2434566510799234</v>
      </c>
      <c r="AE35" s="432" t="str">
        <f t="shared" si="19"/>
        <v>(1,4,4,3,1,3); de Wild-Scholten (2014) Life Cycle Assessment of Photovoltaics Status 2011, Part 1 Data Collection (Table 37)</v>
      </c>
      <c r="AF35" s="435">
        <f t="shared" si="45"/>
        <v>0.87499999999999989</v>
      </c>
      <c r="AG35" s="95">
        <v>1</v>
      </c>
      <c r="AH35" s="96">
        <f t="shared" si="20"/>
        <v>1.2434566510799234</v>
      </c>
      <c r="AI35" s="432" t="str">
        <f t="shared" si="21"/>
        <v>(1,4,4,3,1,3); de Wild-Scholten (2014) Life Cycle Assessment of Photovoltaics Status 2011, Part 1 Data Collection (Table 37)</v>
      </c>
      <c r="AJ35" s="435">
        <f t="shared" si="46"/>
        <v>0.87499999999999989</v>
      </c>
      <c r="AK35" s="95">
        <v>1</v>
      </c>
      <c r="AL35" s="96">
        <f t="shared" si="22"/>
        <v>1.2434566510799234</v>
      </c>
      <c r="AM35" s="432" t="str">
        <f t="shared" si="23"/>
        <v>(1,4,4,3,1,3); de Wild-Scholten (2014) Life Cycle Assessment of Photovoltaics Status 2011, Part 1 Data Collection (Table 37)</v>
      </c>
      <c r="AN35" s="435">
        <f t="shared" si="47"/>
        <v>0.87499999999999989</v>
      </c>
      <c r="AO35" s="95">
        <v>1</v>
      </c>
      <c r="AP35" s="96">
        <f t="shared" si="24"/>
        <v>1.2434566510799234</v>
      </c>
      <c r="AQ35" s="432" t="str">
        <f t="shared" si="25"/>
        <v>(1,4,4,3,1,3); de Wild-Scholten (2014) Life Cycle Assessment of Photovoltaics Status 2011, Part 1 Data Collection (Table 37)</v>
      </c>
      <c r="AR35" s="435">
        <v>0.79800000000000004</v>
      </c>
      <c r="AS35" s="95">
        <v>1</v>
      </c>
      <c r="AT35" s="96">
        <f t="shared" si="26"/>
        <v>1.2434566510799234</v>
      </c>
      <c r="AU35" s="432" t="str">
        <f t="shared" si="27"/>
        <v>(2,4,1,3,1,5); Brailovsky (2026) GM 08; at plant iso market, RER iso GLO</v>
      </c>
      <c r="AV35" s="435">
        <v>0.79800000000000004</v>
      </c>
      <c r="AW35" s="95">
        <v>1</v>
      </c>
      <c r="AX35" s="96">
        <f t="shared" si="28"/>
        <v>1.2434566510799234</v>
      </c>
      <c r="AY35" s="432" t="str">
        <f t="shared" si="29"/>
        <v>(2,4,1,3,1,5); Brailovsky (2026) GM 08; at plant iso market, RER iso GLO</v>
      </c>
      <c r="AZ35" s="112"/>
      <c r="BA35" s="435">
        <f>1.4/1.6</f>
        <v>0.87499999999999989</v>
      </c>
      <c r="BB35" s="216" t="s">
        <v>1230</v>
      </c>
      <c r="BC35" s="83">
        <f t="shared" ref="BC35:BD44" si="48">BC$23</f>
        <v>1</v>
      </c>
      <c r="BD35" s="83">
        <f t="shared" si="48"/>
        <v>4</v>
      </c>
      <c r="BE35" s="83">
        <v>4</v>
      </c>
      <c r="BF35" s="83">
        <f t="shared" ref="BF35:BH44" si="49">BF$23</f>
        <v>3</v>
      </c>
      <c r="BG35" s="83">
        <f t="shared" si="49"/>
        <v>1</v>
      </c>
      <c r="BH35" s="83">
        <f t="shared" si="49"/>
        <v>3</v>
      </c>
      <c r="BI35" s="104">
        <v>3</v>
      </c>
      <c r="BJ35" s="104">
        <v>1.05</v>
      </c>
      <c r="BK35" s="107">
        <f t="shared" si="32"/>
        <v>1.2365959919080913</v>
      </c>
      <c r="BL35" s="107">
        <f t="shared" si="33"/>
        <v>1.2434566510799234</v>
      </c>
      <c r="BM35" s="107" t="str">
        <f t="shared" si="34"/>
        <v>(1,4,4,3,1,3)</v>
      </c>
      <c r="BN35" s="108">
        <v>1</v>
      </c>
      <c r="BO35" s="108">
        <v>1.1000000000000001</v>
      </c>
      <c r="BP35" s="108">
        <v>1.2</v>
      </c>
      <c r="BQ35" s="108">
        <v>1.02</v>
      </c>
      <c r="BR35" s="108">
        <v>1</v>
      </c>
      <c r="BS35" s="108">
        <v>1.05</v>
      </c>
      <c r="BU35" s="692" t="s">
        <v>1286</v>
      </c>
      <c r="BV35" s="83">
        <v>2</v>
      </c>
      <c r="BW35" s="83">
        <f t="shared" si="39"/>
        <v>4</v>
      </c>
      <c r="BX35" s="83">
        <v>1</v>
      </c>
      <c r="BY35" s="83">
        <f t="shared" si="40"/>
        <v>3</v>
      </c>
      <c r="BZ35" s="83">
        <f t="shared" si="40"/>
        <v>1</v>
      </c>
      <c r="CA35" s="83">
        <v>5</v>
      </c>
      <c r="CB35" s="104">
        <v>3</v>
      </c>
      <c r="CC35" s="104">
        <v>1.05</v>
      </c>
      <c r="CD35" s="107">
        <f t="shared" si="35"/>
        <v>1.2365959919080913</v>
      </c>
      <c r="CE35" s="107">
        <f t="shared" si="36"/>
        <v>1.2434566510799234</v>
      </c>
      <c r="CF35" s="107" t="str">
        <f t="shared" si="37"/>
        <v>(2,4,1,3,1,5)</v>
      </c>
      <c r="CG35" s="108">
        <v>1.05</v>
      </c>
      <c r="CH35" s="108">
        <v>1.1000000000000001</v>
      </c>
      <c r="CI35" s="108">
        <v>1</v>
      </c>
      <c r="CJ35" s="108">
        <v>1.02</v>
      </c>
      <c r="CK35" s="108">
        <v>1</v>
      </c>
      <c r="CL35" s="108">
        <v>1.2</v>
      </c>
    </row>
    <row r="36" spans="1:90" ht="24">
      <c r="A36" s="330">
        <v>268443</v>
      </c>
      <c r="B36" s="331"/>
      <c r="C36" s="88"/>
      <c r="D36" s="340">
        <v>5</v>
      </c>
      <c r="E36" s="341" t="s">
        <v>98</v>
      </c>
      <c r="F36" s="432" t="s">
        <v>212</v>
      </c>
      <c r="G36" s="433" t="s">
        <v>215</v>
      </c>
      <c r="H36" s="434" t="s">
        <v>98</v>
      </c>
      <c r="I36" s="434" t="s">
        <v>98</v>
      </c>
      <c r="J36" s="94">
        <v>0</v>
      </c>
      <c r="K36" s="433" t="s">
        <v>96</v>
      </c>
      <c r="L36" s="435">
        <f>$BA36</f>
        <v>0.11187499999999999</v>
      </c>
      <c r="M36" s="95">
        <v>1</v>
      </c>
      <c r="N36" s="96">
        <f t="shared" si="10"/>
        <v>1.2434566510799234</v>
      </c>
      <c r="O36" s="432" t="str">
        <f t="shared" si="11"/>
        <v>(1,4,4,3,1,3); de Wild-Scholten (2014) Life Cycle Assessment of Photovoltaics Status 2011, Part 1 Data Collection (Table 37)</v>
      </c>
      <c r="P36" s="435">
        <f>$BA36</f>
        <v>0.11187499999999999</v>
      </c>
      <c r="Q36" s="95">
        <v>1</v>
      </c>
      <c r="R36" s="96">
        <f t="shared" si="12"/>
        <v>1.2434566510799234</v>
      </c>
      <c r="S36" s="432" t="str">
        <f t="shared" si="13"/>
        <v>(1,4,4,3,1,3); de Wild-Scholten (2014) Life Cycle Assessment of Photovoltaics Status 2011, Part 1 Data Collection (Table 37)</v>
      </c>
      <c r="T36" s="435">
        <f t="shared" si="42"/>
        <v>0.11187499999999999</v>
      </c>
      <c r="U36" s="95">
        <v>1</v>
      </c>
      <c r="V36" s="96">
        <f t="shared" si="14"/>
        <v>1.2434566510799234</v>
      </c>
      <c r="W36" s="432" t="str">
        <f t="shared" si="15"/>
        <v>(1,4,4,3,1,3); de Wild-Scholten (2014) Life Cycle Assessment of Photovoltaics Status 2011, Part 1 Data Collection (Table 37)</v>
      </c>
      <c r="X36" s="435">
        <f t="shared" si="43"/>
        <v>0.11187499999999999</v>
      </c>
      <c r="Y36" s="95">
        <v>1</v>
      </c>
      <c r="Z36" s="96">
        <f t="shared" si="16"/>
        <v>1.2434566510799234</v>
      </c>
      <c r="AA36" s="432" t="str">
        <f t="shared" si="17"/>
        <v>(1,4,4,3,1,3); de Wild-Scholten (2014) Life Cycle Assessment of Photovoltaics Status 2011, Part 1 Data Collection (Table 37)</v>
      </c>
      <c r="AB36" s="435">
        <f t="shared" si="44"/>
        <v>0.11187499999999999</v>
      </c>
      <c r="AC36" s="95">
        <v>1</v>
      </c>
      <c r="AD36" s="96">
        <f t="shared" si="18"/>
        <v>1.2434566510799234</v>
      </c>
      <c r="AE36" s="432" t="str">
        <f t="shared" si="19"/>
        <v>(1,4,4,3,1,3); de Wild-Scholten (2014) Life Cycle Assessment of Photovoltaics Status 2011, Part 1 Data Collection (Table 37)</v>
      </c>
      <c r="AF36" s="435">
        <f t="shared" si="45"/>
        <v>0.11187499999999999</v>
      </c>
      <c r="AG36" s="95">
        <v>1</v>
      </c>
      <c r="AH36" s="96">
        <f t="shared" si="20"/>
        <v>1.2434566510799234</v>
      </c>
      <c r="AI36" s="432" t="str">
        <f t="shared" si="21"/>
        <v>(1,4,4,3,1,3); de Wild-Scholten (2014) Life Cycle Assessment of Photovoltaics Status 2011, Part 1 Data Collection (Table 37)</v>
      </c>
      <c r="AJ36" s="435">
        <f t="shared" si="46"/>
        <v>0.11187499999999999</v>
      </c>
      <c r="AK36" s="95">
        <v>1</v>
      </c>
      <c r="AL36" s="96">
        <f t="shared" si="22"/>
        <v>1.2434566510799234</v>
      </c>
      <c r="AM36" s="432" t="str">
        <f t="shared" si="23"/>
        <v>(1,4,4,3,1,3); de Wild-Scholten (2014) Life Cycle Assessment of Photovoltaics Status 2011, Part 1 Data Collection (Table 37)</v>
      </c>
      <c r="AN36" s="435">
        <f t="shared" si="47"/>
        <v>0.11187499999999999</v>
      </c>
      <c r="AO36" s="95">
        <v>1</v>
      </c>
      <c r="AP36" s="96">
        <f t="shared" si="24"/>
        <v>1.2434566510799234</v>
      </c>
      <c r="AQ36" s="432" t="str">
        <f t="shared" si="25"/>
        <v>(1,4,4,3,1,3); de Wild-Scholten (2014) Life Cycle Assessment of Photovoltaics Status 2011, Part 1 Data Collection (Table 37)</v>
      </c>
      <c r="AR36" s="435">
        <v>4.48E-2</v>
      </c>
      <c r="AS36" s="95">
        <v>1</v>
      </c>
      <c r="AT36" s="96">
        <f t="shared" si="26"/>
        <v>1.2434566510799234</v>
      </c>
      <c r="AU36" s="432" t="str">
        <f t="shared" si="27"/>
        <v>(2,4,1,3,1,5); Brailovsky (2026) GM 08; US iso GLO, at plant iso market</v>
      </c>
      <c r="AV36" s="435">
        <v>4.48E-2</v>
      </c>
      <c r="AW36" s="95">
        <v>1</v>
      </c>
      <c r="AX36" s="96">
        <f t="shared" si="28"/>
        <v>1.2434566510799234</v>
      </c>
      <c r="AY36" s="432" t="str">
        <f t="shared" si="29"/>
        <v>(2,4,1,3,1,5); Brailovsky (2026) GM 08; US iso GLO, at plant iso market</v>
      </c>
      <c r="AZ36" s="112"/>
      <c r="BA36" s="435">
        <f>0.179/1.6</f>
        <v>0.11187499999999999</v>
      </c>
      <c r="BB36" s="216" t="s">
        <v>1230</v>
      </c>
      <c r="BC36" s="83">
        <f t="shared" si="48"/>
        <v>1</v>
      </c>
      <c r="BD36" s="83">
        <f t="shared" si="48"/>
        <v>4</v>
      </c>
      <c r="BE36" s="83">
        <v>4</v>
      </c>
      <c r="BF36" s="83">
        <f t="shared" si="49"/>
        <v>3</v>
      </c>
      <c r="BG36" s="83">
        <f t="shared" si="49"/>
        <v>1</v>
      </c>
      <c r="BH36" s="83">
        <f t="shared" si="49"/>
        <v>3</v>
      </c>
      <c r="BI36" s="104">
        <v>3</v>
      </c>
      <c r="BJ36" s="104">
        <v>1.05</v>
      </c>
      <c r="BK36" s="107">
        <f t="shared" si="32"/>
        <v>1.2365959919080913</v>
      </c>
      <c r="BL36" s="107">
        <f t="shared" si="33"/>
        <v>1.2434566510799234</v>
      </c>
      <c r="BM36" s="107" t="str">
        <f t="shared" si="34"/>
        <v>(1,4,4,3,1,3)</v>
      </c>
      <c r="BN36" s="108">
        <v>1</v>
      </c>
      <c r="BO36" s="108">
        <v>1.1000000000000001</v>
      </c>
      <c r="BP36" s="108">
        <v>1.2</v>
      </c>
      <c r="BQ36" s="108">
        <v>1.02</v>
      </c>
      <c r="BR36" s="108">
        <v>1</v>
      </c>
      <c r="BS36" s="108">
        <v>1.05</v>
      </c>
      <c r="BU36" s="692" t="s">
        <v>1287</v>
      </c>
      <c r="BV36" s="83">
        <v>2</v>
      </c>
      <c r="BW36" s="83">
        <f t="shared" si="39"/>
        <v>4</v>
      </c>
      <c r="BX36" s="83">
        <v>1</v>
      </c>
      <c r="BY36" s="83">
        <f t="shared" si="40"/>
        <v>3</v>
      </c>
      <c r="BZ36" s="83">
        <f t="shared" si="40"/>
        <v>1</v>
      </c>
      <c r="CA36" s="83">
        <v>5</v>
      </c>
      <c r="CB36" s="104">
        <v>3</v>
      </c>
      <c r="CC36" s="104">
        <v>1.05</v>
      </c>
      <c r="CD36" s="107">
        <f t="shared" si="35"/>
        <v>1.2365959919080913</v>
      </c>
      <c r="CE36" s="107">
        <f t="shared" si="36"/>
        <v>1.2434566510799234</v>
      </c>
      <c r="CF36" s="107" t="str">
        <f t="shared" si="37"/>
        <v>(2,4,1,3,1,5)</v>
      </c>
      <c r="CG36" s="108">
        <v>1.05</v>
      </c>
      <c r="CH36" s="108">
        <v>1.1000000000000001</v>
      </c>
      <c r="CI36" s="108">
        <v>1</v>
      </c>
      <c r="CJ36" s="108">
        <v>1.02</v>
      </c>
      <c r="CK36" s="108">
        <v>1</v>
      </c>
      <c r="CL36" s="108">
        <v>1.2</v>
      </c>
    </row>
    <row r="37" spans="1:90" ht="24">
      <c r="A37" s="330">
        <v>265763</v>
      </c>
      <c r="B37" s="331" t="s">
        <v>1198</v>
      </c>
      <c r="C37" s="88"/>
      <c r="D37" s="340">
        <v>5</v>
      </c>
      <c r="E37" s="341" t="s">
        <v>98</v>
      </c>
      <c r="F37" s="432" t="s">
        <v>488</v>
      </c>
      <c r="G37" s="433" t="s">
        <v>372</v>
      </c>
      <c r="H37" s="434" t="s">
        <v>98</v>
      </c>
      <c r="I37" s="434" t="s">
        <v>98</v>
      </c>
      <c r="J37" s="94">
        <v>0</v>
      </c>
      <c r="K37" s="433" t="s">
        <v>96</v>
      </c>
      <c r="L37" s="435">
        <f>$BA44</f>
        <v>5.03125</v>
      </c>
      <c r="M37" s="95">
        <v>1</v>
      </c>
      <c r="N37" s="96">
        <f t="shared" si="10"/>
        <v>1.2434566510799234</v>
      </c>
      <c r="O37" s="432" t="str">
        <f t="shared" si="11"/>
        <v>(1,4,4,3,1,3); de Wild-Scholten (2014) Life Cycle Assessment of Photovoltaics Status 2011, Part 1 Data Collection (Table 37)</v>
      </c>
      <c r="P37" s="435">
        <f>$BA44</f>
        <v>5.03125</v>
      </c>
      <c r="Q37" s="95">
        <v>1</v>
      </c>
      <c r="R37" s="96">
        <f t="shared" si="12"/>
        <v>1.2434566510799234</v>
      </c>
      <c r="S37" s="432" t="str">
        <f t="shared" si="13"/>
        <v>(1,4,4,3,1,3); de Wild-Scholten (2014) Life Cycle Assessment of Photovoltaics Status 2011, Part 1 Data Collection (Table 37)</v>
      </c>
      <c r="T37" s="435">
        <f t="shared" si="42"/>
        <v>0</v>
      </c>
      <c r="U37" s="95">
        <v>1</v>
      </c>
      <c r="V37" s="96">
        <f t="shared" si="14"/>
        <v>1.2434566510799234</v>
      </c>
      <c r="W37" s="432" t="str">
        <f t="shared" si="15"/>
        <v>(1,4,4,3,1,3); de Wild-Scholten (2014) Life Cycle Assessment of Photovoltaics Status 2011, Part 1 Data Collection (Table 37)</v>
      </c>
      <c r="X37" s="435">
        <f t="shared" si="43"/>
        <v>0</v>
      </c>
      <c r="Y37" s="95">
        <v>1</v>
      </c>
      <c r="Z37" s="96">
        <f t="shared" si="16"/>
        <v>1.2434566510799234</v>
      </c>
      <c r="AA37" s="432" t="str">
        <f t="shared" si="17"/>
        <v>(1,4,4,3,1,3); de Wild-Scholten (2014) Life Cycle Assessment of Photovoltaics Status 2011, Part 1 Data Collection (Table 37)</v>
      </c>
      <c r="AB37" s="435">
        <f t="shared" si="44"/>
        <v>0</v>
      </c>
      <c r="AC37" s="95">
        <v>1</v>
      </c>
      <c r="AD37" s="96">
        <f t="shared" si="18"/>
        <v>1.2434566510799234</v>
      </c>
      <c r="AE37" s="432" t="str">
        <f t="shared" si="19"/>
        <v>(1,4,4,3,1,3); de Wild-Scholten (2014) Life Cycle Assessment of Photovoltaics Status 2011, Part 1 Data Collection (Table 37)</v>
      </c>
      <c r="AF37" s="435">
        <f t="shared" si="45"/>
        <v>0</v>
      </c>
      <c r="AG37" s="95">
        <v>1</v>
      </c>
      <c r="AH37" s="96">
        <f t="shared" si="20"/>
        <v>1.2434566510799234</v>
      </c>
      <c r="AI37" s="432" t="str">
        <f t="shared" si="21"/>
        <v>(1,4,4,3,1,3); de Wild-Scholten (2014) Life Cycle Assessment of Photovoltaics Status 2011, Part 1 Data Collection (Table 37)</v>
      </c>
      <c r="AJ37" s="435">
        <f t="shared" si="46"/>
        <v>0</v>
      </c>
      <c r="AK37" s="95">
        <v>1</v>
      </c>
      <c r="AL37" s="96">
        <f t="shared" si="22"/>
        <v>1.2434566510799234</v>
      </c>
      <c r="AM37" s="432" t="str">
        <f t="shared" si="23"/>
        <v>(1,4,4,3,1,3); de Wild-Scholten (2014) Life Cycle Assessment of Photovoltaics Status 2011, Part 1 Data Collection (Table 37)</v>
      </c>
      <c r="AN37" s="435">
        <f t="shared" si="47"/>
        <v>0</v>
      </c>
      <c r="AO37" s="95">
        <v>1</v>
      </c>
      <c r="AP37" s="96">
        <f t="shared" si="24"/>
        <v>1.2434566510799234</v>
      </c>
      <c r="AQ37" s="432" t="str">
        <f t="shared" si="25"/>
        <v>(1,4,4,3,1,3); de Wild-Scholten (2014) Life Cycle Assessment of Photovoltaics Status 2011, Part 1 Data Collection (Table 37)</v>
      </c>
      <c r="AR37" s="435">
        <f t="shared" ref="AR37:AR43" si="50">$BA37</f>
        <v>0</v>
      </c>
      <c r="AS37" s="95">
        <v>1</v>
      </c>
      <c r="AT37" s="96">
        <f t="shared" si="26"/>
        <v>1.2434566510799234</v>
      </c>
      <c r="AU37" s="432" t="str">
        <f t="shared" si="27"/>
        <v xml:space="preserve">(2,4,1,3,1,5); </v>
      </c>
      <c r="AV37" s="435">
        <v>0</v>
      </c>
      <c r="AW37" s="95">
        <v>1</v>
      </c>
      <c r="AX37" s="96">
        <f t="shared" si="28"/>
        <v>1.2434566510799234</v>
      </c>
      <c r="AY37" s="432" t="str">
        <f t="shared" si="29"/>
        <v xml:space="preserve">(2,4,1,3,1,5); </v>
      </c>
      <c r="AZ37" s="112"/>
      <c r="BA37" s="435">
        <v>0</v>
      </c>
      <c r="BB37" s="216" t="s">
        <v>1230</v>
      </c>
      <c r="BC37" s="83">
        <f t="shared" si="48"/>
        <v>1</v>
      </c>
      <c r="BD37" s="83">
        <f t="shared" si="48"/>
        <v>4</v>
      </c>
      <c r="BE37" s="83">
        <v>4</v>
      </c>
      <c r="BF37" s="83">
        <f t="shared" si="49"/>
        <v>3</v>
      </c>
      <c r="BG37" s="83">
        <f t="shared" si="49"/>
        <v>1</v>
      </c>
      <c r="BH37" s="83">
        <f t="shared" si="49"/>
        <v>3</v>
      </c>
      <c r="BI37" s="104">
        <v>3</v>
      </c>
      <c r="BJ37" s="104">
        <v>1.05</v>
      </c>
      <c r="BK37" s="107">
        <f t="shared" si="32"/>
        <v>1.2365959919080913</v>
      </c>
      <c r="BL37" s="107">
        <f t="shared" si="33"/>
        <v>1.2434566510799234</v>
      </c>
      <c r="BM37" s="107" t="str">
        <f t="shared" si="34"/>
        <v>(1,4,4,3,1,3)</v>
      </c>
      <c r="BN37" s="108">
        <v>1</v>
      </c>
      <c r="BO37" s="108">
        <v>1.1000000000000001</v>
      </c>
      <c r="BP37" s="108">
        <v>1.2</v>
      </c>
      <c r="BQ37" s="108">
        <v>1.02</v>
      </c>
      <c r="BR37" s="108">
        <v>1</v>
      </c>
      <c r="BS37" s="108">
        <v>1.05</v>
      </c>
      <c r="BU37" s="692"/>
      <c r="BV37" s="83">
        <v>2</v>
      </c>
      <c r="BW37" s="83">
        <f t="shared" si="39"/>
        <v>4</v>
      </c>
      <c r="BX37" s="83">
        <v>1</v>
      </c>
      <c r="BY37" s="83">
        <f t="shared" si="40"/>
        <v>3</v>
      </c>
      <c r="BZ37" s="83">
        <f t="shared" si="40"/>
        <v>1</v>
      </c>
      <c r="CA37" s="83">
        <v>5</v>
      </c>
      <c r="CB37" s="104">
        <v>3</v>
      </c>
      <c r="CC37" s="104">
        <v>1.05</v>
      </c>
      <c r="CD37" s="107">
        <f t="shared" si="35"/>
        <v>1.2365959919080913</v>
      </c>
      <c r="CE37" s="107">
        <f t="shared" si="36"/>
        <v>1.2434566510799234</v>
      </c>
      <c r="CF37" s="107" t="str">
        <f t="shared" si="37"/>
        <v>(2,4,1,3,1,5)</v>
      </c>
      <c r="CG37" s="108">
        <v>1.05</v>
      </c>
      <c r="CH37" s="108">
        <v>1.1000000000000001</v>
      </c>
      <c r="CI37" s="108">
        <v>1</v>
      </c>
      <c r="CJ37" s="108">
        <v>1.02</v>
      </c>
      <c r="CK37" s="108">
        <v>1</v>
      </c>
      <c r="CL37" s="108">
        <v>1.2</v>
      </c>
    </row>
    <row r="38" spans="1:90" ht="24">
      <c r="A38" s="330">
        <v>265931</v>
      </c>
      <c r="B38" s="331"/>
      <c r="C38" s="88"/>
      <c r="D38" s="340">
        <v>5</v>
      </c>
      <c r="E38" s="341" t="s">
        <v>98</v>
      </c>
      <c r="F38" s="432" t="s">
        <v>489</v>
      </c>
      <c r="G38" s="433" t="s">
        <v>215</v>
      </c>
      <c r="H38" s="434" t="s">
        <v>98</v>
      </c>
      <c r="I38" s="434" t="s">
        <v>98</v>
      </c>
      <c r="J38" s="94">
        <v>0</v>
      </c>
      <c r="K38" s="433" t="s">
        <v>96</v>
      </c>
      <c r="L38" s="435">
        <f t="shared" ref="L38:L43" si="51">$BA38</f>
        <v>0</v>
      </c>
      <c r="M38" s="95">
        <v>1</v>
      </c>
      <c r="N38" s="96">
        <f t="shared" si="10"/>
        <v>1.2434566510799234</v>
      </c>
      <c r="O38" s="432" t="str">
        <f t="shared" si="11"/>
        <v>(1,4,4,3,1,3); de Wild-Scholten (2014) Life Cycle Assessment of Photovoltaics Status 2011, Part 1 Data Collection (Table 37)</v>
      </c>
      <c r="P38" s="435">
        <f t="shared" ref="P38:P43" si="52">$BA38</f>
        <v>0</v>
      </c>
      <c r="Q38" s="95">
        <v>1</v>
      </c>
      <c r="R38" s="96">
        <f t="shared" si="12"/>
        <v>1.2434566510799234</v>
      </c>
      <c r="S38" s="432" t="str">
        <f t="shared" si="13"/>
        <v>(1,4,4,3,1,3); de Wild-Scholten (2014) Life Cycle Assessment of Photovoltaics Status 2011, Part 1 Data Collection (Table 37)</v>
      </c>
      <c r="T38" s="435">
        <f>$BA44</f>
        <v>5.03125</v>
      </c>
      <c r="U38" s="95">
        <v>1</v>
      </c>
      <c r="V38" s="96">
        <f t="shared" si="14"/>
        <v>1.2434566510799234</v>
      </c>
      <c r="W38" s="432" t="str">
        <f t="shared" si="15"/>
        <v>(1,4,4,3,1,3); de Wild-Scholten (2014) Life Cycle Assessment of Photovoltaics Status 2011, Part 1 Data Collection (Table 37)</v>
      </c>
      <c r="X38" s="435">
        <f>$BA44</f>
        <v>5.03125</v>
      </c>
      <c r="Y38" s="95">
        <v>1</v>
      </c>
      <c r="Z38" s="96">
        <f t="shared" si="16"/>
        <v>1.2434566510799234</v>
      </c>
      <c r="AA38" s="432" t="str">
        <f t="shared" si="17"/>
        <v>(1,4,4,3,1,3); de Wild-Scholten (2014) Life Cycle Assessment of Photovoltaics Status 2011, Part 1 Data Collection (Table 37)</v>
      </c>
      <c r="AB38" s="435">
        <f t="shared" si="44"/>
        <v>0</v>
      </c>
      <c r="AC38" s="95">
        <v>1</v>
      </c>
      <c r="AD38" s="96">
        <f t="shared" si="18"/>
        <v>1.2434566510799234</v>
      </c>
      <c r="AE38" s="432" t="str">
        <f t="shared" si="19"/>
        <v>(1,4,4,3,1,3); de Wild-Scholten (2014) Life Cycle Assessment of Photovoltaics Status 2011, Part 1 Data Collection (Table 37)</v>
      </c>
      <c r="AF38" s="435">
        <f t="shared" si="45"/>
        <v>0</v>
      </c>
      <c r="AG38" s="95">
        <v>1</v>
      </c>
      <c r="AH38" s="96">
        <f t="shared" si="20"/>
        <v>1.2434566510799234</v>
      </c>
      <c r="AI38" s="432" t="str">
        <f t="shared" si="21"/>
        <v>(1,4,4,3,1,3); de Wild-Scholten (2014) Life Cycle Assessment of Photovoltaics Status 2011, Part 1 Data Collection (Table 37)</v>
      </c>
      <c r="AJ38" s="435">
        <f t="shared" si="46"/>
        <v>0</v>
      </c>
      <c r="AK38" s="95">
        <v>1</v>
      </c>
      <c r="AL38" s="96">
        <f t="shared" si="22"/>
        <v>1.2434566510799234</v>
      </c>
      <c r="AM38" s="432" t="str">
        <f t="shared" si="23"/>
        <v>(1,4,4,3,1,3); de Wild-Scholten (2014) Life Cycle Assessment of Photovoltaics Status 2011, Part 1 Data Collection (Table 37)</v>
      </c>
      <c r="AN38" s="435">
        <f t="shared" si="47"/>
        <v>0</v>
      </c>
      <c r="AO38" s="95">
        <v>1</v>
      </c>
      <c r="AP38" s="96">
        <f t="shared" si="24"/>
        <v>1.2434566510799234</v>
      </c>
      <c r="AQ38" s="432" t="str">
        <f t="shared" si="25"/>
        <v>(1,4,4,3,1,3); de Wild-Scholten (2014) Life Cycle Assessment of Photovoltaics Status 2011, Part 1 Data Collection (Table 37)</v>
      </c>
      <c r="AR38" s="435">
        <f t="shared" si="50"/>
        <v>0</v>
      </c>
      <c r="AS38" s="95">
        <v>1</v>
      </c>
      <c r="AT38" s="96">
        <f t="shared" si="26"/>
        <v>1.05</v>
      </c>
      <c r="AU38" s="432" t="str">
        <f t="shared" si="27"/>
        <v xml:space="preserve">(na,na,na,na,na,na); </v>
      </c>
      <c r="AV38" s="435">
        <f t="shared" ref="AV38:AV43" si="53">$BA38</f>
        <v>0</v>
      </c>
      <c r="AW38" s="95">
        <v>1</v>
      </c>
      <c r="AX38" s="96">
        <f t="shared" si="28"/>
        <v>1.05</v>
      </c>
      <c r="AY38" s="432" t="str">
        <f t="shared" si="29"/>
        <v xml:space="preserve">(na,na,na,na,na,na); </v>
      </c>
      <c r="AZ38" s="112"/>
      <c r="BA38" s="435">
        <v>0</v>
      </c>
      <c r="BB38" s="216" t="s">
        <v>1230</v>
      </c>
      <c r="BC38" s="83">
        <f t="shared" si="48"/>
        <v>1</v>
      </c>
      <c r="BD38" s="83">
        <f t="shared" si="48"/>
        <v>4</v>
      </c>
      <c r="BE38" s="83">
        <v>4</v>
      </c>
      <c r="BF38" s="83">
        <f t="shared" si="49"/>
        <v>3</v>
      </c>
      <c r="BG38" s="83">
        <f t="shared" si="49"/>
        <v>1</v>
      </c>
      <c r="BH38" s="83">
        <f t="shared" si="49"/>
        <v>3</v>
      </c>
      <c r="BI38" s="104">
        <v>3</v>
      </c>
      <c r="BJ38" s="104">
        <v>1.05</v>
      </c>
      <c r="BK38" s="107">
        <f t="shared" si="32"/>
        <v>1.2365959919080913</v>
      </c>
      <c r="BL38" s="107">
        <f t="shared" si="33"/>
        <v>1.2434566510799234</v>
      </c>
      <c r="BM38" s="107" t="str">
        <f t="shared" si="34"/>
        <v>(1,4,4,3,1,3)</v>
      </c>
      <c r="BN38" s="108">
        <v>1</v>
      </c>
      <c r="BO38" s="108">
        <v>1.1000000000000001</v>
      </c>
      <c r="BP38" s="108">
        <v>1.2</v>
      </c>
      <c r="BQ38" s="108">
        <v>1.02</v>
      </c>
      <c r="BR38" s="108">
        <v>1</v>
      </c>
      <c r="BS38" s="108">
        <v>1.05</v>
      </c>
      <c r="BU38" s="692"/>
      <c r="BV38" s="83" t="s">
        <v>106</v>
      </c>
      <c r="BW38" s="83" t="s">
        <v>106</v>
      </c>
      <c r="BX38" s="83" t="s">
        <v>106</v>
      </c>
      <c r="BY38" s="83" t="s">
        <v>106</v>
      </c>
      <c r="BZ38" s="83" t="s">
        <v>106</v>
      </c>
      <c r="CA38" s="83" t="s">
        <v>106</v>
      </c>
      <c r="CB38" s="104">
        <v>3</v>
      </c>
      <c r="CC38" s="104">
        <v>1.05</v>
      </c>
      <c r="CD38" s="107">
        <f t="shared" si="35"/>
        <v>1</v>
      </c>
      <c r="CE38" s="107">
        <f t="shared" si="36"/>
        <v>1.05</v>
      </c>
      <c r="CF38" s="107" t="str">
        <f t="shared" si="37"/>
        <v>(na,na,na,na,na,na)</v>
      </c>
      <c r="CG38" s="108">
        <v>1</v>
      </c>
      <c r="CH38" s="108">
        <v>1</v>
      </c>
      <c r="CI38" s="108">
        <v>1</v>
      </c>
      <c r="CJ38" s="108">
        <v>1</v>
      </c>
      <c r="CK38" s="108">
        <v>1</v>
      </c>
      <c r="CL38" s="108">
        <v>1</v>
      </c>
    </row>
    <row r="39" spans="1:90" ht="24">
      <c r="A39" s="330">
        <v>257458</v>
      </c>
      <c r="B39" s="331"/>
      <c r="C39" s="88"/>
      <c r="D39" s="340">
        <v>5</v>
      </c>
      <c r="E39" s="341" t="s">
        <v>98</v>
      </c>
      <c r="F39" s="432" t="s">
        <v>490</v>
      </c>
      <c r="G39" s="433" t="s">
        <v>382</v>
      </c>
      <c r="H39" s="434" t="s">
        <v>98</v>
      </c>
      <c r="I39" s="434" t="s">
        <v>98</v>
      </c>
      <c r="J39" s="94">
        <v>0</v>
      </c>
      <c r="K39" s="433" t="s">
        <v>96</v>
      </c>
      <c r="L39" s="435">
        <f t="shared" si="51"/>
        <v>0</v>
      </c>
      <c r="M39" s="95">
        <v>1</v>
      </c>
      <c r="N39" s="96">
        <f t="shared" si="10"/>
        <v>1.2434566510799234</v>
      </c>
      <c r="O39" s="432" t="str">
        <f t="shared" si="11"/>
        <v>(1,4,4,3,1,3); de Wild-Scholten (2014) Life Cycle Assessment of Photovoltaics Status 2011, Part 1 Data Collection (Table 37)</v>
      </c>
      <c r="P39" s="435">
        <f t="shared" si="52"/>
        <v>0</v>
      </c>
      <c r="Q39" s="95">
        <v>1</v>
      </c>
      <c r="R39" s="96">
        <f t="shared" si="12"/>
        <v>1.2434566510799234</v>
      </c>
      <c r="S39" s="432" t="str">
        <f t="shared" si="13"/>
        <v>(1,4,4,3,1,3); de Wild-Scholten (2014) Life Cycle Assessment of Photovoltaics Status 2011, Part 1 Data Collection (Table 37)</v>
      </c>
      <c r="T39" s="435">
        <f>$BA39</f>
        <v>0</v>
      </c>
      <c r="U39" s="95">
        <v>1</v>
      </c>
      <c r="V39" s="96">
        <f t="shared" si="14"/>
        <v>1.2434566510799234</v>
      </c>
      <c r="W39" s="432" t="str">
        <f t="shared" si="15"/>
        <v>(1,4,4,3,1,3); de Wild-Scholten (2014) Life Cycle Assessment of Photovoltaics Status 2011, Part 1 Data Collection (Table 37)</v>
      </c>
      <c r="X39" s="435">
        <f>$BA39</f>
        <v>0</v>
      </c>
      <c r="Y39" s="95">
        <v>1</v>
      </c>
      <c r="Z39" s="96">
        <f t="shared" si="16"/>
        <v>1.2434566510799234</v>
      </c>
      <c r="AA39" s="432" t="str">
        <f t="shared" si="17"/>
        <v>(1,4,4,3,1,3); de Wild-Scholten (2014) Life Cycle Assessment of Photovoltaics Status 2011, Part 1 Data Collection (Table 37)</v>
      </c>
      <c r="AB39" s="435">
        <f>AJ44*$F$101</f>
        <v>0.52960526315789469</v>
      </c>
      <c r="AC39" s="95">
        <v>1</v>
      </c>
      <c r="AD39" s="96">
        <f t="shared" si="18"/>
        <v>1.2434566510799234</v>
      </c>
      <c r="AE39" s="432" t="str">
        <f t="shared" si="19"/>
        <v>(1,4,4,3,1,3); de Wild-Scholten (2014) Life Cycle Assessment of Photovoltaics Status 2011, Part 1 Data Collection (Table 37)</v>
      </c>
      <c r="AF39" s="435">
        <f>AN44*F101</f>
        <v>0.52960526315789469</v>
      </c>
      <c r="AG39" s="95">
        <v>1</v>
      </c>
      <c r="AH39" s="96">
        <f t="shared" si="20"/>
        <v>1.2434566510799234</v>
      </c>
      <c r="AI39" s="432" t="str">
        <f t="shared" si="21"/>
        <v>(1,4,4,3,1,3); de Wild-Scholten (2014) Life Cycle Assessment of Photovoltaics Status 2011, Part 1 Data Collection (Table 37)</v>
      </c>
      <c r="AJ39" s="435">
        <f t="shared" si="46"/>
        <v>0</v>
      </c>
      <c r="AK39" s="95">
        <v>1</v>
      </c>
      <c r="AL39" s="96">
        <f t="shared" si="22"/>
        <v>1.2434566510799234</v>
      </c>
      <c r="AM39" s="432" t="str">
        <f t="shared" si="23"/>
        <v>(1,4,4,3,1,3); de Wild-Scholten (2014) Life Cycle Assessment of Photovoltaics Status 2011, Part 1 Data Collection (Table 37)</v>
      </c>
      <c r="AN39" s="435">
        <f t="shared" si="47"/>
        <v>0</v>
      </c>
      <c r="AO39" s="95">
        <v>1</v>
      </c>
      <c r="AP39" s="96">
        <f t="shared" si="24"/>
        <v>1.2434566510799234</v>
      </c>
      <c r="AQ39" s="432" t="str">
        <f t="shared" si="25"/>
        <v>(1,4,4,3,1,3); de Wild-Scholten (2014) Life Cycle Assessment of Photovoltaics Status 2011, Part 1 Data Collection (Table 37)</v>
      </c>
      <c r="AR39" s="435">
        <f t="shared" si="50"/>
        <v>0</v>
      </c>
      <c r="AS39" s="95">
        <v>1</v>
      </c>
      <c r="AT39" s="96">
        <f t="shared" si="26"/>
        <v>1.05</v>
      </c>
      <c r="AU39" s="432" t="str">
        <f t="shared" si="27"/>
        <v xml:space="preserve">(na,na,na,na,na,na); </v>
      </c>
      <c r="AV39" s="435">
        <f t="shared" si="53"/>
        <v>0</v>
      </c>
      <c r="AW39" s="95">
        <v>1</v>
      </c>
      <c r="AX39" s="96">
        <f t="shared" si="28"/>
        <v>1.05</v>
      </c>
      <c r="AY39" s="432" t="str">
        <f t="shared" si="29"/>
        <v xml:space="preserve">(na,na,na,na,na,na); </v>
      </c>
      <c r="AZ39" s="112"/>
      <c r="BA39" s="435"/>
      <c r="BB39" s="216" t="s">
        <v>1230</v>
      </c>
      <c r="BC39" s="83">
        <f t="shared" si="48"/>
        <v>1</v>
      </c>
      <c r="BD39" s="83">
        <f t="shared" si="48"/>
        <v>4</v>
      </c>
      <c r="BE39" s="83">
        <v>4</v>
      </c>
      <c r="BF39" s="83">
        <f t="shared" si="49"/>
        <v>3</v>
      </c>
      <c r="BG39" s="83">
        <f t="shared" si="49"/>
        <v>1</v>
      </c>
      <c r="BH39" s="83">
        <f t="shared" si="49"/>
        <v>3</v>
      </c>
      <c r="BI39" s="104">
        <v>3</v>
      </c>
      <c r="BJ39" s="104">
        <v>1.05</v>
      </c>
      <c r="BK39" s="107">
        <f t="shared" si="32"/>
        <v>1.2365959919080913</v>
      </c>
      <c r="BL39" s="107">
        <f t="shared" si="33"/>
        <v>1.2434566510799234</v>
      </c>
      <c r="BM39" s="107" t="str">
        <f t="shared" si="34"/>
        <v>(1,4,4,3,1,3)</v>
      </c>
      <c r="BN39" s="108">
        <v>1</v>
      </c>
      <c r="BO39" s="108">
        <v>1.1000000000000001</v>
      </c>
      <c r="BP39" s="108">
        <v>1.2</v>
      </c>
      <c r="BQ39" s="108">
        <v>1.02</v>
      </c>
      <c r="BR39" s="108">
        <v>1</v>
      </c>
      <c r="BS39" s="108">
        <v>1.05</v>
      </c>
      <c r="BU39" s="692"/>
      <c r="BV39" s="83" t="s">
        <v>106</v>
      </c>
      <c r="BW39" s="83" t="s">
        <v>106</v>
      </c>
      <c r="BX39" s="83" t="s">
        <v>106</v>
      </c>
      <c r="BY39" s="83" t="s">
        <v>106</v>
      </c>
      <c r="BZ39" s="83" t="s">
        <v>106</v>
      </c>
      <c r="CA39" s="83" t="s">
        <v>106</v>
      </c>
      <c r="CB39" s="104">
        <v>3</v>
      </c>
      <c r="CC39" s="104">
        <v>1.05</v>
      </c>
      <c r="CD39" s="107">
        <f t="shared" si="35"/>
        <v>1</v>
      </c>
      <c r="CE39" s="107">
        <f t="shared" si="36"/>
        <v>1.05</v>
      </c>
      <c r="CF39" s="107" t="str">
        <f t="shared" si="37"/>
        <v>(na,na,na,na,na,na)</v>
      </c>
      <c r="CG39" s="108">
        <v>1</v>
      </c>
      <c r="CH39" s="108">
        <v>1</v>
      </c>
      <c r="CI39" s="108">
        <v>1</v>
      </c>
      <c r="CJ39" s="108">
        <v>1</v>
      </c>
      <c r="CK39" s="108">
        <v>1</v>
      </c>
      <c r="CL39" s="108">
        <v>1</v>
      </c>
    </row>
    <row r="40" spans="1:90" ht="24">
      <c r="A40" s="330">
        <v>255813</v>
      </c>
      <c r="B40" s="331"/>
      <c r="C40" s="88"/>
      <c r="D40" s="340">
        <v>5</v>
      </c>
      <c r="E40" s="341" t="s">
        <v>98</v>
      </c>
      <c r="F40" s="432" t="s">
        <v>649</v>
      </c>
      <c r="G40" s="433" t="s">
        <v>643</v>
      </c>
      <c r="H40" s="434" t="s">
        <v>98</v>
      </c>
      <c r="I40" s="434" t="s">
        <v>98</v>
      </c>
      <c r="J40" s="94">
        <v>0</v>
      </c>
      <c r="K40" s="433" t="s">
        <v>96</v>
      </c>
      <c r="L40" s="435">
        <f t="shared" si="51"/>
        <v>0</v>
      </c>
      <c r="M40" s="95">
        <v>1</v>
      </c>
      <c r="N40" s="96">
        <f t="shared" si="10"/>
        <v>1.2434566510799234</v>
      </c>
      <c r="O40" s="432" t="str">
        <f t="shared" si="11"/>
        <v>(1,4,4,3,1,3); de Wild-Scholten (2014) Life Cycle Assessment of Photovoltaics Status 2011, Part 1 Data Collection (Table 37)</v>
      </c>
      <c r="P40" s="435">
        <f t="shared" si="52"/>
        <v>0</v>
      </c>
      <c r="Q40" s="95">
        <v>1</v>
      </c>
      <c r="R40" s="96">
        <f t="shared" si="12"/>
        <v>1.2434566510799234</v>
      </c>
      <c r="S40" s="432" t="str">
        <f t="shared" si="13"/>
        <v>(1,4,4,3,1,3); de Wild-Scholten (2014) Life Cycle Assessment of Photovoltaics Status 2011, Part 1 Data Collection (Table 37)</v>
      </c>
      <c r="T40" s="435">
        <f>$BA40</f>
        <v>0</v>
      </c>
      <c r="U40" s="95">
        <v>1</v>
      </c>
      <c r="V40" s="96">
        <f t="shared" si="14"/>
        <v>1.2434566510799234</v>
      </c>
      <c r="W40" s="432" t="str">
        <f t="shared" si="15"/>
        <v>(1,4,4,3,1,3); de Wild-Scholten (2014) Life Cycle Assessment of Photovoltaics Status 2011, Part 1 Data Collection (Table 37)</v>
      </c>
      <c r="X40" s="435">
        <f>$BA40</f>
        <v>0</v>
      </c>
      <c r="Y40" s="95">
        <v>1</v>
      </c>
      <c r="Z40" s="96">
        <f t="shared" si="16"/>
        <v>1.2434566510799234</v>
      </c>
      <c r="AA40" s="432" t="str">
        <f t="shared" si="17"/>
        <v>(1,4,4,3,1,3); de Wild-Scholten (2014) Life Cycle Assessment of Photovoltaics Status 2011, Part 1 Data Collection (Table 37)</v>
      </c>
      <c r="AB40" s="435">
        <f>AJ44*$F$102</f>
        <v>0.79440789473684204</v>
      </c>
      <c r="AC40" s="95">
        <v>1</v>
      </c>
      <c r="AD40" s="96">
        <f t="shared" si="18"/>
        <v>1.2434566510799234</v>
      </c>
      <c r="AE40" s="432" t="str">
        <f t="shared" si="19"/>
        <v>(1,4,4,3,1,3); de Wild-Scholten (2014) Life Cycle Assessment of Photovoltaics Status 2011, Part 1 Data Collection (Table 37)</v>
      </c>
      <c r="AF40" s="435">
        <f>AN44*F102</f>
        <v>0.79440789473684204</v>
      </c>
      <c r="AG40" s="95">
        <v>1</v>
      </c>
      <c r="AH40" s="96">
        <f t="shared" si="20"/>
        <v>1.2434566510799234</v>
      </c>
      <c r="AI40" s="432" t="str">
        <f t="shared" si="21"/>
        <v>(1,4,4,3,1,3); de Wild-Scholten (2014) Life Cycle Assessment of Photovoltaics Status 2011, Part 1 Data Collection (Table 37)</v>
      </c>
      <c r="AJ40" s="435">
        <f t="shared" si="46"/>
        <v>0</v>
      </c>
      <c r="AK40" s="95">
        <v>1</v>
      </c>
      <c r="AL40" s="96">
        <f t="shared" si="22"/>
        <v>1.2434566510799234</v>
      </c>
      <c r="AM40" s="432" t="str">
        <f t="shared" si="23"/>
        <v>(1,4,4,3,1,3); de Wild-Scholten (2014) Life Cycle Assessment of Photovoltaics Status 2011, Part 1 Data Collection (Table 37)</v>
      </c>
      <c r="AN40" s="435">
        <f t="shared" si="47"/>
        <v>0</v>
      </c>
      <c r="AO40" s="95">
        <v>1</v>
      </c>
      <c r="AP40" s="96">
        <f t="shared" si="24"/>
        <v>1.2434566510799234</v>
      </c>
      <c r="AQ40" s="432" t="str">
        <f t="shared" si="25"/>
        <v>(1,4,4,3,1,3); de Wild-Scholten (2014) Life Cycle Assessment of Photovoltaics Status 2011, Part 1 Data Collection (Table 37)</v>
      </c>
      <c r="AR40" s="435">
        <f t="shared" si="50"/>
        <v>0</v>
      </c>
      <c r="AS40" s="95">
        <v>1</v>
      </c>
      <c r="AT40" s="96">
        <f t="shared" si="26"/>
        <v>1.05</v>
      </c>
      <c r="AU40" s="432" t="str">
        <f t="shared" si="27"/>
        <v xml:space="preserve">(na,na,na,na,na,na); </v>
      </c>
      <c r="AV40" s="435">
        <f t="shared" si="53"/>
        <v>0</v>
      </c>
      <c r="AW40" s="95">
        <v>1</v>
      </c>
      <c r="AX40" s="96">
        <f t="shared" si="28"/>
        <v>1.05</v>
      </c>
      <c r="AY40" s="432" t="str">
        <f t="shared" si="29"/>
        <v xml:space="preserve">(na,na,na,na,na,na); </v>
      </c>
      <c r="AZ40" s="112"/>
      <c r="BA40" s="435"/>
      <c r="BB40" s="216" t="s">
        <v>1230</v>
      </c>
      <c r="BC40" s="83">
        <f t="shared" si="48"/>
        <v>1</v>
      </c>
      <c r="BD40" s="83">
        <f t="shared" si="48"/>
        <v>4</v>
      </c>
      <c r="BE40" s="83">
        <v>4</v>
      </c>
      <c r="BF40" s="83">
        <f t="shared" si="49"/>
        <v>3</v>
      </c>
      <c r="BG40" s="83">
        <f t="shared" si="49"/>
        <v>1</v>
      </c>
      <c r="BH40" s="83">
        <f t="shared" si="49"/>
        <v>3</v>
      </c>
      <c r="BI40" s="104">
        <v>3</v>
      </c>
      <c r="BJ40" s="104">
        <v>1.05</v>
      </c>
      <c r="BK40" s="107">
        <f t="shared" si="32"/>
        <v>1.2365959919080913</v>
      </c>
      <c r="BL40" s="107">
        <f t="shared" si="33"/>
        <v>1.2434566510799234</v>
      </c>
      <c r="BM40" s="107" t="str">
        <f t="shared" si="34"/>
        <v>(1,4,4,3,1,3)</v>
      </c>
      <c r="BN40" s="108">
        <v>1</v>
      </c>
      <c r="BO40" s="108">
        <v>1.1000000000000001</v>
      </c>
      <c r="BP40" s="108">
        <v>1.2</v>
      </c>
      <c r="BQ40" s="108">
        <v>1.02</v>
      </c>
      <c r="BR40" s="108">
        <v>1</v>
      </c>
      <c r="BS40" s="108">
        <v>1.05</v>
      </c>
      <c r="BU40" s="692"/>
      <c r="BV40" s="83" t="s">
        <v>106</v>
      </c>
      <c r="BW40" s="83" t="s">
        <v>106</v>
      </c>
      <c r="BX40" s="83" t="s">
        <v>106</v>
      </c>
      <c r="BY40" s="83" t="s">
        <v>106</v>
      </c>
      <c r="BZ40" s="83" t="s">
        <v>106</v>
      </c>
      <c r="CA40" s="83" t="s">
        <v>106</v>
      </c>
      <c r="CB40" s="104">
        <v>3</v>
      </c>
      <c r="CC40" s="104">
        <v>1.05</v>
      </c>
      <c r="CD40" s="107">
        <f t="shared" si="35"/>
        <v>1</v>
      </c>
      <c r="CE40" s="107">
        <f t="shared" si="36"/>
        <v>1.05</v>
      </c>
      <c r="CF40" s="107" t="str">
        <f t="shared" si="37"/>
        <v>(na,na,na,na,na,na)</v>
      </c>
      <c r="CG40" s="108">
        <v>1</v>
      </c>
      <c r="CH40" s="108">
        <v>1</v>
      </c>
      <c r="CI40" s="108">
        <v>1</v>
      </c>
      <c r="CJ40" s="108">
        <v>1</v>
      </c>
      <c r="CK40" s="108">
        <v>1</v>
      </c>
      <c r="CL40" s="108">
        <v>1</v>
      </c>
    </row>
    <row r="41" spans="1:90" ht="24">
      <c r="A41" s="330" t="s">
        <v>650</v>
      </c>
      <c r="B41" s="331"/>
      <c r="C41" s="88"/>
      <c r="D41" s="340">
        <v>5</v>
      </c>
      <c r="E41" s="341" t="s">
        <v>98</v>
      </c>
      <c r="F41" s="432" t="s">
        <v>651</v>
      </c>
      <c r="G41" s="433" t="s">
        <v>647</v>
      </c>
      <c r="H41" s="434" t="s">
        <v>98</v>
      </c>
      <c r="I41" s="434" t="s">
        <v>98</v>
      </c>
      <c r="J41" s="94">
        <v>0</v>
      </c>
      <c r="K41" s="433" t="s">
        <v>96</v>
      </c>
      <c r="L41" s="435">
        <f t="shared" si="51"/>
        <v>0</v>
      </c>
      <c r="M41" s="95">
        <v>1</v>
      </c>
      <c r="N41" s="96">
        <f t="shared" si="10"/>
        <v>3.0616345979734279</v>
      </c>
      <c r="O41" s="432" t="str">
        <f t="shared" si="11"/>
        <v>(1,4,4,3,1,3); de Wild-Scholten (2014) Life Cycle Assessment of Photovoltaics Status 2011, Part 1 Data Collection (Table 37)</v>
      </c>
      <c r="P41" s="435">
        <f t="shared" si="52"/>
        <v>0</v>
      </c>
      <c r="Q41" s="95">
        <v>1</v>
      </c>
      <c r="R41" s="96">
        <f t="shared" si="12"/>
        <v>3.0616345979734279</v>
      </c>
      <c r="S41" s="432" t="str">
        <f t="shared" si="13"/>
        <v>(1,4,4,3,1,3); de Wild-Scholten (2014) Life Cycle Assessment of Photovoltaics Status 2011, Part 1 Data Collection (Table 37)</v>
      </c>
      <c r="T41" s="435">
        <f>$BA41</f>
        <v>0</v>
      </c>
      <c r="U41" s="95">
        <v>1</v>
      </c>
      <c r="V41" s="96">
        <f t="shared" si="14"/>
        <v>3.0616345979734279</v>
      </c>
      <c r="W41" s="432" t="str">
        <f t="shared" si="15"/>
        <v>(1,4,4,3,1,3); de Wild-Scholten (2014) Life Cycle Assessment of Photovoltaics Status 2011, Part 1 Data Collection (Table 37)</v>
      </c>
      <c r="X41" s="435">
        <f>$BA41</f>
        <v>0</v>
      </c>
      <c r="Y41" s="95">
        <v>1</v>
      </c>
      <c r="Z41" s="96">
        <f t="shared" si="16"/>
        <v>3.0616345979734279</v>
      </c>
      <c r="AA41" s="432" t="str">
        <f t="shared" si="17"/>
        <v>(1,4,4,3,1,3); de Wild-Scholten (2014) Life Cycle Assessment of Photovoltaics Status 2011, Part 1 Data Collection (Table 37)</v>
      </c>
      <c r="AB41" s="435">
        <f>AJ44*($F$103+$F$105)</f>
        <v>1.6947368421052631</v>
      </c>
      <c r="AC41" s="95">
        <v>1</v>
      </c>
      <c r="AD41" s="96">
        <f t="shared" si="18"/>
        <v>3.0616345979734279</v>
      </c>
      <c r="AE41" s="432" t="str">
        <f t="shared" si="19"/>
        <v>(1,4,4,3,1,3); de Wild-Scholten (2014) Life Cycle Assessment of Photovoltaics Status 2011, Part 1 Data Collection (Table 37)</v>
      </c>
      <c r="AF41" s="435">
        <f>AN44*(F103+F105)</f>
        <v>1.6947368421052631</v>
      </c>
      <c r="AG41" s="95">
        <v>1</v>
      </c>
      <c r="AH41" s="96">
        <f t="shared" si="20"/>
        <v>3.0616345979734279</v>
      </c>
      <c r="AI41" s="432" t="str">
        <f t="shared" si="21"/>
        <v>(1,4,4,3,1,3); de Wild-Scholten (2014) Life Cycle Assessment of Photovoltaics Status 2011, Part 1 Data Collection (Table 37)</v>
      </c>
      <c r="AJ41" s="435">
        <f t="shared" si="46"/>
        <v>0</v>
      </c>
      <c r="AK41" s="95">
        <v>1</v>
      </c>
      <c r="AL41" s="96">
        <f t="shared" si="22"/>
        <v>3.0616345979734279</v>
      </c>
      <c r="AM41" s="432" t="str">
        <f t="shared" si="23"/>
        <v>(1,4,4,3,1,3); de Wild-Scholten (2014) Life Cycle Assessment of Photovoltaics Status 2011, Part 1 Data Collection (Table 37)</v>
      </c>
      <c r="AN41" s="435">
        <f t="shared" si="47"/>
        <v>0</v>
      </c>
      <c r="AO41" s="95">
        <v>1</v>
      </c>
      <c r="AP41" s="96">
        <f t="shared" si="24"/>
        <v>3.0616345979734279</v>
      </c>
      <c r="AQ41" s="432" t="str">
        <f t="shared" si="25"/>
        <v>(1,4,4,3,1,3); de Wild-Scholten (2014) Life Cycle Assessment of Photovoltaics Status 2011, Part 1 Data Collection (Table 37)</v>
      </c>
      <c r="AR41" s="435">
        <f t="shared" si="50"/>
        <v>0</v>
      </c>
      <c r="AS41" s="95">
        <v>1</v>
      </c>
      <c r="AT41" s="96">
        <f t="shared" si="26"/>
        <v>3.0000000000000004</v>
      </c>
      <c r="AU41" s="432" t="str">
        <f t="shared" si="27"/>
        <v xml:space="preserve">(na,na,na,na,na,na); </v>
      </c>
      <c r="AV41" s="435">
        <f t="shared" si="53"/>
        <v>0</v>
      </c>
      <c r="AW41" s="95">
        <v>1</v>
      </c>
      <c r="AX41" s="96">
        <f t="shared" si="28"/>
        <v>3.0000000000000004</v>
      </c>
      <c r="AY41" s="432" t="str">
        <f t="shared" si="29"/>
        <v xml:space="preserve">(na,na,na,na,na,na); </v>
      </c>
      <c r="AZ41" s="112"/>
      <c r="BA41" s="435"/>
      <c r="BB41" s="216" t="s">
        <v>1230</v>
      </c>
      <c r="BC41" s="83">
        <f t="shared" si="48"/>
        <v>1</v>
      </c>
      <c r="BD41" s="83">
        <f t="shared" si="48"/>
        <v>4</v>
      </c>
      <c r="BE41" s="83">
        <v>4</v>
      </c>
      <c r="BF41" s="83">
        <f t="shared" si="49"/>
        <v>3</v>
      </c>
      <c r="BG41" s="83">
        <f t="shared" si="49"/>
        <v>1</v>
      </c>
      <c r="BH41" s="83">
        <f t="shared" si="49"/>
        <v>3</v>
      </c>
      <c r="BI41" s="104">
        <v>9</v>
      </c>
      <c r="BJ41" s="104">
        <v>3</v>
      </c>
      <c r="BK41" s="107">
        <f t="shared" si="32"/>
        <v>1.2365959919080913</v>
      </c>
      <c r="BL41" s="107">
        <f t="shared" si="33"/>
        <v>3.0616345979734279</v>
      </c>
      <c r="BM41" s="107" t="str">
        <f t="shared" si="34"/>
        <v>(1,4,4,3,1,3)</v>
      </c>
      <c r="BN41" s="108">
        <v>1</v>
      </c>
      <c r="BO41" s="108">
        <v>1.1000000000000001</v>
      </c>
      <c r="BP41" s="108">
        <v>1.2</v>
      </c>
      <c r="BQ41" s="108">
        <v>1.02</v>
      </c>
      <c r="BR41" s="108">
        <v>1</v>
      </c>
      <c r="BS41" s="108">
        <v>1.05</v>
      </c>
      <c r="BU41" s="692"/>
      <c r="BV41" s="83" t="s">
        <v>106</v>
      </c>
      <c r="BW41" s="83" t="s">
        <v>106</v>
      </c>
      <c r="BX41" s="83" t="s">
        <v>106</v>
      </c>
      <c r="BY41" s="83" t="s">
        <v>106</v>
      </c>
      <c r="BZ41" s="83" t="s">
        <v>106</v>
      </c>
      <c r="CA41" s="83" t="s">
        <v>106</v>
      </c>
      <c r="CB41" s="104">
        <v>9</v>
      </c>
      <c r="CC41" s="104">
        <v>3</v>
      </c>
      <c r="CD41" s="107">
        <f t="shared" si="35"/>
        <v>1</v>
      </c>
      <c r="CE41" s="107">
        <f t="shared" si="36"/>
        <v>3.0000000000000004</v>
      </c>
      <c r="CF41" s="107" t="str">
        <f t="shared" si="37"/>
        <v>(na,na,na,na,na,na)</v>
      </c>
      <c r="CG41" s="108">
        <v>1</v>
      </c>
      <c r="CH41" s="108">
        <v>1</v>
      </c>
      <c r="CI41" s="108">
        <v>1</v>
      </c>
      <c r="CJ41" s="108">
        <v>1</v>
      </c>
      <c r="CK41" s="108">
        <v>1</v>
      </c>
      <c r="CL41" s="108">
        <v>1</v>
      </c>
    </row>
    <row r="42" spans="1:90" ht="24">
      <c r="A42" s="330">
        <v>267117</v>
      </c>
      <c r="B42" s="331"/>
      <c r="C42" s="88"/>
      <c r="D42" s="340">
        <v>5</v>
      </c>
      <c r="E42" s="341" t="s">
        <v>98</v>
      </c>
      <c r="F42" s="432" t="s">
        <v>990</v>
      </c>
      <c r="G42" s="433" t="s">
        <v>485</v>
      </c>
      <c r="H42" s="434" t="s">
        <v>98</v>
      </c>
      <c r="I42" s="434" t="s">
        <v>98</v>
      </c>
      <c r="J42" s="94">
        <v>0</v>
      </c>
      <c r="K42" s="433" t="s">
        <v>96</v>
      </c>
      <c r="L42" s="435">
        <f t="shared" si="51"/>
        <v>0</v>
      </c>
      <c r="M42" s="95">
        <v>1</v>
      </c>
      <c r="N42" s="96">
        <f t="shared" si="10"/>
        <v>1.2434566510799234</v>
      </c>
      <c r="O42" s="432" t="str">
        <f t="shared" si="11"/>
        <v>(1,4,4,3,1,3); de Wild-Scholten (2014) Life Cycle Assessment of Photovoltaics Status 2011, Part 1 Data Collection (Table 37)</v>
      </c>
      <c r="P42" s="435">
        <f t="shared" si="52"/>
        <v>0</v>
      </c>
      <c r="Q42" s="95">
        <v>1</v>
      </c>
      <c r="R42" s="96">
        <f t="shared" si="12"/>
        <v>1.2434566510799234</v>
      </c>
      <c r="S42" s="432" t="str">
        <f t="shared" si="13"/>
        <v>(1,4,4,3,1,3); de Wild-Scholten (2014) Life Cycle Assessment of Photovoltaics Status 2011, Part 1 Data Collection (Table 37)</v>
      </c>
      <c r="T42" s="435">
        <f>$BA42</f>
        <v>0</v>
      </c>
      <c r="U42" s="95">
        <v>1</v>
      </c>
      <c r="V42" s="96">
        <f t="shared" si="14"/>
        <v>1.2434566510799234</v>
      </c>
      <c r="W42" s="432" t="str">
        <f t="shared" si="15"/>
        <v>(1,4,4,3,1,3); de Wild-Scholten (2014) Life Cycle Assessment of Photovoltaics Status 2011, Part 1 Data Collection (Table 37)</v>
      </c>
      <c r="X42" s="435">
        <f>$BA42</f>
        <v>0</v>
      </c>
      <c r="Y42" s="95">
        <v>1</v>
      </c>
      <c r="Z42" s="96">
        <f t="shared" si="16"/>
        <v>1.2434566510799234</v>
      </c>
      <c r="AA42" s="432" t="str">
        <f t="shared" si="17"/>
        <v>(1,4,4,3,1,3); de Wild-Scholten (2014) Life Cycle Assessment of Photovoltaics Status 2011, Part 1 Data Collection (Table 37)</v>
      </c>
      <c r="AB42" s="435">
        <f>AJ44*$F$104</f>
        <v>0.26480263157894735</v>
      </c>
      <c r="AC42" s="95">
        <v>1</v>
      </c>
      <c r="AD42" s="96">
        <f t="shared" si="18"/>
        <v>1.2434566510799234</v>
      </c>
      <c r="AE42" s="432" t="str">
        <f t="shared" si="19"/>
        <v>(1,4,4,3,1,3); de Wild-Scholten (2014) Life Cycle Assessment of Photovoltaics Status 2011, Part 1 Data Collection (Table 37)</v>
      </c>
      <c r="AF42" s="435">
        <f>AN44*F104</f>
        <v>0.26480263157894735</v>
      </c>
      <c r="AG42" s="95">
        <v>1</v>
      </c>
      <c r="AH42" s="96">
        <f t="shared" si="20"/>
        <v>1.2434566510799234</v>
      </c>
      <c r="AI42" s="432" t="str">
        <f t="shared" si="21"/>
        <v>(1,4,4,3,1,3); de Wild-Scholten (2014) Life Cycle Assessment of Photovoltaics Status 2011, Part 1 Data Collection (Table 37)</v>
      </c>
      <c r="AJ42" s="435">
        <f t="shared" si="46"/>
        <v>0</v>
      </c>
      <c r="AK42" s="95">
        <v>1</v>
      </c>
      <c r="AL42" s="96">
        <f t="shared" si="22"/>
        <v>1.2434566510799234</v>
      </c>
      <c r="AM42" s="432" t="str">
        <f t="shared" si="23"/>
        <v>(1,4,4,3,1,3); de Wild-Scholten (2014) Life Cycle Assessment of Photovoltaics Status 2011, Part 1 Data Collection (Table 37)</v>
      </c>
      <c r="AN42" s="435">
        <f t="shared" si="47"/>
        <v>0</v>
      </c>
      <c r="AO42" s="95">
        <v>1</v>
      </c>
      <c r="AP42" s="96">
        <f t="shared" si="24"/>
        <v>1.2434566510799234</v>
      </c>
      <c r="AQ42" s="432" t="str">
        <f t="shared" si="25"/>
        <v>(1,4,4,3,1,3); de Wild-Scholten (2014) Life Cycle Assessment of Photovoltaics Status 2011, Part 1 Data Collection (Table 37)</v>
      </c>
      <c r="AR42" s="435">
        <f t="shared" si="50"/>
        <v>0</v>
      </c>
      <c r="AS42" s="95">
        <v>1</v>
      </c>
      <c r="AT42" s="96">
        <f t="shared" si="26"/>
        <v>1.05</v>
      </c>
      <c r="AU42" s="432" t="str">
        <f t="shared" si="27"/>
        <v xml:space="preserve">(na,na,na,na,na,na); </v>
      </c>
      <c r="AV42" s="435">
        <f t="shared" si="53"/>
        <v>0</v>
      </c>
      <c r="AW42" s="95">
        <v>1</v>
      </c>
      <c r="AX42" s="96">
        <f t="shared" si="28"/>
        <v>1.05</v>
      </c>
      <c r="AY42" s="432" t="str">
        <f t="shared" si="29"/>
        <v xml:space="preserve">(na,na,na,na,na,na); </v>
      </c>
      <c r="AZ42" s="112"/>
      <c r="BA42" s="435"/>
      <c r="BB42" s="216" t="s">
        <v>1230</v>
      </c>
      <c r="BC42" s="83">
        <f t="shared" si="48"/>
        <v>1</v>
      </c>
      <c r="BD42" s="83">
        <f t="shared" si="48"/>
        <v>4</v>
      </c>
      <c r="BE42" s="83">
        <v>4</v>
      </c>
      <c r="BF42" s="83">
        <f t="shared" si="49"/>
        <v>3</v>
      </c>
      <c r="BG42" s="83">
        <f t="shared" si="49"/>
        <v>1</v>
      </c>
      <c r="BH42" s="83">
        <f t="shared" si="49"/>
        <v>3</v>
      </c>
      <c r="BI42" s="104">
        <v>3</v>
      </c>
      <c r="BJ42" s="104">
        <v>1.05</v>
      </c>
      <c r="BK42" s="107">
        <f t="shared" si="32"/>
        <v>1.2365959919080913</v>
      </c>
      <c r="BL42" s="107">
        <f t="shared" si="33"/>
        <v>1.2434566510799234</v>
      </c>
      <c r="BM42" s="107" t="str">
        <f t="shared" si="34"/>
        <v>(1,4,4,3,1,3)</v>
      </c>
      <c r="BN42" s="108">
        <v>1</v>
      </c>
      <c r="BO42" s="108">
        <v>1.1000000000000001</v>
      </c>
      <c r="BP42" s="108">
        <v>1.2</v>
      </c>
      <c r="BQ42" s="108">
        <v>1.02</v>
      </c>
      <c r="BR42" s="108">
        <v>1</v>
      </c>
      <c r="BS42" s="108">
        <v>1.05</v>
      </c>
      <c r="BU42" s="692"/>
      <c r="BV42" s="83" t="s">
        <v>106</v>
      </c>
      <c r="BW42" s="83" t="s">
        <v>106</v>
      </c>
      <c r="BX42" s="83" t="s">
        <v>106</v>
      </c>
      <c r="BY42" s="83" t="s">
        <v>106</v>
      </c>
      <c r="BZ42" s="83" t="s">
        <v>106</v>
      </c>
      <c r="CA42" s="83" t="s">
        <v>106</v>
      </c>
      <c r="CB42" s="104">
        <v>3</v>
      </c>
      <c r="CC42" s="104">
        <v>1.05</v>
      </c>
      <c r="CD42" s="107">
        <f t="shared" si="35"/>
        <v>1</v>
      </c>
      <c r="CE42" s="107">
        <f t="shared" si="36"/>
        <v>1.05</v>
      </c>
      <c r="CF42" s="107" t="str">
        <f t="shared" si="37"/>
        <v>(na,na,na,na,na,na)</v>
      </c>
      <c r="CG42" s="108">
        <v>1</v>
      </c>
      <c r="CH42" s="108">
        <v>1</v>
      </c>
      <c r="CI42" s="108">
        <v>1</v>
      </c>
      <c r="CJ42" s="108">
        <v>1</v>
      </c>
      <c r="CK42" s="108">
        <v>1</v>
      </c>
      <c r="CL42" s="108">
        <v>1</v>
      </c>
    </row>
    <row r="43" spans="1:90" ht="24">
      <c r="A43" s="330">
        <v>256060</v>
      </c>
      <c r="B43" s="331"/>
      <c r="C43" s="88"/>
      <c r="D43" s="340">
        <v>5</v>
      </c>
      <c r="E43" s="341" t="s">
        <v>98</v>
      </c>
      <c r="F43" s="432" t="s">
        <v>991</v>
      </c>
      <c r="G43" s="433" t="s">
        <v>992</v>
      </c>
      <c r="H43" s="434" t="s">
        <v>98</v>
      </c>
      <c r="I43" s="434" t="s">
        <v>98</v>
      </c>
      <c r="J43" s="94">
        <v>0</v>
      </c>
      <c r="K43" s="433" t="s">
        <v>96</v>
      </c>
      <c r="L43" s="435">
        <f t="shared" si="51"/>
        <v>0</v>
      </c>
      <c r="M43" s="95">
        <v>1</v>
      </c>
      <c r="N43" s="96">
        <f t="shared" si="10"/>
        <v>1.2434566510799234</v>
      </c>
      <c r="O43" s="432" t="str">
        <f t="shared" si="11"/>
        <v>(1,4,4,3,1,3); de Wild-Scholten (2014) Life Cycle Assessment of Photovoltaics Status 2011, Part 1 Data Collection (Table 37)</v>
      </c>
      <c r="P43" s="435">
        <f t="shared" si="52"/>
        <v>0</v>
      </c>
      <c r="Q43" s="95">
        <v>1</v>
      </c>
      <c r="R43" s="96">
        <f t="shared" si="12"/>
        <v>1.2434566510799234</v>
      </c>
      <c r="S43" s="432" t="str">
        <f t="shared" si="13"/>
        <v>(1,4,4,3,1,3); de Wild-Scholten (2014) Life Cycle Assessment of Photovoltaics Status 2011, Part 1 Data Collection (Table 37)</v>
      </c>
      <c r="T43" s="435">
        <f>$BA43</f>
        <v>0</v>
      </c>
      <c r="U43" s="95">
        <v>1</v>
      </c>
      <c r="V43" s="96">
        <f t="shared" si="14"/>
        <v>1.2434566510799234</v>
      </c>
      <c r="W43" s="432" t="str">
        <f t="shared" si="15"/>
        <v>(1,4,4,3,1,3); de Wild-Scholten (2014) Life Cycle Assessment of Photovoltaics Status 2011, Part 1 Data Collection (Table 37)</v>
      </c>
      <c r="X43" s="435">
        <f>$BA43</f>
        <v>0</v>
      </c>
      <c r="Y43" s="95">
        <v>1</v>
      </c>
      <c r="Z43" s="96">
        <f t="shared" si="16"/>
        <v>1.2434566510799234</v>
      </c>
      <c r="AA43" s="432" t="str">
        <f t="shared" si="17"/>
        <v>(1,4,4,3,1,3); de Wild-Scholten (2014) Life Cycle Assessment of Photovoltaics Status 2011, Part 1 Data Collection (Table 37)</v>
      </c>
      <c r="AB43" s="435">
        <f>AJ44*$F$106</f>
        <v>1.7476973684210528</v>
      </c>
      <c r="AC43" s="95">
        <v>1</v>
      </c>
      <c r="AD43" s="96">
        <f t="shared" si="18"/>
        <v>1.2434566510799234</v>
      </c>
      <c r="AE43" s="432" t="str">
        <f t="shared" si="19"/>
        <v>(1,4,4,3,1,3); de Wild-Scholten (2014) Life Cycle Assessment of Photovoltaics Status 2011, Part 1 Data Collection (Table 37)</v>
      </c>
      <c r="AF43" s="435">
        <f>AN44*F106</f>
        <v>1.7476973684210528</v>
      </c>
      <c r="AG43" s="95">
        <v>1</v>
      </c>
      <c r="AH43" s="96">
        <f t="shared" si="20"/>
        <v>1.2434566510799234</v>
      </c>
      <c r="AI43" s="432" t="str">
        <f t="shared" si="21"/>
        <v>(1,4,4,3,1,3); de Wild-Scholten (2014) Life Cycle Assessment of Photovoltaics Status 2011, Part 1 Data Collection (Table 37)</v>
      </c>
      <c r="AJ43" s="435">
        <f t="shared" si="46"/>
        <v>0</v>
      </c>
      <c r="AK43" s="95">
        <v>1</v>
      </c>
      <c r="AL43" s="96">
        <f t="shared" si="22"/>
        <v>1.2434566510799234</v>
      </c>
      <c r="AM43" s="432" t="str">
        <f t="shared" si="23"/>
        <v>(1,4,4,3,1,3); de Wild-Scholten (2014) Life Cycle Assessment of Photovoltaics Status 2011, Part 1 Data Collection (Table 37)</v>
      </c>
      <c r="AN43" s="435">
        <f t="shared" si="47"/>
        <v>0</v>
      </c>
      <c r="AO43" s="95">
        <v>1</v>
      </c>
      <c r="AP43" s="96">
        <f t="shared" si="24"/>
        <v>1.2434566510799234</v>
      </c>
      <c r="AQ43" s="432" t="str">
        <f t="shared" si="25"/>
        <v>(1,4,4,3,1,3); de Wild-Scholten (2014) Life Cycle Assessment of Photovoltaics Status 2011, Part 1 Data Collection (Table 37)</v>
      </c>
      <c r="AR43" s="435">
        <f t="shared" si="50"/>
        <v>0</v>
      </c>
      <c r="AS43" s="95">
        <v>1</v>
      </c>
      <c r="AT43" s="96">
        <f t="shared" si="26"/>
        <v>1.05</v>
      </c>
      <c r="AU43" s="432" t="str">
        <f t="shared" si="27"/>
        <v xml:space="preserve">(na,na,na,na,na,na); </v>
      </c>
      <c r="AV43" s="435">
        <f t="shared" si="53"/>
        <v>0</v>
      </c>
      <c r="AW43" s="95">
        <v>1</v>
      </c>
      <c r="AX43" s="96">
        <f t="shared" si="28"/>
        <v>1.05</v>
      </c>
      <c r="AY43" s="432" t="str">
        <f t="shared" si="29"/>
        <v xml:space="preserve">(na,na,na,na,na,na); </v>
      </c>
      <c r="AZ43" s="112"/>
      <c r="BA43" s="435"/>
      <c r="BB43" s="216" t="s">
        <v>1230</v>
      </c>
      <c r="BC43" s="83">
        <f t="shared" si="48"/>
        <v>1</v>
      </c>
      <c r="BD43" s="83">
        <f t="shared" si="48"/>
        <v>4</v>
      </c>
      <c r="BE43" s="83">
        <v>4</v>
      </c>
      <c r="BF43" s="83">
        <f t="shared" si="49"/>
        <v>3</v>
      </c>
      <c r="BG43" s="83">
        <f t="shared" si="49"/>
        <v>1</v>
      </c>
      <c r="BH43" s="83">
        <f t="shared" si="49"/>
        <v>3</v>
      </c>
      <c r="BI43" s="104">
        <v>3</v>
      </c>
      <c r="BJ43" s="104">
        <v>1.05</v>
      </c>
      <c r="BK43" s="107">
        <f t="shared" si="32"/>
        <v>1.2365959919080913</v>
      </c>
      <c r="BL43" s="107">
        <f t="shared" si="33"/>
        <v>1.2434566510799234</v>
      </c>
      <c r="BM43" s="107" t="str">
        <f t="shared" si="34"/>
        <v>(1,4,4,3,1,3)</v>
      </c>
      <c r="BN43" s="108">
        <v>1</v>
      </c>
      <c r="BO43" s="108">
        <v>1.1000000000000001</v>
      </c>
      <c r="BP43" s="108">
        <v>1.2</v>
      </c>
      <c r="BQ43" s="108">
        <v>1.02</v>
      </c>
      <c r="BR43" s="108">
        <v>1</v>
      </c>
      <c r="BS43" s="108">
        <v>1.05</v>
      </c>
      <c r="BU43" s="692"/>
      <c r="BV43" s="83" t="s">
        <v>106</v>
      </c>
      <c r="BW43" s="83" t="s">
        <v>106</v>
      </c>
      <c r="BX43" s="83" t="s">
        <v>106</v>
      </c>
      <c r="BY43" s="83" t="s">
        <v>106</v>
      </c>
      <c r="BZ43" s="83" t="s">
        <v>106</v>
      </c>
      <c r="CA43" s="83" t="s">
        <v>106</v>
      </c>
      <c r="CB43" s="104">
        <v>3</v>
      </c>
      <c r="CC43" s="104">
        <v>1.05</v>
      </c>
      <c r="CD43" s="107">
        <f t="shared" si="35"/>
        <v>1</v>
      </c>
      <c r="CE43" s="107">
        <f t="shared" si="36"/>
        <v>1.05</v>
      </c>
      <c r="CF43" s="107" t="str">
        <f t="shared" si="37"/>
        <v>(na,na,na,na,na,na)</v>
      </c>
      <c r="CG43" s="108">
        <v>1</v>
      </c>
      <c r="CH43" s="108">
        <v>1</v>
      </c>
      <c r="CI43" s="108">
        <v>1</v>
      </c>
      <c r="CJ43" s="108">
        <v>1</v>
      </c>
      <c r="CK43" s="108">
        <v>1</v>
      </c>
      <c r="CL43" s="108">
        <v>1</v>
      </c>
    </row>
    <row r="44" spans="1:90" ht="24">
      <c r="A44" s="330">
        <v>265573</v>
      </c>
      <c r="B44" s="331"/>
      <c r="C44" s="88"/>
      <c r="D44" s="340">
        <v>5</v>
      </c>
      <c r="E44" s="341" t="s">
        <v>98</v>
      </c>
      <c r="F44" s="432" t="s">
        <v>487</v>
      </c>
      <c r="G44" s="433" t="s">
        <v>93</v>
      </c>
      <c r="H44" s="434" t="s">
        <v>98</v>
      </c>
      <c r="I44" s="434" t="s">
        <v>98</v>
      </c>
      <c r="J44" s="94">
        <v>0</v>
      </c>
      <c r="K44" s="433" t="s">
        <v>96</v>
      </c>
      <c r="L44" s="435">
        <v>0</v>
      </c>
      <c r="M44" s="95">
        <v>1</v>
      </c>
      <c r="N44" s="96">
        <f t="shared" si="10"/>
        <v>1.2434566510799234</v>
      </c>
      <c r="O44" s="432" t="str">
        <f t="shared" si="11"/>
        <v>(1,4,4,3,1,3); de Wild-Scholten (2014) Life Cycle Assessment of Photovoltaics Status 2011, Part 1 Data Collection (Table 37)</v>
      </c>
      <c r="P44" s="435">
        <v>0</v>
      </c>
      <c r="Q44" s="95">
        <v>1</v>
      </c>
      <c r="R44" s="96">
        <f t="shared" si="12"/>
        <v>1.2434566510799234</v>
      </c>
      <c r="S44" s="432" t="str">
        <f t="shared" si="13"/>
        <v>(1,4,4,3,1,3); de Wild-Scholten (2014) Life Cycle Assessment of Photovoltaics Status 2011, Part 1 Data Collection (Table 37)</v>
      </c>
      <c r="T44" s="435">
        <v>0</v>
      </c>
      <c r="U44" s="95">
        <v>1</v>
      </c>
      <c r="V44" s="96">
        <f t="shared" si="14"/>
        <v>1.2434566510799234</v>
      </c>
      <c r="W44" s="432" t="str">
        <f t="shared" si="15"/>
        <v>(1,4,4,3,1,3); de Wild-Scholten (2014) Life Cycle Assessment of Photovoltaics Status 2011, Part 1 Data Collection (Table 37)</v>
      </c>
      <c r="X44" s="435">
        <v>0</v>
      </c>
      <c r="Y44" s="95">
        <v>1</v>
      </c>
      <c r="Z44" s="96">
        <f t="shared" si="16"/>
        <v>1.2434566510799234</v>
      </c>
      <c r="AA44" s="432" t="str">
        <f t="shared" si="17"/>
        <v>(1,4,4,3,1,3); de Wild-Scholten (2014) Life Cycle Assessment of Photovoltaics Status 2011, Part 1 Data Collection (Table 37)</v>
      </c>
      <c r="AB44" s="435">
        <v>0</v>
      </c>
      <c r="AC44" s="95">
        <v>1</v>
      </c>
      <c r="AD44" s="96">
        <f t="shared" si="18"/>
        <v>1.2434566510799234</v>
      </c>
      <c r="AE44" s="432" t="str">
        <f t="shared" si="19"/>
        <v>(1,4,4,3,1,3); de Wild-Scholten (2014) Life Cycle Assessment of Photovoltaics Status 2011, Part 1 Data Collection (Table 37)</v>
      </c>
      <c r="AF44" s="435">
        <v>0</v>
      </c>
      <c r="AG44" s="95">
        <v>1</v>
      </c>
      <c r="AH44" s="96">
        <f t="shared" si="20"/>
        <v>1.2434566510799234</v>
      </c>
      <c r="AI44" s="432" t="str">
        <f t="shared" si="21"/>
        <v>(1,4,4,3,1,3); de Wild-Scholten (2014) Life Cycle Assessment of Photovoltaics Status 2011, Part 1 Data Collection (Table 37)</v>
      </c>
      <c r="AJ44" s="435">
        <f t="shared" si="46"/>
        <v>5.03125</v>
      </c>
      <c r="AK44" s="95">
        <v>1</v>
      </c>
      <c r="AL44" s="96">
        <f t="shared" si="22"/>
        <v>1.2434566510799234</v>
      </c>
      <c r="AM44" s="432" t="str">
        <f t="shared" si="23"/>
        <v>(1,4,4,3,1,3); de Wild-Scholten (2014) Life Cycle Assessment of Photovoltaics Status 2011, Part 1 Data Collection (Table 37)</v>
      </c>
      <c r="AN44" s="435">
        <f t="shared" si="47"/>
        <v>5.03125</v>
      </c>
      <c r="AO44" s="95">
        <v>1</v>
      </c>
      <c r="AP44" s="96">
        <f t="shared" si="24"/>
        <v>1.2434566510799234</v>
      </c>
      <c r="AQ44" s="432" t="str">
        <f t="shared" si="25"/>
        <v>(1,4,4,3,1,3); de Wild-Scholten (2014) Life Cycle Assessment of Photovoltaics Status 2011, Part 1 Data Collection (Table 37)</v>
      </c>
      <c r="AR44" s="435">
        <f>AV37</f>
        <v>0</v>
      </c>
      <c r="AS44" s="95">
        <v>1</v>
      </c>
      <c r="AT44" s="96">
        <f t="shared" si="26"/>
        <v>1.2434566510799234</v>
      </c>
      <c r="AU44" s="432" t="str">
        <f t="shared" si="27"/>
        <v>(2,4,1,3,1,5); Brailovsky (2026) GM 08; tap water iso water, cooling</v>
      </c>
      <c r="AV44" s="435">
        <v>0</v>
      </c>
      <c r="AW44" s="95">
        <v>1</v>
      </c>
      <c r="AX44" s="96">
        <f t="shared" si="28"/>
        <v>1.2434566510799234</v>
      </c>
      <c r="AY44" s="432" t="str">
        <f t="shared" si="29"/>
        <v>(2,4,1,3,1,5); Brailovsky (2026) GM 08; tap water iso water, cooling</v>
      </c>
      <c r="AZ44" s="112"/>
      <c r="BA44" s="435">
        <f>8.05/1.6</f>
        <v>5.03125</v>
      </c>
      <c r="BB44" s="216" t="s">
        <v>1230</v>
      </c>
      <c r="BC44" s="83">
        <f t="shared" si="48"/>
        <v>1</v>
      </c>
      <c r="BD44" s="83">
        <f t="shared" si="48"/>
        <v>4</v>
      </c>
      <c r="BE44" s="83">
        <v>4</v>
      </c>
      <c r="BF44" s="83">
        <f t="shared" si="49"/>
        <v>3</v>
      </c>
      <c r="BG44" s="83">
        <f t="shared" si="49"/>
        <v>1</v>
      </c>
      <c r="BH44" s="83">
        <f t="shared" si="49"/>
        <v>3</v>
      </c>
      <c r="BI44" s="104">
        <v>3</v>
      </c>
      <c r="BJ44" s="104">
        <v>1.05</v>
      </c>
      <c r="BK44" s="107">
        <f t="shared" si="32"/>
        <v>1.2365959919080913</v>
      </c>
      <c r="BL44" s="107">
        <f t="shared" si="33"/>
        <v>1.2434566510799234</v>
      </c>
      <c r="BM44" s="107" t="str">
        <f t="shared" si="34"/>
        <v>(1,4,4,3,1,3)</v>
      </c>
      <c r="BN44" s="108">
        <v>1</v>
      </c>
      <c r="BO44" s="108">
        <v>1.1000000000000001</v>
      </c>
      <c r="BP44" s="108">
        <v>1.2</v>
      </c>
      <c r="BQ44" s="108">
        <v>1.02</v>
      </c>
      <c r="BR44" s="108">
        <v>1</v>
      </c>
      <c r="BS44" s="108">
        <v>1.05</v>
      </c>
      <c r="BU44" s="692" t="s">
        <v>1288</v>
      </c>
      <c r="BV44" s="83">
        <v>2</v>
      </c>
      <c r="BW44" s="83">
        <v>4</v>
      </c>
      <c r="BX44" s="83">
        <v>1</v>
      </c>
      <c r="BY44" s="83">
        <v>3</v>
      </c>
      <c r="BZ44" s="83">
        <v>1</v>
      </c>
      <c r="CA44" s="83">
        <v>5</v>
      </c>
      <c r="CB44" s="104">
        <v>3</v>
      </c>
      <c r="CC44" s="104">
        <v>1.05</v>
      </c>
      <c r="CD44" s="107">
        <f t="shared" si="35"/>
        <v>1.2365959919080913</v>
      </c>
      <c r="CE44" s="107">
        <f t="shared" si="36"/>
        <v>1.2434566510799234</v>
      </c>
      <c r="CF44" s="107" t="str">
        <f t="shared" si="37"/>
        <v>(2,4,1,3,1,5)</v>
      </c>
      <c r="CG44" s="108">
        <v>1.05</v>
      </c>
      <c r="CH44" s="108">
        <v>1.1000000000000001</v>
      </c>
      <c r="CI44" s="108">
        <v>1</v>
      </c>
      <c r="CJ44" s="108">
        <v>1.02</v>
      </c>
      <c r="CK44" s="108">
        <v>1</v>
      </c>
      <c r="CL44" s="108">
        <v>1.2</v>
      </c>
    </row>
    <row r="45" spans="1:90" ht="24">
      <c r="A45" s="330">
        <v>259545</v>
      </c>
      <c r="B45" s="331" t="s">
        <v>1198</v>
      </c>
      <c r="C45" s="88"/>
      <c r="D45" s="340">
        <v>5</v>
      </c>
      <c r="E45" s="341" t="s">
        <v>98</v>
      </c>
      <c r="F45" s="432" t="s">
        <v>993</v>
      </c>
      <c r="G45" s="433" t="s">
        <v>340</v>
      </c>
      <c r="H45" s="434" t="s">
        <v>98</v>
      </c>
      <c r="I45" s="434" t="s">
        <v>98</v>
      </c>
      <c r="J45" s="94">
        <v>0</v>
      </c>
      <c r="K45" s="433" t="s">
        <v>96</v>
      </c>
      <c r="L45" s="435">
        <v>0</v>
      </c>
      <c r="M45" s="95">
        <v>1</v>
      </c>
      <c r="N45" s="96">
        <f t="shared" si="10"/>
        <v>1.05</v>
      </c>
      <c r="O45" s="432" t="str">
        <f t="shared" si="11"/>
        <v xml:space="preserve">(na,na,na,na,na,na); </v>
      </c>
      <c r="P45" s="435">
        <v>0</v>
      </c>
      <c r="Q45" s="95">
        <v>1</v>
      </c>
      <c r="R45" s="96">
        <f t="shared" si="12"/>
        <v>1.05</v>
      </c>
      <c r="S45" s="432" t="str">
        <f t="shared" si="13"/>
        <v xml:space="preserve">(na,na,na,na,na,na); </v>
      </c>
      <c r="T45" s="435">
        <v>0</v>
      </c>
      <c r="U45" s="95">
        <v>1</v>
      </c>
      <c r="V45" s="96">
        <f t="shared" si="14"/>
        <v>1.05</v>
      </c>
      <c r="W45" s="432" t="str">
        <f t="shared" si="15"/>
        <v xml:space="preserve">(na,na,na,na,na,na); </v>
      </c>
      <c r="X45" s="435">
        <v>0</v>
      </c>
      <c r="Y45" s="95">
        <v>1</v>
      </c>
      <c r="Z45" s="96">
        <f t="shared" si="16"/>
        <v>1.05</v>
      </c>
      <c r="AA45" s="432" t="str">
        <f t="shared" si="17"/>
        <v xml:space="preserve">(na,na,na,na,na,na); </v>
      </c>
      <c r="AB45" s="435">
        <v>0</v>
      </c>
      <c r="AC45" s="95">
        <v>1</v>
      </c>
      <c r="AD45" s="96">
        <f t="shared" si="18"/>
        <v>1.05</v>
      </c>
      <c r="AE45" s="432" t="str">
        <f t="shared" si="19"/>
        <v xml:space="preserve">(na,na,na,na,na,na); </v>
      </c>
      <c r="AF45" s="435">
        <v>0</v>
      </c>
      <c r="AG45" s="95">
        <v>1</v>
      </c>
      <c r="AH45" s="96">
        <f t="shared" si="20"/>
        <v>1.05</v>
      </c>
      <c r="AI45" s="432" t="str">
        <f t="shared" si="21"/>
        <v xml:space="preserve">(na,na,na,na,na,na); </v>
      </c>
      <c r="AJ45" s="435">
        <f t="shared" si="46"/>
        <v>0</v>
      </c>
      <c r="AK45" s="95">
        <v>1</v>
      </c>
      <c r="AL45" s="96">
        <f t="shared" si="22"/>
        <v>1.05</v>
      </c>
      <c r="AM45" s="432" t="str">
        <f t="shared" si="23"/>
        <v xml:space="preserve">(na,na,na,na,na,na); </v>
      </c>
      <c r="AN45" s="435">
        <v>0</v>
      </c>
      <c r="AO45" s="95">
        <v>1</v>
      </c>
      <c r="AP45" s="96">
        <f t="shared" si="24"/>
        <v>1.05</v>
      </c>
      <c r="AQ45" s="432" t="str">
        <f t="shared" si="25"/>
        <v xml:space="preserve">(na,na,na,na,na,na); </v>
      </c>
      <c r="AR45" s="435">
        <v>0.71374499999999996</v>
      </c>
      <c r="AS45" s="95">
        <v>1</v>
      </c>
      <c r="AT45" s="96">
        <f t="shared" si="26"/>
        <v>1.2434566510799234</v>
      </c>
      <c r="AU45" s="432" t="str">
        <f t="shared" si="27"/>
        <v>(2,4,1,3,1,5); Brailovsky (2026) GM 08</v>
      </c>
      <c r="AV45" s="435">
        <v>0</v>
      </c>
      <c r="AW45" s="95">
        <v>1</v>
      </c>
      <c r="AX45" s="96">
        <f t="shared" si="28"/>
        <v>1.2434566510799234</v>
      </c>
      <c r="AY45" s="432" t="str">
        <f t="shared" si="29"/>
        <v>(2,4,1,3,1,5); Brailovsky (2026) GM 08</v>
      </c>
      <c r="AZ45" s="112"/>
      <c r="BA45" s="435"/>
      <c r="BB45" s="216"/>
      <c r="BC45" s="83" t="s">
        <v>106</v>
      </c>
      <c r="BD45" s="83" t="s">
        <v>106</v>
      </c>
      <c r="BE45" s="83" t="s">
        <v>106</v>
      </c>
      <c r="BF45" s="83" t="s">
        <v>106</v>
      </c>
      <c r="BG45" s="83" t="s">
        <v>106</v>
      </c>
      <c r="BH45" s="83" t="s">
        <v>106</v>
      </c>
      <c r="BI45" s="104">
        <v>3</v>
      </c>
      <c r="BJ45" s="104">
        <v>1.05</v>
      </c>
      <c r="BK45" s="107">
        <f t="shared" si="32"/>
        <v>1</v>
      </c>
      <c r="BL45" s="107">
        <f t="shared" si="33"/>
        <v>1.05</v>
      </c>
      <c r="BM45" s="107" t="str">
        <f t="shared" si="34"/>
        <v>(na,na,na,na,na,na)</v>
      </c>
      <c r="BN45" s="108">
        <v>1</v>
      </c>
      <c r="BO45" s="108">
        <v>1</v>
      </c>
      <c r="BP45" s="108">
        <v>1</v>
      </c>
      <c r="BQ45" s="108">
        <v>1</v>
      </c>
      <c r="BR45" s="108">
        <v>1</v>
      </c>
      <c r="BS45" s="108">
        <v>1</v>
      </c>
      <c r="BU45" s="692" t="s">
        <v>1275</v>
      </c>
      <c r="BV45" s="83">
        <v>2</v>
      </c>
      <c r="BW45" s="83">
        <v>4</v>
      </c>
      <c r="BX45" s="83">
        <v>1</v>
      </c>
      <c r="BY45" s="83">
        <v>3</v>
      </c>
      <c r="BZ45" s="83">
        <v>1</v>
      </c>
      <c r="CA45" s="83">
        <v>5</v>
      </c>
      <c r="CB45" s="104">
        <v>3</v>
      </c>
      <c r="CC45" s="104">
        <v>1.05</v>
      </c>
      <c r="CD45" s="107">
        <f t="shared" si="35"/>
        <v>1.2365959919080913</v>
      </c>
      <c r="CE45" s="107">
        <f t="shared" si="36"/>
        <v>1.2434566510799234</v>
      </c>
      <c r="CF45" s="107" t="str">
        <f t="shared" si="37"/>
        <v>(2,4,1,3,1,5)</v>
      </c>
      <c r="CG45" s="108">
        <v>1.05</v>
      </c>
      <c r="CH45" s="108">
        <v>1.1000000000000001</v>
      </c>
      <c r="CI45" s="108">
        <v>1</v>
      </c>
      <c r="CJ45" s="108">
        <v>1.02</v>
      </c>
      <c r="CK45" s="108">
        <v>1</v>
      </c>
      <c r="CL45" s="108">
        <v>1.2</v>
      </c>
    </row>
    <row r="46" spans="1:90" ht="24">
      <c r="A46" s="330">
        <v>265763</v>
      </c>
      <c r="B46" s="331"/>
      <c r="C46" s="88"/>
      <c r="D46" s="340">
        <v>5</v>
      </c>
      <c r="E46" s="341" t="s">
        <v>98</v>
      </c>
      <c r="F46" s="432" t="s">
        <v>488</v>
      </c>
      <c r="G46" s="433" t="s">
        <v>372</v>
      </c>
      <c r="H46" s="434" t="s">
        <v>98</v>
      </c>
      <c r="I46" s="434" t="s">
        <v>98</v>
      </c>
      <c r="J46" s="94">
        <v>0</v>
      </c>
      <c r="K46" s="433" t="s">
        <v>96</v>
      </c>
      <c r="L46" s="435">
        <v>0</v>
      </c>
      <c r="M46" s="95">
        <v>1</v>
      </c>
      <c r="N46" s="96">
        <f t="shared" si="10"/>
        <v>1.05</v>
      </c>
      <c r="O46" s="432" t="str">
        <f t="shared" si="11"/>
        <v xml:space="preserve">(na,na,na,na,na,na); </v>
      </c>
      <c r="P46" s="435">
        <v>0</v>
      </c>
      <c r="Q46" s="95">
        <v>1</v>
      </c>
      <c r="R46" s="96">
        <f t="shared" si="12"/>
        <v>1.05</v>
      </c>
      <c r="S46" s="432" t="str">
        <f t="shared" si="13"/>
        <v xml:space="preserve">(na,na,na,na,na,na); </v>
      </c>
      <c r="T46" s="435">
        <v>0</v>
      </c>
      <c r="U46" s="95">
        <v>1</v>
      </c>
      <c r="V46" s="96">
        <f t="shared" si="14"/>
        <v>1.05</v>
      </c>
      <c r="W46" s="432" t="str">
        <f t="shared" si="15"/>
        <v xml:space="preserve">(na,na,na,na,na,na); </v>
      </c>
      <c r="X46" s="435">
        <v>0</v>
      </c>
      <c r="Y46" s="95">
        <v>1</v>
      </c>
      <c r="Z46" s="96">
        <f t="shared" si="16"/>
        <v>1.05</v>
      </c>
      <c r="AA46" s="432" t="str">
        <f t="shared" si="17"/>
        <v xml:space="preserve">(na,na,na,na,na,na); </v>
      </c>
      <c r="AB46" s="435">
        <v>0</v>
      </c>
      <c r="AC46" s="95">
        <v>1</v>
      </c>
      <c r="AD46" s="96">
        <f t="shared" si="18"/>
        <v>1.05</v>
      </c>
      <c r="AE46" s="432" t="str">
        <f t="shared" si="19"/>
        <v xml:space="preserve">(na,na,na,na,na,na); </v>
      </c>
      <c r="AF46" s="435">
        <v>0</v>
      </c>
      <c r="AG46" s="95">
        <v>1</v>
      </c>
      <c r="AH46" s="96">
        <f t="shared" si="20"/>
        <v>1.05</v>
      </c>
      <c r="AI46" s="432" t="str">
        <f t="shared" si="21"/>
        <v xml:space="preserve">(na,na,na,na,na,na); </v>
      </c>
      <c r="AJ46" s="435">
        <f t="shared" si="46"/>
        <v>0</v>
      </c>
      <c r="AK46" s="95">
        <v>1</v>
      </c>
      <c r="AL46" s="96">
        <f t="shared" si="22"/>
        <v>1.05</v>
      </c>
      <c r="AM46" s="432" t="str">
        <f t="shared" si="23"/>
        <v xml:space="preserve">(na,na,na,na,na,na); </v>
      </c>
      <c r="AN46" s="435">
        <v>0</v>
      </c>
      <c r="AO46" s="95">
        <v>1</v>
      </c>
      <c r="AP46" s="96">
        <f t="shared" si="24"/>
        <v>1.05</v>
      </c>
      <c r="AQ46" s="432" t="str">
        <f t="shared" si="25"/>
        <v xml:space="preserve">(na,na,na,na,na,na); </v>
      </c>
      <c r="AR46" s="435">
        <v>0</v>
      </c>
      <c r="AS46" s="95">
        <v>1</v>
      </c>
      <c r="AT46" s="96">
        <f t="shared" si="26"/>
        <v>1.2434566510799234</v>
      </c>
      <c r="AU46" s="432" t="str">
        <f t="shared" si="27"/>
        <v>(2,4,1,3,1,5); Brailovsky (2026) GM 08</v>
      </c>
      <c r="AV46" s="435">
        <v>0.71374499999999996</v>
      </c>
      <c r="AW46" s="95">
        <v>1</v>
      </c>
      <c r="AX46" s="96">
        <f t="shared" si="28"/>
        <v>1.2434566510799234</v>
      </c>
      <c r="AY46" s="432" t="str">
        <f t="shared" si="29"/>
        <v>(2,4,1,3,1,5); Brailovsky (2026) GM 08</v>
      </c>
      <c r="AZ46" s="112"/>
      <c r="BA46" s="435"/>
      <c r="BB46" s="216"/>
      <c r="BC46" s="83" t="s">
        <v>106</v>
      </c>
      <c r="BD46" s="83" t="s">
        <v>106</v>
      </c>
      <c r="BE46" s="83" t="s">
        <v>106</v>
      </c>
      <c r="BF46" s="83" t="s">
        <v>106</v>
      </c>
      <c r="BG46" s="83" t="s">
        <v>106</v>
      </c>
      <c r="BH46" s="83" t="s">
        <v>106</v>
      </c>
      <c r="BI46" s="104">
        <v>3</v>
      </c>
      <c r="BJ46" s="104">
        <v>1.05</v>
      </c>
      <c r="BK46" s="107">
        <f t="shared" si="32"/>
        <v>1</v>
      </c>
      <c r="BL46" s="107">
        <f t="shared" si="33"/>
        <v>1.05</v>
      </c>
      <c r="BM46" s="107" t="str">
        <f t="shared" si="34"/>
        <v>(na,na,na,na,na,na)</v>
      </c>
      <c r="BN46" s="108">
        <v>1</v>
      </c>
      <c r="BO46" s="108">
        <v>1</v>
      </c>
      <c r="BP46" s="108">
        <v>1</v>
      </c>
      <c r="BQ46" s="108">
        <v>1</v>
      </c>
      <c r="BR46" s="108">
        <v>1</v>
      </c>
      <c r="BS46" s="108">
        <v>1</v>
      </c>
      <c r="BU46" s="692" t="s">
        <v>1275</v>
      </c>
      <c r="BV46" s="83">
        <v>2</v>
      </c>
      <c r="BW46" s="83">
        <v>4</v>
      </c>
      <c r="BX46" s="83">
        <v>1</v>
      </c>
      <c r="BY46" s="83">
        <v>3</v>
      </c>
      <c r="BZ46" s="83">
        <v>1</v>
      </c>
      <c r="CA46" s="83">
        <v>5</v>
      </c>
      <c r="CB46" s="104">
        <v>3</v>
      </c>
      <c r="CC46" s="104">
        <v>1.05</v>
      </c>
      <c r="CD46" s="107">
        <f t="shared" si="35"/>
        <v>1.2365959919080913</v>
      </c>
      <c r="CE46" s="107">
        <f t="shared" si="36"/>
        <v>1.2434566510799234</v>
      </c>
      <c r="CF46" s="107" t="str">
        <f t="shared" si="37"/>
        <v>(2,4,1,3,1,5)</v>
      </c>
      <c r="CG46" s="108">
        <v>1.05</v>
      </c>
      <c r="CH46" s="108">
        <v>1.1000000000000001</v>
      </c>
      <c r="CI46" s="108">
        <v>1</v>
      </c>
      <c r="CJ46" s="108">
        <v>1.02</v>
      </c>
      <c r="CK46" s="108">
        <v>1</v>
      </c>
      <c r="CL46" s="108">
        <v>1.2</v>
      </c>
    </row>
    <row r="47" spans="1:90" s="169" customFormat="1" ht="24">
      <c r="A47" s="330">
        <v>269261</v>
      </c>
      <c r="B47" s="331"/>
      <c r="C47" s="88"/>
      <c r="D47" s="340">
        <v>5</v>
      </c>
      <c r="E47" s="341" t="s">
        <v>98</v>
      </c>
      <c r="F47" s="432" t="s">
        <v>207</v>
      </c>
      <c r="G47" s="433" t="s">
        <v>154</v>
      </c>
      <c r="H47" s="434" t="s">
        <v>98</v>
      </c>
      <c r="I47" s="434" t="s">
        <v>98</v>
      </c>
      <c r="J47" s="94">
        <v>0</v>
      </c>
      <c r="K47" s="433" t="s">
        <v>96</v>
      </c>
      <c r="L47" s="435">
        <f>$BA47</f>
        <v>6.2375E-2</v>
      </c>
      <c r="M47" s="95">
        <v>1</v>
      </c>
      <c r="N47" s="96">
        <f t="shared" si="10"/>
        <v>1.3440316373092398</v>
      </c>
      <c r="O47" s="432" t="str">
        <f t="shared" si="11"/>
        <v>(3,4,4,3,1,5); de Wild-Scholten (2014) Life Cycle Assessment of Photovoltaics Status 2011, Part 1 Data Collection (Table 37)</v>
      </c>
      <c r="P47" s="435">
        <f>$BA47</f>
        <v>6.2375E-2</v>
      </c>
      <c r="Q47" s="95">
        <v>1</v>
      </c>
      <c r="R47" s="96">
        <f t="shared" si="12"/>
        <v>1.3440316373092398</v>
      </c>
      <c r="S47" s="432" t="str">
        <f t="shared" si="13"/>
        <v>(3,4,4,3,1,5); de Wild-Scholten (2014) Life Cycle Assessment of Photovoltaics Status 2011, Part 1 Data Collection (Table 37)</v>
      </c>
      <c r="T47" s="435">
        <f>$BA47</f>
        <v>6.2375E-2</v>
      </c>
      <c r="U47" s="95">
        <v>1</v>
      </c>
      <c r="V47" s="96">
        <f t="shared" si="14"/>
        <v>1.3440316373092398</v>
      </c>
      <c r="W47" s="432" t="str">
        <f t="shared" si="15"/>
        <v>(3,4,4,3,1,5); de Wild-Scholten (2014) Life Cycle Assessment of Photovoltaics Status 2011, Part 1 Data Collection (Table 37)</v>
      </c>
      <c r="X47" s="435">
        <f>$BA47</f>
        <v>6.2375E-2</v>
      </c>
      <c r="Y47" s="95">
        <v>1</v>
      </c>
      <c r="Z47" s="96">
        <f t="shared" si="16"/>
        <v>1.3440316373092398</v>
      </c>
      <c r="AA47" s="432" t="str">
        <f t="shared" si="17"/>
        <v>(3,4,4,3,1,5); de Wild-Scholten (2014) Life Cycle Assessment of Photovoltaics Status 2011, Part 1 Data Collection (Table 37)</v>
      </c>
      <c r="AB47" s="435">
        <f>$BA47</f>
        <v>6.2375E-2</v>
      </c>
      <c r="AC47" s="95">
        <v>1</v>
      </c>
      <c r="AD47" s="96">
        <f t="shared" si="18"/>
        <v>1.3440316373092398</v>
      </c>
      <c r="AE47" s="432" t="str">
        <f t="shared" si="19"/>
        <v>(3,4,4,3,1,5); de Wild-Scholten (2014) Life Cycle Assessment of Photovoltaics Status 2011, Part 1 Data Collection (Table 37)</v>
      </c>
      <c r="AF47" s="435">
        <f>$BA47</f>
        <v>6.2375E-2</v>
      </c>
      <c r="AG47" s="95">
        <v>1</v>
      </c>
      <c r="AH47" s="96">
        <f t="shared" si="20"/>
        <v>1.3440316373092398</v>
      </c>
      <c r="AI47" s="432" t="str">
        <f t="shared" si="21"/>
        <v>(3,4,4,3,1,5); de Wild-Scholten (2014) Life Cycle Assessment of Photovoltaics Status 2011, Part 1 Data Collection (Table 37)</v>
      </c>
      <c r="AJ47" s="435">
        <f t="shared" si="46"/>
        <v>6.2375E-2</v>
      </c>
      <c r="AK47" s="95">
        <v>1</v>
      </c>
      <c r="AL47" s="96">
        <f t="shared" si="22"/>
        <v>1.3440316373092398</v>
      </c>
      <c r="AM47" s="432" t="str">
        <f t="shared" si="23"/>
        <v>(3,4,4,3,1,5); de Wild-Scholten (2014) Life Cycle Assessment of Photovoltaics Status 2011, Part 1 Data Collection (Table 37)</v>
      </c>
      <c r="AN47" s="435">
        <f>$BA47</f>
        <v>6.2375E-2</v>
      </c>
      <c r="AO47" s="95">
        <v>1</v>
      </c>
      <c r="AP47" s="96">
        <f t="shared" si="24"/>
        <v>1.3440316373092398</v>
      </c>
      <c r="AQ47" s="432" t="str">
        <f t="shared" si="25"/>
        <v>(3,4,4,3,1,5); de Wild-Scholten (2014) Life Cycle Assessment of Photovoltaics Status 2011, Part 1 Data Collection (Table 37)</v>
      </c>
      <c r="AR47" s="435">
        <v>0</v>
      </c>
      <c r="AS47" s="95">
        <v>1</v>
      </c>
      <c r="AT47" s="96">
        <f t="shared" si="26"/>
        <v>1.05</v>
      </c>
      <c r="AU47" s="432" t="str">
        <f t="shared" si="27"/>
        <v xml:space="preserve">(na,na,na,na,na,na); </v>
      </c>
      <c r="AV47" s="435">
        <v>0</v>
      </c>
      <c r="AW47" s="95">
        <v>1</v>
      </c>
      <c r="AX47" s="96">
        <f t="shared" si="28"/>
        <v>1.05</v>
      </c>
      <c r="AY47" s="432" t="str">
        <f t="shared" si="29"/>
        <v xml:space="preserve">(na,na,na,na,na,na); </v>
      </c>
      <c r="AZ47" s="112"/>
      <c r="BA47" s="435">
        <f>0.0998/1.6</f>
        <v>6.2375E-2</v>
      </c>
      <c r="BB47" s="216" t="s">
        <v>1230</v>
      </c>
      <c r="BC47" s="83">
        <v>3</v>
      </c>
      <c r="BD47" s="83">
        <v>4</v>
      </c>
      <c r="BE47" s="83">
        <v>4</v>
      </c>
      <c r="BF47" s="83">
        <v>3</v>
      </c>
      <c r="BG47" s="83">
        <v>1</v>
      </c>
      <c r="BH47" s="83">
        <v>5</v>
      </c>
      <c r="BI47" s="104">
        <v>3</v>
      </c>
      <c r="BJ47" s="104">
        <v>1.05</v>
      </c>
      <c r="BK47" s="107">
        <f t="shared" si="32"/>
        <v>1.3385948990307144</v>
      </c>
      <c r="BL47" s="107">
        <f t="shared" si="33"/>
        <v>1.3440316373092398</v>
      </c>
      <c r="BM47" s="107" t="str">
        <f t="shared" si="34"/>
        <v>(3,4,4,3,1,5)</v>
      </c>
      <c r="BN47" s="108">
        <v>1.1000000000000001</v>
      </c>
      <c r="BO47" s="108">
        <v>1.1000000000000001</v>
      </c>
      <c r="BP47" s="108">
        <v>1.2</v>
      </c>
      <c r="BQ47" s="108">
        <v>1.02</v>
      </c>
      <c r="BR47" s="108">
        <v>1</v>
      </c>
      <c r="BS47" s="108">
        <v>1.2</v>
      </c>
      <c r="BU47" s="692"/>
      <c r="BV47" s="83" t="s">
        <v>106</v>
      </c>
      <c r="BW47" s="83" t="s">
        <v>106</v>
      </c>
      <c r="BX47" s="83" t="s">
        <v>106</v>
      </c>
      <c r="BY47" s="83" t="s">
        <v>106</v>
      </c>
      <c r="BZ47" s="83" t="s">
        <v>106</v>
      </c>
      <c r="CA47" s="83" t="s">
        <v>106</v>
      </c>
      <c r="CB47" s="104">
        <v>3</v>
      </c>
      <c r="CC47" s="104">
        <v>1.05</v>
      </c>
      <c r="CD47" s="107">
        <f t="shared" si="35"/>
        <v>1</v>
      </c>
      <c r="CE47" s="107">
        <f t="shared" si="36"/>
        <v>1.05</v>
      </c>
      <c r="CF47" s="107" t="str">
        <f t="shared" si="37"/>
        <v>(na,na,na,na,na,na)</v>
      </c>
      <c r="CG47" s="108">
        <v>1</v>
      </c>
      <c r="CH47" s="108">
        <v>1</v>
      </c>
      <c r="CI47" s="108">
        <v>1</v>
      </c>
      <c r="CJ47" s="108">
        <v>1</v>
      </c>
      <c r="CK47" s="108">
        <v>1</v>
      </c>
      <c r="CL47" s="108">
        <v>1</v>
      </c>
    </row>
    <row r="48" spans="1:90" ht="24">
      <c r="A48" s="330">
        <v>268435</v>
      </c>
      <c r="B48" s="331"/>
      <c r="C48" s="88"/>
      <c r="D48" s="340">
        <v>5</v>
      </c>
      <c r="E48" s="341" t="s">
        <v>98</v>
      </c>
      <c r="F48" s="432" t="s">
        <v>1203</v>
      </c>
      <c r="G48" s="433" t="s">
        <v>93</v>
      </c>
      <c r="H48" s="434" t="s">
        <v>98</v>
      </c>
      <c r="I48" s="434" t="s">
        <v>98</v>
      </c>
      <c r="J48" s="94">
        <v>0</v>
      </c>
      <c r="K48" s="433" t="s">
        <v>96</v>
      </c>
      <c r="L48" s="435">
        <f>$BA48</f>
        <v>1.5874999999999997E-2</v>
      </c>
      <c r="M48" s="95">
        <v>1</v>
      </c>
      <c r="N48" s="96">
        <f t="shared" si="10"/>
        <v>1.2434566510799234</v>
      </c>
      <c r="O48" s="432" t="str">
        <f t="shared" si="11"/>
        <v>(1,4,4,3,1,3); de Wild-Scholten (2014) Life Cycle Assessment of Photovoltaics Status 2011, Part 1 Data Collection (Table 37)</v>
      </c>
      <c r="P48" s="435">
        <f>$BA48</f>
        <v>1.5874999999999997E-2</v>
      </c>
      <c r="Q48" s="95">
        <v>1</v>
      </c>
      <c r="R48" s="96">
        <f t="shared" si="12"/>
        <v>1.2434566510799234</v>
      </c>
      <c r="S48" s="432" t="str">
        <f t="shared" si="13"/>
        <v>(1,4,4,3,1,3); de Wild-Scholten (2014) Life Cycle Assessment of Photovoltaics Status 2011, Part 1 Data Collection (Table 37)</v>
      </c>
      <c r="T48" s="435">
        <f>$BA48</f>
        <v>1.5874999999999997E-2</v>
      </c>
      <c r="U48" s="95">
        <v>1</v>
      </c>
      <c r="V48" s="96">
        <f t="shared" si="14"/>
        <v>1.2434566510799234</v>
      </c>
      <c r="W48" s="432" t="str">
        <f t="shared" si="15"/>
        <v>(1,4,4,3,1,3); de Wild-Scholten (2014) Life Cycle Assessment of Photovoltaics Status 2011, Part 1 Data Collection (Table 37)</v>
      </c>
      <c r="X48" s="435">
        <f>$BA48</f>
        <v>1.5874999999999997E-2</v>
      </c>
      <c r="Y48" s="95">
        <v>1</v>
      </c>
      <c r="Z48" s="96">
        <f t="shared" si="16"/>
        <v>1.2434566510799234</v>
      </c>
      <c r="AA48" s="432" t="str">
        <f t="shared" si="17"/>
        <v>(1,4,4,3,1,3); de Wild-Scholten (2014) Life Cycle Assessment of Photovoltaics Status 2011, Part 1 Data Collection (Table 37)</v>
      </c>
      <c r="AB48" s="435">
        <f>$BA48</f>
        <v>1.5874999999999997E-2</v>
      </c>
      <c r="AC48" s="95">
        <v>1</v>
      </c>
      <c r="AD48" s="96">
        <f t="shared" si="18"/>
        <v>1.2434566510799234</v>
      </c>
      <c r="AE48" s="432" t="str">
        <f t="shared" si="19"/>
        <v>(1,4,4,3,1,3); de Wild-Scholten (2014) Life Cycle Assessment of Photovoltaics Status 2011, Part 1 Data Collection (Table 37)</v>
      </c>
      <c r="AF48" s="435">
        <f>$BA48</f>
        <v>1.5874999999999997E-2</v>
      </c>
      <c r="AG48" s="95">
        <v>1</v>
      </c>
      <c r="AH48" s="96">
        <f t="shared" si="20"/>
        <v>1.2434566510799234</v>
      </c>
      <c r="AI48" s="432" t="str">
        <f t="shared" si="21"/>
        <v>(1,4,4,3,1,3); de Wild-Scholten (2014) Life Cycle Assessment of Photovoltaics Status 2011, Part 1 Data Collection (Table 37)</v>
      </c>
      <c r="AJ48" s="435">
        <f t="shared" si="46"/>
        <v>1.5874999999999997E-2</v>
      </c>
      <c r="AK48" s="95">
        <v>1</v>
      </c>
      <c r="AL48" s="96">
        <f t="shared" si="22"/>
        <v>1.2434566510799234</v>
      </c>
      <c r="AM48" s="432" t="str">
        <f t="shared" si="23"/>
        <v>(1,4,4,3,1,3); de Wild-Scholten (2014) Life Cycle Assessment of Photovoltaics Status 2011, Part 1 Data Collection (Table 37)</v>
      </c>
      <c r="AN48" s="435">
        <f>$BA48</f>
        <v>1.5874999999999997E-2</v>
      </c>
      <c r="AO48" s="95">
        <v>1</v>
      </c>
      <c r="AP48" s="96">
        <f t="shared" si="24"/>
        <v>1.2434566510799234</v>
      </c>
      <c r="AQ48" s="432" t="str">
        <f t="shared" si="25"/>
        <v>(1,4,4,3,1,3); de Wild-Scholten (2014) Life Cycle Assessment of Photovoltaics Status 2011, Part 1 Data Collection (Table 37)</v>
      </c>
      <c r="AR48" s="435">
        <v>1.7000000000000001E-2</v>
      </c>
      <c r="AS48" s="95">
        <v>1</v>
      </c>
      <c r="AT48" s="96">
        <f t="shared" si="26"/>
        <v>1.2434566510799234</v>
      </c>
      <c r="AU48" s="432" t="str">
        <f t="shared" si="27"/>
        <v>(2,4,1,3,1,5); Brailovsky (2026) GM 08; RER iso GLO, at plant iso market</v>
      </c>
      <c r="AV48" s="435">
        <v>1.7000000000000001E-2</v>
      </c>
      <c r="AW48" s="95">
        <v>1</v>
      </c>
      <c r="AX48" s="96">
        <f t="shared" si="28"/>
        <v>1.2434566510799234</v>
      </c>
      <c r="AY48" s="432" t="str">
        <f t="shared" si="29"/>
        <v>(2,4,1,3,1,5); Brailovsky (2026) GM 08; RER iso GLO, at plant iso market</v>
      </c>
      <c r="AZ48" s="112"/>
      <c r="BA48" s="435">
        <f>0.0254/1.6</f>
        <v>1.5874999999999997E-2</v>
      </c>
      <c r="BB48" s="216" t="s">
        <v>1230</v>
      </c>
      <c r="BC48" s="83">
        <f>BC$23</f>
        <v>1</v>
      </c>
      <c r="BD48" s="83">
        <f>BD$23</f>
        <v>4</v>
      </c>
      <c r="BE48" s="83">
        <v>4</v>
      </c>
      <c r="BF48" s="83">
        <f>BF$23</f>
        <v>3</v>
      </c>
      <c r="BG48" s="83">
        <f>BG$23</f>
        <v>1</v>
      </c>
      <c r="BH48" s="83">
        <f>BH$23</f>
        <v>3</v>
      </c>
      <c r="BI48" s="104">
        <v>3</v>
      </c>
      <c r="BJ48" s="104">
        <v>1.05</v>
      </c>
      <c r="BK48" s="107">
        <f t="shared" si="32"/>
        <v>1.2365959919080913</v>
      </c>
      <c r="BL48" s="107">
        <f t="shared" si="33"/>
        <v>1.2434566510799234</v>
      </c>
      <c r="BM48" s="107" t="str">
        <f t="shared" si="34"/>
        <v>(1,4,4,3,1,3)</v>
      </c>
      <c r="BN48" s="108">
        <v>1</v>
      </c>
      <c r="BO48" s="108">
        <v>1.1000000000000001</v>
      </c>
      <c r="BP48" s="108">
        <v>1.2</v>
      </c>
      <c r="BQ48" s="108">
        <v>1.02</v>
      </c>
      <c r="BR48" s="108">
        <v>1</v>
      </c>
      <c r="BS48" s="108">
        <v>1.05</v>
      </c>
      <c r="BU48" s="692" t="s">
        <v>1289</v>
      </c>
      <c r="BV48" s="83">
        <f>BV$23</f>
        <v>2</v>
      </c>
      <c r="BW48" s="83">
        <f>BW$23</f>
        <v>4</v>
      </c>
      <c r="BX48" s="83">
        <v>1</v>
      </c>
      <c r="BY48" s="83">
        <f t="shared" ref="BY48:CA49" si="54">BY$23</f>
        <v>3</v>
      </c>
      <c r="BZ48" s="83">
        <f t="shared" si="54"/>
        <v>1</v>
      </c>
      <c r="CA48" s="83">
        <f t="shared" si="54"/>
        <v>5</v>
      </c>
      <c r="CB48" s="104">
        <v>3</v>
      </c>
      <c r="CC48" s="104">
        <v>1.05</v>
      </c>
      <c r="CD48" s="107">
        <f t="shared" si="35"/>
        <v>1.2365959919080913</v>
      </c>
      <c r="CE48" s="107">
        <f t="shared" si="36"/>
        <v>1.2434566510799234</v>
      </c>
      <c r="CF48" s="107" t="str">
        <f t="shared" si="37"/>
        <v>(2,4,1,3,1,5)</v>
      </c>
      <c r="CG48" s="108">
        <v>1.05</v>
      </c>
      <c r="CH48" s="108">
        <v>1.1000000000000001</v>
      </c>
      <c r="CI48" s="108">
        <v>1</v>
      </c>
      <c r="CJ48" s="108">
        <v>1.02</v>
      </c>
      <c r="CK48" s="108">
        <v>1</v>
      </c>
      <c r="CL48" s="108">
        <v>1.2</v>
      </c>
    </row>
    <row r="49" spans="1:90">
      <c r="A49" s="330">
        <v>266631</v>
      </c>
      <c r="B49" s="331"/>
      <c r="C49" s="88"/>
      <c r="D49" s="340">
        <v>5</v>
      </c>
      <c r="E49" s="341" t="s">
        <v>98</v>
      </c>
      <c r="F49" s="432" t="s">
        <v>1204</v>
      </c>
      <c r="G49" s="433" t="s">
        <v>93</v>
      </c>
      <c r="H49" s="434" t="s">
        <v>98</v>
      </c>
      <c r="I49" s="434" t="s">
        <v>98</v>
      </c>
      <c r="J49" s="94">
        <v>0</v>
      </c>
      <c r="K49" s="433" t="s">
        <v>96</v>
      </c>
      <c r="L49" s="435">
        <v>0</v>
      </c>
      <c r="M49" s="95">
        <v>1</v>
      </c>
      <c r="N49" s="96">
        <f t="shared" ref="N49:N80" si="55">$BL49</f>
        <v>1.05</v>
      </c>
      <c r="O49" s="432" t="str">
        <f t="shared" ref="O49:O80" si="56">$BM49&amp;"; "&amp;$BB49</f>
        <v xml:space="preserve">(na,na,na,na,na,na); </v>
      </c>
      <c r="P49" s="435">
        <v>0</v>
      </c>
      <c r="Q49" s="95">
        <v>1</v>
      </c>
      <c r="R49" s="96">
        <f t="shared" ref="R49:R80" si="57">$BL49</f>
        <v>1.05</v>
      </c>
      <c r="S49" s="432" t="str">
        <f t="shared" ref="S49:S80" si="58">$BM49&amp;"; "&amp;$BB49</f>
        <v xml:space="preserve">(na,na,na,na,na,na); </v>
      </c>
      <c r="T49" s="435">
        <v>0</v>
      </c>
      <c r="U49" s="95">
        <v>1</v>
      </c>
      <c r="V49" s="96">
        <f t="shared" ref="V49:V80" si="59">$BL49</f>
        <v>1.05</v>
      </c>
      <c r="W49" s="432" t="str">
        <f t="shared" ref="W49:W80" si="60">$BM49&amp;"; "&amp;$BB49</f>
        <v xml:space="preserve">(na,na,na,na,na,na); </v>
      </c>
      <c r="X49" s="435">
        <v>0</v>
      </c>
      <c r="Y49" s="95">
        <v>1</v>
      </c>
      <c r="Z49" s="96">
        <f t="shared" ref="Z49:Z80" si="61">$BL49</f>
        <v>1.05</v>
      </c>
      <c r="AA49" s="432" t="str">
        <f t="shared" ref="AA49:AA80" si="62">$BM49&amp;"; "&amp;$BB49</f>
        <v xml:space="preserve">(na,na,na,na,na,na); </v>
      </c>
      <c r="AB49" s="435">
        <v>0</v>
      </c>
      <c r="AC49" s="95">
        <v>1</v>
      </c>
      <c r="AD49" s="96">
        <f t="shared" ref="AD49:AD80" si="63">$BL49</f>
        <v>1.05</v>
      </c>
      <c r="AE49" s="432" t="str">
        <f t="shared" ref="AE49:AE80" si="64">$BM49&amp;"; "&amp;$BB49</f>
        <v xml:space="preserve">(na,na,na,na,na,na); </v>
      </c>
      <c r="AF49" s="435">
        <v>0</v>
      </c>
      <c r="AG49" s="95">
        <v>1</v>
      </c>
      <c r="AH49" s="96">
        <f t="shared" ref="AH49:AH80" si="65">$BL49</f>
        <v>1.05</v>
      </c>
      <c r="AI49" s="432" t="str">
        <f t="shared" ref="AI49:AI80" si="66">$BM49&amp;"; "&amp;$BB49</f>
        <v xml:space="preserve">(na,na,na,na,na,na); </v>
      </c>
      <c r="AJ49" s="435">
        <v>0</v>
      </c>
      <c r="AK49" s="95">
        <v>1</v>
      </c>
      <c r="AL49" s="96">
        <f t="shared" ref="AL49:AL80" si="67">$BL49</f>
        <v>1.05</v>
      </c>
      <c r="AM49" s="432" t="str">
        <f t="shared" ref="AM49:AM80" si="68">$BM49&amp;"; "&amp;$BB49</f>
        <v xml:space="preserve">(na,na,na,na,na,na); </v>
      </c>
      <c r="AN49" s="435">
        <v>0</v>
      </c>
      <c r="AO49" s="95">
        <v>1</v>
      </c>
      <c r="AP49" s="96">
        <f t="shared" ref="AP49:AP80" si="69">$BL49</f>
        <v>1.05</v>
      </c>
      <c r="AQ49" s="432" t="str">
        <f t="shared" ref="AQ49:AQ80" si="70">$BM49&amp;"; "&amp;$BB49</f>
        <v xml:space="preserve">(na,na,na,na,na,na); </v>
      </c>
      <c r="AR49" s="435">
        <v>3.6600000000000001E-4</v>
      </c>
      <c r="AS49" s="95">
        <v>1</v>
      </c>
      <c r="AT49" s="96">
        <f t="shared" ref="AT49:AT80" si="71">$CE49</f>
        <v>1.2434566510799234</v>
      </c>
      <c r="AU49" s="432" t="str">
        <f t="shared" ref="AU49:AU80" si="72">$CF49&amp;"; "&amp;$BU49</f>
        <v>(2,4,1,3,1,5); Brailovsky (2026) GM 08</v>
      </c>
      <c r="AV49" s="435">
        <v>3.6600000000000001E-4</v>
      </c>
      <c r="AW49" s="95">
        <v>1</v>
      </c>
      <c r="AX49" s="96">
        <f t="shared" ref="AX49:AX80" si="73">$CE49</f>
        <v>1.2434566510799234</v>
      </c>
      <c r="AY49" s="432" t="str">
        <f t="shared" ref="AY49:AY80" si="74">$CF49&amp;"; "&amp;$BU49</f>
        <v>(2,4,1,3,1,5); Brailovsky (2026) GM 08</v>
      </c>
      <c r="AZ49" s="112"/>
      <c r="BA49" s="435"/>
      <c r="BB49" s="216"/>
      <c r="BC49" s="83" t="s">
        <v>106</v>
      </c>
      <c r="BD49" s="83" t="s">
        <v>106</v>
      </c>
      <c r="BE49" s="83" t="s">
        <v>106</v>
      </c>
      <c r="BF49" s="83" t="s">
        <v>106</v>
      </c>
      <c r="BG49" s="83" t="s">
        <v>106</v>
      </c>
      <c r="BH49" s="83" t="s">
        <v>106</v>
      </c>
      <c r="BI49" s="104">
        <v>3</v>
      </c>
      <c r="BJ49" s="104">
        <v>1.05</v>
      </c>
      <c r="BK49" s="107">
        <f t="shared" ref="BK49:BK80" si="75">EXP(SQRT((LN(BN49)^2)+(LN(BO49)^2)+(LN(BP49)^2)+(LN(BQ49)^2)+(LN(BR49)^2)+(LN(BS49)^2)))</f>
        <v>1</v>
      </c>
      <c r="BL49" s="107">
        <f t="shared" ref="BL49:BL80" si="76">EXP(SQRT((LN(BN49)^2)+(LN(BO49)^2)+(LN(BP49)^2)+(LN(BQ49)^2)+(LN(BR49)^2)+(LN(BS49)^2)+LN(BJ49)^2))</f>
        <v>1.05</v>
      </c>
      <c r="BM49" s="107" t="str">
        <f t="shared" ref="BM49:BM80" si="77">CONCATENATE("(",BC49,",",BD49,",",BE49,",",BF49,",",BG49,",",BH49,")")</f>
        <v>(na,na,na,na,na,na)</v>
      </c>
      <c r="BN49" s="108">
        <v>1</v>
      </c>
      <c r="BO49" s="108">
        <v>1</v>
      </c>
      <c r="BP49" s="108">
        <v>1</v>
      </c>
      <c r="BQ49" s="108">
        <v>1</v>
      </c>
      <c r="BR49" s="108">
        <v>1</v>
      </c>
      <c r="BS49" s="108">
        <v>1</v>
      </c>
      <c r="BU49" s="692" t="s">
        <v>1275</v>
      </c>
      <c r="BV49" s="83">
        <f>BV$23</f>
        <v>2</v>
      </c>
      <c r="BW49" s="83">
        <f>BW$23</f>
        <v>4</v>
      </c>
      <c r="BX49" s="83">
        <v>1</v>
      </c>
      <c r="BY49" s="83">
        <f t="shared" si="54"/>
        <v>3</v>
      </c>
      <c r="BZ49" s="83">
        <f t="shared" si="54"/>
        <v>1</v>
      </c>
      <c r="CA49" s="83">
        <f t="shared" si="54"/>
        <v>5</v>
      </c>
      <c r="CB49" s="104">
        <v>3</v>
      </c>
      <c r="CC49" s="104">
        <v>1.05</v>
      </c>
      <c r="CD49" s="107">
        <f t="shared" ref="CD49:CD80" si="78">EXP(SQRT((LN(CG49)^2)+(LN(CH49)^2)+(LN(CI49)^2)+(LN(CJ49)^2)+(LN(CK49)^2)+(LN(CL49)^2)))</f>
        <v>1.2365959919080913</v>
      </c>
      <c r="CE49" s="107">
        <f t="shared" ref="CE49:CE80" si="79">EXP(SQRT((LN(CG49)^2)+(LN(CH49)^2)+(LN(CI49)^2)+(LN(CJ49)^2)+(LN(CK49)^2)+(LN(CL49)^2)+LN(CC49)^2))</f>
        <v>1.2434566510799234</v>
      </c>
      <c r="CF49" s="107" t="str">
        <f t="shared" ref="CF49:CF80" si="80">CONCATENATE("(",BV49,",",BW49,",",BX49,",",BY49,",",BZ49,",",CA49,")")</f>
        <v>(2,4,1,3,1,5)</v>
      </c>
      <c r="CG49" s="108">
        <v>1.05</v>
      </c>
      <c r="CH49" s="108">
        <v>1.1000000000000001</v>
      </c>
      <c r="CI49" s="108">
        <v>1</v>
      </c>
      <c r="CJ49" s="108">
        <v>1.02</v>
      </c>
      <c r="CK49" s="108">
        <v>1</v>
      </c>
      <c r="CL49" s="108">
        <v>1.2</v>
      </c>
    </row>
    <row r="50" spans="1:90" s="169" customFormat="1" ht="24">
      <c r="A50" s="330">
        <v>269227</v>
      </c>
      <c r="B50" s="331"/>
      <c r="C50" s="88"/>
      <c r="D50" s="340">
        <v>5</v>
      </c>
      <c r="E50" s="341" t="s">
        <v>98</v>
      </c>
      <c r="F50" s="432" t="s">
        <v>1057</v>
      </c>
      <c r="G50" s="433" t="s">
        <v>93</v>
      </c>
      <c r="H50" s="434" t="s">
        <v>98</v>
      </c>
      <c r="I50" s="434" t="s">
        <v>98</v>
      </c>
      <c r="J50" s="94">
        <v>0</v>
      </c>
      <c r="K50" s="433" t="s">
        <v>96</v>
      </c>
      <c r="L50" s="435">
        <f>$BA50</f>
        <v>1.4687499999999998E-4</v>
      </c>
      <c r="M50" s="95">
        <v>1</v>
      </c>
      <c r="N50" s="96">
        <f t="shared" si="55"/>
        <v>1.3440316373092398</v>
      </c>
      <c r="O50" s="432" t="str">
        <f t="shared" si="56"/>
        <v>(3,4,4,3,1,5); de Wild-Scholten (2014) Life Cycle Assessment of Photovoltaics Status 2011, Part 1 Data Collection (Table 37)</v>
      </c>
      <c r="P50" s="435">
        <f>$BA50</f>
        <v>1.4687499999999998E-4</v>
      </c>
      <c r="Q50" s="95">
        <v>1</v>
      </c>
      <c r="R50" s="96">
        <f t="shared" si="57"/>
        <v>1.3440316373092398</v>
      </c>
      <c r="S50" s="432" t="str">
        <f t="shared" si="58"/>
        <v>(3,4,4,3,1,5); de Wild-Scholten (2014) Life Cycle Assessment of Photovoltaics Status 2011, Part 1 Data Collection (Table 37)</v>
      </c>
      <c r="T50" s="435">
        <f>$BA50</f>
        <v>1.4687499999999998E-4</v>
      </c>
      <c r="U50" s="95">
        <v>1</v>
      </c>
      <c r="V50" s="96">
        <f t="shared" si="59"/>
        <v>1.3440316373092398</v>
      </c>
      <c r="W50" s="432" t="str">
        <f t="shared" si="60"/>
        <v>(3,4,4,3,1,5); de Wild-Scholten (2014) Life Cycle Assessment of Photovoltaics Status 2011, Part 1 Data Collection (Table 37)</v>
      </c>
      <c r="X50" s="435">
        <f t="shared" ref="X50:X56" si="81">$BA50</f>
        <v>1.4687499999999998E-4</v>
      </c>
      <c r="Y50" s="95">
        <v>1</v>
      </c>
      <c r="Z50" s="96">
        <f t="shared" si="61"/>
        <v>1.3440316373092398</v>
      </c>
      <c r="AA50" s="432" t="str">
        <f t="shared" si="62"/>
        <v>(3,4,4,3,1,5); de Wild-Scholten (2014) Life Cycle Assessment of Photovoltaics Status 2011, Part 1 Data Collection (Table 37)</v>
      </c>
      <c r="AB50" s="435">
        <f t="shared" ref="AB50:AB56" si="82">$BA50</f>
        <v>1.4687499999999998E-4</v>
      </c>
      <c r="AC50" s="95">
        <v>1</v>
      </c>
      <c r="AD50" s="96">
        <f t="shared" si="63"/>
        <v>1.3440316373092398</v>
      </c>
      <c r="AE50" s="432" t="str">
        <f t="shared" si="64"/>
        <v>(3,4,4,3,1,5); de Wild-Scholten (2014) Life Cycle Assessment of Photovoltaics Status 2011, Part 1 Data Collection (Table 37)</v>
      </c>
      <c r="AF50" s="435">
        <f t="shared" ref="AF50:AF56" si="83">$BA50</f>
        <v>1.4687499999999998E-4</v>
      </c>
      <c r="AG50" s="95">
        <v>1</v>
      </c>
      <c r="AH50" s="96">
        <f t="shared" si="65"/>
        <v>1.3440316373092398</v>
      </c>
      <c r="AI50" s="432" t="str">
        <f t="shared" si="66"/>
        <v>(3,4,4,3,1,5); de Wild-Scholten (2014) Life Cycle Assessment of Photovoltaics Status 2011, Part 1 Data Collection (Table 37)</v>
      </c>
      <c r="AJ50" s="435">
        <f t="shared" ref="AJ50:AJ56" si="84">$BA50</f>
        <v>1.4687499999999998E-4</v>
      </c>
      <c r="AK50" s="95">
        <v>1</v>
      </c>
      <c r="AL50" s="96">
        <f t="shared" si="67"/>
        <v>1.3440316373092398</v>
      </c>
      <c r="AM50" s="432" t="str">
        <f t="shared" si="68"/>
        <v>(3,4,4,3,1,5); de Wild-Scholten (2014) Life Cycle Assessment of Photovoltaics Status 2011, Part 1 Data Collection (Table 37)</v>
      </c>
      <c r="AN50" s="435">
        <f>$BA50</f>
        <v>1.4687499999999998E-4</v>
      </c>
      <c r="AO50" s="95">
        <v>1</v>
      </c>
      <c r="AP50" s="96">
        <f t="shared" si="69"/>
        <v>1.3440316373092398</v>
      </c>
      <c r="AQ50" s="432" t="str">
        <f t="shared" si="70"/>
        <v>(3,4,4,3,1,5); de Wild-Scholten (2014) Life Cycle Assessment of Photovoltaics Status 2011, Part 1 Data Collection (Table 37)</v>
      </c>
      <c r="AR50" s="435">
        <v>0</v>
      </c>
      <c r="AS50" s="95">
        <v>1</v>
      </c>
      <c r="AT50" s="96">
        <f t="shared" si="71"/>
        <v>1.05</v>
      </c>
      <c r="AU50" s="432" t="str">
        <f t="shared" si="72"/>
        <v xml:space="preserve">(na,na,na,na,na,na); </v>
      </c>
      <c r="AV50" s="435">
        <v>0</v>
      </c>
      <c r="AW50" s="95">
        <v>1</v>
      </c>
      <c r="AX50" s="96">
        <f t="shared" si="73"/>
        <v>1.05</v>
      </c>
      <c r="AY50" s="432" t="str">
        <f t="shared" si="74"/>
        <v xml:space="preserve">(na,na,na,na,na,na); </v>
      </c>
      <c r="AZ50" s="112"/>
      <c r="BA50" s="435">
        <f>0.000235/1.6</f>
        <v>1.4687499999999998E-4</v>
      </c>
      <c r="BB50" s="216" t="s">
        <v>1230</v>
      </c>
      <c r="BC50" s="83">
        <v>3</v>
      </c>
      <c r="BD50" s="83">
        <v>4</v>
      </c>
      <c r="BE50" s="83">
        <v>4</v>
      </c>
      <c r="BF50" s="83">
        <v>3</v>
      </c>
      <c r="BG50" s="83">
        <v>1</v>
      </c>
      <c r="BH50" s="83">
        <v>5</v>
      </c>
      <c r="BI50" s="104">
        <v>3</v>
      </c>
      <c r="BJ50" s="104">
        <v>1.05</v>
      </c>
      <c r="BK50" s="107">
        <f t="shared" si="75"/>
        <v>1.3385948990307144</v>
      </c>
      <c r="BL50" s="107">
        <f t="shared" si="76"/>
        <v>1.3440316373092398</v>
      </c>
      <c r="BM50" s="107" t="str">
        <f t="shared" si="77"/>
        <v>(3,4,4,3,1,5)</v>
      </c>
      <c r="BN50" s="108">
        <v>1.1000000000000001</v>
      </c>
      <c r="BO50" s="108">
        <v>1.1000000000000001</v>
      </c>
      <c r="BP50" s="108">
        <v>1.2</v>
      </c>
      <c r="BQ50" s="108">
        <v>1.02</v>
      </c>
      <c r="BR50" s="108">
        <v>1</v>
      </c>
      <c r="BS50" s="108">
        <v>1.2</v>
      </c>
      <c r="BU50" s="692"/>
      <c r="BV50" s="83" t="s">
        <v>106</v>
      </c>
      <c r="BW50" s="83" t="s">
        <v>106</v>
      </c>
      <c r="BX50" s="83" t="s">
        <v>106</v>
      </c>
      <c r="BY50" s="83" t="s">
        <v>106</v>
      </c>
      <c r="BZ50" s="83" t="s">
        <v>106</v>
      </c>
      <c r="CA50" s="83" t="s">
        <v>106</v>
      </c>
      <c r="CB50" s="104">
        <v>3</v>
      </c>
      <c r="CC50" s="104">
        <v>1.05</v>
      </c>
      <c r="CD50" s="107">
        <f t="shared" si="78"/>
        <v>1</v>
      </c>
      <c r="CE50" s="107">
        <f t="shared" si="79"/>
        <v>1.05</v>
      </c>
      <c r="CF50" s="107" t="str">
        <f t="shared" si="80"/>
        <v>(na,na,na,na,na,na)</v>
      </c>
      <c r="CG50" s="108">
        <v>1</v>
      </c>
      <c r="CH50" s="108">
        <v>1</v>
      </c>
      <c r="CI50" s="108">
        <v>1</v>
      </c>
      <c r="CJ50" s="108">
        <v>1</v>
      </c>
      <c r="CK50" s="108">
        <v>1</v>
      </c>
      <c r="CL50" s="108">
        <v>1</v>
      </c>
    </row>
    <row r="51" spans="1:90" s="169" customFormat="1" ht="24">
      <c r="A51" s="330">
        <v>269129</v>
      </c>
      <c r="B51" s="331"/>
      <c r="C51" s="88"/>
      <c r="D51" s="340">
        <v>5</v>
      </c>
      <c r="E51" s="341" t="s">
        <v>98</v>
      </c>
      <c r="F51" s="432" t="s">
        <v>831</v>
      </c>
      <c r="G51" s="433" t="s">
        <v>93</v>
      </c>
      <c r="H51" s="434" t="s">
        <v>98</v>
      </c>
      <c r="I51" s="434" t="s">
        <v>98</v>
      </c>
      <c r="J51" s="94">
        <v>0</v>
      </c>
      <c r="K51" s="433" t="s">
        <v>96</v>
      </c>
      <c r="L51" s="435">
        <f>$BA51</f>
        <v>5.1437499999999997E-2</v>
      </c>
      <c r="M51" s="95">
        <v>1</v>
      </c>
      <c r="N51" s="96">
        <f t="shared" si="55"/>
        <v>1.3440316373092398</v>
      </c>
      <c r="O51" s="432" t="str">
        <f t="shared" si="56"/>
        <v>(3,4,4,3,1,5); de Wild-Scholten (2014) Life Cycle Assessment of Photovoltaics Status 2011, Part 1 Data Collection (Table 37)</v>
      </c>
      <c r="P51" s="435">
        <f>$BA51</f>
        <v>5.1437499999999997E-2</v>
      </c>
      <c r="Q51" s="95">
        <v>1</v>
      </c>
      <c r="R51" s="96">
        <f t="shared" si="57"/>
        <v>1.3440316373092398</v>
      </c>
      <c r="S51" s="432" t="str">
        <f t="shared" si="58"/>
        <v>(3,4,4,3,1,5); de Wild-Scholten (2014) Life Cycle Assessment of Photovoltaics Status 2011, Part 1 Data Collection (Table 37)</v>
      </c>
      <c r="T51" s="435">
        <f>$BA51</f>
        <v>5.1437499999999997E-2</v>
      </c>
      <c r="U51" s="95">
        <v>1</v>
      </c>
      <c r="V51" s="96">
        <f t="shared" si="59"/>
        <v>1.3440316373092398</v>
      </c>
      <c r="W51" s="432" t="str">
        <f t="shared" si="60"/>
        <v>(3,4,4,3,1,5); de Wild-Scholten (2014) Life Cycle Assessment of Photovoltaics Status 2011, Part 1 Data Collection (Table 37)</v>
      </c>
      <c r="X51" s="435">
        <f t="shared" si="81"/>
        <v>5.1437499999999997E-2</v>
      </c>
      <c r="Y51" s="95">
        <v>1</v>
      </c>
      <c r="Z51" s="96">
        <f t="shared" si="61"/>
        <v>1.3440316373092398</v>
      </c>
      <c r="AA51" s="432" t="str">
        <f t="shared" si="62"/>
        <v>(3,4,4,3,1,5); de Wild-Scholten (2014) Life Cycle Assessment of Photovoltaics Status 2011, Part 1 Data Collection (Table 37)</v>
      </c>
      <c r="AB51" s="435">
        <f t="shared" si="82"/>
        <v>5.1437499999999997E-2</v>
      </c>
      <c r="AC51" s="95">
        <v>1</v>
      </c>
      <c r="AD51" s="96">
        <f t="shared" si="63"/>
        <v>1.3440316373092398</v>
      </c>
      <c r="AE51" s="432" t="str">
        <f t="shared" si="64"/>
        <v>(3,4,4,3,1,5); de Wild-Scholten (2014) Life Cycle Assessment of Photovoltaics Status 2011, Part 1 Data Collection (Table 37)</v>
      </c>
      <c r="AF51" s="435">
        <f t="shared" si="83"/>
        <v>5.1437499999999997E-2</v>
      </c>
      <c r="AG51" s="95">
        <v>1</v>
      </c>
      <c r="AH51" s="96">
        <f t="shared" si="65"/>
        <v>1.3440316373092398</v>
      </c>
      <c r="AI51" s="432" t="str">
        <f t="shared" si="66"/>
        <v>(3,4,4,3,1,5); de Wild-Scholten (2014) Life Cycle Assessment of Photovoltaics Status 2011, Part 1 Data Collection (Table 37)</v>
      </c>
      <c r="AJ51" s="435">
        <f t="shared" si="84"/>
        <v>5.1437499999999997E-2</v>
      </c>
      <c r="AK51" s="95">
        <v>1</v>
      </c>
      <c r="AL51" s="96">
        <f t="shared" si="67"/>
        <v>1.3440316373092398</v>
      </c>
      <c r="AM51" s="432" t="str">
        <f t="shared" si="68"/>
        <v>(3,4,4,3,1,5); de Wild-Scholten (2014) Life Cycle Assessment of Photovoltaics Status 2011, Part 1 Data Collection (Table 37)</v>
      </c>
      <c r="AN51" s="435">
        <f>$BA51</f>
        <v>5.1437499999999997E-2</v>
      </c>
      <c r="AO51" s="95">
        <v>1</v>
      </c>
      <c r="AP51" s="96">
        <f t="shared" si="69"/>
        <v>1.3440316373092398</v>
      </c>
      <c r="AQ51" s="432" t="str">
        <f t="shared" si="70"/>
        <v>(3,4,4,3,1,5); de Wild-Scholten (2014) Life Cycle Assessment of Photovoltaics Status 2011, Part 1 Data Collection (Table 37)</v>
      </c>
      <c r="AR51" s="435">
        <v>0</v>
      </c>
      <c r="AS51" s="95">
        <v>1</v>
      </c>
      <c r="AT51" s="96">
        <f t="shared" si="71"/>
        <v>1.05</v>
      </c>
      <c r="AU51" s="432" t="str">
        <f t="shared" si="72"/>
        <v xml:space="preserve">(na,na,na,na,na,na); </v>
      </c>
      <c r="AV51" s="435">
        <v>0</v>
      </c>
      <c r="AW51" s="95">
        <v>1</v>
      </c>
      <c r="AX51" s="96">
        <f t="shared" si="73"/>
        <v>1.05</v>
      </c>
      <c r="AY51" s="432" t="str">
        <f t="shared" si="74"/>
        <v xml:space="preserve">(na,na,na,na,na,na); </v>
      </c>
      <c r="AZ51" s="112"/>
      <c r="BA51" s="435">
        <f>0.0823/1.6</f>
        <v>5.1437499999999997E-2</v>
      </c>
      <c r="BB51" s="216" t="s">
        <v>1230</v>
      </c>
      <c r="BC51" s="83">
        <v>3</v>
      </c>
      <c r="BD51" s="83">
        <v>4</v>
      </c>
      <c r="BE51" s="83">
        <v>4</v>
      </c>
      <c r="BF51" s="83">
        <v>3</v>
      </c>
      <c r="BG51" s="83">
        <v>1</v>
      </c>
      <c r="BH51" s="83">
        <v>5</v>
      </c>
      <c r="BI51" s="104">
        <v>3</v>
      </c>
      <c r="BJ51" s="104">
        <v>1.05</v>
      </c>
      <c r="BK51" s="107">
        <f t="shared" si="75"/>
        <v>1.3385948990307144</v>
      </c>
      <c r="BL51" s="107">
        <f t="shared" si="76"/>
        <v>1.3440316373092398</v>
      </c>
      <c r="BM51" s="107" t="str">
        <f t="shared" si="77"/>
        <v>(3,4,4,3,1,5)</v>
      </c>
      <c r="BN51" s="108">
        <v>1.1000000000000001</v>
      </c>
      <c r="BO51" s="108">
        <v>1.1000000000000001</v>
      </c>
      <c r="BP51" s="108">
        <v>1.2</v>
      </c>
      <c r="BQ51" s="108">
        <v>1.02</v>
      </c>
      <c r="BR51" s="108">
        <v>1</v>
      </c>
      <c r="BS51" s="108">
        <v>1.2</v>
      </c>
      <c r="BU51" s="692"/>
      <c r="BV51" s="83" t="s">
        <v>106</v>
      </c>
      <c r="BW51" s="83" t="s">
        <v>106</v>
      </c>
      <c r="BX51" s="83" t="s">
        <v>106</v>
      </c>
      <c r="BY51" s="83" t="s">
        <v>106</v>
      </c>
      <c r="BZ51" s="83" t="s">
        <v>106</v>
      </c>
      <c r="CA51" s="83" t="s">
        <v>106</v>
      </c>
      <c r="CB51" s="104">
        <v>3</v>
      </c>
      <c r="CC51" s="104">
        <v>1.05</v>
      </c>
      <c r="CD51" s="107">
        <f t="shared" si="78"/>
        <v>1</v>
      </c>
      <c r="CE51" s="107">
        <f t="shared" si="79"/>
        <v>1.05</v>
      </c>
      <c r="CF51" s="107" t="str">
        <f t="shared" si="80"/>
        <v>(na,na,na,na,na,na)</v>
      </c>
      <c r="CG51" s="108">
        <v>1</v>
      </c>
      <c r="CH51" s="108">
        <v>1</v>
      </c>
      <c r="CI51" s="108">
        <v>1</v>
      </c>
      <c r="CJ51" s="108">
        <v>1</v>
      </c>
      <c r="CK51" s="108">
        <v>1</v>
      </c>
      <c r="CL51" s="108">
        <v>1</v>
      </c>
    </row>
    <row r="52" spans="1:90" s="169" customFormat="1" ht="24">
      <c r="A52" s="330">
        <v>267121</v>
      </c>
      <c r="B52" s="331"/>
      <c r="C52" s="88"/>
      <c r="D52" s="340">
        <v>5</v>
      </c>
      <c r="E52" s="341" t="s">
        <v>98</v>
      </c>
      <c r="F52" s="432" t="s">
        <v>1290</v>
      </c>
      <c r="G52" s="433" t="s">
        <v>93</v>
      </c>
      <c r="H52" s="434" t="s">
        <v>98</v>
      </c>
      <c r="I52" s="434" t="s">
        <v>98</v>
      </c>
      <c r="J52" s="94">
        <v>0</v>
      </c>
      <c r="K52" s="433" t="s">
        <v>96</v>
      </c>
      <c r="L52" s="435">
        <f>$BA52</f>
        <v>1.1562499999999998E-2</v>
      </c>
      <c r="M52" s="95">
        <v>1</v>
      </c>
      <c r="N52" s="96">
        <f t="shared" si="55"/>
        <v>1.3440316373092398</v>
      </c>
      <c r="O52" s="432" t="str">
        <f t="shared" si="56"/>
        <v>(3,4,4,3,1,5); de Wild-Scholten (2014) Life Cycle Assessment of Photovoltaics Status 2011, Part 1 Data Collection (Table 37)</v>
      </c>
      <c r="P52" s="435">
        <f>$BA52</f>
        <v>1.1562499999999998E-2</v>
      </c>
      <c r="Q52" s="95">
        <v>1</v>
      </c>
      <c r="R52" s="96">
        <f t="shared" si="57"/>
        <v>1.3440316373092398</v>
      </c>
      <c r="S52" s="432" t="str">
        <f t="shared" si="58"/>
        <v>(3,4,4,3,1,5); de Wild-Scholten (2014) Life Cycle Assessment of Photovoltaics Status 2011, Part 1 Data Collection (Table 37)</v>
      </c>
      <c r="T52" s="435">
        <f>$BA52</f>
        <v>1.1562499999999998E-2</v>
      </c>
      <c r="U52" s="95">
        <v>1</v>
      </c>
      <c r="V52" s="96">
        <f t="shared" si="59"/>
        <v>1.3440316373092398</v>
      </c>
      <c r="W52" s="432" t="str">
        <f t="shared" si="60"/>
        <v>(3,4,4,3,1,5); de Wild-Scholten (2014) Life Cycle Assessment of Photovoltaics Status 2011, Part 1 Data Collection (Table 37)</v>
      </c>
      <c r="X52" s="435">
        <f t="shared" si="81"/>
        <v>1.1562499999999998E-2</v>
      </c>
      <c r="Y52" s="95">
        <v>1</v>
      </c>
      <c r="Z52" s="96">
        <f t="shared" si="61"/>
        <v>1.3440316373092398</v>
      </c>
      <c r="AA52" s="432" t="str">
        <f t="shared" si="62"/>
        <v>(3,4,4,3,1,5); de Wild-Scholten (2014) Life Cycle Assessment of Photovoltaics Status 2011, Part 1 Data Collection (Table 37)</v>
      </c>
      <c r="AB52" s="435">
        <f t="shared" si="82"/>
        <v>1.1562499999999998E-2</v>
      </c>
      <c r="AC52" s="95">
        <v>1</v>
      </c>
      <c r="AD52" s="96">
        <f t="shared" si="63"/>
        <v>1.3440316373092398</v>
      </c>
      <c r="AE52" s="432" t="str">
        <f t="shared" si="64"/>
        <v>(3,4,4,3,1,5); de Wild-Scholten (2014) Life Cycle Assessment of Photovoltaics Status 2011, Part 1 Data Collection (Table 37)</v>
      </c>
      <c r="AF52" s="435">
        <f t="shared" si="83"/>
        <v>1.1562499999999998E-2</v>
      </c>
      <c r="AG52" s="95">
        <v>1</v>
      </c>
      <c r="AH52" s="96">
        <f t="shared" si="65"/>
        <v>1.3440316373092398</v>
      </c>
      <c r="AI52" s="432" t="str">
        <f t="shared" si="66"/>
        <v>(3,4,4,3,1,5); de Wild-Scholten (2014) Life Cycle Assessment of Photovoltaics Status 2011, Part 1 Data Collection (Table 37)</v>
      </c>
      <c r="AJ52" s="435">
        <f t="shared" si="84"/>
        <v>1.1562499999999998E-2</v>
      </c>
      <c r="AK52" s="95">
        <v>1</v>
      </c>
      <c r="AL52" s="96">
        <f t="shared" si="67"/>
        <v>1.3440316373092398</v>
      </c>
      <c r="AM52" s="432" t="str">
        <f t="shared" si="68"/>
        <v>(3,4,4,3,1,5); de Wild-Scholten (2014) Life Cycle Assessment of Photovoltaics Status 2011, Part 1 Data Collection (Table 37)</v>
      </c>
      <c r="AN52" s="435">
        <f>$BA52</f>
        <v>1.1562499999999998E-2</v>
      </c>
      <c r="AO52" s="95">
        <v>1</v>
      </c>
      <c r="AP52" s="96">
        <f t="shared" si="69"/>
        <v>1.3440316373092398</v>
      </c>
      <c r="AQ52" s="432" t="str">
        <f t="shared" si="70"/>
        <v>(3,4,4,3,1,5); de Wild-Scholten (2014) Life Cycle Assessment of Photovoltaics Status 2011, Part 1 Data Collection (Table 37)</v>
      </c>
      <c r="AR52" s="435">
        <v>0</v>
      </c>
      <c r="AS52" s="95">
        <v>1</v>
      </c>
      <c r="AT52" s="96">
        <f t="shared" si="71"/>
        <v>1.05</v>
      </c>
      <c r="AU52" s="432" t="str">
        <f t="shared" si="72"/>
        <v xml:space="preserve">(na,na,na,na,na,na); </v>
      </c>
      <c r="AV52" s="435">
        <v>0</v>
      </c>
      <c r="AW52" s="95">
        <v>1</v>
      </c>
      <c r="AX52" s="96">
        <f t="shared" si="73"/>
        <v>1.05</v>
      </c>
      <c r="AY52" s="432" t="str">
        <f t="shared" si="74"/>
        <v xml:space="preserve">(na,na,na,na,na,na); </v>
      </c>
      <c r="AZ52" s="112"/>
      <c r="BA52" s="435">
        <f>0.0185/1.6</f>
        <v>1.1562499999999998E-2</v>
      </c>
      <c r="BB52" s="216" t="s">
        <v>1230</v>
      </c>
      <c r="BC52" s="83">
        <v>3</v>
      </c>
      <c r="BD52" s="83">
        <v>4</v>
      </c>
      <c r="BE52" s="83">
        <v>4</v>
      </c>
      <c r="BF52" s="83">
        <v>3</v>
      </c>
      <c r="BG52" s="83">
        <v>1</v>
      </c>
      <c r="BH52" s="83">
        <v>5</v>
      </c>
      <c r="BI52" s="104">
        <v>3</v>
      </c>
      <c r="BJ52" s="104">
        <v>1.05</v>
      </c>
      <c r="BK52" s="107">
        <f t="shared" si="75"/>
        <v>1.3385948990307144</v>
      </c>
      <c r="BL52" s="107">
        <f t="shared" si="76"/>
        <v>1.3440316373092398</v>
      </c>
      <c r="BM52" s="107" t="str">
        <f t="shared" si="77"/>
        <v>(3,4,4,3,1,5)</v>
      </c>
      <c r="BN52" s="108">
        <v>1.1000000000000001</v>
      </c>
      <c r="BO52" s="108">
        <v>1.1000000000000001</v>
      </c>
      <c r="BP52" s="108">
        <v>1.2</v>
      </c>
      <c r="BQ52" s="108">
        <v>1.02</v>
      </c>
      <c r="BR52" s="108">
        <v>1</v>
      </c>
      <c r="BS52" s="108">
        <v>1.2</v>
      </c>
      <c r="BU52" s="692"/>
      <c r="BV52" s="83" t="s">
        <v>106</v>
      </c>
      <c r="BW52" s="83" t="s">
        <v>106</v>
      </c>
      <c r="BX52" s="83" t="s">
        <v>106</v>
      </c>
      <c r="BY52" s="83" t="s">
        <v>106</v>
      </c>
      <c r="BZ52" s="83" t="s">
        <v>106</v>
      </c>
      <c r="CA52" s="83" t="s">
        <v>106</v>
      </c>
      <c r="CB52" s="104">
        <v>3</v>
      </c>
      <c r="CC52" s="104">
        <v>1.05</v>
      </c>
      <c r="CD52" s="107">
        <f t="shared" si="78"/>
        <v>1</v>
      </c>
      <c r="CE52" s="107">
        <f t="shared" si="79"/>
        <v>1.05</v>
      </c>
      <c r="CF52" s="107" t="str">
        <f t="shared" si="80"/>
        <v>(na,na,na,na,na,na)</v>
      </c>
      <c r="CG52" s="108">
        <v>1</v>
      </c>
      <c r="CH52" s="108">
        <v>1</v>
      </c>
      <c r="CI52" s="108">
        <v>1</v>
      </c>
      <c r="CJ52" s="108">
        <v>1</v>
      </c>
      <c r="CK52" s="108">
        <v>1</v>
      </c>
      <c r="CL52" s="108">
        <v>1</v>
      </c>
    </row>
    <row r="53" spans="1:90" s="169" customFormat="1">
      <c r="A53" s="330">
        <v>157763</v>
      </c>
      <c r="B53" s="331"/>
      <c r="C53" s="88"/>
      <c r="D53" s="340">
        <v>5</v>
      </c>
      <c r="E53" s="341" t="s">
        <v>98</v>
      </c>
      <c r="F53" s="432" t="s">
        <v>1207</v>
      </c>
      <c r="G53" s="433" t="s">
        <v>93</v>
      </c>
      <c r="H53" s="434" t="s">
        <v>98</v>
      </c>
      <c r="I53" s="434" t="s">
        <v>98</v>
      </c>
      <c r="J53" s="94">
        <v>0</v>
      </c>
      <c r="K53" s="433" t="s">
        <v>96</v>
      </c>
      <c r="L53" s="435">
        <v>0</v>
      </c>
      <c r="M53" s="95">
        <v>1</v>
      </c>
      <c r="N53" s="96">
        <f t="shared" si="55"/>
        <v>1.05</v>
      </c>
      <c r="O53" s="432" t="str">
        <f t="shared" si="56"/>
        <v xml:space="preserve">(na,na,na,na,na,na); </v>
      </c>
      <c r="P53" s="435">
        <v>0</v>
      </c>
      <c r="Q53" s="95">
        <v>1</v>
      </c>
      <c r="R53" s="96">
        <f t="shared" si="57"/>
        <v>1.05</v>
      </c>
      <c r="S53" s="432" t="str">
        <f t="shared" si="58"/>
        <v xml:space="preserve">(na,na,na,na,na,na); </v>
      </c>
      <c r="T53" s="435">
        <v>0</v>
      </c>
      <c r="U53" s="95">
        <v>1</v>
      </c>
      <c r="V53" s="96">
        <f t="shared" si="59"/>
        <v>1.05</v>
      </c>
      <c r="W53" s="432" t="str">
        <f t="shared" si="60"/>
        <v xml:space="preserve">(na,na,na,na,na,na); </v>
      </c>
      <c r="X53" s="435">
        <f t="shared" si="81"/>
        <v>0</v>
      </c>
      <c r="Y53" s="95">
        <v>1</v>
      </c>
      <c r="Z53" s="96">
        <f t="shared" si="61"/>
        <v>1.05</v>
      </c>
      <c r="AA53" s="432" t="str">
        <f t="shared" si="62"/>
        <v xml:space="preserve">(na,na,na,na,na,na); </v>
      </c>
      <c r="AB53" s="435">
        <f t="shared" si="82"/>
        <v>0</v>
      </c>
      <c r="AC53" s="95">
        <v>1</v>
      </c>
      <c r="AD53" s="96">
        <f t="shared" si="63"/>
        <v>1.05</v>
      </c>
      <c r="AE53" s="432" t="str">
        <f t="shared" si="64"/>
        <v xml:space="preserve">(na,na,na,na,na,na); </v>
      </c>
      <c r="AF53" s="435">
        <f t="shared" si="83"/>
        <v>0</v>
      </c>
      <c r="AG53" s="95">
        <v>1</v>
      </c>
      <c r="AH53" s="96">
        <f t="shared" si="65"/>
        <v>1.05</v>
      </c>
      <c r="AI53" s="432" t="str">
        <f t="shared" si="66"/>
        <v xml:space="preserve">(na,na,na,na,na,na); </v>
      </c>
      <c r="AJ53" s="435">
        <f t="shared" si="84"/>
        <v>0</v>
      </c>
      <c r="AK53" s="95">
        <v>1</v>
      </c>
      <c r="AL53" s="96">
        <f t="shared" si="67"/>
        <v>1.05</v>
      </c>
      <c r="AM53" s="432" t="str">
        <f t="shared" si="68"/>
        <v xml:space="preserve">(na,na,na,na,na,na); </v>
      </c>
      <c r="AN53" s="435">
        <v>0</v>
      </c>
      <c r="AO53" s="95">
        <v>1</v>
      </c>
      <c r="AP53" s="96">
        <f t="shared" si="69"/>
        <v>1.05</v>
      </c>
      <c r="AQ53" s="432" t="str">
        <f t="shared" si="70"/>
        <v xml:space="preserve">(na,na,na,na,na,na); </v>
      </c>
      <c r="AR53" s="435">
        <v>1.6000000000000001E-3</v>
      </c>
      <c r="AS53" s="95">
        <v>1</v>
      </c>
      <c r="AT53" s="96">
        <f t="shared" si="71"/>
        <v>1.2434566510799234</v>
      </c>
      <c r="AU53" s="432" t="str">
        <f t="shared" si="72"/>
        <v>(2,4,1,3,1,5); Brailovsky (2026) GM 08; at plant iso market</v>
      </c>
      <c r="AV53" s="435">
        <v>1.6000000000000001E-3</v>
      </c>
      <c r="AW53" s="95">
        <v>1</v>
      </c>
      <c r="AX53" s="96">
        <f t="shared" si="73"/>
        <v>1.2434566510799234</v>
      </c>
      <c r="AY53" s="432" t="str">
        <f t="shared" si="74"/>
        <v>(2,4,1,3,1,5); Brailovsky (2026) GM 08; at plant iso market</v>
      </c>
      <c r="AZ53" s="112"/>
      <c r="BA53" s="435"/>
      <c r="BB53" s="690"/>
      <c r="BC53" s="83" t="s">
        <v>106</v>
      </c>
      <c r="BD53" s="83" t="s">
        <v>106</v>
      </c>
      <c r="BE53" s="83" t="s">
        <v>106</v>
      </c>
      <c r="BF53" s="83" t="s">
        <v>106</v>
      </c>
      <c r="BG53" s="83" t="s">
        <v>106</v>
      </c>
      <c r="BH53" s="83" t="s">
        <v>106</v>
      </c>
      <c r="BI53" s="104">
        <v>3</v>
      </c>
      <c r="BJ53" s="104">
        <v>1.05</v>
      </c>
      <c r="BK53" s="107">
        <f t="shared" si="75"/>
        <v>1</v>
      </c>
      <c r="BL53" s="107">
        <f t="shared" si="76"/>
        <v>1.05</v>
      </c>
      <c r="BM53" s="107" t="str">
        <f t="shared" si="77"/>
        <v>(na,na,na,na,na,na)</v>
      </c>
      <c r="BN53" s="108">
        <v>1</v>
      </c>
      <c r="BO53" s="108">
        <v>1</v>
      </c>
      <c r="BP53" s="108">
        <v>1</v>
      </c>
      <c r="BQ53" s="108">
        <v>1</v>
      </c>
      <c r="BR53" s="108">
        <v>1</v>
      </c>
      <c r="BS53" s="108">
        <v>1</v>
      </c>
      <c r="BU53" s="692" t="s">
        <v>1280</v>
      </c>
      <c r="BV53" s="83">
        <v>2</v>
      </c>
      <c r="BW53" s="83">
        <v>4</v>
      </c>
      <c r="BX53" s="83">
        <v>1</v>
      </c>
      <c r="BY53" s="83">
        <v>3</v>
      </c>
      <c r="BZ53" s="83">
        <v>1</v>
      </c>
      <c r="CA53" s="83">
        <v>5</v>
      </c>
      <c r="CB53" s="104">
        <v>3</v>
      </c>
      <c r="CC53" s="104">
        <v>1.05</v>
      </c>
      <c r="CD53" s="107">
        <f t="shared" si="78"/>
        <v>1.2365959919080913</v>
      </c>
      <c r="CE53" s="107">
        <f t="shared" si="79"/>
        <v>1.2434566510799234</v>
      </c>
      <c r="CF53" s="107" t="str">
        <f t="shared" si="80"/>
        <v>(2,4,1,3,1,5)</v>
      </c>
      <c r="CG53" s="108">
        <v>1.05</v>
      </c>
      <c r="CH53" s="108">
        <v>1.1000000000000001</v>
      </c>
      <c r="CI53" s="108">
        <v>1</v>
      </c>
      <c r="CJ53" s="108">
        <v>1.02</v>
      </c>
      <c r="CK53" s="108">
        <v>1</v>
      </c>
      <c r="CL53" s="108">
        <v>1.2</v>
      </c>
    </row>
    <row r="54" spans="1:90">
      <c r="A54" s="330">
        <v>269451</v>
      </c>
      <c r="B54" s="331"/>
      <c r="C54" s="88"/>
      <c r="D54" s="340">
        <v>5</v>
      </c>
      <c r="E54" s="341" t="s">
        <v>98</v>
      </c>
      <c r="F54" s="432" t="s">
        <v>966</v>
      </c>
      <c r="G54" s="433" t="s">
        <v>93</v>
      </c>
      <c r="H54" s="434" t="s">
        <v>98</v>
      </c>
      <c r="I54" s="434" t="s">
        <v>98</v>
      </c>
      <c r="J54" s="94">
        <v>0</v>
      </c>
      <c r="K54" s="433" t="s">
        <v>96</v>
      </c>
      <c r="L54" s="435">
        <v>0</v>
      </c>
      <c r="M54" s="95">
        <v>1</v>
      </c>
      <c r="N54" s="96">
        <f t="shared" si="55"/>
        <v>1.05</v>
      </c>
      <c r="O54" s="432" t="str">
        <f t="shared" si="56"/>
        <v xml:space="preserve">(na,na,na,na,na,na); </v>
      </c>
      <c r="P54" s="435">
        <v>0</v>
      </c>
      <c r="Q54" s="95">
        <v>1</v>
      </c>
      <c r="R54" s="96">
        <f t="shared" si="57"/>
        <v>1.05</v>
      </c>
      <c r="S54" s="432" t="str">
        <f t="shared" si="58"/>
        <v xml:space="preserve">(na,na,na,na,na,na); </v>
      </c>
      <c r="T54" s="435">
        <v>0</v>
      </c>
      <c r="U54" s="95">
        <v>1</v>
      </c>
      <c r="V54" s="96">
        <f t="shared" si="59"/>
        <v>1.05</v>
      </c>
      <c r="W54" s="432" t="str">
        <f t="shared" si="60"/>
        <v xml:space="preserve">(na,na,na,na,na,na); </v>
      </c>
      <c r="X54" s="435">
        <f t="shared" si="81"/>
        <v>0</v>
      </c>
      <c r="Y54" s="95">
        <v>1</v>
      </c>
      <c r="Z54" s="96">
        <f t="shared" si="61"/>
        <v>1.05</v>
      </c>
      <c r="AA54" s="432" t="str">
        <f t="shared" si="62"/>
        <v xml:space="preserve">(na,na,na,na,na,na); </v>
      </c>
      <c r="AB54" s="435">
        <f t="shared" si="82"/>
        <v>0</v>
      </c>
      <c r="AC54" s="95">
        <v>1</v>
      </c>
      <c r="AD54" s="96">
        <f t="shared" si="63"/>
        <v>1.05</v>
      </c>
      <c r="AE54" s="432" t="str">
        <f t="shared" si="64"/>
        <v xml:space="preserve">(na,na,na,na,na,na); </v>
      </c>
      <c r="AF54" s="435">
        <f t="shared" si="83"/>
        <v>0</v>
      </c>
      <c r="AG54" s="95">
        <v>1</v>
      </c>
      <c r="AH54" s="96">
        <f t="shared" si="65"/>
        <v>1.05</v>
      </c>
      <c r="AI54" s="432" t="str">
        <f t="shared" si="66"/>
        <v xml:space="preserve">(na,na,na,na,na,na); </v>
      </c>
      <c r="AJ54" s="435">
        <f t="shared" si="84"/>
        <v>0</v>
      </c>
      <c r="AK54" s="95">
        <v>1</v>
      </c>
      <c r="AL54" s="96">
        <f t="shared" si="67"/>
        <v>1.05</v>
      </c>
      <c r="AM54" s="432" t="str">
        <f t="shared" si="68"/>
        <v xml:space="preserve">(na,na,na,na,na,na); </v>
      </c>
      <c r="AN54" s="435">
        <v>0</v>
      </c>
      <c r="AO54" s="95">
        <v>1</v>
      </c>
      <c r="AP54" s="96">
        <f t="shared" si="69"/>
        <v>1.05</v>
      </c>
      <c r="AQ54" s="432" t="str">
        <f t="shared" si="70"/>
        <v xml:space="preserve">(na,na,na,na,na,na); </v>
      </c>
      <c r="AR54" s="435">
        <v>3.5799999999999998E-2</v>
      </c>
      <c r="AS54" s="95">
        <v>1</v>
      </c>
      <c r="AT54" s="96">
        <f t="shared" si="71"/>
        <v>1.2434566510799234</v>
      </c>
      <c r="AU54" s="432" t="str">
        <f t="shared" si="72"/>
        <v>(2,4,1,3,1,5); Brailovsky (2026) GM 08</v>
      </c>
      <c r="AV54" s="435">
        <v>3.5799999999999998E-2</v>
      </c>
      <c r="AW54" s="95">
        <v>1</v>
      </c>
      <c r="AX54" s="96">
        <f t="shared" si="73"/>
        <v>1.2434566510799234</v>
      </c>
      <c r="AY54" s="432" t="str">
        <f t="shared" si="74"/>
        <v>(2,4,1,3,1,5); Brailovsky (2026) GM 08</v>
      </c>
      <c r="AZ54" s="112"/>
      <c r="BA54" s="435"/>
      <c r="BB54" s="690"/>
      <c r="BC54" s="83" t="s">
        <v>106</v>
      </c>
      <c r="BD54" s="83" t="s">
        <v>106</v>
      </c>
      <c r="BE54" s="83" t="s">
        <v>106</v>
      </c>
      <c r="BF54" s="83" t="s">
        <v>106</v>
      </c>
      <c r="BG54" s="83" t="s">
        <v>106</v>
      </c>
      <c r="BH54" s="83" t="s">
        <v>106</v>
      </c>
      <c r="BI54" s="104">
        <v>3</v>
      </c>
      <c r="BJ54" s="104">
        <v>1.05</v>
      </c>
      <c r="BK54" s="107">
        <f t="shared" si="75"/>
        <v>1</v>
      </c>
      <c r="BL54" s="107">
        <f t="shared" si="76"/>
        <v>1.05</v>
      </c>
      <c r="BM54" s="107" t="str">
        <f t="shared" si="77"/>
        <v>(na,na,na,na,na,na)</v>
      </c>
      <c r="BN54" s="108">
        <v>1</v>
      </c>
      <c r="BO54" s="108">
        <v>1</v>
      </c>
      <c r="BP54" s="108">
        <v>1</v>
      </c>
      <c r="BQ54" s="108">
        <v>1</v>
      </c>
      <c r="BR54" s="108">
        <v>1</v>
      </c>
      <c r="BS54" s="108">
        <v>1</v>
      </c>
      <c r="BU54" s="692" t="s">
        <v>1275</v>
      </c>
      <c r="BV54" s="83">
        <v>2</v>
      </c>
      <c r="BW54" s="83">
        <v>4</v>
      </c>
      <c r="BX54" s="83">
        <v>1</v>
      </c>
      <c r="BY54" s="83">
        <v>3</v>
      </c>
      <c r="BZ54" s="83">
        <v>1</v>
      </c>
      <c r="CA54" s="83">
        <v>5</v>
      </c>
      <c r="CB54" s="104">
        <v>3</v>
      </c>
      <c r="CC54" s="104">
        <v>1.05</v>
      </c>
      <c r="CD54" s="107">
        <f t="shared" si="78"/>
        <v>1.2365959919080913</v>
      </c>
      <c r="CE54" s="107">
        <f t="shared" si="79"/>
        <v>1.2434566510799234</v>
      </c>
      <c r="CF54" s="107" t="str">
        <f t="shared" si="80"/>
        <v>(2,4,1,3,1,5)</v>
      </c>
      <c r="CG54" s="108">
        <v>1.05</v>
      </c>
      <c r="CH54" s="108">
        <v>1.1000000000000001</v>
      </c>
      <c r="CI54" s="108">
        <v>1</v>
      </c>
      <c r="CJ54" s="108">
        <v>1.02</v>
      </c>
      <c r="CK54" s="108">
        <v>1</v>
      </c>
      <c r="CL54" s="108">
        <v>1.2</v>
      </c>
    </row>
    <row r="55" spans="1:90" ht="24">
      <c r="A55" s="330">
        <v>268447</v>
      </c>
      <c r="B55" s="331"/>
      <c r="C55" s="88"/>
      <c r="D55" s="340">
        <v>5</v>
      </c>
      <c r="E55" s="341" t="s">
        <v>98</v>
      </c>
      <c r="F55" s="432" t="s">
        <v>1211</v>
      </c>
      <c r="G55" s="433" t="s">
        <v>93</v>
      </c>
      <c r="H55" s="434" t="s">
        <v>98</v>
      </c>
      <c r="I55" s="434" t="s">
        <v>98</v>
      </c>
      <c r="J55" s="94">
        <v>0</v>
      </c>
      <c r="K55" s="433" t="s">
        <v>96</v>
      </c>
      <c r="L55" s="435">
        <f>$BA55</f>
        <v>0.76249999999999996</v>
      </c>
      <c r="M55" s="95">
        <v>1</v>
      </c>
      <c r="N55" s="96">
        <f t="shared" si="55"/>
        <v>1.2434566510799234</v>
      </c>
      <c r="O55" s="432" t="str">
        <f t="shared" si="56"/>
        <v>(1,4,4,3,1,3); de Wild-Scholten (2014) Life Cycle Assessment of Photovoltaics Status 2011, Part 1 Data Collection (Table 37)</v>
      </c>
      <c r="P55" s="435">
        <f>$BA55</f>
        <v>0.76249999999999996</v>
      </c>
      <c r="Q55" s="95">
        <v>1</v>
      </c>
      <c r="R55" s="96">
        <f t="shared" si="57"/>
        <v>1.2434566510799234</v>
      </c>
      <c r="S55" s="432" t="str">
        <f t="shared" si="58"/>
        <v>(1,4,4,3,1,3); de Wild-Scholten (2014) Life Cycle Assessment of Photovoltaics Status 2011, Part 1 Data Collection (Table 37)</v>
      </c>
      <c r="T55" s="435">
        <f>$BA55</f>
        <v>0.76249999999999996</v>
      </c>
      <c r="U55" s="95">
        <v>1</v>
      </c>
      <c r="V55" s="96">
        <f t="shared" si="59"/>
        <v>1.2434566510799234</v>
      </c>
      <c r="W55" s="432" t="str">
        <f t="shared" si="60"/>
        <v>(1,4,4,3,1,3); de Wild-Scholten (2014) Life Cycle Assessment of Photovoltaics Status 2011, Part 1 Data Collection (Table 37)</v>
      </c>
      <c r="X55" s="435">
        <f t="shared" si="81"/>
        <v>0.76249999999999996</v>
      </c>
      <c r="Y55" s="95">
        <v>1</v>
      </c>
      <c r="Z55" s="96">
        <f t="shared" si="61"/>
        <v>1.2434566510799234</v>
      </c>
      <c r="AA55" s="432" t="str">
        <f t="shared" si="62"/>
        <v>(1,4,4,3,1,3); de Wild-Scholten (2014) Life Cycle Assessment of Photovoltaics Status 2011, Part 1 Data Collection (Table 37)</v>
      </c>
      <c r="AB55" s="435">
        <f t="shared" si="82"/>
        <v>0.76249999999999996</v>
      </c>
      <c r="AC55" s="95">
        <v>1</v>
      </c>
      <c r="AD55" s="96">
        <f t="shared" si="63"/>
        <v>1.2434566510799234</v>
      </c>
      <c r="AE55" s="432" t="str">
        <f t="shared" si="64"/>
        <v>(1,4,4,3,1,3); de Wild-Scholten (2014) Life Cycle Assessment of Photovoltaics Status 2011, Part 1 Data Collection (Table 37)</v>
      </c>
      <c r="AF55" s="435">
        <f t="shared" si="83"/>
        <v>0.76249999999999996</v>
      </c>
      <c r="AG55" s="95">
        <v>1</v>
      </c>
      <c r="AH55" s="96">
        <f t="shared" si="65"/>
        <v>1.2434566510799234</v>
      </c>
      <c r="AI55" s="432" t="str">
        <f t="shared" si="66"/>
        <v>(1,4,4,3,1,3); de Wild-Scholten (2014) Life Cycle Assessment of Photovoltaics Status 2011, Part 1 Data Collection (Table 37)</v>
      </c>
      <c r="AJ55" s="435">
        <f t="shared" si="84"/>
        <v>0.76249999999999996</v>
      </c>
      <c r="AK55" s="95">
        <v>1</v>
      </c>
      <c r="AL55" s="96">
        <f t="shared" si="67"/>
        <v>1.2434566510799234</v>
      </c>
      <c r="AM55" s="432" t="str">
        <f t="shared" si="68"/>
        <v>(1,4,4,3,1,3); de Wild-Scholten (2014) Life Cycle Assessment of Photovoltaics Status 2011, Part 1 Data Collection (Table 37)</v>
      </c>
      <c r="AN55" s="435">
        <f>$BA55</f>
        <v>0.76249999999999996</v>
      </c>
      <c r="AO55" s="95">
        <v>1</v>
      </c>
      <c r="AP55" s="96">
        <f t="shared" si="69"/>
        <v>1.2434566510799234</v>
      </c>
      <c r="AQ55" s="432" t="str">
        <f t="shared" si="70"/>
        <v>(1,4,4,3,1,3); de Wild-Scholten (2014) Life Cycle Assessment of Photovoltaics Status 2011, Part 1 Data Collection (Table 37)</v>
      </c>
      <c r="AR55" s="435">
        <v>1.1000000000000001</v>
      </c>
      <c r="AS55" s="95">
        <v>1</v>
      </c>
      <c r="AT55" s="96">
        <f t="shared" si="71"/>
        <v>1.2434566510799234</v>
      </c>
      <c r="AU55" s="432" t="str">
        <f t="shared" si="72"/>
        <v>(2,4,1,3,1,5); Brailovsky (2026) GM 08</v>
      </c>
      <c r="AV55" s="435">
        <v>1.1000000000000001</v>
      </c>
      <c r="AW55" s="95">
        <v>1</v>
      </c>
      <c r="AX55" s="96">
        <f t="shared" si="73"/>
        <v>1.2434566510799234</v>
      </c>
      <c r="AY55" s="432" t="str">
        <f t="shared" si="74"/>
        <v>(2,4,1,3,1,5); Brailovsky (2026) GM 08</v>
      </c>
      <c r="AZ55" s="112"/>
      <c r="BA55" s="435">
        <f>1.22/1.6</f>
        <v>0.76249999999999996</v>
      </c>
      <c r="BB55" s="216" t="s">
        <v>1230</v>
      </c>
      <c r="BC55" s="83">
        <f>BC$23</f>
        <v>1</v>
      </c>
      <c r="BD55" s="83">
        <f>BD$23</f>
        <v>4</v>
      </c>
      <c r="BE55" s="83">
        <v>4</v>
      </c>
      <c r="BF55" s="83">
        <f>BF$23</f>
        <v>3</v>
      </c>
      <c r="BG55" s="83">
        <f>BG$23</f>
        <v>1</v>
      </c>
      <c r="BH55" s="83">
        <f>BH$23</f>
        <v>3</v>
      </c>
      <c r="BI55" s="104">
        <v>3</v>
      </c>
      <c r="BJ55" s="104">
        <v>1.05</v>
      </c>
      <c r="BK55" s="107">
        <f t="shared" si="75"/>
        <v>1.2365959919080913</v>
      </c>
      <c r="BL55" s="107">
        <f t="shared" si="76"/>
        <v>1.2434566510799234</v>
      </c>
      <c r="BM55" s="107" t="str">
        <f t="shared" si="77"/>
        <v>(1,4,4,3,1,3)</v>
      </c>
      <c r="BN55" s="108">
        <v>1</v>
      </c>
      <c r="BO55" s="108">
        <v>1.1000000000000001</v>
      </c>
      <c r="BP55" s="108">
        <v>1.2</v>
      </c>
      <c r="BQ55" s="108">
        <v>1.02</v>
      </c>
      <c r="BR55" s="108">
        <v>1</v>
      </c>
      <c r="BS55" s="108">
        <v>1.05</v>
      </c>
      <c r="BU55" s="692" t="s">
        <v>1275</v>
      </c>
      <c r="BV55" s="83">
        <f t="shared" ref="BV55:BW57" si="85">BV$23</f>
        <v>2</v>
      </c>
      <c r="BW55" s="83">
        <f t="shared" si="85"/>
        <v>4</v>
      </c>
      <c r="BX55" s="83">
        <v>1</v>
      </c>
      <c r="BY55" s="83">
        <f t="shared" ref="BY55:CA57" si="86">BY$23</f>
        <v>3</v>
      </c>
      <c r="BZ55" s="83">
        <f t="shared" si="86"/>
        <v>1</v>
      </c>
      <c r="CA55" s="83">
        <f t="shared" si="86"/>
        <v>5</v>
      </c>
      <c r="CB55" s="104">
        <v>3</v>
      </c>
      <c r="CC55" s="104">
        <v>1.05</v>
      </c>
      <c r="CD55" s="107">
        <f t="shared" si="78"/>
        <v>1.2365959919080913</v>
      </c>
      <c r="CE55" s="107">
        <f t="shared" si="79"/>
        <v>1.2434566510799234</v>
      </c>
      <c r="CF55" s="107" t="str">
        <f t="shared" si="80"/>
        <v>(2,4,1,3,1,5)</v>
      </c>
      <c r="CG55" s="108">
        <v>1.05</v>
      </c>
      <c r="CH55" s="108">
        <v>1.1000000000000001</v>
      </c>
      <c r="CI55" s="108">
        <v>1</v>
      </c>
      <c r="CJ55" s="108">
        <v>1.02</v>
      </c>
      <c r="CK55" s="108">
        <v>1</v>
      </c>
      <c r="CL55" s="108">
        <v>1.2</v>
      </c>
    </row>
    <row r="56" spans="1:90" s="169" customFormat="1" ht="24">
      <c r="A56" s="330">
        <v>269335</v>
      </c>
      <c r="B56" s="331"/>
      <c r="C56" s="88"/>
      <c r="D56" s="340">
        <v>5</v>
      </c>
      <c r="E56" s="341" t="s">
        <v>98</v>
      </c>
      <c r="F56" s="432" t="s">
        <v>493</v>
      </c>
      <c r="G56" s="433" t="s">
        <v>93</v>
      </c>
      <c r="H56" s="434" t="s">
        <v>98</v>
      </c>
      <c r="I56" s="434" t="s">
        <v>98</v>
      </c>
      <c r="J56" s="94">
        <v>0</v>
      </c>
      <c r="K56" s="433" t="s">
        <v>144</v>
      </c>
      <c r="L56" s="435">
        <f>$BA56</f>
        <v>0.05</v>
      </c>
      <c r="M56" s="95">
        <v>1</v>
      </c>
      <c r="N56" s="96">
        <f t="shared" si="55"/>
        <v>1.3440316373092398</v>
      </c>
      <c r="O56" s="432" t="str">
        <f t="shared" si="56"/>
        <v>(3,4,4,3,1,5); de Wild-Scholten (2014) Life Cycle Assessment of Photovoltaics Status 2011, Part 1 Data Collection (Table 37)</v>
      </c>
      <c r="P56" s="435">
        <f>$BA56</f>
        <v>0.05</v>
      </c>
      <c r="Q56" s="95">
        <v>1</v>
      </c>
      <c r="R56" s="96">
        <f t="shared" si="57"/>
        <v>1.3440316373092398</v>
      </c>
      <c r="S56" s="432" t="str">
        <f t="shared" si="58"/>
        <v>(3,4,4,3,1,5); de Wild-Scholten (2014) Life Cycle Assessment of Photovoltaics Status 2011, Part 1 Data Collection (Table 37)</v>
      </c>
      <c r="T56" s="435">
        <f>$BA56</f>
        <v>0.05</v>
      </c>
      <c r="U56" s="95">
        <v>1</v>
      </c>
      <c r="V56" s="96">
        <f t="shared" si="59"/>
        <v>1.3440316373092398</v>
      </c>
      <c r="W56" s="432" t="str">
        <f t="shared" si="60"/>
        <v>(3,4,4,3,1,5); de Wild-Scholten (2014) Life Cycle Assessment of Photovoltaics Status 2011, Part 1 Data Collection (Table 37)</v>
      </c>
      <c r="X56" s="435">
        <f t="shared" si="81"/>
        <v>0.05</v>
      </c>
      <c r="Y56" s="95">
        <v>1</v>
      </c>
      <c r="Z56" s="96">
        <f t="shared" si="61"/>
        <v>1.3440316373092398</v>
      </c>
      <c r="AA56" s="432" t="str">
        <f t="shared" si="62"/>
        <v>(3,4,4,3,1,5); de Wild-Scholten (2014) Life Cycle Assessment of Photovoltaics Status 2011, Part 1 Data Collection (Table 37)</v>
      </c>
      <c r="AB56" s="435">
        <f t="shared" si="82"/>
        <v>0.05</v>
      </c>
      <c r="AC56" s="95">
        <v>1</v>
      </c>
      <c r="AD56" s="96">
        <f t="shared" si="63"/>
        <v>1.3440316373092398</v>
      </c>
      <c r="AE56" s="432" t="str">
        <f t="shared" si="64"/>
        <v>(3,4,4,3,1,5); de Wild-Scholten (2014) Life Cycle Assessment of Photovoltaics Status 2011, Part 1 Data Collection (Table 37)</v>
      </c>
      <c r="AF56" s="435">
        <f t="shared" si="83"/>
        <v>0.05</v>
      </c>
      <c r="AG56" s="95">
        <v>1</v>
      </c>
      <c r="AH56" s="96">
        <f t="shared" si="65"/>
        <v>1.3440316373092398</v>
      </c>
      <c r="AI56" s="432" t="str">
        <f t="shared" si="66"/>
        <v>(3,4,4,3,1,5); de Wild-Scholten (2014) Life Cycle Assessment of Photovoltaics Status 2011, Part 1 Data Collection (Table 37)</v>
      </c>
      <c r="AJ56" s="435">
        <f t="shared" si="84"/>
        <v>0.05</v>
      </c>
      <c r="AK56" s="95">
        <v>1</v>
      </c>
      <c r="AL56" s="96">
        <f t="shared" si="67"/>
        <v>1.3440316373092398</v>
      </c>
      <c r="AM56" s="432" t="str">
        <f t="shared" si="68"/>
        <v>(3,4,4,3,1,5); de Wild-Scholten (2014) Life Cycle Assessment of Photovoltaics Status 2011, Part 1 Data Collection (Table 37)</v>
      </c>
      <c r="AN56" s="435">
        <f>$BA56</f>
        <v>0.05</v>
      </c>
      <c r="AO56" s="95">
        <v>1</v>
      </c>
      <c r="AP56" s="96">
        <f t="shared" si="69"/>
        <v>1.3440316373092398</v>
      </c>
      <c r="AQ56" s="432" t="str">
        <f t="shared" si="70"/>
        <v>(3,4,4,3,1,5); de Wild-Scholten (2014) Life Cycle Assessment of Photovoltaics Status 2011, Part 1 Data Collection (Table 37)</v>
      </c>
      <c r="AR56" s="435">
        <v>4.6899999999999997E-3</v>
      </c>
      <c r="AS56" s="95">
        <v>1</v>
      </c>
      <c r="AT56" s="96">
        <f t="shared" si="71"/>
        <v>1.2434566510799234</v>
      </c>
      <c r="AU56" s="432" t="str">
        <f t="shared" si="72"/>
        <v>(2,4,1,3,1,5); Brailovsky (2026) GM 08</v>
      </c>
      <c r="AV56" s="435">
        <v>4.6899999999999997E-3</v>
      </c>
      <c r="AW56" s="95">
        <v>1</v>
      </c>
      <c r="AX56" s="96">
        <f t="shared" si="73"/>
        <v>1.2434566510799234</v>
      </c>
      <c r="AY56" s="432" t="str">
        <f t="shared" si="74"/>
        <v>(2,4,1,3,1,5); Brailovsky (2026) GM 08</v>
      </c>
      <c r="AZ56" s="112"/>
      <c r="BA56" s="435">
        <v>0.05</v>
      </c>
      <c r="BB56" s="216" t="s">
        <v>1230</v>
      </c>
      <c r="BC56" s="83">
        <v>3</v>
      </c>
      <c r="BD56" s="83">
        <v>4</v>
      </c>
      <c r="BE56" s="83">
        <v>4</v>
      </c>
      <c r="BF56" s="83">
        <v>3</v>
      </c>
      <c r="BG56" s="83">
        <v>1</v>
      </c>
      <c r="BH56" s="83">
        <v>5</v>
      </c>
      <c r="BI56" s="104">
        <v>3</v>
      </c>
      <c r="BJ56" s="104">
        <v>1.05</v>
      </c>
      <c r="BK56" s="107">
        <f t="shared" si="75"/>
        <v>1.3385948990307144</v>
      </c>
      <c r="BL56" s="107">
        <f t="shared" si="76"/>
        <v>1.3440316373092398</v>
      </c>
      <c r="BM56" s="107" t="str">
        <f t="shared" si="77"/>
        <v>(3,4,4,3,1,5)</v>
      </c>
      <c r="BN56" s="108">
        <v>1.1000000000000001</v>
      </c>
      <c r="BO56" s="108">
        <v>1.1000000000000001</v>
      </c>
      <c r="BP56" s="108">
        <v>1.2</v>
      </c>
      <c r="BQ56" s="108">
        <v>1.02</v>
      </c>
      <c r="BR56" s="108">
        <v>1</v>
      </c>
      <c r="BS56" s="108">
        <v>1.2</v>
      </c>
      <c r="BU56" s="692" t="s">
        <v>1275</v>
      </c>
      <c r="BV56" s="83">
        <f t="shared" si="85"/>
        <v>2</v>
      </c>
      <c r="BW56" s="83">
        <f t="shared" si="85"/>
        <v>4</v>
      </c>
      <c r="BX56" s="83">
        <v>1</v>
      </c>
      <c r="BY56" s="83">
        <f t="shared" si="86"/>
        <v>3</v>
      </c>
      <c r="BZ56" s="83">
        <f t="shared" si="86"/>
        <v>1</v>
      </c>
      <c r="CA56" s="83">
        <f t="shared" si="86"/>
        <v>5</v>
      </c>
      <c r="CB56" s="104">
        <v>3</v>
      </c>
      <c r="CC56" s="104">
        <v>1.05</v>
      </c>
      <c r="CD56" s="107">
        <f t="shared" si="78"/>
        <v>1.2365959919080913</v>
      </c>
      <c r="CE56" s="107">
        <f t="shared" si="79"/>
        <v>1.2434566510799234</v>
      </c>
      <c r="CF56" s="107" t="str">
        <f t="shared" si="80"/>
        <v>(2,4,1,3,1,5)</v>
      </c>
      <c r="CG56" s="108">
        <v>1.05</v>
      </c>
      <c r="CH56" s="108">
        <v>1.1000000000000001</v>
      </c>
      <c r="CI56" s="108">
        <v>1</v>
      </c>
      <c r="CJ56" s="108">
        <v>1.02</v>
      </c>
      <c r="CK56" s="108">
        <v>1</v>
      </c>
      <c r="CL56" s="108">
        <v>1.2</v>
      </c>
    </row>
    <row r="57" spans="1:90" ht="24">
      <c r="A57" s="330">
        <v>267914</v>
      </c>
      <c r="B57" s="331" t="s">
        <v>500</v>
      </c>
      <c r="C57" s="88"/>
      <c r="D57" s="340">
        <v>5</v>
      </c>
      <c r="E57" s="341" t="s">
        <v>98</v>
      </c>
      <c r="F57" s="432" t="s">
        <v>380</v>
      </c>
      <c r="G57" s="433" t="s">
        <v>372</v>
      </c>
      <c r="H57" s="434" t="s">
        <v>98</v>
      </c>
      <c r="I57" s="434" t="s">
        <v>98</v>
      </c>
      <c r="J57" s="94">
        <v>0</v>
      </c>
      <c r="K57" s="433" t="s">
        <v>109</v>
      </c>
      <c r="L57" s="435">
        <v>3.6</v>
      </c>
      <c r="M57" s="95">
        <v>1</v>
      </c>
      <c r="N57" s="96">
        <f t="shared" si="55"/>
        <v>1.0906744032152329</v>
      </c>
      <c r="O57" s="432" t="str">
        <f t="shared" si="56"/>
        <v>(2,2,1,1,1,3); de Wild-Scholten, M. &amp; de Wild, P. (2023). PV industry data collection. Data on PERC module production from 7 manufacturers.</v>
      </c>
      <c r="P57" s="435">
        <v>3.6</v>
      </c>
      <c r="Q57" s="95">
        <v>1</v>
      </c>
      <c r="R57" s="96">
        <f t="shared" si="57"/>
        <v>1.0906744032152329</v>
      </c>
      <c r="S57" s="432" t="str">
        <f t="shared" si="58"/>
        <v>(2,2,1,1,1,3); de Wild-Scholten, M. &amp; de Wild, P. (2023). PV industry data collection. Data on PERC module production from 7 manufacturers.</v>
      </c>
      <c r="T57" s="435">
        <v>0</v>
      </c>
      <c r="U57" s="95">
        <v>1</v>
      </c>
      <c r="V57" s="96">
        <f t="shared" si="59"/>
        <v>1.0906744032152329</v>
      </c>
      <c r="W57" s="432" t="str">
        <f t="shared" si="60"/>
        <v>(2,2,1,1,1,3); de Wild-Scholten, M. &amp; de Wild, P. (2023). PV industry data collection. Data on PERC module production from 7 manufacturers.</v>
      </c>
      <c r="X57" s="435">
        <v>0</v>
      </c>
      <c r="Y57" s="95">
        <v>1</v>
      </c>
      <c r="Z57" s="96">
        <f t="shared" si="61"/>
        <v>1.0906744032152329</v>
      </c>
      <c r="AA57" s="432" t="str">
        <f t="shared" si="62"/>
        <v>(2,2,1,1,1,3); de Wild-Scholten, M. &amp; de Wild, P. (2023). PV industry data collection. Data on PERC module production from 7 manufacturers.</v>
      </c>
      <c r="AB57" s="435">
        <v>0</v>
      </c>
      <c r="AC57" s="95">
        <v>1</v>
      </c>
      <c r="AD57" s="96">
        <f t="shared" si="63"/>
        <v>1.0906744032152329</v>
      </c>
      <c r="AE57" s="432" t="str">
        <f t="shared" si="64"/>
        <v>(2,2,1,1,1,3); de Wild-Scholten, M. &amp; de Wild, P. (2023). PV industry data collection. Data on PERC module production from 7 manufacturers.</v>
      </c>
      <c r="AF57" s="435">
        <v>0</v>
      </c>
      <c r="AG57" s="95">
        <v>1</v>
      </c>
      <c r="AH57" s="96">
        <f t="shared" si="65"/>
        <v>1.0906744032152329</v>
      </c>
      <c r="AI57" s="432" t="str">
        <f t="shared" si="66"/>
        <v>(2,2,1,1,1,3); de Wild-Scholten, M. &amp; de Wild, P. (2023). PV industry data collection. Data on PERC module production from 7 manufacturers.</v>
      </c>
      <c r="AJ57" s="435">
        <v>0</v>
      </c>
      <c r="AK57" s="95">
        <v>1</v>
      </c>
      <c r="AL57" s="96">
        <f t="shared" si="67"/>
        <v>1.0906744032152329</v>
      </c>
      <c r="AM57" s="432" t="str">
        <f t="shared" si="68"/>
        <v>(2,2,1,1,1,3); de Wild-Scholten, M. &amp; de Wild, P. (2023). PV industry data collection. Data on PERC module production from 7 manufacturers.</v>
      </c>
      <c r="AN57" s="435">
        <v>0</v>
      </c>
      <c r="AO57" s="95">
        <v>1</v>
      </c>
      <c r="AP57" s="96">
        <f t="shared" si="69"/>
        <v>1.0906744032152329</v>
      </c>
      <c r="AQ57" s="432" t="str">
        <f t="shared" si="70"/>
        <v>(2,2,1,1,1,3); de Wild-Scholten, M. &amp; de Wild, P. (2023). PV industry data collection. Data on PERC module production from 7 manufacturers.</v>
      </c>
      <c r="AR57" s="435">
        <v>0</v>
      </c>
      <c r="AS57" s="95">
        <v>1</v>
      </c>
      <c r="AT57" s="96">
        <f t="shared" si="71"/>
        <v>1.2434566510799234</v>
      </c>
      <c r="AU57" s="432" t="str">
        <f t="shared" si="72"/>
        <v>(2,4,1,3,1,5); Brailovsky (2026) GM 08</v>
      </c>
      <c r="AV57" s="435">
        <v>3.6</v>
      </c>
      <c r="AW57" s="95">
        <v>1</v>
      </c>
      <c r="AX57" s="96">
        <f t="shared" si="73"/>
        <v>1.2434566510799234</v>
      </c>
      <c r="AY57" s="432" t="str">
        <f t="shared" si="74"/>
        <v>(2,4,1,3,1,5); Brailovsky (2026) GM 08</v>
      </c>
      <c r="AZ57" s="112"/>
      <c r="BA57" s="435">
        <v>0</v>
      </c>
      <c r="BB57" s="216" t="s">
        <v>1291</v>
      </c>
      <c r="BC57" s="83">
        <v>2</v>
      </c>
      <c r="BD57" s="83">
        <v>2</v>
      </c>
      <c r="BE57" s="83">
        <v>1</v>
      </c>
      <c r="BF57" s="83">
        <v>1</v>
      </c>
      <c r="BG57" s="83">
        <v>1</v>
      </c>
      <c r="BH57" s="83">
        <v>3</v>
      </c>
      <c r="BI57" s="104">
        <v>3</v>
      </c>
      <c r="BJ57" s="104">
        <v>1.05</v>
      </c>
      <c r="BK57" s="107">
        <f t="shared" si="75"/>
        <v>1.0744244531716256</v>
      </c>
      <c r="BL57" s="107">
        <f t="shared" si="76"/>
        <v>1.0906744032152329</v>
      </c>
      <c r="BM57" s="107" t="str">
        <f t="shared" si="77"/>
        <v>(2,2,1,1,1,3)</v>
      </c>
      <c r="BN57" s="108">
        <v>1.05</v>
      </c>
      <c r="BO57" s="108">
        <v>1.02</v>
      </c>
      <c r="BP57" s="108">
        <v>1</v>
      </c>
      <c r="BQ57" s="108">
        <v>1</v>
      </c>
      <c r="BR57" s="108">
        <v>1</v>
      </c>
      <c r="BS57" s="108">
        <v>1.05</v>
      </c>
      <c r="BU57" s="692" t="s">
        <v>1275</v>
      </c>
      <c r="BV57" s="83">
        <f t="shared" si="85"/>
        <v>2</v>
      </c>
      <c r="BW57" s="83">
        <f t="shared" si="85"/>
        <v>4</v>
      </c>
      <c r="BX57" s="83">
        <v>1</v>
      </c>
      <c r="BY57" s="83">
        <f t="shared" si="86"/>
        <v>3</v>
      </c>
      <c r="BZ57" s="83">
        <f t="shared" si="86"/>
        <v>1</v>
      </c>
      <c r="CA57" s="83">
        <f t="shared" si="86"/>
        <v>5</v>
      </c>
      <c r="CB57" s="104">
        <v>3</v>
      </c>
      <c r="CC57" s="104">
        <v>1.05</v>
      </c>
      <c r="CD57" s="107">
        <f t="shared" si="78"/>
        <v>1.2365959919080913</v>
      </c>
      <c r="CE57" s="107">
        <f t="shared" si="79"/>
        <v>1.2434566510799234</v>
      </c>
      <c r="CF57" s="107" t="str">
        <f t="shared" si="80"/>
        <v>(2,4,1,3,1,5)</v>
      </c>
      <c r="CG57" s="108">
        <v>1.05</v>
      </c>
      <c r="CH57" s="108">
        <v>1.1000000000000001</v>
      </c>
      <c r="CI57" s="108">
        <v>1</v>
      </c>
      <c r="CJ57" s="108">
        <v>1.02</v>
      </c>
      <c r="CK57" s="108">
        <v>1</v>
      </c>
      <c r="CL57" s="108">
        <v>1.2</v>
      </c>
    </row>
    <row r="58" spans="1:90" ht="24">
      <c r="A58" s="330">
        <v>19772</v>
      </c>
      <c r="B58" s="331"/>
      <c r="C58" s="88"/>
      <c r="D58" s="340">
        <v>5</v>
      </c>
      <c r="E58" s="341" t="s">
        <v>98</v>
      </c>
      <c r="F58" s="432" t="s">
        <v>225</v>
      </c>
      <c r="G58" s="433" t="s">
        <v>215</v>
      </c>
      <c r="H58" s="434" t="s">
        <v>98</v>
      </c>
      <c r="I58" s="434" t="s">
        <v>98</v>
      </c>
      <c r="J58" s="94">
        <v>0</v>
      </c>
      <c r="K58" s="433" t="s">
        <v>109</v>
      </c>
      <c r="L58" s="435">
        <v>0</v>
      </c>
      <c r="M58" s="95">
        <v>1</v>
      </c>
      <c r="N58" s="96">
        <f t="shared" si="55"/>
        <v>1.0906744032152329</v>
      </c>
      <c r="O58" s="432" t="str">
        <f t="shared" si="56"/>
        <v>(2,2,1,1,1,3); de Wild-Scholten, M. &amp; de Wild, P. (2023). PV industry data collection. Data on PERC module production from 7 manufacturers.</v>
      </c>
      <c r="P58" s="435">
        <v>0</v>
      </c>
      <c r="Q58" s="95">
        <v>1</v>
      </c>
      <c r="R58" s="96">
        <f t="shared" si="57"/>
        <v>1.0906744032152329</v>
      </c>
      <c r="S58" s="432" t="str">
        <f t="shared" si="58"/>
        <v>(2,2,1,1,1,3); de Wild-Scholten, M. &amp; de Wild, P. (2023). PV industry data collection. Data on PERC module production from 7 manufacturers.</v>
      </c>
      <c r="T58" s="466">
        <v>3.6</v>
      </c>
      <c r="U58" s="95">
        <v>1</v>
      </c>
      <c r="V58" s="96">
        <f t="shared" si="59"/>
        <v>1.0906744032152329</v>
      </c>
      <c r="W58" s="432" t="str">
        <f t="shared" si="60"/>
        <v>(2,2,1,1,1,3); de Wild-Scholten, M. &amp; de Wild, P. (2023). PV industry data collection. Data on PERC module production from 7 manufacturers.</v>
      </c>
      <c r="X58" s="466">
        <v>3.6</v>
      </c>
      <c r="Y58" s="95">
        <v>1</v>
      </c>
      <c r="Z58" s="96">
        <f t="shared" si="61"/>
        <v>1.0906744032152329</v>
      </c>
      <c r="AA58" s="432" t="str">
        <f t="shared" si="62"/>
        <v>(2,2,1,1,1,3); de Wild-Scholten, M. &amp; de Wild, P. (2023). PV industry data collection. Data on PERC module production from 7 manufacturers.</v>
      </c>
      <c r="AB58" s="435">
        <v>0</v>
      </c>
      <c r="AC58" s="95">
        <v>1</v>
      </c>
      <c r="AD58" s="96">
        <f t="shared" si="63"/>
        <v>1.0906744032152329</v>
      </c>
      <c r="AE58" s="432" t="str">
        <f t="shared" si="64"/>
        <v>(2,2,1,1,1,3); de Wild-Scholten, M. &amp; de Wild, P. (2023). PV industry data collection. Data on PERC module production from 7 manufacturers.</v>
      </c>
      <c r="AF58" s="435">
        <v>0</v>
      </c>
      <c r="AG58" s="95">
        <v>1</v>
      </c>
      <c r="AH58" s="96">
        <f t="shared" si="65"/>
        <v>1.0906744032152329</v>
      </c>
      <c r="AI58" s="432" t="str">
        <f t="shared" si="66"/>
        <v>(2,2,1,1,1,3); de Wild-Scholten, M. &amp; de Wild, P. (2023). PV industry data collection. Data on PERC module production from 7 manufacturers.</v>
      </c>
      <c r="AJ58" s="435">
        <v>0</v>
      </c>
      <c r="AK58" s="95">
        <v>1</v>
      </c>
      <c r="AL58" s="96">
        <f t="shared" si="67"/>
        <v>1.0906744032152329</v>
      </c>
      <c r="AM58" s="432" t="str">
        <f t="shared" si="68"/>
        <v>(2,2,1,1,1,3); de Wild-Scholten, M. &amp; de Wild, P. (2023). PV industry data collection. Data on PERC module production from 7 manufacturers.</v>
      </c>
      <c r="AN58" s="435">
        <v>0</v>
      </c>
      <c r="AO58" s="95">
        <v>1</v>
      </c>
      <c r="AP58" s="96">
        <f t="shared" si="69"/>
        <v>1.0906744032152329</v>
      </c>
      <c r="AQ58" s="432" t="str">
        <f t="shared" si="70"/>
        <v>(2,2,1,1,1,3); de Wild-Scholten, M. &amp; de Wild, P. (2023). PV industry data collection. Data on PERC module production from 7 manufacturers.</v>
      </c>
      <c r="AR58" s="435">
        <v>0</v>
      </c>
      <c r="AS58" s="95">
        <v>1</v>
      </c>
      <c r="AT58" s="96">
        <f t="shared" si="71"/>
        <v>1.05</v>
      </c>
      <c r="AU58" s="432" t="str">
        <f t="shared" si="72"/>
        <v xml:space="preserve">(na,na,na,na,na,na); </v>
      </c>
      <c r="AV58" s="435">
        <v>0</v>
      </c>
      <c r="AW58" s="95">
        <v>1</v>
      </c>
      <c r="AX58" s="96">
        <f t="shared" si="73"/>
        <v>1.05</v>
      </c>
      <c r="AY58" s="432" t="str">
        <f t="shared" si="74"/>
        <v xml:space="preserve">(na,na,na,na,na,na); </v>
      </c>
      <c r="AZ58" s="112"/>
      <c r="BA58" s="435">
        <v>0</v>
      </c>
      <c r="BB58" s="216" t="s">
        <v>1291</v>
      </c>
      <c r="BC58" s="83">
        <v>2</v>
      </c>
      <c r="BD58" s="83">
        <v>2</v>
      </c>
      <c r="BE58" s="83">
        <v>1</v>
      </c>
      <c r="BF58" s="83">
        <v>1</v>
      </c>
      <c r="BG58" s="83">
        <v>1</v>
      </c>
      <c r="BH58" s="83">
        <v>3</v>
      </c>
      <c r="BI58" s="104">
        <v>3</v>
      </c>
      <c r="BJ58" s="104">
        <v>1.05</v>
      </c>
      <c r="BK58" s="107">
        <f t="shared" si="75"/>
        <v>1.0744244531716256</v>
      </c>
      <c r="BL58" s="107">
        <f t="shared" si="76"/>
        <v>1.0906744032152329</v>
      </c>
      <c r="BM58" s="107" t="str">
        <f t="shared" si="77"/>
        <v>(2,2,1,1,1,3)</v>
      </c>
      <c r="BN58" s="108">
        <v>1.05</v>
      </c>
      <c r="BO58" s="108">
        <v>1.02</v>
      </c>
      <c r="BP58" s="108">
        <v>1</v>
      </c>
      <c r="BQ58" s="108">
        <v>1</v>
      </c>
      <c r="BR58" s="108">
        <v>1</v>
      </c>
      <c r="BS58" s="108">
        <v>1.05</v>
      </c>
      <c r="BU58" s="692"/>
      <c r="BV58" s="83" t="s">
        <v>106</v>
      </c>
      <c r="BW58" s="83" t="s">
        <v>106</v>
      </c>
      <c r="BX58" s="83" t="s">
        <v>106</v>
      </c>
      <c r="BY58" s="83" t="s">
        <v>106</v>
      </c>
      <c r="BZ58" s="83" t="s">
        <v>106</v>
      </c>
      <c r="CA58" s="83" t="s">
        <v>106</v>
      </c>
      <c r="CB58" s="104">
        <v>3</v>
      </c>
      <c r="CC58" s="104">
        <v>1.05</v>
      </c>
      <c r="CD58" s="107">
        <f t="shared" si="78"/>
        <v>1</v>
      </c>
      <c r="CE58" s="107">
        <f t="shared" si="79"/>
        <v>1.05</v>
      </c>
      <c r="CF58" s="107" t="str">
        <f t="shared" si="80"/>
        <v>(na,na,na,na,na,na)</v>
      </c>
      <c r="CG58" s="108">
        <v>1</v>
      </c>
      <c r="CH58" s="108">
        <v>1</v>
      </c>
      <c r="CI58" s="108">
        <v>1</v>
      </c>
      <c r="CJ58" s="108">
        <v>1</v>
      </c>
      <c r="CK58" s="108">
        <v>1</v>
      </c>
      <c r="CL58" s="108">
        <v>1</v>
      </c>
    </row>
    <row r="59" spans="1:90" ht="24">
      <c r="A59" s="330">
        <v>259809</v>
      </c>
      <c r="B59" s="331"/>
      <c r="C59" s="88"/>
      <c r="D59" s="340">
        <v>5</v>
      </c>
      <c r="E59" s="341" t="s">
        <v>98</v>
      </c>
      <c r="F59" s="432" t="s">
        <v>381</v>
      </c>
      <c r="G59" s="433" t="s">
        <v>382</v>
      </c>
      <c r="H59" s="434" t="s">
        <v>98</v>
      </c>
      <c r="I59" s="434" t="s">
        <v>98</v>
      </c>
      <c r="J59" s="94">
        <v>0</v>
      </c>
      <c r="K59" s="433" t="s">
        <v>109</v>
      </c>
      <c r="L59" s="435">
        <v>0</v>
      </c>
      <c r="M59" s="95">
        <v>1</v>
      </c>
      <c r="N59" s="96">
        <f t="shared" si="55"/>
        <v>1.0906744032152329</v>
      </c>
      <c r="O59" s="432" t="str">
        <f t="shared" si="56"/>
        <v>(2,2,1,1,1,3); de Wild-Scholten, M. &amp; de Wild, P. (2023). PV industry data collection. Data on PERC module production from 7 manufacturers.</v>
      </c>
      <c r="P59" s="435">
        <v>0</v>
      </c>
      <c r="Q59" s="95">
        <v>1</v>
      </c>
      <c r="R59" s="96">
        <f t="shared" si="57"/>
        <v>1.0906744032152329</v>
      </c>
      <c r="S59" s="432" t="str">
        <f t="shared" si="58"/>
        <v>(2,2,1,1,1,3); de Wild-Scholten, M. &amp; de Wild, P. (2023). PV industry data collection. Data on PERC module production from 7 manufacturers.</v>
      </c>
      <c r="T59" s="435">
        <v>0</v>
      </c>
      <c r="U59" s="95">
        <v>1</v>
      </c>
      <c r="V59" s="96">
        <f t="shared" si="59"/>
        <v>1.0906744032152329</v>
      </c>
      <c r="W59" s="432" t="str">
        <f t="shared" si="60"/>
        <v>(2,2,1,1,1,3); de Wild-Scholten, M. &amp; de Wild, P. (2023). PV industry data collection. Data on PERC module production from 7 manufacturers.</v>
      </c>
      <c r="X59" s="435">
        <v>0</v>
      </c>
      <c r="Y59" s="95">
        <v>1</v>
      </c>
      <c r="Z59" s="96">
        <f t="shared" si="61"/>
        <v>1.0906744032152329</v>
      </c>
      <c r="AA59" s="432" t="str">
        <f t="shared" si="62"/>
        <v>(2,2,1,1,1,3); de Wild-Scholten, M. &amp; de Wild, P. (2023). PV industry data collection. Data on PERC module production from 7 manufacturers.</v>
      </c>
      <c r="AB59" s="435">
        <f>AJ64*$F$101</f>
        <v>0.37894736842105264</v>
      </c>
      <c r="AC59" s="95">
        <v>1</v>
      </c>
      <c r="AD59" s="96">
        <f t="shared" si="63"/>
        <v>1.0906744032152329</v>
      </c>
      <c r="AE59" s="432" t="str">
        <f t="shared" si="64"/>
        <v>(2,2,1,1,1,3); de Wild-Scholten, M. &amp; de Wild, P. (2023). PV industry data collection. Data on PERC module production from 7 manufacturers.</v>
      </c>
      <c r="AF59" s="435">
        <f>AN64*$F$101</f>
        <v>0.37894736842105264</v>
      </c>
      <c r="AG59" s="95">
        <v>1</v>
      </c>
      <c r="AH59" s="96">
        <f t="shared" si="65"/>
        <v>1.0906744032152329</v>
      </c>
      <c r="AI59" s="432" t="str">
        <f t="shared" si="66"/>
        <v>(2,2,1,1,1,3); de Wild-Scholten, M. &amp; de Wild, P. (2023). PV industry data collection. Data on PERC module production from 7 manufacturers.</v>
      </c>
      <c r="AJ59" s="435">
        <v>0</v>
      </c>
      <c r="AK59" s="95">
        <v>1</v>
      </c>
      <c r="AL59" s="96">
        <f t="shared" si="67"/>
        <v>1.0906744032152329</v>
      </c>
      <c r="AM59" s="432" t="str">
        <f t="shared" si="68"/>
        <v>(2,2,1,1,1,3); de Wild-Scholten, M. &amp; de Wild, P. (2023). PV industry data collection. Data on PERC module production from 7 manufacturers.</v>
      </c>
      <c r="AN59" s="435">
        <v>0</v>
      </c>
      <c r="AO59" s="95">
        <v>1</v>
      </c>
      <c r="AP59" s="96">
        <f t="shared" si="69"/>
        <v>1.0906744032152329</v>
      </c>
      <c r="AQ59" s="432" t="str">
        <f t="shared" si="70"/>
        <v>(2,2,1,1,1,3); de Wild-Scholten, M. &amp; de Wild, P. (2023). PV industry data collection. Data on PERC module production from 7 manufacturers.</v>
      </c>
      <c r="AR59" s="435">
        <v>0</v>
      </c>
      <c r="AS59" s="95">
        <v>1</v>
      </c>
      <c r="AT59" s="96">
        <f t="shared" si="71"/>
        <v>1.05</v>
      </c>
      <c r="AU59" s="432" t="str">
        <f t="shared" si="72"/>
        <v xml:space="preserve">(na,na,na,na,na,na); </v>
      </c>
      <c r="AV59" s="435">
        <v>0</v>
      </c>
      <c r="AW59" s="95">
        <v>1</v>
      </c>
      <c r="AX59" s="96">
        <f t="shared" si="73"/>
        <v>1.05</v>
      </c>
      <c r="AY59" s="432" t="str">
        <f t="shared" si="74"/>
        <v xml:space="preserve">(na,na,na,na,na,na); </v>
      </c>
      <c r="AZ59" s="112"/>
      <c r="BA59" s="435">
        <v>0</v>
      </c>
      <c r="BB59" s="216" t="s">
        <v>1291</v>
      </c>
      <c r="BC59" s="83">
        <v>2</v>
      </c>
      <c r="BD59" s="83">
        <v>2</v>
      </c>
      <c r="BE59" s="83">
        <v>1</v>
      </c>
      <c r="BF59" s="83">
        <v>1</v>
      </c>
      <c r="BG59" s="83">
        <v>1</v>
      </c>
      <c r="BH59" s="83">
        <v>3</v>
      </c>
      <c r="BI59" s="104">
        <v>3</v>
      </c>
      <c r="BJ59" s="104">
        <v>1.05</v>
      </c>
      <c r="BK59" s="107">
        <f t="shared" si="75"/>
        <v>1.0744244531716256</v>
      </c>
      <c r="BL59" s="107">
        <f t="shared" si="76"/>
        <v>1.0906744032152329</v>
      </c>
      <c r="BM59" s="107" t="str">
        <f t="shared" si="77"/>
        <v>(2,2,1,1,1,3)</v>
      </c>
      <c r="BN59" s="108">
        <v>1.05</v>
      </c>
      <c r="BO59" s="108">
        <v>1.02</v>
      </c>
      <c r="BP59" s="108">
        <v>1</v>
      </c>
      <c r="BQ59" s="108">
        <v>1</v>
      </c>
      <c r="BR59" s="108">
        <v>1</v>
      </c>
      <c r="BS59" s="108">
        <v>1.05</v>
      </c>
      <c r="BU59" s="692"/>
      <c r="BV59" s="83" t="s">
        <v>106</v>
      </c>
      <c r="BW59" s="83" t="s">
        <v>106</v>
      </c>
      <c r="BX59" s="83" t="s">
        <v>106</v>
      </c>
      <c r="BY59" s="83" t="s">
        <v>106</v>
      </c>
      <c r="BZ59" s="83" t="s">
        <v>106</v>
      </c>
      <c r="CA59" s="83" t="s">
        <v>106</v>
      </c>
      <c r="CB59" s="104">
        <v>3</v>
      </c>
      <c r="CC59" s="104">
        <v>1.05</v>
      </c>
      <c r="CD59" s="107">
        <f t="shared" si="78"/>
        <v>1</v>
      </c>
      <c r="CE59" s="107">
        <f t="shared" si="79"/>
        <v>1.05</v>
      </c>
      <c r="CF59" s="107" t="str">
        <f t="shared" si="80"/>
        <v>(na,na,na,na,na,na)</v>
      </c>
      <c r="CG59" s="108">
        <v>1</v>
      </c>
      <c r="CH59" s="108">
        <v>1</v>
      </c>
      <c r="CI59" s="108">
        <v>1</v>
      </c>
      <c r="CJ59" s="108">
        <v>1</v>
      </c>
      <c r="CK59" s="108">
        <v>1</v>
      </c>
      <c r="CL59" s="108">
        <v>1</v>
      </c>
    </row>
    <row r="60" spans="1:90" ht="24">
      <c r="A60" s="330">
        <v>266385</v>
      </c>
      <c r="B60" s="331"/>
      <c r="C60" s="88"/>
      <c r="D60" s="340">
        <v>5</v>
      </c>
      <c r="E60" s="341" t="s">
        <v>98</v>
      </c>
      <c r="F60" s="432" t="s">
        <v>642</v>
      </c>
      <c r="G60" s="433" t="s">
        <v>643</v>
      </c>
      <c r="H60" s="434" t="s">
        <v>98</v>
      </c>
      <c r="I60" s="434" t="s">
        <v>98</v>
      </c>
      <c r="J60" s="94">
        <v>0</v>
      </c>
      <c r="K60" s="433" t="s">
        <v>109</v>
      </c>
      <c r="L60" s="435">
        <v>0</v>
      </c>
      <c r="M60" s="95">
        <v>1</v>
      </c>
      <c r="N60" s="96">
        <f t="shared" si="55"/>
        <v>1.0906744032152329</v>
      </c>
      <c r="O60" s="432" t="str">
        <f t="shared" si="56"/>
        <v>(2,2,1,1,1,3); de Wild-Scholten, M. &amp; de Wild, P. (2023). PV industry data collection. Data on PERC module production from 7 manufacturers.</v>
      </c>
      <c r="P60" s="435">
        <v>0</v>
      </c>
      <c r="Q60" s="95">
        <v>1</v>
      </c>
      <c r="R60" s="96">
        <f t="shared" si="57"/>
        <v>1.0906744032152329</v>
      </c>
      <c r="S60" s="432" t="str">
        <f t="shared" si="58"/>
        <v>(2,2,1,1,1,3); de Wild-Scholten, M. &amp; de Wild, P. (2023). PV industry data collection. Data on PERC module production from 7 manufacturers.</v>
      </c>
      <c r="T60" s="435">
        <v>0</v>
      </c>
      <c r="U60" s="95">
        <v>1</v>
      </c>
      <c r="V60" s="96">
        <f t="shared" si="59"/>
        <v>1.0906744032152329</v>
      </c>
      <c r="W60" s="432" t="str">
        <f t="shared" si="60"/>
        <v>(2,2,1,1,1,3); de Wild-Scholten, M. &amp; de Wild, P. (2023). PV industry data collection. Data on PERC module production from 7 manufacturers.</v>
      </c>
      <c r="X60" s="435">
        <v>0</v>
      </c>
      <c r="Y60" s="95">
        <v>1</v>
      </c>
      <c r="Z60" s="96">
        <f t="shared" si="61"/>
        <v>1.0906744032152329</v>
      </c>
      <c r="AA60" s="432" t="str">
        <f t="shared" si="62"/>
        <v>(2,2,1,1,1,3); de Wild-Scholten, M. &amp; de Wild, P. (2023). PV industry data collection. Data on PERC module production from 7 manufacturers.</v>
      </c>
      <c r="AB60" s="435">
        <f>AJ64*$F$102</f>
        <v>0.56842105263157894</v>
      </c>
      <c r="AC60" s="95">
        <v>1</v>
      </c>
      <c r="AD60" s="96">
        <f t="shared" si="63"/>
        <v>1.0906744032152329</v>
      </c>
      <c r="AE60" s="432" t="str">
        <f t="shared" si="64"/>
        <v>(2,2,1,1,1,3); de Wild-Scholten, M. &amp; de Wild, P. (2023). PV industry data collection. Data on PERC module production from 7 manufacturers.</v>
      </c>
      <c r="AF60" s="435">
        <f>AN64*$F$102</f>
        <v>0.56842105263157894</v>
      </c>
      <c r="AG60" s="95">
        <v>1</v>
      </c>
      <c r="AH60" s="96">
        <f t="shared" si="65"/>
        <v>1.0906744032152329</v>
      </c>
      <c r="AI60" s="432" t="str">
        <f t="shared" si="66"/>
        <v>(2,2,1,1,1,3); de Wild-Scholten, M. &amp; de Wild, P. (2023). PV industry data collection. Data on PERC module production from 7 manufacturers.</v>
      </c>
      <c r="AJ60" s="435">
        <v>0</v>
      </c>
      <c r="AK60" s="95">
        <v>1</v>
      </c>
      <c r="AL60" s="96">
        <f t="shared" si="67"/>
        <v>1.0906744032152329</v>
      </c>
      <c r="AM60" s="432" t="str">
        <f t="shared" si="68"/>
        <v>(2,2,1,1,1,3); de Wild-Scholten, M. &amp; de Wild, P. (2023). PV industry data collection. Data on PERC module production from 7 manufacturers.</v>
      </c>
      <c r="AN60" s="435">
        <v>0</v>
      </c>
      <c r="AO60" s="95">
        <v>1</v>
      </c>
      <c r="AP60" s="96">
        <f t="shared" si="69"/>
        <v>1.0906744032152329</v>
      </c>
      <c r="AQ60" s="432" t="str">
        <f t="shared" si="70"/>
        <v>(2,2,1,1,1,3); de Wild-Scholten, M. &amp; de Wild, P. (2023). PV industry data collection. Data on PERC module production from 7 manufacturers.</v>
      </c>
      <c r="AR60" s="435">
        <v>0</v>
      </c>
      <c r="AS60" s="95">
        <v>1</v>
      </c>
      <c r="AT60" s="96">
        <f t="shared" si="71"/>
        <v>1.05</v>
      </c>
      <c r="AU60" s="432" t="str">
        <f t="shared" si="72"/>
        <v xml:space="preserve">(na,na,na,na,na,na); </v>
      </c>
      <c r="AV60" s="435">
        <v>0</v>
      </c>
      <c r="AW60" s="95">
        <v>1</v>
      </c>
      <c r="AX60" s="96">
        <f t="shared" si="73"/>
        <v>1.05</v>
      </c>
      <c r="AY60" s="432" t="str">
        <f t="shared" si="74"/>
        <v xml:space="preserve">(na,na,na,na,na,na); </v>
      </c>
      <c r="AZ60" s="112"/>
      <c r="BA60" s="435">
        <v>0</v>
      </c>
      <c r="BB60" s="216" t="s">
        <v>1291</v>
      </c>
      <c r="BC60" s="83">
        <v>2</v>
      </c>
      <c r="BD60" s="83">
        <v>2</v>
      </c>
      <c r="BE60" s="83">
        <v>1</v>
      </c>
      <c r="BF60" s="83">
        <v>1</v>
      </c>
      <c r="BG60" s="83">
        <v>1</v>
      </c>
      <c r="BH60" s="83">
        <v>3</v>
      </c>
      <c r="BI60" s="104">
        <v>3</v>
      </c>
      <c r="BJ60" s="104">
        <v>1.05</v>
      </c>
      <c r="BK60" s="107">
        <f t="shared" si="75"/>
        <v>1.0744244531716256</v>
      </c>
      <c r="BL60" s="107">
        <f t="shared" si="76"/>
        <v>1.0906744032152329</v>
      </c>
      <c r="BM60" s="107" t="str">
        <f t="shared" si="77"/>
        <v>(2,2,1,1,1,3)</v>
      </c>
      <c r="BN60" s="108">
        <v>1.05</v>
      </c>
      <c r="BO60" s="108">
        <v>1.02</v>
      </c>
      <c r="BP60" s="108">
        <v>1</v>
      </c>
      <c r="BQ60" s="108">
        <v>1</v>
      </c>
      <c r="BR60" s="108">
        <v>1</v>
      </c>
      <c r="BS60" s="108">
        <v>1.05</v>
      </c>
      <c r="BU60" s="692"/>
      <c r="BV60" s="83" t="s">
        <v>106</v>
      </c>
      <c r="BW60" s="83" t="s">
        <v>106</v>
      </c>
      <c r="BX60" s="83" t="s">
        <v>106</v>
      </c>
      <c r="BY60" s="83" t="s">
        <v>106</v>
      </c>
      <c r="BZ60" s="83" t="s">
        <v>106</v>
      </c>
      <c r="CA60" s="83" t="s">
        <v>106</v>
      </c>
      <c r="CB60" s="104">
        <v>3</v>
      </c>
      <c r="CC60" s="104">
        <v>1.05</v>
      </c>
      <c r="CD60" s="107">
        <f t="shared" si="78"/>
        <v>1</v>
      </c>
      <c r="CE60" s="107">
        <f t="shared" si="79"/>
        <v>1.05</v>
      </c>
      <c r="CF60" s="107" t="str">
        <f t="shared" si="80"/>
        <v>(na,na,na,na,na,na)</v>
      </c>
      <c r="CG60" s="108">
        <v>1</v>
      </c>
      <c r="CH60" s="108">
        <v>1</v>
      </c>
      <c r="CI60" s="108">
        <v>1</v>
      </c>
      <c r="CJ60" s="108">
        <v>1</v>
      </c>
      <c r="CK60" s="108">
        <v>1</v>
      </c>
      <c r="CL60" s="108">
        <v>1</v>
      </c>
    </row>
    <row r="61" spans="1:90" ht="24">
      <c r="A61" s="330" t="s">
        <v>645</v>
      </c>
      <c r="B61" s="331"/>
      <c r="C61" s="88"/>
      <c r="D61" s="340">
        <v>5</v>
      </c>
      <c r="E61" s="341" t="s">
        <v>98</v>
      </c>
      <c r="F61" s="432" t="s">
        <v>646</v>
      </c>
      <c r="G61" s="433" t="s">
        <v>647</v>
      </c>
      <c r="H61" s="434" t="s">
        <v>98</v>
      </c>
      <c r="I61" s="434" t="s">
        <v>98</v>
      </c>
      <c r="J61" s="94">
        <v>0</v>
      </c>
      <c r="K61" s="433" t="s">
        <v>109</v>
      </c>
      <c r="L61" s="435">
        <v>0</v>
      </c>
      <c r="M61" s="95">
        <v>1</v>
      </c>
      <c r="N61" s="96">
        <f t="shared" si="55"/>
        <v>1.0906744032152329</v>
      </c>
      <c r="O61" s="432" t="str">
        <f t="shared" si="56"/>
        <v>(2,2,1,1,1,3); de Wild-Scholten, M. &amp; de Wild, P. (2023). PV industry data collection. Data on PERC module production from 7 manufacturers.</v>
      </c>
      <c r="P61" s="435">
        <v>0</v>
      </c>
      <c r="Q61" s="95">
        <v>1</v>
      </c>
      <c r="R61" s="96">
        <f t="shared" si="57"/>
        <v>1.0906744032152329</v>
      </c>
      <c r="S61" s="432" t="str">
        <f t="shared" si="58"/>
        <v>(2,2,1,1,1,3); de Wild-Scholten, M. &amp; de Wild, P. (2023). PV industry data collection. Data on PERC module production from 7 manufacturers.</v>
      </c>
      <c r="T61" s="435">
        <v>0</v>
      </c>
      <c r="U61" s="95">
        <v>1</v>
      </c>
      <c r="V61" s="96">
        <f t="shared" si="59"/>
        <v>1.0906744032152329</v>
      </c>
      <c r="W61" s="432" t="str">
        <f t="shared" si="60"/>
        <v>(2,2,1,1,1,3); de Wild-Scholten, M. &amp; de Wild, P. (2023). PV industry data collection. Data on PERC module production from 7 manufacturers.</v>
      </c>
      <c r="X61" s="435">
        <v>0</v>
      </c>
      <c r="Y61" s="95">
        <v>1</v>
      </c>
      <c r="Z61" s="96">
        <f t="shared" si="61"/>
        <v>1.0906744032152329</v>
      </c>
      <c r="AA61" s="432" t="str">
        <f t="shared" si="62"/>
        <v>(2,2,1,1,1,3); de Wild-Scholten, M. &amp; de Wild, P. (2023). PV industry data collection. Data on PERC module production from 7 manufacturers.</v>
      </c>
      <c r="AB61" s="435">
        <f>AJ64*($F$103+$F$105)</f>
        <v>1.2126315789473685</v>
      </c>
      <c r="AC61" s="95">
        <v>1</v>
      </c>
      <c r="AD61" s="96">
        <f t="shared" si="63"/>
        <v>1.0906744032152329</v>
      </c>
      <c r="AE61" s="432" t="str">
        <f t="shared" si="64"/>
        <v>(2,2,1,1,1,3); de Wild-Scholten, M. &amp; de Wild, P. (2023). PV industry data collection. Data on PERC module production from 7 manufacturers.</v>
      </c>
      <c r="AF61" s="435">
        <f>AN64*($F$103+$F$105)</f>
        <v>1.2126315789473685</v>
      </c>
      <c r="AG61" s="95">
        <v>1</v>
      </c>
      <c r="AH61" s="96">
        <f t="shared" si="65"/>
        <v>1.0906744032152329</v>
      </c>
      <c r="AI61" s="432" t="str">
        <f t="shared" si="66"/>
        <v>(2,2,1,1,1,3); de Wild-Scholten, M. &amp; de Wild, P. (2023). PV industry data collection. Data on PERC module production from 7 manufacturers.</v>
      </c>
      <c r="AJ61" s="435">
        <v>0</v>
      </c>
      <c r="AK61" s="95">
        <v>1</v>
      </c>
      <c r="AL61" s="96">
        <f t="shared" si="67"/>
        <v>1.0906744032152329</v>
      </c>
      <c r="AM61" s="432" t="str">
        <f t="shared" si="68"/>
        <v>(2,2,1,1,1,3); de Wild-Scholten, M. &amp; de Wild, P. (2023). PV industry data collection. Data on PERC module production from 7 manufacturers.</v>
      </c>
      <c r="AN61" s="435">
        <v>0</v>
      </c>
      <c r="AO61" s="95">
        <v>1</v>
      </c>
      <c r="AP61" s="96">
        <f t="shared" si="69"/>
        <v>1.0906744032152329</v>
      </c>
      <c r="AQ61" s="432" t="str">
        <f t="shared" si="70"/>
        <v>(2,2,1,1,1,3); de Wild-Scholten, M. &amp; de Wild, P. (2023). PV industry data collection. Data on PERC module production from 7 manufacturers.</v>
      </c>
      <c r="AR61" s="435">
        <v>0</v>
      </c>
      <c r="AS61" s="95">
        <v>1</v>
      </c>
      <c r="AT61" s="96">
        <f t="shared" si="71"/>
        <v>1.05</v>
      </c>
      <c r="AU61" s="432" t="str">
        <f t="shared" si="72"/>
        <v xml:space="preserve">(na,na,na,na,na,na); </v>
      </c>
      <c r="AV61" s="435">
        <v>0</v>
      </c>
      <c r="AW61" s="95">
        <v>1</v>
      </c>
      <c r="AX61" s="96">
        <f t="shared" si="73"/>
        <v>1.05</v>
      </c>
      <c r="AY61" s="432" t="str">
        <f t="shared" si="74"/>
        <v xml:space="preserve">(na,na,na,na,na,na); </v>
      </c>
      <c r="AZ61" s="112"/>
      <c r="BA61" s="435">
        <v>0</v>
      </c>
      <c r="BB61" s="216" t="s">
        <v>1291</v>
      </c>
      <c r="BC61" s="83">
        <v>2</v>
      </c>
      <c r="BD61" s="83">
        <v>2</v>
      </c>
      <c r="BE61" s="83">
        <v>1</v>
      </c>
      <c r="BF61" s="83">
        <v>1</v>
      </c>
      <c r="BG61" s="83">
        <v>1</v>
      </c>
      <c r="BH61" s="83">
        <v>3</v>
      </c>
      <c r="BI61" s="104">
        <v>2</v>
      </c>
      <c r="BJ61" s="104">
        <v>1.05</v>
      </c>
      <c r="BK61" s="107">
        <f t="shared" si="75"/>
        <v>1.0744244531716256</v>
      </c>
      <c r="BL61" s="107">
        <f t="shared" si="76"/>
        <v>1.0906744032152329</v>
      </c>
      <c r="BM61" s="107" t="str">
        <f t="shared" si="77"/>
        <v>(2,2,1,1,1,3)</v>
      </c>
      <c r="BN61" s="108">
        <v>1.05</v>
      </c>
      <c r="BO61" s="108">
        <v>1.02</v>
      </c>
      <c r="BP61" s="108">
        <v>1</v>
      </c>
      <c r="BQ61" s="108">
        <v>1</v>
      </c>
      <c r="BR61" s="108">
        <v>1</v>
      </c>
      <c r="BS61" s="108">
        <v>1.05</v>
      </c>
      <c r="BU61" s="692"/>
      <c r="BV61" s="83" t="s">
        <v>106</v>
      </c>
      <c r="BW61" s="83" t="s">
        <v>106</v>
      </c>
      <c r="BX61" s="83" t="s">
        <v>106</v>
      </c>
      <c r="BY61" s="83" t="s">
        <v>106</v>
      </c>
      <c r="BZ61" s="83" t="s">
        <v>106</v>
      </c>
      <c r="CA61" s="83" t="s">
        <v>106</v>
      </c>
      <c r="CB61" s="104">
        <v>2</v>
      </c>
      <c r="CC61" s="104">
        <v>1.05</v>
      </c>
      <c r="CD61" s="107">
        <f t="shared" si="78"/>
        <v>1</v>
      </c>
      <c r="CE61" s="107">
        <f t="shared" si="79"/>
        <v>1.05</v>
      </c>
      <c r="CF61" s="107" t="str">
        <f t="shared" si="80"/>
        <v>(na,na,na,na,na,na)</v>
      </c>
      <c r="CG61" s="108">
        <v>1</v>
      </c>
      <c r="CH61" s="108">
        <v>1</v>
      </c>
      <c r="CI61" s="108">
        <v>1</v>
      </c>
      <c r="CJ61" s="108">
        <v>1</v>
      </c>
      <c r="CK61" s="108">
        <v>1</v>
      </c>
      <c r="CL61" s="108">
        <v>1</v>
      </c>
    </row>
    <row r="62" spans="1:90" ht="24">
      <c r="A62" s="330">
        <v>267119</v>
      </c>
      <c r="B62" s="331"/>
      <c r="C62" s="88"/>
      <c r="D62" s="340">
        <v>5</v>
      </c>
      <c r="E62" s="341" t="s">
        <v>98</v>
      </c>
      <c r="F62" s="432" t="s">
        <v>614</v>
      </c>
      <c r="G62" s="433" t="s">
        <v>485</v>
      </c>
      <c r="H62" s="434" t="s">
        <v>98</v>
      </c>
      <c r="I62" s="434" t="s">
        <v>98</v>
      </c>
      <c r="J62" s="94">
        <v>0</v>
      </c>
      <c r="K62" s="433" t="s">
        <v>109</v>
      </c>
      <c r="L62" s="435">
        <v>0</v>
      </c>
      <c r="M62" s="95">
        <v>1</v>
      </c>
      <c r="N62" s="96">
        <f t="shared" si="55"/>
        <v>1.0906744032152329</v>
      </c>
      <c r="O62" s="432" t="str">
        <f t="shared" si="56"/>
        <v>(2,2,1,1,1,3); de Wild-Scholten, M. &amp; de Wild, P. (2023). PV industry data collection. Data on PERC module production from 7 manufacturers.</v>
      </c>
      <c r="P62" s="435">
        <v>0</v>
      </c>
      <c r="Q62" s="95">
        <v>1</v>
      </c>
      <c r="R62" s="96">
        <f t="shared" si="57"/>
        <v>1.0906744032152329</v>
      </c>
      <c r="S62" s="432" t="str">
        <f t="shared" si="58"/>
        <v>(2,2,1,1,1,3); de Wild-Scholten, M. &amp; de Wild, P. (2023). PV industry data collection. Data on PERC module production from 7 manufacturers.</v>
      </c>
      <c r="T62" s="435">
        <v>0</v>
      </c>
      <c r="U62" s="95">
        <v>1</v>
      </c>
      <c r="V62" s="96">
        <f t="shared" si="59"/>
        <v>1.0906744032152329</v>
      </c>
      <c r="W62" s="432" t="str">
        <f t="shared" si="60"/>
        <v>(2,2,1,1,1,3); de Wild-Scholten, M. &amp; de Wild, P. (2023). PV industry data collection. Data on PERC module production from 7 manufacturers.</v>
      </c>
      <c r="X62" s="435">
        <v>0</v>
      </c>
      <c r="Y62" s="95">
        <v>1</v>
      </c>
      <c r="Z62" s="96">
        <f t="shared" si="61"/>
        <v>1.0906744032152329</v>
      </c>
      <c r="AA62" s="432" t="str">
        <f t="shared" si="62"/>
        <v>(2,2,1,1,1,3); de Wild-Scholten, M. &amp; de Wild, P. (2023). PV industry data collection. Data on PERC module production from 7 manufacturers.</v>
      </c>
      <c r="AB62" s="435">
        <f>AJ64*$F$104</f>
        <v>0.18947368421052632</v>
      </c>
      <c r="AC62" s="95">
        <v>1</v>
      </c>
      <c r="AD62" s="96">
        <f t="shared" si="63"/>
        <v>1.0906744032152329</v>
      </c>
      <c r="AE62" s="432" t="str">
        <f t="shared" si="64"/>
        <v>(2,2,1,1,1,3); de Wild-Scholten, M. &amp; de Wild, P. (2023). PV industry data collection. Data on PERC module production from 7 manufacturers.</v>
      </c>
      <c r="AF62" s="435">
        <f>AN64*$F$104</f>
        <v>0.18947368421052632</v>
      </c>
      <c r="AG62" s="95">
        <v>1</v>
      </c>
      <c r="AH62" s="96">
        <f t="shared" si="65"/>
        <v>1.0906744032152329</v>
      </c>
      <c r="AI62" s="432" t="str">
        <f t="shared" si="66"/>
        <v>(2,2,1,1,1,3); de Wild-Scholten, M. &amp; de Wild, P. (2023). PV industry data collection. Data on PERC module production from 7 manufacturers.</v>
      </c>
      <c r="AJ62" s="435">
        <v>0</v>
      </c>
      <c r="AK62" s="95">
        <v>1</v>
      </c>
      <c r="AL62" s="96">
        <f t="shared" si="67"/>
        <v>1.0906744032152329</v>
      </c>
      <c r="AM62" s="432" t="str">
        <f t="shared" si="68"/>
        <v>(2,2,1,1,1,3); de Wild-Scholten, M. &amp; de Wild, P. (2023). PV industry data collection. Data on PERC module production from 7 manufacturers.</v>
      </c>
      <c r="AN62" s="435">
        <v>0</v>
      </c>
      <c r="AO62" s="95">
        <v>1</v>
      </c>
      <c r="AP62" s="96">
        <f t="shared" si="69"/>
        <v>1.0906744032152329</v>
      </c>
      <c r="AQ62" s="432" t="str">
        <f t="shared" si="70"/>
        <v>(2,2,1,1,1,3); de Wild-Scholten, M. &amp; de Wild, P. (2023). PV industry data collection. Data on PERC module production from 7 manufacturers.</v>
      </c>
      <c r="AR62" s="435">
        <v>0</v>
      </c>
      <c r="AS62" s="95">
        <v>1</v>
      </c>
      <c r="AT62" s="96">
        <f t="shared" si="71"/>
        <v>1.05</v>
      </c>
      <c r="AU62" s="432" t="str">
        <f t="shared" si="72"/>
        <v xml:space="preserve">(na,na,na,na,na,na); </v>
      </c>
      <c r="AV62" s="435">
        <v>0</v>
      </c>
      <c r="AW62" s="95">
        <v>1</v>
      </c>
      <c r="AX62" s="96">
        <f t="shared" si="73"/>
        <v>1.05</v>
      </c>
      <c r="AY62" s="432" t="str">
        <f t="shared" si="74"/>
        <v xml:space="preserve">(na,na,na,na,na,na); </v>
      </c>
      <c r="AZ62" s="112"/>
      <c r="BA62" s="435">
        <v>0</v>
      </c>
      <c r="BB62" s="216" t="s">
        <v>1291</v>
      </c>
      <c r="BC62" s="83">
        <v>2</v>
      </c>
      <c r="BD62" s="83">
        <v>2</v>
      </c>
      <c r="BE62" s="83">
        <v>1</v>
      </c>
      <c r="BF62" s="83">
        <v>1</v>
      </c>
      <c r="BG62" s="83">
        <v>1</v>
      </c>
      <c r="BH62" s="83">
        <v>3</v>
      </c>
      <c r="BI62" s="104">
        <v>3</v>
      </c>
      <c r="BJ62" s="104">
        <v>1.05</v>
      </c>
      <c r="BK62" s="107">
        <f t="shared" si="75"/>
        <v>1.0744244531716256</v>
      </c>
      <c r="BL62" s="107">
        <f t="shared" si="76"/>
        <v>1.0906744032152329</v>
      </c>
      <c r="BM62" s="107" t="str">
        <f t="shared" si="77"/>
        <v>(2,2,1,1,1,3)</v>
      </c>
      <c r="BN62" s="108">
        <v>1.05</v>
      </c>
      <c r="BO62" s="108">
        <v>1.02</v>
      </c>
      <c r="BP62" s="108">
        <v>1</v>
      </c>
      <c r="BQ62" s="108">
        <v>1</v>
      </c>
      <c r="BR62" s="108">
        <v>1</v>
      </c>
      <c r="BS62" s="108">
        <v>1.05</v>
      </c>
      <c r="BU62" s="692"/>
      <c r="BV62" s="83" t="s">
        <v>106</v>
      </c>
      <c r="BW62" s="83" t="s">
        <v>106</v>
      </c>
      <c r="BX62" s="83" t="s">
        <v>106</v>
      </c>
      <c r="BY62" s="83" t="s">
        <v>106</v>
      </c>
      <c r="BZ62" s="83" t="s">
        <v>106</v>
      </c>
      <c r="CA62" s="83" t="s">
        <v>106</v>
      </c>
      <c r="CB62" s="104">
        <v>3</v>
      </c>
      <c r="CC62" s="104">
        <v>1.05</v>
      </c>
      <c r="CD62" s="107">
        <f t="shared" si="78"/>
        <v>1</v>
      </c>
      <c r="CE62" s="107">
        <f t="shared" si="79"/>
        <v>1.05</v>
      </c>
      <c r="CF62" s="107" t="str">
        <f t="shared" si="80"/>
        <v>(na,na,na,na,na,na)</v>
      </c>
      <c r="CG62" s="108">
        <v>1</v>
      </c>
      <c r="CH62" s="108">
        <v>1</v>
      </c>
      <c r="CI62" s="108">
        <v>1</v>
      </c>
      <c r="CJ62" s="108">
        <v>1</v>
      </c>
      <c r="CK62" s="108">
        <v>1</v>
      </c>
      <c r="CL62" s="108">
        <v>1</v>
      </c>
    </row>
    <row r="63" spans="1:90" ht="24">
      <c r="A63" s="330">
        <v>257738</v>
      </c>
      <c r="B63" s="331"/>
      <c r="C63" s="88"/>
      <c r="D63" s="340">
        <v>5</v>
      </c>
      <c r="E63" s="341" t="s">
        <v>98</v>
      </c>
      <c r="F63" s="432" t="s">
        <v>999</v>
      </c>
      <c r="G63" s="433" t="s">
        <v>992</v>
      </c>
      <c r="H63" s="434" t="s">
        <v>98</v>
      </c>
      <c r="I63" s="434" t="s">
        <v>98</v>
      </c>
      <c r="J63" s="94">
        <v>0</v>
      </c>
      <c r="K63" s="433" t="s">
        <v>109</v>
      </c>
      <c r="L63" s="435">
        <v>0</v>
      </c>
      <c r="M63" s="95">
        <v>1</v>
      </c>
      <c r="N63" s="96">
        <f t="shared" si="55"/>
        <v>1.0906744032152329</v>
      </c>
      <c r="O63" s="432" t="str">
        <f t="shared" si="56"/>
        <v>(2,2,1,1,1,3); de Wild-Scholten, M. &amp; de Wild, P. (2023). PV industry data collection. Data on PERC module production from 7 manufacturers.</v>
      </c>
      <c r="P63" s="435">
        <v>0</v>
      </c>
      <c r="Q63" s="95">
        <v>1</v>
      </c>
      <c r="R63" s="96">
        <f t="shared" si="57"/>
        <v>1.0906744032152329</v>
      </c>
      <c r="S63" s="432" t="str">
        <f t="shared" si="58"/>
        <v>(2,2,1,1,1,3); de Wild-Scholten, M. &amp; de Wild, P. (2023). PV industry data collection. Data on PERC module production from 7 manufacturers.</v>
      </c>
      <c r="T63" s="435">
        <v>0</v>
      </c>
      <c r="U63" s="95">
        <v>1</v>
      </c>
      <c r="V63" s="96">
        <f t="shared" si="59"/>
        <v>1.0906744032152329</v>
      </c>
      <c r="W63" s="432" t="str">
        <f t="shared" si="60"/>
        <v>(2,2,1,1,1,3); de Wild-Scholten, M. &amp; de Wild, P. (2023). PV industry data collection. Data on PERC module production from 7 manufacturers.</v>
      </c>
      <c r="X63" s="435">
        <v>0</v>
      </c>
      <c r="Y63" s="95">
        <v>1</v>
      </c>
      <c r="Z63" s="96">
        <f t="shared" si="61"/>
        <v>1.0906744032152329</v>
      </c>
      <c r="AA63" s="432" t="str">
        <f t="shared" si="62"/>
        <v>(2,2,1,1,1,3); de Wild-Scholten, M. &amp; de Wild, P. (2023). PV industry data collection. Data on PERC module production from 7 manufacturers.</v>
      </c>
      <c r="AB63" s="435">
        <f>AJ64*$F$106</f>
        <v>1.2505263157894737</v>
      </c>
      <c r="AC63" s="95">
        <v>1</v>
      </c>
      <c r="AD63" s="96">
        <f t="shared" si="63"/>
        <v>1.0906744032152329</v>
      </c>
      <c r="AE63" s="432" t="str">
        <f t="shared" si="64"/>
        <v>(2,2,1,1,1,3); de Wild-Scholten, M. &amp; de Wild, P. (2023). PV industry data collection. Data on PERC module production from 7 manufacturers.</v>
      </c>
      <c r="AF63" s="435">
        <f>AN64*$F$106</f>
        <v>1.2505263157894737</v>
      </c>
      <c r="AG63" s="95">
        <v>1</v>
      </c>
      <c r="AH63" s="96">
        <f t="shared" si="65"/>
        <v>1.0906744032152329</v>
      </c>
      <c r="AI63" s="432" t="str">
        <f t="shared" si="66"/>
        <v>(2,2,1,1,1,3); de Wild-Scholten, M. &amp; de Wild, P. (2023). PV industry data collection. Data on PERC module production from 7 manufacturers.</v>
      </c>
      <c r="AJ63" s="435">
        <v>0</v>
      </c>
      <c r="AK63" s="95">
        <v>1</v>
      </c>
      <c r="AL63" s="96">
        <f t="shared" si="67"/>
        <v>1.0906744032152329</v>
      </c>
      <c r="AM63" s="432" t="str">
        <f t="shared" si="68"/>
        <v>(2,2,1,1,1,3); de Wild-Scholten, M. &amp; de Wild, P. (2023). PV industry data collection. Data on PERC module production from 7 manufacturers.</v>
      </c>
      <c r="AN63" s="435">
        <v>0</v>
      </c>
      <c r="AO63" s="95">
        <v>1</v>
      </c>
      <c r="AP63" s="96">
        <f t="shared" si="69"/>
        <v>1.0906744032152329</v>
      </c>
      <c r="AQ63" s="432" t="str">
        <f t="shared" si="70"/>
        <v>(2,2,1,1,1,3); de Wild-Scholten, M. &amp; de Wild, P. (2023). PV industry data collection. Data on PERC module production from 7 manufacturers.</v>
      </c>
      <c r="AR63" s="435">
        <v>0</v>
      </c>
      <c r="AS63" s="95">
        <v>1</v>
      </c>
      <c r="AT63" s="96">
        <f t="shared" si="71"/>
        <v>1.05</v>
      </c>
      <c r="AU63" s="432" t="str">
        <f t="shared" si="72"/>
        <v xml:space="preserve">(na,na,na,na,na,na); </v>
      </c>
      <c r="AV63" s="435">
        <v>0</v>
      </c>
      <c r="AW63" s="95">
        <v>1</v>
      </c>
      <c r="AX63" s="96">
        <f t="shared" si="73"/>
        <v>1.05</v>
      </c>
      <c r="AY63" s="432" t="str">
        <f t="shared" si="74"/>
        <v xml:space="preserve">(na,na,na,na,na,na); </v>
      </c>
      <c r="AZ63" s="112"/>
      <c r="BA63" s="435">
        <v>0</v>
      </c>
      <c r="BB63" s="216" t="s">
        <v>1291</v>
      </c>
      <c r="BC63" s="83">
        <v>2</v>
      </c>
      <c r="BD63" s="83">
        <v>2</v>
      </c>
      <c r="BE63" s="83">
        <v>1</v>
      </c>
      <c r="BF63" s="83">
        <v>1</v>
      </c>
      <c r="BG63" s="83">
        <v>1</v>
      </c>
      <c r="BH63" s="83">
        <v>3</v>
      </c>
      <c r="BI63" s="104">
        <v>3</v>
      </c>
      <c r="BJ63" s="104">
        <v>1.05</v>
      </c>
      <c r="BK63" s="107">
        <f t="shared" si="75"/>
        <v>1.0744244531716256</v>
      </c>
      <c r="BL63" s="107">
        <f t="shared" si="76"/>
        <v>1.0906744032152329</v>
      </c>
      <c r="BM63" s="107" t="str">
        <f t="shared" si="77"/>
        <v>(2,2,1,1,1,3)</v>
      </c>
      <c r="BN63" s="108">
        <v>1.05</v>
      </c>
      <c r="BO63" s="108">
        <v>1.02</v>
      </c>
      <c r="BP63" s="108">
        <v>1</v>
      </c>
      <c r="BQ63" s="108">
        <v>1</v>
      </c>
      <c r="BR63" s="108">
        <v>1</v>
      </c>
      <c r="BS63" s="108">
        <v>1.05</v>
      </c>
      <c r="BU63" s="692"/>
      <c r="BV63" s="83" t="s">
        <v>106</v>
      </c>
      <c r="BW63" s="83" t="s">
        <v>106</v>
      </c>
      <c r="BX63" s="83" t="s">
        <v>106</v>
      </c>
      <c r="BY63" s="83" t="s">
        <v>106</v>
      </c>
      <c r="BZ63" s="83" t="s">
        <v>106</v>
      </c>
      <c r="CA63" s="83" t="s">
        <v>106</v>
      </c>
      <c r="CB63" s="104">
        <v>3</v>
      </c>
      <c r="CC63" s="104">
        <v>1.05</v>
      </c>
      <c r="CD63" s="107">
        <f t="shared" si="78"/>
        <v>1</v>
      </c>
      <c r="CE63" s="107">
        <f t="shared" si="79"/>
        <v>1.05</v>
      </c>
      <c r="CF63" s="107" t="str">
        <f t="shared" si="80"/>
        <v>(na,na,na,na,na,na)</v>
      </c>
      <c r="CG63" s="108">
        <v>1</v>
      </c>
      <c r="CH63" s="108">
        <v>1</v>
      </c>
      <c r="CI63" s="108">
        <v>1</v>
      </c>
      <c r="CJ63" s="108">
        <v>1</v>
      </c>
      <c r="CK63" s="108">
        <v>1</v>
      </c>
      <c r="CL63" s="108">
        <v>1</v>
      </c>
    </row>
    <row r="64" spans="1:90" ht="24">
      <c r="A64" s="330">
        <v>269603</v>
      </c>
      <c r="B64" s="331"/>
      <c r="C64" s="88"/>
      <c r="D64" s="340">
        <v>5</v>
      </c>
      <c r="E64" s="341" t="s">
        <v>98</v>
      </c>
      <c r="F64" s="432" t="s">
        <v>222</v>
      </c>
      <c r="G64" s="433" t="s">
        <v>223</v>
      </c>
      <c r="H64" s="434" t="s">
        <v>98</v>
      </c>
      <c r="I64" s="434" t="s">
        <v>98</v>
      </c>
      <c r="J64" s="94">
        <v>0</v>
      </c>
      <c r="K64" s="433" t="s">
        <v>109</v>
      </c>
      <c r="L64" s="435">
        <v>0</v>
      </c>
      <c r="M64" s="95">
        <v>1</v>
      </c>
      <c r="N64" s="96">
        <f t="shared" si="55"/>
        <v>1.0906744032152329</v>
      </c>
      <c r="O64" s="432" t="str">
        <f t="shared" si="56"/>
        <v>(2,2,1,1,1,3); de Wild-Scholten, M. &amp; de Wild, P. (2023). PV industry data collection. Data on PERC module production from 7 manufacturers.</v>
      </c>
      <c r="P64" s="435">
        <v>0</v>
      </c>
      <c r="Q64" s="95">
        <v>1</v>
      </c>
      <c r="R64" s="96">
        <f t="shared" si="57"/>
        <v>1.0906744032152329</v>
      </c>
      <c r="S64" s="432" t="str">
        <f t="shared" si="58"/>
        <v>(2,2,1,1,1,3); de Wild-Scholten, M. &amp; de Wild, P. (2023). PV industry data collection. Data on PERC module production from 7 manufacturers.</v>
      </c>
      <c r="T64" s="435">
        <v>0</v>
      </c>
      <c r="U64" s="95">
        <v>1</v>
      </c>
      <c r="V64" s="96">
        <f t="shared" si="59"/>
        <v>1.0906744032152329</v>
      </c>
      <c r="W64" s="432" t="str">
        <f t="shared" si="60"/>
        <v>(2,2,1,1,1,3); de Wild-Scholten, M. &amp; de Wild, P. (2023). PV industry data collection. Data on PERC module production from 7 manufacturers.</v>
      </c>
      <c r="X64" s="435">
        <v>0</v>
      </c>
      <c r="Y64" s="95">
        <v>1</v>
      </c>
      <c r="Z64" s="96">
        <f t="shared" si="61"/>
        <v>1.0906744032152329</v>
      </c>
      <c r="AA64" s="432" t="str">
        <f t="shared" si="62"/>
        <v>(2,2,1,1,1,3); de Wild-Scholten, M. &amp; de Wild, P. (2023). PV industry data collection. Data on PERC module production from 7 manufacturers.</v>
      </c>
      <c r="AB64" s="435">
        <v>0</v>
      </c>
      <c r="AC64" s="95">
        <v>1</v>
      </c>
      <c r="AD64" s="96">
        <f t="shared" si="63"/>
        <v>1.0906744032152329</v>
      </c>
      <c r="AE64" s="432" t="str">
        <f t="shared" si="64"/>
        <v>(2,2,1,1,1,3); de Wild-Scholten, M. &amp; de Wild, P. (2023). PV industry data collection. Data on PERC module production from 7 manufacturers.</v>
      </c>
      <c r="AF64" s="435">
        <v>0</v>
      </c>
      <c r="AG64" s="95">
        <v>1</v>
      </c>
      <c r="AH64" s="96">
        <f t="shared" si="65"/>
        <v>1.0906744032152329</v>
      </c>
      <c r="AI64" s="432" t="str">
        <f t="shared" si="66"/>
        <v>(2,2,1,1,1,3); de Wild-Scholten, M. &amp; de Wild, P. (2023). PV industry data collection. Data on PERC module production from 7 manufacturers.</v>
      </c>
      <c r="AJ64" s="466">
        <v>3.6</v>
      </c>
      <c r="AK64" s="95">
        <v>1</v>
      </c>
      <c r="AL64" s="96">
        <f t="shared" si="67"/>
        <v>1.0906744032152329</v>
      </c>
      <c r="AM64" s="432" t="str">
        <f t="shared" si="68"/>
        <v>(2,2,1,1,1,3); de Wild-Scholten, M. &amp; de Wild, P. (2023). PV industry data collection. Data on PERC module production from 7 manufacturers.</v>
      </c>
      <c r="AN64" s="466">
        <v>3.6</v>
      </c>
      <c r="AO64" s="95">
        <v>1</v>
      </c>
      <c r="AP64" s="96">
        <f t="shared" si="69"/>
        <v>1.0906744032152329</v>
      </c>
      <c r="AQ64" s="432" t="str">
        <f t="shared" si="70"/>
        <v>(2,2,1,1,1,3); de Wild-Scholten, M. &amp; de Wild, P. (2023). PV industry data collection. Data on PERC module production from 7 manufacturers.</v>
      </c>
      <c r="AR64" s="435">
        <v>0</v>
      </c>
      <c r="AS64" s="95">
        <v>1</v>
      </c>
      <c r="AT64" s="96">
        <f t="shared" si="71"/>
        <v>1.05</v>
      </c>
      <c r="AU64" s="432" t="str">
        <f t="shared" si="72"/>
        <v xml:space="preserve">(na,na,na,na,na,na); </v>
      </c>
      <c r="AV64" s="435">
        <v>0</v>
      </c>
      <c r="AW64" s="95">
        <v>1</v>
      </c>
      <c r="AX64" s="96">
        <f t="shared" si="73"/>
        <v>1.05</v>
      </c>
      <c r="AY64" s="432" t="str">
        <f t="shared" si="74"/>
        <v xml:space="preserve">(na,na,na,na,na,na); </v>
      </c>
      <c r="AZ64" s="112"/>
      <c r="BA64" s="435">
        <f>5.97/1.6</f>
        <v>3.7312499999999997</v>
      </c>
      <c r="BB64" s="216" t="s">
        <v>1291</v>
      </c>
      <c r="BC64" s="83">
        <v>2</v>
      </c>
      <c r="BD64" s="83">
        <v>2</v>
      </c>
      <c r="BE64" s="83">
        <v>1</v>
      </c>
      <c r="BF64" s="83">
        <v>1</v>
      </c>
      <c r="BG64" s="83">
        <v>1</v>
      </c>
      <c r="BH64" s="83">
        <v>3</v>
      </c>
      <c r="BI64" s="104">
        <v>2</v>
      </c>
      <c r="BJ64" s="104">
        <v>1.05</v>
      </c>
      <c r="BK64" s="107">
        <f t="shared" si="75"/>
        <v>1.0744244531716256</v>
      </c>
      <c r="BL64" s="107">
        <f t="shared" si="76"/>
        <v>1.0906744032152329</v>
      </c>
      <c r="BM64" s="107" t="str">
        <f t="shared" si="77"/>
        <v>(2,2,1,1,1,3)</v>
      </c>
      <c r="BN64" s="108">
        <v>1.05</v>
      </c>
      <c r="BO64" s="108">
        <v>1.02</v>
      </c>
      <c r="BP64" s="108">
        <v>1</v>
      </c>
      <c r="BQ64" s="108">
        <v>1</v>
      </c>
      <c r="BR64" s="108">
        <v>1</v>
      </c>
      <c r="BS64" s="108">
        <v>1.05</v>
      </c>
      <c r="BU64" s="692"/>
      <c r="BV64" s="83" t="s">
        <v>106</v>
      </c>
      <c r="BW64" s="83" t="s">
        <v>106</v>
      </c>
      <c r="BX64" s="83" t="s">
        <v>106</v>
      </c>
      <c r="BY64" s="83" t="s">
        <v>106</v>
      </c>
      <c r="BZ64" s="83" t="s">
        <v>106</v>
      </c>
      <c r="CA64" s="83" t="s">
        <v>106</v>
      </c>
      <c r="CB64" s="104">
        <v>2</v>
      </c>
      <c r="CC64" s="104">
        <v>1.05</v>
      </c>
      <c r="CD64" s="107">
        <f t="shared" si="78"/>
        <v>1</v>
      </c>
      <c r="CE64" s="107">
        <f t="shared" si="79"/>
        <v>1.05</v>
      </c>
      <c r="CF64" s="107" t="str">
        <f t="shared" si="80"/>
        <v>(na,na,na,na,na,na)</v>
      </c>
      <c r="CG64" s="108">
        <v>1</v>
      </c>
      <c r="CH64" s="108">
        <v>1</v>
      </c>
      <c r="CI64" s="108">
        <v>1</v>
      </c>
      <c r="CJ64" s="108">
        <v>1</v>
      </c>
      <c r="CK64" s="108">
        <v>1</v>
      </c>
      <c r="CL64" s="108">
        <v>1</v>
      </c>
    </row>
    <row r="65" spans="1:90">
      <c r="A65" s="330">
        <v>79235</v>
      </c>
      <c r="B65" s="331"/>
      <c r="C65" s="88"/>
      <c r="D65" s="340">
        <v>5</v>
      </c>
      <c r="E65" s="341" t="s">
        <v>98</v>
      </c>
      <c r="F65" s="432" t="s">
        <v>688</v>
      </c>
      <c r="G65" s="433" t="s">
        <v>340</v>
      </c>
      <c r="H65" s="434" t="s">
        <v>98</v>
      </c>
      <c r="I65" s="434" t="s">
        <v>98</v>
      </c>
      <c r="J65" s="94">
        <v>0</v>
      </c>
      <c r="K65" s="433" t="s">
        <v>109</v>
      </c>
      <c r="L65" s="435">
        <v>0</v>
      </c>
      <c r="M65" s="95">
        <v>1</v>
      </c>
      <c r="N65" s="96">
        <f t="shared" si="55"/>
        <v>1.05</v>
      </c>
      <c r="O65" s="432" t="str">
        <f t="shared" si="56"/>
        <v xml:space="preserve">(na,na,na,na,na,na); </v>
      </c>
      <c r="P65" s="435">
        <v>0</v>
      </c>
      <c r="Q65" s="95">
        <v>1</v>
      </c>
      <c r="R65" s="96">
        <f t="shared" si="57"/>
        <v>1.05</v>
      </c>
      <c r="S65" s="432" t="str">
        <f t="shared" si="58"/>
        <v xml:space="preserve">(na,na,na,na,na,na); </v>
      </c>
      <c r="T65" s="435">
        <v>0</v>
      </c>
      <c r="U65" s="95">
        <v>1</v>
      </c>
      <c r="V65" s="96">
        <f t="shared" si="59"/>
        <v>1.05</v>
      </c>
      <c r="W65" s="432" t="str">
        <f t="shared" si="60"/>
        <v xml:space="preserve">(na,na,na,na,na,na); </v>
      </c>
      <c r="X65" s="435">
        <v>0</v>
      </c>
      <c r="Y65" s="95">
        <v>1</v>
      </c>
      <c r="Z65" s="96">
        <f t="shared" si="61"/>
        <v>1.05</v>
      </c>
      <c r="AA65" s="432" t="str">
        <f t="shared" si="62"/>
        <v xml:space="preserve">(na,na,na,na,na,na); </v>
      </c>
      <c r="AB65" s="435">
        <v>0</v>
      </c>
      <c r="AC65" s="95">
        <v>1</v>
      </c>
      <c r="AD65" s="96">
        <f t="shared" si="63"/>
        <v>1.05</v>
      </c>
      <c r="AE65" s="432" t="str">
        <f t="shared" si="64"/>
        <v xml:space="preserve">(na,na,na,na,na,na); </v>
      </c>
      <c r="AF65" s="435">
        <v>0</v>
      </c>
      <c r="AG65" s="95">
        <v>1</v>
      </c>
      <c r="AH65" s="96">
        <f t="shared" si="65"/>
        <v>1.05</v>
      </c>
      <c r="AI65" s="432" t="str">
        <f t="shared" si="66"/>
        <v xml:space="preserve">(na,na,na,na,na,na); </v>
      </c>
      <c r="AJ65" s="435">
        <v>0</v>
      </c>
      <c r="AK65" s="95">
        <v>1</v>
      </c>
      <c r="AL65" s="96">
        <f t="shared" si="67"/>
        <v>1.05</v>
      </c>
      <c r="AM65" s="432" t="str">
        <f t="shared" si="68"/>
        <v xml:space="preserve">(na,na,na,na,na,na); </v>
      </c>
      <c r="AN65" s="435">
        <v>0</v>
      </c>
      <c r="AO65" s="95">
        <v>1</v>
      </c>
      <c r="AP65" s="96">
        <f t="shared" si="69"/>
        <v>1.05</v>
      </c>
      <c r="AQ65" s="432" t="str">
        <f t="shared" si="70"/>
        <v xml:space="preserve">(na,na,na,na,na,na); </v>
      </c>
      <c r="AR65" s="435">
        <v>3.6</v>
      </c>
      <c r="AS65" s="95">
        <v>1</v>
      </c>
      <c r="AT65" s="96">
        <f t="shared" si="71"/>
        <v>1.2434566510799234</v>
      </c>
      <c r="AU65" s="432" t="str">
        <f t="shared" si="72"/>
        <v>(2,4,1,3,1,5); Brailovsky (2026) GM 08</v>
      </c>
      <c r="AV65" s="435">
        <v>0</v>
      </c>
      <c r="AW65" s="95">
        <v>1</v>
      </c>
      <c r="AX65" s="96">
        <f t="shared" si="73"/>
        <v>1.2434566510799234</v>
      </c>
      <c r="AY65" s="432" t="str">
        <f t="shared" si="74"/>
        <v>(2,4,1,3,1,5); Brailovsky (2026) GM 08</v>
      </c>
      <c r="AZ65" s="112"/>
      <c r="BA65" s="435"/>
      <c r="BB65" s="216"/>
      <c r="BC65" s="83" t="s">
        <v>106</v>
      </c>
      <c r="BD65" s="83" t="s">
        <v>106</v>
      </c>
      <c r="BE65" s="83" t="s">
        <v>106</v>
      </c>
      <c r="BF65" s="83" t="s">
        <v>106</v>
      </c>
      <c r="BG65" s="83" t="s">
        <v>106</v>
      </c>
      <c r="BH65" s="83" t="s">
        <v>106</v>
      </c>
      <c r="BI65" s="104">
        <v>3</v>
      </c>
      <c r="BJ65" s="104">
        <v>1.05</v>
      </c>
      <c r="BK65" s="107">
        <f t="shared" si="75"/>
        <v>1</v>
      </c>
      <c r="BL65" s="107">
        <f t="shared" si="76"/>
        <v>1.05</v>
      </c>
      <c r="BM65" s="107" t="str">
        <f t="shared" si="77"/>
        <v>(na,na,na,na,na,na)</v>
      </c>
      <c r="BN65" s="108">
        <v>1</v>
      </c>
      <c r="BO65" s="108">
        <v>1</v>
      </c>
      <c r="BP65" s="108">
        <v>1</v>
      </c>
      <c r="BQ65" s="108">
        <v>1</v>
      </c>
      <c r="BR65" s="108">
        <v>1</v>
      </c>
      <c r="BS65" s="108">
        <v>1</v>
      </c>
      <c r="BU65" s="692" t="s">
        <v>1275</v>
      </c>
      <c r="BV65" s="83">
        <v>2</v>
      </c>
      <c r="BW65" s="83">
        <v>4</v>
      </c>
      <c r="BX65" s="83">
        <v>1</v>
      </c>
      <c r="BY65" s="83">
        <v>3</v>
      </c>
      <c r="BZ65" s="83">
        <v>1</v>
      </c>
      <c r="CA65" s="83">
        <v>5</v>
      </c>
      <c r="CB65" s="104">
        <v>3</v>
      </c>
      <c r="CC65" s="104">
        <v>1.05</v>
      </c>
      <c r="CD65" s="107">
        <f t="shared" si="78"/>
        <v>1.2365959919080913</v>
      </c>
      <c r="CE65" s="107">
        <f t="shared" si="79"/>
        <v>1.2434566510799234</v>
      </c>
      <c r="CF65" s="107" t="str">
        <f t="shared" si="80"/>
        <v>(2,4,1,3,1,5)</v>
      </c>
      <c r="CG65" s="108">
        <v>1.05</v>
      </c>
      <c r="CH65" s="108">
        <v>1.1000000000000001</v>
      </c>
      <c r="CI65" s="108">
        <v>1</v>
      </c>
      <c r="CJ65" s="108">
        <v>1.02</v>
      </c>
      <c r="CK65" s="108">
        <v>1</v>
      </c>
      <c r="CL65" s="108">
        <v>1.2</v>
      </c>
    </row>
    <row r="66" spans="1:90" s="169" customFormat="1" ht="24">
      <c r="A66" s="330">
        <v>77572</v>
      </c>
      <c r="B66" s="331"/>
      <c r="C66" s="88"/>
      <c r="D66" s="340">
        <v>5</v>
      </c>
      <c r="E66" s="341" t="s">
        <v>98</v>
      </c>
      <c r="F66" s="432" t="s">
        <v>687</v>
      </c>
      <c r="G66" s="433" t="s">
        <v>103</v>
      </c>
      <c r="H66" s="434" t="s">
        <v>98</v>
      </c>
      <c r="I66" s="434" t="s">
        <v>98</v>
      </c>
      <c r="J66" s="94">
        <v>0</v>
      </c>
      <c r="K66" s="433" t="s">
        <v>104</v>
      </c>
      <c r="L66" s="435">
        <f>$BA66</f>
        <v>8.7499999999999991E-3</v>
      </c>
      <c r="M66" s="95">
        <v>1</v>
      </c>
      <c r="N66" s="96">
        <f t="shared" si="55"/>
        <v>2.121226291675423</v>
      </c>
      <c r="O66" s="432" t="str">
        <f t="shared" si="56"/>
        <v>(3,4,4,3,1,5); de Wild-Scholten (2014) Life Cycle Assessment of Photovoltaics Status 2011, Part 1 Data Collection (Table 37)</v>
      </c>
      <c r="P66" s="435">
        <f>$BA66</f>
        <v>8.7499999999999991E-3</v>
      </c>
      <c r="Q66" s="95">
        <v>1</v>
      </c>
      <c r="R66" s="96">
        <f t="shared" si="57"/>
        <v>2.121226291675423</v>
      </c>
      <c r="S66" s="432" t="str">
        <f t="shared" si="58"/>
        <v>(3,4,4,3,1,5); de Wild-Scholten (2014) Life Cycle Assessment of Photovoltaics Status 2011, Part 1 Data Collection (Table 37)</v>
      </c>
      <c r="T66" s="435">
        <f>$BA66</f>
        <v>8.7499999999999991E-3</v>
      </c>
      <c r="U66" s="95">
        <v>1</v>
      </c>
      <c r="V66" s="96">
        <f t="shared" si="59"/>
        <v>2.121226291675423</v>
      </c>
      <c r="W66" s="432" t="str">
        <f t="shared" si="60"/>
        <v>(3,4,4,3,1,5); de Wild-Scholten (2014) Life Cycle Assessment of Photovoltaics Status 2011, Part 1 Data Collection (Table 37)</v>
      </c>
      <c r="X66" s="435">
        <f>$BA66</f>
        <v>8.7499999999999991E-3</v>
      </c>
      <c r="Y66" s="95">
        <v>1</v>
      </c>
      <c r="Z66" s="96">
        <f t="shared" si="61"/>
        <v>2.121226291675423</v>
      </c>
      <c r="AA66" s="432" t="str">
        <f t="shared" si="62"/>
        <v>(3,4,4,3,1,5); de Wild-Scholten (2014) Life Cycle Assessment of Photovoltaics Status 2011, Part 1 Data Collection (Table 37)</v>
      </c>
      <c r="AB66" s="435">
        <f>$BA66</f>
        <v>8.7499999999999991E-3</v>
      </c>
      <c r="AC66" s="95">
        <v>1</v>
      </c>
      <c r="AD66" s="96">
        <f t="shared" si="63"/>
        <v>2.121226291675423</v>
      </c>
      <c r="AE66" s="432" t="str">
        <f t="shared" si="64"/>
        <v>(3,4,4,3,1,5); de Wild-Scholten (2014) Life Cycle Assessment of Photovoltaics Status 2011, Part 1 Data Collection (Table 37)</v>
      </c>
      <c r="AF66" s="435">
        <f>$BA66</f>
        <v>8.7499999999999991E-3</v>
      </c>
      <c r="AG66" s="95">
        <v>1</v>
      </c>
      <c r="AH66" s="96">
        <f t="shared" si="65"/>
        <v>2.121226291675423</v>
      </c>
      <c r="AI66" s="432" t="str">
        <f t="shared" si="66"/>
        <v>(3,4,4,3,1,5); de Wild-Scholten (2014) Life Cycle Assessment of Photovoltaics Status 2011, Part 1 Data Collection (Table 37)</v>
      </c>
      <c r="AJ66" s="435">
        <f>$BA66</f>
        <v>8.7499999999999991E-3</v>
      </c>
      <c r="AK66" s="95">
        <v>1</v>
      </c>
      <c r="AL66" s="96">
        <f t="shared" si="67"/>
        <v>2.121226291675423</v>
      </c>
      <c r="AM66" s="432" t="str">
        <f t="shared" si="68"/>
        <v>(3,4,4,3,1,5); de Wild-Scholten (2014) Life Cycle Assessment of Photovoltaics Status 2011, Part 1 Data Collection (Table 37)</v>
      </c>
      <c r="AN66" s="435">
        <f>$BA66</f>
        <v>8.7499999999999991E-3</v>
      </c>
      <c r="AO66" s="95">
        <v>1</v>
      </c>
      <c r="AP66" s="96">
        <f t="shared" si="69"/>
        <v>2.121226291675423</v>
      </c>
      <c r="AQ66" s="432" t="str">
        <f t="shared" si="70"/>
        <v>(3,4,4,3,1,5); de Wild-Scholten (2014) Life Cycle Assessment of Photovoltaics Status 2011, Part 1 Data Collection (Table 37)</v>
      </c>
      <c r="AR66" s="435">
        <v>0</v>
      </c>
      <c r="AS66" s="95">
        <v>1</v>
      </c>
      <c r="AT66" s="96">
        <f t="shared" si="71"/>
        <v>2</v>
      </c>
      <c r="AU66" s="432" t="str">
        <f t="shared" si="72"/>
        <v xml:space="preserve">(na,na,na,na,na,na); </v>
      </c>
      <c r="AV66" s="435">
        <v>0</v>
      </c>
      <c r="AW66" s="95">
        <v>1</v>
      </c>
      <c r="AX66" s="96">
        <f t="shared" si="73"/>
        <v>2</v>
      </c>
      <c r="AY66" s="432" t="str">
        <f t="shared" si="74"/>
        <v xml:space="preserve">(na,na,na,na,na,na); </v>
      </c>
      <c r="AZ66" s="112"/>
      <c r="BA66" s="435">
        <f>0.014/1.6</f>
        <v>8.7499999999999991E-3</v>
      </c>
      <c r="BB66" s="216" t="s">
        <v>1230</v>
      </c>
      <c r="BC66" s="83">
        <v>3</v>
      </c>
      <c r="BD66" s="83">
        <v>4</v>
      </c>
      <c r="BE66" s="83">
        <v>4</v>
      </c>
      <c r="BF66" s="83">
        <v>3</v>
      </c>
      <c r="BG66" s="83">
        <v>1</v>
      </c>
      <c r="BH66" s="83">
        <v>5</v>
      </c>
      <c r="BI66" s="104">
        <v>5</v>
      </c>
      <c r="BJ66" s="104">
        <v>2</v>
      </c>
      <c r="BK66" s="107">
        <f t="shared" si="75"/>
        <v>1.3385948990307144</v>
      </c>
      <c r="BL66" s="107">
        <f t="shared" si="76"/>
        <v>2.121226291675423</v>
      </c>
      <c r="BM66" s="107" t="str">
        <f t="shared" si="77"/>
        <v>(3,4,4,3,1,5)</v>
      </c>
      <c r="BN66" s="108">
        <v>1.1000000000000001</v>
      </c>
      <c r="BO66" s="108">
        <v>1.1000000000000001</v>
      </c>
      <c r="BP66" s="108">
        <v>1.2</v>
      </c>
      <c r="BQ66" s="108">
        <v>1.02</v>
      </c>
      <c r="BR66" s="108">
        <v>1</v>
      </c>
      <c r="BS66" s="108">
        <v>1.2</v>
      </c>
      <c r="BU66" s="692"/>
      <c r="BV66" s="83" t="s">
        <v>106</v>
      </c>
      <c r="BW66" s="83" t="s">
        <v>106</v>
      </c>
      <c r="BX66" s="83" t="s">
        <v>106</v>
      </c>
      <c r="BY66" s="83" t="s">
        <v>106</v>
      </c>
      <c r="BZ66" s="83" t="s">
        <v>106</v>
      </c>
      <c r="CA66" s="83" t="s">
        <v>106</v>
      </c>
      <c r="CB66" s="104">
        <v>5</v>
      </c>
      <c r="CC66" s="104">
        <v>2</v>
      </c>
      <c r="CD66" s="107">
        <f t="shared" si="78"/>
        <v>1</v>
      </c>
      <c r="CE66" s="107">
        <f t="shared" si="79"/>
        <v>2</v>
      </c>
      <c r="CF66" s="107" t="str">
        <f t="shared" si="80"/>
        <v>(na,na,na,na,na,na)</v>
      </c>
      <c r="CG66" s="108">
        <v>1</v>
      </c>
      <c r="CH66" s="108">
        <v>1</v>
      </c>
      <c r="CI66" s="108">
        <v>1</v>
      </c>
      <c r="CJ66" s="108">
        <v>1</v>
      </c>
      <c r="CK66" s="108">
        <v>1</v>
      </c>
      <c r="CL66" s="108">
        <v>1</v>
      </c>
    </row>
    <row r="67" spans="1:90" ht="24">
      <c r="A67" s="330">
        <v>269079</v>
      </c>
      <c r="B67" s="331" t="s">
        <v>592</v>
      </c>
      <c r="C67" s="88"/>
      <c r="D67" s="340">
        <v>5</v>
      </c>
      <c r="E67" s="341" t="s">
        <v>98</v>
      </c>
      <c r="F67" s="432" t="s">
        <v>1105</v>
      </c>
      <c r="G67" s="433" t="s">
        <v>154</v>
      </c>
      <c r="H67" s="434" t="s">
        <v>98</v>
      </c>
      <c r="I67" s="434" t="s">
        <v>98</v>
      </c>
      <c r="J67" s="94">
        <v>1</v>
      </c>
      <c r="K67" s="433" t="s">
        <v>144</v>
      </c>
      <c r="L67" s="435">
        <f>$BA67</f>
        <v>3.9999999999999998E-6</v>
      </c>
      <c r="M67" s="95">
        <v>1</v>
      </c>
      <c r="N67" s="96">
        <f t="shared" si="55"/>
        <v>3.0616345979734279</v>
      </c>
      <c r="O67" s="432" t="str">
        <f t="shared" si="56"/>
        <v>(1,4,4,3,1,3); de Wild-Scholten (2014) Life Cycle Assessment of Photovoltaics Status 2011, Part 1 Data Collection (Table 37)</v>
      </c>
      <c r="P67" s="435">
        <f>$BA67</f>
        <v>3.9999999999999998E-6</v>
      </c>
      <c r="Q67" s="95">
        <v>1</v>
      </c>
      <c r="R67" s="96">
        <f t="shared" si="57"/>
        <v>3.0616345979734279</v>
      </c>
      <c r="S67" s="432" t="str">
        <f t="shared" si="58"/>
        <v>(1,4,4,3,1,3); de Wild-Scholten (2014) Life Cycle Assessment of Photovoltaics Status 2011, Part 1 Data Collection (Table 37)</v>
      </c>
      <c r="T67" s="435">
        <f>$BA67</f>
        <v>3.9999999999999998E-6</v>
      </c>
      <c r="U67" s="95">
        <v>1</v>
      </c>
      <c r="V67" s="96">
        <f t="shared" si="59"/>
        <v>3.0616345979734279</v>
      </c>
      <c r="W67" s="432" t="str">
        <f t="shared" si="60"/>
        <v>(1,4,4,3,1,3); de Wild-Scholten (2014) Life Cycle Assessment of Photovoltaics Status 2011, Part 1 Data Collection (Table 37)</v>
      </c>
      <c r="X67" s="435">
        <f>$BA67</f>
        <v>3.9999999999999998E-6</v>
      </c>
      <c r="Y67" s="95">
        <v>1</v>
      </c>
      <c r="Z67" s="96">
        <f t="shared" si="61"/>
        <v>3.0616345979734279</v>
      </c>
      <c r="AA67" s="432" t="str">
        <f t="shared" si="62"/>
        <v>(1,4,4,3,1,3); de Wild-Scholten (2014) Life Cycle Assessment of Photovoltaics Status 2011, Part 1 Data Collection (Table 37)</v>
      </c>
      <c r="AB67" s="435">
        <f>$BA67</f>
        <v>3.9999999999999998E-6</v>
      </c>
      <c r="AC67" s="95">
        <v>1</v>
      </c>
      <c r="AD67" s="96">
        <f t="shared" si="63"/>
        <v>3.0616345979734279</v>
      </c>
      <c r="AE67" s="432" t="str">
        <f t="shared" si="64"/>
        <v>(1,4,4,3,1,3); de Wild-Scholten (2014) Life Cycle Assessment of Photovoltaics Status 2011, Part 1 Data Collection (Table 37)</v>
      </c>
      <c r="AF67" s="435">
        <f>$BA67</f>
        <v>3.9999999999999998E-6</v>
      </c>
      <c r="AG67" s="95">
        <v>1</v>
      </c>
      <c r="AH67" s="96">
        <f t="shared" si="65"/>
        <v>3.0616345979734279</v>
      </c>
      <c r="AI67" s="432" t="str">
        <f t="shared" si="66"/>
        <v>(1,4,4,3,1,3); de Wild-Scholten (2014) Life Cycle Assessment of Photovoltaics Status 2011, Part 1 Data Collection (Table 37)</v>
      </c>
      <c r="AJ67" s="435">
        <f>$BA67</f>
        <v>3.9999999999999998E-6</v>
      </c>
      <c r="AK67" s="95">
        <v>1</v>
      </c>
      <c r="AL67" s="96">
        <f t="shared" si="67"/>
        <v>3.0616345979734279</v>
      </c>
      <c r="AM67" s="432" t="str">
        <f t="shared" si="68"/>
        <v>(1,4,4,3,1,3); de Wild-Scholten (2014) Life Cycle Assessment of Photovoltaics Status 2011, Part 1 Data Collection (Table 37)</v>
      </c>
      <c r="AN67" s="435">
        <f>$BA67</f>
        <v>3.9999999999999998E-6</v>
      </c>
      <c r="AO67" s="95">
        <v>1</v>
      </c>
      <c r="AP67" s="96">
        <f t="shared" si="69"/>
        <v>3.0616345979734279</v>
      </c>
      <c r="AQ67" s="432" t="str">
        <f t="shared" si="70"/>
        <v>(1,4,4,3,1,3); de Wild-Scholten (2014) Life Cycle Assessment of Photovoltaics Status 2011, Part 1 Data Collection (Table 37)</v>
      </c>
      <c r="AR67" s="435">
        <v>0</v>
      </c>
      <c r="AS67" s="95">
        <v>1</v>
      </c>
      <c r="AT67" s="96">
        <f t="shared" si="71"/>
        <v>3.0000000000000004</v>
      </c>
      <c r="AU67" s="432" t="str">
        <f t="shared" si="72"/>
        <v xml:space="preserve">(na,na,na,na,na,na); </v>
      </c>
      <c r="AV67" s="435">
        <v>0</v>
      </c>
      <c r="AW67" s="95">
        <v>1</v>
      </c>
      <c r="AX67" s="96">
        <f t="shared" si="73"/>
        <v>3.0000000000000004</v>
      </c>
      <c r="AY67" s="432" t="str">
        <f t="shared" si="74"/>
        <v xml:space="preserve">(na,na,na,na,na,na); </v>
      </c>
      <c r="AZ67" s="112"/>
      <c r="BA67" s="435">
        <f>0.0000064/1.6</f>
        <v>3.9999999999999998E-6</v>
      </c>
      <c r="BB67" s="216" t="s">
        <v>1230</v>
      </c>
      <c r="BC67" s="83">
        <v>1</v>
      </c>
      <c r="BD67" s="83">
        <v>4</v>
      </c>
      <c r="BE67" s="83">
        <v>4</v>
      </c>
      <c r="BF67" s="83">
        <v>3</v>
      </c>
      <c r="BG67" s="83">
        <v>1</v>
      </c>
      <c r="BH67" s="83">
        <v>3</v>
      </c>
      <c r="BI67" s="104">
        <v>9</v>
      </c>
      <c r="BJ67" s="104">
        <v>3</v>
      </c>
      <c r="BK67" s="107">
        <f t="shared" si="75"/>
        <v>1.2365959919080913</v>
      </c>
      <c r="BL67" s="107">
        <f t="shared" si="76"/>
        <v>3.0616345979734279</v>
      </c>
      <c r="BM67" s="107" t="str">
        <f t="shared" si="77"/>
        <v>(1,4,4,3,1,3)</v>
      </c>
      <c r="BN67" s="108">
        <v>1</v>
      </c>
      <c r="BO67" s="108">
        <v>1.1000000000000001</v>
      </c>
      <c r="BP67" s="108">
        <v>1.2</v>
      </c>
      <c r="BQ67" s="108">
        <v>1.02</v>
      </c>
      <c r="BR67" s="108">
        <v>1</v>
      </c>
      <c r="BS67" s="108">
        <v>1.05</v>
      </c>
      <c r="BU67" s="704"/>
      <c r="BV67" s="83" t="s">
        <v>106</v>
      </c>
      <c r="BW67" s="83" t="s">
        <v>106</v>
      </c>
      <c r="BX67" s="83" t="s">
        <v>106</v>
      </c>
      <c r="BY67" s="83" t="s">
        <v>106</v>
      </c>
      <c r="BZ67" s="83" t="s">
        <v>106</v>
      </c>
      <c r="CA67" s="83" t="s">
        <v>106</v>
      </c>
      <c r="CB67" s="104">
        <v>9</v>
      </c>
      <c r="CC67" s="104">
        <v>3</v>
      </c>
      <c r="CD67" s="107">
        <f t="shared" si="78"/>
        <v>1</v>
      </c>
      <c r="CE67" s="107">
        <f t="shared" si="79"/>
        <v>3.0000000000000004</v>
      </c>
      <c r="CF67" s="107" t="str">
        <f t="shared" si="80"/>
        <v>(na,na,na,na,na,na)</v>
      </c>
      <c r="CG67" s="108">
        <v>1</v>
      </c>
      <c r="CH67" s="108">
        <v>1</v>
      </c>
      <c r="CI67" s="108">
        <v>1</v>
      </c>
      <c r="CJ67" s="108">
        <v>1</v>
      </c>
      <c r="CK67" s="108">
        <v>1</v>
      </c>
      <c r="CL67" s="108">
        <v>1</v>
      </c>
    </row>
    <row r="68" spans="1:90" ht="24">
      <c r="A68" s="330" t="s">
        <v>774</v>
      </c>
      <c r="B68" s="331"/>
      <c r="C68" s="88"/>
      <c r="D68" s="340">
        <v>5</v>
      </c>
      <c r="E68" s="341" t="s">
        <v>98</v>
      </c>
      <c r="F68" s="432" t="s">
        <v>775</v>
      </c>
      <c r="G68" s="433" t="s">
        <v>340</v>
      </c>
      <c r="H68" s="434" t="s">
        <v>98</v>
      </c>
      <c r="I68" s="434" t="s">
        <v>98</v>
      </c>
      <c r="J68" s="94">
        <v>1</v>
      </c>
      <c r="K68" s="433" t="s">
        <v>144</v>
      </c>
      <c r="L68" s="435">
        <v>0</v>
      </c>
      <c r="M68" s="95">
        <v>1</v>
      </c>
      <c r="N68" s="96">
        <f t="shared" si="55"/>
        <v>3.0000000000000004</v>
      </c>
      <c r="O68" s="432" t="str">
        <f t="shared" si="56"/>
        <v xml:space="preserve">(na,na,na,na,na,na); </v>
      </c>
      <c r="P68" s="435">
        <v>0</v>
      </c>
      <c r="Q68" s="95">
        <v>1</v>
      </c>
      <c r="R68" s="96">
        <f t="shared" si="57"/>
        <v>3.0000000000000004</v>
      </c>
      <c r="S68" s="432" t="str">
        <f t="shared" si="58"/>
        <v xml:space="preserve">(na,na,na,na,na,na); </v>
      </c>
      <c r="T68" s="435">
        <v>0</v>
      </c>
      <c r="U68" s="95">
        <v>1</v>
      </c>
      <c r="V68" s="96">
        <f t="shared" si="59"/>
        <v>3.0000000000000004</v>
      </c>
      <c r="W68" s="432" t="str">
        <f t="shared" si="60"/>
        <v xml:space="preserve">(na,na,na,na,na,na); </v>
      </c>
      <c r="X68" s="435">
        <v>0</v>
      </c>
      <c r="Y68" s="95">
        <v>1</v>
      </c>
      <c r="Z68" s="96">
        <f t="shared" si="61"/>
        <v>3.0000000000000004</v>
      </c>
      <c r="AA68" s="432" t="str">
        <f t="shared" si="62"/>
        <v xml:space="preserve">(na,na,na,na,na,na); </v>
      </c>
      <c r="AB68" s="435">
        <v>0</v>
      </c>
      <c r="AC68" s="95">
        <v>1</v>
      </c>
      <c r="AD68" s="96">
        <f t="shared" si="63"/>
        <v>3.0000000000000004</v>
      </c>
      <c r="AE68" s="432" t="str">
        <f t="shared" si="64"/>
        <v xml:space="preserve">(na,na,na,na,na,na); </v>
      </c>
      <c r="AF68" s="435">
        <v>0</v>
      </c>
      <c r="AG68" s="95">
        <v>1</v>
      </c>
      <c r="AH68" s="96">
        <f t="shared" si="65"/>
        <v>3.0000000000000004</v>
      </c>
      <c r="AI68" s="432" t="str">
        <f t="shared" si="66"/>
        <v xml:space="preserve">(na,na,na,na,na,na); </v>
      </c>
      <c r="AJ68" s="435">
        <v>0</v>
      </c>
      <c r="AK68" s="95">
        <v>1</v>
      </c>
      <c r="AL68" s="96">
        <f t="shared" si="67"/>
        <v>3.0000000000000004</v>
      </c>
      <c r="AM68" s="432" t="str">
        <f t="shared" si="68"/>
        <v xml:space="preserve">(na,na,na,na,na,na); </v>
      </c>
      <c r="AN68" s="435">
        <v>0</v>
      </c>
      <c r="AO68" s="95">
        <v>1</v>
      </c>
      <c r="AP68" s="96">
        <f t="shared" si="69"/>
        <v>3.0000000000000004</v>
      </c>
      <c r="AQ68" s="432" t="str">
        <f t="shared" si="70"/>
        <v xml:space="preserve">(na,na,na,na,na,na); </v>
      </c>
      <c r="AR68" s="435">
        <v>3.2700000000000001E-10</v>
      </c>
      <c r="AS68" s="95">
        <v>1</v>
      </c>
      <c r="AT68" s="96">
        <f t="shared" si="71"/>
        <v>3.0616345979734279</v>
      </c>
      <c r="AU68" s="432" t="str">
        <f t="shared" si="72"/>
        <v>(2,4,1,3,1,5); Brailovsky (2026) GM Ancillary Buildings Steel BS</v>
      </c>
      <c r="AV68" s="435">
        <v>3.2700000000000001E-10</v>
      </c>
      <c r="AW68" s="95">
        <v>1</v>
      </c>
      <c r="AX68" s="96">
        <f t="shared" si="73"/>
        <v>3.0616345979734279</v>
      </c>
      <c r="AY68" s="432" t="str">
        <f t="shared" si="74"/>
        <v>(2,4,1,3,1,5); Brailovsky (2026) GM Ancillary Buildings Steel BS</v>
      </c>
      <c r="AZ68" s="112"/>
      <c r="BA68" s="435"/>
      <c r="BB68" s="216"/>
      <c r="BC68" s="83" t="s">
        <v>106</v>
      </c>
      <c r="BD68" s="83" t="s">
        <v>106</v>
      </c>
      <c r="BE68" s="83" t="s">
        <v>106</v>
      </c>
      <c r="BF68" s="83" t="s">
        <v>106</v>
      </c>
      <c r="BG68" s="83" t="s">
        <v>106</v>
      </c>
      <c r="BH68" s="83" t="s">
        <v>106</v>
      </c>
      <c r="BI68" s="104">
        <v>9</v>
      </c>
      <c r="BJ68" s="104">
        <v>3</v>
      </c>
      <c r="BK68" s="107">
        <f t="shared" si="75"/>
        <v>1</v>
      </c>
      <c r="BL68" s="107">
        <f t="shared" si="76"/>
        <v>3.0000000000000004</v>
      </c>
      <c r="BM68" s="107" t="str">
        <f t="shared" si="77"/>
        <v>(na,na,na,na,na,na)</v>
      </c>
      <c r="BN68" s="108">
        <v>1</v>
      </c>
      <c r="BO68" s="108">
        <v>1</v>
      </c>
      <c r="BP68" s="108">
        <v>1</v>
      </c>
      <c r="BQ68" s="108">
        <v>1</v>
      </c>
      <c r="BR68" s="108">
        <v>1</v>
      </c>
      <c r="BS68" s="108">
        <v>1</v>
      </c>
      <c r="BU68" s="691" t="s">
        <v>867</v>
      </c>
      <c r="BV68" s="83">
        <v>2</v>
      </c>
      <c r="BW68" s="83">
        <v>4</v>
      </c>
      <c r="BX68" s="83">
        <v>1</v>
      </c>
      <c r="BY68" s="83">
        <v>3</v>
      </c>
      <c r="BZ68" s="83">
        <v>1</v>
      </c>
      <c r="CA68" s="83">
        <v>5</v>
      </c>
      <c r="CB68" s="104">
        <v>9</v>
      </c>
      <c r="CC68" s="104">
        <v>3</v>
      </c>
      <c r="CD68" s="107">
        <f t="shared" si="78"/>
        <v>1.2365959919080913</v>
      </c>
      <c r="CE68" s="107">
        <f t="shared" si="79"/>
        <v>3.0616345979734279</v>
      </c>
      <c r="CF68" s="107" t="str">
        <f t="shared" si="80"/>
        <v>(2,4,1,3,1,5)</v>
      </c>
      <c r="CG68" s="108">
        <v>1.05</v>
      </c>
      <c r="CH68" s="108">
        <v>1.1000000000000001</v>
      </c>
      <c r="CI68" s="108">
        <v>1</v>
      </c>
      <c r="CJ68" s="108">
        <v>1.02</v>
      </c>
      <c r="CK68" s="108">
        <v>1</v>
      </c>
      <c r="CL68" s="108">
        <v>1.2</v>
      </c>
    </row>
    <row r="69" spans="1:90" ht="24">
      <c r="A69" s="330" t="s">
        <v>1102</v>
      </c>
      <c r="B69" s="331"/>
      <c r="C69" s="88"/>
      <c r="D69" s="340">
        <v>5</v>
      </c>
      <c r="E69" s="341" t="s">
        <v>98</v>
      </c>
      <c r="F69" s="432" t="s">
        <v>1104</v>
      </c>
      <c r="G69" s="433" t="s">
        <v>340</v>
      </c>
      <c r="H69" s="434" t="s">
        <v>98</v>
      </c>
      <c r="I69" s="434" t="s">
        <v>98</v>
      </c>
      <c r="J69" s="94">
        <v>1</v>
      </c>
      <c r="K69" s="433" t="s">
        <v>144</v>
      </c>
      <c r="L69" s="435">
        <v>0</v>
      </c>
      <c r="M69" s="95">
        <v>1</v>
      </c>
      <c r="N69" s="96">
        <f t="shared" si="55"/>
        <v>3.0000000000000004</v>
      </c>
      <c r="O69" s="432" t="str">
        <f t="shared" si="56"/>
        <v xml:space="preserve">(na,na,na,na,na,na); </v>
      </c>
      <c r="P69" s="435">
        <v>0</v>
      </c>
      <c r="Q69" s="95">
        <v>1</v>
      </c>
      <c r="R69" s="96">
        <f t="shared" si="57"/>
        <v>3.0000000000000004</v>
      </c>
      <c r="S69" s="432" t="str">
        <f t="shared" si="58"/>
        <v xml:space="preserve">(na,na,na,na,na,na); </v>
      </c>
      <c r="T69" s="435">
        <v>0</v>
      </c>
      <c r="U69" s="95">
        <v>1</v>
      </c>
      <c r="V69" s="96">
        <f t="shared" si="59"/>
        <v>3.0000000000000004</v>
      </c>
      <c r="W69" s="432" t="str">
        <f t="shared" si="60"/>
        <v xml:space="preserve">(na,na,na,na,na,na); </v>
      </c>
      <c r="X69" s="435">
        <v>0</v>
      </c>
      <c r="Y69" s="95">
        <v>1</v>
      </c>
      <c r="Z69" s="96">
        <f t="shared" si="61"/>
        <v>3.0000000000000004</v>
      </c>
      <c r="AA69" s="432" t="str">
        <f t="shared" si="62"/>
        <v xml:space="preserve">(na,na,na,na,na,na); </v>
      </c>
      <c r="AB69" s="435">
        <v>0</v>
      </c>
      <c r="AC69" s="95">
        <v>1</v>
      </c>
      <c r="AD69" s="96">
        <f t="shared" si="63"/>
        <v>3.0000000000000004</v>
      </c>
      <c r="AE69" s="432" t="str">
        <f t="shared" si="64"/>
        <v xml:space="preserve">(na,na,na,na,na,na); </v>
      </c>
      <c r="AF69" s="435">
        <v>0</v>
      </c>
      <c r="AG69" s="95">
        <v>1</v>
      </c>
      <c r="AH69" s="96">
        <f t="shared" si="65"/>
        <v>3.0000000000000004</v>
      </c>
      <c r="AI69" s="432" t="str">
        <f t="shared" si="66"/>
        <v xml:space="preserve">(na,na,na,na,na,na); </v>
      </c>
      <c r="AJ69" s="435">
        <v>0</v>
      </c>
      <c r="AK69" s="95">
        <v>1</v>
      </c>
      <c r="AL69" s="96">
        <f t="shared" si="67"/>
        <v>3.0000000000000004</v>
      </c>
      <c r="AM69" s="432" t="str">
        <f t="shared" si="68"/>
        <v xml:space="preserve">(na,na,na,na,na,na); </v>
      </c>
      <c r="AN69" s="435">
        <v>0</v>
      </c>
      <c r="AO69" s="95">
        <v>1</v>
      </c>
      <c r="AP69" s="96">
        <f t="shared" si="69"/>
        <v>3.0000000000000004</v>
      </c>
      <c r="AQ69" s="432" t="str">
        <f t="shared" si="70"/>
        <v xml:space="preserve">(na,na,na,na,na,na); </v>
      </c>
      <c r="AR69" s="435">
        <v>1.31E-9</v>
      </c>
      <c r="AS69" s="95">
        <v>1</v>
      </c>
      <c r="AT69" s="96">
        <f t="shared" si="71"/>
        <v>3.0616345979734279</v>
      </c>
      <c r="AU69" s="432" t="str">
        <f t="shared" si="72"/>
        <v>(2,4,1,3,1,5); Brailovsky (2026) GM Panel Factory Steel BS iso Timber BS</v>
      </c>
      <c r="AV69" s="435">
        <v>1.31E-9</v>
      </c>
      <c r="AW69" s="95">
        <v>1</v>
      </c>
      <c r="AX69" s="96">
        <f t="shared" si="73"/>
        <v>3.0616345979734279</v>
      </c>
      <c r="AY69" s="432" t="str">
        <f t="shared" si="74"/>
        <v>(2,4,1,3,1,5); Brailovsky (2026) GM Panel Factory Steel BS iso Timber BS</v>
      </c>
      <c r="AZ69" s="112"/>
      <c r="BA69" s="435"/>
      <c r="BB69" s="216"/>
      <c r="BC69" s="83" t="s">
        <v>106</v>
      </c>
      <c r="BD69" s="83" t="s">
        <v>106</v>
      </c>
      <c r="BE69" s="83" t="s">
        <v>106</v>
      </c>
      <c r="BF69" s="83" t="s">
        <v>106</v>
      </c>
      <c r="BG69" s="83" t="s">
        <v>106</v>
      </c>
      <c r="BH69" s="83" t="s">
        <v>106</v>
      </c>
      <c r="BI69" s="104">
        <v>9</v>
      </c>
      <c r="BJ69" s="104">
        <v>3</v>
      </c>
      <c r="BK69" s="107">
        <f t="shared" si="75"/>
        <v>1</v>
      </c>
      <c r="BL69" s="107">
        <f t="shared" si="76"/>
        <v>3.0000000000000004</v>
      </c>
      <c r="BM69" s="107" t="str">
        <f t="shared" si="77"/>
        <v>(na,na,na,na,na,na)</v>
      </c>
      <c r="BN69" s="108">
        <v>1</v>
      </c>
      <c r="BO69" s="108">
        <v>1</v>
      </c>
      <c r="BP69" s="108">
        <v>1</v>
      </c>
      <c r="BQ69" s="108">
        <v>1</v>
      </c>
      <c r="BR69" s="108">
        <v>1</v>
      </c>
      <c r="BS69" s="108">
        <v>1</v>
      </c>
      <c r="BU69" s="691" t="s">
        <v>1292</v>
      </c>
      <c r="BV69" s="83">
        <v>2</v>
      </c>
      <c r="BW69" s="83">
        <v>4</v>
      </c>
      <c r="BX69" s="83">
        <v>1</v>
      </c>
      <c r="BY69" s="83">
        <v>3</v>
      </c>
      <c r="BZ69" s="83">
        <v>1</v>
      </c>
      <c r="CA69" s="83">
        <v>5</v>
      </c>
      <c r="CB69" s="104">
        <v>9</v>
      </c>
      <c r="CC69" s="104">
        <v>3</v>
      </c>
      <c r="CD69" s="107">
        <f t="shared" si="78"/>
        <v>1.2365959919080913</v>
      </c>
      <c r="CE69" s="107">
        <f t="shared" si="79"/>
        <v>3.0616345979734279</v>
      </c>
      <c r="CF69" s="107" t="str">
        <f t="shared" si="80"/>
        <v>(2,4,1,3,1,5)</v>
      </c>
      <c r="CG69" s="108">
        <v>1.05</v>
      </c>
      <c r="CH69" s="108">
        <v>1.1000000000000001</v>
      </c>
      <c r="CI69" s="108">
        <v>1</v>
      </c>
      <c r="CJ69" s="108">
        <v>1.02</v>
      </c>
      <c r="CK69" s="108">
        <v>1</v>
      </c>
      <c r="CL69" s="108">
        <v>1.2</v>
      </c>
    </row>
    <row r="70" spans="1:90" ht="24">
      <c r="A70" s="330">
        <v>269641</v>
      </c>
      <c r="B70" s="331" t="s">
        <v>322</v>
      </c>
      <c r="C70" s="88"/>
      <c r="D70" s="340">
        <v>5</v>
      </c>
      <c r="E70" s="341" t="s">
        <v>98</v>
      </c>
      <c r="F70" s="432" t="s">
        <v>240</v>
      </c>
      <c r="G70" s="433" t="s">
        <v>93</v>
      </c>
      <c r="H70" s="434" t="s">
        <v>98</v>
      </c>
      <c r="I70" s="434" t="s">
        <v>98</v>
      </c>
      <c r="J70" s="94">
        <v>0</v>
      </c>
      <c r="K70" s="433" t="s">
        <v>115</v>
      </c>
      <c r="L70" s="435">
        <v>2.3348787881066499</v>
      </c>
      <c r="M70" s="95">
        <v>1</v>
      </c>
      <c r="N70" s="96">
        <f t="shared" si="55"/>
        <v>2.0949941301068096</v>
      </c>
      <c r="O70" s="432" t="str">
        <f t="shared" si="56"/>
        <v>(4,5,na,na,na,na); Standard distance 100km, cells 500km</v>
      </c>
      <c r="P70" s="435">
        <v>2.18487878810665</v>
      </c>
      <c r="Q70" s="95">
        <v>1</v>
      </c>
      <c r="R70" s="96">
        <f t="shared" si="57"/>
        <v>2.0949941301068096</v>
      </c>
      <c r="S70" s="432" t="str">
        <f t="shared" si="58"/>
        <v>(4,5,na,na,na,na); Standard distance 100km, cells 500km</v>
      </c>
      <c r="T70" s="435">
        <v>2.3348787881066499</v>
      </c>
      <c r="U70" s="95">
        <v>1</v>
      </c>
      <c r="V70" s="96">
        <f t="shared" si="59"/>
        <v>2.0949941301068096</v>
      </c>
      <c r="W70" s="432" t="str">
        <f t="shared" si="60"/>
        <v>(4,5,na,na,na,na); Standard distance 100km, cells 500km</v>
      </c>
      <c r="X70" s="435">
        <v>2.18487878810665</v>
      </c>
      <c r="Y70" s="95">
        <v>1</v>
      </c>
      <c r="Z70" s="96">
        <f t="shared" si="61"/>
        <v>2.0949941301068096</v>
      </c>
      <c r="AA70" s="432" t="str">
        <f t="shared" si="62"/>
        <v>(4,5,na,na,na,na); Standard distance 100km, cells 500km</v>
      </c>
      <c r="AB70" s="435">
        <v>2.3348787881066499</v>
      </c>
      <c r="AC70" s="95">
        <v>1</v>
      </c>
      <c r="AD70" s="96">
        <f t="shared" si="63"/>
        <v>2.0949941301068096</v>
      </c>
      <c r="AE70" s="432" t="str">
        <f t="shared" si="64"/>
        <v>(4,5,na,na,na,na); Standard distance 100km, cells 500km</v>
      </c>
      <c r="AF70" s="435">
        <v>2.18487878810665</v>
      </c>
      <c r="AG70" s="95">
        <v>1</v>
      </c>
      <c r="AH70" s="96">
        <f t="shared" si="65"/>
        <v>2.0949941301068096</v>
      </c>
      <c r="AI70" s="432" t="str">
        <f t="shared" si="66"/>
        <v>(4,5,na,na,na,na); Standard distance 100km, cells 500km</v>
      </c>
      <c r="AJ70" s="435">
        <v>2.3348787881066499</v>
      </c>
      <c r="AK70" s="95">
        <v>1</v>
      </c>
      <c r="AL70" s="96">
        <f t="shared" si="67"/>
        <v>2.0949941301068096</v>
      </c>
      <c r="AM70" s="432" t="str">
        <f t="shared" si="68"/>
        <v>(4,5,na,na,na,na); Standard distance 100km, cells 500km</v>
      </c>
      <c r="AN70" s="435">
        <v>2.18487878810665</v>
      </c>
      <c r="AO70" s="95">
        <v>1</v>
      </c>
      <c r="AP70" s="96">
        <f t="shared" si="69"/>
        <v>2.0949941301068096</v>
      </c>
      <c r="AQ70" s="432" t="str">
        <f t="shared" si="70"/>
        <v>(4,5,na,na,na,na); Standard distance 100km, cells 500km</v>
      </c>
      <c r="AR70" s="435">
        <f>0.1*SUM(AR23:AR36,AR47:AR55)+0.1*22*AR56+0.015*SUM(AR74:AR82)</f>
        <v>2.0450302764705883</v>
      </c>
      <c r="AS70" s="95">
        <v>1</v>
      </c>
      <c r="AT70" s="96">
        <f t="shared" si="71"/>
        <v>2.0949941301068096</v>
      </c>
      <c r="AU70" s="432" t="str">
        <f t="shared" si="72"/>
        <v>(4,5,na,na,na,na); Cell transport acoided by vertical integration; assumed weight europallet 22kg; Distances: 100km (Inputs), 15km (Waste)</v>
      </c>
      <c r="AV70" s="435">
        <f>0.1*SUM(AV23:AV36,AV47:AV55)+0.1*22*AV56+0.015*SUM(AV74:AV82)</f>
        <v>2.0450302764705883</v>
      </c>
      <c r="AW70" s="95">
        <v>1</v>
      </c>
      <c r="AX70" s="96">
        <f t="shared" si="73"/>
        <v>2.0949941301068096</v>
      </c>
      <c r="AY70" s="432" t="str">
        <f t="shared" si="74"/>
        <v>(4,5,na,na,na,na); Cell transport acoided by vertical integration; assumed weight europallet 22kg; Distances: 100km (Inputs), 15km (Waste)</v>
      </c>
      <c r="AZ70" s="112"/>
      <c r="BA70" s="435">
        <f>2.57/1.6</f>
        <v>1.6062499999999997</v>
      </c>
      <c r="BB70" s="216" t="s">
        <v>1293</v>
      </c>
      <c r="BC70" s="83">
        <v>4</v>
      </c>
      <c r="BD70" s="83">
        <v>5</v>
      </c>
      <c r="BE70" s="83" t="s">
        <v>106</v>
      </c>
      <c r="BF70" s="83" t="s">
        <v>106</v>
      </c>
      <c r="BG70" s="83" t="s">
        <v>106</v>
      </c>
      <c r="BH70" s="83" t="s">
        <v>106</v>
      </c>
      <c r="BI70" s="104">
        <v>5</v>
      </c>
      <c r="BJ70" s="104">
        <v>2</v>
      </c>
      <c r="BK70" s="107">
        <f t="shared" si="75"/>
        <v>1.2941338353151037</v>
      </c>
      <c r="BL70" s="107">
        <f t="shared" si="76"/>
        <v>2.0949941301068096</v>
      </c>
      <c r="BM70" s="107" t="str">
        <f t="shared" si="77"/>
        <v>(4,5,na,na,na,na)</v>
      </c>
      <c r="BN70" s="108">
        <v>1.2</v>
      </c>
      <c r="BO70" s="108">
        <v>1.2</v>
      </c>
      <c r="BP70" s="108">
        <v>1</v>
      </c>
      <c r="BQ70" s="108">
        <v>1</v>
      </c>
      <c r="BR70" s="108">
        <v>1</v>
      </c>
      <c r="BS70" s="108">
        <v>1</v>
      </c>
      <c r="BU70" s="692" t="s">
        <v>1294</v>
      </c>
      <c r="BV70" s="83">
        <v>4</v>
      </c>
      <c r="BW70" s="83">
        <v>5</v>
      </c>
      <c r="BX70" s="83" t="s">
        <v>106</v>
      </c>
      <c r="BY70" s="83" t="s">
        <v>106</v>
      </c>
      <c r="BZ70" s="83" t="s">
        <v>106</v>
      </c>
      <c r="CA70" s="83" t="s">
        <v>106</v>
      </c>
      <c r="CB70" s="104">
        <v>5</v>
      </c>
      <c r="CC70" s="104">
        <v>2</v>
      </c>
      <c r="CD70" s="107">
        <f t="shared" si="78"/>
        <v>1.2941338353151037</v>
      </c>
      <c r="CE70" s="107">
        <f t="shared" si="79"/>
        <v>2.0949941301068096</v>
      </c>
      <c r="CF70" s="107" t="str">
        <f t="shared" si="80"/>
        <v>(4,5,na,na,na,na)</v>
      </c>
      <c r="CG70" s="108">
        <v>1.2</v>
      </c>
      <c r="CH70" s="108">
        <v>1.2</v>
      </c>
      <c r="CI70" s="108">
        <v>1</v>
      </c>
      <c r="CJ70" s="108">
        <v>1</v>
      </c>
      <c r="CK70" s="108">
        <v>1</v>
      </c>
      <c r="CL70" s="108">
        <v>1</v>
      </c>
    </row>
    <row r="71" spans="1:90" ht="24">
      <c r="A71" s="330">
        <v>160371</v>
      </c>
      <c r="B71" s="331"/>
      <c r="C71" s="88"/>
      <c r="D71" s="340">
        <v>5</v>
      </c>
      <c r="E71" s="341" t="s">
        <v>98</v>
      </c>
      <c r="F71" s="432" t="s">
        <v>242</v>
      </c>
      <c r="G71" s="433" t="s">
        <v>93</v>
      </c>
      <c r="H71" s="434" t="s">
        <v>98</v>
      </c>
      <c r="I71" s="434" t="s">
        <v>98</v>
      </c>
      <c r="J71" s="94">
        <v>0</v>
      </c>
      <c r="K71" s="433" t="s">
        <v>115</v>
      </c>
      <c r="L71" s="435">
        <f>0.6*SUM(L23:L36,L47:L55)+0.6*22*L56</f>
        <v>12.899060625000001</v>
      </c>
      <c r="M71" s="95">
        <v>1</v>
      </c>
      <c r="N71" s="96">
        <f t="shared" si="55"/>
        <v>2.0949941301068096</v>
      </c>
      <c r="O71" s="432" t="str">
        <f t="shared" si="56"/>
        <v>(4,5,na,na,na,na); Standard distance 600km</v>
      </c>
      <c r="P71" s="435">
        <f>0.6*SUM(P23:P36,P47:P55)+0.6*22*P56</f>
        <v>11.999060625</v>
      </c>
      <c r="Q71" s="95">
        <v>1</v>
      </c>
      <c r="R71" s="96">
        <f t="shared" si="57"/>
        <v>2.0949941301068096</v>
      </c>
      <c r="S71" s="432" t="str">
        <f t="shared" si="58"/>
        <v>(4,5,na,na,na,na); Standard distance 600km</v>
      </c>
      <c r="T71" s="435">
        <f>0.6*SUM(T23:T36,T47:T55)+0.6*22*T56</f>
        <v>12.899060625000001</v>
      </c>
      <c r="U71" s="95">
        <v>1</v>
      </c>
      <c r="V71" s="96">
        <f t="shared" si="59"/>
        <v>2.0949941301068096</v>
      </c>
      <c r="W71" s="432" t="str">
        <f t="shared" si="60"/>
        <v>(4,5,na,na,na,na); Standard distance 600km</v>
      </c>
      <c r="X71" s="435">
        <f>0.6*SUM(X23:X36,X47:X55)+0.6*22*X56</f>
        <v>11.999060625</v>
      </c>
      <c r="Y71" s="95">
        <v>1</v>
      </c>
      <c r="Z71" s="96">
        <f t="shared" si="61"/>
        <v>2.0949941301068096</v>
      </c>
      <c r="AA71" s="432" t="str">
        <f t="shared" si="62"/>
        <v>(4,5,na,na,na,na); Standard distance 600km</v>
      </c>
      <c r="AB71" s="435">
        <f>0.6*SUM(AB23:AB36,AB47:AB55)+0.6*22*AB56</f>
        <v>12.899060625000001</v>
      </c>
      <c r="AC71" s="95">
        <v>1</v>
      </c>
      <c r="AD71" s="96">
        <f t="shared" si="63"/>
        <v>2.0949941301068096</v>
      </c>
      <c r="AE71" s="432" t="str">
        <f t="shared" si="64"/>
        <v>(4,5,na,na,na,na); Standard distance 600km</v>
      </c>
      <c r="AF71" s="435">
        <f>0.6*SUM(AF23:AF36,AF47:AF55)+0.6*22*AF56</f>
        <v>11.999060625</v>
      </c>
      <c r="AG71" s="95">
        <v>1</v>
      </c>
      <c r="AH71" s="96">
        <f t="shared" si="65"/>
        <v>2.0949941301068096</v>
      </c>
      <c r="AI71" s="432" t="str">
        <f t="shared" si="66"/>
        <v>(4,5,na,na,na,na); Standard distance 600km</v>
      </c>
      <c r="AJ71" s="435">
        <f>0.6*SUM(AJ23:AJ36,AJ47:AJ55)+0.6*22*AJ56</f>
        <v>12.899060625000001</v>
      </c>
      <c r="AK71" s="95">
        <v>1</v>
      </c>
      <c r="AL71" s="96">
        <f t="shared" si="67"/>
        <v>2.0949941301068096</v>
      </c>
      <c r="AM71" s="432" t="str">
        <f t="shared" si="68"/>
        <v>(4,5,na,na,na,na); Standard distance 600km</v>
      </c>
      <c r="AN71" s="435">
        <f>0.6*SUM(AN23:AN36,AN47:AN55)+0.6*22*AN56</f>
        <v>11.999060625</v>
      </c>
      <c r="AO71" s="95">
        <v>1</v>
      </c>
      <c r="AP71" s="96">
        <f t="shared" si="69"/>
        <v>2.0949941301068096</v>
      </c>
      <c r="AQ71" s="432" t="str">
        <f t="shared" si="70"/>
        <v>(4,5,na,na,na,na); Standard distance 600km</v>
      </c>
      <c r="AR71" s="435">
        <f>0.6*SUM(AR23:AR36,AR47:AR55)+0.6*22*AR56</f>
        <v>12.259298399999999</v>
      </c>
      <c r="AS71" s="95">
        <v>1</v>
      </c>
      <c r="AT71" s="96">
        <f t="shared" si="71"/>
        <v>2.0949941301068096</v>
      </c>
      <c r="AU71" s="432" t="str">
        <f t="shared" si="72"/>
        <v>(4,5,na,na,na,na); Cell transport acoided by vertical integration; assumed weight europallet 22kg; Distances: 200km (Inputs)</v>
      </c>
      <c r="AV71" s="435">
        <f>0.6*SUM(AV23:AV36,AV47:AV55)+0.6*22*AV56</f>
        <v>12.259298399999999</v>
      </c>
      <c r="AW71" s="95">
        <v>1</v>
      </c>
      <c r="AX71" s="96">
        <f t="shared" si="73"/>
        <v>2.0949941301068096</v>
      </c>
      <c r="AY71" s="432" t="str">
        <f t="shared" si="74"/>
        <v>(4,5,na,na,na,na); Cell transport acoided by vertical integration; assumed weight europallet 22kg; Distances: 200km (Inputs)</v>
      </c>
      <c r="AZ71" s="112"/>
      <c r="BA71" s="435">
        <f>15.1/1.6</f>
        <v>9.4375</v>
      </c>
      <c r="BB71" s="216" t="s">
        <v>912</v>
      </c>
      <c r="BC71" s="83">
        <v>4</v>
      </c>
      <c r="BD71" s="83">
        <v>5</v>
      </c>
      <c r="BE71" s="83" t="s">
        <v>106</v>
      </c>
      <c r="BF71" s="83" t="s">
        <v>106</v>
      </c>
      <c r="BG71" s="83" t="s">
        <v>106</v>
      </c>
      <c r="BH71" s="83" t="s">
        <v>106</v>
      </c>
      <c r="BI71" s="104">
        <v>5</v>
      </c>
      <c r="BJ71" s="104">
        <v>2</v>
      </c>
      <c r="BK71" s="107">
        <f t="shared" si="75"/>
        <v>1.2941338353151037</v>
      </c>
      <c r="BL71" s="107">
        <f t="shared" si="76"/>
        <v>2.0949941301068096</v>
      </c>
      <c r="BM71" s="107" t="str">
        <f t="shared" si="77"/>
        <v>(4,5,na,na,na,na)</v>
      </c>
      <c r="BN71" s="108">
        <v>1.2</v>
      </c>
      <c r="BO71" s="108">
        <v>1.2</v>
      </c>
      <c r="BP71" s="108">
        <v>1</v>
      </c>
      <c r="BQ71" s="108">
        <v>1</v>
      </c>
      <c r="BR71" s="108">
        <v>1</v>
      </c>
      <c r="BS71" s="108">
        <v>1</v>
      </c>
      <c r="BU71" s="692" t="s">
        <v>1295</v>
      </c>
      <c r="BV71" s="83">
        <v>4</v>
      </c>
      <c r="BW71" s="83">
        <v>5</v>
      </c>
      <c r="BX71" s="83" t="s">
        <v>106</v>
      </c>
      <c r="BY71" s="83" t="s">
        <v>106</v>
      </c>
      <c r="BZ71" s="83" t="s">
        <v>106</v>
      </c>
      <c r="CA71" s="83" t="s">
        <v>106</v>
      </c>
      <c r="CB71" s="104">
        <v>5</v>
      </c>
      <c r="CC71" s="104">
        <v>2</v>
      </c>
      <c r="CD71" s="107">
        <f t="shared" si="78"/>
        <v>1.2941338353151037</v>
      </c>
      <c r="CE71" s="107">
        <f t="shared" si="79"/>
        <v>2.0949941301068096</v>
      </c>
      <c r="CF71" s="107" t="str">
        <f t="shared" si="80"/>
        <v>(4,5,na,na,na,na)</v>
      </c>
      <c r="CG71" s="108">
        <v>1.2</v>
      </c>
      <c r="CH71" s="108">
        <v>1.2</v>
      </c>
      <c r="CI71" s="108">
        <v>1</v>
      </c>
      <c r="CJ71" s="108">
        <v>1</v>
      </c>
      <c r="CK71" s="108">
        <v>1</v>
      </c>
      <c r="CL71" s="108">
        <v>1</v>
      </c>
    </row>
    <row r="72" spans="1:90" ht="24">
      <c r="A72" s="330">
        <v>79239</v>
      </c>
      <c r="B72" s="331" t="s">
        <v>511</v>
      </c>
      <c r="C72" s="88"/>
      <c r="D72" s="340">
        <v>5</v>
      </c>
      <c r="E72" s="341" t="s">
        <v>98</v>
      </c>
      <c r="F72" s="432" t="s">
        <v>512</v>
      </c>
      <c r="G72" s="433" t="s">
        <v>103</v>
      </c>
      <c r="H72" s="434" t="s">
        <v>98</v>
      </c>
      <c r="I72" s="434" t="s">
        <v>98</v>
      </c>
      <c r="J72" s="94">
        <v>0</v>
      </c>
      <c r="K72" s="433" t="s">
        <v>96</v>
      </c>
      <c r="L72" s="435">
        <f>$BA72</f>
        <v>0.03</v>
      </c>
      <c r="M72" s="95">
        <v>1</v>
      </c>
      <c r="N72" s="96">
        <f t="shared" si="55"/>
        <v>1.2434566510799234</v>
      </c>
      <c r="O72" s="432" t="str">
        <f t="shared" si="56"/>
        <v>(1,4,4,3,1,3); Alsema (personal communication) 2007, production waste</v>
      </c>
      <c r="P72" s="435">
        <f>$BA72</f>
        <v>0.03</v>
      </c>
      <c r="Q72" s="95">
        <v>1</v>
      </c>
      <c r="R72" s="96">
        <f t="shared" si="57"/>
        <v>1.2434566510799234</v>
      </c>
      <c r="S72" s="432" t="str">
        <f t="shared" si="58"/>
        <v>(1,4,4,3,1,3); Alsema (personal communication) 2007, production waste</v>
      </c>
      <c r="T72" s="435">
        <f>$BA72</f>
        <v>0.03</v>
      </c>
      <c r="U72" s="95">
        <v>1</v>
      </c>
      <c r="V72" s="96">
        <f t="shared" si="59"/>
        <v>1.2434566510799234</v>
      </c>
      <c r="W72" s="432" t="str">
        <f t="shared" si="60"/>
        <v>(1,4,4,3,1,3); Alsema (personal communication) 2007, production waste</v>
      </c>
      <c r="X72" s="435">
        <f>$BA72</f>
        <v>0.03</v>
      </c>
      <c r="Y72" s="95">
        <v>1</v>
      </c>
      <c r="Z72" s="96">
        <f t="shared" si="61"/>
        <v>1.2434566510799234</v>
      </c>
      <c r="AA72" s="432" t="str">
        <f t="shared" si="62"/>
        <v>(1,4,4,3,1,3); Alsema (personal communication) 2007, production waste</v>
      </c>
      <c r="AB72" s="435">
        <f>$BA72</f>
        <v>0.03</v>
      </c>
      <c r="AC72" s="95">
        <v>1</v>
      </c>
      <c r="AD72" s="96">
        <f t="shared" si="63"/>
        <v>1.2434566510799234</v>
      </c>
      <c r="AE72" s="432" t="str">
        <f t="shared" si="64"/>
        <v>(1,4,4,3,1,3); Alsema (personal communication) 2007, production waste</v>
      </c>
      <c r="AF72" s="435">
        <f>$BA72</f>
        <v>0.03</v>
      </c>
      <c r="AG72" s="95">
        <v>1</v>
      </c>
      <c r="AH72" s="96">
        <f t="shared" si="65"/>
        <v>1.2434566510799234</v>
      </c>
      <c r="AI72" s="432" t="str">
        <f t="shared" si="66"/>
        <v>(1,4,4,3,1,3); Alsema (personal communication) 2007, production waste</v>
      </c>
      <c r="AJ72" s="435">
        <f>$BA72</f>
        <v>0.03</v>
      </c>
      <c r="AK72" s="95">
        <v>1</v>
      </c>
      <c r="AL72" s="96">
        <f t="shared" si="67"/>
        <v>1.2434566510799234</v>
      </c>
      <c r="AM72" s="432" t="str">
        <f t="shared" si="68"/>
        <v>(1,4,4,3,1,3); Alsema (personal communication) 2007, production waste</v>
      </c>
      <c r="AN72" s="435">
        <f>$BA72</f>
        <v>0.03</v>
      </c>
      <c r="AO72" s="95">
        <v>1</v>
      </c>
      <c r="AP72" s="96">
        <f t="shared" si="69"/>
        <v>1.2434566510799234</v>
      </c>
      <c r="AQ72" s="432" t="str">
        <f t="shared" si="70"/>
        <v>(1,4,4,3,1,3); Alsema (personal communication) 2007, production waste</v>
      </c>
      <c r="AR72" s="435">
        <v>0</v>
      </c>
      <c r="AS72" s="95">
        <v>1</v>
      </c>
      <c r="AT72" s="96">
        <f t="shared" si="71"/>
        <v>1.05</v>
      </c>
      <c r="AU72" s="432" t="str">
        <f t="shared" si="72"/>
        <v xml:space="preserve">(na,na,na,na,na,na); </v>
      </c>
      <c r="AV72" s="435">
        <v>0</v>
      </c>
      <c r="AW72" s="95">
        <v>1</v>
      </c>
      <c r="AX72" s="96">
        <f t="shared" si="73"/>
        <v>1.05</v>
      </c>
      <c r="AY72" s="432" t="str">
        <f t="shared" si="74"/>
        <v xml:space="preserve">(na,na,na,na,na,na); </v>
      </c>
      <c r="AZ72" s="112"/>
      <c r="BA72" s="435">
        <f>0.048/1.6</f>
        <v>0.03</v>
      </c>
      <c r="BB72" s="216" t="s">
        <v>1296</v>
      </c>
      <c r="BC72" s="83">
        <v>1</v>
      </c>
      <c r="BD72" s="83">
        <v>4</v>
      </c>
      <c r="BE72" s="83">
        <v>4</v>
      </c>
      <c r="BF72" s="83">
        <v>3</v>
      </c>
      <c r="BG72" s="83">
        <v>1</v>
      </c>
      <c r="BH72" s="83">
        <v>3</v>
      </c>
      <c r="BI72" s="104">
        <v>6</v>
      </c>
      <c r="BJ72" s="104">
        <v>1.05</v>
      </c>
      <c r="BK72" s="107">
        <f t="shared" si="75"/>
        <v>1.2365959919080913</v>
      </c>
      <c r="BL72" s="107">
        <f t="shared" si="76"/>
        <v>1.2434566510799234</v>
      </c>
      <c r="BM72" s="107" t="str">
        <f t="shared" si="77"/>
        <v>(1,4,4,3,1,3)</v>
      </c>
      <c r="BN72" s="108">
        <v>1</v>
      </c>
      <c r="BO72" s="108">
        <v>1.1000000000000001</v>
      </c>
      <c r="BP72" s="108">
        <v>1.2</v>
      </c>
      <c r="BQ72" s="108">
        <v>1.02</v>
      </c>
      <c r="BR72" s="108">
        <v>1</v>
      </c>
      <c r="BS72" s="108">
        <v>1.05</v>
      </c>
      <c r="BT72" s="472"/>
      <c r="BU72" s="692"/>
      <c r="BV72" s="83" t="s">
        <v>106</v>
      </c>
      <c r="BW72" s="83" t="s">
        <v>106</v>
      </c>
      <c r="BX72" s="83" t="s">
        <v>106</v>
      </c>
      <c r="BY72" s="83" t="s">
        <v>106</v>
      </c>
      <c r="BZ72" s="83" t="s">
        <v>106</v>
      </c>
      <c r="CA72" s="83" t="s">
        <v>106</v>
      </c>
      <c r="CB72" s="104">
        <v>6</v>
      </c>
      <c r="CC72" s="104">
        <v>1.05</v>
      </c>
      <c r="CD72" s="107">
        <f t="shared" si="78"/>
        <v>1</v>
      </c>
      <c r="CE72" s="107">
        <f t="shared" si="79"/>
        <v>1.05</v>
      </c>
      <c r="CF72" s="107" t="str">
        <f t="shared" si="80"/>
        <v>(na,na,na,na,na,na)</v>
      </c>
      <c r="CG72" s="108">
        <v>1</v>
      </c>
      <c r="CH72" s="108">
        <v>1</v>
      </c>
      <c r="CI72" s="108">
        <v>1</v>
      </c>
      <c r="CJ72" s="108">
        <v>1</v>
      </c>
      <c r="CK72" s="108">
        <v>1</v>
      </c>
      <c r="CL72" s="108">
        <v>1</v>
      </c>
    </row>
    <row r="73" spans="1:90" ht="24">
      <c r="A73" s="330">
        <v>268433</v>
      </c>
      <c r="B73" s="331"/>
      <c r="C73" s="88"/>
      <c r="D73" s="340">
        <v>5</v>
      </c>
      <c r="E73" s="341" t="s">
        <v>98</v>
      </c>
      <c r="F73" s="432" t="s">
        <v>1297</v>
      </c>
      <c r="G73" s="433" t="s">
        <v>103</v>
      </c>
      <c r="H73" s="434" t="s">
        <v>98</v>
      </c>
      <c r="I73" s="434" t="s">
        <v>98</v>
      </c>
      <c r="J73" s="94">
        <v>0</v>
      </c>
      <c r="K73" s="433" t="s">
        <v>96</v>
      </c>
      <c r="L73" s="435">
        <f>$BA73</f>
        <v>4.2937499999999998E-3</v>
      </c>
      <c r="M73" s="95">
        <v>1</v>
      </c>
      <c r="N73" s="96">
        <f t="shared" si="55"/>
        <v>1.2434566510799234</v>
      </c>
      <c r="O73" s="432" t="str">
        <f t="shared" si="56"/>
        <v>(1,4,4,3,1,3); de Wild-Scholten (2014) Life Cycle Assessment of Photovoltaics Status 2011, Part 1 Data Collection (Table 37)</v>
      </c>
      <c r="P73" s="435">
        <f>$BA73</f>
        <v>4.2937499999999998E-3</v>
      </c>
      <c r="Q73" s="95">
        <v>1</v>
      </c>
      <c r="R73" s="96">
        <f t="shared" si="57"/>
        <v>1.2434566510799234</v>
      </c>
      <c r="S73" s="432" t="str">
        <f t="shared" si="58"/>
        <v>(1,4,4,3,1,3); de Wild-Scholten (2014) Life Cycle Assessment of Photovoltaics Status 2011, Part 1 Data Collection (Table 37)</v>
      </c>
      <c r="T73" s="435">
        <f>$BA73</f>
        <v>4.2937499999999998E-3</v>
      </c>
      <c r="U73" s="95">
        <v>1</v>
      </c>
      <c r="V73" s="96">
        <f t="shared" si="59"/>
        <v>1.2434566510799234</v>
      </c>
      <c r="W73" s="432" t="str">
        <f t="shared" si="60"/>
        <v>(1,4,4,3,1,3); de Wild-Scholten (2014) Life Cycle Assessment of Photovoltaics Status 2011, Part 1 Data Collection (Table 37)</v>
      </c>
      <c r="X73" s="435">
        <f>$BA73</f>
        <v>4.2937499999999998E-3</v>
      </c>
      <c r="Y73" s="95">
        <v>1</v>
      </c>
      <c r="Z73" s="96">
        <f t="shared" si="61"/>
        <v>1.2434566510799234</v>
      </c>
      <c r="AA73" s="432" t="str">
        <f t="shared" si="62"/>
        <v>(1,4,4,3,1,3); de Wild-Scholten (2014) Life Cycle Assessment of Photovoltaics Status 2011, Part 1 Data Collection (Table 37)</v>
      </c>
      <c r="AB73" s="435">
        <f>$BA73</f>
        <v>4.2937499999999998E-3</v>
      </c>
      <c r="AC73" s="95">
        <v>1</v>
      </c>
      <c r="AD73" s="96">
        <f t="shared" si="63"/>
        <v>1.2434566510799234</v>
      </c>
      <c r="AE73" s="432" t="str">
        <f t="shared" si="64"/>
        <v>(1,4,4,3,1,3); de Wild-Scholten (2014) Life Cycle Assessment of Photovoltaics Status 2011, Part 1 Data Collection (Table 37)</v>
      </c>
      <c r="AF73" s="435">
        <f>$BA73</f>
        <v>4.2937499999999998E-3</v>
      </c>
      <c r="AG73" s="95">
        <v>1</v>
      </c>
      <c r="AH73" s="96">
        <f t="shared" si="65"/>
        <v>1.2434566510799234</v>
      </c>
      <c r="AI73" s="432" t="str">
        <f t="shared" si="66"/>
        <v>(1,4,4,3,1,3); de Wild-Scholten (2014) Life Cycle Assessment of Photovoltaics Status 2011, Part 1 Data Collection (Table 37)</v>
      </c>
      <c r="AJ73" s="435">
        <f>$BA73</f>
        <v>4.2937499999999998E-3</v>
      </c>
      <c r="AK73" s="95">
        <v>1</v>
      </c>
      <c r="AL73" s="96">
        <f t="shared" si="67"/>
        <v>1.2434566510799234</v>
      </c>
      <c r="AM73" s="432" t="str">
        <f t="shared" si="68"/>
        <v>(1,4,4,3,1,3); de Wild-Scholten (2014) Life Cycle Assessment of Photovoltaics Status 2011, Part 1 Data Collection (Table 37)</v>
      </c>
      <c r="AN73" s="435">
        <f>$BA73</f>
        <v>4.2937499999999998E-3</v>
      </c>
      <c r="AO73" s="95">
        <v>1</v>
      </c>
      <c r="AP73" s="96">
        <f t="shared" si="69"/>
        <v>1.2434566510799234</v>
      </c>
      <c r="AQ73" s="432" t="str">
        <f t="shared" si="70"/>
        <v>(1,4,4,3,1,3); de Wild-Scholten (2014) Life Cycle Assessment of Photovoltaics Status 2011, Part 1 Data Collection (Table 37)</v>
      </c>
      <c r="AR73" s="435">
        <v>0</v>
      </c>
      <c r="AS73" s="95">
        <v>1</v>
      </c>
      <c r="AT73" s="96">
        <f t="shared" si="71"/>
        <v>1.05</v>
      </c>
      <c r="AU73" s="432" t="str">
        <f t="shared" si="72"/>
        <v xml:space="preserve">(na,na,na,na,na,na); </v>
      </c>
      <c r="AV73" s="435">
        <v>0</v>
      </c>
      <c r="AW73" s="95">
        <v>1</v>
      </c>
      <c r="AX73" s="96">
        <f t="shared" si="73"/>
        <v>1.05</v>
      </c>
      <c r="AY73" s="432" t="str">
        <f t="shared" si="74"/>
        <v xml:space="preserve">(na,na,na,na,na,na); </v>
      </c>
      <c r="AZ73" s="112"/>
      <c r="BA73" s="435">
        <f>0.00687/1.6</f>
        <v>4.2937499999999998E-3</v>
      </c>
      <c r="BB73" s="216" t="s">
        <v>1230</v>
      </c>
      <c r="BC73" s="83">
        <f>BC$23</f>
        <v>1</v>
      </c>
      <c r="BD73" s="83">
        <f>BD$23</f>
        <v>4</v>
      </c>
      <c r="BE73" s="83">
        <v>4</v>
      </c>
      <c r="BF73" s="83">
        <f t="shared" ref="BF73:BH74" si="87">BF$23</f>
        <v>3</v>
      </c>
      <c r="BG73" s="83">
        <f t="shared" si="87"/>
        <v>1</v>
      </c>
      <c r="BH73" s="83">
        <f t="shared" si="87"/>
        <v>3</v>
      </c>
      <c r="BI73" s="104">
        <v>6</v>
      </c>
      <c r="BJ73" s="104">
        <v>1.05</v>
      </c>
      <c r="BK73" s="107">
        <f t="shared" si="75"/>
        <v>1.2365959919080913</v>
      </c>
      <c r="BL73" s="107">
        <f t="shared" si="76"/>
        <v>1.2434566510799234</v>
      </c>
      <c r="BM73" s="107" t="str">
        <f t="shared" si="77"/>
        <v>(1,4,4,3,1,3)</v>
      </c>
      <c r="BN73" s="108">
        <v>1</v>
      </c>
      <c r="BO73" s="108">
        <v>1.1000000000000001</v>
      </c>
      <c r="BP73" s="108">
        <v>1.2</v>
      </c>
      <c r="BQ73" s="108">
        <v>1.02</v>
      </c>
      <c r="BR73" s="108">
        <v>1</v>
      </c>
      <c r="BS73" s="108">
        <v>1.05</v>
      </c>
      <c r="BU73" s="692"/>
      <c r="BV73" s="83" t="s">
        <v>106</v>
      </c>
      <c r="BW73" s="83" t="s">
        <v>106</v>
      </c>
      <c r="BX73" s="83" t="s">
        <v>106</v>
      </c>
      <c r="BY73" s="83" t="s">
        <v>106</v>
      </c>
      <c r="BZ73" s="83" t="s">
        <v>106</v>
      </c>
      <c r="CA73" s="83" t="s">
        <v>106</v>
      </c>
      <c r="CB73" s="104">
        <v>6</v>
      </c>
      <c r="CC73" s="104">
        <v>1.05</v>
      </c>
      <c r="CD73" s="107">
        <f t="shared" si="78"/>
        <v>1</v>
      </c>
      <c r="CE73" s="107">
        <f t="shared" si="79"/>
        <v>1.05</v>
      </c>
      <c r="CF73" s="107" t="str">
        <f t="shared" si="80"/>
        <v>(na,na,na,na,na,na)</v>
      </c>
      <c r="CG73" s="108">
        <v>1</v>
      </c>
      <c r="CH73" s="108">
        <v>1</v>
      </c>
      <c r="CI73" s="108">
        <v>1</v>
      </c>
      <c r="CJ73" s="108">
        <v>1</v>
      </c>
      <c r="CK73" s="108">
        <v>1</v>
      </c>
      <c r="CL73" s="108">
        <v>1</v>
      </c>
    </row>
    <row r="74" spans="1:90" ht="24">
      <c r="A74" s="330">
        <v>269487</v>
      </c>
      <c r="B74" s="331"/>
      <c r="C74" s="88"/>
      <c r="D74" s="340">
        <v>5</v>
      </c>
      <c r="E74" s="341" t="s">
        <v>98</v>
      </c>
      <c r="F74" s="432" t="s">
        <v>1219</v>
      </c>
      <c r="G74" s="433" t="s">
        <v>103</v>
      </c>
      <c r="H74" s="434" t="s">
        <v>98</v>
      </c>
      <c r="I74" s="434" t="s">
        <v>98</v>
      </c>
      <c r="J74" s="94">
        <v>0</v>
      </c>
      <c r="K74" s="433" t="s">
        <v>96</v>
      </c>
      <c r="L74" s="435">
        <f>$BA74</f>
        <v>2.1312499999999998E-2</v>
      </c>
      <c r="M74" s="95">
        <v>1</v>
      </c>
      <c r="N74" s="96">
        <f t="shared" si="55"/>
        <v>1.2434566510799234</v>
      </c>
      <c r="O74" s="432" t="str">
        <f t="shared" si="56"/>
        <v>(1,4,4,3,1,3); de Wild-Scholten (2014) Life Cycle Assessment of Photovoltaics Status 2011, Part 1 Data Collection (Table 37)</v>
      </c>
      <c r="P74" s="435">
        <f>$BA74</f>
        <v>2.1312499999999998E-2</v>
      </c>
      <c r="Q74" s="95">
        <v>1</v>
      </c>
      <c r="R74" s="96">
        <f t="shared" si="57"/>
        <v>1.2434566510799234</v>
      </c>
      <c r="S74" s="432" t="str">
        <f t="shared" si="58"/>
        <v>(1,4,4,3,1,3); de Wild-Scholten (2014) Life Cycle Assessment of Photovoltaics Status 2011, Part 1 Data Collection (Table 37)</v>
      </c>
      <c r="T74" s="435">
        <f>$BA74</f>
        <v>2.1312499999999998E-2</v>
      </c>
      <c r="U74" s="95">
        <v>1</v>
      </c>
      <c r="V74" s="96">
        <f t="shared" si="59"/>
        <v>1.2434566510799234</v>
      </c>
      <c r="W74" s="432" t="str">
        <f t="shared" si="60"/>
        <v>(1,4,4,3,1,3); de Wild-Scholten (2014) Life Cycle Assessment of Photovoltaics Status 2011, Part 1 Data Collection (Table 37)</v>
      </c>
      <c r="X74" s="435">
        <f>$BA74</f>
        <v>2.1312499999999998E-2</v>
      </c>
      <c r="Y74" s="95">
        <v>1</v>
      </c>
      <c r="Z74" s="96">
        <f t="shared" si="61"/>
        <v>1.2434566510799234</v>
      </c>
      <c r="AA74" s="432" t="str">
        <f t="shared" si="62"/>
        <v>(1,4,4,3,1,3); de Wild-Scholten (2014) Life Cycle Assessment of Photovoltaics Status 2011, Part 1 Data Collection (Table 37)</v>
      </c>
      <c r="AB74" s="435">
        <f>$BA74</f>
        <v>2.1312499999999998E-2</v>
      </c>
      <c r="AC74" s="95">
        <v>1</v>
      </c>
      <c r="AD74" s="96">
        <f t="shared" si="63"/>
        <v>1.2434566510799234</v>
      </c>
      <c r="AE74" s="432" t="str">
        <f t="shared" si="64"/>
        <v>(1,4,4,3,1,3); de Wild-Scholten (2014) Life Cycle Assessment of Photovoltaics Status 2011, Part 1 Data Collection (Table 37)</v>
      </c>
      <c r="AF74" s="435">
        <f>$BA74</f>
        <v>2.1312499999999998E-2</v>
      </c>
      <c r="AG74" s="95">
        <v>1</v>
      </c>
      <c r="AH74" s="96">
        <f t="shared" si="65"/>
        <v>1.2434566510799234</v>
      </c>
      <c r="AI74" s="432" t="str">
        <f t="shared" si="66"/>
        <v>(1,4,4,3,1,3); de Wild-Scholten (2014) Life Cycle Assessment of Photovoltaics Status 2011, Part 1 Data Collection (Table 37)</v>
      </c>
      <c r="AJ74" s="435">
        <f>$BA74</f>
        <v>2.1312499999999998E-2</v>
      </c>
      <c r="AK74" s="95">
        <v>1</v>
      </c>
      <c r="AL74" s="96">
        <f t="shared" si="67"/>
        <v>1.2434566510799234</v>
      </c>
      <c r="AM74" s="432" t="str">
        <f t="shared" si="68"/>
        <v>(1,4,4,3,1,3); de Wild-Scholten (2014) Life Cycle Assessment of Photovoltaics Status 2011, Part 1 Data Collection (Table 37)</v>
      </c>
      <c r="AN74" s="435">
        <f>$BA74</f>
        <v>2.1312499999999998E-2</v>
      </c>
      <c r="AO74" s="95">
        <v>1</v>
      </c>
      <c r="AP74" s="96">
        <f t="shared" si="69"/>
        <v>1.2434566510799234</v>
      </c>
      <c r="AQ74" s="432" t="str">
        <f t="shared" si="70"/>
        <v>(1,4,4,3,1,3); de Wild-Scholten (2014) Life Cycle Assessment of Photovoltaics Status 2011, Part 1 Data Collection (Table 37)</v>
      </c>
      <c r="AR74" s="435">
        <f>750000/25500000</f>
        <v>2.9411764705882353E-2</v>
      </c>
      <c r="AS74" s="95">
        <v>1</v>
      </c>
      <c r="AT74" s="96">
        <f t="shared" si="71"/>
        <v>1.2434566510799234</v>
      </c>
      <c r="AU74" s="432" t="str">
        <f t="shared" si="72"/>
        <v>(2,4,1,3,1,5); Brailovsky (2026) GM 08-RW, CH iso DE</v>
      </c>
      <c r="AV74" s="435">
        <f>AR74</f>
        <v>2.9411764705882353E-2</v>
      </c>
      <c r="AW74" s="95">
        <v>1</v>
      </c>
      <c r="AX74" s="96">
        <f t="shared" si="73"/>
        <v>1.2434566510799234</v>
      </c>
      <c r="AY74" s="432" t="str">
        <f t="shared" si="74"/>
        <v>(2,4,1,3,1,5); Brailovsky (2026) GM 08-RW, CH iso DE</v>
      </c>
      <c r="AZ74" s="112"/>
      <c r="BA74" s="435">
        <f>0.0341/1.6</f>
        <v>2.1312499999999998E-2</v>
      </c>
      <c r="BB74" s="216" t="s">
        <v>1230</v>
      </c>
      <c r="BC74" s="83">
        <f>BC$23</f>
        <v>1</v>
      </c>
      <c r="BD74" s="83">
        <f>BD$23</f>
        <v>4</v>
      </c>
      <c r="BE74" s="83">
        <v>4</v>
      </c>
      <c r="BF74" s="83">
        <f t="shared" si="87"/>
        <v>3</v>
      </c>
      <c r="BG74" s="83">
        <f t="shared" si="87"/>
        <v>1</v>
      </c>
      <c r="BH74" s="83">
        <f t="shared" si="87"/>
        <v>3</v>
      </c>
      <c r="BI74" s="104">
        <v>6</v>
      </c>
      <c r="BJ74" s="104">
        <v>1.05</v>
      </c>
      <c r="BK74" s="107">
        <f t="shared" si="75"/>
        <v>1.2365959919080913</v>
      </c>
      <c r="BL74" s="107">
        <f t="shared" si="76"/>
        <v>1.2434566510799234</v>
      </c>
      <c r="BM74" s="107" t="str">
        <f t="shared" si="77"/>
        <v>(1,4,4,3,1,3)</v>
      </c>
      <c r="BN74" s="108">
        <v>1</v>
      </c>
      <c r="BO74" s="108">
        <v>1.1000000000000001</v>
      </c>
      <c r="BP74" s="108">
        <v>1.2</v>
      </c>
      <c r="BQ74" s="108">
        <v>1.02</v>
      </c>
      <c r="BR74" s="108">
        <v>1</v>
      </c>
      <c r="BS74" s="108">
        <v>1.05</v>
      </c>
      <c r="BU74" s="692" t="s">
        <v>1298</v>
      </c>
      <c r="BV74" s="83">
        <v>2</v>
      </c>
      <c r="BW74" s="83">
        <v>4</v>
      </c>
      <c r="BX74" s="83">
        <v>1</v>
      </c>
      <c r="BY74" s="83">
        <v>3</v>
      </c>
      <c r="BZ74" s="83">
        <v>1</v>
      </c>
      <c r="CA74" s="83">
        <v>5</v>
      </c>
      <c r="CB74" s="104">
        <v>6</v>
      </c>
      <c r="CC74" s="104">
        <v>1.05</v>
      </c>
      <c r="CD74" s="107">
        <f t="shared" si="78"/>
        <v>1.2365959919080913</v>
      </c>
      <c r="CE74" s="107">
        <f t="shared" si="79"/>
        <v>1.2434566510799234</v>
      </c>
      <c r="CF74" s="107" t="str">
        <f t="shared" si="80"/>
        <v>(2,4,1,3,1,5)</v>
      </c>
      <c r="CG74" s="108">
        <v>1.05</v>
      </c>
      <c r="CH74" s="108">
        <v>1.1000000000000001</v>
      </c>
      <c r="CI74" s="108">
        <v>1</v>
      </c>
      <c r="CJ74" s="108">
        <v>1.02</v>
      </c>
      <c r="CK74" s="108">
        <v>1</v>
      </c>
      <c r="CL74" s="108">
        <v>1.2</v>
      </c>
    </row>
    <row r="75" spans="1:90" ht="24">
      <c r="A75" s="330">
        <v>268985</v>
      </c>
      <c r="B75" s="331"/>
      <c r="C75" s="88"/>
      <c r="D75" s="340">
        <v>5</v>
      </c>
      <c r="E75" s="341" t="s">
        <v>98</v>
      </c>
      <c r="F75" s="432" t="s">
        <v>1299</v>
      </c>
      <c r="G75" s="433" t="s">
        <v>103</v>
      </c>
      <c r="H75" s="434" t="s">
        <v>98</v>
      </c>
      <c r="I75" s="434" t="s">
        <v>98</v>
      </c>
      <c r="J75" s="94">
        <v>0</v>
      </c>
      <c r="K75" s="433" t="s">
        <v>96</v>
      </c>
      <c r="L75" s="435">
        <v>0</v>
      </c>
      <c r="M75" s="95">
        <v>1</v>
      </c>
      <c r="N75" s="96">
        <f t="shared" si="55"/>
        <v>1.05</v>
      </c>
      <c r="O75" s="432" t="str">
        <f t="shared" si="56"/>
        <v xml:space="preserve">(na,na,na,na,na,na); </v>
      </c>
      <c r="P75" s="435">
        <v>0</v>
      </c>
      <c r="Q75" s="95">
        <v>1</v>
      </c>
      <c r="R75" s="96">
        <f t="shared" si="57"/>
        <v>1.05</v>
      </c>
      <c r="S75" s="432" t="str">
        <f t="shared" si="58"/>
        <v xml:space="preserve">(na,na,na,na,na,na); </v>
      </c>
      <c r="T75" s="435">
        <v>0</v>
      </c>
      <c r="U75" s="95">
        <v>1</v>
      </c>
      <c r="V75" s="96">
        <f t="shared" si="59"/>
        <v>1.05</v>
      </c>
      <c r="W75" s="432" t="str">
        <f t="shared" si="60"/>
        <v xml:space="preserve">(na,na,na,na,na,na); </v>
      </c>
      <c r="X75" s="435">
        <f>$BA75</f>
        <v>0</v>
      </c>
      <c r="Y75" s="95">
        <v>1</v>
      </c>
      <c r="Z75" s="96">
        <f t="shared" si="61"/>
        <v>1.05</v>
      </c>
      <c r="AA75" s="432" t="str">
        <f t="shared" si="62"/>
        <v xml:space="preserve">(na,na,na,na,na,na); </v>
      </c>
      <c r="AB75" s="435">
        <f>$BA75</f>
        <v>0</v>
      </c>
      <c r="AC75" s="95">
        <v>1</v>
      </c>
      <c r="AD75" s="96">
        <f t="shared" si="63"/>
        <v>1.05</v>
      </c>
      <c r="AE75" s="432" t="str">
        <f t="shared" si="64"/>
        <v xml:space="preserve">(na,na,na,na,na,na); </v>
      </c>
      <c r="AF75" s="435">
        <f>$BA75</f>
        <v>0</v>
      </c>
      <c r="AG75" s="95">
        <v>1</v>
      </c>
      <c r="AH75" s="96">
        <f t="shared" si="65"/>
        <v>1.05</v>
      </c>
      <c r="AI75" s="432" t="str">
        <f t="shared" si="66"/>
        <v xml:space="preserve">(na,na,na,na,na,na); </v>
      </c>
      <c r="AJ75" s="435">
        <f>$BA75</f>
        <v>0</v>
      </c>
      <c r="AK75" s="95">
        <v>1</v>
      </c>
      <c r="AL75" s="96">
        <f t="shared" si="67"/>
        <v>1.05</v>
      </c>
      <c r="AM75" s="432" t="str">
        <f t="shared" si="68"/>
        <v xml:space="preserve">(na,na,na,na,na,na); </v>
      </c>
      <c r="AN75" s="435">
        <v>0</v>
      </c>
      <c r="AO75" s="95">
        <v>1</v>
      </c>
      <c r="AP75" s="96">
        <f t="shared" si="69"/>
        <v>1.05</v>
      </c>
      <c r="AQ75" s="432" t="str">
        <f t="shared" si="70"/>
        <v xml:space="preserve">(na,na,na,na,na,na); </v>
      </c>
      <c r="AR75" s="435">
        <f>12900/25500000</f>
        <v>5.0588235294117643E-4</v>
      </c>
      <c r="AS75" s="95">
        <v>1</v>
      </c>
      <c r="AT75" s="96">
        <f t="shared" si="71"/>
        <v>1.2434566510799234</v>
      </c>
      <c r="AU75" s="432" t="str">
        <f t="shared" si="72"/>
        <v>(2,4,1,3,1,5); Brailovsky (2026) GM 08-RW; CH iso GLO, cables _andfilling</v>
      </c>
      <c r="AV75" s="435">
        <f>AR75</f>
        <v>5.0588235294117643E-4</v>
      </c>
      <c r="AW75" s="95">
        <v>1</v>
      </c>
      <c r="AX75" s="96">
        <f t="shared" si="73"/>
        <v>1.2434566510799234</v>
      </c>
      <c r="AY75" s="432" t="str">
        <f t="shared" si="74"/>
        <v>(2,4,1,3,1,5); Brailovsky (2026) GM 08-RW; CH iso GLO, cables _andfilling</v>
      </c>
      <c r="AZ75" s="112"/>
      <c r="BA75" s="435"/>
      <c r="BB75" s="690"/>
      <c r="BC75" s="83" t="s">
        <v>106</v>
      </c>
      <c r="BD75" s="83" t="s">
        <v>106</v>
      </c>
      <c r="BE75" s="83" t="s">
        <v>106</v>
      </c>
      <c r="BF75" s="83" t="s">
        <v>106</v>
      </c>
      <c r="BG75" s="83" t="s">
        <v>106</v>
      </c>
      <c r="BH75" s="83" t="s">
        <v>106</v>
      </c>
      <c r="BI75" s="104">
        <v>6</v>
      </c>
      <c r="BJ75" s="104">
        <v>1.05</v>
      </c>
      <c r="BK75" s="107">
        <f t="shared" si="75"/>
        <v>1</v>
      </c>
      <c r="BL75" s="107">
        <f t="shared" si="76"/>
        <v>1.05</v>
      </c>
      <c r="BM75" s="107" t="str">
        <f t="shared" si="77"/>
        <v>(na,na,na,na,na,na)</v>
      </c>
      <c r="BN75" s="108">
        <v>1</v>
      </c>
      <c r="BO75" s="108">
        <v>1</v>
      </c>
      <c r="BP75" s="108">
        <v>1</v>
      </c>
      <c r="BQ75" s="108">
        <v>1</v>
      </c>
      <c r="BR75" s="108">
        <v>1</v>
      </c>
      <c r="BS75" s="108">
        <v>1</v>
      </c>
      <c r="BU75" s="692" t="s">
        <v>1300</v>
      </c>
      <c r="BV75" s="83">
        <v>2</v>
      </c>
      <c r="BW75" s="83">
        <v>4</v>
      </c>
      <c r="BX75" s="83">
        <v>1</v>
      </c>
      <c r="BY75" s="83">
        <v>3</v>
      </c>
      <c r="BZ75" s="83">
        <v>1</v>
      </c>
      <c r="CA75" s="83">
        <v>5</v>
      </c>
      <c r="CB75" s="104">
        <v>6</v>
      </c>
      <c r="CC75" s="104">
        <v>1.05</v>
      </c>
      <c r="CD75" s="107">
        <f t="shared" si="78"/>
        <v>1.2365959919080913</v>
      </c>
      <c r="CE75" s="107">
        <f t="shared" si="79"/>
        <v>1.2434566510799234</v>
      </c>
      <c r="CF75" s="107" t="str">
        <f t="shared" si="80"/>
        <v>(2,4,1,3,1,5)</v>
      </c>
      <c r="CG75" s="108">
        <v>1.05</v>
      </c>
      <c r="CH75" s="108">
        <v>1.1000000000000001</v>
      </c>
      <c r="CI75" s="108">
        <v>1</v>
      </c>
      <c r="CJ75" s="108">
        <v>1.02</v>
      </c>
      <c r="CK75" s="108">
        <v>1</v>
      </c>
      <c r="CL75" s="108">
        <v>1.2</v>
      </c>
    </row>
    <row r="76" spans="1:90" ht="24">
      <c r="A76" s="330">
        <v>89719</v>
      </c>
      <c r="B76" s="331"/>
      <c r="C76" s="88"/>
      <c r="D76" s="340">
        <v>5</v>
      </c>
      <c r="E76" s="341" t="s">
        <v>98</v>
      </c>
      <c r="F76" s="432" t="s">
        <v>1221</v>
      </c>
      <c r="G76" s="433" t="s">
        <v>103</v>
      </c>
      <c r="H76" s="434" t="s">
        <v>98</v>
      </c>
      <c r="I76" s="434" t="s">
        <v>98</v>
      </c>
      <c r="J76" s="94">
        <v>0</v>
      </c>
      <c r="K76" s="433" t="s">
        <v>96</v>
      </c>
      <c r="L76" s="435">
        <f>$BA76</f>
        <v>1.6062499999999998E-3</v>
      </c>
      <c r="M76" s="95">
        <v>1</v>
      </c>
      <c r="N76" s="96">
        <f t="shared" si="55"/>
        <v>1.2434566510799234</v>
      </c>
      <c r="O76" s="432" t="str">
        <f t="shared" si="56"/>
        <v>(1,4,4,3,1,3); de Wild-Scholten (2014) Life Cycle Assessment of Photovoltaics Status 2011, Part 1 Data Collection (Table 37)</v>
      </c>
      <c r="P76" s="435">
        <f>$BA76</f>
        <v>1.6062499999999998E-3</v>
      </c>
      <c r="Q76" s="95">
        <v>1</v>
      </c>
      <c r="R76" s="96">
        <f t="shared" si="57"/>
        <v>1.2434566510799234</v>
      </c>
      <c r="S76" s="432" t="str">
        <f t="shared" si="58"/>
        <v>(1,4,4,3,1,3); de Wild-Scholten (2014) Life Cycle Assessment of Photovoltaics Status 2011, Part 1 Data Collection (Table 37)</v>
      </c>
      <c r="T76" s="435">
        <f>$BA76</f>
        <v>1.6062499999999998E-3</v>
      </c>
      <c r="U76" s="95">
        <v>1</v>
      </c>
      <c r="V76" s="96">
        <f t="shared" si="59"/>
        <v>1.2434566510799234</v>
      </c>
      <c r="W76" s="432" t="str">
        <f t="shared" si="60"/>
        <v>(1,4,4,3,1,3); de Wild-Scholten (2014) Life Cycle Assessment of Photovoltaics Status 2011, Part 1 Data Collection (Table 37)</v>
      </c>
      <c r="X76" s="435">
        <f>$BA76</f>
        <v>1.6062499999999998E-3</v>
      </c>
      <c r="Y76" s="95">
        <v>1</v>
      </c>
      <c r="Z76" s="96">
        <f t="shared" si="61"/>
        <v>1.2434566510799234</v>
      </c>
      <c r="AA76" s="432" t="str">
        <f t="shared" si="62"/>
        <v>(1,4,4,3,1,3); de Wild-Scholten (2014) Life Cycle Assessment of Photovoltaics Status 2011, Part 1 Data Collection (Table 37)</v>
      </c>
      <c r="AB76" s="435">
        <f>$BA76</f>
        <v>1.6062499999999998E-3</v>
      </c>
      <c r="AC76" s="95">
        <v>1</v>
      </c>
      <c r="AD76" s="96">
        <f t="shared" si="63"/>
        <v>1.2434566510799234</v>
      </c>
      <c r="AE76" s="432" t="str">
        <f t="shared" si="64"/>
        <v>(1,4,4,3,1,3); de Wild-Scholten (2014) Life Cycle Assessment of Photovoltaics Status 2011, Part 1 Data Collection (Table 37)</v>
      </c>
      <c r="AF76" s="435">
        <f>$BA76</f>
        <v>1.6062499999999998E-3</v>
      </c>
      <c r="AG76" s="95">
        <v>1</v>
      </c>
      <c r="AH76" s="96">
        <f t="shared" si="65"/>
        <v>1.2434566510799234</v>
      </c>
      <c r="AI76" s="432" t="str">
        <f t="shared" si="66"/>
        <v>(1,4,4,3,1,3); de Wild-Scholten (2014) Life Cycle Assessment of Photovoltaics Status 2011, Part 1 Data Collection (Table 37)</v>
      </c>
      <c r="AJ76" s="435">
        <f>$BA76</f>
        <v>1.6062499999999998E-3</v>
      </c>
      <c r="AK76" s="95">
        <v>1</v>
      </c>
      <c r="AL76" s="96">
        <f t="shared" si="67"/>
        <v>1.2434566510799234</v>
      </c>
      <c r="AM76" s="432" t="str">
        <f t="shared" si="68"/>
        <v>(1,4,4,3,1,3); de Wild-Scholten (2014) Life Cycle Assessment of Photovoltaics Status 2011, Part 1 Data Collection (Table 37)</v>
      </c>
      <c r="AN76" s="435">
        <f>$BA76</f>
        <v>1.6062499999999998E-3</v>
      </c>
      <c r="AO76" s="95">
        <v>1</v>
      </c>
      <c r="AP76" s="96">
        <f t="shared" si="69"/>
        <v>1.2434566510799234</v>
      </c>
      <c r="AQ76" s="432" t="str">
        <f t="shared" si="70"/>
        <v>(1,4,4,3,1,3); de Wild-Scholten (2014) Life Cycle Assessment of Photovoltaics Status 2011, Part 1 Data Collection (Table 37)</v>
      </c>
      <c r="AR76" s="435">
        <v>1.6000000000000001E-3</v>
      </c>
      <c r="AS76" s="95">
        <v>1</v>
      </c>
      <c r="AT76" s="96">
        <f t="shared" si="71"/>
        <v>1.2434566510799234</v>
      </c>
      <c r="AU76" s="432" t="str">
        <f t="shared" si="72"/>
        <v>(2,4,1,3,1,5); Brailovsky (2026) GM 08; CH iso Europe w/o Switzerland</v>
      </c>
      <c r="AV76" s="435">
        <v>1.6000000000000001E-3</v>
      </c>
      <c r="AW76" s="95">
        <v>1</v>
      </c>
      <c r="AX76" s="96">
        <f t="shared" si="73"/>
        <v>1.2434566510799234</v>
      </c>
      <c r="AY76" s="432" t="str">
        <f t="shared" si="74"/>
        <v>(2,4,1,3,1,5); Brailovsky (2026) GM 08; CH iso Europe w/o Switzerland</v>
      </c>
      <c r="AZ76" s="112"/>
      <c r="BA76" s="435">
        <f>0.00257/1.6</f>
        <v>1.6062499999999998E-3</v>
      </c>
      <c r="BB76" s="216" t="s">
        <v>1230</v>
      </c>
      <c r="BC76" s="83">
        <f>BC$23</f>
        <v>1</v>
      </c>
      <c r="BD76" s="83">
        <f>BD$23</f>
        <v>4</v>
      </c>
      <c r="BE76" s="83">
        <v>4</v>
      </c>
      <c r="BF76" s="83">
        <f>BF$23</f>
        <v>3</v>
      </c>
      <c r="BG76" s="83">
        <f>BG$23</f>
        <v>1</v>
      </c>
      <c r="BH76" s="83">
        <f>BH$23</f>
        <v>3</v>
      </c>
      <c r="BI76" s="104">
        <v>6</v>
      </c>
      <c r="BJ76" s="104">
        <v>1.05</v>
      </c>
      <c r="BK76" s="107">
        <f t="shared" si="75"/>
        <v>1.2365959919080913</v>
      </c>
      <c r="BL76" s="107">
        <f t="shared" si="76"/>
        <v>1.2434566510799234</v>
      </c>
      <c r="BM76" s="107" t="str">
        <f t="shared" si="77"/>
        <v>(1,4,4,3,1,3)</v>
      </c>
      <c r="BN76" s="108">
        <v>1</v>
      </c>
      <c r="BO76" s="108">
        <v>1.1000000000000001</v>
      </c>
      <c r="BP76" s="108">
        <v>1.2</v>
      </c>
      <c r="BQ76" s="108">
        <v>1.02</v>
      </c>
      <c r="BR76" s="108">
        <v>1</v>
      </c>
      <c r="BS76" s="108">
        <v>1.05</v>
      </c>
      <c r="BT76" s="472"/>
      <c r="BU76" s="692" t="s">
        <v>1301</v>
      </c>
      <c r="BV76" s="83">
        <v>2</v>
      </c>
      <c r="BW76" s="83">
        <v>4</v>
      </c>
      <c r="BX76" s="83">
        <v>1</v>
      </c>
      <c r="BY76" s="83">
        <v>3</v>
      </c>
      <c r="BZ76" s="83">
        <v>1</v>
      </c>
      <c r="CA76" s="83">
        <v>5</v>
      </c>
      <c r="CB76" s="104">
        <v>6</v>
      </c>
      <c r="CC76" s="104">
        <v>1.05</v>
      </c>
      <c r="CD76" s="107">
        <f t="shared" si="78"/>
        <v>1.2365959919080913</v>
      </c>
      <c r="CE76" s="107">
        <f t="shared" si="79"/>
        <v>1.2434566510799234</v>
      </c>
      <c r="CF76" s="107" t="str">
        <f t="shared" si="80"/>
        <v>(2,4,1,3,1,5)</v>
      </c>
      <c r="CG76" s="108">
        <v>1.05</v>
      </c>
      <c r="CH76" s="108">
        <v>1.1000000000000001</v>
      </c>
      <c r="CI76" s="108">
        <v>1</v>
      </c>
      <c r="CJ76" s="108">
        <v>1.02</v>
      </c>
      <c r="CK76" s="108">
        <v>1</v>
      </c>
      <c r="CL76" s="108">
        <v>1.2</v>
      </c>
    </row>
    <row r="77" spans="1:90" ht="24">
      <c r="A77" s="330">
        <v>266447</v>
      </c>
      <c r="B77" s="331"/>
      <c r="C77" s="88"/>
      <c r="D77" s="340">
        <v>5</v>
      </c>
      <c r="E77" s="341" t="s">
        <v>98</v>
      </c>
      <c r="F77" s="432" t="s">
        <v>1220</v>
      </c>
      <c r="G77" s="433" t="s">
        <v>103</v>
      </c>
      <c r="H77" s="434" t="s">
        <v>98</v>
      </c>
      <c r="I77" s="434" t="s">
        <v>98</v>
      </c>
      <c r="J77" s="94">
        <v>0</v>
      </c>
      <c r="K77" s="433" t="s">
        <v>96</v>
      </c>
      <c r="L77" s="435">
        <v>0</v>
      </c>
      <c r="M77" s="95">
        <v>1</v>
      </c>
      <c r="N77" s="96">
        <f t="shared" si="55"/>
        <v>1.05</v>
      </c>
      <c r="O77" s="432" t="str">
        <f t="shared" si="56"/>
        <v xml:space="preserve">(na,na,na,na,na,na); </v>
      </c>
      <c r="P77" s="435">
        <v>0</v>
      </c>
      <c r="Q77" s="95">
        <v>1</v>
      </c>
      <c r="R77" s="96">
        <f t="shared" si="57"/>
        <v>1.05</v>
      </c>
      <c r="S77" s="432" t="str">
        <f t="shared" si="58"/>
        <v xml:space="preserve">(na,na,na,na,na,na); </v>
      </c>
      <c r="T77" s="435">
        <v>0</v>
      </c>
      <c r="U77" s="95">
        <v>1</v>
      </c>
      <c r="V77" s="96">
        <f t="shared" si="59"/>
        <v>1.05</v>
      </c>
      <c r="W77" s="432" t="str">
        <f t="shared" si="60"/>
        <v xml:space="preserve">(na,na,na,na,na,na); </v>
      </c>
      <c r="X77" s="435">
        <v>0</v>
      </c>
      <c r="Y77" s="95">
        <v>1</v>
      </c>
      <c r="Z77" s="96">
        <f t="shared" si="61"/>
        <v>1.05</v>
      </c>
      <c r="AA77" s="432" t="str">
        <f t="shared" si="62"/>
        <v xml:space="preserve">(na,na,na,na,na,na); </v>
      </c>
      <c r="AB77" s="435">
        <v>0</v>
      </c>
      <c r="AC77" s="95">
        <v>1</v>
      </c>
      <c r="AD77" s="96">
        <f t="shared" si="63"/>
        <v>1.05</v>
      </c>
      <c r="AE77" s="432" t="str">
        <f t="shared" si="64"/>
        <v xml:space="preserve">(na,na,na,na,na,na); </v>
      </c>
      <c r="AF77" s="435">
        <v>0</v>
      </c>
      <c r="AG77" s="95">
        <v>1</v>
      </c>
      <c r="AH77" s="96">
        <f t="shared" si="65"/>
        <v>1.05</v>
      </c>
      <c r="AI77" s="432" t="str">
        <f t="shared" si="66"/>
        <v xml:space="preserve">(na,na,na,na,na,na); </v>
      </c>
      <c r="AJ77" s="435">
        <v>0</v>
      </c>
      <c r="AK77" s="95">
        <v>1</v>
      </c>
      <c r="AL77" s="96">
        <f t="shared" si="67"/>
        <v>1.05</v>
      </c>
      <c r="AM77" s="432" t="str">
        <f t="shared" si="68"/>
        <v xml:space="preserve">(na,na,na,na,na,na); </v>
      </c>
      <c r="AN77" s="435">
        <v>0</v>
      </c>
      <c r="AO77" s="95">
        <v>1</v>
      </c>
      <c r="AP77" s="96">
        <f t="shared" si="69"/>
        <v>1.05</v>
      </c>
      <c r="AQ77" s="432" t="str">
        <f t="shared" si="70"/>
        <v xml:space="preserve">(na,na,na,na,na,na); </v>
      </c>
      <c r="AR77" s="435">
        <f>123000/25500000</f>
        <v>4.8235294117647057E-3</v>
      </c>
      <c r="AS77" s="95">
        <v>1</v>
      </c>
      <c r="AT77" s="96">
        <f t="shared" si="71"/>
        <v>1.2434566510799234</v>
      </c>
      <c r="AU77" s="432" t="str">
        <f t="shared" si="72"/>
        <v>(2,4,1,3,1,5); Brailovsky (2026) GM 08-RW; CH iso Europe w/o Switzerland</v>
      </c>
      <c r="AV77" s="435">
        <f t="shared" ref="AV77:AV82" si="88">AR77</f>
        <v>4.8235294117647057E-3</v>
      </c>
      <c r="AW77" s="95">
        <v>1</v>
      </c>
      <c r="AX77" s="96">
        <f t="shared" si="73"/>
        <v>1.2434566510799234</v>
      </c>
      <c r="AY77" s="432" t="str">
        <f t="shared" si="74"/>
        <v>(2,4,1,3,1,5); Brailovsky (2026) GM 08-RW; CH iso Europe w/o Switzerland</v>
      </c>
      <c r="AZ77" s="112"/>
      <c r="BA77" s="435"/>
      <c r="BB77" s="690"/>
      <c r="BC77" s="83" t="s">
        <v>106</v>
      </c>
      <c r="BD77" s="83" t="s">
        <v>106</v>
      </c>
      <c r="BE77" s="83" t="s">
        <v>106</v>
      </c>
      <c r="BF77" s="83" t="s">
        <v>106</v>
      </c>
      <c r="BG77" s="83" t="s">
        <v>106</v>
      </c>
      <c r="BH77" s="83" t="s">
        <v>106</v>
      </c>
      <c r="BI77" s="104">
        <v>6</v>
      </c>
      <c r="BJ77" s="104">
        <v>1.05</v>
      </c>
      <c r="BK77" s="107">
        <f t="shared" si="75"/>
        <v>1</v>
      </c>
      <c r="BL77" s="107">
        <f t="shared" si="76"/>
        <v>1.05</v>
      </c>
      <c r="BM77" s="107" t="str">
        <f t="shared" si="77"/>
        <v>(na,na,na,na,na,na)</v>
      </c>
      <c r="BN77" s="108">
        <v>1</v>
      </c>
      <c r="BO77" s="108">
        <v>1</v>
      </c>
      <c r="BP77" s="108">
        <v>1</v>
      </c>
      <c r="BQ77" s="108">
        <v>1</v>
      </c>
      <c r="BR77" s="108">
        <v>1</v>
      </c>
      <c r="BS77" s="108">
        <v>1</v>
      </c>
      <c r="BU77" s="692" t="s">
        <v>1302</v>
      </c>
      <c r="BV77" s="83">
        <v>2</v>
      </c>
      <c r="BW77" s="83">
        <v>4</v>
      </c>
      <c r="BX77" s="83">
        <v>1</v>
      </c>
      <c r="BY77" s="83">
        <v>3</v>
      </c>
      <c r="BZ77" s="83">
        <v>1</v>
      </c>
      <c r="CA77" s="83">
        <v>5</v>
      </c>
      <c r="CB77" s="104">
        <v>6</v>
      </c>
      <c r="CC77" s="104">
        <v>1.05</v>
      </c>
      <c r="CD77" s="107">
        <f t="shared" si="78"/>
        <v>1.2365959919080913</v>
      </c>
      <c r="CE77" s="107">
        <f t="shared" si="79"/>
        <v>1.2434566510799234</v>
      </c>
      <c r="CF77" s="107" t="str">
        <f t="shared" si="80"/>
        <v>(2,4,1,3,1,5)</v>
      </c>
      <c r="CG77" s="108">
        <v>1.05</v>
      </c>
      <c r="CH77" s="108">
        <v>1.1000000000000001</v>
      </c>
      <c r="CI77" s="108">
        <v>1</v>
      </c>
      <c r="CJ77" s="108">
        <v>1.02</v>
      </c>
      <c r="CK77" s="108">
        <v>1</v>
      </c>
      <c r="CL77" s="108">
        <v>1.2</v>
      </c>
    </row>
    <row r="78" spans="1:90" ht="24">
      <c r="A78" s="330">
        <v>268315</v>
      </c>
      <c r="B78" s="331"/>
      <c r="C78" s="88"/>
      <c r="D78" s="340">
        <v>5</v>
      </c>
      <c r="E78" s="341" t="s">
        <v>98</v>
      </c>
      <c r="F78" s="432" t="s">
        <v>1222</v>
      </c>
      <c r="G78" s="433" t="s">
        <v>103</v>
      </c>
      <c r="H78" s="434" t="s">
        <v>98</v>
      </c>
      <c r="I78" s="434" t="s">
        <v>98</v>
      </c>
      <c r="J78" s="94">
        <v>0</v>
      </c>
      <c r="K78" s="433" t="s">
        <v>96</v>
      </c>
      <c r="L78" s="435">
        <v>0</v>
      </c>
      <c r="M78" s="95">
        <v>1</v>
      </c>
      <c r="N78" s="96">
        <f t="shared" si="55"/>
        <v>1.05</v>
      </c>
      <c r="O78" s="432" t="str">
        <f t="shared" si="56"/>
        <v xml:space="preserve">(na,na,na,na,na,na); </v>
      </c>
      <c r="P78" s="435">
        <v>0</v>
      </c>
      <c r="Q78" s="95">
        <v>1</v>
      </c>
      <c r="R78" s="96">
        <f t="shared" si="57"/>
        <v>1.05</v>
      </c>
      <c r="S78" s="432" t="str">
        <f t="shared" si="58"/>
        <v xml:space="preserve">(na,na,na,na,na,na); </v>
      </c>
      <c r="T78" s="435">
        <v>0</v>
      </c>
      <c r="U78" s="95">
        <v>1</v>
      </c>
      <c r="V78" s="96">
        <f t="shared" si="59"/>
        <v>1.05</v>
      </c>
      <c r="W78" s="432" t="str">
        <f t="shared" si="60"/>
        <v xml:space="preserve">(na,na,na,na,na,na); </v>
      </c>
      <c r="X78" s="435">
        <v>0</v>
      </c>
      <c r="Y78" s="95">
        <v>1</v>
      </c>
      <c r="Z78" s="96">
        <f t="shared" si="61"/>
        <v>1.05</v>
      </c>
      <c r="AA78" s="432" t="str">
        <f t="shared" si="62"/>
        <v xml:space="preserve">(na,na,na,na,na,na); </v>
      </c>
      <c r="AB78" s="435">
        <v>0</v>
      </c>
      <c r="AC78" s="95">
        <v>1</v>
      </c>
      <c r="AD78" s="96">
        <f t="shared" si="63"/>
        <v>1.05</v>
      </c>
      <c r="AE78" s="432" t="str">
        <f t="shared" si="64"/>
        <v xml:space="preserve">(na,na,na,na,na,na); </v>
      </c>
      <c r="AF78" s="435">
        <v>0</v>
      </c>
      <c r="AG78" s="95">
        <v>1</v>
      </c>
      <c r="AH78" s="96">
        <f t="shared" si="65"/>
        <v>1.05</v>
      </c>
      <c r="AI78" s="432" t="str">
        <f t="shared" si="66"/>
        <v xml:space="preserve">(na,na,na,na,na,na); </v>
      </c>
      <c r="AJ78" s="435">
        <v>0</v>
      </c>
      <c r="AK78" s="95">
        <v>1</v>
      </c>
      <c r="AL78" s="96">
        <f t="shared" si="67"/>
        <v>1.05</v>
      </c>
      <c r="AM78" s="432" t="str">
        <f t="shared" si="68"/>
        <v xml:space="preserve">(na,na,na,na,na,na); </v>
      </c>
      <c r="AN78" s="435">
        <v>0</v>
      </c>
      <c r="AO78" s="95">
        <v>1</v>
      </c>
      <c r="AP78" s="96">
        <f t="shared" si="69"/>
        <v>1.05</v>
      </c>
      <c r="AQ78" s="432" t="str">
        <f t="shared" si="70"/>
        <v xml:space="preserve">(na,na,na,na,na,na); </v>
      </c>
      <c r="AR78" s="435">
        <f>60300/25500000</f>
        <v>2.3647058823529411E-3</v>
      </c>
      <c r="AS78" s="95">
        <v>1</v>
      </c>
      <c r="AT78" s="96">
        <f t="shared" si="71"/>
        <v>1.2434566510799234</v>
      </c>
      <c r="AU78" s="432" t="str">
        <f t="shared" si="72"/>
        <v>(2,4,1,3,1,5); Brailovsky (2026) GM 08-RW; CH iso RoW</v>
      </c>
      <c r="AV78" s="435">
        <f t="shared" si="88"/>
        <v>2.3647058823529411E-3</v>
      </c>
      <c r="AW78" s="95">
        <v>1</v>
      </c>
      <c r="AX78" s="96">
        <f t="shared" si="73"/>
        <v>1.2434566510799234</v>
      </c>
      <c r="AY78" s="432" t="str">
        <f t="shared" si="74"/>
        <v>(2,4,1,3,1,5); Brailovsky (2026) GM 08-RW; CH iso RoW</v>
      </c>
      <c r="AZ78" s="112"/>
      <c r="BA78" s="435"/>
      <c r="BB78" s="690"/>
      <c r="BC78" s="83" t="s">
        <v>106</v>
      </c>
      <c r="BD78" s="83" t="s">
        <v>106</v>
      </c>
      <c r="BE78" s="83" t="s">
        <v>106</v>
      </c>
      <c r="BF78" s="83" t="s">
        <v>106</v>
      </c>
      <c r="BG78" s="83" t="s">
        <v>106</v>
      </c>
      <c r="BH78" s="83" t="s">
        <v>106</v>
      </c>
      <c r="BI78" s="104">
        <v>6</v>
      </c>
      <c r="BJ78" s="104">
        <v>1.05</v>
      </c>
      <c r="BK78" s="107">
        <f t="shared" si="75"/>
        <v>1</v>
      </c>
      <c r="BL78" s="107">
        <f t="shared" si="76"/>
        <v>1.05</v>
      </c>
      <c r="BM78" s="107" t="str">
        <f t="shared" si="77"/>
        <v>(na,na,na,na,na,na)</v>
      </c>
      <c r="BN78" s="108">
        <v>1</v>
      </c>
      <c r="BO78" s="108">
        <v>1</v>
      </c>
      <c r="BP78" s="108">
        <v>1</v>
      </c>
      <c r="BQ78" s="108">
        <v>1</v>
      </c>
      <c r="BR78" s="108">
        <v>1</v>
      </c>
      <c r="BS78" s="108">
        <v>1</v>
      </c>
      <c r="BU78" s="692" t="s">
        <v>1303</v>
      </c>
      <c r="BV78" s="83">
        <v>2</v>
      </c>
      <c r="BW78" s="83">
        <v>4</v>
      </c>
      <c r="BX78" s="83">
        <v>1</v>
      </c>
      <c r="BY78" s="83">
        <v>3</v>
      </c>
      <c r="BZ78" s="83">
        <v>1</v>
      </c>
      <c r="CA78" s="83">
        <v>5</v>
      </c>
      <c r="CB78" s="104">
        <v>6</v>
      </c>
      <c r="CC78" s="104">
        <v>1.05</v>
      </c>
      <c r="CD78" s="107">
        <f t="shared" si="78"/>
        <v>1.2365959919080913</v>
      </c>
      <c r="CE78" s="107">
        <f t="shared" si="79"/>
        <v>1.2434566510799234</v>
      </c>
      <c r="CF78" s="107" t="str">
        <f t="shared" si="80"/>
        <v>(2,4,1,3,1,5)</v>
      </c>
      <c r="CG78" s="108">
        <v>1.05</v>
      </c>
      <c r="CH78" s="108">
        <v>1.1000000000000001</v>
      </c>
      <c r="CI78" s="108">
        <v>1</v>
      </c>
      <c r="CJ78" s="108">
        <v>1.02</v>
      </c>
      <c r="CK78" s="108">
        <v>1</v>
      </c>
      <c r="CL78" s="108">
        <v>1.2</v>
      </c>
    </row>
    <row r="79" spans="1:90" ht="24">
      <c r="A79" s="330">
        <v>269455</v>
      </c>
      <c r="B79" s="331"/>
      <c r="C79" s="88"/>
      <c r="D79" s="340">
        <v>5</v>
      </c>
      <c r="E79" s="341" t="s">
        <v>98</v>
      </c>
      <c r="F79" s="432" t="s">
        <v>1217</v>
      </c>
      <c r="G79" s="433" t="s">
        <v>103</v>
      </c>
      <c r="H79" s="434" t="s">
        <v>98</v>
      </c>
      <c r="I79" s="434" t="s">
        <v>98</v>
      </c>
      <c r="J79" s="94">
        <v>0</v>
      </c>
      <c r="K79" s="433" t="s">
        <v>96</v>
      </c>
      <c r="L79" s="435">
        <v>0</v>
      </c>
      <c r="M79" s="95">
        <v>1</v>
      </c>
      <c r="N79" s="96">
        <f t="shared" si="55"/>
        <v>1.05</v>
      </c>
      <c r="O79" s="432" t="str">
        <f t="shared" si="56"/>
        <v xml:space="preserve">(na,na,na,na,na,na); </v>
      </c>
      <c r="P79" s="435">
        <v>0</v>
      </c>
      <c r="Q79" s="95">
        <v>1</v>
      </c>
      <c r="R79" s="96">
        <f t="shared" si="57"/>
        <v>1.05</v>
      </c>
      <c r="S79" s="432" t="str">
        <f t="shared" si="58"/>
        <v xml:space="preserve">(na,na,na,na,na,na); </v>
      </c>
      <c r="T79" s="435">
        <v>0</v>
      </c>
      <c r="U79" s="95">
        <v>1</v>
      </c>
      <c r="V79" s="96">
        <f t="shared" si="59"/>
        <v>1.05</v>
      </c>
      <c r="W79" s="432" t="str">
        <f t="shared" si="60"/>
        <v xml:space="preserve">(na,na,na,na,na,na); </v>
      </c>
      <c r="X79" s="435">
        <f>$BA79</f>
        <v>0</v>
      </c>
      <c r="Y79" s="95">
        <v>1</v>
      </c>
      <c r="Z79" s="96">
        <f t="shared" si="61"/>
        <v>1.05</v>
      </c>
      <c r="AA79" s="432" t="str">
        <f t="shared" si="62"/>
        <v xml:space="preserve">(na,na,na,na,na,na); </v>
      </c>
      <c r="AB79" s="435">
        <f>$BA79</f>
        <v>0</v>
      </c>
      <c r="AC79" s="95">
        <v>1</v>
      </c>
      <c r="AD79" s="96">
        <f t="shared" si="63"/>
        <v>1.05</v>
      </c>
      <c r="AE79" s="432" t="str">
        <f t="shared" si="64"/>
        <v xml:space="preserve">(na,na,na,na,na,na); </v>
      </c>
      <c r="AF79" s="435">
        <f>$BA79</f>
        <v>0</v>
      </c>
      <c r="AG79" s="95">
        <v>1</v>
      </c>
      <c r="AH79" s="96">
        <f t="shared" si="65"/>
        <v>1.05</v>
      </c>
      <c r="AI79" s="432" t="str">
        <f t="shared" si="66"/>
        <v xml:space="preserve">(na,na,na,na,na,na); </v>
      </c>
      <c r="AJ79" s="435">
        <f>$BA79</f>
        <v>0</v>
      </c>
      <c r="AK79" s="95">
        <v>1</v>
      </c>
      <c r="AL79" s="96">
        <f t="shared" si="67"/>
        <v>1.05</v>
      </c>
      <c r="AM79" s="432" t="str">
        <f t="shared" si="68"/>
        <v xml:space="preserve">(na,na,na,na,na,na); </v>
      </c>
      <c r="AN79" s="435">
        <v>0</v>
      </c>
      <c r="AO79" s="95">
        <v>1</v>
      </c>
      <c r="AP79" s="96">
        <f t="shared" si="69"/>
        <v>1.05</v>
      </c>
      <c r="AQ79" s="432" t="str">
        <f t="shared" si="70"/>
        <v xml:space="preserve">(na,na,na,na,na,na); </v>
      </c>
      <c r="AR79" s="435">
        <f>(53100+2110+68400+1350000)/25500000</f>
        <v>5.7788627450980394E-2</v>
      </c>
      <c r="AS79" s="95">
        <v>1</v>
      </c>
      <c r="AT79" s="96">
        <f t="shared" si="71"/>
        <v>1.2434566510799234</v>
      </c>
      <c r="AU79" s="432" t="str">
        <f t="shared" si="72"/>
        <v>(2,4,1,3,1,5); Brailovsky (2026) GM 08-RW; CH iso Europe w/o Switzerland</v>
      </c>
      <c r="AV79" s="435">
        <f t="shared" si="88"/>
        <v>5.7788627450980394E-2</v>
      </c>
      <c r="AW79" s="95">
        <v>1</v>
      </c>
      <c r="AX79" s="96">
        <f t="shared" si="73"/>
        <v>1.2434566510799234</v>
      </c>
      <c r="AY79" s="432" t="str">
        <f t="shared" si="74"/>
        <v>(2,4,1,3,1,5); Brailovsky (2026) GM 08-RW; CH iso Europe w/o Switzerland</v>
      </c>
      <c r="AZ79" s="112"/>
      <c r="BA79" s="435"/>
      <c r="BB79" s="216"/>
      <c r="BC79" s="83" t="s">
        <v>106</v>
      </c>
      <c r="BD79" s="83" t="s">
        <v>106</v>
      </c>
      <c r="BE79" s="83" t="s">
        <v>106</v>
      </c>
      <c r="BF79" s="83" t="s">
        <v>106</v>
      </c>
      <c r="BG79" s="83" t="s">
        <v>106</v>
      </c>
      <c r="BH79" s="83" t="s">
        <v>106</v>
      </c>
      <c r="BI79" s="104">
        <v>6</v>
      </c>
      <c r="BJ79" s="104">
        <v>1.05</v>
      </c>
      <c r="BK79" s="107">
        <f t="shared" si="75"/>
        <v>1</v>
      </c>
      <c r="BL79" s="107">
        <f t="shared" si="76"/>
        <v>1.05</v>
      </c>
      <c r="BM79" s="107" t="str">
        <f t="shared" si="77"/>
        <v>(na,na,na,na,na,na)</v>
      </c>
      <c r="BN79" s="108">
        <v>1</v>
      </c>
      <c r="BO79" s="108">
        <v>1</v>
      </c>
      <c r="BP79" s="108">
        <v>1</v>
      </c>
      <c r="BQ79" s="108">
        <v>1</v>
      </c>
      <c r="BR79" s="108">
        <v>1</v>
      </c>
      <c r="BS79" s="108">
        <v>1</v>
      </c>
      <c r="BT79" s="472"/>
      <c r="BU79" s="692" t="s">
        <v>1302</v>
      </c>
      <c r="BV79" s="83">
        <v>2</v>
      </c>
      <c r="BW79" s="83">
        <v>4</v>
      </c>
      <c r="BX79" s="83">
        <v>1</v>
      </c>
      <c r="BY79" s="83">
        <v>3</v>
      </c>
      <c r="BZ79" s="83">
        <v>1</v>
      </c>
      <c r="CA79" s="83">
        <v>5</v>
      </c>
      <c r="CB79" s="104">
        <v>6</v>
      </c>
      <c r="CC79" s="104">
        <v>1.05</v>
      </c>
      <c r="CD79" s="107">
        <f t="shared" si="78"/>
        <v>1.2365959919080913</v>
      </c>
      <c r="CE79" s="107">
        <f t="shared" si="79"/>
        <v>1.2434566510799234</v>
      </c>
      <c r="CF79" s="107" t="str">
        <f t="shared" si="80"/>
        <v>(2,4,1,3,1,5)</v>
      </c>
      <c r="CG79" s="108">
        <v>1.05</v>
      </c>
      <c r="CH79" s="108">
        <v>1.1000000000000001</v>
      </c>
      <c r="CI79" s="108">
        <v>1</v>
      </c>
      <c r="CJ79" s="108">
        <v>1.02</v>
      </c>
      <c r="CK79" s="108">
        <v>1</v>
      </c>
      <c r="CL79" s="108">
        <v>1.2</v>
      </c>
    </row>
    <row r="80" spans="1:90" ht="24">
      <c r="A80" s="330">
        <v>268887</v>
      </c>
      <c r="B80" s="331"/>
      <c r="C80" s="88"/>
      <c r="D80" s="340">
        <v>5</v>
      </c>
      <c r="E80" s="341" t="s">
        <v>98</v>
      </c>
      <c r="F80" s="432" t="s">
        <v>1223</v>
      </c>
      <c r="G80" s="433" t="s">
        <v>103</v>
      </c>
      <c r="H80" s="434" t="s">
        <v>98</v>
      </c>
      <c r="I80" s="434" t="s">
        <v>98</v>
      </c>
      <c r="J80" s="94">
        <v>0</v>
      </c>
      <c r="K80" s="433" t="s">
        <v>96</v>
      </c>
      <c r="L80" s="435">
        <v>0</v>
      </c>
      <c r="M80" s="95">
        <v>1</v>
      </c>
      <c r="N80" s="96">
        <f t="shared" si="55"/>
        <v>1.05</v>
      </c>
      <c r="O80" s="432" t="str">
        <f t="shared" si="56"/>
        <v xml:space="preserve">(na,na,na,na,na,na); </v>
      </c>
      <c r="P80" s="435">
        <v>0</v>
      </c>
      <c r="Q80" s="95">
        <v>1</v>
      </c>
      <c r="R80" s="96">
        <f t="shared" si="57"/>
        <v>1.05</v>
      </c>
      <c r="S80" s="432" t="str">
        <f t="shared" si="58"/>
        <v xml:space="preserve">(na,na,na,na,na,na); </v>
      </c>
      <c r="T80" s="435">
        <v>0</v>
      </c>
      <c r="U80" s="95">
        <v>1</v>
      </c>
      <c r="V80" s="96">
        <f t="shared" si="59"/>
        <v>1.05</v>
      </c>
      <c r="W80" s="432" t="str">
        <f t="shared" si="60"/>
        <v xml:space="preserve">(na,na,na,na,na,na); </v>
      </c>
      <c r="X80" s="435">
        <v>0</v>
      </c>
      <c r="Y80" s="95">
        <v>1</v>
      </c>
      <c r="Z80" s="96">
        <f t="shared" si="61"/>
        <v>1.05</v>
      </c>
      <c r="AA80" s="432" t="str">
        <f t="shared" si="62"/>
        <v xml:space="preserve">(na,na,na,na,na,na); </v>
      </c>
      <c r="AB80" s="435">
        <v>0</v>
      </c>
      <c r="AC80" s="95">
        <v>1</v>
      </c>
      <c r="AD80" s="96">
        <f t="shared" si="63"/>
        <v>1.05</v>
      </c>
      <c r="AE80" s="432" t="str">
        <f t="shared" si="64"/>
        <v xml:space="preserve">(na,na,na,na,na,na); </v>
      </c>
      <c r="AF80" s="435">
        <v>0</v>
      </c>
      <c r="AG80" s="95">
        <v>1</v>
      </c>
      <c r="AH80" s="96">
        <f t="shared" si="65"/>
        <v>1.05</v>
      </c>
      <c r="AI80" s="432" t="str">
        <f t="shared" si="66"/>
        <v xml:space="preserve">(na,na,na,na,na,na); </v>
      </c>
      <c r="AJ80" s="435">
        <v>0</v>
      </c>
      <c r="AK80" s="95">
        <v>1</v>
      </c>
      <c r="AL80" s="96">
        <f t="shared" si="67"/>
        <v>1.05</v>
      </c>
      <c r="AM80" s="432" t="str">
        <f t="shared" si="68"/>
        <v xml:space="preserve">(na,na,na,na,na,na); </v>
      </c>
      <c r="AN80" s="435">
        <v>0</v>
      </c>
      <c r="AO80" s="95">
        <v>1</v>
      </c>
      <c r="AP80" s="96">
        <f t="shared" si="69"/>
        <v>1.05</v>
      </c>
      <c r="AQ80" s="432" t="str">
        <f t="shared" si="70"/>
        <v xml:space="preserve">(na,na,na,na,na,na); </v>
      </c>
      <c r="AR80" s="435">
        <f>583000/25500000</f>
        <v>2.2862745098039216E-2</v>
      </c>
      <c r="AS80" s="95">
        <v>1</v>
      </c>
      <c r="AT80" s="96">
        <f t="shared" si="71"/>
        <v>1.2434566510799234</v>
      </c>
      <c r="AU80" s="432" t="str">
        <f t="shared" si="72"/>
        <v>(2,4,1,3,1,5); Brailovsky (2026) GM 08-RW; CH iso RoW</v>
      </c>
      <c r="AV80" s="435">
        <f t="shared" si="88"/>
        <v>2.2862745098039216E-2</v>
      </c>
      <c r="AW80" s="95">
        <v>1</v>
      </c>
      <c r="AX80" s="96">
        <f t="shared" si="73"/>
        <v>1.2434566510799234</v>
      </c>
      <c r="AY80" s="432" t="str">
        <f t="shared" si="74"/>
        <v>(2,4,1,3,1,5); Brailovsky (2026) GM 08-RW; CH iso RoW</v>
      </c>
      <c r="AZ80" s="112"/>
      <c r="BA80" s="435"/>
      <c r="BB80" s="690"/>
      <c r="BC80" s="83" t="s">
        <v>106</v>
      </c>
      <c r="BD80" s="83" t="s">
        <v>106</v>
      </c>
      <c r="BE80" s="83" t="s">
        <v>106</v>
      </c>
      <c r="BF80" s="83" t="s">
        <v>106</v>
      </c>
      <c r="BG80" s="83" t="s">
        <v>106</v>
      </c>
      <c r="BH80" s="83" t="s">
        <v>106</v>
      </c>
      <c r="BI80" s="104">
        <v>6</v>
      </c>
      <c r="BJ80" s="104">
        <v>1.05</v>
      </c>
      <c r="BK80" s="107">
        <f t="shared" si="75"/>
        <v>1</v>
      </c>
      <c r="BL80" s="107">
        <f t="shared" si="76"/>
        <v>1.05</v>
      </c>
      <c r="BM80" s="107" t="str">
        <f t="shared" si="77"/>
        <v>(na,na,na,na,na,na)</v>
      </c>
      <c r="BN80" s="108">
        <v>1</v>
      </c>
      <c r="BO80" s="108">
        <v>1</v>
      </c>
      <c r="BP80" s="108">
        <v>1</v>
      </c>
      <c r="BQ80" s="108">
        <v>1</v>
      </c>
      <c r="BR80" s="108">
        <v>1</v>
      </c>
      <c r="BS80" s="108">
        <v>1</v>
      </c>
      <c r="BU80" s="692" t="s">
        <v>1303</v>
      </c>
      <c r="BV80" s="83">
        <v>2</v>
      </c>
      <c r="BW80" s="83">
        <v>4</v>
      </c>
      <c r="BX80" s="83">
        <v>1</v>
      </c>
      <c r="BY80" s="83">
        <v>3</v>
      </c>
      <c r="BZ80" s="83">
        <v>1</v>
      </c>
      <c r="CA80" s="83">
        <v>5</v>
      </c>
      <c r="CB80" s="104">
        <v>6</v>
      </c>
      <c r="CC80" s="104">
        <v>1.05</v>
      </c>
      <c r="CD80" s="107">
        <f t="shared" si="78"/>
        <v>1.2365959919080913</v>
      </c>
      <c r="CE80" s="107">
        <f t="shared" si="79"/>
        <v>1.2434566510799234</v>
      </c>
      <c r="CF80" s="107" t="str">
        <f t="shared" si="80"/>
        <v>(2,4,1,3,1,5)</v>
      </c>
      <c r="CG80" s="108">
        <v>1.05</v>
      </c>
      <c r="CH80" s="108">
        <v>1.1000000000000001</v>
      </c>
      <c r="CI80" s="108">
        <v>1</v>
      </c>
      <c r="CJ80" s="108">
        <v>1.02</v>
      </c>
      <c r="CK80" s="108">
        <v>1</v>
      </c>
      <c r="CL80" s="108">
        <v>1.2</v>
      </c>
    </row>
    <row r="81" spans="1:90" ht="24">
      <c r="A81" s="330">
        <v>268883</v>
      </c>
      <c r="B81" s="331"/>
      <c r="C81" s="88"/>
      <c r="D81" s="340">
        <v>5</v>
      </c>
      <c r="E81" s="341" t="s">
        <v>98</v>
      </c>
      <c r="F81" s="432" t="s">
        <v>1224</v>
      </c>
      <c r="G81" s="433" t="s">
        <v>103</v>
      </c>
      <c r="H81" s="434" t="s">
        <v>98</v>
      </c>
      <c r="I81" s="434" t="s">
        <v>98</v>
      </c>
      <c r="J81" s="94">
        <v>0</v>
      </c>
      <c r="K81" s="433" t="s">
        <v>96</v>
      </c>
      <c r="L81" s="435">
        <v>0</v>
      </c>
      <c r="M81" s="95">
        <v>1</v>
      </c>
      <c r="N81" s="96">
        <f t="shared" ref="N81:N95" si="89">$BL81</f>
        <v>1.05</v>
      </c>
      <c r="O81" s="432" t="str">
        <f t="shared" ref="O81:O95" si="90">$BM81&amp;"; "&amp;$BB81</f>
        <v xml:space="preserve">(na,na,na,na,na,na); </v>
      </c>
      <c r="P81" s="435">
        <v>0</v>
      </c>
      <c r="Q81" s="95">
        <v>1</v>
      </c>
      <c r="R81" s="96">
        <f t="shared" ref="R81:R95" si="91">$BL81</f>
        <v>1.05</v>
      </c>
      <c r="S81" s="432" t="str">
        <f t="shared" ref="S81:S95" si="92">$BM81&amp;"; "&amp;$BB81</f>
        <v xml:space="preserve">(na,na,na,na,na,na); </v>
      </c>
      <c r="T81" s="435">
        <v>0</v>
      </c>
      <c r="U81" s="95">
        <v>1</v>
      </c>
      <c r="V81" s="96">
        <f t="shared" ref="V81:V95" si="93">$BL81</f>
        <v>1.05</v>
      </c>
      <c r="W81" s="432" t="str">
        <f t="shared" ref="W81:W95" si="94">$BM81&amp;"; "&amp;$BB81</f>
        <v xml:space="preserve">(na,na,na,na,na,na); </v>
      </c>
      <c r="X81" s="435">
        <v>0</v>
      </c>
      <c r="Y81" s="95">
        <v>1</v>
      </c>
      <c r="Z81" s="96">
        <f t="shared" ref="Z81:Z95" si="95">$BL81</f>
        <v>1.05</v>
      </c>
      <c r="AA81" s="432" t="str">
        <f t="shared" ref="AA81:AA95" si="96">$BM81&amp;"; "&amp;$BB81</f>
        <v xml:space="preserve">(na,na,na,na,na,na); </v>
      </c>
      <c r="AB81" s="435">
        <v>0</v>
      </c>
      <c r="AC81" s="95">
        <v>1</v>
      </c>
      <c r="AD81" s="96">
        <f t="shared" ref="AD81:AD95" si="97">$BL81</f>
        <v>1.05</v>
      </c>
      <c r="AE81" s="432" t="str">
        <f t="shared" ref="AE81:AE95" si="98">$BM81&amp;"; "&amp;$BB81</f>
        <v xml:space="preserve">(na,na,na,na,na,na); </v>
      </c>
      <c r="AF81" s="435">
        <v>0</v>
      </c>
      <c r="AG81" s="95">
        <v>1</v>
      </c>
      <c r="AH81" s="96">
        <f t="shared" ref="AH81:AH95" si="99">$BL81</f>
        <v>1.05</v>
      </c>
      <c r="AI81" s="432" t="str">
        <f t="shared" ref="AI81:AI95" si="100">$BM81&amp;"; "&amp;$BB81</f>
        <v xml:space="preserve">(na,na,na,na,na,na); </v>
      </c>
      <c r="AJ81" s="435">
        <v>0</v>
      </c>
      <c r="AK81" s="95">
        <v>1</v>
      </c>
      <c r="AL81" s="96">
        <f t="shared" ref="AL81:AL95" si="101">$BL81</f>
        <v>1.05</v>
      </c>
      <c r="AM81" s="432" t="str">
        <f t="shared" ref="AM81:AM95" si="102">$BM81&amp;"; "&amp;$BB81</f>
        <v xml:space="preserve">(na,na,na,na,na,na); </v>
      </c>
      <c r="AN81" s="435">
        <v>0</v>
      </c>
      <c r="AO81" s="95">
        <v>1</v>
      </c>
      <c r="AP81" s="96">
        <f t="shared" ref="AP81:AP95" si="103">$BL81</f>
        <v>1.05</v>
      </c>
      <c r="AQ81" s="432" t="str">
        <f t="shared" ref="AQ81:AQ95" si="104">$BM81&amp;"; "&amp;$BB81</f>
        <v xml:space="preserve">(na,na,na,na,na,na); </v>
      </c>
      <c r="AR81" s="435">
        <f>1480/25500000</f>
        <v>5.8039215686274509E-5</v>
      </c>
      <c r="AS81" s="95">
        <v>1</v>
      </c>
      <c r="AT81" s="96">
        <f t="shared" ref="AT81:AT95" si="105">$CE81</f>
        <v>1.2434566510799234</v>
      </c>
      <c r="AU81" s="432" t="str">
        <f t="shared" ref="AU81:AU95" si="106">$CF81&amp;"; "&amp;$BU81</f>
        <v>(2,4,1,3,1,5); Brailovsky (2026) GM 08-RW; CH iso Europe w/o Switzerland</v>
      </c>
      <c r="AV81" s="435">
        <f t="shared" si="88"/>
        <v>5.8039215686274509E-5</v>
      </c>
      <c r="AW81" s="95">
        <v>1</v>
      </c>
      <c r="AX81" s="96">
        <f t="shared" ref="AX81:AX95" si="107">$CE81</f>
        <v>1.2434566510799234</v>
      </c>
      <c r="AY81" s="432" t="str">
        <f t="shared" ref="AY81:AY95" si="108">$CF81&amp;"; "&amp;$BU81</f>
        <v>(2,4,1,3,1,5); Brailovsky (2026) GM 08-RW; CH iso Europe w/o Switzerland</v>
      </c>
      <c r="AZ81" s="112"/>
      <c r="BA81" s="435"/>
      <c r="BB81" s="690"/>
      <c r="BC81" s="83" t="s">
        <v>106</v>
      </c>
      <c r="BD81" s="83" t="s">
        <v>106</v>
      </c>
      <c r="BE81" s="83" t="s">
        <v>106</v>
      </c>
      <c r="BF81" s="83" t="s">
        <v>106</v>
      </c>
      <c r="BG81" s="83" t="s">
        <v>106</v>
      </c>
      <c r="BH81" s="83" t="s">
        <v>106</v>
      </c>
      <c r="BI81" s="104">
        <v>6</v>
      </c>
      <c r="BJ81" s="104">
        <v>1.05</v>
      </c>
      <c r="BK81" s="107">
        <f t="shared" ref="BK81:BK95" si="109">EXP(SQRT((LN(BN81)^2)+(LN(BO81)^2)+(LN(BP81)^2)+(LN(BQ81)^2)+(LN(BR81)^2)+(LN(BS81)^2)))</f>
        <v>1</v>
      </c>
      <c r="BL81" s="107">
        <f t="shared" ref="BL81:BL95" si="110">EXP(SQRT((LN(BN81)^2)+(LN(BO81)^2)+(LN(BP81)^2)+(LN(BQ81)^2)+(LN(BR81)^2)+(LN(BS81)^2)+LN(BJ81)^2))</f>
        <v>1.05</v>
      </c>
      <c r="BM81" s="107" t="str">
        <f t="shared" ref="BM81:BM95" si="111">CONCATENATE("(",BC81,",",BD81,",",BE81,",",BF81,",",BG81,",",BH81,")")</f>
        <v>(na,na,na,na,na,na)</v>
      </c>
      <c r="BN81" s="108">
        <v>1</v>
      </c>
      <c r="BO81" s="108">
        <v>1</v>
      </c>
      <c r="BP81" s="108">
        <v>1</v>
      </c>
      <c r="BQ81" s="108">
        <v>1</v>
      </c>
      <c r="BR81" s="108">
        <v>1</v>
      </c>
      <c r="BS81" s="108">
        <v>1</v>
      </c>
      <c r="BU81" s="692" t="s">
        <v>1302</v>
      </c>
      <c r="BV81" s="83">
        <v>2</v>
      </c>
      <c r="BW81" s="83">
        <v>4</v>
      </c>
      <c r="BX81" s="83">
        <v>1</v>
      </c>
      <c r="BY81" s="83">
        <v>3</v>
      </c>
      <c r="BZ81" s="83">
        <v>1</v>
      </c>
      <c r="CA81" s="83">
        <v>5</v>
      </c>
      <c r="CB81" s="104">
        <v>6</v>
      </c>
      <c r="CC81" s="104">
        <v>1.05</v>
      </c>
      <c r="CD81" s="107">
        <f t="shared" ref="CD81:CD95" si="112">EXP(SQRT((LN(CG81)^2)+(LN(CH81)^2)+(LN(CI81)^2)+(LN(CJ81)^2)+(LN(CK81)^2)+(LN(CL81)^2)))</f>
        <v>1.2365959919080913</v>
      </c>
      <c r="CE81" s="107">
        <f t="shared" ref="CE81:CE95" si="113">EXP(SQRT((LN(CG81)^2)+(LN(CH81)^2)+(LN(CI81)^2)+(LN(CJ81)^2)+(LN(CK81)^2)+(LN(CL81)^2)+LN(CC81)^2))</f>
        <v>1.2434566510799234</v>
      </c>
      <c r="CF81" s="107" t="str">
        <f t="shared" ref="CF81:CF95" si="114">CONCATENATE("(",BV81,",",BW81,",",BX81,",",BY81,",",BZ81,",",CA81,")")</f>
        <v>(2,4,1,3,1,5)</v>
      </c>
      <c r="CG81" s="108">
        <v>1.05</v>
      </c>
      <c r="CH81" s="108">
        <v>1.1000000000000001</v>
      </c>
      <c r="CI81" s="108">
        <v>1</v>
      </c>
      <c r="CJ81" s="108">
        <v>1.02</v>
      </c>
      <c r="CK81" s="108">
        <v>1</v>
      </c>
      <c r="CL81" s="108">
        <v>1.2</v>
      </c>
    </row>
    <row r="82" spans="1:90" ht="24">
      <c r="A82" s="330">
        <v>267013</v>
      </c>
      <c r="B82" s="331"/>
      <c r="C82" s="88"/>
      <c r="D82" s="340">
        <v>5</v>
      </c>
      <c r="E82" s="341" t="s">
        <v>98</v>
      </c>
      <c r="F82" s="432" t="s">
        <v>1225</v>
      </c>
      <c r="G82" s="433" t="s">
        <v>103</v>
      </c>
      <c r="H82" s="434" t="s">
        <v>98</v>
      </c>
      <c r="I82" s="434" t="s">
        <v>98</v>
      </c>
      <c r="J82" s="94">
        <v>0</v>
      </c>
      <c r="K82" s="433" t="s">
        <v>96</v>
      </c>
      <c r="L82" s="435">
        <v>0</v>
      </c>
      <c r="M82" s="95">
        <v>1</v>
      </c>
      <c r="N82" s="96">
        <f t="shared" si="89"/>
        <v>1.05</v>
      </c>
      <c r="O82" s="432" t="str">
        <f t="shared" si="90"/>
        <v xml:space="preserve">(na,na,na,na,na,na); </v>
      </c>
      <c r="P82" s="435">
        <v>0</v>
      </c>
      <c r="Q82" s="95">
        <v>1</v>
      </c>
      <c r="R82" s="96">
        <f t="shared" si="91"/>
        <v>1.05</v>
      </c>
      <c r="S82" s="432" t="str">
        <f t="shared" si="92"/>
        <v xml:space="preserve">(na,na,na,na,na,na); </v>
      </c>
      <c r="T82" s="435">
        <v>0</v>
      </c>
      <c r="U82" s="95">
        <v>1</v>
      </c>
      <c r="V82" s="96">
        <f t="shared" si="93"/>
        <v>1.05</v>
      </c>
      <c r="W82" s="432" t="str">
        <f t="shared" si="94"/>
        <v xml:space="preserve">(na,na,na,na,na,na); </v>
      </c>
      <c r="X82" s="435">
        <v>0</v>
      </c>
      <c r="Y82" s="95">
        <v>1</v>
      </c>
      <c r="Z82" s="96">
        <f t="shared" si="95"/>
        <v>1.05</v>
      </c>
      <c r="AA82" s="432" t="str">
        <f t="shared" si="96"/>
        <v xml:space="preserve">(na,na,na,na,na,na); </v>
      </c>
      <c r="AB82" s="435">
        <v>0</v>
      </c>
      <c r="AC82" s="95">
        <v>1</v>
      </c>
      <c r="AD82" s="96">
        <f t="shared" si="97"/>
        <v>1.05</v>
      </c>
      <c r="AE82" s="432" t="str">
        <f t="shared" si="98"/>
        <v xml:space="preserve">(na,na,na,na,na,na); </v>
      </c>
      <c r="AF82" s="435">
        <v>0</v>
      </c>
      <c r="AG82" s="95">
        <v>1</v>
      </c>
      <c r="AH82" s="96">
        <f t="shared" si="99"/>
        <v>1.05</v>
      </c>
      <c r="AI82" s="432" t="str">
        <f t="shared" si="100"/>
        <v xml:space="preserve">(na,na,na,na,na,na); </v>
      </c>
      <c r="AJ82" s="435">
        <v>0</v>
      </c>
      <c r="AK82" s="95">
        <v>1</v>
      </c>
      <c r="AL82" s="96">
        <f t="shared" si="101"/>
        <v>1.05</v>
      </c>
      <c r="AM82" s="432" t="str">
        <f t="shared" si="102"/>
        <v xml:space="preserve">(na,na,na,na,na,na); </v>
      </c>
      <c r="AN82" s="435">
        <v>0</v>
      </c>
      <c r="AO82" s="95">
        <v>1</v>
      </c>
      <c r="AP82" s="96">
        <f t="shared" si="103"/>
        <v>1.05</v>
      </c>
      <c r="AQ82" s="432" t="str">
        <f t="shared" si="104"/>
        <v xml:space="preserve">(na,na,na,na,na,na); </v>
      </c>
      <c r="AR82" s="435">
        <f>38500/25500000</f>
        <v>1.5098039215686275E-3</v>
      </c>
      <c r="AS82" s="95">
        <v>1</v>
      </c>
      <c r="AT82" s="96">
        <f t="shared" si="105"/>
        <v>1.2434566510799234</v>
      </c>
      <c r="AU82" s="432" t="str">
        <f t="shared" si="106"/>
        <v>(2,4,1,3,1,5); Brailovsky (2026) GM 08-RW; CH iso Europe w/o Switzerland</v>
      </c>
      <c r="AV82" s="435">
        <f t="shared" si="88"/>
        <v>1.5098039215686275E-3</v>
      </c>
      <c r="AW82" s="95">
        <v>1</v>
      </c>
      <c r="AX82" s="96">
        <f t="shared" si="107"/>
        <v>1.2434566510799234</v>
      </c>
      <c r="AY82" s="432" t="str">
        <f t="shared" si="108"/>
        <v>(2,4,1,3,1,5); Brailovsky (2026) GM 08-RW; CH iso Europe w/o Switzerland</v>
      </c>
      <c r="AZ82" s="112"/>
      <c r="BA82" s="435"/>
      <c r="BB82" s="690"/>
      <c r="BC82" s="83" t="s">
        <v>106</v>
      </c>
      <c r="BD82" s="83" t="s">
        <v>106</v>
      </c>
      <c r="BE82" s="83" t="s">
        <v>106</v>
      </c>
      <c r="BF82" s="83" t="s">
        <v>106</v>
      </c>
      <c r="BG82" s="83" t="s">
        <v>106</v>
      </c>
      <c r="BH82" s="83" t="s">
        <v>106</v>
      </c>
      <c r="BI82" s="104">
        <v>6</v>
      </c>
      <c r="BJ82" s="104">
        <v>1.05</v>
      </c>
      <c r="BK82" s="107">
        <f t="shared" si="109"/>
        <v>1</v>
      </c>
      <c r="BL82" s="107">
        <f t="shared" si="110"/>
        <v>1.05</v>
      </c>
      <c r="BM82" s="107" t="str">
        <f t="shared" si="111"/>
        <v>(na,na,na,na,na,na)</v>
      </c>
      <c r="BN82" s="108">
        <v>1</v>
      </c>
      <c r="BO82" s="108">
        <v>1</v>
      </c>
      <c r="BP82" s="108">
        <v>1</v>
      </c>
      <c r="BQ82" s="108">
        <v>1</v>
      </c>
      <c r="BR82" s="108">
        <v>1</v>
      </c>
      <c r="BS82" s="108">
        <v>1</v>
      </c>
      <c r="BU82" s="692" t="s">
        <v>1302</v>
      </c>
      <c r="BV82" s="83">
        <v>2</v>
      </c>
      <c r="BW82" s="83">
        <v>4</v>
      </c>
      <c r="BX82" s="83">
        <v>1</v>
      </c>
      <c r="BY82" s="83">
        <v>3</v>
      </c>
      <c r="BZ82" s="83">
        <v>1</v>
      </c>
      <c r="CA82" s="83">
        <v>5</v>
      </c>
      <c r="CB82" s="104">
        <v>6</v>
      </c>
      <c r="CC82" s="104">
        <v>1.05</v>
      </c>
      <c r="CD82" s="107">
        <f t="shared" si="112"/>
        <v>1.2365959919080913</v>
      </c>
      <c r="CE82" s="107">
        <f t="shared" si="113"/>
        <v>1.2434566510799234</v>
      </c>
      <c r="CF82" s="107" t="str">
        <f t="shared" si="114"/>
        <v>(2,4,1,3,1,5)</v>
      </c>
      <c r="CG82" s="108">
        <v>1.05</v>
      </c>
      <c r="CH82" s="108">
        <v>1.1000000000000001</v>
      </c>
      <c r="CI82" s="108">
        <v>1</v>
      </c>
      <c r="CJ82" s="108">
        <v>1.02</v>
      </c>
      <c r="CK82" s="108">
        <v>1</v>
      </c>
      <c r="CL82" s="108">
        <v>1.2</v>
      </c>
    </row>
    <row r="83" spans="1:90" ht="24">
      <c r="A83" s="330">
        <v>269349</v>
      </c>
      <c r="B83" s="331"/>
      <c r="C83" s="88"/>
      <c r="D83" s="340">
        <v>5</v>
      </c>
      <c r="E83" s="341" t="s">
        <v>98</v>
      </c>
      <c r="F83" s="432" t="s">
        <v>1226</v>
      </c>
      <c r="G83" s="433" t="s">
        <v>103</v>
      </c>
      <c r="H83" s="434" t="s">
        <v>98</v>
      </c>
      <c r="I83" s="434" t="s">
        <v>98</v>
      </c>
      <c r="J83" s="94">
        <v>0</v>
      </c>
      <c r="K83" s="433" t="s">
        <v>119</v>
      </c>
      <c r="L83" s="435">
        <f>0.9*SUM(L37:L44)/1000</f>
        <v>4.528125E-3</v>
      </c>
      <c r="M83" s="95">
        <v>1</v>
      </c>
      <c r="N83" s="96">
        <f t="shared" si="89"/>
        <v>1.2434566510799234</v>
      </c>
      <c r="O83" s="432" t="str">
        <f t="shared" si="90"/>
        <v>(1,4,4,3,1,3); Calculation, water use</v>
      </c>
      <c r="P83" s="435">
        <f>0.9*SUM(P37:P44)/1000</f>
        <v>4.528125E-3</v>
      </c>
      <c r="Q83" s="95">
        <v>1</v>
      </c>
      <c r="R83" s="96">
        <f t="shared" si="91"/>
        <v>1.2434566510799234</v>
      </c>
      <c r="S83" s="432" t="str">
        <f t="shared" si="92"/>
        <v>(1,4,4,3,1,3); Calculation, water use</v>
      </c>
      <c r="T83" s="435">
        <f>0.9*SUM(T37:T44)/1000</f>
        <v>4.528125E-3</v>
      </c>
      <c r="U83" s="95">
        <v>1</v>
      </c>
      <c r="V83" s="96">
        <f t="shared" si="93"/>
        <v>1.2434566510799234</v>
      </c>
      <c r="W83" s="432" t="str">
        <f t="shared" si="94"/>
        <v>(1,4,4,3,1,3); Calculation, water use</v>
      </c>
      <c r="X83" s="435">
        <f>0.9*SUM(X37:X44)/1000</f>
        <v>4.528125E-3</v>
      </c>
      <c r="Y83" s="95">
        <v>1</v>
      </c>
      <c r="Z83" s="96">
        <f t="shared" si="95"/>
        <v>1.2434566510799234</v>
      </c>
      <c r="AA83" s="432" t="str">
        <f t="shared" si="96"/>
        <v>(1,4,4,3,1,3); Calculation, water use</v>
      </c>
      <c r="AB83" s="435">
        <f>0.9*SUM(AB37:AB44)/1000</f>
        <v>4.528125E-3</v>
      </c>
      <c r="AC83" s="95">
        <v>1</v>
      </c>
      <c r="AD83" s="96">
        <f t="shared" si="97"/>
        <v>1.2434566510799234</v>
      </c>
      <c r="AE83" s="432" t="str">
        <f t="shared" si="98"/>
        <v>(1,4,4,3,1,3); Calculation, water use</v>
      </c>
      <c r="AF83" s="435">
        <f>0.9*SUM(AF37:AF44)/1000</f>
        <v>4.528125E-3</v>
      </c>
      <c r="AG83" s="95">
        <v>1</v>
      </c>
      <c r="AH83" s="96">
        <f t="shared" si="99"/>
        <v>1.2434566510799234</v>
      </c>
      <c r="AI83" s="432" t="str">
        <f t="shared" si="100"/>
        <v>(1,4,4,3,1,3); Calculation, water use</v>
      </c>
      <c r="AJ83" s="435">
        <f>0.9*SUM(AJ37:AJ44)/1000</f>
        <v>4.528125E-3</v>
      </c>
      <c r="AK83" s="95">
        <v>1</v>
      </c>
      <c r="AL83" s="96">
        <f t="shared" si="101"/>
        <v>1.2434566510799234</v>
      </c>
      <c r="AM83" s="432" t="str">
        <f t="shared" si="102"/>
        <v>(1,4,4,3,1,3); Calculation, water use</v>
      </c>
      <c r="AN83" s="435">
        <f>0.9*SUM(AN37:AN44)/1000</f>
        <v>4.528125E-3</v>
      </c>
      <c r="AO83" s="95">
        <v>1</v>
      </c>
      <c r="AP83" s="96">
        <f t="shared" si="103"/>
        <v>1.2434566510799234</v>
      </c>
      <c r="AQ83" s="432" t="str">
        <f t="shared" si="104"/>
        <v>(1,4,4,3,1,3); Calculation, water use</v>
      </c>
      <c r="AR83" s="435">
        <v>0</v>
      </c>
      <c r="AS83" s="95">
        <v>1</v>
      </c>
      <c r="AT83" s="96">
        <f t="shared" si="105"/>
        <v>1.05</v>
      </c>
      <c r="AU83" s="432" t="str">
        <f t="shared" si="106"/>
        <v xml:space="preserve">(na,na,na,na,na,na); </v>
      </c>
      <c r="AV83" s="435">
        <v>0</v>
      </c>
      <c r="AW83" s="95">
        <v>1</v>
      </c>
      <c r="AX83" s="96">
        <f t="shared" si="107"/>
        <v>1.05</v>
      </c>
      <c r="AY83" s="432" t="str">
        <f t="shared" si="108"/>
        <v xml:space="preserve">(na,na,na,na,na,na); </v>
      </c>
      <c r="AZ83" s="112"/>
      <c r="BA83" s="435">
        <f>0.0341/1.6</f>
        <v>2.1312499999999998E-2</v>
      </c>
      <c r="BB83" s="216" t="s">
        <v>1304</v>
      </c>
      <c r="BC83" s="83">
        <f>BC$23</f>
        <v>1</v>
      </c>
      <c r="BD83" s="83">
        <f>BD$23</f>
        <v>4</v>
      </c>
      <c r="BE83" s="83">
        <v>4</v>
      </c>
      <c r="BF83" s="83">
        <f>BF$23</f>
        <v>3</v>
      </c>
      <c r="BG83" s="83">
        <f>BG$23</f>
        <v>1</v>
      </c>
      <c r="BH83" s="83">
        <f>BH$23</f>
        <v>3</v>
      </c>
      <c r="BI83" s="104">
        <v>6</v>
      </c>
      <c r="BJ83" s="104">
        <v>1.05</v>
      </c>
      <c r="BK83" s="107">
        <f t="shared" si="109"/>
        <v>1.2365959919080913</v>
      </c>
      <c r="BL83" s="107">
        <f t="shared" si="110"/>
        <v>1.2434566510799234</v>
      </c>
      <c r="BM83" s="107" t="str">
        <f t="shared" si="111"/>
        <v>(1,4,4,3,1,3)</v>
      </c>
      <c r="BN83" s="108">
        <v>1</v>
      </c>
      <c r="BO83" s="108">
        <v>1.1000000000000001</v>
      </c>
      <c r="BP83" s="108">
        <v>1.2</v>
      </c>
      <c r="BQ83" s="108">
        <v>1.02</v>
      </c>
      <c r="BR83" s="108">
        <v>1</v>
      </c>
      <c r="BS83" s="108">
        <v>1.05</v>
      </c>
      <c r="BU83" s="692"/>
      <c r="BV83" s="83" t="s">
        <v>106</v>
      </c>
      <c r="BW83" s="83" t="s">
        <v>106</v>
      </c>
      <c r="BX83" s="83" t="s">
        <v>106</v>
      </c>
      <c r="BY83" s="83" t="s">
        <v>106</v>
      </c>
      <c r="BZ83" s="83" t="s">
        <v>106</v>
      </c>
      <c r="CA83" s="83" t="s">
        <v>106</v>
      </c>
      <c r="CB83" s="104">
        <v>6</v>
      </c>
      <c r="CC83" s="104">
        <v>1.05</v>
      </c>
      <c r="CD83" s="107">
        <f t="shared" si="112"/>
        <v>1</v>
      </c>
      <c r="CE83" s="107">
        <f t="shared" si="113"/>
        <v>1.05</v>
      </c>
      <c r="CF83" s="107" t="str">
        <f t="shared" si="114"/>
        <v>(na,na,na,na,na,na)</v>
      </c>
      <c r="CG83" s="108">
        <v>1</v>
      </c>
      <c r="CH83" s="108">
        <v>1</v>
      </c>
      <c r="CI83" s="108">
        <v>1</v>
      </c>
      <c r="CJ83" s="108">
        <v>1</v>
      </c>
      <c r="CK83" s="108">
        <v>1</v>
      </c>
      <c r="CL83" s="108">
        <v>1</v>
      </c>
    </row>
    <row r="84" spans="1:90">
      <c r="A84" s="330">
        <v>21844</v>
      </c>
      <c r="B84" s="331" t="s">
        <v>1228</v>
      </c>
      <c r="C84" s="88"/>
      <c r="D84" s="340" t="s">
        <v>98</v>
      </c>
      <c r="E84" s="341">
        <v>4</v>
      </c>
      <c r="F84" s="432" t="s">
        <v>121</v>
      </c>
      <c r="G84" s="433" t="s">
        <v>98</v>
      </c>
      <c r="H84" s="434" t="s">
        <v>247</v>
      </c>
      <c r="I84" s="434" t="s">
        <v>258</v>
      </c>
      <c r="J84" s="94" t="s">
        <v>98</v>
      </c>
      <c r="K84" s="433" t="s">
        <v>104</v>
      </c>
      <c r="L84" s="435">
        <f>3.6*SUM(L57:L64)</f>
        <v>12.96</v>
      </c>
      <c r="M84" s="95">
        <v>1</v>
      </c>
      <c r="N84" s="96">
        <f t="shared" si="89"/>
        <v>1.5960462102848654</v>
      </c>
      <c r="O84" s="432" t="str">
        <f t="shared" si="90"/>
        <v>(3,4,5,3,1,5); Calculation, electricity use</v>
      </c>
      <c r="P84" s="435">
        <f>3.6*SUM(P57:P64)</f>
        <v>12.96</v>
      </c>
      <c r="Q84" s="95">
        <v>1</v>
      </c>
      <c r="R84" s="96">
        <f t="shared" si="91"/>
        <v>1.5960462102848654</v>
      </c>
      <c r="S84" s="432" t="str">
        <f t="shared" si="92"/>
        <v>(3,4,5,3,1,5); Calculation, electricity use</v>
      </c>
      <c r="T84" s="435">
        <f>3.6*SUM(T57:T64)</f>
        <v>12.96</v>
      </c>
      <c r="U84" s="95">
        <v>1</v>
      </c>
      <c r="V84" s="96">
        <f t="shared" si="93"/>
        <v>1.5960462102848654</v>
      </c>
      <c r="W84" s="432" t="str">
        <f t="shared" si="94"/>
        <v>(3,4,5,3,1,5); Calculation, electricity use</v>
      </c>
      <c r="X84" s="435">
        <f>3.6*SUM(X57:X64)</f>
        <v>12.96</v>
      </c>
      <c r="Y84" s="95">
        <v>1</v>
      </c>
      <c r="Z84" s="96">
        <f t="shared" si="95"/>
        <v>1.5960462102848654</v>
      </c>
      <c r="AA84" s="432" t="str">
        <f t="shared" si="96"/>
        <v>(3,4,5,3,1,5); Calculation, electricity use</v>
      </c>
      <c r="AB84" s="435">
        <f>3.6*SUM(AB57:AB64)</f>
        <v>12.960000000000003</v>
      </c>
      <c r="AC84" s="95">
        <v>1</v>
      </c>
      <c r="AD84" s="96">
        <f t="shared" si="97"/>
        <v>1.5960462102848654</v>
      </c>
      <c r="AE84" s="432" t="str">
        <f t="shared" si="98"/>
        <v>(3,4,5,3,1,5); Calculation, electricity use</v>
      </c>
      <c r="AF84" s="435">
        <f>3.6*SUM(AF57:AF64)</f>
        <v>12.960000000000003</v>
      </c>
      <c r="AG84" s="95">
        <v>1</v>
      </c>
      <c r="AH84" s="96">
        <f t="shared" si="99"/>
        <v>1.5960462102848654</v>
      </c>
      <c r="AI84" s="432" t="str">
        <f t="shared" si="100"/>
        <v>(3,4,5,3,1,5); Calculation, electricity use</v>
      </c>
      <c r="AJ84" s="435">
        <f>3.6*SUM(AJ57:AJ64)</f>
        <v>12.96</v>
      </c>
      <c r="AK84" s="95">
        <v>1</v>
      </c>
      <c r="AL84" s="96">
        <f t="shared" si="101"/>
        <v>1.5960462102848654</v>
      </c>
      <c r="AM84" s="432" t="str">
        <f t="shared" si="102"/>
        <v>(3,4,5,3,1,5); Calculation, electricity use</v>
      </c>
      <c r="AN84" s="435">
        <f>3.6*SUM(AN57:AN64)</f>
        <v>12.96</v>
      </c>
      <c r="AO84" s="95">
        <v>1</v>
      </c>
      <c r="AP84" s="96">
        <f t="shared" si="103"/>
        <v>1.5960462102848654</v>
      </c>
      <c r="AQ84" s="432" t="str">
        <f t="shared" si="104"/>
        <v>(3,4,5,3,1,5); Calculation, electricity use</v>
      </c>
      <c r="AR84" s="435">
        <f>3.6*SUM(AR57:AR65)</f>
        <v>12.96</v>
      </c>
      <c r="AS84" s="95">
        <v>1</v>
      </c>
      <c r="AT84" s="96">
        <f t="shared" si="105"/>
        <v>1.3965935359732646</v>
      </c>
      <c r="AU84" s="432" t="str">
        <f t="shared" si="106"/>
        <v>(4,4,4,3,1,5); Calculation</v>
      </c>
      <c r="AV84" s="435">
        <f>3.6*SUM(AV57:AV65)</f>
        <v>12.96</v>
      </c>
      <c r="AW84" s="95">
        <v>1</v>
      </c>
      <c r="AX84" s="96">
        <f t="shared" si="107"/>
        <v>1.3965935359732646</v>
      </c>
      <c r="AY84" s="432" t="str">
        <f t="shared" si="108"/>
        <v>(4,4,4,3,1,5); Calculation</v>
      </c>
      <c r="AZ84" s="112"/>
      <c r="BA84" s="435">
        <f>21.5/1.6</f>
        <v>13.4375</v>
      </c>
      <c r="BB84" s="216" t="s">
        <v>1229</v>
      </c>
      <c r="BC84" s="83">
        <v>3</v>
      </c>
      <c r="BD84" s="83">
        <v>4</v>
      </c>
      <c r="BE84" s="83">
        <v>5</v>
      </c>
      <c r="BF84" s="83">
        <v>3</v>
      </c>
      <c r="BG84" s="83">
        <v>1</v>
      </c>
      <c r="BH84" s="83">
        <v>5</v>
      </c>
      <c r="BI84" s="104">
        <v>13</v>
      </c>
      <c r="BJ84" s="104">
        <v>1.05</v>
      </c>
      <c r="BK84" s="107">
        <f t="shared" si="109"/>
        <v>1.5919770563893134</v>
      </c>
      <c r="BL84" s="107">
        <f t="shared" si="110"/>
        <v>1.5960462102848654</v>
      </c>
      <c r="BM84" s="107" t="str">
        <f t="shared" si="111"/>
        <v>(3,4,5,3,1,5)</v>
      </c>
      <c r="BN84" s="108">
        <v>1.1000000000000001</v>
      </c>
      <c r="BO84" s="108">
        <v>1.1000000000000001</v>
      </c>
      <c r="BP84" s="108">
        <v>1.5</v>
      </c>
      <c r="BQ84" s="108">
        <v>1.02</v>
      </c>
      <c r="BR84" s="108">
        <v>1</v>
      </c>
      <c r="BS84" s="108">
        <v>1.2</v>
      </c>
      <c r="BU84" s="692" t="s">
        <v>249</v>
      </c>
      <c r="BV84" s="83">
        <v>4</v>
      </c>
      <c r="BW84" s="83">
        <v>4</v>
      </c>
      <c r="BX84" s="83">
        <v>4</v>
      </c>
      <c r="BY84" s="83">
        <v>3</v>
      </c>
      <c r="BZ84" s="83">
        <v>1</v>
      </c>
      <c r="CA84" s="83">
        <v>5</v>
      </c>
      <c r="CB84" s="104">
        <v>13</v>
      </c>
      <c r="CC84" s="104">
        <v>1.05</v>
      </c>
      <c r="CD84" s="107">
        <f t="shared" si="112"/>
        <v>1.3915993050235766</v>
      </c>
      <c r="CE84" s="107">
        <f t="shared" si="113"/>
        <v>1.3965935359732646</v>
      </c>
      <c r="CF84" s="107" t="str">
        <f t="shared" si="114"/>
        <v>(4,4,4,3,1,5)</v>
      </c>
      <c r="CG84" s="108">
        <v>1.2</v>
      </c>
      <c r="CH84" s="108">
        <v>1.1000000000000001</v>
      </c>
      <c r="CI84" s="108">
        <v>1.2</v>
      </c>
      <c r="CJ84" s="108">
        <v>1.02</v>
      </c>
      <c r="CK84" s="108">
        <v>1</v>
      </c>
      <c r="CL84" s="108">
        <v>1.2</v>
      </c>
    </row>
    <row r="85" spans="1:90" ht="24">
      <c r="A85" s="330">
        <v>40899</v>
      </c>
      <c r="B85" s="331"/>
      <c r="C85" s="88"/>
      <c r="D85" s="340" t="s">
        <v>98</v>
      </c>
      <c r="E85" s="341">
        <v>4</v>
      </c>
      <c r="F85" s="432" t="s">
        <v>415</v>
      </c>
      <c r="G85" s="433" t="s">
        <v>98</v>
      </c>
      <c r="H85" s="434" t="s">
        <v>247</v>
      </c>
      <c r="I85" s="434" t="s">
        <v>258</v>
      </c>
      <c r="J85" s="94" t="s">
        <v>98</v>
      </c>
      <c r="K85" s="433" t="s">
        <v>96</v>
      </c>
      <c r="L85" s="435">
        <f>$BA85</f>
        <v>8.0625000000000002E-3</v>
      </c>
      <c r="M85" s="95">
        <v>1</v>
      </c>
      <c r="N85" s="96">
        <f t="shared" si="89"/>
        <v>1.8532338457509625</v>
      </c>
      <c r="O85" s="432" t="str">
        <f t="shared" si="90"/>
        <v>(3,4,5,3,1,5); de Wild-Scholten (2014) Life Cycle Assessment of Photovoltaics Status 2011, Part 1 Data Collection (Table 37)</v>
      </c>
      <c r="P85" s="435">
        <f>$BA85</f>
        <v>8.0625000000000002E-3</v>
      </c>
      <c r="Q85" s="95">
        <v>1</v>
      </c>
      <c r="R85" s="96">
        <f t="shared" si="91"/>
        <v>1.8532338457509625</v>
      </c>
      <c r="S85" s="432" t="str">
        <f t="shared" si="92"/>
        <v>(3,4,5,3,1,5); de Wild-Scholten (2014) Life Cycle Assessment of Photovoltaics Status 2011, Part 1 Data Collection (Table 37)</v>
      </c>
      <c r="T85" s="435">
        <f>$BA85</f>
        <v>8.0625000000000002E-3</v>
      </c>
      <c r="U85" s="95">
        <v>1</v>
      </c>
      <c r="V85" s="96">
        <f t="shared" si="93"/>
        <v>1.8532338457509625</v>
      </c>
      <c r="W85" s="432" t="str">
        <f t="shared" si="94"/>
        <v>(3,4,5,3,1,5); de Wild-Scholten (2014) Life Cycle Assessment of Photovoltaics Status 2011, Part 1 Data Collection (Table 37)</v>
      </c>
      <c r="X85" s="435">
        <f>$BA85</f>
        <v>8.0625000000000002E-3</v>
      </c>
      <c r="Y85" s="95">
        <v>1</v>
      </c>
      <c r="Z85" s="96">
        <f t="shared" si="95"/>
        <v>1.8532338457509625</v>
      </c>
      <c r="AA85" s="432" t="str">
        <f t="shared" si="96"/>
        <v>(3,4,5,3,1,5); de Wild-Scholten (2014) Life Cycle Assessment of Photovoltaics Status 2011, Part 1 Data Collection (Table 37)</v>
      </c>
      <c r="AB85" s="435">
        <f>$BA85</f>
        <v>8.0625000000000002E-3</v>
      </c>
      <c r="AC85" s="95">
        <v>1</v>
      </c>
      <c r="AD85" s="96">
        <f t="shared" si="97"/>
        <v>1.8532338457509625</v>
      </c>
      <c r="AE85" s="432" t="str">
        <f t="shared" si="98"/>
        <v>(3,4,5,3,1,5); de Wild-Scholten (2014) Life Cycle Assessment of Photovoltaics Status 2011, Part 1 Data Collection (Table 37)</v>
      </c>
      <c r="AF85" s="435">
        <f>$BA85</f>
        <v>8.0625000000000002E-3</v>
      </c>
      <c r="AG85" s="95">
        <v>1</v>
      </c>
      <c r="AH85" s="96">
        <f t="shared" si="99"/>
        <v>1.8532338457509625</v>
      </c>
      <c r="AI85" s="432" t="str">
        <f t="shared" si="100"/>
        <v>(3,4,5,3,1,5); de Wild-Scholten (2014) Life Cycle Assessment of Photovoltaics Status 2011, Part 1 Data Collection (Table 37)</v>
      </c>
      <c r="AJ85" s="435">
        <f>$BA85</f>
        <v>8.0625000000000002E-3</v>
      </c>
      <c r="AK85" s="95">
        <v>1</v>
      </c>
      <c r="AL85" s="96">
        <f t="shared" si="101"/>
        <v>1.8532338457509625</v>
      </c>
      <c r="AM85" s="432" t="str">
        <f t="shared" si="102"/>
        <v>(3,4,5,3,1,5); de Wild-Scholten (2014) Life Cycle Assessment of Photovoltaics Status 2011, Part 1 Data Collection (Table 37)</v>
      </c>
      <c r="AN85" s="435">
        <f>$BA85</f>
        <v>8.0625000000000002E-3</v>
      </c>
      <c r="AO85" s="95">
        <v>1</v>
      </c>
      <c r="AP85" s="96">
        <f t="shared" si="103"/>
        <v>1.8532338457509625</v>
      </c>
      <c r="AQ85" s="432" t="str">
        <f t="shared" si="104"/>
        <v>(3,4,5,3,1,5); de Wild-Scholten (2014) Life Cycle Assessment of Photovoltaics Status 2011, Part 1 Data Collection (Table 37)</v>
      </c>
      <c r="AR85" s="435">
        <v>0</v>
      </c>
      <c r="AS85" s="95">
        <v>1</v>
      </c>
      <c r="AT85" s="96">
        <f t="shared" si="105"/>
        <v>1.5</v>
      </c>
      <c r="AU85" s="432" t="str">
        <f t="shared" si="106"/>
        <v xml:space="preserve">(na,na,na,na,na,na); </v>
      </c>
      <c r="AV85" s="435">
        <v>0</v>
      </c>
      <c r="AW85" s="95">
        <v>1</v>
      </c>
      <c r="AX85" s="96">
        <f t="shared" si="107"/>
        <v>1.5</v>
      </c>
      <c r="AY85" s="432" t="str">
        <f t="shared" si="108"/>
        <v xml:space="preserve">(na,na,na,na,na,na); </v>
      </c>
      <c r="AZ85" s="112"/>
      <c r="BA85" s="435">
        <f>0.0129/1.6</f>
        <v>8.0625000000000002E-3</v>
      </c>
      <c r="BB85" s="216" t="s">
        <v>1230</v>
      </c>
      <c r="BC85" s="83">
        <v>3</v>
      </c>
      <c r="BD85" s="83">
        <v>4</v>
      </c>
      <c r="BE85" s="83">
        <v>5</v>
      </c>
      <c r="BF85" s="83">
        <v>3</v>
      </c>
      <c r="BG85" s="83">
        <v>1</v>
      </c>
      <c r="BH85" s="83">
        <v>5</v>
      </c>
      <c r="BI85" s="104">
        <v>16</v>
      </c>
      <c r="BJ85" s="104">
        <v>1.5</v>
      </c>
      <c r="BK85" s="107">
        <f t="shared" si="109"/>
        <v>1.5919770563893134</v>
      </c>
      <c r="BL85" s="107">
        <f t="shared" si="110"/>
        <v>1.8532338457509625</v>
      </c>
      <c r="BM85" s="107" t="str">
        <f t="shared" si="111"/>
        <v>(3,4,5,3,1,5)</v>
      </c>
      <c r="BN85" s="108">
        <v>1.1000000000000001</v>
      </c>
      <c r="BO85" s="108">
        <v>1.1000000000000001</v>
      </c>
      <c r="BP85" s="108">
        <v>1.5</v>
      </c>
      <c r="BQ85" s="108">
        <v>1.02</v>
      </c>
      <c r="BR85" s="108">
        <v>1</v>
      </c>
      <c r="BS85" s="108">
        <v>1.2</v>
      </c>
      <c r="BU85" s="692"/>
      <c r="BV85" s="83" t="s">
        <v>106</v>
      </c>
      <c r="BW85" s="83" t="s">
        <v>106</v>
      </c>
      <c r="BX85" s="83" t="s">
        <v>106</v>
      </c>
      <c r="BY85" s="83" t="s">
        <v>106</v>
      </c>
      <c r="BZ85" s="83" t="s">
        <v>106</v>
      </c>
      <c r="CA85" s="83" t="s">
        <v>106</v>
      </c>
      <c r="CB85" s="104">
        <v>16</v>
      </c>
      <c r="CC85" s="104">
        <v>1.5</v>
      </c>
      <c r="CD85" s="107">
        <f t="shared" si="112"/>
        <v>1</v>
      </c>
      <c r="CE85" s="107">
        <f t="shared" si="113"/>
        <v>1.5</v>
      </c>
      <c r="CF85" s="107" t="str">
        <f t="shared" si="114"/>
        <v>(na,na,na,na,na,na)</v>
      </c>
      <c r="CG85" s="108">
        <v>1</v>
      </c>
      <c r="CH85" s="108">
        <v>1</v>
      </c>
      <c r="CI85" s="108">
        <v>1</v>
      </c>
      <c r="CJ85" s="108">
        <v>1</v>
      </c>
      <c r="CK85" s="108">
        <v>1</v>
      </c>
      <c r="CL85" s="108">
        <v>1</v>
      </c>
    </row>
    <row r="86" spans="1:90" ht="24">
      <c r="A86" s="330">
        <v>90275</v>
      </c>
      <c r="B86" s="331"/>
      <c r="C86" s="88"/>
      <c r="D86" s="340" t="s">
        <v>98</v>
      </c>
      <c r="E86" s="341">
        <v>4</v>
      </c>
      <c r="F86" s="432" t="s">
        <v>259</v>
      </c>
      <c r="G86" s="433" t="s">
        <v>98</v>
      </c>
      <c r="H86" s="434" t="s">
        <v>247</v>
      </c>
      <c r="I86" s="434" t="s">
        <v>258</v>
      </c>
      <c r="J86" s="94" t="s">
        <v>98</v>
      </c>
      <c r="K86" s="433" t="s">
        <v>96</v>
      </c>
      <c r="L86" s="435">
        <f>$BA86</f>
        <v>2.1812499999999999E-2</v>
      </c>
      <c r="M86" s="95">
        <v>1</v>
      </c>
      <c r="N86" s="96">
        <f t="shared" si="89"/>
        <v>1.5960462102848654</v>
      </c>
      <c r="O86" s="432" t="str">
        <f t="shared" si="90"/>
        <v>(3,4,5,3,1,5); de Wild-Scholten (2014) Life Cycle Assessment of Photovoltaics Status 2011, Part 1 Data Collection (Table 37)</v>
      </c>
      <c r="P86" s="435">
        <f>$BA86</f>
        <v>2.1812499999999999E-2</v>
      </c>
      <c r="Q86" s="95">
        <v>1</v>
      </c>
      <c r="R86" s="96">
        <f t="shared" si="91"/>
        <v>1.5960462102848654</v>
      </c>
      <c r="S86" s="432" t="str">
        <f t="shared" si="92"/>
        <v>(3,4,5,3,1,5); de Wild-Scholten (2014) Life Cycle Assessment of Photovoltaics Status 2011, Part 1 Data Collection (Table 37)</v>
      </c>
      <c r="T86" s="435">
        <f>$BA86</f>
        <v>2.1812499999999999E-2</v>
      </c>
      <c r="U86" s="95">
        <v>1</v>
      </c>
      <c r="V86" s="96">
        <f t="shared" si="93"/>
        <v>1.5960462102848654</v>
      </c>
      <c r="W86" s="432" t="str">
        <f t="shared" si="94"/>
        <v>(3,4,5,3,1,5); de Wild-Scholten (2014) Life Cycle Assessment of Photovoltaics Status 2011, Part 1 Data Collection (Table 37)</v>
      </c>
      <c r="X86" s="435">
        <f>$BA86</f>
        <v>2.1812499999999999E-2</v>
      </c>
      <c r="Y86" s="95">
        <v>1</v>
      </c>
      <c r="Z86" s="96">
        <f t="shared" si="95"/>
        <v>1.5960462102848654</v>
      </c>
      <c r="AA86" s="432" t="str">
        <f t="shared" si="96"/>
        <v>(3,4,5,3,1,5); de Wild-Scholten (2014) Life Cycle Assessment of Photovoltaics Status 2011, Part 1 Data Collection (Table 37)</v>
      </c>
      <c r="AB86" s="435">
        <f>$BA86</f>
        <v>2.1812499999999999E-2</v>
      </c>
      <c r="AC86" s="95">
        <v>1</v>
      </c>
      <c r="AD86" s="96">
        <f t="shared" si="97"/>
        <v>1.5960462102848654</v>
      </c>
      <c r="AE86" s="432" t="str">
        <f t="shared" si="98"/>
        <v>(3,4,5,3,1,5); de Wild-Scholten (2014) Life Cycle Assessment of Photovoltaics Status 2011, Part 1 Data Collection (Table 37)</v>
      </c>
      <c r="AF86" s="435">
        <f>$BA86</f>
        <v>2.1812499999999999E-2</v>
      </c>
      <c r="AG86" s="95">
        <v>1</v>
      </c>
      <c r="AH86" s="96">
        <f t="shared" si="99"/>
        <v>1.5960462102848654</v>
      </c>
      <c r="AI86" s="432" t="str">
        <f t="shared" si="100"/>
        <v>(3,4,5,3,1,5); de Wild-Scholten (2014) Life Cycle Assessment of Photovoltaics Status 2011, Part 1 Data Collection (Table 37)</v>
      </c>
      <c r="AJ86" s="435">
        <f>$BA86</f>
        <v>2.1812499999999999E-2</v>
      </c>
      <c r="AK86" s="95">
        <v>1</v>
      </c>
      <c r="AL86" s="96">
        <f t="shared" si="101"/>
        <v>1.5960462102848654</v>
      </c>
      <c r="AM86" s="432" t="str">
        <f t="shared" si="102"/>
        <v>(3,4,5,3,1,5); de Wild-Scholten (2014) Life Cycle Assessment of Photovoltaics Status 2011, Part 1 Data Collection (Table 37)</v>
      </c>
      <c r="AN86" s="435">
        <f>$BA86</f>
        <v>2.1812499999999999E-2</v>
      </c>
      <c r="AO86" s="95">
        <v>1</v>
      </c>
      <c r="AP86" s="96">
        <f t="shared" si="103"/>
        <v>1.5960462102848654</v>
      </c>
      <c r="AQ86" s="432" t="str">
        <f t="shared" si="104"/>
        <v>(3,4,5,3,1,5); de Wild-Scholten (2014) Life Cycle Assessment of Photovoltaics Status 2011, Part 1 Data Collection (Table 37)</v>
      </c>
      <c r="AR86" s="435">
        <v>0</v>
      </c>
      <c r="AS86" s="95">
        <v>1</v>
      </c>
      <c r="AT86" s="96">
        <f t="shared" si="105"/>
        <v>1.05</v>
      </c>
      <c r="AU86" s="432" t="str">
        <f t="shared" si="106"/>
        <v xml:space="preserve">(na,na,na,na,na,na); </v>
      </c>
      <c r="AV86" s="435">
        <v>0</v>
      </c>
      <c r="AW86" s="95">
        <v>1</v>
      </c>
      <c r="AX86" s="96">
        <f t="shared" si="107"/>
        <v>1.05</v>
      </c>
      <c r="AY86" s="432" t="str">
        <f t="shared" si="108"/>
        <v xml:space="preserve">(na,na,na,na,na,na); </v>
      </c>
      <c r="AZ86" s="112"/>
      <c r="BA86" s="435">
        <f>0.0349/1.6</f>
        <v>2.1812499999999999E-2</v>
      </c>
      <c r="BB86" s="216" t="s">
        <v>1230</v>
      </c>
      <c r="BC86" s="83">
        <v>3</v>
      </c>
      <c r="BD86" s="83">
        <v>4</v>
      </c>
      <c r="BE86" s="83">
        <v>5</v>
      </c>
      <c r="BF86" s="83">
        <v>3</v>
      </c>
      <c r="BG86" s="83">
        <v>1</v>
      </c>
      <c r="BH86" s="83">
        <v>5</v>
      </c>
      <c r="BI86" s="104">
        <v>14</v>
      </c>
      <c r="BJ86" s="104">
        <v>1.05</v>
      </c>
      <c r="BK86" s="107">
        <f t="shared" si="109"/>
        <v>1.5919770563893134</v>
      </c>
      <c r="BL86" s="107">
        <f t="shared" si="110"/>
        <v>1.5960462102848654</v>
      </c>
      <c r="BM86" s="107" t="str">
        <f t="shared" si="111"/>
        <v>(3,4,5,3,1,5)</v>
      </c>
      <c r="BN86" s="108">
        <v>1.1000000000000001</v>
      </c>
      <c r="BO86" s="108">
        <v>1.1000000000000001</v>
      </c>
      <c r="BP86" s="108">
        <v>1.5</v>
      </c>
      <c r="BQ86" s="108">
        <v>1.02</v>
      </c>
      <c r="BR86" s="108">
        <v>1</v>
      </c>
      <c r="BS86" s="108">
        <v>1.2</v>
      </c>
      <c r="BU86" s="692"/>
      <c r="BV86" s="83" t="s">
        <v>106</v>
      </c>
      <c r="BW86" s="83" t="s">
        <v>106</v>
      </c>
      <c r="BX86" s="83" t="s">
        <v>106</v>
      </c>
      <c r="BY86" s="83" t="s">
        <v>106</v>
      </c>
      <c r="BZ86" s="83" t="s">
        <v>106</v>
      </c>
      <c r="CA86" s="83" t="s">
        <v>106</v>
      </c>
      <c r="CB86" s="104">
        <v>14</v>
      </c>
      <c r="CC86" s="104">
        <v>1.05</v>
      </c>
      <c r="CD86" s="107">
        <f t="shared" si="112"/>
        <v>1</v>
      </c>
      <c r="CE86" s="107">
        <f t="shared" si="113"/>
        <v>1.05</v>
      </c>
      <c r="CF86" s="107" t="str">
        <f t="shared" si="114"/>
        <v>(na,na,na,na,na,na)</v>
      </c>
      <c r="CG86" s="108">
        <v>1</v>
      </c>
      <c r="CH86" s="108">
        <v>1</v>
      </c>
      <c r="CI86" s="108">
        <v>1</v>
      </c>
      <c r="CJ86" s="108">
        <v>1</v>
      </c>
      <c r="CK86" s="108">
        <v>1</v>
      </c>
      <c r="CL86" s="108">
        <v>1</v>
      </c>
    </row>
    <row r="87" spans="1:90" ht="24">
      <c r="A87" s="330">
        <v>50430</v>
      </c>
      <c r="B87" s="331"/>
      <c r="C87" s="88"/>
      <c r="D87" s="340" t="s">
        <v>98</v>
      </c>
      <c r="E87" s="341">
        <v>4</v>
      </c>
      <c r="F87" s="432" t="s">
        <v>523</v>
      </c>
      <c r="G87" s="433" t="s">
        <v>98</v>
      </c>
      <c r="H87" s="434" t="s">
        <v>247</v>
      </c>
      <c r="I87" s="434" t="s">
        <v>248</v>
      </c>
      <c r="J87" s="94" t="s">
        <v>98</v>
      </c>
      <c r="K87" s="433" t="s">
        <v>96</v>
      </c>
      <c r="L87" s="435">
        <f>0.1*L37</f>
        <v>0.50312500000000004</v>
      </c>
      <c r="M87" s="95">
        <v>1</v>
      </c>
      <c r="N87" s="96">
        <f t="shared" si="89"/>
        <v>1.8532338457509625</v>
      </c>
      <c r="O87" s="432" t="str">
        <f t="shared" si="90"/>
        <v>(3,4,5,3,1,5); de Wild-Scholten (2014) Life Cycle Assessment of Photovoltaics Status 2011, Part 1 Data Collection (Table 37)</v>
      </c>
      <c r="P87" s="435">
        <f>0.1*P37</f>
        <v>0.50312500000000004</v>
      </c>
      <c r="Q87" s="95">
        <v>1</v>
      </c>
      <c r="R87" s="96">
        <f t="shared" si="91"/>
        <v>1.8532338457509625</v>
      </c>
      <c r="S87" s="432" t="str">
        <f t="shared" si="92"/>
        <v>(3,4,5,3,1,5); de Wild-Scholten (2014) Life Cycle Assessment of Photovoltaics Status 2011, Part 1 Data Collection (Table 37)</v>
      </c>
      <c r="T87" s="435">
        <v>0</v>
      </c>
      <c r="U87" s="95">
        <v>1</v>
      </c>
      <c r="V87" s="96">
        <f t="shared" si="93"/>
        <v>1.8532338457509625</v>
      </c>
      <c r="W87" s="432" t="str">
        <f t="shared" si="94"/>
        <v>(3,4,5,3,1,5); de Wild-Scholten (2014) Life Cycle Assessment of Photovoltaics Status 2011, Part 1 Data Collection (Table 37)</v>
      </c>
      <c r="X87" s="435">
        <v>0</v>
      </c>
      <c r="Y87" s="95">
        <v>1</v>
      </c>
      <c r="Z87" s="96">
        <f t="shared" si="95"/>
        <v>1.8532338457509625</v>
      </c>
      <c r="AA87" s="432" t="str">
        <f t="shared" si="96"/>
        <v>(3,4,5,3,1,5); de Wild-Scholten (2014) Life Cycle Assessment of Photovoltaics Status 2011, Part 1 Data Collection (Table 37)</v>
      </c>
      <c r="AB87" s="435">
        <v>0</v>
      </c>
      <c r="AC87" s="95">
        <v>1</v>
      </c>
      <c r="AD87" s="96">
        <f t="shared" si="97"/>
        <v>1.8532338457509625</v>
      </c>
      <c r="AE87" s="432" t="str">
        <f t="shared" si="98"/>
        <v>(3,4,5,3,1,5); de Wild-Scholten (2014) Life Cycle Assessment of Photovoltaics Status 2011, Part 1 Data Collection (Table 37)</v>
      </c>
      <c r="AF87" s="435">
        <v>0</v>
      </c>
      <c r="AG87" s="95">
        <v>1</v>
      </c>
      <c r="AH87" s="96">
        <f t="shared" si="99"/>
        <v>1.8532338457509625</v>
      </c>
      <c r="AI87" s="432" t="str">
        <f t="shared" si="100"/>
        <v>(3,4,5,3,1,5); de Wild-Scholten (2014) Life Cycle Assessment of Photovoltaics Status 2011, Part 1 Data Collection (Table 37)</v>
      </c>
      <c r="AJ87" s="435">
        <v>0</v>
      </c>
      <c r="AK87" s="95">
        <v>1</v>
      </c>
      <c r="AL87" s="96">
        <f t="shared" si="101"/>
        <v>1.8532338457509625</v>
      </c>
      <c r="AM87" s="432" t="str">
        <f t="shared" si="102"/>
        <v>(3,4,5,3,1,5); de Wild-Scholten (2014) Life Cycle Assessment of Photovoltaics Status 2011, Part 1 Data Collection (Table 37)</v>
      </c>
      <c r="AN87" s="435">
        <v>0</v>
      </c>
      <c r="AO87" s="95">
        <v>1</v>
      </c>
      <c r="AP87" s="96">
        <f t="shared" si="103"/>
        <v>1.8532338457509625</v>
      </c>
      <c r="AQ87" s="432" t="str">
        <f t="shared" si="104"/>
        <v>(3,4,5,3,1,5); de Wild-Scholten (2014) Life Cycle Assessment of Photovoltaics Status 2011, Part 1 Data Collection (Table 37)</v>
      </c>
      <c r="AR87" s="435">
        <v>0</v>
      </c>
      <c r="AS87" s="95">
        <v>1</v>
      </c>
      <c r="AT87" s="96">
        <f t="shared" si="105"/>
        <v>1.5804528752110836</v>
      </c>
      <c r="AU87" s="432" t="str">
        <f t="shared" si="106"/>
        <v>(2,4,1,3,1,5); Brailovsky (2026) GM 08-RW</v>
      </c>
      <c r="AV87" s="435">
        <v>0.71374534999999995</v>
      </c>
      <c r="AW87" s="95">
        <v>1</v>
      </c>
      <c r="AX87" s="96">
        <f t="shared" si="107"/>
        <v>1.5804528752110836</v>
      </c>
      <c r="AY87" s="432" t="str">
        <f t="shared" si="108"/>
        <v>(2,4,1,3,1,5); Brailovsky (2026) GM 08-RW</v>
      </c>
      <c r="AZ87" s="112"/>
      <c r="BA87" s="435">
        <v>0</v>
      </c>
      <c r="BB87" s="216" t="s">
        <v>1230</v>
      </c>
      <c r="BC87" s="83">
        <v>3</v>
      </c>
      <c r="BD87" s="83">
        <v>4</v>
      </c>
      <c r="BE87" s="83">
        <v>5</v>
      </c>
      <c r="BF87" s="83">
        <v>3</v>
      </c>
      <c r="BG87" s="83">
        <v>1</v>
      </c>
      <c r="BH87" s="83">
        <v>5</v>
      </c>
      <c r="BI87" s="104">
        <v>31</v>
      </c>
      <c r="BJ87" s="104">
        <v>1.5</v>
      </c>
      <c r="BK87" s="107">
        <f t="shared" si="109"/>
        <v>1.5919770563893134</v>
      </c>
      <c r="BL87" s="107">
        <f t="shared" si="110"/>
        <v>1.8532338457509625</v>
      </c>
      <c r="BM87" s="107" t="str">
        <f t="shared" si="111"/>
        <v>(3,4,5,3,1,5)</v>
      </c>
      <c r="BN87" s="108">
        <v>1.1000000000000001</v>
      </c>
      <c r="BO87" s="108">
        <v>1.1000000000000001</v>
      </c>
      <c r="BP87" s="108">
        <v>1.5</v>
      </c>
      <c r="BQ87" s="108">
        <v>1.02</v>
      </c>
      <c r="BR87" s="108">
        <v>1</v>
      </c>
      <c r="BS87" s="108">
        <v>1.2</v>
      </c>
      <c r="BU87" s="692" t="s">
        <v>1305</v>
      </c>
      <c r="BV87" s="83">
        <v>2</v>
      </c>
      <c r="BW87" s="83">
        <v>4</v>
      </c>
      <c r="BX87" s="83">
        <v>1</v>
      </c>
      <c r="BY87" s="83">
        <v>3</v>
      </c>
      <c r="BZ87" s="83">
        <v>1</v>
      </c>
      <c r="CA87" s="83">
        <v>5</v>
      </c>
      <c r="CB87" s="104">
        <v>31</v>
      </c>
      <c r="CC87" s="104">
        <v>1.5</v>
      </c>
      <c r="CD87" s="107">
        <f t="shared" si="112"/>
        <v>1.2365959919080913</v>
      </c>
      <c r="CE87" s="107">
        <f t="shared" si="113"/>
        <v>1.5804528752110836</v>
      </c>
      <c r="CF87" s="107" t="str">
        <f t="shared" si="114"/>
        <v>(2,4,1,3,1,5)</v>
      </c>
      <c r="CG87" s="108">
        <v>1.05</v>
      </c>
      <c r="CH87" s="108">
        <v>1.1000000000000001</v>
      </c>
      <c r="CI87" s="108">
        <v>1</v>
      </c>
      <c r="CJ87" s="108">
        <v>1.02</v>
      </c>
      <c r="CK87" s="108">
        <v>1</v>
      </c>
      <c r="CL87" s="108">
        <v>1.2</v>
      </c>
    </row>
    <row r="88" spans="1:90" ht="24">
      <c r="A88" s="330">
        <v>156329</v>
      </c>
      <c r="B88" s="331"/>
      <c r="C88" s="88"/>
      <c r="D88" s="340" t="s">
        <v>98</v>
      </c>
      <c r="E88" s="341">
        <v>4</v>
      </c>
      <c r="F88" s="432" t="s">
        <v>524</v>
      </c>
      <c r="G88" s="433" t="s">
        <v>98</v>
      </c>
      <c r="H88" s="434" t="s">
        <v>247</v>
      </c>
      <c r="I88" s="434" t="s">
        <v>248</v>
      </c>
      <c r="J88" s="94" t="s">
        <v>98</v>
      </c>
      <c r="K88" s="433" t="s">
        <v>96</v>
      </c>
      <c r="L88" s="435">
        <v>0</v>
      </c>
      <c r="M88" s="95">
        <v>1</v>
      </c>
      <c r="N88" s="96">
        <f t="shared" si="89"/>
        <v>1.8532338457509625</v>
      </c>
      <c r="O88" s="432" t="str">
        <f t="shared" si="90"/>
        <v>(3,4,5,3,1,5); de Wild-Scholten (2014) Life Cycle Assessment of Photovoltaics Status 2011, Part 1 Data Collection (Table 37)</v>
      </c>
      <c r="P88" s="435">
        <v>0</v>
      </c>
      <c r="Q88" s="95">
        <v>1</v>
      </c>
      <c r="R88" s="96">
        <f t="shared" si="91"/>
        <v>1.8532338457509625</v>
      </c>
      <c r="S88" s="432" t="str">
        <f t="shared" si="92"/>
        <v>(3,4,5,3,1,5); de Wild-Scholten (2014) Life Cycle Assessment of Photovoltaics Status 2011, Part 1 Data Collection (Table 37)</v>
      </c>
      <c r="T88" s="435">
        <f>0.1*T38</f>
        <v>0.50312500000000004</v>
      </c>
      <c r="U88" s="95">
        <v>1</v>
      </c>
      <c r="V88" s="96">
        <f t="shared" si="93"/>
        <v>1.8532338457509625</v>
      </c>
      <c r="W88" s="432" t="str">
        <f t="shared" si="94"/>
        <v>(3,4,5,3,1,5); de Wild-Scholten (2014) Life Cycle Assessment of Photovoltaics Status 2011, Part 1 Data Collection (Table 37)</v>
      </c>
      <c r="X88" s="435">
        <f>0.1*X38</f>
        <v>0.50312500000000004</v>
      </c>
      <c r="Y88" s="95">
        <v>1</v>
      </c>
      <c r="Z88" s="96">
        <f t="shared" si="95"/>
        <v>1.8532338457509625</v>
      </c>
      <c r="AA88" s="432" t="str">
        <f t="shared" si="96"/>
        <v>(3,4,5,3,1,5); de Wild-Scholten (2014) Life Cycle Assessment of Photovoltaics Status 2011, Part 1 Data Collection (Table 37)</v>
      </c>
      <c r="AB88" s="435">
        <v>0</v>
      </c>
      <c r="AC88" s="95">
        <v>1</v>
      </c>
      <c r="AD88" s="96">
        <f t="shared" si="97"/>
        <v>1.8532338457509625</v>
      </c>
      <c r="AE88" s="432" t="str">
        <f t="shared" si="98"/>
        <v>(3,4,5,3,1,5); de Wild-Scholten (2014) Life Cycle Assessment of Photovoltaics Status 2011, Part 1 Data Collection (Table 37)</v>
      </c>
      <c r="AF88" s="435">
        <v>0</v>
      </c>
      <c r="AG88" s="95">
        <v>1</v>
      </c>
      <c r="AH88" s="96">
        <f t="shared" si="99"/>
        <v>1.8532338457509625</v>
      </c>
      <c r="AI88" s="432" t="str">
        <f t="shared" si="100"/>
        <v>(3,4,5,3,1,5); de Wild-Scholten (2014) Life Cycle Assessment of Photovoltaics Status 2011, Part 1 Data Collection (Table 37)</v>
      </c>
      <c r="AJ88" s="435">
        <v>0</v>
      </c>
      <c r="AK88" s="95">
        <v>1</v>
      </c>
      <c r="AL88" s="96">
        <f t="shared" si="101"/>
        <v>1.8532338457509625</v>
      </c>
      <c r="AM88" s="432" t="str">
        <f t="shared" si="102"/>
        <v>(3,4,5,3,1,5); de Wild-Scholten (2014) Life Cycle Assessment of Photovoltaics Status 2011, Part 1 Data Collection (Table 37)</v>
      </c>
      <c r="AN88" s="435">
        <v>0</v>
      </c>
      <c r="AO88" s="95">
        <v>1</v>
      </c>
      <c r="AP88" s="96">
        <f t="shared" si="103"/>
        <v>1.8532338457509625</v>
      </c>
      <c r="AQ88" s="432" t="str">
        <f t="shared" si="104"/>
        <v>(3,4,5,3,1,5); de Wild-Scholten (2014) Life Cycle Assessment of Photovoltaics Status 2011, Part 1 Data Collection (Table 37)</v>
      </c>
      <c r="AR88" s="435">
        <v>0</v>
      </c>
      <c r="AS88" s="95">
        <v>1</v>
      </c>
      <c r="AT88" s="96">
        <f t="shared" si="105"/>
        <v>1.5</v>
      </c>
      <c r="AU88" s="432" t="str">
        <f t="shared" si="106"/>
        <v xml:space="preserve">(na,na,na,na,na,na); </v>
      </c>
      <c r="AV88" s="435">
        <v>0</v>
      </c>
      <c r="AW88" s="95">
        <v>1</v>
      </c>
      <c r="AX88" s="96">
        <f t="shared" si="107"/>
        <v>1.5</v>
      </c>
      <c r="AY88" s="432" t="str">
        <f t="shared" si="108"/>
        <v xml:space="preserve">(na,na,na,na,na,na); </v>
      </c>
      <c r="AZ88" s="112"/>
      <c r="BA88" s="435">
        <v>0</v>
      </c>
      <c r="BB88" s="216" t="s">
        <v>1230</v>
      </c>
      <c r="BC88" s="83">
        <v>3</v>
      </c>
      <c r="BD88" s="83">
        <v>4</v>
      </c>
      <c r="BE88" s="83">
        <v>5</v>
      </c>
      <c r="BF88" s="83">
        <v>3</v>
      </c>
      <c r="BG88" s="83">
        <v>1</v>
      </c>
      <c r="BH88" s="83">
        <v>5</v>
      </c>
      <c r="BI88" s="104">
        <v>31</v>
      </c>
      <c r="BJ88" s="104">
        <v>1.5</v>
      </c>
      <c r="BK88" s="107">
        <f t="shared" si="109"/>
        <v>1.5919770563893134</v>
      </c>
      <c r="BL88" s="107">
        <f t="shared" si="110"/>
        <v>1.8532338457509625</v>
      </c>
      <c r="BM88" s="107" t="str">
        <f t="shared" si="111"/>
        <v>(3,4,5,3,1,5)</v>
      </c>
      <c r="BN88" s="108">
        <v>1.1000000000000001</v>
      </c>
      <c r="BO88" s="108">
        <v>1.1000000000000001</v>
      </c>
      <c r="BP88" s="108">
        <v>1.5</v>
      </c>
      <c r="BQ88" s="108">
        <v>1.02</v>
      </c>
      <c r="BR88" s="108">
        <v>1</v>
      </c>
      <c r="BS88" s="108">
        <v>1.2</v>
      </c>
      <c r="BU88" s="692"/>
      <c r="BV88" s="83" t="s">
        <v>106</v>
      </c>
      <c r="BW88" s="83" t="s">
        <v>106</v>
      </c>
      <c r="BX88" s="83" t="s">
        <v>106</v>
      </c>
      <c r="BY88" s="83" t="s">
        <v>106</v>
      </c>
      <c r="BZ88" s="83" t="s">
        <v>106</v>
      </c>
      <c r="CA88" s="83" t="s">
        <v>106</v>
      </c>
      <c r="CB88" s="104">
        <v>31</v>
      </c>
      <c r="CC88" s="104">
        <v>1.5</v>
      </c>
      <c r="CD88" s="107">
        <f t="shared" si="112"/>
        <v>1</v>
      </c>
      <c r="CE88" s="107">
        <f t="shared" si="113"/>
        <v>1.5</v>
      </c>
      <c r="CF88" s="107" t="str">
        <f t="shared" si="114"/>
        <v>(na,na,na,na,na,na)</v>
      </c>
      <c r="CG88" s="108">
        <v>1</v>
      </c>
      <c r="CH88" s="108">
        <v>1</v>
      </c>
      <c r="CI88" s="108">
        <v>1</v>
      </c>
      <c r="CJ88" s="108">
        <v>1</v>
      </c>
      <c r="CK88" s="108">
        <v>1</v>
      </c>
      <c r="CL88" s="108">
        <v>1</v>
      </c>
    </row>
    <row r="89" spans="1:90" ht="24">
      <c r="A89" s="330">
        <v>51378</v>
      </c>
      <c r="B89" s="331"/>
      <c r="C89" s="88"/>
      <c r="D89" s="340" t="s">
        <v>98</v>
      </c>
      <c r="E89" s="341">
        <v>4</v>
      </c>
      <c r="F89" s="432" t="s">
        <v>525</v>
      </c>
      <c r="G89" s="433" t="s">
        <v>98</v>
      </c>
      <c r="H89" s="434" t="s">
        <v>247</v>
      </c>
      <c r="I89" s="434" t="s">
        <v>248</v>
      </c>
      <c r="J89" s="94" t="s">
        <v>98</v>
      </c>
      <c r="K89" s="433" t="s">
        <v>96</v>
      </c>
      <c r="L89" s="435">
        <v>0</v>
      </c>
      <c r="M89" s="95">
        <v>1</v>
      </c>
      <c r="N89" s="96">
        <f t="shared" si="89"/>
        <v>1.8532338457509625</v>
      </c>
      <c r="O89" s="432" t="str">
        <f t="shared" si="90"/>
        <v>(3,4,5,3,1,5); de Wild-Scholten (2014) Life Cycle Assessment of Photovoltaics Status 2011, Part 1 Data Collection (Table 37)</v>
      </c>
      <c r="P89" s="435">
        <v>0</v>
      </c>
      <c r="Q89" s="95">
        <v>1</v>
      </c>
      <c r="R89" s="96">
        <f t="shared" si="91"/>
        <v>1.8532338457509625</v>
      </c>
      <c r="S89" s="432" t="str">
        <f t="shared" si="92"/>
        <v>(3,4,5,3,1,5); de Wild-Scholten (2014) Life Cycle Assessment of Photovoltaics Status 2011, Part 1 Data Collection (Table 37)</v>
      </c>
      <c r="T89" s="435">
        <v>0</v>
      </c>
      <c r="U89" s="95">
        <v>1</v>
      </c>
      <c r="V89" s="96">
        <f t="shared" si="93"/>
        <v>1.8532338457509625</v>
      </c>
      <c r="W89" s="432" t="str">
        <f t="shared" si="94"/>
        <v>(3,4,5,3,1,5); de Wild-Scholten (2014) Life Cycle Assessment of Photovoltaics Status 2011, Part 1 Data Collection (Table 37)</v>
      </c>
      <c r="X89" s="435">
        <v>0</v>
      </c>
      <c r="Y89" s="95">
        <v>1</v>
      </c>
      <c r="Z89" s="96">
        <f t="shared" si="95"/>
        <v>1.8532338457509625</v>
      </c>
      <c r="AA89" s="432" t="str">
        <f t="shared" si="96"/>
        <v>(3,4,5,3,1,5); de Wild-Scholten (2014) Life Cycle Assessment of Photovoltaics Status 2011, Part 1 Data Collection (Table 37)</v>
      </c>
      <c r="AB89" s="435">
        <f t="shared" ref="AB89:AB94" si="115">0.1*AB39</f>
        <v>5.2960526315789472E-2</v>
      </c>
      <c r="AC89" s="95">
        <v>1</v>
      </c>
      <c r="AD89" s="96">
        <f t="shared" si="97"/>
        <v>1.8532338457509625</v>
      </c>
      <c r="AE89" s="432" t="str">
        <f t="shared" si="98"/>
        <v>(3,4,5,3,1,5); de Wild-Scholten (2014) Life Cycle Assessment of Photovoltaics Status 2011, Part 1 Data Collection (Table 37)</v>
      </c>
      <c r="AF89" s="435">
        <f t="shared" ref="AF89:AF94" si="116">0.1*AF39</f>
        <v>5.2960526315789472E-2</v>
      </c>
      <c r="AG89" s="95">
        <v>1</v>
      </c>
      <c r="AH89" s="96">
        <f t="shared" si="99"/>
        <v>1.8532338457509625</v>
      </c>
      <c r="AI89" s="432" t="str">
        <f t="shared" si="100"/>
        <v>(3,4,5,3,1,5); de Wild-Scholten (2014) Life Cycle Assessment of Photovoltaics Status 2011, Part 1 Data Collection (Table 37)</v>
      </c>
      <c r="AJ89" s="435">
        <v>0</v>
      </c>
      <c r="AK89" s="95">
        <v>1</v>
      </c>
      <c r="AL89" s="96">
        <f t="shared" si="101"/>
        <v>1.8532338457509625</v>
      </c>
      <c r="AM89" s="432" t="str">
        <f t="shared" si="102"/>
        <v>(3,4,5,3,1,5); de Wild-Scholten (2014) Life Cycle Assessment of Photovoltaics Status 2011, Part 1 Data Collection (Table 37)</v>
      </c>
      <c r="AN89" s="435">
        <v>0</v>
      </c>
      <c r="AO89" s="95">
        <v>1</v>
      </c>
      <c r="AP89" s="96">
        <f t="shared" si="103"/>
        <v>1.8532338457509625</v>
      </c>
      <c r="AQ89" s="432" t="str">
        <f t="shared" si="104"/>
        <v>(3,4,5,3,1,5); de Wild-Scholten (2014) Life Cycle Assessment of Photovoltaics Status 2011, Part 1 Data Collection (Table 37)</v>
      </c>
      <c r="AR89" s="435">
        <v>0</v>
      </c>
      <c r="AS89" s="95">
        <v>1</v>
      </c>
      <c r="AT89" s="96">
        <f t="shared" si="105"/>
        <v>1.5</v>
      </c>
      <c r="AU89" s="432" t="str">
        <f t="shared" si="106"/>
        <v xml:space="preserve">(na,na,na,na,na,na); </v>
      </c>
      <c r="AV89" s="435">
        <v>0</v>
      </c>
      <c r="AW89" s="95">
        <v>1</v>
      </c>
      <c r="AX89" s="96">
        <f t="shared" si="107"/>
        <v>1.5</v>
      </c>
      <c r="AY89" s="432" t="str">
        <f t="shared" si="108"/>
        <v xml:space="preserve">(na,na,na,na,na,na); </v>
      </c>
      <c r="AZ89" s="112"/>
      <c r="BA89" s="435">
        <v>0</v>
      </c>
      <c r="BB89" s="216" t="s">
        <v>1230</v>
      </c>
      <c r="BC89" s="83">
        <v>3</v>
      </c>
      <c r="BD89" s="83">
        <v>4</v>
      </c>
      <c r="BE89" s="83">
        <v>5</v>
      </c>
      <c r="BF89" s="83">
        <v>3</v>
      </c>
      <c r="BG89" s="83">
        <v>1</v>
      </c>
      <c r="BH89" s="83">
        <v>5</v>
      </c>
      <c r="BI89" s="104">
        <v>31</v>
      </c>
      <c r="BJ89" s="104">
        <v>1.5</v>
      </c>
      <c r="BK89" s="107">
        <f t="shared" si="109"/>
        <v>1.5919770563893134</v>
      </c>
      <c r="BL89" s="107">
        <f t="shared" si="110"/>
        <v>1.8532338457509625</v>
      </c>
      <c r="BM89" s="107" t="str">
        <f t="shared" si="111"/>
        <v>(3,4,5,3,1,5)</v>
      </c>
      <c r="BN89" s="108">
        <v>1.1000000000000001</v>
      </c>
      <c r="BO89" s="108">
        <v>1.1000000000000001</v>
      </c>
      <c r="BP89" s="108">
        <v>1.5</v>
      </c>
      <c r="BQ89" s="108">
        <v>1.02</v>
      </c>
      <c r="BR89" s="108">
        <v>1</v>
      </c>
      <c r="BS89" s="108">
        <v>1.2</v>
      </c>
      <c r="BU89" s="692"/>
      <c r="BV89" s="83" t="s">
        <v>106</v>
      </c>
      <c r="BW89" s="83" t="s">
        <v>106</v>
      </c>
      <c r="BX89" s="83" t="s">
        <v>106</v>
      </c>
      <c r="BY89" s="83" t="s">
        <v>106</v>
      </c>
      <c r="BZ89" s="83" t="s">
        <v>106</v>
      </c>
      <c r="CA89" s="83" t="s">
        <v>106</v>
      </c>
      <c r="CB89" s="104">
        <v>31</v>
      </c>
      <c r="CC89" s="104">
        <v>1.5</v>
      </c>
      <c r="CD89" s="107">
        <f t="shared" si="112"/>
        <v>1</v>
      </c>
      <c r="CE89" s="107">
        <f t="shared" si="113"/>
        <v>1.5</v>
      </c>
      <c r="CF89" s="107" t="str">
        <f t="shared" si="114"/>
        <v>(na,na,na,na,na,na)</v>
      </c>
      <c r="CG89" s="108">
        <v>1</v>
      </c>
      <c r="CH89" s="108">
        <v>1</v>
      </c>
      <c r="CI89" s="108">
        <v>1</v>
      </c>
      <c r="CJ89" s="108">
        <v>1</v>
      </c>
      <c r="CK89" s="108">
        <v>1</v>
      </c>
      <c r="CL89" s="108">
        <v>1</v>
      </c>
    </row>
    <row r="90" spans="1:90" ht="24">
      <c r="A90" s="330">
        <v>27191</v>
      </c>
      <c r="B90" s="331"/>
      <c r="C90" s="88"/>
      <c r="D90" s="340" t="s">
        <v>98</v>
      </c>
      <c r="E90" s="341">
        <v>4</v>
      </c>
      <c r="F90" s="432" t="s">
        <v>657</v>
      </c>
      <c r="G90" s="433" t="s">
        <v>98</v>
      </c>
      <c r="H90" s="434" t="s">
        <v>247</v>
      </c>
      <c r="I90" s="434" t="s">
        <v>248</v>
      </c>
      <c r="J90" s="94" t="s">
        <v>98</v>
      </c>
      <c r="K90" s="433" t="s">
        <v>96</v>
      </c>
      <c r="L90" s="435">
        <v>0</v>
      </c>
      <c r="M90" s="95">
        <v>1</v>
      </c>
      <c r="N90" s="96">
        <f t="shared" si="89"/>
        <v>1.8532338457509625</v>
      </c>
      <c r="O90" s="432" t="str">
        <f t="shared" si="90"/>
        <v>(3,4,5,3,1,5); de Wild-Scholten (2014) Life Cycle Assessment of Photovoltaics Status 2011, Part 1 Data Collection (Table 37)</v>
      </c>
      <c r="P90" s="435">
        <v>0</v>
      </c>
      <c r="Q90" s="95">
        <v>1</v>
      </c>
      <c r="R90" s="96">
        <f t="shared" si="91"/>
        <v>1.8532338457509625</v>
      </c>
      <c r="S90" s="432" t="str">
        <f t="shared" si="92"/>
        <v>(3,4,5,3,1,5); de Wild-Scholten (2014) Life Cycle Assessment of Photovoltaics Status 2011, Part 1 Data Collection (Table 37)</v>
      </c>
      <c r="T90" s="435">
        <v>0</v>
      </c>
      <c r="U90" s="95">
        <v>1</v>
      </c>
      <c r="V90" s="96">
        <f t="shared" si="93"/>
        <v>1.8532338457509625</v>
      </c>
      <c r="W90" s="432" t="str">
        <f t="shared" si="94"/>
        <v>(3,4,5,3,1,5); de Wild-Scholten (2014) Life Cycle Assessment of Photovoltaics Status 2011, Part 1 Data Collection (Table 37)</v>
      </c>
      <c r="X90" s="435">
        <v>0</v>
      </c>
      <c r="Y90" s="95">
        <v>1</v>
      </c>
      <c r="Z90" s="96">
        <f t="shared" si="95"/>
        <v>1.8532338457509625</v>
      </c>
      <c r="AA90" s="432" t="str">
        <f t="shared" si="96"/>
        <v>(3,4,5,3,1,5); de Wild-Scholten (2014) Life Cycle Assessment of Photovoltaics Status 2011, Part 1 Data Collection (Table 37)</v>
      </c>
      <c r="AB90" s="435">
        <f t="shared" si="115"/>
        <v>7.9440789473684215E-2</v>
      </c>
      <c r="AC90" s="95">
        <v>1</v>
      </c>
      <c r="AD90" s="96">
        <f t="shared" si="97"/>
        <v>1.8532338457509625</v>
      </c>
      <c r="AE90" s="432" t="str">
        <f t="shared" si="98"/>
        <v>(3,4,5,3,1,5); de Wild-Scholten (2014) Life Cycle Assessment of Photovoltaics Status 2011, Part 1 Data Collection (Table 37)</v>
      </c>
      <c r="AF90" s="435">
        <f t="shared" si="116"/>
        <v>7.9440789473684215E-2</v>
      </c>
      <c r="AG90" s="95">
        <v>1</v>
      </c>
      <c r="AH90" s="96">
        <f t="shared" si="99"/>
        <v>1.8532338457509625</v>
      </c>
      <c r="AI90" s="432" t="str">
        <f t="shared" si="100"/>
        <v>(3,4,5,3,1,5); de Wild-Scholten (2014) Life Cycle Assessment of Photovoltaics Status 2011, Part 1 Data Collection (Table 37)</v>
      </c>
      <c r="AJ90" s="435">
        <v>0</v>
      </c>
      <c r="AK90" s="95">
        <v>1</v>
      </c>
      <c r="AL90" s="96">
        <f t="shared" si="101"/>
        <v>1.8532338457509625</v>
      </c>
      <c r="AM90" s="432" t="str">
        <f t="shared" si="102"/>
        <v>(3,4,5,3,1,5); de Wild-Scholten (2014) Life Cycle Assessment of Photovoltaics Status 2011, Part 1 Data Collection (Table 37)</v>
      </c>
      <c r="AN90" s="435">
        <v>0</v>
      </c>
      <c r="AO90" s="95">
        <v>1</v>
      </c>
      <c r="AP90" s="96">
        <f t="shared" si="103"/>
        <v>1.8532338457509625</v>
      </c>
      <c r="AQ90" s="432" t="str">
        <f t="shared" si="104"/>
        <v>(3,4,5,3,1,5); de Wild-Scholten (2014) Life Cycle Assessment of Photovoltaics Status 2011, Part 1 Data Collection (Table 37)</v>
      </c>
      <c r="AR90" s="435">
        <v>0</v>
      </c>
      <c r="AS90" s="95">
        <v>1</v>
      </c>
      <c r="AT90" s="96">
        <f t="shared" si="105"/>
        <v>1.5</v>
      </c>
      <c r="AU90" s="432" t="str">
        <f t="shared" si="106"/>
        <v xml:space="preserve">(na,na,na,na,na,na); </v>
      </c>
      <c r="AV90" s="435">
        <v>0</v>
      </c>
      <c r="AW90" s="95">
        <v>1</v>
      </c>
      <c r="AX90" s="96">
        <f t="shared" si="107"/>
        <v>1.5</v>
      </c>
      <c r="AY90" s="432" t="str">
        <f t="shared" si="108"/>
        <v xml:space="preserve">(na,na,na,na,na,na); </v>
      </c>
      <c r="AZ90" s="112"/>
      <c r="BA90" s="435">
        <v>0</v>
      </c>
      <c r="BB90" s="216" t="s">
        <v>1230</v>
      </c>
      <c r="BC90" s="83">
        <v>3</v>
      </c>
      <c r="BD90" s="83">
        <v>4</v>
      </c>
      <c r="BE90" s="83">
        <v>5</v>
      </c>
      <c r="BF90" s="83">
        <v>3</v>
      </c>
      <c r="BG90" s="83">
        <v>1</v>
      </c>
      <c r="BH90" s="83">
        <v>5</v>
      </c>
      <c r="BI90" s="104">
        <v>31</v>
      </c>
      <c r="BJ90" s="104">
        <v>1.5</v>
      </c>
      <c r="BK90" s="107">
        <f t="shared" si="109"/>
        <v>1.5919770563893134</v>
      </c>
      <c r="BL90" s="107">
        <f t="shared" si="110"/>
        <v>1.8532338457509625</v>
      </c>
      <c r="BM90" s="107" t="str">
        <f t="shared" si="111"/>
        <v>(3,4,5,3,1,5)</v>
      </c>
      <c r="BN90" s="108">
        <v>1.1000000000000001</v>
      </c>
      <c r="BO90" s="108">
        <v>1.1000000000000001</v>
      </c>
      <c r="BP90" s="108">
        <v>1.5</v>
      </c>
      <c r="BQ90" s="108">
        <v>1.02</v>
      </c>
      <c r="BR90" s="108">
        <v>1</v>
      </c>
      <c r="BS90" s="108">
        <v>1.2</v>
      </c>
      <c r="BU90" s="692"/>
      <c r="BV90" s="83" t="s">
        <v>106</v>
      </c>
      <c r="BW90" s="83" t="s">
        <v>106</v>
      </c>
      <c r="BX90" s="83" t="s">
        <v>106</v>
      </c>
      <c r="BY90" s="83" t="s">
        <v>106</v>
      </c>
      <c r="BZ90" s="83" t="s">
        <v>106</v>
      </c>
      <c r="CA90" s="83" t="s">
        <v>106</v>
      </c>
      <c r="CB90" s="104">
        <v>31</v>
      </c>
      <c r="CC90" s="104">
        <v>1.5</v>
      </c>
      <c r="CD90" s="107">
        <f t="shared" si="112"/>
        <v>1</v>
      </c>
      <c r="CE90" s="107">
        <f t="shared" si="113"/>
        <v>1.5</v>
      </c>
      <c r="CF90" s="107" t="str">
        <f t="shared" si="114"/>
        <v>(na,na,na,na,na,na)</v>
      </c>
      <c r="CG90" s="108">
        <v>1</v>
      </c>
      <c r="CH90" s="108">
        <v>1</v>
      </c>
      <c r="CI90" s="108">
        <v>1</v>
      </c>
      <c r="CJ90" s="108">
        <v>1</v>
      </c>
      <c r="CK90" s="108">
        <v>1</v>
      </c>
      <c r="CL90" s="108">
        <v>1</v>
      </c>
    </row>
    <row r="91" spans="1:90" ht="24">
      <c r="A91" s="330" t="s">
        <v>658</v>
      </c>
      <c r="B91" s="331"/>
      <c r="C91" s="88"/>
      <c r="D91" s="340" t="s">
        <v>98</v>
      </c>
      <c r="E91" s="341">
        <v>4</v>
      </c>
      <c r="F91" s="432" t="s">
        <v>659</v>
      </c>
      <c r="G91" s="433" t="s">
        <v>98</v>
      </c>
      <c r="H91" s="434" t="s">
        <v>247</v>
      </c>
      <c r="I91" s="434" t="s">
        <v>248</v>
      </c>
      <c r="J91" s="94" t="s">
        <v>98</v>
      </c>
      <c r="K91" s="433" t="s">
        <v>96</v>
      </c>
      <c r="L91" s="435">
        <v>0</v>
      </c>
      <c r="M91" s="95">
        <v>1</v>
      </c>
      <c r="N91" s="96">
        <f t="shared" si="89"/>
        <v>1.8532338457509625</v>
      </c>
      <c r="O91" s="432" t="str">
        <f t="shared" si="90"/>
        <v>(3,4,5,3,1,5); de Wild-Scholten (2014) Life Cycle Assessment of Photovoltaics Status 2011, Part 1 Data Collection (Table 37)</v>
      </c>
      <c r="P91" s="435">
        <v>0</v>
      </c>
      <c r="Q91" s="95">
        <v>1</v>
      </c>
      <c r="R91" s="96">
        <f t="shared" si="91"/>
        <v>1.8532338457509625</v>
      </c>
      <c r="S91" s="432" t="str">
        <f t="shared" si="92"/>
        <v>(3,4,5,3,1,5); de Wild-Scholten (2014) Life Cycle Assessment of Photovoltaics Status 2011, Part 1 Data Collection (Table 37)</v>
      </c>
      <c r="T91" s="435">
        <v>0</v>
      </c>
      <c r="U91" s="95">
        <v>1</v>
      </c>
      <c r="V91" s="96">
        <f t="shared" si="93"/>
        <v>1.8532338457509625</v>
      </c>
      <c r="W91" s="432" t="str">
        <f t="shared" si="94"/>
        <v>(3,4,5,3,1,5); de Wild-Scholten (2014) Life Cycle Assessment of Photovoltaics Status 2011, Part 1 Data Collection (Table 37)</v>
      </c>
      <c r="X91" s="435">
        <v>0</v>
      </c>
      <c r="Y91" s="95">
        <v>1</v>
      </c>
      <c r="Z91" s="96">
        <f t="shared" si="95"/>
        <v>1.8532338457509625</v>
      </c>
      <c r="AA91" s="432" t="str">
        <f t="shared" si="96"/>
        <v>(3,4,5,3,1,5); de Wild-Scholten (2014) Life Cycle Assessment of Photovoltaics Status 2011, Part 1 Data Collection (Table 37)</v>
      </c>
      <c r="AB91" s="435">
        <f t="shared" si="115"/>
        <v>0.16947368421052633</v>
      </c>
      <c r="AC91" s="95">
        <v>1</v>
      </c>
      <c r="AD91" s="96">
        <f t="shared" si="97"/>
        <v>1.8532338457509625</v>
      </c>
      <c r="AE91" s="432" t="str">
        <f t="shared" si="98"/>
        <v>(3,4,5,3,1,5); de Wild-Scholten (2014) Life Cycle Assessment of Photovoltaics Status 2011, Part 1 Data Collection (Table 37)</v>
      </c>
      <c r="AF91" s="435">
        <f t="shared" si="116"/>
        <v>0.16947368421052633</v>
      </c>
      <c r="AG91" s="95">
        <v>1</v>
      </c>
      <c r="AH91" s="96">
        <f t="shared" si="99"/>
        <v>1.8532338457509625</v>
      </c>
      <c r="AI91" s="432" t="str">
        <f t="shared" si="100"/>
        <v>(3,4,5,3,1,5); de Wild-Scholten (2014) Life Cycle Assessment of Photovoltaics Status 2011, Part 1 Data Collection (Table 37)</v>
      </c>
      <c r="AJ91" s="435">
        <v>0</v>
      </c>
      <c r="AK91" s="95">
        <v>1</v>
      </c>
      <c r="AL91" s="96">
        <f t="shared" si="101"/>
        <v>1.8532338457509625</v>
      </c>
      <c r="AM91" s="432" t="str">
        <f t="shared" si="102"/>
        <v>(3,4,5,3,1,5); de Wild-Scholten (2014) Life Cycle Assessment of Photovoltaics Status 2011, Part 1 Data Collection (Table 37)</v>
      </c>
      <c r="AN91" s="435">
        <v>0</v>
      </c>
      <c r="AO91" s="95">
        <v>1</v>
      </c>
      <c r="AP91" s="96">
        <f t="shared" si="103"/>
        <v>1.8532338457509625</v>
      </c>
      <c r="AQ91" s="432" t="str">
        <f t="shared" si="104"/>
        <v>(3,4,5,3,1,5); de Wild-Scholten (2014) Life Cycle Assessment of Photovoltaics Status 2011, Part 1 Data Collection (Table 37)</v>
      </c>
      <c r="AR91" s="435">
        <v>0</v>
      </c>
      <c r="AS91" s="95">
        <v>1</v>
      </c>
      <c r="AT91" s="96">
        <f t="shared" si="105"/>
        <v>1.5</v>
      </c>
      <c r="AU91" s="432" t="str">
        <f t="shared" si="106"/>
        <v xml:space="preserve">(na,na,na,na,na,na); </v>
      </c>
      <c r="AV91" s="435">
        <v>0</v>
      </c>
      <c r="AW91" s="95">
        <v>1</v>
      </c>
      <c r="AX91" s="96">
        <f t="shared" si="107"/>
        <v>1.5</v>
      </c>
      <c r="AY91" s="432" t="str">
        <f t="shared" si="108"/>
        <v xml:space="preserve">(na,na,na,na,na,na); </v>
      </c>
      <c r="AZ91" s="112"/>
      <c r="BA91" s="435">
        <v>0</v>
      </c>
      <c r="BB91" s="216" t="s">
        <v>1230</v>
      </c>
      <c r="BC91" s="83">
        <v>3</v>
      </c>
      <c r="BD91" s="83">
        <v>4</v>
      </c>
      <c r="BE91" s="83">
        <v>5</v>
      </c>
      <c r="BF91" s="83">
        <v>3</v>
      </c>
      <c r="BG91" s="83">
        <v>1</v>
      </c>
      <c r="BH91" s="83">
        <v>5</v>
      </c>
      <c r="BI91" s="104">
        <v>31</v>
      </c>
      <c r="BJ91" s="104">
        <v>1.5</v>
      </c>
      <c r="BK91" s="107">
        <f t="shared" si="109"/>
        <v>1.5919770563893134</v>
      </c>
      <c r="BL91" s="107">
        <f t="shared" si="110"/>
        <v>1.8532338457509625</v>
      </c>
      <c r="BM91" s="107" t="str">
        <f t="shared" si="111"/>
        <v>(3,4,5,3,1,5)</v>
      </c>
      <c r="BN91" s="108">
        <v>1.1000000000000001</v>
      </c>
      <c r="BO91" s="108">
        <v>1.1000000000000001</v>
      </c>
      <c r="BP91" s="108">
        <v>1.5</v>
      </c>
      <c r="BQ91" s="108">
        <v>1.02</v>
      </c>
      <c r="BR91" s="108">
        <v>1</v>
      </c>
      <c r="BS91" s="108">
        <v>1.2</v>
      </c>
      <c r="BU91" s="692"/>
      <c r="BV91" s="83" t="s">
        <v>106</v>
      </c>
      <c r="BW91" s="83" t="s">
        <v>106</v>
      </c>
      <c r="BX91" s="83" t="s">
        <v>106</v>
      </c>
      <c r="BY91" s="83" t="s">
        <v>106</v>
      </c>
      <c r="BZ91" s="83" t="s">
        <v>106</v>
      </c>
      <c r="CA91" s="83" t="s">
        <v>106</v>
      </c>
      <c r="CB91" s="104">
        <v>31</v>
      </c>
      <c r="CC91" s="104">
        <v>1.5</v>
      </c>
      <c r="CD91" s="107">
        <f t="shared" si="112"/>
        <v>1</v>
      </c>
      <c r="CE91" s="107">
        <f t="shared" si="113"/>
        <v>1.5</v>
      </c>
      <c r="CF91" s="107" t="str">
        <f t="shared" si="114"/>
        <v>(na,na,na,na,na,na)</v>
      </c>
      <c r="CG91" s="108">
        <v>1</v>
      </c>
      <c r="CH91" s="108">
        <v>1</v>
      </c>
      <c r="CI91" s="108">
        <v>1</v>
      </c>
      <c r="CJ91" s="108">
        <v>1</v>
      </c>
      <c r="CK91" s="108">
        <v>1</v>
      </c>
      <c r="CL91" s="108">
        <v>1</v>
      </c>
    </row>
    <row r="92" spans="1:90" ht="24">
      <c r="A92" s="330">
        <v>46430</v>
      </c>
      <c r="B92" s="331"/>
      <c r="C92" s="88"/>
      <c r="D92" s="340" t="s">
        <v>98</v>
      </c>
      <c r="E92" s="341">
        <v>4</v>
      </c>
      <c r="F92" s="432" t="s">
        <v>623</v>
      </c>
      <c r="G92" s="433" t="s">
        <v>98</v>
      </c>
      <c r="H92" s="434" t="s">
        <v>247</v>
      </c>
      <c r="I92" s="434" t="s">
        <v>248</v>
      </c>
      <c r="J92" s="94" t="s">
        <v>98</v>
      </c>
      <c r="K92" s="433" t="s">
        <v>96</v>
      </c>
      <c r="L92" s="435">
        <v>0</v>
      </c>
      <c r="M92" s="95">
        <v>1</v>
      </c>
      <c r="N92" s="96">
        <f t="shared" si="89"/>
        <v>1.8532338457509625</v>
      </c>
      <c r="O92" s="432" t="str">
        <f t="shared" si="90"/>
        <v>(3,4,5,3,1,5); de Wild-Scholten (2014) Life Cycle Assessment of Photovoltaics Status 2011, Part 1 Data Collection (Table 37)</v>
      </c>
      <c r="P92" s="435">
        <v>0</v>
      </c>
      <c r="Q92" s="95">
        <v>1</v>
      </c>
      <c r="R92" s="96">
        <f t="shared" si="91"/>
        <v>1.8532338457509625</v>
      </c>
      <c r="S92" s="432" t="str">
        <f t="shared" si="92"/>
        <v>(3,4,5,3,1,5); de Wild-Scholten (2014) Life Cycle Assessment of Photovoltaics Status 2011, Part 1 Data Collection (Table 37)</v>
      </c>
      <c r="T92" s="435">
        <v>0</v>
      </c>
      <c r="U92" s="95">
        <v>1</v>
      </c>
      <c r="V92" s="96">
        <f t="shared" si="93"/>
        <v>1.8532338457509625</v>
      </c>
      <c r="W92" s="432" t="str">
        <f t="shared" si="94"/>
        <v>(3,4,5,3,1,5); de Wild-Scholten (2014) Life Cycle Assessment of Photovoltaics Status 2011, Part 1 Data Collection (Table 37)</v>
      </c>
      <c r="X92" s="435">
        <v>0</v>
      </c>
      <c r="Y92" s="95">
        <v>1</v>
      </c>
      <c r="Z92" s="96">
        <f t="shared" si="95"/>
        <v>1.8532338457509625</v>
      </c>
      <c r="AA92" s="432" t="str">
        <f t="shared" si="96"/>
        <v>(3,4,5,3,1,5); de Wild-Scholten (2014) Life Cycle Assessment of Photovoltaics Status 2011, Part 1 Data Collection (Table 37)</v>
      </c>
      <c r="AB92" s="435">
        <f t="shared" si="115"/>
        <v>2.6480263157894736E-2</v>
      </c>
      <c r="AC92" s="95">
        <v>1</v>
      </c>
      <c r="AD92" s="96">
        <f t="shared" si="97"/>
        <v>1.8532338457509625</v>
      </c>
      <c r="AE92" s="432" t="str">
        <f t="shared" si="98"/>
        <v>(3,4,5,3,1,5); de Wild-Scholten (2014) Life Cycle Assessment of Photovoltaics Status 2011, Part 1 Data Collection (Table 37)</v>
      </c>
      <c r="AF92" s="435">
        <f t="shared" si="116"/>
        <v>2.6480263157894736E-2</v>
      </c>
      <c r="AG92" s="95">
        <v>1</v>
      </c>
      <c r="AH92" s="96">
        <f t="shared" si="99"/>
        <v>1.8532338457509625</v>
      </c>
      <c r="AI92" s="432" t="str">
        <f t="shared" si="100"/>
        <v>(3,4,5,3,1,5); de Wild-Scholten (2014) Life Cycle Assessment of Photovoltaics Status 2011, Part 1 Data Collection (Table 37)</v>
      </c>
      <c r="AJ92" s="435">
        <v>0</v>
      </c>
      <c r="AK92" s="95">
        <v>1</v>
      </c>
      <c r="AL92" s="96">
        <f t="shared" si="101"/>
        <v>1.8532338457509625</v>
      </c>
      <c r="AM92" s="432" t="str">
        <f t="shared" si="102"/>
        <v>(3,4,5,3,1,5); de Wild-Scholten (2014) Life Cycle Assessment of Photovoltaics Status 2011, Part 1 Data Collection (Table 37)</v>
      </c>
      <c r="AN92" s="435">
        <v>0</v>
      </c>
      <c r="AO92" s="95">
        <v>1</v>
      </c>
      <c r="AP92" s="96">
        <f t="shared" si="103"/>
        <v>1.8532338457509625</v>
      </c>
      <c r="AQ92" s="432" t="str">
        <f t="shared" si="104"/>
        <v>(3,4,5,3,1,5); de Wild-Scholten (2014) Life Cycle Assessment of Photovoltaics Status 2011, Part 1 Data Collection (Table 37)</v>
      </c>
      <c r="AR92" s="435">
        <v>0</v>
      </c>
      <c r="AS92" s="95">
        <v>1</v>
      </c>
      <c r="AT92" s="96">
        <f t="shared" si="105"/>
        <v>1.5</v>
      </c>
      <c r="AU92" s="432" t="str">
        <f t="shared" si="106"/>
        <v xml:space="preserve">(na,na,na,na,na,na); </v>
      </c>
      <c r="AV92" s="435">
        <v>0</v>
      </c>
      <c r="AW92" s="95">
        <v>1</v>
      </c>
      <c r="AX92" s="96">
        <f t="shared" si="107"/>
        <v>1.5</v>
      </c>
      <c r="AY92" s="432" t="str">
        <f t="shared" si="108"/>
        <v xml:space="preserve">(na,na,na,na,na,na); </v>
      </c>
      <c r="AZ92" s="112"/>
      <c r="BA92" s="435">
        <v>0</v>
      </c>
      <c r="BB92" s="216" t="s">
        <v>1230</v>
      </c>
      <c r="BC92" s="83">
        <v>3</v>
      </c>
      <c r="BD92" s="83">
        <v>4</v>
      </c>
      <c r="BE92" s="83">
        <v>5</v>
      </c>
      <c r="BF92" s="83">
        <v>3</v>
      </c>
      <c r="BG92" s="83">
        <v>1</v>
      </c>
      <c r="BH92" s="83">
        <v>5</v>
      </c>
      <c r="BI92" s="104">
        <v>31</v>
      </c>
      <c r="BJ92" s="104">
        <v>1.5</v>
      </c>
      <c r="BK92" s="107">
        <f t="shared" si="109"/>
        <v>1.5919770563893134</v>
      </c>
      <c r="BL92" s="107">
        <f t="shared" si="110"/>
        <v>1.8532338457509625</v>
      </c>
      <c r="BM92" s="107" t="str">
        <f t="shared" si="111"/>
        <v>(3,4,5,3,1,5)</v>
      </c>
      <c r="BN92" s="108">
        <v>1.1000000000000001</v>
      </c>
      <c r="BO92" s="108">
        <v>1.1000000000000001</v>
      </c>
      <c r="BP92" s="108">
        <v>1.5</v>
      </c>
      <c r="BQ92" s="108">
        <v>1.02</v>
      </c>
      <c r="BR92" s="108">
        <v>1</v>
      </c>
      <c r="BS92" s="108">
        <v>1.2</v>
      </c>
      <c r="BU92" s="692"/>
      <c r="BV92" s="83" t="s">
        <v>106</v>
      </c>
      <c r="BW92" s="83" t="s">
        <v>106</v>
      </c>
      <c r="BX92" s="83" t="s">
        <v>106</v>
      </c>
      <c r="BY92" s="83" t="s">
        <v>106</v>
      </c>
      <c r="BZ92" s="83" t="s">
        <v>106</v>
      </c>
      <c r="CA92" s="83" t="s">
        <v>106</v>
      </c>
      <c r="CB92" s="104">
        <v>31</v>
      </c>
      <c r="CC92" s="104">
        <v>1.5</v>
      </c>
      <c r="CD92" s="107">
        <f t="shared" si="112"/>
        <v>1</v>
      </c>
      <c r="CE92" s="107">
        <f t="shared" si="113"/>
        <v>1.5</v>
      </c>
      <c r="CF92" s="107" t="str">
        <f t="shared" si="114"/>
        <v>(na,na,na,na,na,na)</v>
      </c>
      <c r="CG92" s="108">
        <v>1</v>
      </c>
      <c r="CH92" s="108">
        <v>1</v>
      </c>
      <c r="CI92" s="108">
        <v>1</v>
      </c>
      <c r="CJ92" s="108">
        <v>1</v>
      </c>
      <c r="CK92" s="108">
        <v>1</v>
      </c>
      <c r="CL92" s="108">
        <v>1</v>
      </c>
    </row>
    <row r="93" spans="1:90" ht="24">
      <c r="A93" s="330">
        <v>84449</v>
      </c>
      <c r="B93" s="331"/>
      <c r="C93" s="88"/>
      <c r="D93" s="340" t="s">
        <v>98</v>
      </c>
      <c r="E93" s="341">
        <v>4</v>
      </c>
      <c r="F93" s="432" t="s">
        <v>1011</v>
      </c>
      <c r="G93" s="433" t="s">
        <v>98</v>
      </c>
      <c r="H93" s="434" t="s">
        <v>247</v>
      </c>
      <c r="I93" s="434" t="s">
        <v>248</v>
      </c>
      <c r="J93" s="94" t="s">
        <v>98</v>
      </c>
      <c r="K93" s="433" t="s">
        <v>96</v>
      </c>
      <c r="L93" s="435">
        <v>0</v>
      </c>
      <c r="M93" s="95">
        <v>1</v>
      </c>
      <c r="N93" s="96">
        <f t="shared" si="89"/>
        <v>1.8532338457509625</v>
      </c>
      <c r="O93" s="432" t="str">
        <f t="shared" si="90"/>
        <v>(3,4,5,3,1,5); de Wild-Scholten (2014) Life Cycle Assessment of Photovoltaics Status 2011, Part 1 Data Collection (Table 37)</v>
      </c>
      <c r="P93" s="435">
        <v>0</v>
      </c>
      <c r="Q93" s="95">
        <v>1</v>
      </c>
      <c r="R93" s="96">
        <f t="shared" si="91"/>
        <v>1.8532338457509625</v>
      </c>
      <c r="S93" s="432" t="str">
        <f t="shared" si="92"/>
        <v>(3,4,5,3,1,5); de Wild-Scholten (2014) Life Cycle Assessment of Photovoltaics Status 2011, Part 1 Data Collection (Table 37)</v>
      </c>
      <c r="T93" s="435">
        <v>0</v>
      </c>
      <c r="U93" s="95">
        <v>1</v>
      </c>
      <c r="V93" s="96">
        <f t="shared" si="93"/>
        <v>1.8532338457509625</v>
      </c>
      <c r="W93" s="432" t="str">
        <f t="shared" si="94"/>
        <v>(3,4,5,3,1,5); de Wild-Scholten (2014) Life Cycle Assessment of Photovoltaics Status 2011, Part 1 Data Collection (Table 37)</v>
      </c>
      <c r="X93" s="435">
        <v>0</v>
      </c>
      <c r="Y93" s="95">
        <v>1</v>
      </c>
      <c r="Z93" s="96">
        <f t="shared" si="95"/>
        <v>1.8532338457509625</v>
      </c>
      <c r="AA93" s="432" t="str">
        <f t="shared" si="96"/>
        <v>(3,4,5,3,1,5); de Wild-Scholten (2014) Life Cycle Assessment of Photovoltaics Status 2011, Part 1 Data Collection (Table 37)</v>
      </c>
      <c r="AB93" s="435">
        <f t="shared" si="115"/>
        <v>0.17476973684210528</v>
      </c>
      <c r="AC93" s="95">
        <v>1</v>
      </c>
      <c r="AD93" s="96">
        <f t="shared" si="97"/>
        <v>1.8532338457509625</v>
      </c>
      <c r="AE93" s="432" t="str">
        <f t="shared" si="98"/>
        <v>(3,4,5,3,1,5); de Wild-Scholten (2014) Life Cycle Assessment of Photovoltaics Status 2011, Part 1 Data Collection (Table 37)</v>
      </c>
      <c r="AF93" s="435">
        <f t="shared" si="116"/>
        <v>0.17476973684210528</v>
      </c>
      <c r="AG93" s="95">
        <v>1</v>
      </c>
      <c r="AH93" s="96">
        <f t="shared" si="99"/>
        <v>1.8532338457509625</v>
      </c>
      <c r="AI93" s="432" t="str">
        <f t="shared" si="100"/>
        <v>(3,4,5,3,1,5); de Wild-Scholten (2014) Life Cycle Assessment of Photovoltaics Status 2011, Part 1 Data Collection (Table 37)</v>
      </c>
      <c r="AJ93" s="435">
        <v>0</v>
      </c>
      <c r="AK93" s="95">
        <v>1</v>
      </c>
      <c r="AL93" s="96">
        <f t="shared" si="101"/>
        <v>1.8532338457509625</v>
      </c>
      <c r="AM93" s="432" t="str">
        <f t="shared" si="102"/>
        <v>(3,4,5,3,1,5); de Wild-Scholten (2014) Life Cycle Assessment of Photovoltaics Status 2011, Part 1 Data Collection (Table 37)</v>
      </c>
      <c r="AN93" s="435">
        <v>0</v>
      </c>
      <c r="AO93" s="95">
        <v>1</v>
      </c>
      <c r="AP93" s="96">
        <f t="shared" si="103"/>
        <v>1.8532338457509625</v>
      </c>
      <c r="AQ93" s="432" t="str">
        <f t="shared" si="104"/>
        <v>(3,4,5,3,1,5); de Wild-Scholten (2014) Life Cycle Assessment of Photovoltaics Status 2011, Part 1 Data Collection (Table 37)</v>
      </c>
      <c r="AR93" s="435">
        <v>0</v>
      </c>
      <c r="AS93" s="95">
        <v>1</v>
      </c>
      <c r="AT93" s="96">
        <f t="shared" si="105"/>
        <v>1.5</v>
      </c>
      <c r="AU93" s="432" t="str">
        <f t="shared" si="106"/>
        <v xml:space="preserve">(na,na,na,na,na,na); </v>
      </c>
      <c r="AV93" s="435">
        <v>0</v>
      </c>
      <c r="AW93" s="95">
        <v>1</v>
      </c>
      <c r="AX93" s="96">
        <f t="shared" si="107"/>
        <v>1.5</v>
      </c>
      <c r="AY93" s="432" t="str">
        <f t="shared" si="108"/>
        <v xml:space="preserve">(na,na,na,na,na,na); </v>
      </c>
      <c r="AZ93" s="112"/>
      <c r="BA93" s="435">
        <v>0</v>
      </c>
      <c r="BB93" s="216" t="s">
        <v>1230</v>
      </c>
      <c r="BC93" s="83">
        <v>3</v>
      </c>
      <c r="BD93" s="83">
        <v>4</v>
      </c>
      <c r="BE93" s="83">
        <v>5</v>
      </c>
      <c r="BF93" s="83">
        <v>3</v>
      </c>
      <c r="BG93" s="83">
        <v>1</v>
      </c>
      <c r="BH93" s="83">
        <v>5</v>
      </c>
      <c r="BI93" s="104">
        <v>31</v>
      </c>
      <c r="BJ93" s="104">
        <v>1.5</v>
      </c>
      <c r="BK93" s="107">
        <f t="shared" si="109"/>
        <v>1.5919770563893134</v>
      </c>
      <c r="BL93" s="107">
        <f t="shared" si="110"/>
        <v>1.8532338457509625</v>
      </c>
      <c r="BM93" s="107" t="str">
        <f t="shared" si="111"/>
        <v>(3,4,5,3,1,5)</v>
      </c>
      <c r="BN93" s="108">
        <v>1.1000000000000001</v>
      </c>
      <c r="BO93" s="108">
        <v>1.1000000000000001</v>
      </c>
      <c r="BP93" s="108">
        <v>1.5</v>
      </c>
      <c r="BQ93" s="108">
        <v>1.02</v>
      </c>
      <c r="BR93" s="108">
        <v>1</v>
      </c>
      <c r="BS93" s="108">
        <v>1.2</v>
      </c>
      <c r="BU93" s="692"/>
      <c r="BV93" s="83" t="s">
        <v>106</v>
      </c>
      <c r="BW93" s="83" t="s">
        <v>106</v>
      </c>
      <c r="BX93" s="83" t="s">
        <v>106</v>
      </c>
      <c r="BY93" s="83" t="s">
        <v>106</v>
      </c>
      <c r="BZ93" s="83" t="s">
        <v>106</v>
      </c>
      <c r="CA93" s="83" t="s">
        <v>106</v>
      </c>
      <c r="CB93" s="104">
        <v>31</v>
      </c>
      <c r="CC93" s="104">
        <v>1.5</v>
      </c>
      <c r="CD93" s="107">
        <f t="shared" si="112"/>
        <v>1</v>
      </c>
      <c r="CE93" s="107">
        <f t="shared" si="113"/>
        <v>1.5</v>
      </c>
      <c r="CF93" s="107" t="str">
        <f t="shared" si="114"/>
        <v>(na,na,na,na,na,na)</v>
      </c>
      <c r="CG93" s="108">
        <v>1</v>
      </c>
      <c r="CH93" s="108">
        <v>1</v>
      </c>
      <c r="CI93" s="108">
        <v>1</v>
      </c>
      <c r="CJ93" s="108">
        <v>1</v>
      </c>
      <c r="CK93" s="108">
        <v>1</v>
      </c>
      <c r="CL93" s="108">
        <v>1</v>
      </c>
    </row>
    <row r="94" spans="1:90">
      <c r="A94" s="330">
        <v>50312</v>
      </c>
      <c r="B94" s="331"/>
      <c r="C94" s="88"/>
      <c r="D94" s="340" t="s">
        <v>98</v>
      </c>
      <c r="E94" s="341">
        <v>4</v>
      </c>
      <c r="F94" s="432" t="s">
        <v>520</v>
      </c>
      <c r="G94" s="433" t="s">
        <v>98</v>
      </c>
      <c r="H94" s="434" t="s">
        <v>247</v>
      </c>
      <c r="I94" s="434" t="s">
        <v>248</v>
      </c>
      <c r="J94" s="94" t="s">
        <v>98</v>
      </c>
      <c r="K94" s="433" t="s">
        <v>96</v>
      </c>
      <c r="L94" s="435">
        <v>0</v>
      </c>
      <c r="M94" s="95">
        <v>1</v>
      </c>
      <c r="N94" s="96">
        <f t="shared" si="89"/>
        <v>1.5</v>
      </c>
      <c r="O94" s="432" t="str">
        <f t="shared" si="90"/>
        <v xml:space="preserve">(na,na,na,na,na,na); </v>
      </c>
      <c r="P94" s="435">
        <v>0</v>
      </c>
      <c r="Q94" s="95">
        <v>1</v>
      </c>
      <c r="R94" s="96">
        <f t="shared" si="91"/>
        <v>1.5</v>
      </c>
      <c r="S94" s="432" t="str">
        <f t="shared" si="92"/>
        <v xml:space="preserve">(na,na,na,na,na,na); </v>
      </c>
      <c r="T94" s="435">
        <v>0</v>
      </c>
      <c r="U94" s="95">
        <v>1</v>
      </c>
      <c r="V94" s="96">
        <f t="shared" si="93"/>
        <v>1.5</v>
      </c>
      <c r="W94" s="432" t="str">
        <f t="shared" si="94"/>
        <v xml:space="preserve">(na,na,na,na,na,na); </v>
      </c>
      <c r="X94" s="435">
        <v>0</v>
      </c>
      <c r="Y94" s="95">
        <v>1</v>
      </c>
      <c r="Z94" s="96">
        <f t="shared" si="95"/>
        <v>1.5</v>
      </c>
      <c r="AA94" s="432" t="str">
        <f t="shared" si="96"/>
        <v xml:space="preserve">(na,na,na,na,na,na); </v>
      </c>
      <c r="AB94" s="435">
        <f t="shared" si="115"/>
        <v>0</v>
      </c>
      <c r="AC94" s="95">
        <v>1</v>
      </c>
      <c r="AD94" s="96">
        <f t="shared" si="97"/>
        <v>1.5</v>
      </c>
      <c r="AE94" s="432" t="str">
        <f t="shared" si="98"/>
        <v xml:space="preserve">(na,na,na,na,na,na); </v>
      </c>
      <c r="AF94" s="435">
        <f t="shared" si="116"/>
        <v>0</v>
      </c>
      <c r="AG94" s="95">
        <v>1</v>
      </c>
      <c r="AH94" s="96">
        <f t="shared" si="99"/>
        <v>1.5</v>
      </c>
      <c r="AI94" s="432" t="str">
        <f t="shared" si="100"/>
        <v xml:space="preserve">(na,na,na,na,na,na); </v>
      </c>
      <c r="AJ94" s="435">
        <v>0</v>
      </c>
      <c r="AK94" s="95">
        <v>1</v>
      </c>
      <c r="AL94" s="96">
        <f t="shared" si="101"/>
        <v>1.5</v>
      </c>
      <c r="AM94" s="432" t="str">
        <f t="shared" si="102"/>
        <v xml:space="preserve">(na,na,na,na,na,na); </v>
      </c>
      <c r="AN94" s="435">
        <v>0</v>
      </c>
      <c r="AO94" s="95">
        <v>1</v>
      </c>
      <c r="AP94" s="96">
        <f t="shared" si="103"/>
        <v>1.5</v>
      </c>
      <c r="AQ94" s="432" t="str">
        <f t="shared" si="104"/>
        <v xml:space="preserve">(na,na,na,na,na,na); </v>
      </c>
      <c r="AR94" s="435">
        <v>0.71374534999999995</v>
      </c>
      <c r="AS94" s="95">
        <v>1</v>
      </c>
      <c r="AT94" s="96">
        <f t="shared" si="105"/>
        <v>1.5804528752110836</v>
      </c>
      <c r="AU94" s="432" t="str">
        <f t="shared" si="106"/>
        <v>(2,4,1,3,1,5); Brailovsky (2026) GM 08-RW</v>
      </c>
      <c r="AV94" s="435">
        <v>0</v>
      </c>
      <c r="AW94" s="95">
        <v>1</v>
      </c>
      <c r="AX94" s="96">
        <f t="shared" si="107"/>
        <v>1.5804528752110836</v>
      </c>
      <c r="AY94" s="432" t="str">
        <f t="shared" si="108"/>
        <v>(2,4,1,3,1,5); Brailovsky (2026) GM 08-RW</v>
      </c>
      <c r="AZ94" s="112"/>
      <c r="BA94" s="435"/>
      <c r="BB94" s="216"/>
      <c r="BC94" s="83" t="s">
        <v>106</v>
      </c>
      <c r="BD94" s="83" t="s">
        <v>106</v>
      </c>
      <c r="BE94" s="83" t="s">
        <v>106</v>
      </c>
      <c r="BF94" s="83" t="s">
        <v>106</v>
      </c>
      <c r="BG94" s="83" t="s">
        <v>106</v>
      </c>
      <c r="BH94" s="83" t="s">
        <v>106</v>
      </c>
      <c r="BI94" s="104">
        <v>31</v>
      </c>
      <c r="BJ94" s="104">
        <v>1.5</v>
      </c>
      <c r="BK94" s="107">
        <f t="shared" si="109"/>
        <v>1</v>
      </c>
      <c r="BL94" s="107">
        <f t="shared" si="110"/>
        <v>1.5</v>
      </c>
      <c r="BM94" s="107" t="str">
        <f t="shared" si="111"/>
        <v>(na,na,na,na,na,na)</v>
      </c>
      <c r="BN94" s="108">
        <v>1</v>
      </c>
      <c r="BO94" s="108">
        <v>1</v>
      </c>
      <c r="BP94" s="108">
        <v>1</v>
      </c>
      <c r="BQ94" s="108">
        <v>1</v>
      </c>
      <c r="BR94" s="108">
        <v>1</v>
      </c>
      <c r="BS94" s="108">
        <v>1</v>
      </c>
      <c r="BU94" s="692" t="s">
        <v>1305</v>
      </c>
      <c r="BV94" s="83">
        <v>2</v>
      </c>
      <c r="BW94" s="83">
        <v>4</v>
      </c>
      <c r="BX94" s="83">
        <v>1</v>
      </c>
      <c r="BY94" s="83">
        <v>3</v>
      </c>
      <c r="BZ94" s="83">
        <v>1</v>
      </c>
      <c r="CA94" s="83">
        <v>5</v>
      </c>
      <c r="CB94" s="104">
        <v>31</v>
      </c>
      <c r="CC94" s="104">
        <v>1.5</v>
      </c>
      <c r="CD94" s="107">
        <f t="shared" si="112"/>
        <v>1.2365959919080913</v>
      </c>
      <c r="CE94" s="107">
        <f t="shared" si="113"/>
        <v>1.5804528752110836</v>
      </c>
      <c r="CF94" s="107" t="str">
        <f t="shared" si="114"/>
        <v>(2,4,1,3,1,5)</v>
      </c>
      <c r="CG94" s="108">
        <v>1.05</v>
      </c>
      <c r="CH94" s="108">
        <v>1.1000000000000001</v>
      </c>
      <c r="CI94" s="108">
        <v>1</v>
      </c>
      <c r="CJ94" s="108">
        <v>1.02</v>
      </c>
      <c r="CK94" s="108">
        <v>1</v>
      </c>
      <c r="CL94" s="108">
        <v>1.2</v>
      </c>
    </row>
    <row r="95" spans="1:90" ht="24">
      <c r="A95" s="330">
        <v>75740</v>
      </c>
      <c r="B95" s="331"/>
      <c r="C95" s="88"/>
      <c r="D95" s="340" t="s">
        <v>98</v>
      </c>
      <c r="E95" s="341">
        <v>4</v>
      </c>
      <c r="F95" s="432" t="s">
        <v>521</v>
      </c>
      <c r="G95" s="433" t="s">
        <v>98</v>
      </c>
      <c r="H95" s="434" t="s">
        <v>247</v>
      </c>
      <c r="I95" s="434" t="s">
        <v>248</v>
      </c>
      <c r="J95" s="94" t="s">
        <v>98</v>
      </c>
      <c r="K95" s="433" t="s">
        <v>96</v>
      </c>
      <c r="L95" s="435">
        <v>0</v>
      </c>
      <c r="M95" s="95">
        <v>1</v>
      </c>
      <c r="N95" s="96">
        <f t="shared" si="89"/>
        <v>1.8532338457509625</v>
      </c>
      <c r="O95" s="432" t="str">
        <f t="shared" si="90"/>
        <v>(3,4,5,3,1,5); de Wild-Scholten (2014) Life Cycle Assessment of Photovoltaics Status 2011, Part 1 Data Collection (Table 37)</v>
      </c>
      <c r="P95" s="435">
        <v>0</v>
      </c>
      <c r="Q95" s="95">
        <v>1</v>
      </c>
      <c r="R95" s="96">
        <f t="shared" si="91"/>
        <v>1.8532338457509625</v>
      </c>
      <c r="S95" s="432" t="str">
        <f t="shared" si="92"/>
        <v>(3,4,5,3,1,5); de Wild-Scholten (2014) Life Cycle Assessment of Photovoltaics Status 2011, Part 1 Data Collection (Table 37)</v>
      </c>
      <c r="T95" s="435">
        <v>0</v>
      </c>
      <c r="U95" s="95">
        <v>1</v>
      </c>
      <c r="V95" s="96">
        <f t="shared" si="93"/>
        <v>1.8532338457509625</v>
      </c>
      <c r="W95" s="432" t="str">
        <f t="shared" si="94"/>
        <v>(3,4,5,3,1,5); de Wild-Scholten (2014) Life Cycle Assessment of Photovoltaics Status 2011, Part 1 Data Collection (Table 37)</v>
      </c>
      <c r="X95" s="435">
        <v>0</v>
      </c>
      <c r="Y95" s="95">
        <v>1</v>
      </c>
      <c r="Z95" s="96">
        <f t="shared" si="95"/>
        <v>1.8532338457509625</v>
      </c>
      <c r="AA95" s="432" t="str">
        <f t="shared" si="96"/>
        <v>(3,4,5,3,1,5); de Wild-Scholten (2014) Life Cycle Assessment of Photovoltaics Status 2011, Part 1 Data Collection (Table 37)</v>
      </c>
      <c r="AB95" s="435">
        <v>0</v>
      </c>
      <c r="AC95" s="95">
        <v>1</v>
      </c>
      <c r="AD95" s="96">
        <f t="shared" si="97"/>
        <v>1.8532338457509625</v>
      </c>
      <c r="AE95" s="432" t="str">
        <f t="shared" si="98"/>
        <v>(3,4,5,3,1,5); de Wild-Scholten (2014) Life Cycle Assessment of Photovoltaics Status 2011, Part 1 Data Collection (Table 37)</v>
      </c>
      <c r="AF95" s="435">
        <v>0</v>
      </c>
      <c r="AG95" s="95">
        <v>1</v>
      </c>
      <c r="AH95" s="96">
        <f t="shared" si="99"/>
        <v>1.8532338457509625</v>
      </c>
      <c r="AI95" s="432" t="str">
        <f t="shared" si="100"/>
        <v>(3,4,5,3,1,5); de Wild-Scholten (2014) Life Cycle Assessment of Photovoltaics Status 2011, Part 1 Data Collection (Table 37)</v>
      </c>
      <c r="AJ95" s="435">
        <f>0.1*AJ44</f>
        <v>0.50312500000000004</v>
      </c>
      <c r="AK95" s="95">
        <v>1</v>
      </c>
      <c r="AL95" s="96">
        <f t="shared" si="101"/>
        <v>1.8532338457509625</v>
      </c>
      <c r="AM95" s="432" t="str">
        <f t="shared" si="102"/>
        <v>(3,4,5,3,1,5); de Wild-Scholten (2014) Life Cycle Assessment of Photovoltaics Status 2011, Part 1 Data Collection (Table 37)</v>
      </c>
      <c r="AN95" s="435">
        <f>0.1*AN44</f>
        <v>0.50312500000000004</v>
      </c>
      <c r="AO95" s="95">
        <v>1</v>
      </c>
      <c r="AP95" s="96">
        <f t="shared" si="103"/>
        <v>1.8532338457509625</v>
      </c>
      <c r="AQ95" s="432" t="str">
        <f t="shared" si="104"/>
        <v>(3,4,5,3,1,5); de Wild-Scholten (2014) Life Cycle Assessment of Photovoltaics Status 2011, Part 1 Data Collection (Table 37)</v>
      </c>
      <c r="AR95" s="435">
        <v>0</v>
      </c>
      <c r="AS95" s="95">
        <v>1</v>
      </c>
      <c r="AT95" s="96">
        <f t="shared" si="105"/>
        <v>1.5</v>
      </c>
      <c r="AU95" s="432" t="str">
        <f t="shared" si="106"/>
        <v xml:space="preserve">(na,na,na,na,na,na); </v>
      </c>
      <c r="AV95" s="435">
        <v>0</v>
      </c>
      <c r="AW95" s="95">
        <v>1</v>
      </c>
      <c r="AX95" s="96">
        <f t="shared" si="107"/>
        <v>1.5</v>
      </c>
      <c r="AY95" s="432" t="str">
        <f t="shared" si="108"/>
        <v xml:space="preserve">(na,na,na,na,na,na); </v>
      </c>
      <c r="AZ95" s="112"/>
      <c r="BA95" s="435">
        <v>0</v>
      </c>
      <c r="BB95" s="216" t="s">
        <v>1230</v>
      </c>
      <c r="BC95" s="83">
        <v>3</v>
      </c>
      <c r="BD95" s="83">
        <v>4</v>
      </c>
      <c r="BE95" s="83">
        <v>5</v>
      </c>
      <c r="BF95" s="83">
        <v>3</v>
      </c>
      <c r="BG95" s="83">
        <v>1</v>
      </c>
      <c r="BH95" s="83">
        <v>5</v>
      </c>
      <c r="BI95" s="104">
        <v>31</v>
      </c>
      <c r="BJ95" s="104">
        <v>1.5</v>
      </c>
      <c r="BK95" s="107">
        <f t="shared" si="109"/>
        <v>1.5919770563893134</v>
      </c>
      <c r="BL95" s="107">
        <f t="shared" si="110"/>
        <v>1.8532338457509625</v>
      </c>
      <c r="BM95" s="107" t="str">
        <f t="shared" si="111"/>
        <v>(3,4,5,3,1,5)</v>
      </c>
      <c r="BN95" s="108">
        <v>1.1000000000000001</v>
      </c>
      <c r="BO95" s="108">
        <v>1.1000000000000001</v>
      </c>
      <c r="BP95" s="108">
        <v>1.5</v>
      </c>
      <c r="BQ95" s="108">
        <v>1.02</v>
      </c>
      <c r="BR95" s="108">
        <v>1</v>
      </c>
      <c r="BS95" s="108">
        <v>1.2</v>
      </c>
      <c r="BU95" s="692"/>
      <c r="BV95" s="83" t="s">
        <v>106</v>
      </c>
      <c r="BW95" s="83" t="s">
        <v>106</v>
      </c>
      <c r="BX95" s="83" t="s">
        <v>106</v>
      </c>
      <c r="BY95" s="83" t="s">
        <v>106</v>
      </c>
      <c r="BZ95" s="83" t="s">
        <v>106</v>
      </c>
      <c r="CA95" s="83" t="s">
        <v>106</v>
      </c>
      <c r="CB95" s="104">
        <v>31</v>
      </c>
      <c r="CC95" s="104">
        <v>1.5</v>
      </c>
      <c r="CD95" s="107">
        <f t="shared" si="112"/>
        <v>1</v>
      </c>
      <c r="CE95" s="107">
        <f t="shared" si="113"/>
        <v>1.5</v>
      </c>
      <c r="CF95" s="107" t="str">
        <f t="shared" si="114"/>
        <v>(na,na,na,na,na,na)</v>
      </c>
      <c r="CG95" s="108">
        <v>1</v>
      </c>
      <c r="CH95" s="108">
        <v>1</v>
      </c>
      <c r="CI95" s="108">
        <v>1</v>
      </c>
      <c r="CJ95" s="108">
        <v>1</v>
      </c>
      <c r="CK95" s="108">
        <v>1</v>
      </c>
      <c r="CL95" s="108">
        <v>1</v>
      </c>
    </row>
    <row r="97" spans="2:54" s="179" customFormat="1">
      <c r="B97" s="701" t="s">
        <v>564</v>
      </c>
      <c r="C97" s="701"/>
      <c r="D97" s="701"/>
      <c r="E97" s="701"/>
      <c r="F97" s="701"/>
    </row>
    <row r="98" spans="2:54" s="179" customFormat="1" ht="36">
      <c r="B98" s="371" t="s">
        <v>544</v>
      </c>
      <c r="C98" s="353" t="s">
        <v>545</v>
      </c>
      <c r="D98" s="353"/>
      <c r="E98" s="353"/>
      <c r="F98" s="353"/>
    </row>
    <row r="99" spans="2:54" s="179" customFormat="1">
      <c r="B99" s="355"/>
      <c r="C99" s="353"/>
      <c r="D99" s="353"/>
      <c r="E99" s="353"/>
      <c r="F99" s="353"/>
    </row>
    <row r="100" spans="2:54" s="179" customFormat="1">
      <c r="B100" s="355"/>
      <c r="C100" s="353" t="s">
        <v>546</v>
      </c>
      <c r="D100" s="353"/>
      <c r="E100" s="353"/>
      <c r="F100" s="353" t="s">
        <v>547</v>
      </c>
    </row>
    <row r="101" spans="2:54" s="179" customFormat="1">
      <c r="B101" s="355" t="s">
        <v>548</v>
      </c>
      <c r="C101" s="372">
        <v>0.01</v>
      </c>
      <c r="D101" s="372"/>
      <c r="E101" s="372"/>
      <c r="F101" s="372">
        <f t="shared" ref="F101:F106" si="117">C101/SUM($C$101:$C$106)</f>
        <v>0.10526315789473684</v>
      </c>
    </row>
    <row r="102" spans="2:54" s="179" customFormat="1">
      <c r="B102" s="320" t="s">
        <v>665</v>
      </c>
      <c r="C102" s="363">
        <v>1.4999999999999999E-2</v>
      </c>
      <c r="D102" s="363"/>
      <c r="E102" s="363"/>
      <c r="F102" s="372">
        <f t="shared" si="117"/>
        <v>0.15789473684210525</v>
      </c>
    </row>
    <row r="103" spans="2:54" s="179" customFormat="1">
      <c r="B103" s="320" t="s">
        <v>666</v>
      </c>
      <c r="C103" s="363">
        <v>2.5000000000000001E-2</v>
      </c>
      <c r="D103" s="363"/>
      <c r="E103" s="363"/>
      <c r="F103" s="372">
        <f t="shared" si="117"/>
        <v>0.26315789473684209</v>
      </c>
    </row>
    <row r="104" spans="2:54" s="179" customFormat="1">
      <c r="B104" s="320" t="s">
        <v>1025</v>
      </c>
      <c r="C104" s="363">
        <v>5.0000000000000001E-3</v>
      </c>
      <c r="D104" s="363"/>
      <c r="E104" s="363"/>
      <c r="F104" s="372">
        <f t="shared" si="117"/>
        <v>5.2631578947368418E-2</v>
      </c>
    </row>
    <row r="105" spans="2:54" s="179" customFormat="1">
      <c r="B105" s="320" t="s">
        <v>1248</v>
      </c>
      <c r="C105" s="363">
        <v>7.0000000000000001E-3</v>
      </c>
      <c r="D105" s="363"/>
      <c r="E105" s="363"/>
      <c r="F105" s="372">
        <f t="shared" si="117"/>
        <v>7.3684210526315796E-2</v>
      </c>
    </row>
    <row r="106" spans="2:54" s="179" customFormat="1">
      <c r="B106" s="320" t="s">
        <v>1027</v>
      </c>
      <c r="C106" s="363">
        <v>3.3000000000000002E-2</v>
      </c>
      <c r="D106" s="363"/>
      <c r="E106" s="363"/>
      <c r="F106" s="372">
        <f t="shared" si="117"/>
        <v>0.3473684210526316</v>
      </c>
    </row>
    <row r="107" spans="2:54" s="179" customFormat="1"/>
    <row r="108" spans="2:54" s="179" customFormat="1"/>
    <row r="109" spans="2:54" s="179" customFormat="1"/>
    <row r="110" spans="2:54" s="402" customFormat="1">
      <c r="F110" s="126"/>
      <c r="G110" s="277"/>
      <c r="H110" s="277"/>
      <c r="I110" s="277"/>
      <c r="J110" s="277"/>
      <c r="K110" s="277"/>
      <c r="L110" s="126"/>
      <c r="M110" s="120"/>
      <c r="N110" s="120"/>
      <c r="O110" s="120"/>
      <c r="P110" s="126"/>
      <c r="Q110" s="120"/>
      <c r="R110" s="120"/>
      <c r="S110" s="120"/>
      <c r="T110" s="126"/>
      <c r="U110" s="120"/>
      <c r="V110" s="120"/>
      <c r="W110" s="120"/>
      <c r="X110" s="126"/>
      <c r="Y110" s="120"/>
      <c r="Z110" s="120"/>
      <c r="AA110" s="120"/>
      <c r="AB110" s="126"/>
      <c r="AC110" s="120"/>
      <c r="AD110" s="120"/>
      <c r="AE110" s="120"/>
      <c r="AF110" s="126"/>
      <c r="AG110" s="120"/>
      <c r="AH110" s="120"/>
      <c r="AI110" s="120"/>
      <c r="AJ110" s="126"/>
      <c r="AK110" s="120"/>
      <c r="AL110" s="120"/>
      <c r="AM110" s="120"/>
      <c r="AN110" s="126"/>
      <c r="AO110" s="120"/>
      <c r="AP110" s="120"/>
      <c r="AQ110" s="120"/>
      <c r="AR110" s="126"/>
      <c r="AS110" s="120"/>
      <c r="AT110" s="120"/>
      <c r="AU110" s="120"/>
      <c r="AV110" s="126"/>
      <c r="AW110" s="120"/>
      <c r="AX110" s="120"/>
      <c r="AY110" s="120"/>
      <c r="AZ110" s="112"/>
      <c r="BA110" s="126"/>
      <c r="BB110" s="128"/>
    </row>
    <row r="112" spans="2:54" s="402" customFormat="1">
      <c r="F112" s="126"/>
      <c r="G112" s="277"/>
      <c r="H112" s="277"/>
      <c r="I112" s="277"/>
      <c r="J112" s="277"/>
      <c r="K112" s="277"/>
      <c r="L112" s="126"/>
      <c r="M112" s="120"/>
      <c r="N112" s="120"/>
      <c r="O112" s="120"/>
      <c r="P112" s="126"/>
      <c r="Q112" s="120"/>
      <c r="R112" s="120"/>
      <c r="S112" s="120"/>
      <c r="T112" s="126"/>
      <c r="U112" s="120"/>
      <c r="V112" s="120"/>
      <c r="W112" s="120"/>
      <c r="X112" s="126"/>
      <c r="Y112" s="120"/>
      <c r="Z112" s="120"/>
      <c r="AA112" s="120"/>
      <c r="AB112" s="126"/>
      <c r="AC112" s="120"/>
      <c r="AD112" s="120"/>
      <c r="AE112" s="120"/>
      <c r="AF112" s="126"/>
      <c r="AG112" s="120"/>
      <c r="AH112" s="120"/>
      <c r="AI112" s="120"/>
      <c r="AJ112" s="126"/>
      <c r="AK112" s="120"/>
      <c r="AL112" s="120"/>
      <c r="AM112" s="120"/>
      <c r="AN112" s="126"/>
      <c r="AO112" s="120"/>
      <c r="AP112" s="120"/>
      <c r="AQ112" s="120"/>
      <c r="AR112" s="126"/>
      <c r="AS112" s="120"/>
      <c r="AT112" s="120"/>
      <c r="AU112" s="120"/>
      <c r="AV112" s="126"/>
      <c r="AW112" s="120"/>
      <c r="AX112" s="120"/>
      <c r="AY112" s="120"/>
      <c r="AZ112" s="109"/>
      <c r="BA112" s="126"/>
      <c r="BB112" s="128"/>
    </row>
  </sheetData>
  <mergeCells count="2">
    <mergeCell ref="BV1:CA1"/>
    <mergeCell ref="BC1:BH1"/>
  </mergeCells>
  <conditionalFormatting sqref="M64:O64 Q64:S64 AV66:AW95 L68:AS95">
    <cfRule type="expression" dxfId="240" priority="99">
      <formula>MOD(ROW(),2)=0</formula>
    </cfRule>
  </conditionalFormatting>
  <conditionalFormatting sqref="P69 Q69:R71 M70:O71 S70:S71">
    <cfRule type="expression" dxfId="239" priority="101">
      <formula>MOD(ROW(),2)=0</formula>
    </cfRule>
  </conditionalFormatting>
  <conditionalFormatting sqref="T57:T58">
    <cfRule type="expression" dxfId="238" priority="75">
      <formula>MOD(ROW(),2)=0</formula>
    </cfRule>
  </conditionalFormatting>
  <conditionalFormatting sqref="T64:T66">
    <cfRule type="expression" dxfId="237" priority="86">
      <formula>MOD(ROW(),2)=0</formula>
    </cfRule>
  </conditionalFormatting>
  <conditionalFormatting sqref="U64:W64">
    <cfRule type="expression" dxfId="236" priority="89">
      <formula>MOD(ROW(),2)=0</formula>
    </cfRule>
  </conditionalFormatting>
  <conditionalFormatting sqref="U70:W71">
    <cfRule type="expression" dxfId="235" priority="20">
      <formula>MOD(ROW(),2)=0</formula>
    </cfRule>
  </conditionalFormatting>
  <conditionalFormatting sqref="X64:X66">
    <cfRule type="expression" dxfId="234" priority="87">
      <formula>MOD(ROW(),2)=0</formula>
    </cfRule>
  </conditionalFormatting>
  <conditionalFormatting sqref="X57:Z57">
    <cfRule type="expression" dxfId="233" priority="90">
      <formula>MOD(ROW(),2)=0</formula>
    </cfRule>
  </conditionalFormatting>
  <conditionalFormatting sqref="Y23:Z56 AG23:AH56 P45:R46 L47:W57 AJ47:AL64 AN47:AP64 L64:L66 L65:AQ67 T68:V69 X68:Z69 AB68:AD69 AF68:AH69">
    <cfRule type="expression" dxfId="232" priority="95">
      <formula>MOD(ROW(),2)=0</formula>
    </cfRule>
  </conditionalFormatting>
  <conditionalFormatting sqref="Y70:AA71">
    <cfRule type="expression" dxfId="231" priority="19">
      <formula>MOD(ROW(),2)=0</formula>
    </cfRule>
  </conditionalFormatting>
  <conditionalFormatting sqref="AB59:AB66">
    <cfRule type="expression" dxfId="230" priority="22">
      <formula>MOD(ROW(),2)=0</formula>
    </cfRule>
  </conditionalFormatting>
  <conditionalFormatting sqref="AB47:AD58 AF57:AH58 AJ57:AJ58 AC59:AD63">
    <cfRule type="expression" dxfId="229" priority="79">
      <formula>MOD(ROW(),2)=0</formula>
    </cfRule>
  </conditionalFormatting>
  <conditionalFormatting sqref="AC70:AE71">
    <cfRule type="expression" dxfId="228" priority="18">
      <formula>MOD(ROW(),2)=0</formula>
    </cfRule>
  </conditionalFormatting>
  <conditionalFormatting sqref="AE23:AE64">
    <cfRule type="expression" dxfId="227" priority="17">
      <formula>MOD(ROW(),2)=0</formula>
    </cfRule>
  </conditionalFormatting>
  <conditionalFormatting sqref="AF21:AF66">
    <cfRule type="expression" dxfId="226" priority="21">
      <formula>MOD(ROW(),2)=0</formula>
    </cfRule>
  </conditionalFormatting>
  <conditionalFormatting sqref="AG58:AH63 Y64:AI64">
    <cfRule type="expression" dxfId="225" priority="82">
      <formula>MOD(ROW(),2)=0</formula>
    </cfRule>
  </conditionalFormatting>
  <conditionalFormatting sqref="AG70:AI71">
    <cfRule type="expression" dxfId="224" priority="16">
      <formula>MOD(ROW(),2)=0</formula>
    </cfRule>
  </conditionalFormatting>
  <conditionalFormatting sqref="AI23:AI64">
    <cfRule type="expression" dxfId="223" priority="15">
      <formula>MOD(ROW(),2)=0</formula>
    </cfRule>
  </conditionalFormatting>
  <conditionalFormatting sqref="AJ64:AJ66">
    <cfRule type="expression" dxfId="222" priority="104">
      <formula>MOD(ROW(),2)=0</formula>
    </cfRule>
  </conditionalFormatting>
  <conditionalFormatting sqref="AJ17:AL19 AN17:AP19 AR17:AR19 D17:R20 S17:AI22 AM17:AM64 AQ17:AQ64 AS18:AS19 AV18:AW56 AO20:AP20 AJ20:AJ46 AN20:AN46 AR20:AS67 L21:R22 AJ21:AL22 AN21:AP22 D21:L37 P21:P44 T21:T46 AB21:AB46 X21:X58 S23:S46 U23:W46 AA23:AA57 D38:O46">
    <cfRule type="expression" dxfId="221" priority="74">
      <formula>MOD(ROW(),2)=0</formula>
    </cfRule>
  </conditionalFormatting>
  <conditionalFormatting sqref="AK20:AL20">
    <cfRule type="expression" dxfId="220" priority="112">
      <formula>MOD(ROW(),2)=0</formula>
    </cfRule>
  </conditionalFormatting>
  <conditionalFormatting sqref="AM70:AM71">
    <cfRule type="expression" dxfId="219" priority="14">
      <formula>MOD(ROW(),2)=0</formula>
    </cfRule>
  </conditionalFormatting>
  <conditionalFormatting sqref="AN57:AN58">
    <cfRule type="expression" dxfId="218" priority="106">
      <formula>MOD(ROW(),2)=0</formula>
    </cfRule>
  </conditionalFormatting>
  <conditionalFormatting sqref="AN64:AN66">
    <cfRule type="expression" dxfId="217" priority="76">
      <formula>MOD(ROW(),2)=0</formula>
    </cfRule>
  </conditionalFormatting>
  <conditionalFormatting sqref="AQ70:AQ71">
    <cfRule type="expression" dxfId="216" priority="13">
      <formula>MOD(ROW(),2)=0</formula>
    </cfRule>
  </conditionalFormatting>
  <conditionalFormatting sqref="AR65:AR66">
    <cfRule type="expression" dxfId="215" priority="65">
      <formula>MOD(ROW(),2)=0</formula>
    </cfRule>
  </conditionalFormatting>
  <conditionalFormatting sqref="AS17:AT17 M23:O37 Q23:R44 AC23:AD46 AK23:AL46 AO23:AP46">
    <cfRule type="expression" dxfId="214" priority="110">
      <formula>MOD(ROW(),2)=0</formula>
    </cfRule>
  </conditionalFormatting>
  <conditionalFormatting sqref="AU17:AU95">
    <cfRule type="expression" dxfId="213" priority="8">
      <formula>MOD(ROW(),2)=0</formula>
    </cfRule>
  </conditionalFormatting>
  <conditionalFormatting sqref="AV57">
    <cfRule type="expression" dxfId="212" priority="59">
      <formula>MOD(ROW(),2)=0</formula>
    </cfRule>
  </conditionalFormatting>
  <conditionalFormatting sqref="AV58:AW58">
    <cfRule type="expression" dxfId="211" priority="63">
      <formula>MOD(ROW(),2)=0</formula>
    </cfRule>
  </conditionalFormatting>
  <conditionalFormatting sqref="AV17:AX17">
    <cfRule type="expression" dxfId="210" priority="64">
      <formula>MOD(ROW(),2)=0</formula>
    </cfRule>
  </conditionalFormatting>
  <conditionalFormatting sqref="AY17:AY94">
    <cfRule type="expression" dxfId="209" priority="3">
      <formula>MOD(ROW(),2)=0</formula>
    </cfRule>
  </conditionalFormatting>
  <conditionalFormatting sqref="BA17:BH95">
    <cfRule type="expression" dxfId="208" priority="1">
      <formula>MOD(ROW(),2)=0</formula>
    </cfRule>
  </conditionalFormatting>
  <conditionalFormatting sqref="BI17:BS95 CB17:CL95">
    <cfRule type="expression" dxfId="207" priority="73">
      <formula>MOD(ROW(),2)=0</formula>
    </cfRule>
  </conditionalFormatting>
  <conditionalFormatting sqref="BU17:CA95 AX18:AX94 AT18:AT95 D47:K95 AW57:AW65 L58:AA64 AV59:AV66 P64:P66 AX95:AY95">
    <cfRule type="expression" dxfId="206" priority="96">
      <formula>MOD(ROW(),2)=0</formula>
    </cfRule>
  </conditionalFormatting>
  <dataValidations count="10">
    <dataValidation allowBlank="1" showInputMessage="1" showErrorMessage="1" prompt="always 1" sqref="L7:L17 P7:P17 T7:T18 X7:X18 AB7:AB17 AB19 AF7:AF17 AF19 AJ7:AJ17 AJ20 AN7:AN17 AN20 AR7:AR17 AR21:AR22 AV7:AV22" xr:uid="{00000000-0002-0000-2000-000000000000}"/>
    <dataValidation allowBlank="1" showInputMessage="1" showErrorMessage="1" promptTitle="Remarks" prompt="A general comment (data source, calculation procedure, ...) can be made about each individual exchange. The remarks are added to the GeneralComment-field." sqref="BB3" xr:uid="{00000000-0002-0000-2000-000001000000}"/>
    <dataValidation allowBlank="1" showInputMessage="1" showErrorMessage="1" prompt="Do not change." sqref="BI3:BS4 CB3:CL4" xr:uid="{00000000-0002-0000-2000-00000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D3 BW3" xr:uid="{00000000-0002-0000-20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E3 BX3" xr:uid="{00000000-0002-0000-20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F3 BY3" xr:uid="{00000000-0002-0000-2000-00000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G3 BZ3" xr:uid="{00000000-0002-0000-2000-000006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H3 CA3" xr:uid="{00000000-0002-0000-2000-000007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C3 BV3" xr:uid="{00000000-0002-0000-2000-000008000000}"/>
    <dataValidation allowBlank="1" showInputMessage="1" showErrorMessage="1" promptTitle="Do not change" prompt="This field is automatically updated from the names-list" sqref="BI17:BI95 CB17:CB95" xr:uid="{00000000-0002-0000-2000-000009000000}"/>
  </dataValidations>
  <pageMargins left="0.57999999999999996" right="0.52" top="0.984251969" bottom="0.984251969" header="0.4921259845" footer="0.4921259845"/>
  <pageSetup paperSize="9" scale="10" orientation="portrait" r:id="rId1"/>
  <headerFooter alignWithMargins="0">
    <oddHeader>&amp;L&amp;C&amp;R</oddHeader>
    <oddFooter>&amp;L&amp;"Arial,Fett"&amp;F&amp;C&amp;D&amp;RSeite &amp;P</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13">
    <tabColor rgb="FF9CD9F0"/>
    <pageSetUpPr fitToPage="1"/>
  </sheetPr>
  <dimension ref="A1:AT64"/>
  <sheetViews>
    <sheetView topLeftCell="A20" workbookViewId="0">
      <selection activeCell="I3" sqref="A1:XFD1048576"/>
    </sheetView>
  </sheetViews>
  <sheetFormatPr baseColWidth="10" defaultColWidth="11.42578125" defaultRowHeight="12" outlineLevelRow="1"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18.28515625" style="277" customWidth="1"/>
    <col min="8" max="9" width="20.7109375" style="277" customWidth="1" outlineLevel="1"/>
    <col min="10" max="10" width="7" style="277" customWidth="1"/>
    <col min="11" max="11" width="8.7109375" style="277" customWidth="1"/>
    <col min="12" max="12" width="15.7109375" style="277" customWidth="1"/>
    <col min="13" max="14" width="9.85546875" style="120" hidden="1" customWidth="1" outlineLevel="1"/>
    <col min="15" max="15" width="40.7109375" style="109" hidden="1" customWidth="1" outlineLevel="1"/>
    <col min="16" max="16" width="15.7109375" style="277" customWidth="1" collapsed="1"/>
    <col min="17" max="17" width="8.85546875" style="120" hidden="1" customWidth="1" outlineLevel="1"/>
    <col min="18" max="18" width="10" style="120" hidden="1" customWidth="1" outlineLevel="1"/>
    <col min="19" max="19" width="40.7109375" style="109" hidden="1" customWidth="1" outlineLevel="1"/>
    <col min="20" max="20" width="15.7109375" style="277" customWidth="1" collapsed="1"/>
    <col min="21" max="22" width="5.7109375" style="120" hidden="1" customWidth="1" outlineLevel="1"/>
    <col min="23" max="23" width="40.7109375" style="109" hidden="1" customWidth="1" outlineLevel="1"/>
    <col min="24" max="24" width="4.140625" style="109" customWidth="1" collapsed="1"/>
    <col min="25" max="25" width="40.7109375" style="128" customWidth="1"/>
    <col min="26" max="26" width="4.7109375" style="402" hidden="1" customWidth="1" outlineLevel="1"/>
    <col min="27" max="35" width="4.7109375" style="395" hidden="1" customWidth="1" outlineLevel="1"/>
    <col min="36" max="36" width="12.7109375" style="395" hidden="1" customWidth="1" outlineLevel="1"/>
    <col min="37" max="42" width="4.7109375" style="277" hidden="1" customWidth="1" outlineLevel="1"/>
    <col min="43" max="43" width="11.42578125" style="277" customWidth="1" collapsed="1"/>
    <col min="44" max="44" width="11.42578125" style="277" customWidth="1"/>
    <col min="45" max="46" width="11.42578125" style="132" customWidth="1"/>
    <col min="47" max="48" width="11.42578125" style="277" customWidth="1"/>
    <col min="49" max="16384" width="11.42578125" style="277"/>
  </cols>
  <sheetData>
    <row r="1" spans="1:42" ht="12.75" customHeight="1">
      <c r="A1" s="77"/>
      <c r="B1" s="78"/>
      <c r="C1" s="79"/>
      <c r="D1" s="77"/>
      <c r="E1" s="77"/>
      <c r="F1" s="80" t="s">
        <v>65</v>
      </c>
      <c r="G1" s="77"/>
      <c r="H1" s="77"/>
      <c r="I1" s="77"/>
      <c r="J1" s="77"/>
      <c r="K1" s="77"/>
      <c r="L1" s="330">
        <f>A7</f>
        <v>264723</v>
      </c>
      <c r="M1" s="330"/>
      <c r="N1" s="330"/>
      <c r="O1" s="330"/>
      <c r="P1" s="330" t="str">
        <f>A8</f>
        <v>Z-PV-118</v>
      </c>
      <c r="Q1" s="330"/>
      <c r="R1" s="330"/>
      <c r="S1" s="330"/>
      <c r="T1" s="330" t="s">
        <v>1306</v>
      </c>
      <c r="U1" s="81"/>
      <c r="V1" s="81"/>
      <c r="W1" s="81"/>
      <c r="Y1" s="378"/>
      <c r="Z1" s="1586"/>
      <c r="AA1" s="1588"/>
      <c r="AB1" s="1588"/>
      <c r="AC1" s="1588"/>
      <c r="AD1" s="1588"/>
      <c r="AE1" s="1588"/>
      <c r="AF1" s="406"/>
      <c r="AG1" s="406"/>
      <c r="AH1" s="406"/>
      <c r="AI1" s="406"/>
      <c r="AJ1" s="406"/>
      <c r="AK1" s="378"/>
      <c r="AL1" s="378"/>
      <c r="AM1" s="378"/>
      <c r="AN1" s="378"/>
      <c r="AO1" s="378"/>
      <c r="AP1" s="378"/>
    </row>
    <row r="2" spans="1:42"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421"/>
      <c r="Y2" s="406"/>
      <c r="Z2" s="406"/>
      <c r="AA2" s="406"/>
      <c r="AB2" s="406"/>
      <c r="AC2" s="406"/>
      <c r="AD2" s="406"/>
      <c r="AE2" s="406"/>
      <c r="AF2" s="406"/>
      <c r="AG2" s="378"/>
      <c r="AH2" s="378"/>
      <c r="AI2" s="378"/>
      <c r="AJ2" s="378"/>
      <c r="AK2" s="378"/>
      <c r="AL2" s="378"/>
      <c r="AM2" s="378"/>
      <c r="AN2" s="378"/>
      <c r="AO2" s="378"/>
      <c r="AP2" s="378"/>
    </row>
    <row r="3" spans="1:42" ht="105" customHeight="1">
      <c r="A3" s="83" t="s">
        <v>68</v>
      </c>
      <c r="B3" s="84"/>
      <c r="C3" s="79">
        <v>401</v>
      </c>
      <c r="D3" s="85" t="s">
        <v>69</v>
      </c>
      <c r="E3" s="85" t="s">
        <v>70</v>
      </c>
      <c r="F3" s="86" t="s">
        <v>71</v>
      </c>
      <c r="G3" s="85" t="s">
        <v>72</v>
      </c>
      <c r="H3" s="85" t="s">
        <v>73</v>
      </c>
      <c r="I3" s="85" t="s">
        <v>74</v>
      </c>
      <c r="J3" s="85" t="s">
        <v>75</v>
      </c>
      <c r="K3" s="85" t="s">
        <v>76</v>
      </c>
      <c r="L3" s="87" t="s">
        <v>1307</v>
      </c>
      <c r="M3" s="422" t="s">
        <v>78</v>
      </c>
      <c r="N3" s="422" t="s">
        <v>79</v>
      </c>
      <c r="O3" s="423" t="s">
        <v>80</v>
      </c>
      <c r="P3" s="87" t="s">
        <v>1308</v>
      </c>
      <c r="Q3" s="422" t="s">
        <v>78</v>
      </c>
      <c r="R3" s="422" t="s">
        <v>79</v>
      </c>
      <c r="S3" s="423" t="s">
        <v>80</v>
      </c>
      <c r="T3" s="87" t="s">
        <v>1309</v>
      </c>
      <c r="U3" s="422" t="s">
        <v>78</v>
      </c>
      <c r="V3" s="422" t="s">
        <v>79</v>
      </c>
      <c r="W3" s="423" t="s">
        <v>80</v>
      </c>
      <c r="X3" s="424"/>
      <c r="Y3" s="97" t="s">
        <v>363</v>
      </c>
      <c r="Z3" s="98" t="s">
        <v>364</v>
      </c>
      <c r="AA3" s="98" t="s">
        <v>365</v>
      </c>
      <c r="AB3" s="98" t="s">
        <v>366</v>
      </c>
      <c r="AC3" s="98" t="s">
        <v>367</v>
      </c>
      <c r="AD3" s="98" t="s">
        <v>368</v>
      </c>
      <c r="AE3" s="98" t="s">
        <v>369</v>
      </c>
      <c r="AF3" s="99" t="s">
        <v>88</v>
      </c>
      <c r="AG3" s="99" t="s">
        <v>370</v>
      </c>
      <c r="AH3" s="99" t="s">
        <v>90</v>
      </c>
      <c r="AI3" s="99" t="s">
        <v>91</v>
      </c>
      <c r="AJ3" s="99" t="s">
        <v>371</v>
      </c>
      <c r="AK3" s="100" t="s">
        <v>364</v>
      </c>
      <c r="AL3" s="100" t="s">
        <v>365</v>
      </c>
      <c r="AM3" s="100" t="s">
        <v>366</v>
      </c>
      <c r="AN3" s="100" t="s">
        <v>367</v>
      </c>
      <c r="AO3" s="100" t="s">
        <v>368</v>
      </c>
      <c r="AP3" s="100" t="s">
        <v>369</v>
      </c>
    </row>
    <row r="4" spans="1:42" ht="12.75" customHeight="1">
      <c r="A4" s="77"/>
      <c r="B4" s="84"/>
      <c r="C4" s="79">
        <v>662</v>
      </c>
      <c r="D4" s="86"/>
      <c r="E4" s="86"/>
      <c r="F4" s="86" t="s">
        <v>72</v>
      </c>
      <c r="G4" s="86"/>
      <c r="H4" s="86"/>
      <c r="I4" s="86"/>
      <c r="J4" s="86"/>
      <c r="K4" s="86"/>
      <c r="L4" s="87" t="s">
        <v>93</v>
      </c>
      <c r="M4" s="425"/>
      <c r="N4" s="425"/>
      <c r="O4" s="426"/>
      <c r="P4" s="87" t="s">
        <v>93</v>
      </c>
      <c r="Q4" s="425"/>
      <c r="R4" s="425"/>
      <c r="S4" s="426"/>
      <c r="T4" s="87" t="s">
        <v>93</v>
      </c>
      <c r="U4" s="425"/>
      <c r="V4" s="425"/>
      <c r="W4" s="426"/>
      <c r="X4" s="427"/>
      <c r="Y4" s="101"/>
      <c r="Z4" s="102" t="s">
        <v>94</v>
      </c>
      <c r="AA4" s="97"/>
      <c r="AB4" s="97"/>
      <c r="AC4" s="97"/>
      <c r="AD4" s="97"/>
      <c r="AE4" s="97"/>
      <c r="AF4" s="103"/>
      <c r="AG4" s="103"/>
      <c r="AH4" s="103" t="s">
        <v>95</v>
      </c>
      <c r="AI4" s="103" t="s">
        <v>95</v>
      </c>
      <c r="AJ4" s="104"/>
      <c r="AK4" s="105"/>
      <c r="AL4" s="105"/>
      <c r="AM4" s="105"/>
      <c r="AN4" s="105"/>
      <c r="AO4" s="105"/>
      <c r="AP4" s="105"/>
    </row>
    <row r="5" spans="1:42" ht="12.75" customHeigh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427"/>
      <c r="Y5" s="101"/>
      <c r="Z5" s="97"/>
      <c r="AA5" s="97"/>
      <c r="AB5" s="97"/>
      <c r="AC5" s="97"/>
      <c r="AD5" s="97"/>
      <c r="AE5" s="97"/>
      <c r="AF5" s="104"/>
      <c r="AG5" s="104"/>
      <c r="AH5" s="104"/>
      <c r="AI5" s="104"/>
      <c r="AJ5" s="104"/>
      <c r="AK5" s="105"/>
      <c r="AL5" s="105"/>
      <c r="AM5" s="105"/>
      <c r="AN5" s="105"/>
      <c r="AO5" s="105"/>
      <c r="AP5" s="105"/>
    </row>
    <row r="6" spans="1:42" ht="12.75" customHeigh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427"/>
      <c r="Y6" s="101"/>
      <c r="Z6" s="106"/>
      <c r="AA6" s="106"/>
      <c r="AB6" s="106"/>
      <c r="AC6" s="106"/>
      <c r="AD6" s="106"/>
      <c r="AE6" s="106"/>
      <c r="AF6" s="104"/>
      <c r="AG6" s="104"/>
      <c r="AH6" s="428"/>
      <c r="AI6" s="428"/>
      <c r="AJ6" s="107"/>
      <c r="AK6" s="105"/>
      <c r="AL6" s="105"/>
      <c r="AM6" s="105"/>
      <c r="AN6" s="105"/>
      <c r="AO6" s="105"/>
      <c r="AP6" s="105"/>
    </row>
    <row r="7" spans="1:42" s="139" customFormat="1" ht="24" customHeight="1">
      <c r="A7" s="330">
        <v>264723</v>
      </c>
      <c r="B7" s="331"/>
      <c r="C7" s="88"/>
      <c r="D7" s="294" t="s">
        <v>98</v>
      </c>
      <c r="E7" s="295">
        <v>0</v>
      </c>
      <c r="F7" s="429" t="s">
        <v>1307</v>
      </c>
      <c r="G7" s="430" t="s">
        <v>93</v>
      </c>
      <c r="H7" s="431" t="s">
        <v>98</v>
      </c>
      <c r="I7" s="431" t="s">
        <v>98</v>
      </c>
      <c r="J7" s="89">
        <v>1</v>
      </c>
      <c r="K7" s="430" t="s">
        <v>679</v>
      </c>
      <c r="L7" s="90">
        <v>1</v>
      </c>
      <c r="M7" s="91"/>
      <c r="N7" s="92"/>
      <c r="O7" s="93"/>
      <c r="P7" s="90">
        <v>0</v>
      </c>
      <c r="Q7" s="91"/>
      <c r="R7" s="92"/>
      <c r="S7" s="93"/>
      <c r="T7" s="90">
        <v>0</v>
      </c>
      <c r="U7" s="91"/>
      <c r="V7" s="92"/>
      <c r="W7" s="93"/>
      <c r="X7" s="427"/>
      <c r="Y7" s="101"/>
      <c r="Z7" s="97"/>
      <c r="AA7" s="97"/>
      <c r="AB7" s="97"/>
      <c r="AC7" s="97"/>
      <c r="AD7" s="97"/>
      <c r="AE7" s="97"/>
      <c r="AF7" s="104"/>
      <c r="AG7" s="104"/>
      <c r="AH7" s="104"/>
      <c r="AI7" s="104"/>
      <c r="AJ7" s="104"/>
      <c r="AK7" s="104"/>
      <c r="AL7" s="104"/>
      <c r="AM7" s="104"/>
      <c r="AN7" s="104"/>
      <c r="AO7" s="104"/>
      <c r="AP7" s="104"/>
    </row>
    <row r="8" spans="1:42" s="139" customFormat="1" ht="24" customHeight="1">
      <c r="A8" s="330" t="s">
        <v>1310</v>
      </c>
      <c r="B8" s="331"/>
      <c r="C8" s="88"/>
      <c r="D8" s="294" t="s">
        <v>98</v>
      </c>
      <c r="E8" s="295">
        <v>0</v>
      </c>
      <c r="F8" s="429" t="s">
        <v>1308</v>
      </c>
      <c r="G8" s="430" t="s">
        <v>93</v>
      </c>
      <c r="H8" s="431" t="s">
        <v>98</v>
      </c>
      <c r="I8" s="431" t="s">
        <v>98</v>
      </c>
      <c r="J8" s="89">
        <v>1</v>
      </c>
      <c r="K8" s="430" t="s">
        <v>679</v>
      </c>
      <c r="L8" s="90">
        <v>0</v>
      </c>
      <c r="M8" s="91"/>
      <c r="N8" s="92"/>
      <c r="O8" s="93"/>
      <c r="P8" s="90">
        <v>1</v>
      </c>
      <c r="Q8" s="91"/>
      <c r="R8" s="92"/>
      <c r="S8" s="93"/>
      <c r="T8" s="90">
        <v>0</v>
      </c>
      <c r="U8" s="91"/>
      <c r="V8" s="92"/>
      <c r="W8" s="93"/>
      <c r="X8" s="427"/>
      <c r="Y8" s="101"/>
      <c r="Z8" s="97"/>
      <c r="AA8" s="97"/>
      <c r="AB8" s="97"/>
      <c r="AC8" s="97"/>
      <c r="AD8" s="97"/>
      <c r="AE8" s="97"/>
      <c r="AF8" s="104"/>
      <c r="AG8" s="104"/>
      <c r="AH8" s="104"/>
      <c r="AI8" s="104"/>
      <c r="AJ8" s="104"/>
      <c r="AK8" s="104"/>
      <c r="AL8" s="104"/>
      <c r="AM8" s="104"/>
      <c r="AN8" s="104"/>
      <c r="AO8" s="104"/>
      <c r="AP8" s="104"/>
    </row>
    <row r="9" spans="1:42" s="139" customFormat="1" ht="24" customHeight="1">
      <c r="A9" s="330" t="s">
        <v>1306</v>
      </c>
      <c r="B9" s="331"/>
      <c r="C9" s="88"/>
      <c r="D9" s="294" t="s">
        <v>98</v>
      </c>
      <c r="E9" s="295">
        <v>0</v>
      </c>
      <c r="F9" s="429" t="s">
        <v>1309</v>
      </c>
      <c r="G9" s="430" t="s">
        <v>93</v>
      </c>
      <c r="H9" s="431" t="s">
        <v>98</v>
      </c>
      <c r="I9" s="431" t="s">
        <v>98</v>
      </c>
      <c r="J9" s="89">
        <v>1</v>
      </c>
      <c r="K9" s="430" t="s">
        <v>679</v>
      </c>
      <c r="L9" s="90">
        <v>0</v>
      </c>
      <c r="M9" s="91"/>
      <c r="N9" s="92"/>
      <c r="O9" s="93"/>
      <c r="P9" s="90">
        <v>0</v>
      </c>
      <c r="Q9" s="91"/>
      <c r="R9" s="92"/>
      <c r="S9" s="93"/>
      <c r="T9" s="90">
        <v>1</v>
      </c>
      <c r="U9" s="91"/>
      <c r="V9" s="92"/>
      <c r="W9" s="93"/>
      <c r="X9" s="427"/>
      <c r="Y9" s="101"/>
      <c r="Z9" s="97"/>
      <c r="AA9" s="97"/>
      <c r="AB9" s="97"/>
      <c r="AC9" s="97"/>
      <c r="AD9" s="97"/>
      <c r="AE9" s="97"/>
      <c r="AF9" s="104"/>
      <c r="AG9" s="104"/>
      <c r="AH9" s="104"/>
      <c r="AI9" s="104"/>
      <c r="AJ9" s="104"/>
      <c r="AK9" s="104"/>
      <c r="AL9" s="104"/>
      <c r="AM9" s="104"/>
      <c r="AN9" s="104"/>
      <c r="AO9" s="104"/>
      <c r="AP9" s="104"/>
    </row>
    <row r="10" spans="1:42" ht="24" customHeight="1">
      <c r="A10" s="330" t="s">
        <v>1163</v>
      </c>
      <c r="B10" s="331"/>
      <c r="C10" s="88"/>
      <c r="D10" s="340">
        <v>5</v>
      </c>
      <c r="E10" s="341" t="s">
        <v>98</v>
      </c>
      <c r="F10" s="432" t="s">
        <v>1137</v>
      </c>
      <c r="G10" s="433" t="s">
        <v>93</v>
      </c>
      <c r="H10" s="434" t="s">
        <v>98</v>
      </c>
      <c r="I10" s="434" t="s">
        <v>98</v>
      </c>
      <c r="J10" s="94">
        <v>1</v>
      </c>
      <c r="K10" s="433" t="s">
        <v>679</v>
      </c>
      <c r="L10" s="350">
        <v>0</v>
      </c>
      <c r="M10" s="95">
        <v>1</v>
      </c>
      <c r="N10" s="96">
        <f t="shared" ref="N10:N32" si="0">$AI10</f>
        <v>3.0909055800049732</v>
      </c>
      <c r="O10" s="377" t="str">
        <f t="shared" ref="O10:O32" si="1">$AJ10&amp;"; "&amp;$Y10</f>
        <v>(4,1,1,1,1,5); Market share European modules</v>
      </c>
      <c r="P10" s="350">
        <v>5.15728970854714E-3</v>
      </c>
      <c r="Q10" s="95">
        <v>1</v>
      </c>
      <c r="R10" s="96">
        <f t="shared" ref="R10:R32" si="2">$AI10</f>
        <v>3.0909055800049732</v>
      </c>
      <c r="S10" s="377" t="str">
        <f t="shared" ref="S10:S32" si="3">$AJ10&amp;"; "&amp;$Y10</f>
        <v>(4,1,1,1,1,5); Market share European modules</v>
      </c>
      <c r="T10" s="350">
        <v>0</v>
      </c>
      <c r="U10" s="95">
        <v>1</v>
      </c>
      <c r="V10" s="96">
        <f t="shared" ref="V10:V32" si="4">$AI10</f>
        <v>3.0909055800049732</v>
      </c>
      <c r="W10" s="432" t="str">
        <f t="shared" ref="W10:W32" si="5">$AJ10&amp;"; "&amp;$Y10</f>
        <v>(4,1,1,1,1,5); Market share European modules</v>
      </c>
      <c r="X10" s="427"/>
      <c r="Y10" s="216" t="s">
        <v>1311</v>
      </c>
      <c r="Z10" s="339">
        <v>4</v>
      </c>
      <c r="AA10" s="339">
        <v>1</v>
      </c>
      <c r="AB10" s="339">
        <v>1</v>
      </c>
      <c r="AC10" s="339">
        <v>1</v>
      </c>
      <c r="AD10" s="339">
        <v>1</v>
      </c>
      <c r="AE10" s="339">
        <v>5</v>
      </c>
      <c r="AF10" s="104">
        <v>9</v>
      </c>
      <c r="AG10" s="104">
        <v>3</v>
      </c>
      <c r="AH10" s="107">
        <f t="shared" ref="AH10:AH32" si="6">EXP(SQRT((LN(AK10)^2)+(LN(AL10)^2)+(LN(AM10)^2)+(LN(AN10)^2)+(LN(AO10)^2)+(LN(AP10)^2)))</f>
        <v>1.2941338353151037</v>
      </c>
      <c r="AI10" s="107">
        <f t="shared" ref="AI10:AI32" si="7">EXP(SQRT((LN(AK10)^2)+(LN(AL10)^2)+(LN(AM10)^2)+(LN(AN10)^2)+(LN(AO10)^2)+(LN(AP10)^2)+LN(AG10)^2))</f>
        <v>3.0909055800049732</v>
      </c>
      <c r="AJ10" s="107" t="str">
        <f t="shared" ref="AJ10:AJ32" si="8">CONCATENATE("(",Z10,",",AA10,",",AB10,",",AC10,",",AD10,",",AE10,")")</f>
        <v>(4,1,1,1,1,5)</v>
      </c>
      <c r="AK10" s="108">
        <v>1.2</v>
      </c>
      <c r="AL10" s="108">
        <v>1</v>
      </c>
      <c r="AM10" s="108">
        <v>1</v>
      </c>
      <c r="AN10" s="108">
        <v>1</v>
      </c>
      <c r="AO10" s="108">
        <v>1</v>
      </c>
      <c r="AP10" s="108">
        <v>1.2</v>
      </c>
    </row>
    <row r="11" spans="1:42" ht="24" customHeight="1">
      <c r="A11" s="330" t="s">
        <v>1164</v>
      </c>
      <c r="B11" s="331"/>
      <c r="C11" s="88"/>
      <c r="D11" s="340">
        <v>5</v>
      </c>
      <c r="E11" s="341" t="s">
        <v>98</v>
      </c>
      <c r="F11" s="432" t="s">
        <v>1138</v>
      </c>
      <c r="G11" s="433" t="s">
        <v>93</v>
      </c>
      <c r="H11" s="434" t="s">
        <v>98</v>
      </c>
      <c r="I11" s="434" t="s">
        <v>98</v>
      </c>
      <c r="J11" s="94">
        <v>1</v>
      </c>
      <c r="K11" s="433" t="s">
        <v>679</v>
      </c>
      <c r="L11" s="350">
        <v>0</v>
      </c>
      <c r="M11" s="95">
        <v>1</v>
      </c>
      <c r="N11" s="96">
        <f t="shared" si="0"/>
        <v>3.0909055800049732</v>
      </c>
      <c r="O11" s="377" t="str">
        <f t="shared" si="1"/>
        <v>(4,1,1,1,1,5); Market share European modules</v>
      </c>
      <c r="P11" s="350">
        <v>1.22485630577995E-2</v>
      </c>
      <c r="Q11" s="95">
        <v>1</v>
      </c>
      <c r="R11" s="96">
        <f t="shared" si="2"/>
        <v>3.0909055800049732</v>
      </c>
      <c r="S11" s="377" t="str">
        <f t="shared" si="3"/>
        <v>(4,1,1,1,1,5); Market share European modules</v>
      </c>
      <c r="T11" s="350">
        <v>0</v>
      </c>
      <c r="U11" s="95">
        <v>1</v>
      </c>
      <c r="V11" s="96">
        <f t="shared" si="4"/>
        <v>3.0909055800049732</v>
      </c>
      <c r="W11" s="432" t="str">
        <f t="shared" si="5"/>
        <v>(4,1,1,1,1,5); Market share European modules</v>
      </c>
      <c r="X11" s="427"/>
      <c r="Y11" s="216" t="s">
        <v>1311</v>
      </c>
      <c r="Z11" s="339">
        <v>4</v>
      </c>
      <c r="AA11" s="339">
        <v>1</v>
      </c>
      <c r="AB11" s="339">
        <v>1</v>
      </c>
      <c r="AC11" s="339">
        <v>1</v>
      </c>
      <c r="AD11" s="339">
        <v>1</v>
      </c>
      <c r="AE11" s="339">
        <v>5</v>
      </c>
      <c r="AF11" s="104">
        <v>9</v>
      </c>
      <c r="AG11" s="104">
        <v>3</v>
      </c>
      <c r="AH11" s="107">
        <f t="shared" si="6"/>
        <v>1.2941338353151037</v>
      </c>
      <c r="AI11" s="107">
        <f t="shared" si="7"/>
        <v>3.0909055800049732</v>
      </c>
      <c r="AJ11" s="107" t="str">
        <f t="shared" si="8"/>
        <v>(4,1,1,1,1,5)</v>
      </c>
      <c r="AK11" s="108">
        <v>1.2</v>
      </c>
      <c r="AL11" s="108">
        <v>1</v>
      </c>
      <c r="AM11" s="108">
        <v>1</v>
      </c>
      <c r="AN11" s="108">
        <v>1</v>
      </c>
      <c r="AO11" s="108">
        <v>1</v>
      </c>
      <c r="AP11" s="108">
        <v>1.2</v>
      </c>
    </row>
    <row r="12" spans="1:42" ht="24" customHeight="1">
      <c r="A12" s="330" t="s">
        <v>1165</v>
      </c>
      <c r="B12" s="331"/>
      <c r="C12" s="88"/>
      <c r="D12" s="340">
        <v>5</v>
      </c>
      <c r="E12" s="341" t="s">
        <v>98</v>
      </c>
      <c r="F12" s="432" t="s">
        <v>1139</v>
      </c>
      <c r="G12" s="433" t="s">
        <v>93</v>
      </c>
      <c r="H12" s="434" t="s">
        <v>98</v>
      </c>
      <c r="I12" s="434" t="s">
        <v>98</v>
      </c>
      <c r="J12" s="94">
        <v>1</v>
      </c>
      <c r="K12" s="433" t="s">
        <v>679</v>
      </c>
      <c r="L12" s="350">
        <v>0</v>
      </c>
      <c r="M12" s="95">
        <v>1</v>
      </c>
      <c r="N12" s="96">
        <f t="shared" si="0"/>
        <v>3.0909055800049732</v>
      </c>
      <c r="O12" s="377" t="str">
        <f t="shared" si="1"/>
        <v>(4,1,1,1,1,5); Market share European modules</v>
      </c>
      <c r="P12" s="350">
        <v>0</v>
      </c>
      <c r="Q12" s="95">
        <v>1</v>
      </c>
      <c r="R12" s="96">
        <f t="shared" si="2"/>
        <v>3.0909055800049732</v>
      </c>
      <c r="S12" s="377" t="str">
        <f t="shared" si="3"/>
        <v>(4,1,1,1,1,5); Market share European modules</v>
      </c>
      <c r="T12" s="350">
        <v>1.01270416095107E-2</v>
      </c>
      <c r="U12" s="95">
        <v>1</v>
      </c>
      <c r="V12" s="96">
        <f t="shared" si="4"/>
        <v>3.0909055800049732</v>
      </c>
      <c r="W12" s="432" t="str">
        <f t="shared" si="5"/>
        <v>(4,1,1,1,1,5); Market share European modules</v>
      </c>
      <c r="X12" s="427"/>
      <c r="Y12" s="216" t="s">
        <v>1311</v>
      </c>
      <c r="Z12" s="339">
        <v>4</v>
      </c>
      <c r="AA12" s="339">
        <v>1</v>
      </c>
      <c r="AB12" s="339">
        <v>1</v>
      </c>
      <c r="AC12" s="339">
        <v>1</v>
      </c>
      <c r="AD12" s="339">
        <v>1</v>
      </c>
      <c r="AE12" s="339">
        <v>5</v>
      </c>
      <c r="AF12" s="104">
        <v>9</v>
      </c>
      <c r="AG12" s="104">
        <v>3</v>
      </c>
      <c r="AH12" s="107">
        <f t="shared" si="6"/>
        <v>1.2941338353151037</v>
      </c>
      <c r="AI12" s="107">
        <f t="shared" si="7"/>
        <v>3.0909055800049732</v>
      </c>
      <c r="AJ12" s="107" t="str">
        <f t="shared" si="8"/>
        <v>(4,1,1,1,1,5)</v>
      </c>
      <c r="AK12" s="108">
        <v>1.2</v>
      </c>
      <c r="AL12" s="108">
        <v>1</v>
      </c>
      <c r="AM12" s="108">
        <v>1</v>
      </c>
      <c r="AN12" s="108">
        <v>1</v>
      </c>
      <c r="AO12" s="108">
        <v>1</v>
      </c>
      <c r="AP12" s="108">
        <v>1.2</v>
      </c>
    </row>
    <row r="13" spans="1:42" ht="24" customHeight="1">
      <c r="A13" s="330" t="s">
        <v>1166</v>
      </c>
      <c r="B13" s="331"/>
      <c r="C13" s="88"/>
      <c r="D13" s="340">
        <v>5</v>
      </c>
      <c r="E13" s="341" t="s">
        <v>98</v>
      </c>
      <c r="F13" s="432" t="s">
        <v>1140</v>
      </c>
      <c r="G13" s="433" t="s">
        <v>93</v>
      </c>
      <c r="H13" s="434" t="s">
        <v>98</v>
      </c>
      <c r="I13" s="434" t="s">
        <v>98</v>
      </c>
      <c r="J13" s="94">
        <v>1</v>
      </c>
      <c r="K13" s="433" t="s">
        <v>679</v>
      </c>
      <c r="L13" s="350">
        <v>0</v>
      </c>
      <c r="M13" s="95">
        <v>1</v>
      </c>
      <c r="N13" s="96">
        <f t="shared" si="0"/>
        <v>3.0909055800049732</v>
      </c>
      <c r="O13" s="377" t="str">
        <f t="shared" si="1"/>
        <v>(4,1,1,1,1,5); Market share European modules</v>
      </c>
      <c r="P13" s="350">
        <v>0</v>
      </c>
      <c r="Q13" s="95">
        <v>1</v>
      </c>
      <c r="R13" s="96">
        <f t="shared" si="2"/>
        <v>3.0909055800049732</v>
      </c>
      <c r="S13" s="377" t="str">
        <f t="shared" si="3"/>
        <v>(4,1,1,1,1,5); Market share European modules</v>
      </c>
      <c r="T13" s="350">
        <v>1.8355262917238199E-2</v>
      </c>
      <c r="U13" s="95">
        <v>1</v>
      </c>
      <c r="V13" s="96">
        <f t="shared" si="4"/>
        <v>3.0909055800049732</v>
      </c>
      <c r="W13" s="432" t="str">
        <f t="shared" si="5"/>
        <v>(4,1,1,1,1,5); Market share European modules</v>
      </c>
      <c r="X13" s="427"/>
      <c r="Y13" s="216" t="s">
        <v>1311</v>
      </c>
      <c r="Z13" s="339">
        <v>4</v>
      </c>
      <c r="AA13" s="339">
        <v>1</v>
      </c>
      <c r="AB13" s="339">
        <v>1</v>
      </c>
      <c r="AC13" s="339">
        <v>1</v>
      </c>
      <c r="AD13" s="339">
        <v>1</v>
      </c>
      <c r="AE13" s="339">
        <v>5</v>
      </c>
      <c r="AF13" s="104">
        <v>9</v>
      </c>
      <c r="AG13" s="104">
        <v>3</v>
      </c>
      <c r="AH13" s="107">
        <f t="shared" si="6"/>
        <v>1.2941338353151037</v>
      </c>
      <c r="AI13" s="107">
        <f t="shared" si="7"/>
        <v>3.0909055800049732</v>
      </c>
      <c r="AJ13" s="107" t="str">
        <f t="shared" si="8"/>
        <v>(4,1,1,1,1,5)</v>
      </c>
      <c r="AK13" s="108">
        <v>1.2</v>
      </c>
      <c r="AL13" s="108">
        <v>1</v>
      </c>
      <c r="AM13" s="108">
        <v>1</v>
      </c>
      <c r="AN13" s="108">
        <v>1</v>
      </c>
      <c r="AO13" s="108">
        <v>1</v>
      </c>
      <c r="AP13" s="108">
        <v>1.2</v>
      </c>
    </row>
    <row r="14" spans="1:42" ht="24" customHeight="1">
      <c r="A14" s="330" t="s">
        <v>1272</v>
      </c>
      <c r="B14" s="331"/>
      <c r="C14" s="88"/>
      <c r="D14" s="340">
        <v>5</v>
      </c>
      <c r="E14" s="341" t="s">
        <v>98</v>
      </c>
      <c r="F14" s="432" t="s">
        <v>1261</v>
      </c>
      <c r="G14" s="433" t="s">
        <v>93</v>
      </c>
      <c r="H14" s="434" t="s">
        <v>98</v>
      </c>
      <c r="I14" s="434" t="s">
        <v>98</v>
      </c>
      <c r="J14" s="94">
        <v>1</v>
      </c>
      <c r="K14" s="433" t="s">
        <v>679</v>
      </c>
      <c r="L14" s="350">
        <v>0</v>
      </c>
      <c r="M14" s="95">
        <v>1</v>
      </c>
      <c r="N14" s="96">
        <f t="shared" si="0"/>
        <v>3.0909055800049732</v>
      </c>
      <c r="O14" s="377" t="str">
        <f t="shared" si="1"/>
        <v>(4,1,1,1,1,5); Market share European modules</v>
      </c>
      <c r="P14" s="350">
        <v>1.10764517604024E-2</v>
      </c>
      <c r="Q14" s="95">
        <v>1</v>
      </c>
      <c r="R14" s="96">
        <f t="shared" si="2"/>
        <v>3.0909055800049732</v>
      </c>
      <c r="S14" s="377" t="str">
        <f t="shared" si="3"/>
        <v>(4,1,1,1,1,5); Market share European modules</v>
      </c>
      <c r="T14" s="350">
        <v>0</v>
      </c>
      <c r="U14" s="95">
        <v>1</v>
      </c>
      <c r="V14" s="96">
        <f t="shared" si="4"/>
        <v>3.0909055800049732</v>
      </c>
      <c r="W14" s="432" t="str">
        <f t="shared" si="5"/>
        <v>(4,1,1,1,1,5); Market share European modules</v>
      </c>
      <c r="X14" s="427"/>
      <c r="Y14" s="216" t="s">
        <v>1311</v>
      </c>
      <c r="Z14" s="339">
        <v>4</v>
      </c>
      <c r="AA14" s="339">
        <v>1</v>
      </c>
      <c r="AB14" s="339">
        <v>1</v>
      </c>
      <c r="AC14" s="339">
        <v>1</v>
      </c>
      <c r="AD14" s="339">
        <v>1</v>
      </c>
      <c r="AE14" s="339">
        <v>5</v>
      </c>
      <c r="AF14" s="104">
        <v>9</v>
      </c>
      <c r="AG14" s="104">
        <v>3</v>
      </c>
      <c r="AH14" s="107">
        <f t="shared" si="6"/>
        <v>1.2941338353151037</v>
      </c>
      <c r="AI14" s="107">
        <f t="shared" si="7"/>
        <v>3.0909055800049732</v>
      </c>
      <c r="AJ14" s="107" t="str">
        <f t="shared" si="8"/>
        <v>(4,1,1,1,1,5)</v>
      </c>
      <c r="AK14" s="108">
        <v>1.2</v>
      </c>
      <c r="AL14" s="108">
        <v>1</v>
      </c>
      <c r="AM14" s="108">
        <v>1</v>
      </c>
      <c r="AN14" s="108">
        <v>1</v>
      </c>
      <c r="AO14" s="108">
        <v>1</v>
      </c>
      <c r="AP14" s="108">
        <v>1.2</v>
      </c>
    </row>
    <row r="15" spans="1:42" ht="24" customHeight="1">
      <c r="A15" s="330" t="s">
        <v>1167</v>
      </c>
      <c r="B15" s="331"/>
      <c r="C15" s="88"/>
      <c r="D15" s="340">
        <v>5</v>
      </c>
      <c r="E15" s="341" t="s">
        <v>98</v>
      </c>
      <c r="F15" s="432" t="s">
        <v>1141</v>
      </c>
      <c r="G15" s="433" t="s">
        <v>93</v>
      </c>
      <c r="H15" s="434" t="s">
        <v>98</v>
      </c>
      <c r="I15" s="434" t="s">
        <v>98</v>
      </c>
      <c r="J15" s="94">
        <v>1</v>
      </c>
      <c r="K15" s="433" t="s">
        <v>679</v>
      </c>
      <c r="L15" s="350">
        <v>1.74058527663466E-2</v>
      </c>
      <c r="M15" s="95">
        <v>1</v>
      </c>
      <c r="N15" s="96">
        <f t="shared" si="0"/>
        <v>3.0909055800049732</v>
      </c>
      <c r="O15" s="377" t="str">
        <f t="shared" si="1"/>
        <v>(4,1,1,1,1,5); Market share European modules</v>
      </c>
      <c r="P15" s="350">
        <v>0</v>
      </c>
      <c r="Q15" s="95">
        <v>1</v>
      </c>
      <c r="R15" s="96">
        <f t="shared" si="2"/>
        <v>3.0909055800049732</v>
      </c>
      <c r="S15" s="377" t="str">
        <f t="shared" si="3"/>
        <v>(4,1,1,1,1,5); Market share European modules</v>
      </c>
      <c r="T15" s="350">
        <v>0</v>
      </c>
      <c r="U15" s="95">
        <v>1</v>
      </c>
      <c r="V15" s="96">
        <f t="shared" si="4"/>
        <v>3.0909055800049732</v>
      </c>
      <c r="W15" s="432" t="str">
        <f t="shared" si="5"/>
        <v>(4,1,1,1,1,5); Market share European modules</v>
      </c>
      <c r="X15" s="112"/>
      <c r="Y15" s="216" t="s">
        <v>1311</v>
      </c>
      <c r="Z15" s="339">
        <v>4</v>
      </c>
      <c r="AA15" s="339">
        <v>1</v>
      </c>
      <c r="AB15" s="339">
        <v>1</v>
      </c>
      <c r="AC15" s="339">
        <v>1</v>
      </c>
      <c r="AD15" s="339">
        <v>1</v>
      </c>
      <c r="AE15" s="339">
        <v>5</v>
      </c>
      <c r="AF15" s="104">
        <v>9</v>
      </c>
      <c r="AG15" s="104">
        <v>3</v>
      </c>
      <c r="AH15" s="107">
        <f t="shared" si="6"/>
        <v>1.2941338353151037</v>
      </c>
      <c r="AI15" s="107">
        <f t="shared" si="7"/>
        <v>3.0909055800049732</v>
      </c>
      <c r="AJ15" s="107" t="str">
        <f t="shared" si="8"/>
        <v>(4,1,1,1,1,5)</v>
      </c>
      <c r="AK15" s="108">
        <v>1.2</v>
      </c>
      <c r="AL15" s="108">
        <v>1</v>
      </c>
      <c r="AM15" s="108">
        <v>1</v>
      </c>
      <c r="AN15" s="108">
        <v>1</v>
      </c>
      <c r="AO15" s="108">
        <v>1</v>
      </c>
      <c r="AP15" s="108">
        <v>1.2</v>
      </c>
    </row>
    <row r="16" spans="1:42" ht="24" customHeight="1">
      <c r="A16" s="330" t="s">
        <v>1273</v>
      </c>
      <c r="B16" s="331"/>
      <c r="C16" s="88"/>
      <c r="D16" s="340">
        <v>5</v>
      </c>
      <c r="E16" s="341" t="s">
        <v>98</v>
      </c>
      <c r="F16" s="432" t="s">
        <v>1262</v>
      </c>
      <c r="G16" s="433" t="s">
        <v>93</v>
      </c>
      <c r="H16" s="434" t="s">
        <v>98</v>
      </c>
      <c r="I16" s="434" t="s">
        <v>98</v>
      </c>
      <c r="J16" s="94">
        <v>1</v>
      </c>
      <c r="K16" s="433" t="s">
        <v>679</v>
      </c>
      <c r="L16" s="350">
        <v>1.10764517604024E-2</v>
      </c>
      <c r="M16" s="95">
        <v>1</v>
      </c>
      <c r="N16" s="96">
        <f t="shared" si="0"/>
        <v>3.0909055800049732</v>
      </c>
      <c r="O16" s="377" t="str">
        <f t="shared" si="1"/>
        <v>(4,1,1,1,1,5); Market share European modules</v>
      </c>
      <c r="P16" s="350">
        <v>0</v>
      </c>
      <c r="Q16" s="95">
        <v>1</v>
      </c>
      <c r="R16" s="96">
        <f t="shared" si="2"/>
        <v>3.0909055800049732</v>
      </c>
      <c r="S16" s="377" t="str">
        <f t="shared" si="3"/>
        <v>(4,1,1,1,1,5); Market share European modules</v>
      </c>
      <c r="T16" s="350">
        <v>0</v>
      </c>
      <c r="U16" s="95">
        <v>1</v>
      </c>
      <c r="V16" s="96">
        <f t="shared" si="4"/>
        <v>3.0909055800049732</v>
      </c>
      <c r="W16" s="432" t="str">
        <f t="shared" si="5"/>
        <v>(4,1,1,1,1,5); Market share European modules</v>
      </c>
      <c r="X16" s="112"/>
      <c r="Y16" s="216" t="s">
        <v>1311</v>
      </c>
      <c r="Z16" s="339">
        <v>4</v>
      </c>
      <c r="AA16" s="339">
        <v>1</v>
      </c>
      <c r="AB16" s="339">
        <v>1</v>
      </c>
      <c r="AC16" s="339">
        <v>1</v>
      </c>
      <c r="AD16" s="339">
        <v>1</v>
      </c>
      <c r="AE16" s="339">
        <v>5</v>
      </c>
      <c r="AF16" s="104">
        <v>9</v>
      </c>
      <c r="AG16" s="104">
        <v>3</v>
      </c>
      <c r="AH16" s="107">
        <f t="shared" si="6"/>
        <v>1.2941338353151037</v>
      </c>
      <c r="AI16" s="107">
        <f t="shared" si="7"/>
        <v>3.0909055800049732</v>
      </c>
      <c r="AJ16" s="107" t="str">
        <f t="shared" si="8"/>
        <v>(4,1,1,1,1,5)</v>
      </c>
      <c r="AK16" s="108">
        <v>1.2</v>
      </c>
      <c r="AL16" s="108">
        <v>1</v>
      </c>
      <c r="AM16" s="108">
        <v>1</v>
      </c>
      <c r="AN16" s="108">
        <v>1</v>
      </c>
      <c r="AO16" s="108">
        <v>1</v>
      </c>
      <c r="AP16" s="108">
        <v>1.2</v>
      </c>
    </row>
    <row r="17" spans="1:42" ht="24" customHeight="1">
      <c r="A17" s="330" t="s">
        <v>1148</v>
      </c>
      <c r="B17" s="331"/>
      <c r="C17" s="88"/>
      <c r="D17" s="340">
        <v>5</v>
      </c>
      <c r="E17" s="341" t="s">
        <v>98</v>
      </c>
      <c r="F17" s="432" t="s">
        <v>1122</v>
      </c>
      <c r="G17" s="433" t="s">
        <v>372</v>
      </c>
      <c r="H17" s="434" t="s">
        <v>98</v>
      </c>
      <c r="I17" s="434" t="s">
        <v>98</v>
      </c>
      <c r="J17" s="94">
        <v>1</v>
      </c>
      <c r="K17" s="433" t="s">
        <v>679</v>
      </c>
      <c r="L17" s="350">
        <v>0</v>
      </c>
      <c r="M17" s="95">
        <v>1</v>
      </c>
      <c r="N17" s="96">
        <f t="shared" si="0"/>
        <v>3.0909055800049732</v>
      </c>
      <c r="O17" s="377" t="str">
        <f t="shared" si="1"/>
        <v>(4,1,1,1,1,5); Market share Chinese modules</v>
      </c>
      <c r="P17" s="350">
        <v>0.17591266913918999</v>
      </c>
      <c r="Q17" s="95">
        <v>1</v>
      </c>
      <c r="R17" s="96">
        <f t="shared" si="2"/>
        <v>3.0909055800049732</v>
      </c>
      <c r="S17" s="377" t="str">
        <f t="shared" si="3"/>
        <v>(4,1,1,1,1,5); Market share Chinese modules</v>
      </c>
      <c r="T17" s="350">
        <v>0</v>
      </c>
      <c r="U17" s="95">
        <v>1</v>
      </c>
      <c r="V17" s="96">
        <f t="shared" si="4"/>
        <v>3.0909055800049732</v>
      </c>
      <c r="W17" s="432" t="str">
        <f t="shared" si="5"/>
        <v>(4,1,1,1,1,5); Market share Chinese modules</v>
      </c>
      <c r="X17" s="112"/>
      <c r="Y17" s="216" t="s">
        <v>1312</v>
      </c>
      <c r="Z17" s="339">
        <v>4</v>
      </c>
      <c r="AA17" s="339">
        <v>1</v>
      </c>
      <c r="AB17" s="339">
        <v>1</v>
      </c>
      <c r="AC17" s="339">
        <v>1</v>
      </c>
      <c r="AD17" s="339">
        <v>1</v>
      </c>
      <c r="AE17" s="339">
        <v>5</v>
      </c>
      <c r="AF17" s="104">
        <v>9</v>
      </c>
      <c r="AG17" s="104">
        <v>3</v>
      </c>
      <c r="AH17" s="107">
        <f t="shared" si="6"/>
        <v>1.2941338353151037</v>
      </c>
      <c r="AI17" s="107">
        <f t="shared" si="7"/>
        <v>3.0909055800049732</v>
      </c>
      <c r="AJ17" s="107" t="str">
        <f t="shared" si="8"/>
        <v>(4,1,1,1,1,5)</v>
      </c>
      <c r="AK17" s="108">
        <v>1.2</v>
      </c>
      <c r="AL17" s="108">
        <v>1</v>
      </c>
      <c r="AM17" s="108">
        <v>1</v>
      </c>
      <c r="AN17" s="108">
        <v>1</v>
      </c>
      <c r="AO17" s="108">
        <v>1</v>
      </c>
      <c r="AP17" s="108">
        <v>1.2</v>
      </c>
    </row>
    <row r="18" spans="1:42" ht="24" customHeight="1">
      <c r="A18" s="330" t="s">
        <v>1149</v>
      </c>
      <c r="B18" s="331"/>
      <c r="C18" s="88"/>
      <c r="D18" s="340">
        <v>5</v>
      </c>
      <c r="E18" s="341" t="s">
        <v>98</v>
      </c>
      <c r="F18" s="432" t="s">
        <v>1123</v>
      </c>
      <c r="G18" s="433" t="s">
        <v>372</v>
      </c>
      <c r="H18" s="434" t="s">
        <v>98</v>
      </c>
      <c r="I18" s="434" t="s">
        <v>98</v>
      </c>
      <c r="J18" s="94">
        <v>1</v>
      </c>
      <c r="K18" s="433" t="s">
        <v>679</v>
      </c>
      <c r="L18" s="350">
        <v>0</v>
      </c>
      <c r="M18" s="95">
        <v>1</v>
      </c>
      <c r="N18" s="96">
        <f t="shared" si="0"/>
        <v>3.0909055800049732</v>
      </c>
      <c r="O18" s="377" t="str">
        <f t="shared" si="1"/>
        <v>(4,1,1,1,1,5); Market share Chinese modules</v>
      </c>
      <c r="P18" s="350">
        <v>0.41779258920557499</v>
      </c>
      <c r="Q18" s="95">
        <v>1</v>
      </c>
      <c r="R18" s="96">
        <f t="shared" si="2"/>
        <v>3.0909055800049732</v>
      </c>
      <c r="S18" s="377" t="str">
        <f t="shared" si="3"/>
        <v>(4,1,1,1,1,5); Market share Chinese modules</v>
      </c>
      <c r="T18" s="350">
        <v>0</v>
      </c>
      <c r="U18" s="95">
        <v>1</v>
      </c>
      <c r="V18" s="96">
        <f t="shared" si="4"/>
        <v>3.0909055800049732</v>
      </c>
      <c r="W18" s="432" t="str">
        <f t="shared" si="5"/>
        <v>(4,1,1,1,1,5); Market share Chinese modules</v>
      </c>
      <c r="X18" s="112"/>
      <c r="Y18" s="216" t="s">
        <v>1312</v>
      </c>
      <c r="Z18" s="339">
        <v>4</v>
      </c>
      <c r="AA18" s="339">
        <v>1</v>
      </c>
      <c r="AB18" s="339">
        <v>1</v>
      </c>
      <c r="AC18" s="339">
        <v>1</v>
      </c>
      <c r="AD18" s="339">
        <v>1</v>
      </c>
      <c r="AE18" s="339">
        <v>5</v>
      </c>
      <c r="AF18" s="104">
        <v>9</v>
      </c>
      <c r="AG18" s="104">
        <v>3</v>
      </c>
      <c r="AH18" s="107">
        <f t="shared" si="6"/>
        <v>1.2941338353151037</v>
      </c>
      <c r="AI18" s="107">
        <f t="shared" si="7"/>
        <v>3.0909055800049732</v>
      </c>
      <c r="AJ18" s="107" t="str">
        <f t="shared" si="8"/>
        <v>(4,1,1,1,1,5)</v>
      </c>
      <c r="AK18" s="108">
        <v>1.2</v>
      </c>
      <c r="AL18" s="108">
        <v>1</v>
      </c>
      <c r="AM18" s="108">
        <v>1</v>
      </c>
      <c r="AN18" s="108">
        <v>1</v>
      </c>
      <c r="AO18" s="108">
        <v>1</v>
      </c>
      <c r="AP18" s="108">
        <v>1.2</v>
      </c>
    </row>
    <row r="19" spans="1:42" ht="24" customHeight="1">
      <c r="A19" s="330" t="s">
        <v>1150</v>
      </c>
      <c r="B19" s="331"/>
      <c r="C19" s="88"/>
      <c r="D19" s="340">
        <v>5</v>
      </c>
      <c r="E19" s="341" t="s">
        <v>98</v>
      </c>
      <c r="F19" s="432" t="s">
        <v>1124</v>
      </c>
      <c r="G19" s="433" t="s">
        <v>372</v>
      </c>
      <c r="H19" s="434" t="s">
        <v>98</v>
      </c>
      <c r="I19" s="434" t="s">
        <v>98</v>
      </c>
      <c r="J19" s="94">
        <v>1</v>
      </c>
      <c r="K19" s="433" t="s">
        <v>679</v>
      </c>
      <c r="L19" s="350">
        <v>0</v>
      </c>
      <c r="M19" s="95">
        <v>1</v>
      </c>
      <c r="N19" s="96">
        <f t="shared" si="0"/>
        <v>3.0909055800049732</v>
      </c>
      <c r="O19" s="377" t="str">
        <f t="shared" si="1"/>
        <v>(4,1,1,1,1,5); Market share Chinese modules</v>
      </c>
      <c r="P19" s="350">
        <v>0</v>
      </c>
      <c r="Q19" s="95">
        <v>1</v>
      </c>
      <c r="R19" s="96">
        <f t="shared" si="2"/>
        <v>3.0909055800049732</v>
      </c>
      <c r="S19" s="377" t="str">
        <f t="shared" si="3"/>
        <v>(4,1,1,1,1,5); Market share Chinese modules</v>
      </c>
      <c r="T19" s="350">
        <v>0.34542851394604501</v>
      </c>
      <c r="U19" s="95">
        <v>1</v>
      </c>
      <c r="V19" s="96">
        <f t="shared" si="4"/>
        <v>3.0909055800049732</v>
      </c>
      <c r="W19" s="432" t="str">
        <f t="shared" si="5"/>
        <v>(4,1,1,1,1,5); Market share Chinese modules</v>
      </c>
      <c r="X19" s="112"/>
      <c r="Y19" s="216" t="s">
        <v>1312</v>
      </c>
      <c r="Z19" s="339">
        <v>4</v>
      </c>
      <c r="AA19" s="339">
        <v>1</v>
      </c>
      <c r="AB19" s="339">
        <v>1</v>
      </c>
      <c r="AC19" s="339">
        <v>1</v>
      </c>
      <c r="AD19" s="339">
        <v>1</v>
      </c>
      <c r="AE19" s="339">
        <v>5</v>
      </c>
      <c r="AF19" s="104">
        <v>9</v>
      </c>
      <c r="AG19" s="104">
        <v>3</v>
      </c>
      <c r="AH19" s="107">
        <f t="shared" si="6"/>
        <v>1.2941338353151037</v>
      </c>
      <c r="AI19" s="107">
        <f t="shared" si="7"/>
        <v>3.0909055800049732</v>
      </c>
      <c r="AJ19" s="107" t="str">
        <f t="shared" si="8"/>
        <v>(4,1,1,1,1,5)</v>
      </c>
      <c r="AK19" s="108">
        <v>1.2</v>
      </c>
      <c r="AL19" s="108">
        <v>1</v>
      </c>
      <c r="AM19" s="108">
        <v>1</v>
      </c>
      <c r="AN19" s="108">
        <v>1</v>
      </c>
      <c r="AO19" s="108">
        <v>1</v>
      </c>
      <c r="AP19" s="108">
        <v>1.2</v>
      </c>
    </row>
    <row r="20" spans="1:42" ht="24" customHeight="1">
      <c r="A20" s="330" t="s">
        <v>1151</v>
      </c>
      <c r="B20" s="331"/>
      <c r="C20" s="88"/>
      <c r="D20" s="340">
        <v>5</v>
      </c>
      <c r="E20" s="341" t="s">
        <v>98</v>
      </c>
      <c r="F20" s="432" t="s">
        <v>1125</v>
      </c>
      <c r="G20" s="433" t="s">
        <v>372</v>
      </c>
      <c r="H20" s="434" t="s">
        <v>98</v>
      </c>
      <c r="I20" s="434" t="s">
        <v>98</v>
      </c>
      <c r="J20" s="94">
        <v>1</v>
      </c>
      <c r="K20" s="433" t="s">
        <v>679</v>
      </c>
      <c r="L20" s="350">
        <v>0</v>
      </c>
      <c r="M20" s="95">
        <v>1</v>
      </c>
      <c r="N20" s="96">
        <f t="shared" si="0"/>
        <v>3.0909055800049732</v>
      </c>
      <c r="O20" s="377" t="str">
        <f t="shared" si="1"/>
        <v>(4,1,1,1,1,5); Market share Chinese modules</v>
      </c>
      <c r="P20" s="350">
        <v>0</v>
      </c>
      <c r="Q20" s="95">
        <v>1</v>
      </c>
      <c r="R20" s="96">
        <f t="shared" si="2"/>
        <v>3.0909055800049732</v>
      </c>
      <c r="S20" s="377" t="str">
        <f t="shared" si="3"/>
        <v>(4,1,1,1,1,5); Market share Chinese modules</v>
      </c>
      <c r="T20" s="350">
        <v>0.62608918152720605</v>
      </c>
      <c r="U20" s="95">
        <v>1</v>
      </c>
      <c r="V20" s="96">
        <f t="shared" si="4"/>
        <v>3.0909055800049732</v>
      </c>
      <c r="W20" s="432" t="str">
        <f t="shared" si="5"/>
        <v>(4,1,1,1,1,5); Market share Chinese modules</v>
      </c>
      <c r="X20" s="112"/>
      <c r="Y20" s="216" t="s">
        <v>1312</v>
      </c>
      <c r="Z20" s="339">
        <v>4</v>
      </c>
      <c r="AA20" s="339">
        <v>1</v>
      </c>
      <c r="AB20" s="339">
        <v>1</v>
      </c>
      <c r="AC20" s="339">
        <v>1</v>
      </c>
      <c r="AD20" s="339">
        <v>1</v>
      </c>
      <c r="AE20" s="339">
        <v>5</v>
      </c>
      <c r="AF20" s="104">
        <v>9</v>
      </c>
      <c r="AG20" s="104">
        <v>3</v>
      </c>
      <c r="AH20" s="107">
        <f t="shared" si="6"/>
        <v>1.2941338353151037</v>
      </c>
      <c r="AI20" s="107">
        <f t="shared" si="7"/>
        <v>3.0909055800049732</v>
      </c>
      <c r="AJ20" s="107" t="str">
        <f t="shared" si="8"/>
        <v>(4,1,1,1,1,5)</v>
      </c>
      <c r="AK20" s="108">
        <v>1.2</v>
      </c>
      <c r="AL20" s="108">
        <v>1</v>
      </c>
      <c r="AM20" s="108">
        <v>1</v>
      </c>
      <c r="AN20" s="108">
        <v>1</v>
      </c>
      <c r="AO20" s="108">
        <v>1</v>
      </c>
      <c r="AP20" s="108">
        <v>1.2</v>
      </c>
    </row>
    <row r="21" spans="1:42" ht="24" customHeight="1">
      <c r="A21" s="330" t="s">
        <v>1266</v>
      </c>
      <c r="B21" s="331"/>
      <c r="C21" s="88"/>
      <c r="D21" s="340">
        <v>5</v>
      </c>
      <c r="E21" s="341" t="s">
        <v>98</v>
      </c>
      <c r="F21" s="432" t="s">
        <v>1255</v>
      </c>
      <c r="G21" s="433" t="s">
        <v>372</v>
      </c>
      <c r="H21" s="434" t="s">
        <v>98</v>
      </c>
      <c r="I21" s="434" t="s">
        <v>98</v>
      </c>
      <c r="J21" s="94">
        <v>1</v>
      </c>
      <c r="K21" s="433" t="s">
        <v>679</v>
      </c>
      <c r="L21" s="350">
        <v>0</v>
      </c>
      <c r="M21" s="95">
        <v>1</v>
      </c>
      <c r="N21" s="96">
        <f t="shared" si="0"/>
        <v>3.0909055800049732</v>
      </c>
      <c r="O21" s="377" t="str">
        <f t="shared" si="1"/>
        <v>(4,1,1,1,1,5); Market share Chinese modules</v>
      </c>
      <c r="P21" s="350">
        <v>0.377812437128487</v>
      </c>
      <c r="Q21" s="95">
        <v>1</v>
      </c>
      <c r="R21" s="96">
        <f t="shared" si="2"/>
        <v>3.0909055800049732</v>
      </c>
      <c r="S21" s="377" t="str">
        <f t="shared" si="3"/>
        <v>(4,1,1,1,1,5); Market share Chinese modules</v>
      </c>
      <c r="T21" s="350">
        <v>0</v>
      </c>
      <c r="U21" s="95">
        <v>1</v>
      </c>
      <c r="V21" s="96">
        <f t="shared" si="4"/>
        <v>3.0909055800049732</v>
      </c>
      <c r="W21" s="432" t="str">
        <f t="shared" si="5"/>
        <v>(4,1,1,1,1,5); Market share Chinese modules</v>
      </c>
      <c r="X21" s="112"/>
      <c r="Y21" s="216" t="s">
        <v>1312</v>
      </c>
      <c r="Z21" s="339">
        <v>4</v>
      </c>
      <c r="AA21" s="339">
        <v>1</v>
      </c>
      <c r="AB21" s="339">
        <v>1</v>
      </c>
      <c r="AC21" s="339">
        <v>1</v>
      </c>
      <c r="AD21" s="339">
        <v>1</v>
      </c>
      <c r="AE21" s="339">
        <v>5</v>
      </c>
      <c r="AF21" s="104">
        <v>9</v>
      </c>
      <c r="AG21" s="104">
        <v>3</v>
      </c>
      <c r="AH21" s="107">
        <f t="shared" si="6"/>
        <v>1.2941338353151037</v>
      </c>
      <c r="AI21" s="107">
        <f t="shared" si="7"/>
        <v>3.0909055800049732</v>
      </c>
      <c r="AJ21" s="107" t="str">
        <f t="shared" si="8"/>
        <v>(4,1,1,1,1,5)</v>
      </c>
      <c r="AK21" s="108">
        <v>1.2</v>
      </c>
      <c r="AL21" s="108">
        <v>1</v>
      </c>
      <c r="AM21" s="108">
        <v>1</v>
      </c>
      <c r="AN21" s="108">
        <v>1</v>
      </c>
      <c r="AO21" s="108">
        <v>1</v>
      </c>
      <c r="AP21" s="108">
        <v>1.2</v>
      </c>
    </row>
    <row r="22" spans="1:42" ht="24" customHeight="1">
      <c r="A22" s="330" t="s">
        <v>1152</v>
      </c>
      <c r="B22" s="331"/>
      <c r="C22" s="88"/>
      <c r="D22" s="340">
        <v>5</v>
      </c>
      <c r="E22" s="341" t="s">
        <v>98</v>
      </c>
      <c r="F22" s="432" t="s">
        <v>1126</v>
      </c>
      <c r="G22" s="433" t="s">
        <v>372</v>
      </c>
      <c r="H22" s="434" t="s">
        <v>98</v>
      </c>
      <c r="I22" s="434" t="s">
        <v>98</v>
      </c>
      <c r="J22" s="94">
        <v>1</v>
      </c>
      <c r="K22" s="433" t="s">
        <v>679</v>
      </c>
      <c r="L22" s="350">
        <v>0.59370525834476495</v>
      </c>
      <c r="M22" s="95">
        <v>1</v>
      </c>
      <c r="N22" s="96">
        <f t="shared" si="0"/>
        <v>3.0909055800049732</v>
      </c>
      <c r="O22" s="377" t="str">
        <f t="shared" si="1"/>
        <v>(4,1,1,1,1,5); Market share Chinese modules</v>
      </c>
      <c r="P22" s="350">
        <v>0</v>
      </c>
      <c r="Q22" s="95">
        <v>1</v>
      </c>
      <c r="R22" s="96">
        <f t="shared" si="2"/>
        <v>3.0909055800049732</v>
      </c>
      <c r="S22" s="377" t="str">
        <f t="shared" si="3"/>
        <v>(4,1,1,1,1,5); Market share Chinese modules</v>
      </c>
      <c r="T22" s="350">
        <v>0</v>
      </c>
      <c r="U22" s="95">
        <v>1</v>
      </c>
      <c r="V22" s="96">
        <f t="shared" si="4"/>
        <v>3.0909055800049732</v>
      </c>
      <c r="W22" s="432" t="str">
        <f t="shared" si="5"/>
        <v>(4,1,1,1,1,5); Market share Chinese modules</v>
      </c>
      <c r="X22" s="113"/>
      <c r="Y22" s="216" t="s">
        <v>1312</v>
      </c>
      <c r="Z22" s="339">
        <v>4</v>
      </c>
      <c r="AA22" s="339">
        <v>1</v>
      </c>
      <c r="AB22" s="339">
        <v>1</v>
      </c>
      <c r="AC22" s="339">
        <v>1</v>
      </c>
      <c r="AD22" s="339">
        <v>1</v>
      </c>
      <c r="AE22" s="339">
        <v>5</v>
      </c>
      <c r="AF22" s="104">
        <v>9</v>
      </c>
      <c r="AG22" s="104">
        <v>3</v>
      </c>
      <c r="AH22" s="107">
        <f t="shared" si="6"/>
        <v>1.2941338353151037</v>
      </c>
      <c r="AI22" s="107">
        <f t="shared" si="7"/>
        <v>3.0909055800049732</v>
      </c>
      <c r="AJ22" s="107" t="str">
        <f t="shared" si="8"/>
        <v>(4,1,1,1,1,5)</v>
      </c>
      <c r="AK22" s="108">
        <v>1.2</v>
      </c>
      <c r="AL22" s="108">
        <v>1</v>
      </c>
      <c r="AM22" s="108">
        <v>1</v>
      </c>
      <c r="AN22" s="108">
        <v>1</v>
      </c>
      <c r="AO22" s="108">
        <v>1</v>
      </c>
      <c r="AP22" s="108">
        <v>1.2</v>
      </c>
    </row>
    <row r="23" spans="1:42" ht="24" customHeight="1">
      <c r="A23" s="330" t="s">
        <v>1267</v>
      </c>
      <c r="B23" s="331"/>
      <c r="C23" s="88"/>
      <c r="D23" s="340">
        <v>5</v>
      </c>
      <c r="E23" s="341" t="s">
        <v>98</v>
      </c>
      <c r="F23" s="432" t="s">
        <v>1256</v>
      </c>
      <c r="G23" s="433" t="s">
        <v>372</v>
      </c>
      <c r="H23" s="434" t="s">
        <v>98</v>
      </c>
      <c r="I23" s="434" t="s">
        <v>98</v>
      </c>
      <c r="J23" s="94">
        <v>1</v>
      </c>
      <c r="K23" s="433" t="s">
        <v>679</v>
      </c>
      <c r="L23" s="350">
        <v>0.377812437128487</v>
      </c>
      <c r="M23" s="95">
        <v>1</v>
      </c>
      <c r="N23" s="96">
        <f t="shared" si="0"/>
        <v>3.0909055800049732</v>
      </c>
      <c r="O23" s="377" t="str">
        <f t="shared" si="1"/>
        <v>(4,1,1,1,1,5); Market share Chinese modules</v>
      </c>
      <c r="P23" s="350">
        <v>0</v>
      </c>
      <c r="Q23" s="95">
        <v>1</v>
      </c>
      <c r="R23" s="96">
        <f t="shared" si="2"/>
        <v>3.0909055800049732</v>
      </c>
      <c r="S23" s="377" t="str">
        <f t="shared" si="3"/>
        <v>(4,1,1,1,1,5); Market share Chinese modules</v>
      </c>
      <c r="T23" s="350">
        <v>0</v>
      </c>
      <c r="U23" s="95">
        <v>1</v>
      </c>
      <c r="V23" s="96">
        <f t="shared" si="4"/>
        <v>3.0909055800049732</v>
      </c>
      <c r="W23" s="432" t="str">
        <f t="shared" si="5"/>
        <v>(4,1,1,1,1,5); Market share Chinese modules</v>
      </c>
      <c r="X23" s="113"/>
      <c r="Y23" s="216" t="s">
        <v>1312</v>
      </c>
      <c r="Z23" s="339">
        <v>4</v>
      </c>
      <c r="AA23" s="339">
        <v>1</v>
      </c>
      <c r="AB23" s="339">
        <v>1</v>
      </c>
      <c r="AC23" s="339">
        <v>1</v>
      </c>
      <c r="AD23" s="339">
        <v>1</v>
      </c>
      <c r="AE23" s="339">
        <v>5</v>
      </c>
      <c r="AF23" s="104">
        <v>9</v>
      </c>
      <c r="AG23" s="104">
        <v>3</v>
      </c>
      <c r="AH23" s="107">
        <f t="shared" si="6"/>
        <v>1.2941338353151037</v>
      </c>
      <c r="AI23" s="107">
        <f t="shared" si="7"/>
        <v>3.0909055800049732</v>
      </c>
      <c r="AJ23" s="107" t="str">
        <f t="shared" si="8"/>
        <v>(4,1,1,1,1,5)</v>
      </c>
      <c r="AK23" s="108">
        <v>1.2</v>
      </c>
      <c r="AL23" s="108">
        <v>1</v>
      </c>
      <c r="AM23" s="108">
        <v>1</v>
      </c>
      <c r="AN23" s="108">
        <v>1</v>
      </c>
      <c r="AO23" s="108">
        <v>1</v>
      </c>
      <c r="AP23" s="108">
        <v>1.2</v>
      </c>
    </row>
    <row r="24" spans="1:42" ht="24" customHeight="1" outlineLevel="1">
      <c r="A24" s="330" t="s">
        <v>1158</v>
      </c>
      <c r="B24" s="331"/>
      <c r="C24" s="88"/>
      <c r="D24" s="340">
        <v>5</v>
      </c>
      <c r="E24" s="341" t="s">
        <v>98</v>
      </c>
      <c r="F24" s="432" t="s">
        <v>1132</v>
      </c>
      <c r="G24" s="433" t="s">
        <v>373</v>
      </c>
      <c r="H24" s="434" t="s">
        <v>98</v>
      </c>
      <c r="I24" s="434" t="s">
        <v>98</v>
      </c>
      <c r="J24" s="94">
        <v>1</v>
      </c>
      <c r="K24" s="433" t="s">
        <v>679</v>
      </c>
      <c r="L24" s="350">
        <v>0</v>
      </c>
      <c r="M24" s="95">
        <v>1</v>
      </c>
      <c r="N24" s="96">
        <f t="shared" si="0"/>
        <v>3.2711933904312551</v>
      </c>
      <c r="O24" s="377" t="str">
        <f t="shared" si="1"/>
        <v>(5,1,1,1,1,5); Market share APAC modules</v>
      </c>
      <c r="P24" s="350">
        <v>0</v>
      </c>
      <c r="Q24" s="95">
        <v>1</v>
      </c>
      <c r="R24" s="96">
        <f t="shared" si="2"/>
        <v>3.2711933904312551</v>
      </c>
      <c r="S24" s="377" t="str">
        <f t="shared" si="3"/>
        <v>(5,1,1,1,1,5); Market share APAC modules</v>
      </c>
      <c r="T24" s="350">
        <v>0</v>
      </c>
      <c r="U24" s="95">
        <v>1</v>
      </c>
      <c r="V24" s="96">
        <f t="shared" si="4"/>
        <v>3.2711933904312551</v>
      </c>
      <c r="W24" s="432" t="str">
        <f t="shared" si="5"/>
        <v>(5,1,1,1,1,5); Market share APAC modules</v>
      </c>
      <c r="X24" s="112"/>
      <c r="Y24" s="216" t="s">
        <v>1313</v>
      </c>
      <c r="Z24" s="339">
        <v>5</v>
      </c>
      <c r="AA24" s="339">
        <v>1</v>
      </c>
      <c r="AB24" s="339">
        <v>1</v>
      </c>
      <c r="AC24" s="339">
        <v>1</v>
      </c>
      <c r="AD24" s="339">
        <v>1</v>
      </c>
      <c r="AE24" s="339">
        <v>5</v>
      </c>
      <c r="AF24" s="104">
        <v>9</v>
      </c>
      <c r="AG24" s="104">
        <v>3</v>
      </c>
      <c r="AH24" s="107">
        <f t="shared" si="6"/>
        <v>1.5598204153209623</v>
      </c>
      <c r="AI24" s="107">
        <f t="shared" si="7"/>
        <v>3.2711933904312551</v>
      </c>
      <c r="AJ24" s="107" t="str">
        <f t="shared" si="8"/>
        <v>(5,1,1,1,1,5)</v>
      </c>
      <c r="AK24" s="108">
        <v>1.5</v>
      </c>
      <c r="AL24" s="108">
        <v>1</v>
      </c>
      <c r="AM24" s="108">
        <v>1</v>
      </c>
      <c r="AN24" s="108">
        <v>1</v>
      </c>
      <c r="AO24" s="108">
        <v>1</v>
      </c>
      <c r="AP24" s="108">
        <v>1.2</v>
      </c>
    </row>
    <row r="25" spans="1:42" ht="24" customHeight="1" outlineLevel="1">
      <c r="A25" s="330" t="s">
        <v>1159</v>
      </c>
      <c r="B25" s="331"/>
      <c r="C25" s="88"/>
      <c r="D25" s="340">
        <v>5</v>
      </c>
      <c r="E25" s="341" t="s">
        <v>98</v>
      </c>
      <c r="F25" s="432" t="s">
        <v>1133</v>
      </c>
      <c r="G25" s="433" t="s">
        <v>373</v>
      </c>
      <c r="H25" s="434" t="s">
        <v>98</v>
      </c>
      <c r="I25" s="434" t="s">
        <v>98</v>
      </c>
      <c r="J25" s="94">
        <v>1</v>
      </c>
      <c r="K25" s="433" t="s">
        <v>679</v>
      </c>
      <c r="L25" s="350">
        <v>0</v>
      </c>
      <c r="M25" s="95">
        <v>1</v>
      </c>
      <c r="N25" s="96">
        <f t="shared" si="0"/>
        <v>3.2711933904312551</v>
      </c>
      <c r="O25" s="377" t="str">
        <f t="shared" si="1"/>
        <v>(5,1,1,1,1,5); Market share APAC modules</v>
      </c>
      <c r="P25" s="350">
        <v>0</v>
      </c>
      <c r="Q25" s="95">
        <v>1</v>
      </c>
      <c r="R25" s="96">
        <f t="shared" si="2"/>
        <v>3.2711933904312551</v>
      </c>
      <c r="S25" s="377" t="str">
        <f t="shared" si="3"/>
        <v>(5,1,1,1,1,5); Market share APAC modules</v>
      </c>
      <c r="T25" s="350">
        <v>0</v>
      </c>
      <c r="U25" s="95">
        <v>1</v>
      </c>
      <c r="V25" s="96">
        <f t="shared" si="4"/>
        <v>3.2711933904312551</v>
      </c>
      <c r="W25" s="432" t="str">
        <f t="shared" si="5"/>
        <v>(5,1,1,1,1,5); Market share APAC modules</v>
      </c>
      <c r="X25" s="112"/>
      <c r="Y25" s="216" t="s">
        <v>1313</v>
      </c>
      <c r="Z25" s="339">
        <v>5</v>
      </c>
      <c r="AA25" s="339">
        <v>1</v>
      </c>
      <c r="AB25" s="339">
        <v>1</v>
      </c>
      <c r="AC25" s="339">
        <v>1</v>
      </c>
      <c r="AD25" s="339">
        <v>1</v>
      </c>
      <c r="AE25" s="339">
        <v>5</v>
      </c>
      <c r="AF25" s="104">
        <v>9</v>
      </c>
      <c r="AG25" s="104">
        <v>3</v>
      </c>
      <c r="AH25" s="107">
        <f t="shared" si="6"/>
        <v>1.5598204153209623</v>
      </c>
      <c r="AI25" s="107">
        <f t="shared" si="7"/>
        <v>3.2711933904312551</v>
      </c>
      <c r="AJ25" s="107" t="str">
        <f t="shared" si="8"/>
        <v>(5,1,1,1,1,5)</v>
      </c>
      <c r="AK25" s="108">
        <v>1.5</v>
      </c>
      <c r="AL25" s="108">
        <v>1</v>
      </c>
      <c r="AM25" s="108">
        <v>1</v>
      </c>
      <c r="AN25" s="108">
        <v>1</v>
      </c>
      <c r="AO25" s="108">
        <v>1</v>
      </c>
      <c r="AP25" s="108">
        <v>1.2</v>
      </c>
    </row>
    <row r="26" spans="1:42" ht="24" customHeight="1" outlineLevel="1">
      <c r="A26" s="330" t="s">
        <v>1160</v>
      </c>
      <c r="B26" s="331"/>
      <c r="C26" s="88"/>
      <c r="D26" s="340">
        <v>5</v>
      </c>
      <c r="E26" s="341" t="s">
        <v>98</v>
      </c>
      <c r="F26" s="432" t="s">
        <v>1134</v>
      </c>
      <c r="G26" s="433" t="s">
        <v>373</v>
      </c>
      <c r="H26" s="434" t="s">
        <v>98</v>
      </c>
      <c r="I26" s="434" t="s">
        <v>98</v>
      </c>
      <c r="J26" s="94">
        <v>1</v>
      </c>
      <c r="K26" s="433" t="s">
        <v>679</v>
      </c>
      <c r="L26" s="350">
        <v>0</v>
      </c>
      <c r="M26" s="95">
        <v>1</v>
      </c>
      <c r="N26" s="96">
        <f t="shared" si="0"/>
        <v>3.2711933904312551</v>
      </c>
      <c r="O26" s="377" t="str">
        <f t="shared" si="1"/>
        <v>(5,1,1,1,1,5); Market share APAC modules</v>
      </c>
      <c r="P26" s="350">
        <v>0</v>
      </c>
      <c r="Q26" s="95">
        <v>1</v>
      </c>
      <c r="R26" s="96">
        <f t="shared" si="2"/>
        <v>3.2711933904312551</v>
      </c>
      <c r="S26" s="377" t="str">
        <f t="shared" si="3"/>
        <v>(5,1,1,1,1,5); Market share APAC modules</v>
      </c>
      <c r="T26" s="350">
        <v>0</v>
      </c>
      <c r="U26" s="95">
        <v>1</v>
      </c>
      <c r="V26" s="96">
        <f t="shared" si="4"/>
        <v>3.2711933904312551</v>
      </c>
      <c r="W26" s="432" t="str">
        <f t="shared" si="5"/>
        <v>(5,1,1,1,1,5); Market share APAC modules</v>
      </c>
      <c r="X26" s="112"/>
      <c r="Y26" s="216" t="s">
        <v>1313</v>
      </c>
      <c r="Z26" s="339">
        <v>5</v>
      </c>
      <c r="AA26" s="339">
        <v>1</v>
      </c>
      <c r="AB26" s="339">
        <v>1</v>
      </c>
      <c r="AC26" s="339">
        <v>1</v>
      </c>
      <c r="AD26" s="339">
        <v>1</v>
      </c>
      <c r="AE26" s="339">
        <v>5</v>
      </c>
      <c r="AF26" s="104">
        <v>9</v>
      </c>
      <c r="AG26" s="104">
        <v>3</v>
      </c>
      <c r="AH26" s="107">
        <f t="shared" si="6"/>
        <v>1.5598204153209623</v>
      </c>
      <c r="AI26" s="107">
        <f t="shared" si="7"/>
        <v>3.2711933904312551</v>
      </c>
      <c r="AJ26" s="107" t="str">
        <f t="shared" si="8"/>
        <v>(5,1,1,1,1,5)</v>
      </c>
      <c r="AK26" s="108">
        <v>1.5</v>
      </c>
      <c r="AL26" s="108">
        <v>1</v>
      </c>
      <c r="AM26" s="108">
        <v>1</v>
      </c>
      <c r="AN26" s="108">
        <v>1</v>
      </c>
      <c r="AO26" s="108">
        <v>1</v>
      </c>
      <c r="AP26" s="108">
        <v>1.2</v>
      </c>
    </row>
    <row r="27" spans="1:42" ht="24" customHeight="1" outlineLevel="1">
      <c r="A27" s="330" t="s">
        <v>1161</v>
      </c>
      <c r="B27" s="331"/>
      <c r="C27" s="88"/>
      <c r="D27" s="340">
        <v>5</v>
      </c>
      <c r="E27" s="341" t="s">
        <v>98</v>
      </c>
      <c r="F27" s="432" t="s">
        <v>1135</v>
      </c>
      <c r="G27" s="433" t="s">
        <v>373</v>
      </c>
      <c r="H27" s="434" t="s">
        <v>98</v>
      </c>
      <c r="I27" s="434" t="s">
        <v>98</v>
      </c>
      <c r="J27" s="94">
        <v>1</v>
      </c>
      <c r="K27" s="433" t="s">
        <v>679</v>
      </c>
      <c r="L27" s="350">
        <v>0</v>
      </c>
      <c r="M27" s="95">
        <v>1</v>
      </c>
      <c r="N27" s="96">
        <f t="shared" si="0"/>
        <v>3.2711933904312551</v>
      </c>
      <c r="O27" s="377" t="str">
        <f t="shared" si="1"/>
        <v>(5,1,1,1,1,5); Market share APAC modules</v>
      </c>
      <c r="P27" s="350">
        <v>0</v>
      </c>
      <c r="Q27" s="95">
        <v>1</v>
      </c>
      <c r="R27" s="96">
        <f t="shared" si="2"/>
        <v>3.2711933904312551</v>
      </c>
      <c r="S27" s="377" t="str">
        <f t="shared" si="3"/>
        <v>(5,1,1,1,1,5); Market share APAC modules</v>
      </c>
      <c r="T27" s="350">
        <v>0</v>
      </c>
      <c r="U27" s="95">
        <v>1</v>
      </c>
      <c r="V27" s="96">
        <f t="shared" si="4"/>
        <v>3.2711933904312551</v>
      </c>
      <c r="W27" s="432" t="str">
        <f t="shared" si="5"/>
        <v>(5,1,1,1,1,5); Market share APAC modules</v>
      </c>
      <c r="X27" s="112"/>
      <c r="Y27" s="216" t="s">
        <v>1313</v>
      </c>
      <c r="Z27" s="339">
        <v>5</v>
      </c>
      <c r="AA27" s="339">
        <v>1</v>
      </c>
      <c r="AB27" s="339">
        <v>1</v>
      </c>
      <c r="AC27" s="339">
        <v>1</v>
      </c>
      <c r="AD27" s="339">
        <v>1</v>
      </c>
      <c r="AE27" s="339">
        <v>5</v>
      </c>
      <c r="AF27" s="104">
        <v>9</v>
      </c>
      <c r="AG27" s="104">
        <v>3</v>
      </c>
      <c r="AH27" s="107">
        <f t="shared" si="6"/>
        <v>1.5598204153209623</v>
      </c>
      <c r="AI27" s="107">
        <f t="shared" si="7"/>
        <v>3.2711933904312551</v>
      </c>
      <c r="AJ27" s="107" t="str">
        <f t="shared" si="8"/>
        <v>(5,1,1,1,1,5)</v>
      </c>
      <c r="AK27" s="108">
        <v>1.5</v>
      </c>
      <c r="AL27" s="108">
        <v>1</v>
      </c>
      <c r="AM27" s="108">
        <v>1</v>
      </c>
      <c r="AN27" s="108">
        <v>1</v>
      </c>
      <c r="AO27" s="108">
        <v>1</v>
      </c>
      <c r="AP27" s="108">
        <v>1.2</v>
      </c>
    </row>
    <row r="28" spans="1:42" ht="24" customHeight="1" outlineLevel="1">
      <c r="A28" s="330" t="s">
        <v>1270</v>
      </c>
      <c r="B28" s="331"/>
      <c r="C28" s="88"/>
      <c r="D28" s="340">
        <v>5</v>
      </c>
      <c r="E28" s="341" t="s">
        <v>98</v>
      </c>
      <c r="F28" s="432" t="s">
        <v>1259</v>
      </c>
      <c r="G28" s="433" t="s">
        <v>373</v>
      </c>
      <c r="H28" s="434" t="s">
        <v>98</v>
      </c>
      <c r="I28" s="434" t="s">
        <v>98</v>
      </c>
      <c r="J28" s="94">
        <v>1</v>
      </c>
      <c r="K28" s="433" t="s">
        <v>679</v>
      </c>
      <c r="L28" s="350">
        <v>0</v>
      </c>
      <c r="M28" s="95">
        <v>1</v>
      </c>
      <c r="N28" s="96">
        <f t="shared" si="0"/>
        <v>3.2711933904312551</v>
      </c>
      <c r="O28" s="377" t="str">
        <f t="shared" si="1"/>
        <v>(5,1,1,1,1,5); Market share APAC modules</v>
      </c>
      <c r="P28" s="350">
        <v>0</v>
      </c>
      <c r="Q28" s="95">
        <v>1</v>
      </c>
      <c r="R28" s="96">
        <f t="shared" si="2"/>
        <v>3.2711933904312551</v>
      </c>
      <c r="S28" s="377" t="str">
        <f t="shared" si="3"/>
        <v>(5,1,1,1,1,5); Market share APAC modules</v>
      </c>
      <c r="T28" s="350">
        <v>0</v>
      </c>
      <c r="U28" s="95">
        <v>1</v>
      </c>
      <c r="V28" s="96">
        <f t="shared" si="4"/>
        <v>3.2711933904312551</v>
      </c>
      <c r="W28" s="432" t="str">
        <f t="shared" si="5"/>
        <v>(5,1,1,1,1,5); Market share APAC modules</v>
      </c>
      <c r="X28" s="112"/>
      <c r="Y28" s="216" t="s">
        <v>1313</v>
      </c>
      <c r="Z28" s="339">
        <v>5</v>
      </c>
      <c r="AA28" s="339">
        <v>1</v>
      </c>
      <c r="AB28" s="339">
        <v>1</v>
      </c>
      <c r="AC28" s="339">
        <v>1</v>
      </c>
      <c r="AD28" s="339">
        <v>1</v>
      </c>
      <c r="AE28" s="339">
        <v>5</v>
      </c>
      <c r="AF28" s="104">
        <v>9</v>
      </c>
      <c r="AG28" s="104">
        <v>3</v>
      </c>
      <c r="AH28" s="107">
        <f t="shared" si="6"/>
        <v>1.5598204153209623</v>
      </c>
      <c r="AI28" s="107">
        <f t="shared" si="7"/>
        <v>3.2711933904312551</v>
      </c>
      <c r="AJ28" s="107" t="str">
        <f t="shared" si="8"/>
        <v>(5,1,1,1,1,5)</v>
      </c>
      <c r="AK28" s="108">
        <v>1.5</v>
      </c>
      <c r="AL28" s="108">
        <v>1</v>
      </c>
      <c r="AM28" s="108">
        <v>1</v>
      </c>
      <c r="AN28" s="108">
        <v>1</v>
      </c>
      <c r="AO28" s="108">
        <v>1</v>
      </c>
      <c r="AP28" s="108">
        <v>1.2</v>
      </c>
    </row>
    <row r="29" spans="1:42" ht="24" customHeight="1" outlineLevel="1">
      <c r="A29" s="330" t="s">
        <v>1162</v>
      </c>
      <c r="B29" s="331"/>
      <c r="C29" s="88"/>
      <c r="D29" s="340">
        <v>5</v>
      </c>
      <c r="E29" s="341" t="s">
        <v>98</v>
      </c>
      <c r="F29" s="432" t="s">
        <v>1136</v>
      </c>
      <c r="G29" s="433" t="s">
        <v>373</v>
      </c>
      <c r="H29" s="434" t="s">
        <v>98</v>
      </c>
      <c r="I29" s="434" t="s">
        <v>98</v>
      </c>
      <c r="J29" s="94">
        <v>1</v>
      </c>
      <c r="K29" s="433" t="s">
        <v>679</v>
      </c>
      <c r="L29" s="350">
        <v>0</v>
      </c>
      <c r="M29" s="95">
        <v>1</v>
      </c>
      <c r="N29" s="96">
        <f t="shared" si="0"/>
        <v>3.2711933904312551</v>
      </c>
      <c r="O29" s="377" t="str">
        <f t="shared" si="1"/>
        <v>(5,1,1,1,1,5); Market share APAC modules</v>
      </c>
      <c r="P29" s="350">
        <v>0</v>
      </c>
      <c r="Q29" s="95">
        <v>1</v>
      </c>
      <c r="R29" s="96">
        <f t="shared" si="2"/>
        <v>3.2711933904312551</v>
      </c>
      <c r="S29" s="377" t="str">
        <f t="shared" si="3"/>
        <v>(5,1,1,1,1,5); Market share APAC modules</v>
      </c>
      <c r="T29" s="350">
        <v>0</v>
      </c>
      <c r="U29" s="95">
        <v>1</v>
      </c>
      <c r="V29" s="96">
        <f t="shared" si="4"/>
        <v>3.2711933904312551</v>
      </c>
      <c r="W29" s="432" t="str">
        <f t="shared" si="5"/>
        <v>(5,1,1,1,1,5); Market share APAC modules</v>
      </c>
      <c r="X29" s="112"/>
      <c r="Y29" s="216" t="s">
        <v>1313</v>
      </c>
      <c r="Z29" s="339">
        <v>5</v>
      </c>
      <c r="AA29" s="339">
        <v>1</v>
      </c>
      <c r="AB29" s="339">
        <v>1</v>
      </c>
      <c r="AC29" s="339">
        <v>1</v>
      </c>
      <c r="AD29" s="339">
        <v>1</v>
      </c>
      <c r="AE29" s="339">
        <v>5</v>
      </c>
      <c r="AF29" s="104">
        <v>9</v>
      </c>
      <c r="AG29" s="104">
        <v>3</v>
      </c>
      <c r="AH29" s="107">
        <f t="shared" si="6"/>
        <v>1.5598204153209623</v>
      </c>
      <c r="AI29" s="107">
        <f t="shared" si="7"/>
        <v>3.2711933904312551</v>
      </c>
      <c r="AJ29" s="107" t="str">
        <f t="shared" si="8"/>
        <v>(5,1,1,1,1,5)</v>
      </c>
      <c r="AK29" s="108">
        <v>1.5</v>
      </c>
      <c r="AL29" s="108">
        <v>1</v>
      </c>
      <c r="AM29" s="108">
        <v>1</v>
      </c>
      <c r="AN29" s="108">
        <v>1</v>
      </c>
      <c r="AO29" s="108">
        <v>1</v>
      </c>
      <c r="AP29" s="108">
        <v>1.2</v>
      </c>
    </row>
    <row r="30" spans="1:42" ht="24" customHeight="1" outlineLevel="1">
      <c r="A30" s="330" t="s">
        <v>1271</v>
      </c>
      <c r="B30" s="331"/>
      <c r="C30" s="88"/>
      <c r="D30" s="340">
        <v>5</v>
      </c>
      <c r="E30" s="341" t="s">
        <v>98</v>
      </c>
      <c r="F30" s="432" t="s">
        <v>1260</v>
      </c>
      <c r="G30" s="433" t="s">
        <v>373</v>
      </c>
      <c r="H30" s="434" t="s">
        <v>98</v>
      </c>
      <c r="I30" s="434" t="s">
        <v>98</v>
      </c>
      <c r="J30" s="94">
        <v>1</v>
      </c>
      <c r="K30" s="433" t="s">
        <v>679</v>
      </c>
      <c r="L30" s="350">
        <v>0</v>
      </c>
      <c r="M30" s="95">
        <v>1</v>
      </c>
      <c r="N30" s="96">
        <f t="shared" si="0"/>
        <v>3.2711933904312551</v>
      </c>
      <c r="O30" s="377" t="str">
        <f t="shared" si="1"/>
        <v>(5,1,1,1,1,5); Market share APAC modules</v>
      </c>
      <c r="P30" s="350">
        <v>0</v>
      </c>
      <c r="Q30" s="95">
        <v>1</v>
      </c>
      <c r="R30" s="96">
        <f t="shared" si="2"/>
        <v>3.2711933904312551</v>
      </c>
      <c r="S30" s="377" t="str">
        <f t="shared" si="3"/>
        <v>(5,1,1,1,1,5); Market share APAC modules</v>
      </c>
      <c r="T30" s="350">
        <v>0</v>
      </c>
      <c r="U30" s="95">
        <v>1</v>
      </c>
      <c r="V30" s="96">
        <f t="shared" si="4"/>
        <v>3.2711933904312551</v>
      </c>
      <c r="W30" s="432" t="str">
        <f t="shared" si="5"/>
        <v>(5,1,1,1,1,5); Market share APAC modules</v>
      </c>
      <c r="X30" s="112"/>
      <c r="Y30" s="216" t="s">
        <v>1313</v>
      </c>
      <c r="Z30" s="339">
        <v>5</v>
      </c>
      <c r="AA30" s="339">
        <v>1</v>
      </c>
      <c r="AB30" s="339">
        <v>1</v>
      </c>
      <c r="AC30" s="339">
        <v>1</v>
      </c>
      <c r="AD30" s="339">
        <v>1</v>
      </c>
      <c r="AE30" s="339">
        <v>5</v>
      </c>
      <c r="AF30" s="104">
        <v>9</v>
      </c>
      <c r="AG30" s="104">
        <v>3</v>
      </c>
      <c r="AH30" s="107">
        <f t="shared" si="6"/>
        <v>1.5598204153209623</v>
      </c>
      <c r="AI30" s="107">
        <f t="shared" si="7"/>
        <v>3.2711933904312551</v>
      </c>
      <c r="AJ30" s="107" t="str">
        <f t="shared" si="8"/>
        <v>(5,1,1,1,1,5)</v>
      </c>
      <c r="AK30" s="108">
        <v>1.5</v>
      </c>
      <c r="AL30" s="108">
        <v>1</v>
      </c>
      <c r="AM30" s="108">
        <v>1</v>
      </c>
      <c r="AN30" s="108">
        <v>1</v>
      </c>
      <c r="AO30" s="108">
        <v>1</v>
      </c>
      <c r="AP30" s="108">
        <v>1.2</v>
      </c>
    </row>
    <row r="31" spans="1:42" ht="24" customHeight="1">
      <c r="A31" s="330">
        <v>269599</v>
      </c>
      <c r="B31" s="331" t="s">
        <v>322</v>
      </c>
      <c r="C31" s="88"/>
      <c r="D31" s="340">
        <v>5</v>
      </c>
      <c r="E31" s="341" t="s">
        <v>98</v>
      </c>
      <c r="F31" s="432" t="s">
        <v>244</v>
      </c>
      <c r="G31" s="433" t="s">
        <v>245</v>
      </c>
      <c r="H31" s="434" t="s">
        <v>98</v>
      </c>
      <c r="I31" s="434" t="s">
        <v>98</v>
      </c>
      <c r="J31" s="94">
        <v>0</v>
      </c>
      <c r="K31" s="433" t="s">
        <v>115</v>
      </c>
      <c r="L31" s="435">
        <f>SUM(L17:L23)*L$34/1000*L$53+SUM(L24:L30)*L$34/1000*L$54</f>
        <v>215.93030949282141</v>
      </c>
      <c r="M31" s="95">
        <v>1</v>
      </c>
      <c r="N31" s="96">
        <f t="shared" si="0"/>
        <v>2.0949941301068096</v>
      </c>
      <c r="O31" s="432" t="str">
        <f t="shared" si="1"/>
        <v>(4,5,na,na,na,na); Transport distance CN-EU: 19994 km, APAC-EU: 15026 km</v>
      </c>
      <c r="P31" s="435">
        <f>SUM(P17:P23)*P$34/1000*P$53+SUM(P24:P30)*P$34/1000*P$54</f>
        <v>222.72556356558766</v>
      </c>
      <c r="Q31" s="95">
        <v>1</v>
      </c>
      <c r="R31" s="96">
        <f t="shared" si="2"/>
        <v>2.0949941301068096</v>
      </c>
      <c r="S31" s="432" t="str">
        <f t="shared" si="3"/>
        <v>(4,5,na,na,na,na); Transport distance CN-EU: 19994 km, APAC-EU: 15026 km</v>
      </c>
      <c r="T31" s="435">
        <f>SUM(T17:T23)*T$34/1000*T$53+SUM(T24:T30)*T$34/1000*T$54</f>
        <v>244.07719080391161</v>
      </c>
      <c r="U31" s="95">
        <v>1</v>
      </c>
      <c r="V31" s="96">
        <f t="shared" si="4"/>
        <v>2.0949941301068096</v>
      </c>
      <c r="W31" s="432" t="str">
        <f t="shared" si="5"/>
        <v>(4,5,na,na,na,na); Transport distance CN-EU: 19994 km, APAC-EU: 15026 km</v>
      </c>
      <c r="X31" s="112"/>
      <c r="Y31" s="216" t="s">
        <v>1314</v>
      </c>
      <c r="Z31" s="339">
        <v>4</v>
      </c>
      <c r="AA31" s="339">
        <v>5</v>
      </c>
      <c r="AB31" s="339" t="s">
        <v>106</v>
      </c>
      <c r="AC31" s="339" t="s">
        <v>106</v>
      </c>
      <c r="AD31" s="339" t="s">
        <v>106</v>
      </c>
      <c r="AE31" s="339" t="s">
        <v>106</v>
      </c>
      <c r="AF31" s="104">
        <v>5</v>
      </c>
      <c r="AG31" s="104">
        <v>2</v>
      </c>
      <c r="AH31" s="107">
        <f t="shared" si="6"/>
        <v>1.2941338353151037</v>
      </c>
      <c r="AI31" s="107">
        <f t="shared" si="7"/>
        <v>2.0949941301068096</v>
      </c>
      <c r="AJ31" s="107" t="str">
        <f t="shared" si="8"/>
        <v>(4,5,na,na,na,na)</v>
      </c>
      <c r="AK31" s="108">
        <v>1.2</v>
      </c>
      <c r="AL31" s="108">
        <v>1.2</v>
      </c>
      <c r="AM31" s="108">
        <v>1</v>
      </c>
      <c r="AN31" s="108">
        <v>1</v>
      </c>
      <c r="AO31" s="108">
        <v>1</v>
      </c>
      <c r="AP31" s="108">
        <v>1</v>
      </c>
    </row>
    <row r="32" spans="1:42">
      <c r="A32" s="330">
        <v>269641</v>
      </c>
      <c r="B32" s="331"/>
      <c r="C32" s="88"/>
      <c r="D32" s="340">
        <v>5</v>
      </c>
      <c r="E32" s="341" t="s">
        <v>98</v>
      </c>
      <c r="F32" s="432" t="s">
        <v>240</v>
      </c>
      <c r="G32" s="433" t="s">
        <v>93</v>
      </c>
      <c r="H32" s="434" t="s">
        <v>98</v>
      </c>
      <c r="I32" s="434" t="s">
        <v>98</v>
      </c>
      <c r="J32" s="94">
        <v>0</v>
      </c>
      <c r="K32" s="433" t="s">
        <v>115</v>
      </c>
      <c r="L32" s="435">
        <f>L34*$G$64/1000</f>
        <v>10.480112510150132</v>
      </c>
      <c r="M32" s="95">
        <v>1</v>
      </c>
      <c r="N32" s="96">
        <f t="shared" si="0"/>
        <v>2.0949941301068096</v>
      </c>
      <c r="O32" s="432" t="str">
        <f t="shared" si="1"/>
        <v>(4,5,na,na,na,na); Transport distance 943 km</v>
      </c>
      <c r="P32" s="435">
        <f>P34*$G$64/1000</f>
        <v>10.809918119121457</v>
      </c>
      <c r="Q32" s="95">
        <v>1</v>
      </c>
      <c r="R32" s="96">
        <f t="shared" si="2"/>
        <v>2.0949941301068096</v>
      </c>
      <c r="S32" s="432" t="str">
        <f t="shared" si="3"/>
        <v>(4,5,na,na,na,na); Transport distance 943 km</v>
      </c>
      <c r="T32" s="435">
        <f>T34*$G$64/1000</f>
        <v>11.846212913761494</v>
      </c>
      <c r="U32" s="95">
        <v>1</v>
      </c>
      <c r="V32" s="96">
        <f t="shared" si="4"/>
        <v>2.0949941301068096</v>
      </c>
      <c r="W32" s="432" t="str">
        <f t="shared" si="5"/>
        <v>(4,5,na,na,na,na); Transport distance 943 km</v>
      </c>
      <c r="X32" s="112"/>
      <c r="Y32" s="216" t="s">
        <v>1315</v>
      </c>
      <c r="Z32" s="339">
        <v>4</v>
      </c>
      <c r="AA32" s="339">
        <v>5</v>
      </c>
      <c r="AB32" s="339" t="s">
        <v>106</v>
      </c>
      <c r="AC32" s="339" t="s">
        <v>106</v>
      </c>
      <c r="AD32" s="339" t="s">
        <v>106</v>
      </c>
      <c r="AE32" s="339" t="s">
        <v>106</v>
      </c>
      <c r="AF32" s="104">
        <v>5</v>
      </c>
      <c r="AG32" s="104">
        <v>2</v>
      </c>
      <c r="AH32" s="107">
        <f t="shared" si="6"/>
        <v>1.2941338353151037</v>
      </c>
      <c r="AI32" s="107">
        <f t="shared" si="7"/>
        <v>2.0949941301068096</v>
      </c>
      <c r="AJ32" s="107" t="str">
        <f t="shared" si="8"/>
        <v>(4,5,na,na,na,na)</v>
      </c>
      <c r="AK32" s="108">
        <v>1.2</v>
      </c>
      <c r="AL32" s="108">
        <v>1.2</v>
      </c>
      <c r="AM32" s="108">
        <v>1</v>
      </c>
      <c r="AN32" s="108">
        <v>1</v>
      </c>
      <c r="AO32" s="108">
        <v>1</v>
      </c>
      <c r="AP32" s="108">
        <v>1</v>
      </c>
    </row>
    <row r="34" spans="6:20">
      <c r="F34" s="444" t="s">
        <v>1316</v>
      </c>
      <c r="G34" s="445"/>
      <c r="H34" s="446"/>
      <c r="I34" s="446"/>
      <c r="J34" s="143"/>
      <c r="K34" s="445" t="s">
        <v>902</v>
      </c>
      <c r="L34" s="473">
        <v>11.11626864216</v>
      </c>
      <c r="M34" s="473"/>
      <c r="N34" s="473"/>
      <c r="O34" s="469"/>
      <c r="P34" s="473">
        <v>11.466093870225601</v>
      </c>
      <c r="Q34" s="473"/>
      <c r="R34" s="473"/>
      <c r="S34" s="469"/>
      <c r="T34" s="473">
        <v>12.5652930742927</v>
      </c>
    </row>
    <row r="35" spans="6:20">
      <c r="F35" s="444"/>
      <c r="G35" s="445"/>
      <c r="H35" s="446"/>
      <c r="I35" s="446"/>
      <c r="J35" s="143"/>
      <c r="K35" s="445"/>
      <c r="L35" s="447"/>
      <c r="M35" s="447"/>
      <c r="N35" s="447"/>
      <c r="P35" s="447"/>
      <c r="Q35" s="447"/>
      <c r="R35" s="447"/>
      <c r="T35" s="447"/>
    </row>
    <row r="36" spans="6:20">
      <c r="F36" s="444" t="s">
        <v>568</v>
      </c>
      <c r="G36" s="445"/>
      <c r="H36" s="446"/>
      <c r="I36" s="446"/>
      <c r="J36" s="143"/>
      <c r="K36" s="445"/>
      <c r="L36" s="144">
        <f>SUM(L10:L30)</f>
        <v>1.0000000000000009</v>
      </c>
      <c r="M36" s="447"/>
      <c r="N36" s="447"/>
      <c r="P36" s="144">
        <f>SUM(P10:P30)</f>
        <v>1.0000000000000009</v>
      </c>
      <c r="Q36" s="447"/>
      <c r="R36" s="447"/>
      <c r="T36" s="144">
        <f>SUM(T10:T30)</f>
        <v>1</v>
      </c>
    </row>
    <row r="38" spans="6:20">
      <c r="F38" s="708" t="s">
        <v>564</v>
      </c>
      <c r="G38" s="445"/>
      <c r="H38" s="446"/>
      <c r="I38" s="446"/>
      <c r="J38" s="143"/>
      <c r="K38" s="445"/>
      <c r="L38" s="144"/>
      <c r="M38" s="447"/>
      <c r="N38" s="447"/>
      <c r="P38" s="144"/>
      <c r="Q38" s="447"/>
      <c r="R38" s="447"/>
      <c r="T38" s="144"/>
    </row>
    <row r="39" spans="6:20" ht="24" customHeight="1">
      <c r="F39" s="709" t="s">
        <v>1317</v>
      </c>
      <c r="G39" s="710" t="s">
        <v>1318</v>
      </c>
      <c r="H39" s="711" t="s">
        <v>1319</v>
      </c>
      <c r="J39" s="143"/>
      <c r="K39" s="143"/>
      <c r="L39" s="445"/>
      <c r="M39" s="144"/>
      <c r="N39" s="447"/>
      <c r="O39" s="447"/>
      <c r="P39" s="109"/>
      <c r="Q39" s="144"/>
      <c r="R39" s="447"/>
      <c r="S39" s="447"/>
      <c r="T39" s="109"/>
    </row>
    <row r="40" spans="6:20">
      <c r="F40" s="429" t="s">
        <v>1320</v>
      </c>
      <c r="G40" s="712">
        <v>0.35</v>
      </c>
      <c r="H40" s="713">
        <f>G40/(G40+G41)</f>
        <v>0.38888888888888884</v>
      </c>
      <c r="I40" s="133">
        <v>226.166666666667</v>
      </c>
      <c r="J40" s="143" t="s">
        <v>1321</v>
      </c>
      <c r="K40" s="143"/>
      <c r="L40" s="445"/>
      <c r="M40" s="144"/>
      <c r="N40" s="447"/>
      <c r="O40" s="447"/>
      <c r="P40" s="109"/>
      <c r="Q40" s="144"/>
      <c r="R40" s="447"/>
      <c r="S40" s="447"/>
      <c r="T40" s="109"/>
    </row>
    <row r="41" spans="6:20">
      <c r="F41" s="429" t="s">
        <v>1322</v>
      </c>
      <c r="G41" s="712">
        <v>0.55000000000000004</v>
      </c>
      <c r="H41" s="713">
        <f>G41/(G40+G41)</f>
        <v>0.61111111111111116</v>
      </c>
      <c r="I41" s="133"/>
      <c r="J41" s="143"/>
      <c r="K41" s="143"/>
      <c r="L41" s="445"/>
      <c r="M41" s="447"/>
      <c r="N41" s="447"/>
      <c r="O41" s="447"/>
      <c r="P41" s="109"/>
      <c r="Q41" s="447"/>
      <c r="R41" s="447"/>
      <c r="S41" s="447"/>
      <c r="T41" s="109"/>
    </row>
    <row r="42" spans="6:20">
      <c r="F42" s="429" t="s">
        <v>1323</v>
      </c>
      <c r="G42" s="712">
        <f>1-G41-G40</f>
        <v>9.9999999999999978E-2</v>
      </c>
      <c r="H42" s="711" t="s">
        <v>1324</v>
      </c>
      <c r="I42" s="133"/>
      <c r="J42" s="143"/>
      <c r="K42" s="143"/>
      <c r="L42" s="445"/>
      <c r="M42" s="447"/>
      <c r="N42" s="447"/>
      <c r="O42" s="447"/>
      <c r="P42" s="109"/>
      <c r="Q42" s="447"/>
      <c r="R42" s="447"/>
      <c r="S42" s="447"/>
      <c r="T42" s="109"/>
    </row>
    <row r="43" spans="6:20">
      <c r="F43" s="143"/>
      <c r="G43" s="143"/>
      <c r="H43" s="143"/>
      <c r="J43" s="143"/>
      <c r="K43" s="143"/>
      <c r="L43" s="445"/>
      <c r="M43" s="447"/>
      <c r="N43" s="447"/>
      <c r="O43" s="447"/>
      <c r="P43" s="109"/>
      <c r="Q43" s="447"/>
      <c r="R43" s="447"/>
      <c r="S43" s="447"/>
      <c r="T43" s="109"/>
    </row>
    <row r="44" spans="6:20">
      <c r="F44" s="709" t="s">
        <v>1325</v>
      </c>
      <c r="G44" s="712"/>
      <c r="H44" s="711" t="s">
        <v>1326</v>
      </c>
      <c r="J44" s="143"/>
      <c r="K44" s="143"/>
      <c r="L44" s="445"/>
      <c r="M44" s="447"/>
      <c r="N44" s="447"/>
      <c r="O44" s="447"/>
      <c r="P44" s="109"/>
      <c r="Q44" s="447"/>
      <c r="R44" s="447"/>
      <c r="S44" s="447"/>
      <c r="T44" s="109"/>
    </row>
    <row r="45" spans="6:20">
      <c r="F45" s="714" t="s">
        <v>1327</v>
      </c>
      <c r="G45" s="712"/>
      <c r="H45" s="711"/>
      <c r="J45" s="143"/>
      <c r="K45" s="143"/>
      <c r="L45" s="445"/>
      <c r="M45" s="447"/>
      <c r="N45" s="447"/>
      <c r="O45" s="447"/>
      <c r="P45" s="109"/>
      <c r="Q45" s="447"/>
      <c r="R45" s="447"/>
      <c r="S45" s="447"/>
      <c r="T45" s="109"/>
    </row>
    <row r="46" spans="6:20">
      <c r="F46" s="537" t="s">
        <v>1328</v>
      </c>
      <c r="G46" s="712">
        <f>16/(16+29)</f>
        <v>0.35555555555555557</v>
      </c>
      <c r="H46" s="711"/>
      <c r="J46" s="143"/>
      <c r="K46" s="143"/>
      <c r="L46" s="445"/>
      <c r="M46" s="447"/>
      <c r="N46" s="447"/>
      <c r="O46" s="447"/>
      <c r="P46" s="109"/>
      <c r="Q46" s="447"/>
      <c r="R46" s="447"/>
      <c r="S46" s="447"/>
      <c r="T46" s="109"/>
    </row>
    <row r="47" spans="6:20">
      <c r="F47" s="537" t="s">
        <v>1329</v>
      </c>
      <c r="G47" s="712">
        <f>29/(16+29)</f>
        <v>0.64444444444444449</v>
      </c>
      <c r="H47" s="711"/>
      <c r="J47" s="143"/>
      <c r="K47" s="143"/>
      <c r="L47" s="445"/>
      <c r="M47" s="447"/>
      <c r="N47" s="447"/>
      <c r="O47" s="447"/>
      <c r="P47" s="109"/>
      <c r="Q47" s="447"/>
      <c r="R47" s="447"/>
      <c r="S47" s="447"/>
      <c r="T47" s="109"/>
    </row>
    <row r="48" spans="6:20">
      <c r="F48" s="714" t="s">
        <v>1330</v>
      </c>
      <c r="G48" s="712"/>
      <c r="H48" s="711"/>
      <c r="J48" s="143"/>
      <c r="K48" s="143"/>
      <c r="L48" s="445"/>
      <c r="M48" s="447"/>
      <c r="N48" s="447"/>
      <c r="O48" s="447"/>
      <c r="P48" s="109"/>
      <c r="Q48" s="447"/>
      <c r="R48" s="447"/>
      <c r="S48" s="447"/>
      <c r="T48" s="109"/>
    </row>
    <row r="49" spans="6:20">
      <c r="F49" s="429" t="s">
        <v>1328</v>
      </c>
      <c r="G49" s="712">
        <f>8/(19+8)</f>
        <v>0.29629629629629628</v>
      </c>
      <c r="H49" s="713"/>
      <c r="J49" s="143"/>
      <c r="K49" s="143"/>
      <c r="L49" s="445"/>
      <c r="M49" s="447"/>
      <c r="N49" s="447"/>
      <c r="O49" s="447"/>
      <c r="P49" s="109"/>
      <c r="Q49" s="447"/>
      <c r="R49" s="447"/>
      <c r="S49" s="447"/>
      <c r="T49" s="109"/>
    </row>
    <row r="50" spans="6:20">
      <c r="F50" s="429" t="s">
        <v>1329</v>
      </c>
      <c r="G50" s="712">
        <f>19/(19+8)</f>
        <v>0.70370370370370372</v>
      </c>
      <c r="H50" s="713"/>
      <c r="J50" s="143"/>
      <c r="K50" s="143"/>
      <c r="L50" s="445"/>
      <c r="M50" s="447"/>
      <c r="N50" s="447"/>
      <c r="O50" s="447"/>
      <c r="P50" s="109"/>
      <c r="Q50" s="447"/>
      <c r="R50" s="447"/>
      <c r="S50" s="447"/>
      <c r="T50" s="109"/>
    </row>
    <row r="51" spans="6:20">
      <c r="F51" s="444"/>
      <c r="G51" s="445"/>
      <c r="H51" s="446"/>
      <c r="I51" s="446"/>
      <c r="J51" s="143"/>
      <c r="K51" s="445"/>
      <c r="L51" s="447"/>
      <c r="M51" s="447"/>
      <c r="N51" s="447"/>
      <c r="P51" s="447"/>
      <c r="Q51" s="447"/>
      <c r="R51" s="447"/>
      <c r="T51" s="447"/>
    </row>
    <row r="52" spans="6:20">
      <c r="F52" s="444"/>
      <c r="G52" s="445"/>
      <c r="H52" s="446"/>
      <c r="I52" s="446"/>
      <c r="J52" s="143"/>
      <c r="K52" s="445"/>
      <c r="L52" s="447"/>
      <c r="M52" s="447"/>
      <c r="N52" s="447"/>
      <c r="P52" s="447"/>
      <c r="Q52" s="447"/>
      <c r="R52" s="447"/>
      <c r="T52" s="447"/>
    </row>
    <row r="53" spans="6:20">
      <c r="F53" s="444" t="s">
        <v>571</v>
      </c>
      <c r="G53" s="445" t="s">
        <v>168</v>
      </c>
      <c r="H53" s="446">
        <f>L53</f>
        <v>19994.192000000003</v>
      </c>
      <c r="I53" s="446"/>
      <c r="J53" s="143"/>
      <c r="K53" s="445" t="s">
        <v>168</v>
      </c>
      <c r="L53" s="131">
        <f>1.852*10796</f>
        <v>19994.192000000003</v>
      </c>
      <c r="M53" s="447"/>
      <c r="N53" s="447"/>
      <c r="P53" s="131">
        <f>1.852*10796</f>
        <v>19994.192000000003</v>
      </c>
      <c r="Q53" s="447"/>
      <c r="R53" s="447"/>
      <c r="T53" s="131">
        <f>1.852*10796</f>
        <v>19994.192000000003</v>
      </c>
    </row>
    <row r="54" spans="6:20">
      <c r="F54" s="444" t="s">
        <v>573</v>
      </c>
      <c r="G54" s="445" t="s">
        <v>168</v>
      </c>
      <c r="H54" s="446">
        <f>L54</f>
        <v>15026</v>
      </c>
      <c r="I54" s="446"/>
      <c r="J54" s="143"/>
      <c r="K54" s="445" t="s">
        <v>168</v>
      </c>
      <c r="L54" s="133">
        <v>15026</v>
      </c>
      <c r="M54" s="447"/>
      <c r="N54" s="447"/>
      <c r="P54" s="133">
        <v>15026</v>
      </c>
      <c r="Q54" s="447"/>
      <c r="R54" s="447"/>
      <c r="T54" s="133">
        <v>15026</v>
      </c>
    </row>
    <row r="55" spans="6:20">
      <c r="F55" s="444"/>
      <c r="G55" s="445"/>
      <c r="H55" s="446"/>
      <c r="I55" s="446"/>
      <c r="J55" s="143"/>
      <c r="K55" s="445"/>
      <c r="L55" s="475"/>
      <c r="M55" s="447"/>
      <c r="N55" s="447"/>
      <c r="P55" s="447"/>
      <c r="Q55" s="447"/>
      <c r="R55" s="447"/>
      <c r="T55" s="447"/>
    </row>
    <row r="56" spans="6:20">
      <c r="F56" s="444"/>
      <c r="G56" s="445"/>
      <c r="H56" s="446"/>
      <c r="I56" s="446"/>
      <c r="J56" s="143"/>
      <c r="K56" s="445"/>
      <c r="L56" s="447"/>
      <c r="M56" s="447"/>
      <c r="N56" s="447"/>
      <c r="P56" s="447"/>
      <c r="Q56" s="447"/>
      <c r="R56" s="447"/>
      <c r="T56" s="447"/>
    </row>
    <row r="57" spans="6:20">
      <c r="F57" s="444"/>
      <c r="G57" s="445"/>
      <c r="H57" s="446"/>
      <c r="I57" s="446"/>
      <c r="J57" s="143"/>
      <c r="K57" s="445"/>
      <c r="L57" s="447"/>
      <c r="M57" s="447"/>
      <c r="N57" s="447"/>
      <c r="P57" s="447"/>
      <c r="Q57" s="447"/>
      <c r="R57" s="447"/>
      <c r="T57" s="447"/>
    </row>
    <row r="58" spans="6:20">
      <c r="F58" s="444" t="s">
        <v>1331</v>
      </c>
      <c r="G58" s="445" t="s">
        <v>1332</v>
      </c>
      <c r="H58" s="446" t="s">
        <v>5</v>
      </c>
      <c r="I58" s="446" t="s">
        <v>1333</v>
      </c>
      <c r="J58" s="143" t="s">
        <v>1334</v>
      </c>
      <c r="K58" s="445"/>
      <c r="L58" s="447"/>
      <c r="M58" s="447"/>
      <c r="N58" s="447"/>
      <c r="P58" s="447"/>
      <c r="Q58" s="447"/>
      <c r="R58" s="447"/>
      <c r="T58" s="447"/>
    </row>
    <row r="59" spans="6:20">
      <c r="F59" s="444"/>
      <c r="G59" s="445" t="s">
        <v>168</v>
      </c>
      <c r="H59" s="446"/>
      <c r="I59" s="446"/>
      <c r="J59" s="143"/>
      <c r="K59" s="445"/>
      <c r="L59" s="447"/>
      <c r="M59" s="447"/>
      <c r="N59" s="447"/>
      <c r="P59" s="447"/>
      <c r="Q59" s="447"/>
      <c r="R59" s="447"/>
      <c r="T59" s="447"/>
    </row>
    <row r="60" spans="6:20">
      <c r="F60" s="444" t="s">
        <v>1335</v>
      </c>
      <c r="G60" s="445">
        <v>500</v>
      </c>
      <c r="H60" s="446" t="s">
        <v>1336</v>
      </c>
      <c r="I60" s="446">
        <f>0.511</f>
        <v>0.51100000000000001</v>
      </c>
      <c r="J60" s="143">
        <f>I60/SUM($I$60:$I$62)</f>
        <v>0.60545023696682465</v>
      </c>
      <c r="K60" s="445"/>
      <c r="L60" s="447"/>
      <c r="M60" s="447"/>
      <c r="N60" s="447"/>
      <c r="P60" s="447"/>
      <c r="Q60" s="447"/>
      <c r="R60" s="447"/>
      <c r="T60" s="447"/>
    </row>
    <row r="61" spans="6:20">
      <c r="F61" s="444" t="s">
        <v>1337</v>
      </c>
      <c r="G61" s="445">
        <v>1600</v>
      </c>
      <c r="H61" s="446" t="s">
        <v>1336</v>
      </c>
      <c r="I61" s="446">
        <v>0.25900000000000001</v>
      </c>
      <c r="J61" s="143">
        <f>I61/SUM($I$60:$I$62)</f>
        <v>0.30687203791469198</v>
      </c>
      <c r="K61" s="445"/>
      <c r="L61" s="447"/>
      <c r="M61" s="447"/>
      <c r="N61" s="447"/>
      <c r="P61" s="447"/>
      <c r="Q61" s="447"/>
      <c r="R61" s="447"/>
      <c r="T61" s="447"/>
    </row>
    <row r="62" spans="6:20">
      <c r="F62" s="444" t="s">
        <v>1338</v>
      </c>
      <c r="G62" s="445">
        <v>1700</v>
      </c>
      <c r="H62" s="446" t="s">
        <v>1336</v>
      </c>
      <c r="I62" s="446">
        <v>7.3999999999999996E-2</v>
      </c>
      <c r="J62" s="143">
        <f>I62/SUM($I$60:$I$62)</f>
        <v>8.7677725118483416E-2</v>
      </c>
      <c r="K62" s="445"/>
      <c r="L62" s="447"/>
      <c r="M62" s="447"/>
      <c r="N62" s="447"/>
      <c r="P62" s="447"/>
      <c r="Q62" s="447"/>
      <c r="R62" s="447"/>
      <c r="T62" s="447"/>
    </row>
    <row r="63" spans="6:20">
      <c r="F63" s="444"/>
      <c r="G63" s="445"/>
      <c r="H63" s="446"/>
      <c r="I63" s="446"/>
      <c r="J63" s="143"/>
      <c r="K63" s="445"/>
      <c r="L63" s="447"/>
      <c r="M63" s="447"/>
      <c r="N63" s="447"/>
      <c r="P63" s="447"/>
      <c r="Q63" s="447"/>
      <c r="R63" s="447"/>
      <c r="T63" s="447"/>
    </row>
    <row r="64" spans="6:20">
      <c r="F64" s="444" t="s">
        <v>1339</v>
      </c>
      <c r="G64" s="445">
        <f>SUMPRODUCT(G60:G62,J60:J62)</f>
        <v>942.7725118483412</v>
      </c>
      <c r="H64" s="446"/>
      <c r="I64" s="446"/>
      <c r="J64" s="143"/>
      <c r="K64" s="445"/>
      <c r="L64" s="447"/>
      <c r="M64" s="447"/>
      <c r="N64" s="447"/>
      <c r="P64" s="447"/>
      <c r="Q64" s="447"/>
      <c r="R64" s="447"/>
      <c r="T64" s="447"/>
    </row>
  </sheetData>
  <mergeCells count="1">
    <mergeCell ref="Z1:AE1"/>
  </mergeCells>
  <conditionalFormatting sqref="D10:W32">
    <cfRule type="expression" dxfId="205" priority="1">
      <formula>MOD(ROW(),2)=0</formula>
    </cfRule>
  </conditionalFormatting>
  <conditionalFormatting sqref="Y10:AE32">
    <cfRule type="expression" dxfId="204" priority="14">
      <formula>MOD(ROW(),2)=0</formula>
    </cfRule>
  </conditionalFormatting>
  <conditionalFormatting sqref="AF10:AP32">
    <cfRule type="expression" dxfId="203" priority="8">
      <formula>MOD(ROW(),2)=0</formula>
    </cfRule>
  </conditionalFormatting>
  <dataValidations disablePrompts="1"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Z3" xr:uid="{00000000-0002-0000-21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E3" xr:uid="{00000000-0002-0000-21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D3" xr:uid="{00000000-0002-0000-21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C3" xr:uid="{00000000-0002-0000-21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B3" xr:uid="{00000000-0002-0000-21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A3" xr:uid="{00000000-0002-0000-2100-000005000000}"/>
    <dataValidation allowBlank="1" showInputMessage="1" showErrorMessage="1" prompt="Do not change." sqref="AF3:AP4" xr:uid="{00000000-0002-0000-2100-000006000000}"/>
    <dataValidation allowBlank="1" showInputMessage="1" showErrorMessage="1" promptTitle="Remarks" prompt="A general comment (data source, calculation procedure, ...) can be made about each individual exchange. The remarks are added to the GeneralComment-field." sqref="Y3" xr:uid="{00000000-0002-0000-2100-000007000000}"/>
    <dataValidation allowBlank="1" showInputMessage="1" showErrorMessage="1" promptTitle="Do not change" prompt="This field is automatically updated from the names-list" sqref="AF10:AF32" xr:uid="{00000000-0002-0000-2100-000008000000}"/>
  </dataValidations>
  <pageMargins left="0.78740157499999996" right="0.78740157499999996" top="0.984251969" bottom="0.984251969" header="0.4921259845" footer="0.4921259845"/>
  <pageSetup paperSize="9" scale="37"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14">
    <tabColor rgb="FF9CD9F0"/>
    <pageSetUpPr fitToPage="1"/>
  </sheetPr>
  <dimension ref="A1:AT54"/>
  <sheetViews>
    <sheetView topLeftCell="A6" workbookViewId="0">
      <selection activeCell="P21" sqref="A1:XFD1048576"/>
    </sheetView>
  </sheetViews>
  <sheetFormatPr baseColWidth="10" defaultColWidth="11.42578125" defaultRowHeight="12" outlineLevelRow="1"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5.7109375" style="120" hidden="1" customWidth="1" outlineLevel="1"/>
    <col min="15" max="15" width="40.7109375" style="109" hidden="1" customWidth="1" outlineLevel="1"/>
    <col min="16" max="16" width="15.7109375" style="277" customWidth="1" collapsed="1"/>
    <col min="17" max="18" width="5.7109375" style="120" hidden="1" customWidth="1" outlineLevel="1"/>
    <col min="19" max="19" width="40.7109375" style="109" hidden="1" customWidth="1" outlineLevel="1"/>
    <col min="20" max="20" width="15.7109375" style="277" customWidth="1" collapsed="1"/>
    <col min="21" max="22" width="5.7109375" style="120" hidden="1" customWidth="1" outlineLevel="1"/>
    <col min="23" max="23" width="40.7109375" style="109" hidden="1" customWidth="1" outlineLevel="1"/>
    <col min="24" max="24" width="4.140625" style="109" customWidth="1" collapsed="1"/>
    <col min="25" max="25" width="40.7109375" style="128" customWidth="1"/>
    <col min="26" max="26" width="4.7109375" style="402" hidden="1" customWidth="1" outlineLevel="1"/>
    <col min="27" max="35" width="4.7109375" style="395" hidden="1" customWidth="1" outlineLevel="1"/>
    <col min="36" max="36" width="12.7109375" style="395" hidden="1" customWidth="1" outlineLevel="1"/>
    <col min="37" max="42" width="4.7109375" style="277" hidden="1" customWidth="1" outlineLevel="1"/>
    <col min="43" max="43" width="11.42578125" style="277" customWidth="1" collapsed="1"/>
    <col min="44" max="44" width="11.42578125" style="277" customWidth="1"/>
    <col min="45" max="46" width="11.42578125" style="132" customWidth="1"/>
    <col min="47" max="48" width="11.42578125" style="277" customWidth="1"/>
    <col min="49" max="16384" width="11.42578125" style="277"/>
  </cols>
  <sheetData>
    <row r="1" spans="1:42" ht="12.75" customHeight="1">
      <c r="A1" s="77"/>
      <c r="B1" s="78"/>
      <c r="C1" s="79"/>
      <c r="D1" s="77"/>
      <c r="E1" s="77"/>
      <c r="F1" s="80" t="s">
        <v>65</v>
      </c>
      <c r="G1" s="77"/>
      <c r="H1" s="77"/>
      <c r="I1" s="77"/>
      <c r="J1" s="77"/>
      <c r="K1" s="77"/>
      <c r="L1" s="330">
        <f>A7</f>
        <v>264813</v>
      </c>
      <c r="M1" s="330"/>
      <c r="N1" s="330"/>
      <c r="O1" s="330"/>
      <c r="P1" s="330" t="str">
        <f>A8</f>
        <v>Z-PV-136</v>
      </c>
      <c r="Q1" s="330"/>
      <c r="R1" s="330"/>
      <c r="S1" s="330"/>
      <c r="T1" s="330" t="str">
        <f>A9</f>
        <v>Z-PV-137</v>
      </c>
      <c r="U1" s="81"/>
      <c r="V1" s="81"/>
      <c r="W1" s="81"/>
      <c r="Y1" s="378"/>
      <c r="Z1" s="1586"/>
      <c r="AA1" s="1588"/>
      <c r="AB1" s="1588"/>
      <c r="AC1" s="1588"/>
      <c r="AD1" s="1588"/>
      <c r="AE1" s="1588"/>
      <c r="AF1" s="406"/>
      <c r="AG1" s="406"/>
      <c r="AH1" s="406"/>
      <c r="AI1" s="406"/>
      <c r="AJ1" s="406"/>
      <c r="AK1" s="378"/>
      <c r="AL1" s="378"/>
      <c r="AM1" s="378"/>
      <c r="AN1" s="378"/>
      <c r="AO1" s="378"/>
      <c r="AP1" s="378"/>
    </row>
    <row r="2" spans="1:42"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421"/>
      <c r="Y2" s="406"/>
      <c r="Z2" s="406"/>
      <c r="AA2" s="406"/>
      <c r="AB2" s="406"/>
      <c r="AC2" s="406"/>
      <c r="AD2" s="406"/>
      <c r="AE2" s="406"/>
      <c r="AF2" s="406"/>
      <c r="AG2" s="378"/>
      <c r="AH2" s="378"/>
      <c r="AI2" s="378"/>
      <c r="AJ2" s="378"/>
      <c r="AK2" s="378"/>
      <c r="AL2" s="378"/>
      <c r="AM2" s="378"/>
      <c r="AN2" s="378"/>
      <c r="AO2" s="378"/>
      <c r="AP2" s="378"/>
    </row>
    <row r="3" spans="1:42" ht="105" customHeight="1">
      <c r="A3" s="83" t="s">
        <v>68</v>
      </c>
      <c r="B3" s="84"/>
      <c r="C3" s="79">
        <v>401</v>
      </c>
      <c r="D3" s="85" t="s">
        <v>69</v>
      </c>
      <c r="E3" s="85" t="s">
        <v>70</v>
      </c>
      <c r="F3" s="86" t="s">
        <v>71</v>
      </c>
      <c r="G3" s="85" t="s">
        <v>72</v>
      </c>
      <c r="H3" s="85" t="s">
        <v>73</v>
      </c>
      <c r="I3" s="85" t="s">
        <v>74</v>
      </c>
      <c r="J3" s="85" t="s">
        <v>75</v>
      </c>
      <c r="K3" s="85" t="s">
        <v>76</v>
      </c>
      <c r="L3" s="87" t="s">
        <v>1340</v>
      </c>
      <c r="M3" s="422" t="s">
        <v>78</v>
      </c>
      <c r="N3" s="422" t="s">
        <v>79</v>
      </c>
      <c r="O3" s="423" t="s">
        <v>80</v>
      </c>
      <c r="P3" s="87" t="s">
        <v>1341</v>
      </c>
      <c r="Q3" s="422" t="s">
        <v>78</v>
      </c>
      <c r="R3" s="422" t="s">
        <v>79</v>
      </c>
      <c r="S3" s="423" t="s">
        <v>80</v>
      </c>
      <c r="T3" s="87" t="s">
        <v>1342</v>
      </c>
      <c r="U3" s="422" t="s">
        <v>78</v>
      </c>
      <c r="V3" s="422" t="s">
        <v>79</v>
      </c>
      <c r="W3" s="423" t="s">
        <v>80</v>
      </c>
      <c r="X3" s="424"/>
      <c r="Y3" s="97" t="s">
        <v>363</v>
      </c>
      <c r="Z3" s="98" t="s">
        <v>364</v>
      </c>
      <c r="AA3" s="98" t="s">
        <v>365</v>
      </c>
      <c r="AB3" s="98" t="s">
        <v>366</v>
      </c>
      <c r="AC3" s="98" t="s">
        <v>367</v>
      </c>
      <c r="AD3" s="98" t="s">
        <v>368</v>
      </c>
      <c r="AE3" s="98" t="s">
        <v>369</v>
      </c>
      <c r="AF3" s="99" t="s">
        <v>88</v>
      </c>
      <c r="AG3" s="99" t="s">
        <v>370</v>
      </c>
      <c r="AH3" s="99" t="s">
        <v>90</v>
      </c>
      <c r="AI3" s="99" t="s">
        <v>91</v>
      </c>
      <c r="AJ3" s="99" t="s">
        <v>371</v>
      </c>
      <c r="AK3" s="100" t="s">
        <v>364</v>
      </c>
      <c r="AL3" s="100" t="s">
        <v>365</v>
      </c>
      <c r="AM3" s="100" t="s">
        <v>366</v>
      </c>
      <c r="AN3" s="100" t="s">
        <v>367</v>
      </c>
      <c r="AO3" s="100" t="s">
        <v>368</v>
      </c>
      <c r="AP3" s="100" t="s">
        <v>369</v>
      </c>
    </row>
    <row r="4" spans="1:42" ht="12.75" customHeight="1">
      <c r="A4" s="77"/>
      <c r="B4" s="84"/>
      <c r="C4" s="79">
        <v>662</v>
      </c>
      <c r="D4" s="86"/>
      <c r="E4" s="86"/>
      <c r="F4" s="86" t="s">
        <v>72</v>
      </c>
      <c r="G4" s="86"/>
      <c r="H4" s="86"/>
      <c r="I4" s="86"/>
      <c r="J4" s="86"/>
      <c r="K4" s="86"/>
      <c r="L4" s="87" t="s">
        <v>215</v>
      </c>
      <c r="M4" s="425"/>
      <c r="N4" s="425"/>
      <c r="O4" s="426"/>
      <c r="P4" s="87" t="s">
        <v>215</v>
      </c>
      <c r="Q4" s="425"/>
      <c r="R4" s="425"/>
      <c r="S4" s="426"/>
      <c r="T4" s="87" t="s">
        <v>215</v>
      </c>
      <c r="U4" s="425"/>
      <c r="V4" s="425"/>
      <c r="W4" s="426"/>
      <c r="X4" s="427"/>
      <c r="Y4" s="101"/>
      <c r="Z4" s="102" t="s">
        <v>94</v>
      </c>
      <c r="AA4" s="97"/>
      <c r="AB4" s="97"/>
      <c r="AC4" s="97"/>
      <c r="AD4" s="97"/>
      <c r="AE4" s="97"/>
      <c r="AF4" s="103"/>
      <c r="AG4" s="103"/>
      <c r="AH4" s="103" t="s">
        <v>95</v>
      </c>
      <c r="AI4" s="103" t="s">
        <v>95</v>
      </c>
      <c r="AJ4" s="104"/>
      <c r="AK4" s="105"/>
      <c r="AL4" s="105"/>
      <c r="AM4" s="105"/>
      <c r="AN4" s="105"/>
      <c r="AO4" s="105"/>
      <c r="AP4" s="105"/>
    </row>
    <row r="5" spans="1:42" ht="12.75" customHeigh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427"/>
      <c r="Y5" s="101"/>
      <c r="Z5" s="97"/>
      <c r="AA5" s="97"/>
      <c r="AB5" s="97"/>
      <c r="AC5" s="97"/>
      <c r="AD5" s="97"/>
      <c r="AE5" s="97"/>
      <c r="AF5" s="104"/>
      <c r="AG5" s="104"/>
      <c r="AH5" s="104"/>
      <c r="AI5" s="104"/>
      <c r="AJ5" s="104"/>
      <c r="AK5" s="105"/>
      <c r="AL5" s="105"/>
      <c r="AM5" s="105"/>
      <c r="AN5" s="105"/>
      <c r="AO5" s="105"/>
      <c r="AP5" s="105"/>
    </row>
    <row r="6" spans="1:42" ht="12.75" customHeigh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427"/>
      <c r="Y6" s="101"/>
      <c r="Z6" s="106"/>
      <c r="AA6" s="106"/>
      <c r="AB6" s="106"/>
      <c r="AC6" s="106"/>
      <c r="AD6" s="106"/>
      <c r="AE6" s="106"/>
      <c r="AF6" s="104"/>
      <c r="AG6" s="104"/>
      <c r="AH6" s="428"/>
      <c r="AI6" s="428"/>
      <c r="AJ6" s="107"/>
      <c r="AK6" s="105"/>
      <c r="AL6" s="105"/>
      <c r="AM6" s="105"/>
      <c r="AN6" s="105"/>
      <c r="AO6" s="105"/>
      <c r="AP6" s="105"/>
    </row>
    <row r="7" spans="1:42" s="139" customFormat="1" ht="24" customHeight="1">
      <c r="A7" s="330">
        <v>264813</v>
      </c>
      <c r="B7" s="331" t="s">
        <v>97</v>
      </c>
      <c r="C7" s="88"/>
      <c r="D7" s="294" t="s">
        <v>98</v>
      </c>
      <c r="E7" s="295">
        <v>0</v>
      </c>
      <c r="F7" s="429" t="s">
        <v>1340</v>
      </c>
      <c r="G7" s="430" t="s">
        <v>215</v>
      </c>
      <c r="H7" s="431" t="s">
        <v>98</v>
      </c>
      <c r="I7" s="431" t="s">
        <v>98</v>
      </c>
      <c r="J7" s="89">
        <v>1</v>
      </c>
      <c r="K7" s="430" t="s">
        <v>679</v>
      </c>
      <c r="L7" s="90">
        <v>1</v>
      </c>
      <c r="M7" s="91"/>
      <c r="N7" s="92"/>
      <c r="O7" s="93"/>
      <c r="P7" s="90">
        <v>0</v>
      </c>
      <c r="Q7" s="91"/>
      <c r="R7" s="92"/>
      <c r="S7" s="93"/>
      <c r="T7" s="90">
        <v>0</v>
      </c>
      <c r="U7" s="91"/>
      <c r="V7" s="92"/>
      <c r="W7" s="93"/>
      <c r="X7" s="427"/>
      <c r="Y7" s="101"/>
      <c r="Z7" s="97"/>
      <c r="AA7" s="97"/>
      <c r="AB7" s="97"/>
      <c r="AC7" s="97"/>
      <c r="AD7" s="97"/>
      <c r="AE7" s="97"/>
      <c r="AF7" s="104"/>
      <c r="AG7" s="104"/>
      <c r="AH7" s="104"/>
      <c r="AI7" s="104"/>
      <c r="AJ7" s="104"/>
      <c r="AK7" s="104"/>
      <c r="AL7" s="104"/>
      <c r="AM7" s="104"/>
      <c r="AN7" s="104"/>
      <c r="AO7" s="104"/>
      <c r="AP7" s="104"/>
    </row>
    <row r="8" spans="1:42" s="139" customFormat="1" ht="24" customHeight="1">
      <c r="A8" s="330" t="s">
        <v>1343</v>
      </c>
      <c r="B8" s="331"/>
      <c r="C8" s="88"/>
      <c r="D8" s="294" t="s">
        <v>98</v>
      </c>
      <c r="E8" s="295">
        <v>0</v>
      </c>
      <c r="F8" s="429" t="s">
        <v>1341</v>
      </c>
      <c r="G8" s="430" t="s">
        <v>215</v>
      </c>
      <c r="H8" s="431" t="s">
        <v>98</v>
      </c>
      <c r="I8" s="431" t="s">
        <v>98</v>
      </c>
      <c r="J8" s="89">
        <v>1</v>
      </c>
      <c r="K8" s="430" t="s">
        <v>679</v>
      </c>
      <c r="L8" s="90">
        <v>0</v>
      </c>
      <c r="M8" s="91"/>
      <c r="N8" s="92"/>
      <c r="O8" s="93"/>
      <c r="P8" s="90">
        <v>1</v>
      </c>
      <c r="Q8" s="91"/>
      <c r="R8" s="92"/>
      <c r="S8" s="93"/>
      <c r="T8" s="90">
        <v>0</v>
      </c>
      <c r="U8" s="91"/>
      <c r="V8" s="92"/>
      <c r="W8" s="93"/>
      <c r="X8" s="427"/>
      <c r="Y8" s="101"/>
      <c r="Z8" s="97"/>
      <c r="AA8" s="97"/>
      <c r="AB8" s="97"/>
      <c r="AC8" s="97"/>
      <c r="AD8" s="97"/>
      <c r="AE8" s="97"/>
      <c r="AF8" s="104"/>
      <c r="AG8" s="104"/>
      <c r="AH8" s="104"/>
      <c r="AI8" s="104"/>
      <c r="AJ8" s="104"/>
      <c r="AK8" s="104"/>
      <c r="AL8" s="104"/>
      <c r="AM8" s="104"/>
      <c r="AN8" s="104"/>
      <c r="AO8" s="104"/>
      <c r="AP8" s="104"/>
    </row>
    <row r="9" spans="1:42" s="139" customFormat="1" ht="24" customHeight="1">
      <c r="A9" s="330" t="s">
        <v>1344</v>
      </c>
      <c r="B9" s="331"/>
      <c r="C9" s="88"/>
      <c r="D9" s="294" t="s">
        <v>98</v>
      </c>
      <c r="E9" s="295">
        <v>0</v>
      </c>
      <c r="F9" s="429" t="s">
        <v>1342</v>
      </c>
      <c r="G9" s="430" t="s">
        <v>215</v>
      </c>
      <c r="H9" s="431" t="s">
        <v>98</v>
      </c>
      <c r="I9" s="431" t="s">
        <v>98</v>
      </c>
      <c r="J9" s="89">
        <v>1</v>
      </c>
      <c r="K9" s="430" t="s">
        <v>679</v>
      </c>
      <c r="L9" s="90">
        <v>0</v>
      </c>
      <c r="M9" s="91"/>
      <c r="N9" s="92"/>
      <c r="O9" s="93"/>
      <c r="P9" s="90">
        <v>0</v>
      </c>
      <c r="Q9" s="91"/>
      <c r="R9" s="92"/>
      <c r="S9" s="93"/>
      <c r="T9" s="90">
        <v>1</v>
      </c>
      <c r="U9" s="91"/>
      <c r="V9" s="92"/>
      <c r="W9" s="93"/>
      <c r="X9" s="427"/>
      <c r="Y9" s="101"/>
      <c r="Z9" s="97"/>
      <c r="AA9" s="97"/>
      <c r="AB9" s="97"/>
      <c r="AC9" s="97"/>
      <c r="AD9" s="97"/>
      <c r="AE9" s="97"/>
      <c r="AF9" s="104"/>
      <c r="AG9" s="104"/>
      <c r="AH9" s="104"/>
      <c r="AI9" s="104"/>
      <c r="AJ9" s="104"/>
      <c r="AK9" s="104"/>
      <c r="AL9" s="104"/>
      <c r="AM9" s="104"/>
      <c r="AN9" s="104"/>
      <c r="AO9" s="104"/>
      <c r="AP9" s="104"/>
    </row>
    <row r="10" spans="1:42" ht="24" customHeight="1">
      <c r="A10" s="330" t="s">
        <v>1153</v>
      </c>
      <c r="B10" s="331"/>
      <c r="C10" s="88"/>
      <c r="D10" s="340">
        <v>5</v>
      </c>
      <c r="E10" s="341" t="s">
        <v>98</v>
      </c>
      <c r="F10" s="432" t="s">
        <v>1127</v>
      </c>
      <c r="G10" s="433" t="s">
        <v>215</v>
      </c>
      <c r="H10" s="434" t="s">
        <v>98</v>
      </c>
      <c r="I10" s="434" t="s">
        <v>98</v>
      </c>
      <c r="J10" s="94">
        <v>1</v>
      </c>
      <c r="K10" s="433" t="s">
        <v>679</v>
      </c>
      <c r="L10" s="350">
        <v>0</v>
      </c>
      <c r="M10" s="95">
        <v>1</v>
      </c>
      <c r="N10" s="96">
        <f t="shared" ref="N10:N33" si="0">$AI10</f>
        <v>3.0909055800049732</v>
      </c>
      <c r="O10" s="377" t="str">
        <f t="shared" ref="O10:O33" si="1">$AJ10&amp;"; "&amp;$Y10</f>
        <v>(4,1,1,1,1,5); Market share US modules</v>
      </c>
      <c r="P10" s="350">
        <v>4.3836962522650701E-2</v>
      </c>
      <c r="Q10" s="95">
        <v>1</v>
      </c>
      <c r="R10" s="96">
        <f t="shared" ref="R10:R33" si="2">$AI10</f>
        <v>3.0909055800049732</v>
      </c>
      <c r="S10" s="377" t="str">
        <f t="shared" ref="S10:S33" si="3">$AJ10&amp;"; "&amp;$Y10</f>
        <v>(4,1,1,1,1,5); Market share US modules</v>
      </c>
      <c r="T10" s="350">
        <v>0</v>
      </c>
      <c r="U10" s="95">
        <v>1</v>
      </c>
      <c r="V10" s="96">
        <f t="shared" ref="V10:V33" si="4">$AI10</f>
        <v>3.0909055800049732</v>
      </c>
      <c r="W10" s="432" t="str">
        <f t="shared" ref="W10:W33" si="5">$AJ10&amp;"; "&amp;$Y10</f>
        <v>(4,1,1,1,1,5); Market share US modules</v>
      </c>
      <c r="X10" s="112"/>
      <c r="Y10" s="77" t="s">
        <v>1345</v>
      </c>
      <c r="Z10" s="339">
        <v>4</v>
      </c>
      <c r="AA10" s="339">
        <v>1</v>
      </c>
      <c r="AB10" s="339">
        <v>1</v>
      </c>
      <c r="AC10" s="339">
        <v>1</v>
      </c>
      <c r="AD10" s="339">
        <v>1</v>
      </c>
      <c r="AE10" s="339">
        <v>5</v>
      </c>
      <c r="AF10" s="104">
        <v>9</v>
      </c>
      <c r="AG10" s="104">
        <v>3</v>
      </c>
      <c r="AH10" s="107">
        <f t="shared" ref="AH10:AH33" si="6">EXP(SQRT((LN(AK10)^2)+(LN(AL10)^2)+(LN(AM10)^2)+(LN(AN10)^2)+(LN(AO10)^2)+(LN(AP10)^2)))</f>
        <v>1.2941338353151037</v>
      </c>
      <c r="AI10" s="107">
        <f t="shared" ref="AI10:AI33" si="7">EXP(SQRT((LN(AK10)^2)+(LN(AL10)^2)+(LN(AM10)^2)+(LN(AN10)^2)+(LN(AO10)^2)+(LN(AP10)^2)+LN(AG10)^2))</f>
        <v>3.0909055800049732</v>
      </c>
      <c r="AJ10" s="107" t="str">
        <f t="shared" ref="AJ10:AJ33" si="8">CONCATENATE("(",Z10,",",AA10,",",AB10,",",AC10,",",AD10,",",AE10,")")</f>
        <v>(4,1,1,1,1,5)</v>
      </c>
      <c r="AK10" s="108">
        <v>1.2</v>
      </c>
      <c r="AL10" s="108">
        <v>1</v>
      </c>
      <c r="AM10" s="108">
        <v>1</v>
      </c>
      <c r="AN10" s="108">
        <v>1</v>
      </c>
      <c r="AO10" s="108">
        <v>1</v>
      </c>
      <c r="AP10" s="108">
        <v>1.2</v>
      </c>
    </row>
    <row r="11" spans="1:42" ht="24" customHeight="1">
      <c r="A11" s="330" t="s">
        <v>1154</v>
      </c>
      <c r="B11" s="331"/>
      <c r="C11" s="88"/>
      <c r="D11" s="340">
        <v>5</v>
      </c>
      <c r="E11" s="341" t="s">
        <v>98</v>
      </c>
      <c r="F11" s="432" t="s">
        <v>1128</v>
      </c>
      <c r="G11" s="433" t="s">
        <v>215</v>
      </c>
      <c r="H11" s="434" t="s">
        <v>98</v>
      </c>
      <c r="I11" s="434" t="s">
        <v>98</v>
      </c>
      <c r="J11" s="94">
        <v>1</v>
      </c>
      <c r="K11" s="433" t="s">
        <v>679</v>
      </c>
      <c r="L11" s="350">
        <v>0</v>
      </c>
      <c r="M11" s="95">
        <v>1</v>
      </c>
      <c r="N11" s="96">
        <f t="shared" si="0"/>
        <v>3.0909055800049732</v>
      </c>
      <c r="O11" s="377" t="str">
        <f t="shared" si="1"/>
        <v>(4,1,1,1,1,5); Market share US modules</v>
      </c>
      <c r="P11" s="350">
        <v>0.104112785991295</v>
      </c>
      <c r="Q11" s="95">
        <v>1</v>
      </c>
      <c r="R11" s="96">
        <f t="shared" si="2"/>
        <v>3.0909055800049732</v>
      </c>
      <c r="S11" s="377" t="str">
        <f t="shared" si="3"/>
        <v>(4,1,1,1,1,5); Market share US modules</v>
      </c>
      <c r="T11" s="350">
        <v>0</v>
      </c>
      <c r="U11" s="95">
        <v>1</v>
      </c>
      <c r="V11" s="96">
        <f t="shared" si="4"/>
        <v>3.0909055800049732</v>
      </c>
      <c r="W11" s="432" t="str">
        <f t="shared" si="5"/>
        <v>(4,1,1,1,1,5); Market share US modules</v>
      </c>
      <c r="X11" s="112"/>
      <c r="Y11" s="77" t="s">
        <v>1345</v>
      </c>
      <c r="Z11" s="339">
        <v>4</v>
      </c>
      <c r="AA11" s="339">
        <v>1</v>
      </c>
      <c r="AB11" s="339">
        <v>1</v>
      </c>
      <c r="AC11" s="339">
        <v>1</v>
      </c>
      <c r="AD11" s="339">
        <v>1</v>
      </c>
      <c r="AE11" s="339">
        <v>5</v>
      </c>
      <c r="AF11" s="104">
        <v>9</v>
      </c>
      <c r="AG11" s="104">
        <v>3</v>
      </c>
      <c r="AH11" s="107">
        <f t="shared" si="6"/>
        <v>1.2941338353151037</v>
      </c>
      <c r="AI11" s="107">
        <f t="shared" si="7"/>
        <v>3.0909055800049732</v>
      </c>
      <c r="AJ11" s="107" t="str">
        <f t="shared" si="8"/>
        <v>(4,1,1,1,1,5)</v>
      </c>
      <c r="AK11" s="108">
        <v>1.2</v>
      </c>
      <c r="AL11" s="108">
        <v>1</v>
      </c>
      <c r="AM11" s="108">
        <v>1</v>
      </c>
      <c r="AN11" s="108">
        <v>1</v>
      </c>
      <c r="AO11" s="108">
        <v>1</v>
      </c>
      <c r="AP11" s="108">
        <v>1.2</v>
      </c>
    </row>
    <row r="12" spans="1:42" ht="24" customHeight="1">
      <c r="A12" s="330" t="s">
        <v>1155</v>
      </c>
      <c r="B12" s="331"/>
      <c r="C12" s="88"/>
      <c r="D12" s="340">
        <v>5</v>
      </c>
      <c r="E12" s="341" t="s">
        <v>98</v>
      </c>
      <c r="F12" s="432" t="s">
        <v>1129</v>
      </c>
      <c r="G12" s="433" t="s">
        <v>215</v>
      </c>
      <c r="H12" s="434" t="s">
        <v>98</v>
      </c>
      <c r="I12" s="434" t="s">
        <v>98</v>
      </c>
      <c r="J12" s="94">
        <v>1</v>
      </c>
      <c r="K12" s="433" t="s">
        <v>679</v>
      </c>
      <c r="L12" s="350">
        <v>0</v>
      </c>
      <c r="M12" s="95">
        <v>1</v>
      </c>
      <c r="N12" s="96">
        <f t="shared" si="0"/>
        <v>3.0909055800049732</v>
      </c>
      <c r="O12" s="377" t="str">
        <f t="shared" si="1"/>
        <v>(4,1,1,1,1,5); Market share US modules</v>
      </c>
      <c r="P12" s="350">
        <v>0</v>
      </c>
      <c r="Q12" s="95">
        <v>1</v>
      </c>
      <c r="R12" s="96">
        <f t="shared" si="2"/>
        <v>3.0909055800049732</v>
      </c>
      <c r="S12" s="377" t="str">
        <f t="shared" si="3"/>
        <v>(4,1,1,1,1,5); Market share US modules</v>
      </c>
      <c r="T12" s="350">
        <v>8.6079853680841298E-2</v>
      </c>
      <c r="U12" s="95">
        <v>1</v>
      </c>
      <c r="V12" s="96">
        <f t="shared" si="4"/>
        <v>3.0909055800049732</v>
      </c>
      <c r="W12" s="432" t="str">
        <f t="shared" si="5"/>
        <v>(4,1,1,1,1,5); Market share US modules</v>
      </c>
      <c r="X12" s="112"/>
      <c r="Y12" s="77" t="s">
        <v>1345</v>
      </c>
      <c r="Z12" s="339">
        <v>4</v>
      </c>
      <c r="AA12" s="339">
        <v>1</v>
      </c>
      <c r="AB12" s="339">
        <v>1</v>
      </c>
      <c r="AC12" s="339">
        <v>1</v>
      </c>
      <c r="AD12" s="339">
        <v>1</v>
      </c>
      <c r="AE12" s="339">
        <v>5</v>
      </c>
      <c r="AF12" s="104">
        <v>9</v>
      </c>
      <c r="AG12" s="104">
        <v>3</v>
      </c>
      <c r="AH12" s="107">
        <f t="shared" si="6"/>
        <v>1.2941338353151037</v>
      </c>
      <c r="AI12" s="107">
        <f t="shared" si="7"/>
        <v>3.0909055800049732</v>
      </c>
      <c r="AJ12" s="107" t="str">
        <f t="shared" si="8"/>
        <v>(4,1,1,1,1,5)</v>
      </c>
      <c r="AK12" s="108">
        <v>1.2</v>
      </c>
      <c r="AL12" s="108">
        <v>1</v>
      </c>
      <c r="AM12" s="108">
        <v>1</v>
      </c>
      <c r="AN12" s="108">
        <v>1</v>
      </c>
      <c r="AO12" s="108">
        <v>1</v>
      </c>
      <c r="AP12" s="108">
        <v>1.2</v>
      </c>
    </row>
    <row r="13" spans="1:42" ht="24" customHeight="1">
      <c r="A13" s="330" t="s">
        <v>1156</v>
      </c>
      <c r="B13" s="331"/>
      <c r="C13" s="88"/>
      <c r="D13" s="340">
        <v>5</v>
      </c>
      <c r="E13" s="341" t="s">
        <v>98</v>
      </c>
      <c r="F13" s="432" t="s">
        <v>1130</v>
      </c>
      <c r="G13" s="433" t="s">
        <v>215</v>
      </c>
      <c r="H13" s="434" t="s">
        <v>98</v>
      </c>
      <c r="I13" s="434" t="s">
        <v>98</v>
      </c>
      <c r="J13" s="94">
        <v>1</v>
      </c>
      <c r="K13" s="433" t="s">
        <v>679</v>
      </c>
      <c r="L13" s="350">
        <v>0</v>
      </c>
      <c r="M13" s="95">
        <v>1</v>
      </c>
      <c r="N13" s="96">
        <f t="shared" si="0"/>
        <v>3.0909055800049732</v>
      </c>
      <c r="O13" s="377" t="str">
        <f t="shared" si="1"/>
        <v>(4,1,1,1,1,5); Market share US modules</v>
      </c>
      <c r="P13" s="350">
        <v>0</v>
      </c>
      <c r="Q13" s="95">
        <v>1</v>
      </c>
      <c r="R13" s="96">
        <f t="shared" si="2"/>
        <v>3.0909055800049732</v>
      </c>
      <c r="S13" s="377" t="str">
        <f t="shared" si="3"/>
        <v>(4,1,1,1,1,5); Market share US modules</v>
      </c>
      <c r="T13" s="350">
        <v>0.15601973479652501</v>
      </c>
      <c r="U13" s="95">
        <v>1</v>
      </c>
      <c r="V13" s="96">
        <f t="shared" si="4"/>
        <v>3.0909055800049732</v>
      </c>
      <c r="W13" s="432" t="str">
        <f t="shared" si="5"/>
        <v>(4,1,1,1,1,5); Market share US modules</v>
      </c>
      <c r="X13" s="112"/>
      <c r="Y13" s="77" t="s">
        <v>1345</v>
      </c>
      <c r="Z13" s="339">
        <v>4</v>
      </c>
      <c r="AA13" s="339">
        <v>1</v>
      </c>
      <c r="AB13" s="339">
        <v>1</v>
      </c>
      <c r="AC13" s="339">
        <v>1</v>
      </c>
      <c r="AD13" s="339">
        <v>1</v>
      </c>
      <c r="AE13" s="339">
        <v>5</v>
      </c>
      <c r="AF13" s="104">
        <v>9</v>
      </c>
      <c r="AG13" s="104">
        <v>3</v>
      </c>
      <c r="AH13" s="107">
        <f t="shared" si="6"/>
        <v>1.2941338353151037</v>
      </c>
      <c r="AI13" s="107">
        <f t="shared" si="7"/>
        <v>3.0909055800049732</v>
      </c>
      <c r="AJ13" s="107" t="str">
        <f t="shared" si="8"/>
        <v>(4,1,1,1,1,5)</v>
      </c>
      <c r="AK13" s="108">
        <v>1.2</v>
      </c>
      <c r="AL13" s="108">
        <v>1</v>
      </c>
      <c r="AM13" s="108">
        <v>1</v>
      </c>
      <c r="AN13" s="108">
        <v>1</v>
      </c>
      <c r="AO13" s="108">
        <v>1</v>
      </c>
      <c r="AP13" s="108">
        <v>1.2</v>
      </c>
    </row>
    <row r="14" spans="1:42" ht="24" customHeight="1">
      <c r="A14" s="330" t="s">
        <v>1268</v>
      </c>
      <c r="B14" s="331"/>
      <c r="C14" s="88"/>
      <c r="D14" s="340">
        <v>5</v>
      </c>
      <c r="E14" s="341" t="s">
        <v>98</v>
      </c>
      <c r="F14" s="432" t="s">
        <v>1257</v>
      </c>
      <c r="G14" s="433" t="s">
        <v>215</v>
      </c>
      <c r="H14" s="434" t="s">
        <v>98</v>
      </c>
      <c r="I14" s="434" t="s">
        <v>98</v>
      </c>
      <c r="J14" s="94">
        <v>1</v>
      </c>
      <c r="K14" s="433" t="s">
        <v>679</v>
      </c>
      <c r="L14" s="350">
        <v>0</v>
      </c>
      <c r="M14" s="95">
        <v>1</v>
      </c>
      <c r="N14" s="96">
        <f t="shared" si="0"/>
        <v>3.0909055800049732</v>
      </c>
      <c r="O14" s="377" t="str">
        <f t="shared" si="1"/>
        <v>(4,1,1,1,1,5); Market share US modules</v>
      </c>
      <c r="P14" s="350">
        <v>9.4149839963420204E-2</v>
      </c>
      <c r="Q14" s="95">
        <v>1</v>
      </c>
      <c r="R14" s="96">
        <f t="shared" si="2"/>
        <v>3.0909055800049732</v>
      </c>
      <c r="S14" s="377" t="str">
        <f t="shared" si="3"/>
        <v>(4,1,1,1,1,5); Market share US modules</v>
      </c>
      <c r="T14" s="350">
        <v>0</v>
      </c>
      <c r="U14" s="95">
        <v>1</v>
      </c>
      <c r="V14" s="96">
        <f t="shared" si="4"/>
        <v>3.0909055800049732</v>
      </c>
      <c r="W14" s="432" t="str">
        <f t="shared" si="5"/>
        <v>(4,1,1,1,1,5); Market share US modules</v>
      </c>
      <c r="X14" s="112"/>
      <c r="Y14" s="77" t="s">
        <v>1345</v>
      </c>
      <c r="Z14" s="339">
        <v>4</v>
      </c>
      <c r="AA14" s="339">
        <v>1</v>
      </c>
      <c r="AB14" s="339">
        <v>1</v>
      </c>
      <c r="AC14" s="339">
        <v>1</v>
      </c>
      <c r="AD14" s="339">
        <v>1</v>
      </c>
      <c r="AE14" s="339">
        <v>5</v>
      </c>
      <c r="AF14" s="104">
        <v>9</v>
      </c>
      <c r="AG14" s="104">
        <v>3</v>
      </c>
      <c r="AH14" s="107">
        <f t="shared" si="6"/>
        <v>1.2941338353151037</v>
      </c>
      <c r="AI14" s="107">
        <f t="shared" si="7"/>
        <v>3.0909055800049732</v>
      </c>
      <c r="AJ14" s="107" t="str">
        <f t="shared" si="8"/>
        <v>(4,1,1,1,1,5)</v>
      </c>
      <c r="AK14" s="108">
        <v>1.2</v>
      </c>
      <c r="AL14" s="108">
        <v>1</v>
      </c>
      <c r="AM14" s="108">
        <v>1</v>
      </c>
      <c r="AN14" s="108">
        <v>1</v>
      </c>
      <c r="AO14" s="108">
        <v>1</v>
      </c>
      <c r="AP14" s="108">
        <v>1.2</v>
      </c>
    </row>
    <row r="15" spans="1:42" ht="24" customHeight="1">
      <c r="A15" s="330" t="s">
        <v>1157</v>
      </c>
      <c r="B15" s="331"/>
      <c r="C15" s="88"/>
      <c r="D15" s="340">
        <v>5</v>
      </c>
      <c r="E15" s="341" t="s">
        <v>98</v>
      </c>
      <c r="F15" s="432" t="s">
        <v>1131</v>
      </c>
      <c r="G15" s="433" t="s">
        <v>215</v>
      </c>
      <c r="H15" s="434" t="s">
        <v>98</v>
      </c>
      <c r="I15" s="434" t="s">
        <v>98</v>
      </c>
      <c r="J15" s="94">
        <v>1</v>
      </c>
      <c r="K15" s="433" t="s">
        <v>679</v>
      </c>
      <c r="L15" s="350">
        <v>0.14794974851394599</v>
      </c>
      <c r="M15" s="95">
        <v>1</v>
      </c>
      <c r="N15" s="96">
        <f t="shared" si="0"/>
        <v>3.0909055800049732</v>
      </c>
      <c r="O15" s="377" t="str">
        <f t="shared" si="1"/>
        <v>(4,1,1,1,1,5); Market share US modules</v>
      </c>
      <c r="P15" s="350">
        <v>0</v>
      </c>
      <c r="Q15" s="95">
        <v>1</v>
      </c>
      <c r="R15" s="96">
        <f t="shared" si="2"/>
        <v>3.0909055800049732</v>
      </c>
      <c r="S15" s="377" t="str">
        <f t="shared" si="3"/>
        <v>(4,1,1,1,1,5); Market share US modules</v>
      </c>
      <c r="T15" s="350">
        <v>0</v>
      </c>
      <c r="U15" s="95">
        <v>1</v>
      </c>
      <c r="V15" s="96">
        <f t="shared" si="4"/>
        <v>3.0909055800049732</v>
      </c>
      <c r="W15" s="432" t="str">
        <f t="shared" si="5"/>
        <v>(4,1,1,1,1,5); Market share US modules</v>
      </c>
      <c r="X15" s="112"/>
      <c r="Y15" s="77" t="s">
        <v>1345</v>
      </c>
      <c r="Z15" s="339">
        <v>4</v>
      </c>
      <c r="AA15" s="339">
        <v>1</v>
      </c>
      <c r="AB15" s="339">
        <v>1</v>
      </c>
      <c r="AC15" s="339">
        <v>1</v>
      </c>
      <c r="AD15" s="339">
        <v>1</v>
      </c>
      <c r="AE15" s="339">
        <v>5</v>
      </c>
      <c r="AF15" s="104">
        <v>9</v>
      </c>
      <c r="AG15" s="104">
        <v>3</v>
      </c>
      <c r="AH15" s="107">
        <f t="shared" si="6"/>
        <v>1.2941338353151037</v>
      </c>
      <c r="AI15" s="107">
        <f t="shared" si="7"/>
        <v>3.0909055800049732</v>
      </c>
      <c r="AJ15" s="107" t="str">
        <f t="shared" si="8"/>
        <v>(4,1,1,1,1,5)</v>
      </c>
      <c r="AK15" s="108">
        <v>1.2</v>
      </c>
      <c r="AL15" s="108">
        <v>1</v>
      </c>
      <c r="AM15" s="108">
        <v>1</v>
      </c>
      <c r="AN15" s="108">
        <v>1</v>
      </c>
      <c r="AO15" s="108">
        <v>1</v>
      </c>
      <c r="AP15" s="108">
        <v>1.2</v>
      </c>
    </row>
    <row r="16" spans="1:42" ht="24" customHeight="1">
      <c r="A16" s="330" t="s">
        <v>1269</v>
      </c>
      <c r="B16" s="331"/>
      <c r="C16" s="88"/>
      <c r="D16" s="340">
        <v>5</v>
      </c>
      <c r="E16" s="341" t="s">
        <v>98</v>
      </c>
      <c r="F16" s="432" t="s">
        <v>1258</v>
      </c>
      <c r="G16" s="433" t="s">
        <v>215</v>
      </c>
      <c r="H16" s="434" t="s">
        <v>98</v>
      </c>
      <c r="I16" s="434" t="s">
        <v>98</v>
      </c>
      <c r="J16" s="94">
        <v>1</v>
      </c>
      <c r="K16" s="433" t="s">
        <v>679</v>
      </c>
      <c r="L16" s="350">
        <v>9.4149839963420204E-2</v>
      </c>
      <c r="M16" s="95">
        <v>1</v>
      </c>
      <c r="N16" s="96">
        <f t="shared" si="0"/>
        <v>3.0909055800049732</v>
      </c>
      <c r="O16" s="377" t="str">
        <f t="shared" si="1"/>
        <v>(4,1,1,1,1,5); Market share US modules</v>
      </c>
      <c r="P16" s="350">
        <v>0</v>
      </c>
      <c r="Q16" s="95">
        <v>1</v>
      </c>
      <c r="R16" s="96">
        <f t="shared" si="2"/>
        <v>3.0909055800049732</v>
      </c>
      <c r="S16" s="377" t="str">
        <f t="shared" si="3"/>
        <v>(4,1,1,1,1,5); Market share US modules</v>
      </c>
      <c r="T16" s="350">
        <v>0</v>
      </c>
      <c r="U16" s="95">
        <v>1</v>
      </c>
      <c r="V16" s="96">
        <f t="shared" si="4"/>
        <v>3.0909055800049732</v>
      </c>
      <c r="W16" s="432" t="str">
        <f t="shared" si="5"/>
        <v>(4,1,1,1,1,5); Market share US modules</v>
      </c>
      <c r="X16" s="112"/>
      <c r="Y16" s="77" t="s">
        <v>1345</v>
      </c>
      <c r="Z16" s="339">
        <v>4</v>
      </c>
      <c r="AA16" s="339">
        <v>1</v>
      </c>
      <c r="AB16" s="339">
        <v>1</v>
      </c>
      <c r="AC16" s="339">
        <v>1</v>
      </c>
      <c r="AD16" s="339">
        <v>1</v>
      </c>
      <c r="AE16" s="339">
        <v>5</v>
      </c>
      <c r="AF16" s="104">
        <v>9</v>
      </c>
      <c r="AG16" s="104">
        <v>3</v>
      </c>
      <c r="AH16" s="107">
        <f t="shared" si="6"/>
        <v>1.2941338353151037</v>
      </c>
      <c r="AI16" s="107">
        <f t="shared" si="7"/>
        <v>3.0909055800049732</v>
      </c>
      <c r="AJ16" s="107" t="str">
        <f t="shared" si="8"/>
        <v>(4,1,1,1,1,5)</v>
      </c>
      <c r="AK16" s="108">
        <v>1.2</v>
      </c>
      <c r="AL16" s="108">
        <v>1</v>
      </c>
      <c r="AM16" s="108">
        <v>1</v>
      </c>
      <c r="AN16" s="108">
        <v>1</v>
      </c>
      <c r="AO16" s="108">
        <v>1</v>
      </c>
      <c r="AP16" s="108">
        <v>1.2</v>
      </c>
    </row>
    <row r="17" spans="1:42" ht="24" customHeight="1">
      <c r="A17" s="330" t="s">
        <v>1148</v>
      </c>
      <c r="B17" s="331"/>
      <c r="C17" s="88"/>
      <c r="D17" s="340">
        <v>5</v>
      </c>
      <c r="E17" s="341" t="s">
        <v>98</v>
      </c>
      <c r="F17" s="432" t="s">
        <v>1122</v>
      </c>
      <c r="G17" s="433" t="s">
        <v>372</v>
      </c>
      <c r="H17" s="434" t="s">
        <v>98</v>
      </c>
      <c r="I17" s="434" t="s">
        <v>98</v>
      </c>
      <c r="J17" s="94">
        <v>1</v>
      </c>
      <c r="K17" s="433" t="s">
        <v>679</v>
      </c>
      <c r="L17" s="350">
        <v>0</v>
      </c>
      <c r="M17" s="95">
        <v>1</v>
      </c>
      <c r="N17" s="96">
        <f t="shared" si="0"/>
        <v>3.0909055800049732</v>
      </c>
      <c r="O17" s="377" t="str">
        <f t="shared" si="1"/>
        <v>(4,1,1,1,1,5); Market share Chinese modules</v>
      </c>
      <c r="P17" s="350">
        <v>0.13723299632508601</v>
      </c>
      <c r="Q17" s="95">
        <v>1</v>
      </c>
      <c r="R17" s="96">
        <f t="shared" si="2"/>
        <v>3.0909055800049732</v>
      </c>
      <c r="S17" s="377" t="str">
        <f t="shared" si="3"/>
        <v>(4,1,1,1,1,5); Market share Chinese modules</v>
      </c>
      <c r="T17" s="350">
        <v>0</v>
      </c>
      <c r="U17" s="95">
        <v>1</v>
      </c>
      <c r="V17" s="96">
        <f t="shared" si="4"/>
        <v>3.0909055800049732</v>
      </c>
      <c r="W17" s="432" t="str">
        <f t="shared" si="5"/>
        <v>(4,1,1,1,1,5); Market share Chinese modules</v>
      </c>
      <c r="X17" s="112"/>
      <c r="Y17" s="77" t="s">
        <v>1312</v>
      </c>
      <c r="Z17" s="339">
        <v>4</v>
      </c>
      <c r="AA17" s="339">
        <v>1</v>
      </c>
      <c r="AB17" s="339">
        <v>1</v>
      </c>
      <c r="AC17" s="339">
        <v>1</v>
      </c>
      <c r="AD17" s="339">
        <v>1</v>
      </c>
      <c r="AE17" s="339">
        <v>5</v>
      </c>
      <c r="AF17" s="104">
        <v>9</v>
      </c>
      <c r="AG17" s="104">
        <v>3</v>
      </c>
      <c r="AH17" s="107">
        <f t="shared" si="6"/>
        <v>1.2941338353151037</v>
      </c>
      <c r="AI17" s="107">
        <f t="shared" si="7"/>
        <v>3.0909055800049732</v>
      </c>
      <c r="AJ17" s="107" t="str">
        <f t="shared" si="8"/>
        <v>(4,1,1,1,1,5)</v>
      </c>
      <c r="AK17" s="108">
        <v>1.2</v>
      </c>
      <c r="AL17" s="108">
        <v>1</v>
      </c>
      <c r="AM17" s="108">
        <v>1</v>
      </c>
      <c r="AN17" s="108">
        <v>1</v>
      </c>
      <c r="AO17" s="108">
        <v>1</v>
      </c>
      <c r="AP17" s="108">
        <v>1.2</v>
      </c>
    </row>
    <row r="18" spans="1:42" ht="24" customHeight="1">
      <c r="A18" s="330" t="s">
        <v>1149</v>
      </c>
      <c r="B18" s="331"/>
      <c r="C18" s="88"/>
      <c r="D18" s="340">
        <v>5</v>
      </c>
      <c r="E18" s="341" t="s">
        <v>98</v>
      </c>
      <c r="F18" s="432" t="s">
        <v>1123</v>
      </c>
      <c r="G18" s="433" t="s">
        <v>372</v>
      </c>
      <c r="H18" s="434" t="s">
        <v>98</v>
      </c>
      <c r="I18" s="434" t="s">
        <v>98</v>
      </c>
      <c r="J18" s="94">
        <v>1</v>
      </c>
      <c r="K18" s="433" t="s">
        <v>679</v>
      </c>
      <c r="L18" s="350">
        <v>0</v>
      </c>
      <c r="M18" s="95">
        <v>1</v>
      </c>
      <c r="N18" s="96">
        <f t="shared" si="0"/>
        <v>3.0909055800049732</v>
      </c>
      <c r="O18" s="377" t="str">
        <f t="shared" si="1"/>
        <v>(4,1,1,1,1,5); Market share Chinese modules</v>
      </c>
      <c r="P18" s="350">
        <v>0.325928366272079</v>
      </c>
      <c r="Q18" s="95">
        <v>1</v>
      </c>
      <c r="R18" s="96">
        <f t="shared" si="2"/>
        <v>3.0909055800049732</v>
      </c>
      <c r="S18" s="377" t="str">
        <f t="shared" si="3"/>
        <v>(4,1,1,1,1,5); Market share Chinese modules</v>
      </c>
      <c r="T18" s="350">
        <v>0</v>
      </c>
      <c r="U18" s="95">
        <v>1</v>
      </c>
      <c r="V18" s="96">
        <f t="shared" si="4"/>
        <v>3.0909055800049732</v>
      </c>
      <c r="W18" s="432" t="str">
        <f t="shared" si="5"/>
        <v>(4,1,1,1,1,5); Market share Chinese modules</v>
      </c>
      <c r="X18" s="112"/>
      <c r="Y18" s="77" t="s">
        <v>1312</v>
      </c>
      <c r="Z18" s="339">
        <v>4</v>
      </c>
      <c r="AA18" s="339">
        <v>1</v>
      </c>
      <c r="AB18" s="339">
        <v>1</v>
      </c>
      <c r="AC18" s="339">
        <v>1</v>
      </c>
      <c r="AD18" s="339">
        <v>1</v>
      </c>
      <c r="AE18" s="339">
        <v>5</v>
      </c>
      <c r="AF18" s="104">
        <v>9</v>
      </c>
      <c r="AG18" s="104">
        <v>3</v>
      </c>
      <c r="AH18" s="107">
        <f t="shared" si="6"/>
        <v>1.2941338353151037</v>
      </c>
      <c r="AI18" s="107">
        <f t="shared" si="7"/>
        <v>3.0909055800049732</v>
      </c>
      <c r="AJ18" s="107" t="str">
        <f t="shared" si="8"/>
        <v>(4,1,1,1,1,5)</v>
      </c>
      <c r="AK18" s="108">
        <v>1.2</v>
      </c>
      <c r="AL18" s="108">
        <v>1</v>
      </c>
      <c r="AM18" s="108">
        <v>1</v>
      </c>
      <c r="AN18" s="108">
        <v>1</v>
      </c>
      <c r="AO18" s="108">
        <v>1</v>
      </c>
      <c r="AP18" s="108">
        <v>1.2</v>
      </c>
    </row>
    <row r="19" spans="1:42" ht="24" customHeight="1">
      <c r="A19" s="330" t="s">
        <v>1150</v>
      </c>
      <c r="B19" s="331"/>
      <c r="C19" s="88"/>
      <c r="D19" s="340">
        <v>5</v>
      </c>
      <c r="E19" s="341" t="s">
        <v>98</v>
      </c>
      <c r="F19" s="432" t="s">
        <v>1124</v>
      </c>
      <c r="G19" s="433" t="s">
        <v>372</v>
      </c>
      <c r="H19" s="434" t="s">
        <v>98</v>
      </c>
      <c r="I19" s="434" t="s">
        <v>98</v>
      </c>
      <c r="J19" s="94">
        <v>1</v>
      </c>
      <c r="K19" s="433" t="s">
        <v>679</v>
      </c>
      <c r="L19" s="350">
        <v>0</v>
      </c>
      <c r="M19" s="95">
        <v>1</v>
      </c>
      <c r="N19" s="96">
        <f t="shared" si="0"/>
        <v>3.0909055800049732</v>
      </c>
      <c r="O19" s="377" t="str">
        <f t="shared" si="1"/>
        <v>(4,1,1,1,1,5); Market share Chinese modules</v>
      </c>
      <c r="P19" s="350">
        <v>0</v>
      </c>
      <c r="Q19" s="95">
        <v>1</v>
      </c>
      <c r="R19" s="96">
        <f t="shared" si="2"/>
        <v>3.0909055800049732</v>
      </c>
      <c r="S19" s="377" t="str">
        <f t="shared" si="3"/>
        <v>(4,1,1,1,1,5); Market share Chinese modules</v>
      </c>
      <c r="T19" s="350">
        <v>0.26947570187471398</v>
      </c>
      <c r="U19" s="95">
        <v>1</v>
      </c>
      <c r="V19" s="96">
        <f t="shared" si="4"/>
        <v>3.0909055800049732</v>
      </c>
      <c r="W19" s="432" t="str">
        <f t="shared" si="5"/>
        <v>(4,1,1,1,1,5); Market share Chinese modules</v>
      </c>
      <c r="X19" s="112"/>
      <c r="Y19" s="77" t="s">
        <v>1312</v>
      </c>
      <c r="Z19" s="339">
        <v>4</v>
      </c>
      <c r="AA19" s="339">
        <v>1</v>
      </c>
      <c r="AB19" s="339">
        <v>1</v>
      </c>
      <c r="AC19" s="339">
        <v>1</v>
      </c>
      <c r="AD19" s="339">
        <v>1</v>
      </c>
      <c r="AE19" s="339">
        <v>5</v>
      </c>
      <c r="AF19" s="104">
        <v>9</v>
      </c>
      <c r="AG19" s="104">
        <v>3</v>
      </c>
      <c r="AH19" s="107">
        <f t="shared" si="6"/>
        <v>1.2941338353151037</v>
      </c>
      <c r="AI19" s="107">
        <f t="shared" si="7"/>
        <v>3.0909055800049732</v>
      </c>
      <c r="AJ19" s="107" t="str">
        <f t="shared" si="8"/>
        <v>(4,1,1,1,1,5)</v>
      </c>
      <c r="AK19" s="108">
        <v>1.2</v>
      </c>
      <c r="AL19" s="108">
        <v>1</v>
      </c>
      <c r="AM19" s="108">
        <v>1</v>
      </c>
      <c r="AN19" s="108">
        <v>1</v>
      </c>
      <c r="AO19" s="108">
        <v>1</v>
      </c>
      <c r="AP19" s="108">
        <v>1.2</v>
      </c>
    </row>
    <row r="20" spans="1:42" ht="24" customHeight="1">
      <c r="A20" s="330" t="s">
        <v>1151</v>
      </c>
      <c r="B20" s="331"/>
      <c r="C20" s="88"/>
      <c r="D20" s="340">
        <v>5</v>
      </c>
      <c r="E20" s="341" t="s">
        <v>98</v>
      </c>
      <c r="F20" s="432" t="s">
        <v>1125</v>
      </c>
      <c r="G20" s="433" t="s">
        <v>372</v>
      </c>
      <c r="H20" s="434" t="s">
        <v>98</v>
      </c>
      <c r="I20" s="434" t="s">
        <v>98</v>
      </c>
      <c r="J20" s="94">
        <v>1</v>
      </c>
      <c r="K20" s="433" t="s">
        <v>679</v>
      </c>
      <c r="L20" s="350">
        <v>0</v>
      </c>
      <c r="M20" s="95">
        <v>1</v>
      </c>
      <c r="N20" s="96">
        <f t="shared" si="0"/>
        <v>3.0909055800049732</v>
      </c>
      <c r="O20" s="377" t="str">
        <f t="shared" si="1"/>
        <v>(4,1,1,1,1,5); Market share Chinese modules</v>
      </c>
      <c r="P20" s="350">
        <v>0</v>
      </c>
      <c r="Q20" s="95">
        <v>1</v>
      </c>
      <c r="R20" s="96">
        <f t="shared" si="2"/>
        <v>3.0909055800049732</v>
      </c>
      <c r="S20" s="377" t="str">
        <f t="shared" si="3"/>
        <v>(4,1,1,1,1,5); Market share Chinese modules</v>
      </c>
      <c r="T20" s="350">
        <v>0.48842470964792001</v>
      </c>
      <c r="U20" s="95">
        <v>1</v>
      </c>
      <c r="V20" s="96">
        <f t="shared" si="4"/>
        <v>3.0909055800049732</v>
      </c>
      <c r="W20" s="432" t="str">
        <f t="shared" si="5"/>
        <v>(4,1,1,1,1,5); Market share Chinese modules</v>
      </c>
      <c r="X20" s="112"/>
      <c r="Y20" s="77" t="s">
        <v>1312</v>
      </c>
      <c r="Z20" s="339">
        <v>4</v>
      </c>
      <c r="AA20" s="339">
        <v>1</v>
      </c>
      <c r="AB20" s="339">
        <v>1</v>
      </c>
      <c r="AC20" s="339">
        <v>1</v>
      </c>
      <c r="AD20" s="339">
        <v>1</v>
      </c>
      <c r="AE20" s="339">
        <v>5</v>
      </c>
      <c r="AF20" s="104">
        <v>9</v>
      </c>
      <c r="AG20" s="104">
        <v>3</v>
      </c>
      <c r="AH20" s="107">
        <f t="shared" si="6"/>
        <v>1.2941338353151037</v>
      </c>
      <c r="AI20" s="107">
        <f t="shared" si="7"/>
        <v>3.0909055800049732</v>
      </c>
      <c r="AJ20" s="107" t="str">
        <f t="shared" si="8"/>
        <v>(4,1,1,1,1,5)</v>
      </c>
      <c r="AK20" s="108">
        <v>1.2</v>
      </c>
      <c r="AL20" s="108">
        <v>1</v>
      </c>
      <c r="AM20" s="108">
        <v>1</v>
      </c>
      <c r="AN20" s="108">
        <v>1</v>
      </c>
      <c r="AO20" s="108">
        <v>1</v>
      </c>
      <c r="AP20" s="108">
        <v>1.2</v>
      </c>
    </row>
    <row r="21" spans="1:42" ht="24" customHeight="1">
      <c r="A21" s="330" t="s">
        <v>1266</v>
      </c>
      <c r="B21" s="331"/>
      <c r="C21" s="88"/>
      <c r="D21" s="340">
        <v>5</v>
      </c>
      <c r="E21" s="341" t="s">
        <v>98</v>
      </c>
      <c r="F21" s="432" t="s">
        <v>1255</v>
      </c>
      <c r="G21" s="433" t="s">
        <v>372</v>
      </c>
      <c r="H21" s="434" t="s">
        <v>98</v>
      </c>
      <c r="I21" s="434" t="s">
        <v>98</v>
      </c>
      <c r="J21" s="94">
        <v>1</v>
      </c>
      <c r="K21" s="433" t="s">
        <v>679</v>
      </c>
      <c r="L21" s="350">
        <v>0</v>
      </c>
      <c r="M21" s="95">
        <v>1</v>
      </c>
      <c r="N21" s="96">
        <f t="shared" si="0"/>
        <v>3.0909055800049732</v>
      </c>
      <c r="O21" s="377" t="str">
        <f t="shared" si="1"/>
        <v>(4,1,1,1,1,5); Market share Chinese modules</v>
      </c>
      <c r="P21" s="350">
        <v>0.29473904892546898</v>
      </c>
      <c r="Q21" s="95">
        <v>1</v>
      </c>
      <c r="R21" s="96">
        <f t="shared" si="2"/>
        <v>3.0909055800049732</v>
      </c>
      <c r="S21" s="377" t="str">
        <f t="shared" si="3"/>
        <v>(4,1,1,1,1,5); Market share Chinese modules</v>
      </c>
      <c r="T21" s="350">
        <v>0</v>
      </c>
      <c r="U21" s="95">
        <v>1</v>
      </c>
      <c r="V21" s="96">
        <f t="shared" si="4"/>
        <v>3.0909055800049732</v>
      </c>
      <c r="W21" s="432" t="str">
        <f t="shared" si="5"/>
        <v>(4,1,1,1,1,5); Market share Chinese modules</v>
      </c>
      <c r="X21" s="112"/>
      <c r="Y21" s="77" t="s">
        <v>1312</v>
      </c>
      <c r="Z21" s="339">
        <v>4</v>
      </c>
      <c r="AA21" s="339">
        <v>1</v>
      </c>
      <c r="AB21" s="339">
        <v>1</v>
      </c>
      <c r="AC21" s="339">
        <v>1</v>
      </c>
      <c r="AD21" s="339">
        <v>1</v>
      </c>
      <c r="AE21" s="339">
        <v>5</v>
      </c>
      <c r="AF21" s="104">
        <v>9</v>
      </c>
      <c r="AG21" s="104">
        <v>3</v>
      </c>
      <c r="AH21" s="107">
        <f t="shared" si="6"/>
        <v>1.2941338353151037</v>
      </c>
      <c r="AI21" s="107">
        <f t="shared" si="7"/>
        <v>3.0909055800049732</v>
      </c>
      <c r="AJ21" s="107" t="str">
        <f t="shared" si="8"/>
        <v>(4,1,1,1,1,5)</v>
      </c>
      <c r="AK21" s="108">
        <v>1.2</v>
      </c>
      <c r="AL21" s="108">
        <v>1</v>
      </c>
      <c r="AM21" s="108">
        <v>1</v>
      </c>
      <c r="AN21" s="108">
        <v>1</v>
      </c>
      <c r="AO21" s="108">
        <v>1</v>
      </c>
      <c r="AP21" s="108">
        <v>1.2</v>
      </c>
    </row>
    <row r="22" spans="1:42" ht="24" customHeight="1">
      <c r="A22" s="330" t="s">
        <v>1152</v>
      </c>
      <c r="B22" s="331"/>
      <c r="C22" s="88"/>
      <c r="D22" s="340">
        <v>5</v>
      </c>
      <c r="E22" s="341" t="s">
        <v>98</v>
      </c>
      <c r="F22" s="432" t="s">
        <v>1126</v>
      </c>
      <c r="G22" s="433" t="s">
        <v>372</v>
      </c>
      <c r="H22" s="434" t="s">
        <v>98</v>
      </c>
      <c r="I22" s="434" t="s">
        <v>98</v>
      </c>
      <c r="J22" s="94">
        <v>1</v>
      </c>
      <c r="K22" s="433" t="s">
        <v>679</v>
      </c>
      <c r="L22" s="350">
        <v>0.46316136259716501</v>
      </c>
      <c r="M22" s="95">
        <v>1</v>
      </c>
      <c r="N22" s="96">
        <f t="shared" si="0"/>
        <v>3.0909055800049732</v>
      </c>
      <c r="O22" s="377" t="str">
        <f t="shared" si="1"/>
        <v>(4,1,1,1,1,5); Market share Chinese modules</v>
      </c>
      <c r="P22" s="350">
        <v>0</v>
      </c>
      <c r="Q22" s="95">
        <v>1</v>
      </c>
      <c r="R22" s="96">
        <f t="shared" si="2"/>
        <v>3.0909055800049732</v>
      </c>
      <c r="S22" s="377" t="str">
        <f t="shared" si="3"/>
        <v>(4,1,1,1,1,5); Market share Chinese modules</v>
      </c>
      <c r="T22" s="350">
        <v>0</v>
      </c>
      <c r="U22" s="95">
        <v>1</v>
      </c>
      <c r="V22" s="96">
        <f t="shared" si="4"/>
        <v>3.0909055800049732</v>
      </c>
      <c r="W22" s="432" t="str">
        <f t="shared" si="5"/>
        <v>(4,1,1,1,1,5); Market share Chinese modules</v>
      </c>
      <c r="X22" s="113"/>
      <c r="Y22" s="77" t="s">
        <v>1312</v>
      </c>
      <c r="Z22" s="339">
        <v>4</v>
      </c>
      <c r="AA22" s="339">
        <v>1</v>
      </c>
      <c r="AB22" s="339">
        <v>1</v>
      </c>
      <c r="AC22" s="339">
        <v>1</v>
      </c>
      <c r="AD22" s="339">
        <v>1</v>
      </c>
      <c r="AE22" s="339">
        <v>5</v>
      </c>
      <c r="AF22" s="104">
        <v>9</v>
      </c>
      <c r="AG22" s="104">
        <v>3</v>
      </c>
      <c r="AH22" s="107">
        <f t="shared" si="6"/>
        <v>1.2941338353151037</v>
      </c>
      <c r="AI22" s="107">
        <f t="shared" si="7"/>
        <v>3.0909055800049732</v>
      </c>
      <c r="AJ22" s="107" t="str">
        <f t="shared" si="8"/>
        <v>(4,1,1,1,1,5)</v>
      </c>
      <c r="AK22" s="108">
        <v>1.2</v>
      </c>
      <c r="AL22" s="108">
        <v>1</v>
      </c>
      <c r="AM22" s="108">
        <v>1</v>
      </c>
      <c r="AN22" s="108">
        <v>1</v>
      </c>
      <c r="AO22" s="108">
        <v>1</v>
      </c>
      <c r="AP22" s="108">
        <v>1.2</v>
      </c>
    </row>
    <row r="23" spans="1:42" ht="24" customHeight="1">
      <c r="A23" s="330" t="s">
        <v>1267</v>
      </c>
      <c r="B23" s="331"/>
      <c r="C23" s="88"/>
      <c r="D23" s="340">
        <v>5</v>
      </c>
      <c r="E23" s="341" t="s">
        <v>98</v>
      </c>
      <c r="F23" s="432" t="s">
        <v>1256</v>
      </c>
      <c r="G23" s="433" t="s">
        <v>372</v>
      </c>
      <c r="H23" s="434" t="s">
        <v>98</v>
      </c>
      <c r="I23" s="434" t="s">
        <v>98</v>
      </c>
      <c r="J23" s="94">
        <v>1</v>
      </c>
      <c r="K23" s="433" t="s">
        <v>679</v>
      </c>
      <c r="L23" s="350">
        <v>0.29473904892546898</v>
      </c>
      <c r="M23" s="95">
        <v>1</v>
      </c>
      <c r="N23" s="96">
        <f t="shared" si="0"/>
        <v>3.0909055800049732</v>
      </c>
      <c r="O23" s="377" t="str">
        <f t="shared" si="1"/>
        <v>(4,1,1,1,1,5); Market share Chinese modules</v>
      </c>
      <c r="P23" s="350">
        <v>0</v>
      </c>
      <c r="Q23" s="95">
        <v>1</v>
      </c>
      <c r="R23" s="96">
        <f t="shared" si="2"/>
        <v>3.0909055800049732</v>
      </c>
      <c r="S23" s="377" t="str">
        <f t="shared" si="3"/>
        <v>(4,1,1,1,1,5); Market share Chinese modules</v>
      </c>
      <c r="T23" s="350">
        <v>0</v>
      </c>
      <c r="U23" s="95">
        <v>1</v>
      </c>
      <c r="V23" s="96">
        <f t="shared" si="4"/>
        <v>3.0909055800049732</v>
      </c>
      <c r="W23" s="432" t="str">
        <f t="shared" si="5"/>
        <v>(4,1,1,1,1,5); Market share Chinese modules</v>
      </c>
      <c r="X23" s="113"/>
      <c r="Y23" s="77" t="s">
        <v>1312</v>
      </c>
      <c r="Z23" s="339">
        <v>4</v>
      </c>
      <c r="AA23" s="339">
        <v>1</v>
      </c>
      <c r="AB23" s="339">
        <v>1</v>
      </c>
      <c r="AC23" s="339">
        <v>1</v>
      </c>
      <c r="AD23" s="339">
        <v>1</v>
      </c>
      <c r="AE23" s="339">
        <v>5</v>
      </c>
      <c r="AF23" s="104">
        <v>9</v>
      </c>
      <c r="AG23" s="104">
        <v>3</v>
      </c>
      <c r="AH23" s="107">
        <f t="shared" si="6"/>
        <v>1.2941338353151037</v>
      </c>
      <c r="AI23" s="107">
        <f t="shared" si="7"/>
        <v>3.0909055800049732</v>
      </c>
      <c r="AJ23" s="107" t="str">
        <f t="shared" si="8"/>
        <v>(4,1,1,1,1,5)</v>
      </c>
      <c r="AK23" s="108">
        <v>1.2</v>
      </c>
      <c r="AL23" s="108">
        <v>1</v>
      </c>
      <c r="AM23" s="108">
        <v>1</v>
      </c>
      <c r="AN23" s="108">
        <v>1</v>
      </c>
      <c r="AO23" s="108">
        <v>1</v>
      </c>
      <c r="AP23" s="108">
        <v>1.2</v>
      </c>
    </row>
    <row r="24" spans="1:42" ht="24" hidden="1" customHeight="1" outlineLevel="1">
      <c r="A24" s="330" t="s">
        <v>1158</v>
      </c>
      <c r="B24" s="331"/>
      <c r="C24" s="88"/>
      <c r="D24" s="340">
        <v>5</v>
      </c>
      <c r="E24" s="341" t="s">
        <v>98</v>
      </c>
      <c r="F24" s="432" t="s">
        <v>1132</v>
      </c>
      <c r="G24" s="433" t="s">
        <v>373</v>
      </c>
      <c r="H24" s="434" t="s">
        <v>98</v>
      </c>
      <c r="I24" s="434" t="s">
        <v>98</v>
      </c>
      <c r="J24" s="94">
        <v>1</v>
      </c>
      <c r="K24" s="433" t="s">
        <v>679</v>
      </c>
      <c r="L24" s="350">
        <v>0</v>
      </c>
      <c r="M24" s="95">
        <v>1</v>
      </c>
      <c r="N24" s="96">
        <f t="shared" si="0"/>
        <v>3.0909055800049732</v>
      </c>
      <c r="O24" s="377" t="str">
        <f t="shared" si="1"/>
        <v>(4,1,1,1,1,5); Market share APAC modules</v>
      </c>
      <c r="P24" s="350">
        <v>0</v>
      </c>
      <c r="Q24" s="95">
        <v>1</v>
      </c>
      <c r="R24" s="96">
        <f t="shared" si="2"/>
        <v>3.0909055800049732</v>
      </c>
      <c r="S24" s="377" t="str">
        <f t="shared" si="3"/>
        <v>(4,1,1,1,1,5); Market share APAC modules</v>
      </c>
      <c r="T24" s="350">
        <v>0</v>
      </c>
      <c r="U24" s="95">
        <v>1</v>
      </c>
      <c r="V24" s="96">
        <f t="shared" si="4"/>
        <v>3.0909055800049732</v>
      </c>
      <c r="W24" s="432" t="str">
        <f t="shared" si="5"/>
        <v>(4,1,1,1,1,5); Market share APAC modules</v>
      </c>
      <c r="X24" s="112"/>
      <c r="Y24" s="77" t="s">
        <v>1313</v>
      </c>
      <c r="Z24" s="339">
        <v>4</v>
      </c>
      <c r="AA24" s="339">
        <v>1</v>
      </c>
      <c r="AB24" s="339">
        <v>1</v>
      </c>
      <c r="AC24" s="339">
        <v>1</v>
      </c>
      <c r="AD24" s="339">
        <v>1</v>
      </c>
      <c r="AE24" s="339">
        <v>5</v>
      </c>
      <c r="AF24" s="104">
        <v>9</v>
      </c>
      <c r="AG24" s="104">
        <v>3</v>
      </c>
      <c r="AH24" s="107">
        <f t="shared" si="6"/>
        <v>1.2941338353151037</v>
      </c>
      <c r="AI24" s="107">
        <f t="shared" si="7"/>
        <v>3.0909055800049732</v>
      </c>
      <c r="AJ24" s="107" t="str">
        <f t="shared" si="8"/>
        <v>(4,1,1,1,1,5)</v>
      </c>
      <c r="AK24" s="108">
        <v>1.2</v>
      </c>
      <c r="AL24" s="108">
        <v>1</v>
      </c>
      <c r="AM24" s="108">
        <v>1</v>
      </c>
      <c r="AN24" s="108">
        <v>1</v>
      </c>
      <c r="AO24" s="108">
        <v>1</v>
      </c>
      <c r="AP24" s="108">
        <v>1.2</v>
      </c>
    </row>
    <row r="25" spans="1:42" ht="24" hidden="1" customHeight="1" outlineLevel="1">
      <c r="A25" s="330" t="s">
        <v>1159</v>
      </c>
      <c r="B25" s="331"/>
      <c r="C25" s="88"/>
      <c r="D25" s="340">
        <v>5</v>
      </c>
      <c r="E25" s="341" t="s">
        <v>98</v>
      </c>
      <c r="F25" s="432" t="s">
        <v>1133</v>
      </c>
      <c r="G25" s="433" t="s">
        <v>373</v>
      </c>
      <c r="H25" s="434" t="s">
        <v>98</v>
      </c>
      <c r="I25" s="434" t="s">
        <v>98</v>
      </c>
      <c r="J25" s="94">
        <v>1</v>
      </c>
      <c r="K25" s="433" t="s">
        <v>679</v>
      </c>
      <c r="L25" s="350">
        <v>0</v>
      </c>
      <c r="M25" s="95">
        <v>1</v>
      </c>
      <c r="N25" s="96">
        <f t="shared" si="0"/>
        <v>3.0909055800049732</v>
      </c>
      <c r="O25" s="377" t="str">
        <f t="shared" si="1"/>
        <v>(4,1,1,1,1,5); Market share APAC modules</v>
      </c>
      <c r="P25" s="350">
        <v>0</v>
      </c>
      <c r="Q25" s="95">
        <v>1</v>
      </c>
      <c r="R25" s="96">
        <f t="shared" si="2"/>
        <v>3.0909055800049732</v>
      </c>
      <c r="S25" s="377" t="str">
        <f t="shared" si="3"/>
        <v>(4,1,1,1,1,5); Market share APAC modules</v>
      </c>
      <c r="T25" s="350">
        <v>0</v>
      </c>
      <c r="U25" s="95">
        <v>1</v>
      </c>
      <c r="V25" s="96">
        <f t="shared" si="4"/>
        <v>3.0909055800049732</v>
      </c>
      <c r="W25" s="432" t="str">
        <f t="shared" si="5"/>
        <v>(4,1,1,1,1,5); Market share APAC modules</v>
      </c>
      <c r="X25" s="112"/>
      <c r="Y25" s="77" t="s">
        <v>1313</v>
      </c>
      <c r="Z25" s="339">
        <v>4</v>
      </c>
      <c r="AA25" s="339">
        <v>1</v>
      </c>
      <c r="AB25" s="339">
        <v>1</v>
      </c>
      <c r="AC25" s="339">
        <v>1</v>
      </c>
      <c r="AD25" s="339">
        <v>1</v>
      </c>
      <c r="AE25" s="339">
        <v>5</v>
      </c>
      <c r="AF25" s="104">
        <v>9</v>
      </c>
      <c r="AG25" s="104">
        <v>3</v>
      </c>
      <c r="AH25" s="107">
        <f t="shared" si="6"/>
        <v>1.2941338353151037</v>
      </c>
      <c r="AI25" s="107">
        <f t="shared" si="7"/>
        <v>3.0909055800049732</v>
      </c>
      <c r="AJ25" s="107" t="str">
        <f t="shared" si="8"/>
        <v>(4,1,1,1,1,5)</v>
      </c>
      <c r="AK25" s="108">
        <v>1.2</v>
      </c>
      <c r="AL25" s="108">
        <v>1</v>
      </c>
      <c r="AM25" s="108">
        <v>1</v>
      </c>
      <c r="AN25" s="108">
        <v>1</v>
      </c>
      <c r="AO25" s="108">
        <v>1</v>
      </c>
      <c r="AP25" s="108">
        <v>1.2</v>
      </c>
    </row>
    <row r="26" spans="1:42" ht="24" hidden="1" customHeight="1" outlineLevel="1">
      <c r="A26" s="330" t="s">
        <v>1160</v>
      </c>
      <c r="B26" s="331"/>
      <c r="C26" s="88"/>
      <c r="D26" s="340">
        <v>5</v>
      </c>
      <c r="E26" s="341" t="s">
        <v>98</v>
      </c>
      <c r="F26" s="432" t="s">
        <v>1134</v>
      </c>
      <c r="G26" s="433" t="s">
        <v>373</v>
      </c>
      <c r="H26" s="434" t="s">
        <v>98</v>
      </c>
      <c r="I26" s="434" t="s">
        <v>98</v>
      </c>
      <c r="J26" s="94">
        <v>1</v>
      </c>
      <c r="K26" s="433" t="s">
        <v>679</v>
      </c>
      <c r="L26" s="350">
        <v>0</v>
      </c>
      <c r="M26" s="95">
        <v>1</v>
      </c>
      <c r="N26" s="96">
        <f t="shared" si="0"/>
        <v>3.0909055800049732</v>
      </c>
      <c r="O26" s="377" t="str">
        <f t="shared" si="1"/>
        <v>(4,1,1,1,1,5); Market share APAC modules</v>
      </c>
      <c r="P26" s="350">
        <v>0</v>
      </c>
      <c r="Q26" s="95">
        <v>1</v>
      </c>
      <c r="R26" s="96">
        <f t="shared" si="2"/>
        <v>3.0909055800049732</v>
      </c>
      <c r="S26" s="377" t="str">
        <f t="shared" si="3"/>
        <v>(4,1,1,1,1,5); Market share APAC modules</v>
      </c>
      <c r="T26" s="350">
        <v>0</v>
      </c>
      <c r="U26" s="95">
        <v>1</v>
      </c>
      <c r="V26" s="96">
        <f t="shared" si="4"/>
        <v>3.0909055800049732</v>
      </c>
      <c r="W26" s="432" t="str">
        <f t="shared" si="5"/>
        <v>(4,1,1,1,1,5); Market share APAC modules</v>
      </c>
      <c r="X26" s="112"/>
      <c r="Y26" s="77" t="s">
        <v>1313</v>
      </c>
      <c r="Z26" s="339">
        <v>4</v>
      </c>
      <c r="AA26" s="339">
        <v>1</v>
      </c>
      <c r="AB26" s="339">
        <v>1</v>
      </c>
      <c r="AC26" s="339">
        <v>1</v>
      </c>
      <c r="AD26" s="339">
        <v>1</v>
      </c>
      <c r="AE26" s="339">
        <v>5</v>
      </c>
      <c r="AF26" s="104">
        <v>9</v>
      </c>
      <c r="AG26" s="104">
        <v>3</v>
      </c>
      <c r="AH26" s="107">
        <f t="shared" si="6"/>
        <v>1.2941338353151037</v>
      </c>
      <c r="AI26" s="107">
        <f t="shared" si="7"/>
        <v>3.0909055800049732</v>
      </c>
      <c r="AJ26" s="107" t="str">
        <f t="shared" si="8"/>
        <v>(4,1,1,1,1,5)</v>
      </c>
      <c r="AK26" s="108">
        <v>1.2</v>
      </c>
      <c r="AL26" s="108">
        <v>1</v>
      </c>
      <c r="AM26" s="108">
        <v>1</v>
      </c>
      <c r="AN26" s="108">
        <v>1</v>
      </c>
      <c r="AO26" s="108">
        <v>1</v>
      </c>
      <c r="AP26" s="108">
        <v>1.2</v>
      </c>
    </row>
    <row r="27" spans="1:42" ht="24" hidden="1" customHeight="1" outlineLevel="1">
      <c r="A27" s="330" t="s">
        <v>1161</v>
      </c>
      <c r="B27" s="331"/>
      <c r="C27" s="88"/>
      <c r="D27" s="340">
        <v>5</v>
      </c>
      <c r="E27" s="341" t="s">
        <v>98</v>
      </c>
      <c r="F27" s="432" t="s">
        <v>1135</v>
      </c>
      <c r="G27" s="433" t="s">
        <v>373</v>
      </c>
      <c r="H27" s="434" t="s">
        <v>98</v>
      </c>
      <c r="I27" s="434" t="s">
        <v>98</v>
      </c>
      <c r="J27" s="94">
        <v>1</v>
      </c>
      <c r="K27" s="433" t="s">
        <v>679</v>
      </c>
      <c r="L27" s="350">
        <v>0</v>
      </c>
      <c r="M27" s="95">
        <v>1</v>
      </c>
      <c r="N27" s="96">
        <f t="shared" si="0"/>
        <v>3.0909055800049732</v>
      </c>
      <c r="O27" s="377" t="str">
        <f t="shared" si="1"/>
        <v>(4,1,1,1,1,5); Market share APAC modules</v>
      </c>
      <c r="P27" s="350">
        <v>0</v>
      </c>
      <c r="Q27" s="95">
        <v>1</v>
      </c>
      <c r="R27" s="96">
        <f t="shared" si="2"/>
        <v>3.0909055800049732</v>
      </c>
      <c r="S27" s="377" t="str">
        <f t="shared" si="3"/>
        <v>(4,1,1,1,1,5); Market share APAC modules</v>
      </c>
      <c r="T27" s="350">
        <v>0</v>
      </c>
      <c r="U27" s="95">
        <v>1</v>
      </c>
      <c r="V27" s="96">
        <f t="shared" si="4"/>
        <v>3.0909055800049732</v>
      </c>
      <c r="W27" s="432" t="str">
        <f t="shared" si="5"/>
        <v>(4,1,1,1,1,5); Market share APAC modules</v>
      </c>
      <c r="X27" s="112"/>
      <c r="Y27" s="77" t="s">
        <v>1313</v>
      </c>
      <c r="Z27" s="339">
        <v>4</v>
      </c>
      <c r="AA27" s="339">
        <v>1</v>
      </c>
      <c r="AB27" s="339">
        <v>1</v>
      </c>
      <c r="AC27" s="339">
        <v>1</v>
      </c>
      <c r="AD27" s="339">
        <v>1</v>
      </c>
      <c r="AE27" s="339">
        <v>5</v>
      </c>
      <c r="AF27" s="104">
        <v>9</v>
      </c>
      <c r="AG27" s="104">
        <v>3</v>
      </c>
      <c r="AH27" s="107">
        <f t="shared" si="6"/>
        <v>1.2941338353151037</v>
      </c>
      <c r="AI27" s="107">
        <f t="shared" si="7"/>
        <v>3.0909055800049732</v>
      </c>
      <c r="AJ27" s="107" t="str">
        <f t="shared" si="8"/>
        <v>(4,1,1,1,1,5)</v>
      </c>
      <c r="AK27" s="108">
        <v>1.2</v>
      </c>
      <c r="AL27" s="108">
        <v>1</v>
      </c>
      <c r="AM27" s="108">
        <v>1</v>
      </c>
      <c r="AN27" s="108">
        <v>1</v>
      </c>
      <c r="AO27" s="108">
        <v>1</v>
      </c>
      <c r="AP27" s="108">
        <v>1.2</v>
      </c>
    </row>
    <row r="28" spans="1:42" ht="24" hidden="1" customHeight="1" outlineLevel="1">
      <c r="A28" s="330" t="s">
        <v>1270</v>
      </c>
      <c r="B28" s="331"/>
      <c r="C28" s="88"/>
      <c r="D28" s="340">
        <v>5</v>
      </c>
      <c r="E28" s="341" t="s">
        <v>98</v>
      </c>
      <c r="F28" s="432" t="s">
        <v>1259</v>
      </c>
      <c r="G28" s="433" t="s">
        <v>373</v>
      </c>
      <c r="H28" s="434" t="s">
        <v>98</v>
      </c>
      <c r="I28" s="434" t="s">
        <v>98</v>
      </c>
      <c r="J28" s="94">
        <v>1</v>
      </c>
      <c r="K28" s="433" t="s">
        <v>679</v>
      </c>
      <c r="L28" s="350">
        <v>0</v>
      </c>
      <c r="M28" s="95">
        <v>1</v>
      </c>
      <c r="N28" s="96">
        <f t="shared" si="0"/>
        <v>3.0909055800049732</v>
      </c>
      <c r="O28" s="377" t="str">
        <f t="shared" si="1"/>
        <v>(4,1,1,1,1,5); Market share APAC modules</v>
      </c>
      <c r="P28" s="350">
        <v>0</v>
      </c>
      <c r="Q28" s="95">
        <v>1</v>
      </c>
      <c r="R28" s="96">
        <f t="shared" si="2"/>
        <v>3.0909055800049732</v>
      </c>
      <c r="S28" s="377" t="str">
        <f t="shared" si="3"/>
        <v>(4,1,1,1,1,5); Market share APAC modules</v>
      </c>
      <c r="T28" s="350">
        <v>0</v>
      </c>
      <c r="U28" s="95">
        <v>1</v>
      </c>
      <c r="V28" s="96">
        <f t="shared" si="4"/>
        <v>3.0909055800049732</v>
      </c>
      <c r="W28" s="432" t="str">
        <f t="shared" si="5"/>
        <v>(4,1,1,1,1,5); Market share APAC modules</v>
      </c>
      <c r="X28" s="112"/>
      <c r="Y28" s="77" t="s">
        <v>1313</v>
      </c>
      <c r="Z28" s="339">
        <v>4</v>
      </c>
      <c r="AA28" s="339">
        <v>1</v>
      </c>
      <c r="AB28" s="339">
        <v>1</v>
      </c>
      <c r="AC28" s="339">
        <v>1</v>
      </c>
      <c r="AD28" s="339">
        <v>1</v>
      </c>
      <c r="AE28" s="339">
        <v>5</v>
      </c>
      <c r="AF28" s="104">
        <v>9</v>
      </c>
      <c r="AG28" s="104">
        <v>3</v>
      </c>
      <c r="AH28" s="107">
        <f t="shared" si="6"/>
        <v>1.2941338353151037</v>
      </c>
      <c r="AI28" s="107">
        <f t="shared" si="7"/>
        <v>3.0909055800049732</v>
      </c>
      <c r="AJ28" s="107" t="str">
        <f t="shared" si="8"/>
        <v>(4,1,1,1,1,5)</v>
      </c>
      <c r="AK28" s="108">
        <v>1.2</v>
      </c>
      <c r="AL28" s="108">
        <v>1</v>
      </c>
      <c r="AM28" s="108">
        <v>1</v>
      </c>
      <c r="AN28" s="108">
        <v>1</v>
      </c>
      <c r="AO28" s="108">
        <v>1</v>
      </c>
      <c r="AP28" s="108">
        <v>1.2</v>
      </c>
    </row>
    <row r="29" spans="1:42" ht="24" hidden="1" customHeight="1" outlineLevel="1">
      <c r="A29" s="330" t="s">
        <v>1162</v>
      </c>
      <c r="B29" s="331"/>
      <c r="C29" s="88"/>
      <c r="D29" s="340">
        <v>5</v>
      </c>
      <c r="E29" s="341" t="s">
        <v>98</v>
      </c>
      <c r="F29" s="432" t="s">
        <v>1136</v>
      </c>
      <c r="G29" s="433" t="s">
        <v>373</v>
      </c>
      <c r="H29" s="434" t="s">
        <v>98</v>
      </c>
      <c r="I29" s="434" t="s">
        <v>98</v>
      </c>
      <c r="J29" s="94">
        <v>1</v>
      </c>
      <c r="K29" s="433" t="s">
        <v>679</v>
      </c>
      <c r="L29" s="350">
        <v>0</v>
      </c>
      <c r="M29" s="95">
        <v>1</v>
      </c>
      <c r="N29" s="96">
        <f t="shared" si="0"/>
        <v>3.0909055800049732</v>
      </c>
      <c r="O29" s="377" t="str">
        <f t="shared" si="1"/>
        <v>(4,1,1,1,1,5); Market share APAC modules</v>
      </c>
      <c r="P29" s="350">
        <v>0</v>
      </c>
      <c r="Q29" s="95">
        <v>1</v>
      </c>
      <c r="R29" s="96">
        <f t="shared" si="2"/>
        <v>3.0909055800049732</v>
      </c>
      <c r="S29" s="377" t="str">
        <f t="shared" si="3"/>
        <v>(4,1,1,1,1,5); Market share APAC modules</v>
      </c>
      <c r="T29" s="350">
        <v>0</v>
      </c>
      <c r="U29" s="95">
        <v>1</v>
      </c>
      <c r="V29" s="96">
        <f t="shared" si="4"/>
        <v>3.0909055800049732</v>
      </c>
      <c r="W29" s="432" t="str">
        <f t="shared" si="5"/>
        <v>(4,1,1,1,1,5); Market share APAC modules</v>
      </c>
      <c r="X29" s="112"/>
      <c r="Y29" s="77" t="s">
        <v>1313</v>
      </c>
      <c r="Z29" s="339">
        <v>4</v>
      </c>
      <c r="AA29" s="339">
        <v>1</v>
      </c>
      <c r="AB29" s="339">
        <v>1</v>
      </c>
      <c r="AC29" s="339">
        <v>1</v>
      </c>
      <c r="AD29" s="339">
        <v>1</v>
      </c>
      <c r="AE29" s="339">
        <v>5</v>
      </c>
      <c r="AF29" s="104">
        <v>9</v>
      </c>
      <c r="AG29" s="104">
        <v>3</v>
      </c>
      <c r="AH29" s="107">
        <f t="shared" si="6"/>
        <v>1.2941338353151037</v>
      </c>
      <c r="AI29" s="107">
        <f t="shared" si="7"/>
        <v>3.0909055800049732</v>
      </c>
      <c r="AJ29" s="107" t="str">
        <f t="shared" si="8"/>
        <v>(4,1,1,1,1,5)</v>
      </c>
      <c r="AK29" s="108">
        <v>1.2</v>
      </c>
      <c r="AL29" s="108">
        <v>1</v>
      </c>
      <c r="AM29" s="108">
        <v>1</v>
      </c>
      <c r="AN29" s="108">
        <v>1</v>
      </c>
      <c r="AO29" s="108">
        <v>1</v>
      </c>
      <c r="AP29" s="108">
        <v>1.2</v>
      </c>
    </row>
    <row r="30" spans="1:42" ht="24" hidden="1" customHeight="1" outlineLevel="1">
      <c r="A30" s="330" t="s">
        <v>1271</v>
      </c>
      <c r="B30" s="331"/>
      <c r="C30" s="88"/>
      <c r="D30" s="340">
        <v>5</v>
      </c>
      <c r="E30" s="341" t="s">
        <v>98</v>
      </c>
      <c r="F30" s="432" t="s">
        <v>1260</v>
      </c>
      <c r="G30" s="433" t="s">
        <v>373</v>
      </c>
      <c r="H30" s="434" t="s">
        <v>98</v>
      </c>
      <c r="I30" s="434" t="s">
        <v>98</v>
      </c>
      <c r="J30" s="94">
        <v>1</v>
      </c>
      <c r="K30" s="433" t="s">
        <v>679</v>
      </c>
      <c r="L30" s="350">
        <v>0</v>
      </c>
      <c r="M30" s="95">
        <v>1</v>
      </c>
      <c r="N30" s="96">
        <f t="shared" si="0"/>
        <v>3.0909055800049732</v>
      </c>
      <c r="O30" s="377" t="str">
        <f t="shared" si="1"/>
        <v>(4,1,1,1,1,5); Market share APAC modules</v>
      </c>
      <c r="P30" s="350">
        <v>0</v>
      </c>
      <c r="Q30" s="95">
        <v>1</v>
      </c>
      <c r="R30" s="96">
        <f t="shared" si="2"/>
        <v>3.0909055800049732</v>
      </c>
      <c r="S30" s="377" t="str">
        <f t="shared" si="3"/>
        <v>(4,1,1,1,1,5); Market share APAC modules</v>
      </c>
      <c r="T30" s="350">
        <v>0</v>
      </c>
      <c r="U30" s="95">
        <v>1</v>
      </c>
      <c r="V30" s="96">
        <f t="shared" si="4"/>
        <v>3.0909055800049732</v>
      </c>
      <c r="W30" s="432" t="str">
        <f t="shared" si="5"/>
        <v>(4,1,1,1,1,5); Market share APAC modules</v>
      </c>
      <c r="X30" s="112"/>
      <c r="Y30" s="77" t="s">
        <v>1313</v>
      </c>
      <c r="Z30" s="339">
        <v>4</v>
      </c>
      <c r="AA30" s="339">
        <v>1</v>
      </c>
      <c r="AB30" s="339">
        <v>1</v>
      </c>
      <c r="AC30" s="339">
        <v>1</v>
      </c>
      <c r="AD30" s="339">
        <v>1</v>
      </c>
      <c r="AE30" s="339">
        <v>5</v>
      </c>
      <c r="AF30" s="104">
        <v>9</v>
      </c>
      <c r="AG30" s="104">
        <v>3</v>
      </c>
      <c r="AH30" s="107">
        <f t="shared" si="6"/>
        <v>1.2941338353151037</v>
      </c>
      <c r="AI30" s="107">
        <f t="shared" si="7"/>
        <v>3.0909055800049732</v>
      </c>
      <c r="AJ30" s="107" t="str">
        <f t="shared" si="8"/>
        <v>(4,1,1,1,1,5)</v>
      </c>
      <c r="AK30" s="108">
        <v>1.2</v>
      </c>
      <c r="AL30" s="108">
        <v>1</v>
      </c>
      <c r="AM30" s="108">
        <v>1</v>
      </c>
      <c r="AN30" s="108">
        <v>1</v>
      </c>
      <c r="AO30" s="108">
        <v>1</v>
      </c>
      <c r="AP30" s="108">
        <v>1.2</v>
      </c>
    </row>
    <row r="31" spans="1:42" ht="24" customHeight="1" collapsed="1">
      <c r="A31" s="330">
        <v>269599</v>
      </c>
      <c r="B31" s="331" t="s">
        <v>322</v>
      </c>
      <c r="C31" s="88"/>
      <c r="D31" s="340">
        <v>5</v>
      </c>
      <c r="E31" s="341" t="s">
        <v>98</v>
      </c>
      <c r="F31" s="432" t="s">
        <v>244</v>
      </c>
      <c r="G31" s="433" t="s">
        <v>245</v>
      </c>
      <c r="H31" s="434" t="s">
        <v>98</v>
      </c>
      <c r="I31" s="434" t="s">
        <v>98</v>
      </c>
      <c r="J31" s="94">
        <v>0</v>
      </c>
      <c r="K31" s="433" t="s">
        <v>115</v>
      </c>
      <c r="L31" s="435">
        <f>SUM(L17:L23)*L$35/1000*L$53+SUM(L24:L30)*L$35/1000*L$54</f>
        <v>174.86445183549026</v>
      </c>
      <c r="M31" s="95">
        <v>1</v>
      </c>
      <c r="N31" s="96">
        <f t="shared" si="0"/>
        <v>2.0949941301068096</v>
      </c>
      <c r="O31" s="432" t="str">
        <f t="shared" si="1"/>
        <v>(4,5,na,na,na,na); Transport distance CN-US: 20755 km, APAC-US: 18411 km</v>
      </c>
      <c r="P31" s="435">
        <f>SUM(P17:P23)*P$35/1000*P$53+SUM(P24:P30)*P$35/1000*P$54</f>
        <v>180.3673772066812</v>
      </c>
      <c r="Q31" s="95">
        <v>1</v>
      </c>
      <c r="R31" s="96">
        <f t="shared" si="2"/>
        <v>2.0949941301068096</v>
      </c>
      <c r="S31" s="432" t="str">
        <f t="shared" si="3"/>
        <v>(4,5,na,na,na,na); Transport distance CN-US: 20755 km, APAC-US: 18411 km</v>
      </c>
      <c r="T31" s="435">
        <f>SUM(T17:T23)*T$35/1000*T$53+SUM(T24:T30)*T$35/1000*T$54</f>
        <v>197.65832909571833</v>
      </c>
      <c r="U31" s="95">
        <v>1</v>
      </c>
      <c r="V31" s="96">
        <f t="shared" si="4"/>
        <v>2.0949941301068096</v>
      </c>
      <c r="W31" s="432" t="str">
        <f t="shared" si="5"/>
        <v>(4,5,na,na,na,na); Transport distance CN-US: 20755 km, APAC-US: 18411 km</v>
      </c>
      <c r="X31" s="112"/>
      <c r="Y31" s="77" t="s">
        <v>1346</v>
      </c>
      <c r="Z31" s="339">
        <v>4</v>
      </c>
      <c r="AA31" s="339">
        <v>5</v>
      </c>
      <c r="AB31" s="339" t="s">
        <v>106</v>
      </c>
      <c r="AC31" s="339" t="s">
        <v>106</v>
      </c>
      <c r="AD31" s="339" t="s">
        <v>106</v>
      </c>
      <c r="AE31" s="339" t="s">
        <v>106</v>
      </c>
      <c r="AF31" s="104">
        <v>5</v>
      </c>
      <c r="AG31" s="104">
        <v>2</v>
      </c>
      <c r="AH31" s="107">
        <f t="shared" si="6"/>
        <v>1.2941338353151037</v>
      </c>
      <c r="AI31" s="107">
        <f t="shared" si="7"/>
        <v>2.0949941301068096</v>
      </c>
      <c r="AJ31" s="107" t="str">
        <f t="shared" si="8"/>
        <v>(4,5,na,na,na,na)</v>
      </c>
      <c r="AK31" s="108">
        <v>1.2</v>
      </c>
      <c r="AL31" s="108">
        <v>1.2</v>
      </c>
      <c r="AM31" s="108">
        <v>1</v>
      </c>
      <c r="AN31" s="108">
        <v>1</v>
      </c>
      <c r="AO31" s="108">
        <v>1</v>
      </c>
      <c r="AP31" s="108">
        <v>1</v>
      </c>
    </row>
    <row r="32" spans="1:42">
      <c r="A32" s="330">
        <v>160371</v>
      </c>
      <c r="B32" s="331"/>
      <c r="C32" s="88"/>
      <c r="D32" s="340">
        <v>5</v>
      </c>
      <c r="E32" s="341" t="s">
        <v>98</v>
      </c>
      <c r="F32" s="432" t="s">
        <v>242</v>
      </c>
      <c r="G32" s="433" t="s">
        <v>93</v>
      </c>
      <c r="H32" s="434" t="s">
        <v>98</v>
      </c>
      <c r="I32" s="434" t="s">
        <v>98</v>
      </c>
      <c r="J32" s="94">
        <v>0</v>
      </c>
      <c r="K32" s="433" t="s">
        <v>115</v>
      </c>
      <c r="L32" s="435">
        <f>L35*200/1000</f>
        <v>2.2232537284320002</v>
      </c>
      <c r="M32" s="95">
        <v>1</v>
      </c>
      <c r="N32" s="96">
        <f t="shared" si="0"/>
        <v>2.0949941301068096</v>
      </c>
      <c r="O32" s="432" t="str">
        <f t="shared" si="1"/>
        <v>(4,5,na,na,na,na); Standard distance 200km</v>
      </c>
      <c r="P32" s="435">
        <f>P35*200/1000</f>
        <v>2.29321877404512</v>
      </c>
      <c r="Q32" s="95">
        <v>1</v>
      </c>
      <c r="R32" s="96">
        <f t="shared" si="2"/>
        <v>2.0949941301068096</v>
      </c>
      <c r="S32" s="432" t="str">
        <f t="shared" si="3"/>
        <v>(4,5,na,na,na,na); Standard distance 200km</v>
      </c>
      <c r="T32" s="435">
        <f>T35*200/1000</f>
        <v>2.5130586148585401</v>
      </c>
      <c r="U32" s="95">
        <v>1</v>
      </c>
      <c r="V32" s="96">
        <f t="shared" si="4"/>
        <v>2.0949941301068096</v>
      </c>
      <c r="W32" s="432" t="str">
        <f t="shared" si="5"/>
        <v>(4,5,na,na,na,na); Standard distance 200km</v>
      </c>
      <c r="X32" s="112"/>
      <c r="Y32" s="77" t="s">
        <v>562</v>
      </c>
      <c r="Z32" s="339">
        <v>4</v>
      </c>
      <c r="AA32" s="339">
        <v>5</v>
      </c>
      <c r="AB32" s="339" t="s">
        <v>106</v>
      </c>
      <c r="AC32" s="339" t="s">
        <v>106</v>
      </c>
      <c r="AD32" s="339" t="s">
        <v>106</v>
      </c>
      <c r="AE32" s="339" t="s">
        <v>106</v>
      </c>
      <c r="AF32" s="104">
        <v>5</v>
      </c>
      <c r="AG32" s="104">
        <v>2</v>
      </c>
      <c r="AH32" s="107">
        <f t="shared" si="6"/>
        <v>1.2941338353151037</v>
      </c>
      <c r="AI32" s="107">
        <f t="shared" si="7"/>
        <v>2.0949941301068096</v>
      </c>
      <c r="AJ32" s="107" t="str">
        <f t="shared" si="8"/>
        <v>(4,5,na,na,na,na)</v>
      </c>
      <c r="AK32" s="108">
        <v>1.2</v>
      </c>
      <c r="AL32" s="108">
        <v>1.2</v>
      </c>
      <c r="AM32" s="108">
        <v>1</v>
      </c>
      <c r="AN32" s="108">
        <v>1</v>
      </c>
      <c r="AO32" s="108">
        <v>1</v>
      </c>
      <c r="AP32" s="108">
        <v>1</v>
      </c>
    </row>
    <row r="33" spans="1:42">
      <c r="A33" s="330">
        <v>269641</v>
      </c>
      <c r="B33" s="331"/>
      <c r="C33" s="88"/>
      <c r="D33" s="340">
        <v>5</v>
      </c>
      <c r="E33" s="341" t="s">
        <v>98</v>
      </c>
      <c r="F33" s="432" t="s">
        <v>240</v>
      </c>
      <c r="G33" s="433" t="s">
        <v>93</v>
      </c>
      <c r="H33" s="434" t="s">
        <v>98</v>
      </c>
      <c r="I33" s="434" t="s">
        <v>98</v>
      </c>
      <c r="J33" s="94">
        <v>0</v>
      </c>
      <c r="K33" s="433" t="s">
        <v>115</v>
      </c>
      <c r="L33" s="435">
        <f>L35*50/1000</f>
        <v>0.55581343210800005</v>
      </c>
      <c r="M33" s="95">
        <v>1</v>
      </c>
      <c r="N33" s="96">
        <f t="shared" si="0"/>
        <v>2.0949941301068096</v>
      </c>
      <c r="O33" s="432" t="str">
        <f t="shared" si="1"/>
        <v>(4,5,na,na,na,na); Standard distance 50km</v>
      </c>
      <c r="P33" s="435">
        <f>P35*50/1000</f>
        <v>0.57330469351127999</v>
      </c>
      <c r="Q33" s="95">
        <v>1</v>
      </c>
      <c r="R33" s="96">
        <f t="shared" si="2"/>
        <v>2.0949941301068096</v>
      </c>
      <c r="S33" s="432" t="str">
        <f t="shared" si="3"/>
        <v>(4,5,na,na,na,na); Standard distance 50km</v>
      </c>
      <c r="T33" s="435">
        <f>T35*50/1000</f>
        <v>0.62826465371463502</v>
      </c>
      <c r="U33" s="95">
        <v>1</v>
      </c>
      <c r="V33" s="96">
        <f t="shared" si="4"/>
        <v>2.0949941301068096</v>
      </c>
      <c r="W33" s="432" t="str">
        <f t="shared" si="5"/>
        <v>(4,5,na,na,na,na); Standard distance 50km</v>
      </c>
      <c r="X33" s="112"/>
      <c r="Y33" s="77" t="s">
        <v>563</v>
      </c>
      <c r="Z33" s="339">
        <v>4</v>
      </c>
      <c r="AA33" s="339">
        <v>5</v>
      </c>
      <c r="AB33" s="339" t="s">
        <v>106</v>
      </c>
      <c r="AC33" s="339" t="s">
        <v>106</v>
      </c>
      <c r="AD33" s="339" t="s">
        <v>106</v>
      </c>
      <c r="AE33" s="339" t="s">
        <v>106</v>
      </c>
      <c r="AF33" s="104">
        <v>5</v>
      </c>
      <c r="AG33" s="104">
        <v>2</v>
      </c>
      <c r="AH33" s="107">
        <f t="shared" si="6"/>
        <v>1.2941338353151037</v>
      </c>
      <c r="AI33" s="107">
        <f t="shared" si="7"/>
        <v>2.0949941301068096</v>
      </c>
      <c r="AJ33" s="107" t="str">
        <f t="shared" si="8"/>
        <v>(4,5,na,na,na,na)</v>
      </c>
      <c r="AK33" s="108">
        <v>1.2</v>
      </c>
      <c r="AL33" s="108">
        <v>1.2</v>
      </c>
      <c r="AM33" s="108">
        <v>1</v>
      </c>
      <c r="AN33" s="108">
        <v>1</v>
      </c>
      <c r="AO33" s="108">
        <v>1</v>
      </c>
      <c r="AP33" s="108">
        <v>1</v>
      </c>
    </row>
    <row r="34" spans="1:42">
      <c r="B34" s="126"/>
      <c r="C34" s="140"/>
      <c r="D34" s="141"/>
      <c r="E34" s="142"/>
      <c r="F34" s="444"/>
      <c r="G34" s="445"/>
      <c r="H34" s="446"/>
      <c r="I34" s="446"/>
      <c r="J34" s="143"/>
      <c r="K34" s="445"/>
      <c r="L34" s="447"/>
      <c r="M34" s="447"/>
      <c r="N34" s="447"/>
      <c r="P34" s="447"/>
      <c r="Q34" s="447"/>
      <c r="R34" s="447"/>
      <c r="T34" s="447"/>
      <c r="U34" s="447"/>
      <c r="V34" s="447"/>
      <c r="X34" s="112"/>
    </row>
    <row r="35" spans="1:42">
      <c r="B35" s="126"/>
      <c r="C35" s="140"/>
      <c r="D35" s="141"/>
      <c r="E35" s="142"/>
      <c r="F35" s="444" t="s">
        <v>1316</v>
      </c>
      <c r="G35" s="445"/>
      <c r="H35" s="446"/>
      <c r="I35" s="446"/>
      <c r="J35" s="143"/>
      <c r="K35" s="445" t="s">
        <v>902</v>
      </c>
      <c r="L35" s="473">
        <v>11.11626864216</v>
      </c>
      <c r="M35" s="473"/>
      <c r="N35" s="473"/>
      <c r="O35" s="469"/>
      <c r="P35" s="473">
        <v>11.466093870225601</v>
      </c>
      <c r="Q35" s="473"/>
      <c r="R35" s="473"/>
      <c r="S35" s="469"/>
      <c r="T35" s="473">
        <v>12.5652930742927</v>
      </c>
      <c r="U35" s="473"/>
      <c r="V35" s="473"/>
      <c r="W35" s="469"/>
      <c r="X35" s="112"/>
    </row>
    <row r="36" spans="1:42">
      <c r="B36" s="126"/>
      <c r="C36" s="140"/>
      <c r="D36" s="141"/>
      <c r="E36" s="142"/>
      <c r="F36" s="444"/>
      <c r="G36" s="445"/>
      <c r="H36" s="446"/>
      <c r="I36" s="446"/>
      <c r="J36" s="143"/>
      <c r="K36" s="445"/>
      <c r="L36" s="447"/>
      <c r="M36" s="447"/>
      <c r="N36" s="447"/>
      <c r="P36" s="447"/>
      <c r="Q36" s="447"/>
      <c r="R36" s="447"/>
      <c r="T36" s="447"/>
      <c r="U36" s="447"/>
      <c r="V36" s="447"/>
      <c r="X36" s="128"/>
      <c r="AA36" s="128"/>
    </row>
    <row r="37" spans="1:42">
      <c r="B37" s="126"/>
      <c r="C37" s="140"/>
      <c r="D37" s="141"/>
      <c r="E37" s="142"/>
      <c r="F37" s="444" t="s">
        <v>568</v>
      </c>
      <c r="G37" s="445"/>
      <c r="H37" s="446"/>
      <c r="I37" s="446"/>
      <c r="J37" s="143"/>
      <c r="K37" s="445"/>
      <c r="L37" s="144">
        <f>SUM(L10:L30)</f>
        <v>1</v>
      </c>
      <c r="M37" s="447"/>
      <c r="N37" s="447"/>
      <c r="P37" s="144">
        <f>SUM(P10:P30)</f>
        <v>0.99999999999999989</v>
      </c>
      <c r="Q37" s="447"/>
      <c r="R37" s="447"/>
      <c r="T37" s="144">
        <f>SUM(T10:T30)</f>
        <v>1.0000000000000002</v>
      </c>
      <c r="U37" s="447"/>
      <c r="V37" s="447"/>
      <c r="X37" s="112"/>
    </row>
    <row r="38" spans="1:42">
      <c r="B38" s="126"/>
      <c r="C38" s="140"/>
      <c r="D38" s="141"/>
      <c r="E38" s="142"/>
      <c r="F38" s="444"/>
      <c r="G38" s="445"/>
      <c r="H38" s="446"/>
      <c r="I38" s="446"/>
      <c r="J38" s="143"/>
      <c r="K38" s="445"/>
      <c r="L38" s="144"/>
      <c r="M38" s="447"/>
      <c r="N38" s="447"/>
      <c r="P38" s="144"/>
      <c r="Q38" s="447"/>
      <c r="R38" s="447"/>
      <c r="T38" s="144"/>
      <c r="U38" s="447"/>
      <c r="V38" s="447"/>
      <c r="X38" s="112"/>
    </row>
    <row r="39" spans="1:42">
      <c r="B39" s="126"/>
      <c r="C39" s="140"/>
      <c r="D39" s="141"/>
      <c r="E39" s="142"/>
      <c r="F39" s="708" t="s">
        <v>535</v>
      </c>
      <c r="G39" s="445"/>
      <c r="H39" s="446"/>
      <c r="I39" s="446"/>
      <c r="J39" s="143"/>
      <c r="K39" s="445"/>
      <c r="L39" s="144"/>
      <c r="M39" s="447"/>
      <c r="N39" s="447"/>
      <c r="P39" s="144"/>
      <c r="Q39" s="447"/>
      <c r="R39" s="447"/>
      <c r="T39" s="144"/>
      <c r="U39" s="447"/>
      <c r="V39" s="447"/>
      <c r="X39" s="112"/>
    </row>
    <row r="40" spans="1:42" ht="24" customHeight="1">
      <c r="B40" s="126"/>
      <c r="C40" s="140"/>
      <c r="D40" s="141"/>
      <c r="E40" s="142"/>
      <c r="F40" s="709" t="s">
        <v>1317</v>
      </c>
      <c r="G40" s="710" t="s">
        <v>1318</v>
      </c>
      <c r="H40" s="711" t="s">
        <v>1319</v>
      </c>
      <c r="J40" s="143"/>
      <c r="K40" s="143"/>
      <c r="L40" s="445"/>
      <c r="M40" s="144"/>
      <c r="N40" s="447"/>
      <c r="O40" s="447"/>
      <c r="P40" s="109"/>
      <c r="Q40" s="144"/>
      <c r="R40" s="447"/>
      <c r="S40" s="447"/>
      <c r="T40" s="109"/>
      <c r="U40" s="144"/>
      <c r="V40" s="447"/>
      <c r="W40" s="447"/>
      <c r="Y40" s="112"/>
      <c r="Z40" s="128"/>
      <c r="AA40" s="402"/>
      <c r="AK40" s="395"/>
    </row>
    <row r="41" spans="1:42">
      <c r="B41" s="126"/>
      <c r="C41" s="140"/>
      <c r="D41" s="141"/>
      <c r="E41" s="142"/>
      <c r="F41" s="429" t="s">
        <v>1320</v>
      </c>
      <c r="G41" s="712">
        <v>0.35</v>
      </c>
      <c r="H41" s="712">
        <v>0.38888888888888901</v>
      </c>
      <c r="J41" s="143"/>
      <c r="K41" s="143"/>
      <c r="L41" s="445"/>
      <c r="M41" s="144"/>
      <c r="N41" s="447"/>
      <c r="O41" s="447"/>
      <c r="P41" s="109"/>
      <c r="Q41" s="144"/>
      <c r="R41" s="447"/>
      <c r="S41" s="447"/>
      <c r="T41" s="109"/>
      <c r="U41" s="144"/>
      <c r="V41" s="447"/>
      <c r="W41" s="447"/>
      <c r="Y41" s="112"/>
      <c r="Z41" s="128"/>
      <c r="AA41" s="402"/>
      <c r="AK41" s="395"/>
    </row>
    <row r="42" spans="1:42">
      <c r="B42" s="126"/>
      <c r="C42" s="140"/>
      <c r="D42" s="141"/>
      <c r="E42" s="142"/>
      <c r="F42" s="429" t="s">
        <v>1322</v>
      </c>
      <c r="G42" s="712">
        <v>0.55000000000000004</v>
      </c>
      <c r="H42" s="712">
        <v>0.61111111111111105</v>
      </c>
      <c r="J42" s="143"/>
      <c r="K42" s="143"/>
      <c r="L42" s="445"/>
      <c r="M42" s="447"/>
      <c r="N42" s="447"/>
      <c r="O42" s="447"/>
      <c r="P42" s="109"/>
      <c r="Q42" s="447"/>
      <c r="R42" s="447"/>
      <c r="S42" s="447"/>
      <c r="T42" s="109"/>
      <c r="U42" s="447"/>
      <c r="V42" s="447"/>
      <c r="W42" s="447"/>
      <c r="Y42" s="112"/>
      <c r="Z42" s="128"/>
      <c r="AA42" s="402"/>
      <c r="AK42" s="395"/>
    </row>
    <row r="43" spans="1:42">
      <c r="B43" s="126"/>
      <c r="C43" s="140"/>
      <c r="D43" s="141"/>
      <c r="E43" s="142"/>
      <c r="F43" s="429" t="s">
        <v>1323</v>
      </c>
      <c r="G43" s="712">
        <v>0.1</v>
      </c>
      <c r="H43" s="712" t="s">
        <v>1324</v>
      </c>
      <c r="J43" s="143"/>
      <c r="K43" s="143"/>
      <c r="L43" s="445"/>
      <c r="M43" s="447"/>
      <c r="N43" s="447"/>
      <c r="O43" s="447"/>
      <c r="P43" s="109"/>
      <c r="Q43" s="447"/>
      <c r="R43" s="447"/>
      <c r="S43" s="447"/>
      <c r="T43" s="109"/>
      <c r="U43" s="447"/>
      <c r="V43" s="447"/>
      <c r="W43" s="447"/>
      <c r="Y43" s="112"/>
      <c r="Z43" s="128"/>
      <c r="AA43" s="402"/>
      <c r="AK43" s="395"/>
    </row>
    <row r="44" spans="1:42">
      <c r="B44" s="126"/>
      <c r="C44" s="140"/>
      <c r="D44" s="141"/>
      <c r="E44" s="142"/>
      <c r="F44" s="143"/>
      <c r="G44" s="143"/>
      <c r="H44" s="143"/>
      <c r="J44" s="143"/>
      <c r="K44" s="143"/>
      <c r="L44" s="445"/>
      <c r="M44" s="447"/>
      <c r="N44" s="447"/>
      <c r="O44" s="447"/>
      <c r="P44" s="109"/>
      <c r="Q44" s="447"/>
      <c r="R44" s="447"/>
      <c r="S44" s="447"/>
      <c r="T44" s="109"/>
      <c r="U44" s="447"/>
      <c r="V44" s="447"/>
      <c r="W44" s="447"/>
      <c r="Y44" s="112"/>
      <c r="Z44" s="128"/>
      <c r="AA44" s="402"/>
      <c r="AK44" s="395"/>
    </row>
    <row r="45" spans="1:42">
      <c r="B45" s="126"/>
      <c r="C45" s="140"/>
      <c r="D45" s="141"/>
      <c r="E45" s="142"/>
      <c r="F45" s="709" t="s">
        <v>1325</v>
      </c>
      <c r="G45" s="712"/>
      <c r="H45" s="711" t="s">
        <v>1326</v>
      </c>
      <c r="J45" s="143"/>
      <c r="K45" s="143"/>
      <c r="L45" s="445"/>
      <c r="M45" s="447"/>
      <c r="N45" s="447"/>
      <c r="O45" s="447"/>
      <c r="P45" s="109"/>
      <c r="Q45" s="447"/>
      <c r="R45" s="447"/>
      <c r="S45" s="447"/>
      <c r="T45" s="109"/>
      <c r="U45" s="447"/>
      <c r="V45" s="447"/>
      <c r="W45" s="447"/>
      <c r="Y45" s="112"/>
      <c r="Z45" s="128"/>
      <c r="AA45" s="402"/>
      <c r="AK45" s="395"/>
    </row>
    <row r="46" spans="1:42">
      <c r="B46" s="126"/>
      <c r="C46" s="140"/>
      <c r="D46" s="141"/>
      <c r="E46" s="142"/>
      <c r="F46" s="714" t="s">
        <v>1327</v>
      </c>
      <c r="G46" s="712"/>
      <c r="H46" s="711"/>
      <c r="J46" s="143"/>
      <c r="K46" s="143"/>
      <c r="L46" s="445"/>
      <c r="M46" s="447"/>
      <c r="N46" s="447"/>
      <c r="O46" s="447"/>
      <c r="P46" s="109"/>
      <c r="Q46" s="447"/>
      <c r="R46" s="447"/>
      <c r="S46" s="447"/>
      <c r="T46" s="109"/>
      <c r="U46" s="447"/>
      <c r="V46" s="447"/>
      <c r="W46" s="447"/>
      <c r="Y46" s="112"/>
      <c r="Z46" s="128"/>
      <c r="AA46" s="402"/>
      <c r="AK46" s="395"/>
    </row>
    <row r="47" spans="1:42">
      <c r="B47" s="126"/>
      <c r="C47" s="140"/>
      <c r="D47" s="141"/>
      <c r="E47" s="142"/>
      <c r="F47" s="537" t="s">
        <v>1328</v>
      </c>
      <c r="G47" s="712">
        <v>0.35555555555555601</v>
      </c>
      <c r="H47" s="711"/>
      <c r="J47" s="143"/>
      <c r="K47" s="143"/>
      <c r="L47" s="445"/>
      <c r="M47" s="447"/>
      <c r="N47" s="447"/>
      <c r="O47" s="447"/>
      <c r="P47" s="109"/>
      <c r="Q47" s="447"/>
      <c r="R47" s="447"/>
      <c r="S47" s="447"/>
      <c r="T47" s="109"/>
      <c r="U47" s="447"/>
      <c r="V47" s="447"/>
      <c r="W47" s="447"/>
      <c r="Y47" s="112"/>
      <c r="Z47" s="128"/>
      <c r="AA47" s="402"/>
      <c r="AK47" s="395"/>
    </row>
    <row r="48" spans="1:42">
      <c r="B48" s="126"/>
      <c r="C48" s="140"/>
      <c r="D48" s="141"/>
      <c r="E48" s="142"/>
      <c r="F48" s="537" t="s">
        <v>1329</v>
      </c>
      <c r="G48" s="712">
        <v>0.64444444444444404</v>
      </c>
      <c r="H48" s="711"/>
      <c r="J48" s="143"/>
      <c r="K48" s="143"/>
      <c r="L48" s="445"/>
      <c r="M48" s="447"/>
      <c r="N48" s="447"/>
      <c r="O48" s="447"/>
      <c r="P48" s="109"/>
      <c r="Q48" s="447"/>
      <c r="R48" s="447"/>
      <c r="S48" s="447"/>
      <c r="T48" s="109"/>
      <c r="U48" s="447"/>
      <c r="V48" s="447"/>
      <c r="W48" s="447"/>
      <c r="Y48" s="112"/>
      <c r="Z48" s="128"/>
      <c r="AA48" s="402"/>
      <c r="AK48" s="395"/>
    </row>
    <row r="49" spans="2:37">
      <c r="B49" s="126"/>
      <c r="C49" s="140"/>
      <c r="D49" s="141"/>
      <c r="E49" s="142"/>
      <c r="F49" s="714" t="s">
        <v>1330</v>
      </c>
      <c r="G49" s="712"/>
      <c r="H49" s="711"/>
      <c r="J49" s="143"/>
      <c r="K49" s="143"/>
      <c r="L49" s="445"/>
      <c r="M49" s="447"/>
      <c r="N49" s="447"/>
      <c r="O49" s="447"/>
      <c r="P49" s="109"/>
      <c r="Q49" s="447"/>
      <c r="R49" s="447"/>
      <c r="S49" s="447"/>
      <c r="T49" s="109"/>
      <c r="U49" s="447"/>
      <c r="V49" s="447"/>
      <c r="W49" s="447"/>
      <c r="Y49" s="112"/>
      <c r="Z49" s="128"/>
      <c r="AA49" s="402"/>
      <c r="AK49" s="395"/>
    </row>
    <row r="50" spans="2:37">
      <c r="F50" s="429" t="s">
        <v>1328</v>
      </c>
      <c r="G50" s="712">
        <v>0.296296296296296</v>
      </c>
      <c r="H50" s="713"/>
      <c r="J50" s="143"/>
      <c r="K50" s="143"/>
      <c r="L50" s="445"/>
      <c r="M50" s="447"/>
      <c r="N50" s="447"/>
      <c r="O50" s="447"/>
      <c r="P50" s="109"/>
      <c r="Q50" s="447"/>
      <c r="R50" s="447"/>
      <c r="S50" s="447"/>
      <c r="T50" s="109"/>
    </row>
    <row r="51" spans="2:37">
      <c r="F51" s="429" t="s">
        <v>1329</v>
      </c>
      <c r="G51" s="712">
        <v>0.70370370370370405</v>
      </c>
      <c r="H51" s="713"/>
      <c r="J51" s="143"/>
      <c r="K51" s="143"/>
      <c r="L51" s="445"/>
      <c r="M51" s="447"/>
      <c r="N51" s="447"/>
      <c r="O51" s="447"/>
      <c r="P51" s="109"/>
      <c r="Q51" s="447"/>
      <c r="R51" s="447"/>
      <c r="S51" s="447"/>
      <c r="T51" s="109"/>
    </row>
    <row r="52" spans="2:37">
      <c r="F52" s="444"/>
      <c r="G52" s="445"/>
      <c r="H52" s="446"/>
      <c r="I52" s="446"/>
      <c r="J52" s="143"/>
      <c r="K52" s="445"/>
      <c r="L52" s="447"/>
      <c r="M52" s="447"/>
      <c r="N52" s="447"/>
      <c r="P52" s="447"/>
      <c r="Q52" s="447"/>
      <c r="R52" s="447"/>
      <c r="T52" s="447"/>
    </row>
    <row r="53" spans="2:37">
      <c r="F53" s="126" t="s">
        <v>570</v>
      </c>
      <c r="G53" s="445"/>
      <c r="H53" s="446"/>
      <c r="I53" s="446"/>
      <c r="J53" s="143"/>
      <c r="K53" s="445" t="s">
        <v>168</v>
      </c>
      <c r="L53" s="133">
        <v>20755.364000000001</v>
      </c>
      <c r="M53" s="447"/>
      <c r="N53" s="447"/>
      <c r="P53" s="133">
        <v>20755.364000000001</v>
      </c>
      <c r="Q53" s="447"/>
      <c r="R53" s="447"/>
      <c r="T53" s="133">
        <v>20755.364000000001</v>
      </c>
    </row>
    <row r="54" spans="2:37">
      <c r="F54" s="126" t="s">
        <v>1099</v>
      </c>
      <c r="G54" s="445"/>
      <c r="H54" s="446"/>
      <c r="I54" s="446"/>
      <c r="J54" s="143"/>
      <c r="K54" s="445" t="s">
        <v>168</v>
      </c>
      <c r="L54" s="277">
        <v>18411</v>
      </c>
      <c r="M54" s="447"/>
      <c r="N54" s="447"/>
      <c r="P54" s="277">
        <v>18411</v>
      </c>
      <c r="Q54" s="447"/>
      <c r="R54" s="447"/>
      <c r="T54" s="277">
        <v>18411</v>
      </c>
    </row>
  </sheetData>
  <mergeCells count="1">
    <mergeCell ref="Z1:AE1"/>
  </mergeCells>
  <conditionalFormatting sqref="D10:W33 Y10:AE33">
    <cfRule type="expression" dxfId="202" priority="14">
      <formula>MOD(ROW(),2)=0</formula>
    </cfRule>
  </conditionalFormatting>
  <conditionalFormatting sqref="AF10:AP33">
    <cfRule type="expression" dxfId="201" priority="9">
      <formula>MOD(ROW(),2)=0</formula>
    </cfRule>
  </conditionalFormatting>
  <dataValidations disablePrompts="1" count="9">
    <dataValidation allowBlank="1" showInputMessage="1" showErrorMessage="1" promptTitle="Remarks" prompt="A general comment (data source, calculation procedure, ...) can be made about each individual exchange. The remarks are added to the GeneralComment-field." sqref="Y3" xr:uid="{00000000-0002-0000-2200-000000000000}"/>
    <dataValidation allowBlank="1" showInputMessage="1" showErrorMessage="1" prompt="Do not change." sqref="AF3:AP4" xr:uid="{00000000-0002-0000-22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A3" xr:uid="{00000000-0002-0000-22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B3" xr:uid="{00000000-0002-0000-22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C3" xr:uid="{00000000-0002-0000-22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D3" xr:uid="{00000000-0002-0000-22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E3" xr:uid="{00000000-0002-0000-22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Z3" xr:uid="{00000000-0002-0000-2200-000007000000}"/>
    <dataValidation allowBlank="1" showInputMessage="1" showErrorMessage="1" promptTitle="Do not change" prompt="This field is automatically updated from the names-list" sqref="AF10:AF33" xr:uid="{00000000-0002-0000-2200-000008000000}"/>
  </dataValidations>
  <pageMargins left="0.78740157499999996" right="0.78740157499999996" top="0.984251969" bottom="0.984251969" header="0.4921259845" footer="0.4921259845"/>
  <pageSetup paperSize="9" scale="3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50">
    <tabColor rgb="FF9CD9F0"/>
    <pageSetUpPr fitToPage="1"/>
  </sheetPr>
  <dimension ref="A1:AT46"/>
  <sheetViews>
    <sheetView topLeftCell="A10" workbookViewId="0">
      <selection activeCell="L11" sqref="A1:XFD1048576"/>
    </sheetView>
  </sheetViews>
  <sheetFormatPr baseColWidth="10" defaultColWidth="11.42578125" defaultRowHeight="12"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5.7109375" style="120" hidden="1" customWidth="1" outlineLevel="1"/>
    <col min="15" max="15" width="40.7109375" style="109" hidden="1" customWidth="1" outlineLevel="1"/>
    <col min="16" max="16" width="15.7109375" style="277" customWidth="1" collapsed="1"/>
    <col min="17" max="18" width="5.7109375" style="120" hidden="1" customWidth="1" outlineLevel="1"/>
    <col min="19" max="19" width="40.7109375" style="109" hidden="1" customWidth="1" outlineLevel="1"/>
    <col min="20" max="20" width="15.7109375" style="277" customWidth="1" collapsed="1"/>
    <col min="21" max="22" width="5.7109375" style="120" hidden="1" customWidth="1" outlineLevel="1"/>
    <col min="23" max="23" width="40.7109375" style="109" hidden="1" customWidth="1" outlineLevel="1"/>
    <col min="24" max="24" width="4.140625" style="109" customWidth="1" collapsed="1"/>
    <col min="25" max="25" width="40.7109375" style="128" customWidth="1"/>
    <col min="26" max="26" width="4.7109375" style="402" hidden="1" customWidth="1" outlineLevel="1"/>
    <col min="27" max="35" width="4.7109375" style="395" hidden="1" customWidth="1" outlineLevel="1"/>
    <col min="36" max="36" width="12.7109375" style="395" hidden="1" customWidth="1" outlineLevel="1"/>
    <col min="37" max="42" width="4.7109375" style="277" hidden="1" customWidth="1" outlineLevel="1"/>
    <col min="43" max="43" width="11.42578125" style="277" customWidth="1" collapsed="1"/>
    <col min="44" max="44" width="11.42578125" style="277" customWidth="1"/>
    <col min="45" max="46" width="11.42578125" style="132" customWidth="1"/>
    <col min="47" max="48" width="11.42578125" style="277" customWidth="1"/>
    <col min="49" max="16384" width="11.42578125" style="277"/>
  </cols>
  <sheetData>
    <row r="1" spans="1:42" ht="12.75" customHeight="1">
      <c r="A1" s="77"/>
      <c r="B1" s="78"/>
      <c r="C1" s="79"/>
      <c r="D1" s="77"/>
      <c r="E1" s="77"/>
      <c r="F1" s="80" t="s">
        <v>65</v>
      </c>
      <c r="G1" s="77"/>
      <c r="H1" s="77"/>
      <c r="I1" s="77"/>
      <c r="J1" s="77"/>
      <c r="K1" s="77"/>
      <c r="L1" s="330">
        <f>A7</f>
        <v>264689</v>
      </c>
      <c r="M1" s="330"/>
      <c r="N1" s="330"/>
      <c r="O1" s="330"/>
      <c r="P1" s="330" t="str">
        <f>A8</f>
        <v>Z-PV-138</v>
      </c>
      <c r="Q1" s="330"/>
      <c r="R1" s="330"/>
      <c r="S1" s="330"/>
      <c r="T1" s="330" t="str">
        <f>A9</f>
        <v>Z-PV-139</v>
      </c>
      <c r="U1" s="81"/>
      <c r="V1" s="81"/>
      <c r="W1" s="81"/>
      <c r="Y1" s="378"/>
      <c r="Z1" s="1586"/>
      <c r="AA1" s="1588"/>
      <c r="AB1" s="1588"/>
      <c r="AC1" s="1588"/>
      <c r="AD1" s="1588"/>
      <c r="AE1" s="1588"/>
      <c r="AF1" s="406"/>
      <c r="AG1" s="406"/>
      <c r="AH1" s="406"/>
      <c r="AI1" s="406"/>
      <c r="AJ1" s="406"/>
      <c r="AK1" s="378"/>
      <c r="AL1" s="378"/>
      <c r="AM1" s="378"/>
      <c r="AN1" s="378"/>
      <c r="AO1" s="378"/>
      <c r="AP1" s="378"/>
    </row>
    <row r="2" spans="1:42" ht="12.7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421"/>
      <c r="Y2" s="406"/>
      <c r="Z2" s="406"/>
      <c r="AA2" s="406"/>
      <c r="AB2" s="406"/>
      <c r="AC2" s="406"/>
      <c r="AD2" s="406"/>
      <c r="AE2" s="406"/>
      <c r="AF2" s="406"/>
      <c r="AG2" s="378"/>
      <c r="AH2" s="378"/>
      <c r="AI2" s="378"/>
      <c r="AJ2" s="378"/>
      <c r="AK2" s="378"/>
      <c r="AL2" s="378"/>
      <c r="AM2" s="378"/>
      <c r="AN2" s="378"/>
      <c r="AO2" s="378"/>
      <c r="AP2" s="378"/>
    </row>
    <row r="3" spans="1:42" ht="105" customHeight="1">
      <c r="A3" s="83" t="s">
        <v>68</v>
      </c>
      <c r="B3" s="84"/>
      <c r="C3" s="79">
        <v>401</v>
      </c>
      <c r="D3" s="85" t="s">
        <v>69</v>
      </c>
      <c r="E3" s="85" t="s">
        <v>70</v>
      </c>
      <c r="F3" s="86" t="s">
        <v>71</v>
      </c>
      <c r="G3" s="85" t="s">
        <v>72</v>
      </c>
      <c r="H3" s="85" t="s">
        <v>73</v>
      </c>
      <c r="I3" s="85" t="s">
        <v>74</v>
      </c>
      <c r="J3" s="85" t="s">
        <v>75</v>
      </c>
      <c r="K3" s="85" t="s">
        <v>76</v>
      </c>
      <c r="L3" s="87" t="s">
        <v>1347</v>
      </c>
      <c r="M3" s="422" t="s">
        <v>78</v>
      </c>
      <c r="N3" s="422" t="s">
        <v>79</v>
      </c>
      <c r="O3" s="423" t="s">
        <v>80</v>
      </c>
      <c r="P3" s="87" t="s">
        <v>1348</v>
      </c>
      <c r="Q3" s="422" t="s">
        <v>78</v>
      </c>
      <c r="R3" s="422" t="s">
        <v>79</v>
      </c>
      <c r="S3" s="423" t="s">
        <v>80</v>
      </c>
      <c r="T3" s="87" t="s">
        <v>1349</v>
      </c>
      <c r="U3" s="422" t="s">
        <v>78</v>
      </c>
      <c r="V3" s="422" t="s">
        <v>79</v>
      </c>
      <c r="W3" s="423" t="s">
        <v>80</v>
      </c>
      <c r="X3" s="424"/>
      <c r="Y3" s="97" t="s">
        <v>363</v>
      </c>
      <c r="Z3" s="98" t="s">
        <v>364</v>
      </c>
      <c r="AA3" s="98" t="s">
        <v>365</v>
      </c>
      <c r="AB3" s="98" t="s">
        <v>366</v>
      </c>
      <c r="AC3" s="98" t="s">
        <v>367</v>
      </c>
      <c r="AD3" s="98" t="s">
        <v>368</v>
      </c>
      <c r="AE3" s="98" t="s">
        <v>369</v>
      </c>
      <c r="AF3" s="99" t="s">
        <v>88</v>
      </c>
      <c r="AG3" s="99" t="s">
        <v>370</v>
      </c>
      <c r="AH3" s="99" t="s">
        <v>90</v>
      </c>
      <c r="AI3" s="99" t="s">
        <v>91</v>
      </c>
      <c r="AJ3" s="99" t="s">
        <v>371</v>
      </c>
      <c r="AK3" s="100" t="s">
        <v>364</v>
      </c>
      <c r="AL3" s="100" t="s">
        <v>365</v>
      </c>
      <c r="AM3" s="100" t="s">
        <v>366</v>
      </c>
      <c r="AN3" s="100" t="s">
        <v>367</v>
      </c>
      <c r="AO3" s="100" t="s">
        <v>368</v>
      </c>
      <c r="AP3" s="100" t="s">
        <v>369</v>
      </c>
    </row>
    <row r="4" spans="1:42" ht="12.75" customHeight="1">
      <c r="A4" s="77"/>
      <c r="B4" s="84"/>
      <c r="C4" s="79">
        <v>662</v>
      </c>
      <c r="D4" s="86"/>
      <c r="E4" s="86"/>
      <c r="F4" s="86" t="s">
        <v>72</v>
      </c>
      <c r="G4" s="86"/>
      <c r="H4" s="86"/>
      <c r="I4" s="86"/>
      <c r="J4" s="86"/>
      <c r="K4" s="86"/>
      <c r="L4" s="87" t="s">
        <v>373</v>
      </c>
      <c r="M4" s="425"/>
      <c r="N4" s="425"/>
      <c r="O4" s="426"/>
      <c r="P4" s="87" t="s">
        <v>373</v>
      </c>
      <c r="Q4" s="425"/>
      <c r="R4" s="425"/>
      <c r="S4" s="426"/>
      <c r="T4" s="87" t="s">
        <v>373</v>
      </c>
      <c r="U4" s="425"/>
      <c r="V4" s="425"/>
      <c r="W4" s="426"/>
      <c r="X4" s="427"/>
      <c r="Y4" s="101"/>
      <c r="Z4" s="102" t="s">
        <v>94</v>
      </c>
      <c r="AA4" s="97"/>
      <c r="AB4" s="97"/>
      <c r="AC4" s="97"/>
      <c r="AD4" s="97"/>
      <c r="AE4" s="97"/>
      <c r="AF4" s="103"/>
      <c r="AG4" s="103"/>
      <c r="AH4" s="103" t="s">
        <v>95</v>
      </c>
      <c r="AI4" s="103" t="s">
        <v>95</v>
      </c>
      <c r="AJ4" s="104"/>
      <c r="AK4" s="105"/>
      <c r="AL4" s="105"/>
      <c r="AM4" s="105"/>
      <c r="AN4" s="105"/>
      <c r="AO4" s="105"/>
      <c r="AP4" s="105"/>
    </row>
    <row r="5" spans="1:42" ht="12.75" customHeigh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427"/>
      <c r="Y5" s="101"/>
      <c r="Z5" s="97"/>
      <c r="AA5" s="97"/>
      <c r="AB5" s="97"/>
      <c r="AC5" s="97"/>
      <c r="AD5" s="97"/>
      <c r="AE5" s="97"/>
      <c r="AF5" s="104"/>
      <c r="AG5" s="104"/>
      <c r="AH5" s="104"/>
      <c r="AI5" s="104"/>
      <c r="AJ5" s="104"/>
      <c r="AK5" s="105"/>
      <c r="AL5" s="105"/>
      <c r="AM5" s="105"/>
      <c r="AN5" s="105"/>
      <c r="AO5" s="105"/>
      <c r="AP5" s="105"/>
    </row>
    <row r="6" spans="1:42" ht="12.75" customHeigh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427"/>
      <c r="Y6" s="101"/>
      <c r="Z6" s="106"/>
      <c r="AA6" s="106"/>
      <c r="AB6" s="106"/>
      <c r="AC6" s="106"/>
      <c r="AD6" s="106"/>
      <c r="AE6" s="106"/>
      <c r="AF6" s="104"/>
      <c r="AG6" s="104"/>
      <c r="AH6" s="428"/>
      <c r="AI6" s="428"/>
      <c r="AJ6" s="107"/>
      <c r="AK6" s="105"/>
      <c r="AL6" s="105"/>
      <c r="AM6" s="105"/>
      <c r="AN6" s="105"/>
      <c r="AO6" s="105"/>
      <c r="AP6" s="105"/>
    </row>
    <row r="7" spans="1:42" s="139" customFormat="1" ht="24" customHeight="1">
      <c r="A7" s="330">
        <v>264689</v>
      </c>
      <c r="B7" s="331" t="s">
        <v>97</v>
      </c>
      <c r="C7" s="88"/>
      <c r="D7" s="294" t="s">
        <v>98</v>
      </c>
      <c r="E7" s="295">
        <v>0</v>
      </c>
      <c r="F7" s="429" t="s">
        <v>1347</v>
      </c>
      <c r="G7" s="430" t="s">
        <v>373</v>
      </c>
      <c r="H7" s="431" t="s">
        <v>98</v>
      </c>
      <c r="I7" s="431" t="s">
        <v>98</v>
      </c>
      <c r="J7" s="89">
        <v>1</v>
      </c>
      <c r="K7" s="430" t="s">
        <v>679</v>
      </c>
      <c r="L7" s="90">
        <v>1</v>
      </c>
      <c r="M7" s="91"/>
      <c r="N7" s="92"/>
      <c r="O7" s="93"/>
      <c r="P7" s="90">
        <v>0</v>
      </c>
      <c r="Q7" s="91"/>
      <c r="R7" s="92"/>
      <c r="S7" s="93"/>
      <c r="T7" s="90">
        <v>0</v>
      </c>
      <c r="U7" s="91"/>
      <c r="V7" s="92"/>
      <c r="W7" s="93"/>
      <c r="X7" s="427"/>
      <c r="Y7" s="101"/>
      <c r="Z7" s="97"/>
      <c r="AA7" s="97"/>
      <c r="AB7" s="97"/>
      <c r="AC7" s="97"/>
      <c r="AD7" s="97"/>
      <c r="AE7" s="97"/>
      <c r="AF7" s="104"/>
      <c r="AG7" s="104"/>
      <c r="AH7" s="104"/>
      <c r="AI7" s="104"/>
      <c r="AJ7" s="104"/>
      <c r="AK7" s="104"/>
      <c r="AL7" s="104"/>
      <c r="AM7" s="104"/>
      <c r="AN7" s="104"/>
      <c r="AO7" s="104"/>
      <c r="AP7" s="104"/>
    </row>
    <row r="8" spans="1:42" s="139" customFormat="1" ht="24" customHeight="1">
      <c r="A8" s="330" t="s">
        <v>1350</v>
      </c>
      <c r="B8" s="331"/>
      <c r="C8" s="88"/>
      <c r="D8" s="294" t="s">
        <v>98</v>
      </c>
      <c r="E8" s="295">
        <v>0</v>
      </c>
      <c r="F8" s="429" t="s">
        <v>1348</v>
      </c>
      <c r="G8" s="430" t="s">
        <v>373</v>
      </c>
      <c r="H8" s="431" t="s">
        <v>98</v>
      </c>
      <c r="I8" s="431" t="s">
        <v>98</v>
      </c>
      <c r="J8" s="89">
        <v>1</v>
      </c>
      <c r="K8" s="430" t="s">
        <v>679</v>
      </c>
      <c r="L8" s="90">
        <v>0</v>
      </c>
      <c r="M8" s="91"/>
      <c r="N8" s="92"/>
      <c r="O8" s="93"/>
      <c r="P8" s="90">
        <v>1</v>
      </c>
      <c r="Q8" s="91"/>
      <c r="R8" s="92"/>
      <c r="S8" s="93"/>
      <c r="T8" s="90">
        <v>0</v>
      </c>
      <c r="U8" s="91"/>
      <c r="V8" s="92"/>
      <c r="W8" s="93"/>
      <c r="X8" s="427"/>
      <c r="Y8" s="101"/>
      <c r="Z8" s="97"/>
      <c r="AA8" s="97"/>
      <c r="AB8" s="97"/>
      <c r="AC8" s="97"/>
      <c r="AD8" s="97"/>
      <c r="AE8" s="97"/>
      <c r="AF8" s="104"/>
      <c r="AG8" s="104"/>
      <c r="AH8" s="104"/>
      <c r="AI8" s="104"/>
      <c r="AJ8" s="104"/>
      <c r="AK8" s="104"/>
      <c r="AL8" s="104"/>
      <c r="AM8" s="104"/>
      <c r="AN8" s="104"/>
      <c r="AO8" s="104"/>
      <c r="AP8" s="104"/>
    </row>
    <row r="9" spans="1:42" s="139" customFormat="1" ht="24" customHeight="1">
      <c r="A9" s="330" t="s">
        <v>1351</v>
      </c>
      <c r="B9" s="331"/>
      <c r="C9" s="88"/>
      <c r="D9" s="294" t="s">
        <v>98</v>
      </c>
      <c r="E9" s="295">
        <v>0</v>
      </c>
      <c r="F9" s="429" t="s">
        <v>1349</v>
      </c>
      <c r="G9" s="430" t="s">
        <v>373</v>
      </c>
      <c r="H9" s="431" t="s">
        <v>98</v>
      </c>
      <c r="I9" s="431" t="s">
        <v>98</v>
      </c>
      <c r="J9" s="89">
        <v>1</v>
      </c>
      <c r="K9" s="430" t="s">
        <v>679</v>
      </c>
      <c r="L9" s="90">
        <v>0</v>
      </c>
      <c r="M9" s="91"/>
      <c r="N9" s="92"/>
      <c r="O9" s="93"/>
      <c r="P9" s="90">
        <v>0</v>
      </c>
      <c r="Q9" s="91"/>
      <c r="R9" s="92"/>
      <c r="S9" s="93"/>
      <c r="T9" s="90">
        <v>1</v>
      </c>
      <c r="U9" s="91"/>
      <c r="V9" s="92"/>
      <c r="W9" s="93"/>
      <c r="X9" s="427"/>
      <c r="Y9" s="101"/>
      <c r="Z9" s="97"/>
      <c r="AA9" s="97"/>
      <c r="AB9" s="97"/>
      <c r="AC9" s="97"/>
      <c r="AD9" s="97"/>
      <c r="AE9" s="97"/>
      <c r="AF9" s="104"/>
      <c r="AG9" s="104"/>
      <c r="AH9" s="104"/>
      <c r="AI9" s="104"/>
      <c r="AJ9" s="104"/>
      <c r="AK9" s="104"/>
      <c r="AL9" s="104"/>
      <c r="AM9" s="104"/>
      <c r="AN9" s="104"/>
      <c r="AO9" s="104"/>
      <c r="AP9" s="104"/>
    </row>
    <row r="10" spans="1:42" ht="24" customHeight="1">
      <c r="A10" s="330" t="s">
        <v>1158</v>
      </c>
      <c r="B10" s="331"/>
      <c r="C10" s="88"/>
      <c r="D10" s="340">
        <v>5</v>
      </c>
      <c r="E10" s="341" t="s">
        <v>98</v>
      </c>
      <c r="F10" s="432" t="s">
        <v>1132</v>
      </c>
      <c r="G10" s="433" t="s">
        <v>373</v>
      </c>
      <c r="H10" s="434" t="s">
        <v>98</v>
      </c>
      <c r="I10" s="434" t="s">
        <v>98</v>
      </c>
      <c r="J10" s="94">
        <v>1</v>
      </c>
      <c r="K10" s="433" t="s">
        <v>679</v>
      </c>
      <c r="L10" s="350">
        <v>0</v>
      </c>
      <c r="M10" s="95">
        <v>1</v>
      </c>
      <c r="N10" s="96">
        <f t="shared" ref="N10:N26" si="0">$AI10</f>
        <v>3.0909055800049732</v>
      </c>
      <c r="O10" s="432" t="str">
        <f t="shared" ref="O10:O26" si="1">$AJ10&amp;"; "&amp;$Y10</f>
        <v>(4,1,1,1,1,5); Market share APAC modules</v>
      </c>
      <c r="P10" s="350">
        <v>0.15917271418652301</v>
      </c>
      <c r="Q10" s="95">
        <v>1</v>
      </c>
      <c r="R10" s="96">
        <f t="shared" ref="R10:R26" si="2">$AI10</f>
        <v>3.0909055800049732</v>
      </c>
      <c r="S10" s="432" t="str">
        <f t="shared" ref="S10:S26" si="3">$AJ10&amp;"; "&amp;$Y10</f>
        <v>(4,1,1,1,1,5); Market share APAC modules</v>
      </c>
      <c r="T10" s="350">
        <v>0</v>
      </c>
      <c r="U10" s="95">
        <v>1</v>
      </c>
      <c r="V10" s="96">
        <f t="shared" ref="V10:V26" si="4">$AI10</f>
        <v>3.0909055800049732</v>
      </c>
      <c r="W10" s="432" t="str">
        <f t="shared" ref="W10:W26" si="5">$AJ10&amp;"; "&amp;$Y10</f>
        <v>(4,1,1,1,1,5); Market share APAC modules</v>
      </c>
      <c r="X10" s="112"/>
      <c r="Y10" s="77" t="s">
        <v>1313</v>
      </c>
      <c r="Z10" s="339">
        <v>4</v>
      </c>
      <c r="AA10" s="339">
        <v>1</v>
      </c>
      <c r="AB10" s="339">
        <v>1</v>
      </c>
      <c r="AC10" s="339">
        <v>1</v>
      </c>
      <c r="AD10" s="339">
        <v>1</v>
      </c>
      <c r="AE10" s="339">
        <v>5</v>
      </c>
      <c r="AF10" s="104">
        <v>9</v>
      </c>
      <c r="AG10" s="104">
        <v>3</v>
      </c>
      <c r="AH10" s="107">
        <f t="shared" ref="AH10:AH26" si="6">EXP(SQRT((LN(AK10)^2)+(LN(AL10)^2)+(LN(AM10)^2)+(LN(AN10)^2)+(LN(AO10)^2)+(LN(AP10)^2)))</f>
        <v>1.2941338353151037</v>
      </c>
      <c r="AI10" s="107">
        <f t="shared" ref="AI10:AI26" si="7">EXP(SQRT((LN(AK10)^2)+(LN(AL10)^2)+(LN(AM10)^2)+(LN(AN10)^2)+(LN(AO10)^2)+(LN(AP10)^2)+LN(AG10)^2))</f>
        <v>3.0909055800049732</v>
      </c>
      <c r="AJ10" s="107" t="str">
        <f t="shared" ref="AJ10:AJ26" si="8">CONCATENATE("(",Z10,",",AA10,",",AB10,",",AC10,",",AD10,",",AE10,")")</f>
        <v>(4,1,1,1,1,5)</v>
      </c>
      <c r="AK10" s="108">
        <v>1.2</v>
      </c>
      <c r="AL10" s="108">
        <v>1</v>
      </c>
      <c r="AM10" s="108">
        <v>1</v>
      </c>
      <c r="AN10" s="108">
        <v>1</v>
      </c>
      <c r="AO10" s="108">
        <v>1</v>
      </c>
      <c r="AP10" s="108">
        <v>1.2</v>
      </c>
    </row>
    <row r="11" spans="1:42" ht="24" customHeight="1">
      <c r="A11" s="330" t="s">
        <v>1159</v>
      </c>
      <c r="B11" s="331"/>
      <c r="C11" s="88"/>
      <c r="D11" s="340">
        <v>5</v>
      </c>
      <c r="E11" s="341" t="s">
        <v>98</v>
      </c>
      <c r="F11" s="432" t="s">
        <v>1133</v>
      </c>
      <c r="G11" s="433" t="s">
        <v>373</v>
      </c>
      <c r="H11" s="434" t="s">
        <v>98</v>
      </c>
      <c r="I11" s="434" t="s">
        <v>98</v>
      </c>
      <c r="J11" s="94">
        <v>1</v>
      </c>
      <c r="K11" s="433" t="s">
        <v>679</v>
      </c>
      <c r="L11" s="350">
        <v>0</v>
      </c>
      <c r="M11" s="95">
        <v>1</v>
      </c>
      <c r="N11" s="96">
        <f t="shared" si="0"/>
        <v>3.0909055800049732</v>
      </c>
      <c r="O11" s="432" t="str">
        <f t="shared" si="1"/>
        <v>(4,1,1,1,1,5); Market share APAC modules</v>
      </c>
      <c r="P11" s="350">
        <v>0.37803519619299197</v>
      </c>
      <c r="Q11" s="95">
        <v>1</v>
      </c>
      <c r="R11" s="96">
        <f t="shared" si="2"/>
        <v>3.0909055800049732</v>
      </c>
      <c r="S11" s="432" t="str">
        <f t="shared" si="3"/>
        <v>(4,1,1,1,1,5); Market share APAC modules</v>
      </c>
      <c r="T11" s="350">
        <v>0</v>
      </c>
      <c r="U11" s="95">
        <v>1</v>
      </c>
      <c r="V11" s="96">
        <f t="shared" si="4"/>
        <v>3.0909055800049732</v>
      </c>
      <c r="W11" s="432" t="str">
        <f t="shared" si="5"/>
        <v>(4,1,1,1,1,5); Market share APAC modules</v>
      </c>
      <c r="X11" s="112"/>
      <c r="Y11" s="77" t="s">
        <v>1313</v>
      </c>
      <c r="Z11" s="339">
        <v>4</v>
      </c>
      <c r="AA11" s="339">
        <v>1</v>
      </c>
      <c r="AB11" s="339">
        <v>1</v>
      </c>
      <c r="AC11" s="339">
        <v>1</v>
      </c>
      <c r="AD11" s="339">
        <v>1</v>
      </c>
      <c r="AE11" s="339">
        <v>5</v>
      </c>
      <c r="AF11" s="104">
        <v>9</v>
      </c>
      <c r="AG11" s="104">
        <v>3</v>
      </c>
      <c r="AH11" s="107">
        <f t="shared" si="6"/>
        <v>1.2941338353151037</v>
      </c>
      <c r="AI11" s="107">
        <f t="shared" si="7"/>
        <v>3.0909055800049732</v>
      </c>
      <c r="AJ11" s="107" t="str">
        <f t="shared" si="8"/>
        <v>(4,1,1,1,1,5)</v>
      </c>
      <c r="AK11" s="108">
        <v>1.2</v>
      </c>
      <c r="AL11" s="108">
        <v>1</v>
      </c>
      <c r="AM11" s="108">
        <v>1</v>
      </c>
      <c r="AN11" s="108">
        <v>1</v>
      </c>
      <c r="AO11" s="108">
        <v>1</v>
      </c>
      <c r="AP11" s="108">
        <v>1.2</v>
      </c>
    </row>
    <row r="12" spans="1:42" ht="24" customHeight="1">
      <c r="A12" s="330" t="s">
        <v>1160</v>
      </c>
      <c r="B12" s="331"/>
      <c r="C12" s="88"/>
      <c r="D12" s="340">
        <v>5</v>
      </c>
      <c r="E12" s="341" t="s">
        <v>98</v>
      </c>
      <c r="F12" s="432" t="s">
        <v>1134</v>
      </c>
      <c r="G12" s="433" t="s">
        <v>373</v>
      </c>
      <c r="H12" s="434" t="s">
        <v>98</v>
      </c>
      <c r="I12" s="434" t="s">
        <v>98</v>
      </c>
      <c r="J12" s="94">
        <v>1</v>
      </c>
      <c r="K12" s="433" t="s">
        <v>679</v>
      </c>
      <c r="L12" s="350">
        <v>0</v>
      </c>
      <c r="M12" s="95">
        <v>1</v>
      </c>
      <c r="N12" s="96">
        <f t="shared" si="0"/>
        <v>3.0909055800049732</v>
      </c>
      <c r="O12" s="432" t="str">
        <f t="shared" si="1"/>
        <v>(4,1,1,1,1,5); Market share APAC modules</v>
      </c>
      <c r="P12" s="350">
        <v>0</v>
      </c>
      <c r="Q12" s="95">
        <v>1</v>
      </c>
      <c r="R12" s="96">
        <f t="shared" si="2"/>
        <v>3.0909055800049732</v>
      </c>
      <c r="S12" s="432" t="str">
        <f t="shared" si="3"/>
        <v>(4,1,1,1,1,5); Market share APAC modules</v>
      </c>
      <c r="T12" s="350">
        <v>0.31255732967535399</v>
      </c>
      <c r="U12" s="95">
        <v>1</v>
      </c>
      <c r="V12" s="96">
        <f t="shared" si="4"/>
        <v>3.0909055800049732</v>
      </c>
      <c r="W12" s="432" t="str">
        <f t="shared" si="5"/>
        <v>(4,1,1,1,1,5); Market share APAC modules</v>
      </c>
      <c r="X12" s="112"/>
      <c r="Y12" s="77" t="s">
        <v>1313</v>
      </c>
      <c r="Z12" s="339">
        <v>4</v>
      </c>
      <c r="AA12" s="339">
        <v>1</v>
      </c>
      <c r="AB12" s="339">
        <v>1</v>
      </c>
      <c r="AC12" s="339">
        <v>1</v>
      </c>
      <c r="AD12" s="339">
        <v>1</v>
      </c>
      <c r="AE12" s="339">
        <v>5</v>
      </c>
      <c r="AF12" s="104">
        <v>9</v>
      </c>
      <c r="AG12" s="104">
        <v>3</v>
      </c>
      <c r="AH12" s="107">
        <f t="shared" si="6"/>
        <v>1.2941338353151037</v>
      </c>
      <c r="AI12" s="107">
        <f t="shared" si="7"/>
        <v>3.0909055800049732</v>
      </c>
      <c r="AJ12" s="107" t="str">
        <f t="shared" si="8"/>
        <v>(4,1,1,1,1,5)</v>
      </c>
      <c r="AK12" s="108">
        <v>1.2</v>
      </c>
      <c r="AL12" s="108">
        <v>1</v>
      </c>
      <c r="AM12" s="108">
        <v>1</v>
      </c>
      <c r="AN12" s="108">
        <v>1</v>
      </c>
      <c r="AO12" s="108">
        <v>1</v>
      </c>
      <c r="AP12" s="108">
        <v>1.2</v>
      </c>
    </row>
    <row r="13" spans="1:42" ht="24" customHeight="1">
      <c r="A13" s="330" t="s">
        <v>1161</v>
      </c>
      <c r="B13" s="331"/>
      <c r="C13" s="88"/>
      <c r="D13" s="340">
        <v>5</v>
      </c>
      <c r="E13" s="341" t="s">
        <v>98</v>
      </c>
      <c r="F13" s="432" t="s">
        <v>1135</v>
      </c>
      <c r="G13" s="433" t="s">
        <v>373</v>
      </c>
      <c r="H13" s="434" t="s">
        <v>98</v>
      </c>
      <c r="I13" s="434" t="s">
        <v>98</v>
      </c>
      <c r="J13" s="94">
        <v>1</v>
      </c>
      <c r="K13" s="433" t="s">
        <v>679</v>
      </c>
      <c r="L13" s="350">
        <v>0</v>
      </c>
      <c r="M13" s="95">
        <v>1</v>
      </c>
      <c r="N13" s="96">
        <f t="shared" si="0"/>
        <v>3.0909055800049732</v>
      </c>
      <c r="O13" s="432" t="str">
        <f t="shared" si="1"/>
        <v>(4,1,1,1,1,5); Market share APAC modules</v>
      </c>
      <c r="P13" s="350">
        <v>0</v>
      </c>
      <c r="Q13" s="95">
        <v>1</v>
      </c>
      <c r="R13" s="96">
        <f t="shared" si="2"/>
        <v>3.0909055800049732</v>
      </c>
      <c r="S13" s="432" t="str">
        <f t="shared" si="3"/>
        <v>(4,1,1,1,1,5); Market share APAC modules</v>
      </c>
      <c r="T13" s="350">
        <v>0.56651016003657995</v>
      </c>
      <c r="U13" s="95">
        <v>1</v>
      </c>
      <c r="V13" s="96">
        <f t="shared" si="4"/>
        <v>3.0909055800049732</v>
      </c>
      <c r="W13" s="432" t="str">
        <f t="shared" si="5"/>
        <v>(4,1,1,1,1,5); Market share APAC modules</v>
      </c>
      <c r="X13" s="112"/>
      <c r="Y13" s="77" t="s">
        <v>1313</v>
      </c>
      <c r="Z13" s="339">
        <v>4</v>
      </c>
      <c r="AA13" s="339">
        <v>1</v>
      </c>
      <c r="AB13" s="339">
        <v>1</v>
      </c>
      <c r="AC13" s="339">
        <v>1</v>
      </c>
      <c r="AD13" s="339">
        <v>1</v>
      </c>
      <c r="AE13" s="339">
        <v>5</v>
      </c>
      <c r="AF13" s="104">
        <v>9</v>
      </c>
      <c r="AG13" s="104">
        <v>3</v>
      </c>
      <c r="AH13" s="107">
        <f t="shared" si="6"/>
        <v>1.2941338353151037</v>
      </c>
      <c r="AI13" s="107">
        <f t="shared" si="7"/>
        <v>3.0909055800049732</v>
      </c>
      <c r="AJ13" s="107" t="str">
        <f t="shared" si="8"/>
        <v>(4,1,1,1,1,5)</v>
      </c>
      <c r="AK13" s="108">
        <v>1.2</v>
      </c>
      <c r="AL13" s="108">
        <v>1</v>
      </c>
      <c r="AM13" s="108">
        <v>1</v>
      </c>
      <c r="AN13" s="108">
        <v>1</v>
      </c>
      <c r="AO13" s="108">
        <v>1</v>
      </c>
      <c r="AP13" s="108">
        <v>1.2</v>
      </c>
    </row>
    <row r="14" spans="1:42" ht="24" customHeight="1">
      <c r="A14" s="330" t="s">
        <v>1270</v>
      </c>
      <c r="B14" s="331"/>
      <c r="C14" s="88"/>
      <c r="D14" s="340">
        <v>5</v>
      </c>
      <c r="E14" s="341" t="s">
        <v>98</v>
      </c>
      <c r="F14" s="432" t="s">
        <v>1259</v>
      </c>
      <c r="G14" s="433" t="s">
        <v>373</v>
      </c>
      <c r="H14" s="434" t="s">
        <v>98</v>
      </c>
      <c r="I14" s="434" t="s">
        <v>98</v>
      </c>
      <c r="J14" s="94">
        <v>1</v>
      </c>
      <c r="K14" s="433" t="s">
        <v>679</v>
      </c>
      <c r="L14" s="350">
        <v>0</v>
      </c>
      <c r="M14" s="95">
        <v>1</v>
      </c>
      <c r="N14" s="96">
        <f t="shared" si="0"/>
        <v>3.0909055800049732</v>
      </c>
      <c r="O14" s="432" t="str">
        <f t="shared" si="1"/>
        <v>(4,1,1,1,1,5); Market share APAC modules</v>
      </c>
      <c r="P14" s="350">
        <v>0.34185957933241901</v>
      </c>
      <c r="Q14" s="95">
        <v>1</v>
      </c>
      <c r="R14" s="96">
        <f t="shared" si="2"/>
        <v>3.0909055800049732</v>
      </c>
      <c r="S14" s="432" t="str">
        <f t="shared" si="3"/>
        <v>(4,1,1,1,1,5); Market share APAC modules</v>
      </c>
      <c r="T14" s="350">
        <v>0</v>
      </c>
      <c r="U14" s="95">
        <v>1</v>
      </c>
      <c r="V14" s="96">
        <f t="shared" si="4"/>
        <v>3.0909055800049732</v>
      </c>
      <c r="W14" s="432" t="str">
        <f t="shared" si="5"/>
        <v>(4,1,1,1,1,5); Market share APAC modules</v>
      </c>
      <c r="X14" s="112"/>
      <c r="Y14" s="77" t="s">
        <v>1313</v>
      </c>
      <c r="Z14" s="339">
        <v>4</v>
      </c>
      <c r="AA14" s="339">
        <v>1</v>
      </c>
      <c r="AB14" s="339">
        <v>1</v>
      </c>
      <c r="AC14" s="339">
        <v>1</v>
      </c>
      <c r="AD14" s="339">
        <v>1</v>
      </c>
      <c r="AE14" s="339">
        <v>5</v>
      </c>
      <c r="AF14" s="104">
        <v>9</v>
      </c>
      <c r="AG14" s="104">
        <v>3</v>
      </c>
      <c r="AH14" s="107">
        <f t="shared" si="6"/>
        <v>1.2941338353151037</v>
      </c>
      <c r="AI14" s="107">
        <f t="shared" si="7"/>
        <v>3.0909055800049732</v>
      </c>
      <c r="AJ14" s="107" t="str">
        <f t="shared" si="8"/>
        <v>(4,1,1,1,1,5)</v>
      </c>
      <c r="AK14" s="108">
        <v>1.2</v>
      </c>
      <c r="AL14" s="108">
        <v>1</v>
      </c>
      <c r="AM14" s="108">
        <v>1</v>
      </c>
      <c r="AN14" s="108">
        <v>1</v>
      </c>
      <c r="AO14" s="108">
        <v>1</v>
      </c>
      <c r="AP14" s="108">
        <v>1.2</v>
      </c>
    </row>
    <row r="15" spans="1:42" ht="24" customHeight="1">
      <c r="A15" s="330" t="s">
        <v>1162</v>
      </c>
      <c r="B15" s="331"/>
      <c r="C15" s="88"/>
      <c r="D15" s="340">
        <v>5</v>
      </c>
      <c r="E15" s="341" t="s">
        <v>98</v>
      </c>
      <c r="F15" s="432" t="s">
        <v>1136</v>
      </c>
      <c r="G15" s="433" t="s">
        <v>373</v>
      </c>
      <c r="H15" s="434" t="s">
        <v>98</v>
      </c>
      <c r="I15" s="434" t="s">
        <v>98</v>
      </c>
      <c r="J15" s="94">
        <v>1</v>
      </c>
      <c r="K15" s="433" t="s">
        <v>679</v>
      </c>
      <c r="L15" s="350">
        <v>0.53720791037951499</v>
      </c>
      <c r="M15" s="95">
        <v>1</v>
      </c>
      <c r="N15" s="96">
        <f t="shared" si="0"/>
        <v>3.0909055800049732</v>
      </c>
      <c r="O15" s="432" t="str">
        <f t="shared" si="1"/>
        <v>(4,1,1,1,1,5); Market share APAC modules</v>
      </c>
      <c r="P15" s="350">
        <v>0</v>
      </c>
      <c r="Q15" s="95">
        <v>1</v>
      </c>
      <c r="R15" s="96">
        <f t="shared" si="2"/>
        <v>3.0909055800049732</v>
      </c>
      <c r="S15" s="432" t="str">
        <f t="shared" si="3"/>
        <v>(4,1,1,1,1,5); Market share APAC modules</v>
      </c>
      <c r="T15" s="350">
        <v>0</v>
      </c>
      <c r="U15" s="95">
        <v>1</v>
      </c>
      <c r="V15" s="96">
        <f t="shared" si="4"/>
        <v>3.0909055800049732</v>
      </c>
      <c r="W15" s="432" t="str">
        <f t="shared" si="5"/>
        <v>(4,1,1,1,1,5); Market share APAC modules</v>
      </c>
      <c r="X15" s="112"/>
      <c r="Y15" s="77" t="s">
        <v>1313</v>
      </c>
      <c r="Z15" s="339">
        <v>4</v>
      </c>
      <c r="AA15" s="339">
        <v>1</v>
      </c>
      <c r="AB15" s="339">
        <v>1</v>
      </c>
      <c r="AC15" s="339">
        <v>1</v>
      </c>
      <c r="AD15" s="339">
        <v>1</v>
      </c>
      <c r="AE15" s="339">
        <v>5</v>
      </c>
      <c r="AF15" s="104">
        <v>9</v>
      </c>
      <c r="AG15" s="104">
        <v>3</v>
      </c>
      <c r="AH15" s="107">
        <f t="shared" si="6"/>
        <v>1.2941338353151037</v>
      </c>
      <c r="AI15" s="107">
        <f t="shared" si="7"/>
        <v>3.0909055800049732</v>
      </c>
      <c r="AJ15" s="107" t="str">
        <f t="shared" si="8"/>
        <v>(4,1,1,1,1,5)</v>
      </c>
      <c r="AK15" s="108">
        <v>1.2</v>
      </c>
      <c r="AL15" s="108">
        <v>1</v>
      </c>
      <c r="AM15" s="108">
        <v>1</v>
      </c>
      <c r="AN15" s="108">
        <v>1</v>
      </c>
      <c r="AO15" s="108">
        <v>1</v>
      </c>
      <c r="AP15" s="108">
        <v>1.2</v>
      </c>
    </row>
    <row r="16" spans="1:42" ht="24" customHeight="1">
      <c r="A16" s="330" t="s">
        <v>1271</v>
      </c>
      <c r="B16" s="331"/>
      <c r="C16" s="88"/>
      <c r="D16" s="340">
        <v>5</v>
      </c>
      <c r="E16" s="341" t="s">
        <v>98</v>
      </c>
      <c r="F16" s="432" t="s">
        <v>1260</v>
      </c>
      <c r="G16" s="433" t="s">
        <v>373</v>
      </c>
      <c r="H16" s="434" t="s">
        <v>98</v>
      </c>
      <c r="I16" s="434" t="s">
        <v>98</v>
      </c>
      <c r="J16" s="94">
        <v>1</v>
      </c>
      <c r="K16" s="433" t="s">
        <v>679</v>
      </c>
      <c r="L16" s="350">
        <v>0.34185957933241901</v>
      </c>
      <c r="M16" s="95">
        <v>1</v>
      </c>
      <c r="N16" s="96">
        <f t="shared" si="0"/>
        <v>3.0909055800049732</v>
      </c>
      <c r="O16" s="432" t="str">
        <f t="shared" si="1"/>
        <v>(4,1,1,1,1,5); Market share APAC modules</v>
      </c>
      <c r="P16" s="350">
        <v>0</v>
      </c>
      <c r="Q16" s="95">
        <v>1</v>
      </c>
      <c r="R16" s="96">
        <f t="shared" si="2"/>
        <v>3.0909055800049732</v>
      </c>
      <c r="S16" s="432" t="str">
        <f t="shared" si="3"/>
        <v>(4,1,1,1,1,5); Market share APAC modules</v>
      </c>
      <c r="T16" s="350">
        <v>0</v>
      </c>
      <c r="U16" s="95">
        <v>1</v>
      </c>
      <c r="V16" s="96">
        <f t="shared" si="4"/>
        <v>3.0909055800049732</v>
      </c>
      <c r="W16" s="432" t="str">
        <f t="shared" si="5"/>
        <v>(4,1,1,1,1,5); Market share APAC modules</v>
      </c>
      <c r="X16" s="112"/>
      <c r="Y16" s="77" t="s">
        <v>1313</v>
      </c>
      <c r="Z16" s="339">
        <v>4</v>
      </c>
      <c r="AA16" s="339">
        <v>1</v>
      </c>
      <c r="AB16" s="339">
        <v>1</v>
      </c>
      <c r="AC16" s="339">
        <v>1</v>
      </c>
      <c r="AD16" s="339">
        <v>1</v>
      </c>
      <c r="AE16" s="339">
        <v>5</v>
      </c>
      <c r="AF16" s="104">
        <v>9</v>
      </c>
      <c r="AG16" s="104">
        <v>3</v>
      </c>
      <c r="AH16" s="107">
        <f t="shared" si="6"/>
        <v>1.2941338353151037</v>
      </c>
      <c r="AI16" s="107">
        <f t="shared" si="7"/>
        <v>3.0909055800049732</v>
      </c>
      <c r="AJ16" s="107" t="str">
        <f t="shared" si="8"/>
        <v>(4,1,1,1,1,5)</v>
      </c>
      <c r="AK16" s="108">
        <v>1.2</v>
      </c>
      <c r="AL16" s="108">
        <v>1</v>
      </c>
      <c r="AM16" s="108">
        <v>1</v>
      </c>
      <c r="AN16" s="108">
        <v>1</v>
      </c>
      <c r="AO16" s="108">
        <v>1</v>
      </c>
      <c r="AP16" s="108">
        <v>1.2</v>
      </c>
    </row>
    <row r="17" spans="1:42" ht="24" customHeight="1">
      <c r="A17" s="330" t="s">
        <v>1148</v>
      </c>
      <c r="B17" s="216"/>
      <c r="C17" s="165"/>
      <c r="D17" s="342">
        <v>5</v>
      </c>
      <c r="E17" s="343" t="s">
        <v>98</v>
      </c>
      <c r="F17" s="437" t="s">
        <v>1122</v>
      </c>
      <c r="G17" s="438" t="s">
        <v>372</v>
      </c>
      <c r="H17" s="455" t="s">
        <v>98</v>
      </c>
      <c r="I17" s="455" t="s">
        <v>98</v>
      </c>
      <c r="J17" s="336">
        <v>1</v>
      </c>
      <c r="K17" s="438" t="s">
        <v>679</v>
      </c>
      <c r="L17" s="560">
        <v>0</v>
      </c>
      <c r="M17" s="336">
        <v>1</v>
      </c>
      <c r="N17" s="337">
        <f t="shared" si="0"/>
        <v>3.0909055800049732</v>
      </c>
      <c r="O17" s="561" t="str">
        <f t="shared" si="1"/>
        <v>(4,1,1,1,1,5); Market share Chinese modules</v>
      </c>
      <c r="P17" s="560">
        <v>2.1897244661213601E-2</v>
      </c>
      <c r="Q17" s="336">
        <v>1</v>
      </c>
      <c r="R17" s="337">
        <f t="shared" si="2"/>
        <v>3.0909055800049732</v>
      </c>
      <c r="S17" s="561" t="str">
        <f t="shared" si="3"/>
        <v>(4,1,1,1,1,5); Market share Chinese modules</v>
      </c>
      <c r="T17" s="560">
        <v>0</v>
      </c>
      <c r="U17" s="336">
        <v>1</v>
      </c>
      <c r="V17" s="337">
        <f t="shared" si="4"/>
        <v>3.0909055800049732</v>
      </c>
      <c r="W17" s="437" t="str">
        <f t="shared" si="5"/>
        <v>(4,1,1,1,1,5); Market share Chinese modules</v>
      </c>
      <c r="X17" s="338"/>
      <c r="Y17" s="77" t="s">
        <v>1312</v>
      </c>
      <c r="Z17" s="83">
        <v>4</v>
      </c>
      <c r="AA17" s="83">
        <v>1</v>
      </c>
      <c r="AB17" s="83">
        <v>1</v>
      </c>
      <c r="AC17" s="83">
        <v>1</v>
      </c>
      <c r="AD17" s="83">
        <v>1</v>
      </c>
      <c r="AE17" s="83">
        <v>5</v>
      </c>
      <c r="AF17" s="104">
        <v>9</v>
      </c>
      <c r="AG17" s="104">
        <v>3</v>
      </c>
      <c r="AH17" s="107">
        <f t="shared" si="6"/>
        <v>1.2941338353151037</v>
      </c>
      <c r="AI17" s="107">
        <f t="shared" si="7"/>
        <v>3.0909055800049732</v>
      </c>
      <c r="AJ17" s="107" t="str">
        <f t="shared" si="8"/>
        <v>(4,1,1,1,1,5)</v>
      </c>
      <c r="AK17" s="108">
        <v>1.2</v>
      </c>
      <c r="AL17" s="108">
        <v>1</v>
      </c>
      <c r="AM17" s="108">
        <v>1</v>
      </c>
      <c r="AN17" s="108">
        <v>1</v>
      </c>
      <c r="AO17" s="108">
        <v>1</v>
      </c>
      <c r="AP17" s="108">
        <v>1.2</v>
      </c>
    </row>
    <row r="18" spans="1:42" ht="24" customHeight="1">
      <c r="A18" s="330" t="s">
        <v>1149</v>
      </c>
      <c r="B18" s="216"/>
      <c r="C18" s="165"/>
      <c r="D18" s="342">
        <v>5</v>
      </c>
      <c r="E18" s="343" t="s">
        <v>98</v>
      </c>
      <c r="F18" s="437" t="s">
        <v>1123</v>
      </c>
      <c r="G18" s="438" t="s">
        <v>372</v>
      </c>
      <c r="H18" s="455" t="s">
        <v>98</v>
      </c>
      <c r="I18" s="455" t="s">
        <v>98</v>
      </c>
      <c r="J18" s="336">
        <v>1</v>
      </c>
      <c r="K18" s="438" t="s">
        <v>679</v>
      </c>
      <c r="L18" s="560">
        <v>0</v>
      </c>
      <c r="M18" s="336">
        <v>1</v>
      </c>
      <c r="N18" s="337">
        <f t="shared" si="0"/>
        <v>3.0909055800049732</v>
      </c>
      <c r="O18" s="561" t="str">
        <f t="shared" si="1"/>
        <v>(4,1,1,1,1,5); Market share Chinese modules</v>
      </c>
      <c r="P18" s="560">
        <v>5.2005956070382199E-2</v>
      </c>
      <c r="Q18" s="336">
        <v>1</v>
      </c>
      <c r="R18" s="337">
        <f t="shared" si="2"/>
        <v>3.0909055800049732</v>
      </c>
      <c r="S18" s="561" t="str">
        <f t="shared" si="3"/>
        <v>(4,1,1,1,1,5); Market share Chinese modules</v>
      </c>
      <c r="T18" s="560">
        <v>0</v>
      </c>
      <c r="U18" s="336">
        <v>1</v>
      </c>
      <c r="V18" s="337">
        <f t="shared" si="4"/>
        <v>3.0909055800049732</v>
      </c>
      <c r="W18" s="437" t="str">
        <f t="shared" si="5"/>
        <v>(4,1,1,1,1,5); Market share Chinese modules</v>
      </c>
      <c r="X18" s="338"/>
      <c r="Y18" s="77" t="s">
        <v>1312</v>
      </c>
      <c r="Z18" s="83">
        <v>4</v>
      </c>
      <c r="AA18" s="83">
        <v>1</v>
      </c>
      <c r="AB18" s="83">
        <v>1</v>
      </c>
      <c r="AC18" s="83">
        <v>1</v>
      </c>
      <c r="AD18" s="83">
        <v>1</v>
      </c>
      <c r="AE18" s="83">
        <v>5</v>
      </c>
      <c r="AF18" s="104">
        <v>9</v>
      </c>
      <c r="AG18" s="104">
        <v>3</v>
      </c>
      <c r="AH18" s="107">
        <f t="shared" si="6"/>
        <v>1.2941338353151037</v>
      </c>
      <c r="AI18" s="107">
        <f t="shared" si="7"/>
        <v>3.0909055800049732</v>
      </c>
      <c r="AJ18" s="107" t="str">
        <f t="shared" si="8"/>
        <v>(4,1,1,1,1,5)</v>
      </c>
      <c r="AK18" s="108">
        <v>1.2</v>
      </c>
      <c r="AL18" s="108">
        <v>1</v>
      </c>
      <c r="AM18" s="108">
        <v>1</v>
      </c>
      <c r="AN18" s="108">
        <v>1</v>
      </c>
      <c r="AO18" s="108">
        <v>1</v>
      </c>
      <c r="AP18" s="108">
        <v>1.2</v>
      </c>
    </row>
    <row r="19" spans="1:42" ht="24" customHeight="1">
      <c r="A19" s="330" t="s">
        <v>1150</v>
      </c>
      <c r="B19" s="216"/>
      <c r="C19" s="165"/>
      <c r="D19" s="342">
        <v>5</v>
      </c>
      <c r="E19" s="343" t="s">
        <v>98</v>
      </c>
      <c r="F19" s="437" t="s">
        <v>1124</v>
      </c>
      <c r="G19" s="438" t="s">
        <v>372</v>
      </c>
      <c r="H19" s="455" t="s">
        <v>98</v>
      </c>
      <c r="I19" s="455" t="s">
        <v>98</v>
      </c>
      <c r="J19" s="336">
        <v>1</v>
      </c>
      <c r="K19" s="438" t="s">
        <v>679</v>
      </c>
      <c r="L19" s="560">
        <v>0</v>
      </c>
      <c r="M19" s="336">
        <v>1</v>
      </c>
      <c r="N19" s="337">
        <f t="shared" si="0"/>
        <v>3.0909055800049732</v>
      </c>
      <c r="O19" s="561" t="str">
        <f t="shared" si="1"/>
        <v>(4,1,1,1,1,5); Market share Chinese modules</v>
      </c>
      <c r="P19" s="560">
        <v>0</v>
      </c>
      <c r="Q19" s="336">
        <v>1</v>
      </c>
      <c r="R19" s="337">
        <f t="shared" si="2"/>
        <v>3.0909055800049732</v>
      </c>
      <c r="S19" s="561" t="str">
        <f t="shared" si="3"/>
        <v>(4,1,1,1,1,5); Market share Chinese modules</v>
      </c>
      <c r="T19" s="560">
        <v>4.2998225880201198E-2</v>
      </c>
      <c r="U19" s="336">
        <v>1</v>
      </c>
      <c r="V19" s="337">
        <f t="shared" si="4"/>
        <v>3.0909055800049732</v>
      </c>
      <c r="W19" s="437" t="str">
        <f t="shared" si="5"/>
        <v>(4,1,1,1,1,5); Market share Chinese modules</v>
      </c>
      <c r="X19" s="338"/>
      <c r="Y19" s="77" t="s">
        <v>1312</v>
      </c>
      <c r="Z19" s="83">
        <v>4</v>
      </c>
      <c r="AA19" s="83">
        <v>1</v>
      </c>
      <c r="AB19" s="83">
        <v>1</v>
      </c>
      <c r="AC19" s="83">
        <v>1</v>
      </c>
      <c r="AD19" s="83">
        <v>1</v>
      </c>
      <c r="AE19" s="83">
        <v>5</v>
      </c>
      <c r="AF19" s="104">
        <v>9</v>
      </c>
      <c r="AG19" s="104">
        <v>3</v>
      </c>
      <c r="AH19" s="107">
        <f t="shared" si="6"/>
        <v>1.2941338353151037</v>
      </c>
      <c r="AI19" s="107">
        <f t="shared" si="7"/>
        <v>3.0909055800049732</v>
      </c>
      <c r="AJ19" s="107" t="str">
        <f t="shared" si="8"/>
        <v>(4,1,1,1,1,5)</v>
      </c>
      <c r="AK19" s="108">
        <v>1.2</v>
      </c>
      <c r="AL19" s="108">
        <v>1</v>
      </c>
      <c r="AM19" s="108">
        <v>1</v>
      </c>
      <c r="AN19" s="108">
        <v>1</v>
      </c>
      <c r="AO19" s="108">
        <v>1</v>
      </c>
      <c r="AP19" s="108">
        <v>1.2</v>
      </c>
    </row>
    <row r="20" spans="1:42" ht="24" customHeight="1">
      <c r="A20" s="330" t="s">
        <v>1151</v>
      </c>
      <c r="B20" s="216"/>
      <c r="C20" s="165"/>
      <c r="D20" s="342">
        <v>5</v>
      </c>
      <c r="E20" s="343" t="s">
        <v>98</v>
      </c>
      <c r="F20" s="437" t="s">
        <v>1125</v>
      </c>
      <c r="G20" s="438" t="s">
        <v>372</v>
      </c>
      <c r="H20" s="455" t="s">
        <v>98</v>
      </c>
      <c r="I20" s="455" t="s">
        <v>98</v>
      </c>
      <c r="J20" s="336">
        <v>1</v>
      </c>
      <c r="K20" s="438" t="s">
        <v>679</v>
      </c>
      <c r="L20" s="560">
        <v>0</v>
      </c>
      <c r="M20" s="336">
        <v>1</v>
      </c>
      <c r="N20" s="337">
        <f t="shared" si="0"/>
        <v>3.0909055800049732</v>
      </c>
      <c r="O20" s="561" t="str">
        <f t="shared" si="1"/>
        <v>(4,1,1,1,1,5); Market share Chinese modules</v>
      </c>
      <c r="P20" s="560">
        <v>0</v>
      </c>
      <c r="Q20" s="336">
        <v>1</v>
      </c>
      <c r="R20" s="337">
        <f t="shared" si="2"/>
        <v>3.0909055800049732</v>
      </c>
      <c r="S20" s="561" t="str">
        <f t="shared" si="3"/>
        <v>(4,1,1,1,1,5); Market share Chinese modules</v>
      </c>
      <c r="T20" s="560">
        <v>7.7934284407864707E-2</v>
      </c>
      <c r="U20" s="336">
        <v>1</v>
      </c>
      <c r="V20" s="337">
        <f t="shared" si="4"/>
        <v>3.0909055800049732</v>
      </c>
      <c r="W20" s="437" t="str">
        <f t="shared" si="5"/>
        <v>(4,1,1,1,1,5); Market share Chinese modules</v>
      </c>
      <c r="X20" s="338"/>
      <c r="Y20" s="77" t="s">
        <v>1312</v>
      </c>
      <c r="Z20" s="83">
        <v>4</v>
      </c>
      <c r="AA20" s="83">
        <v>1</v>
      </c>
      <c r="AB20" s="83">
        <v>1</v>
      </c>
      <c r="AC20" s="83">
        <v>1</v>
      </c>
      <c r="AD20" s="83">
        <v>1</v>
      </c>
      <c r="AE20" s="83">
        <v>5</v>
      </c>
      <c r="AF20" s="104">
        <v>9</v>
      </c>
      <c r="AG20" s="104">
        <v>3</v>
      </c>
      <c r="AH20" s="107">
        <f t="shared" si="6"/>
        <v>1.2941338353151037</v>
      </c>
      <c r="AI20" s="107">
        <f t="shared" si="7"/>
        <v>3.0909055800049732</v>
      </c>
      <c r="AJ20" s="107" t="str">
        <f t="shared" si="8"/>
        <v>(4,1,1,1,1,5)</v>
      </c>
      <c r="AK20" s="108">
        <v>1.2</v>
      </c>
      <c r="AL20" s="108">
        <v>1</v>
      </c>
      <c r="AM20" s="108">
        <v>1</v>
      </c>
      <c r="AN20" s="108">
        <v>1</v>
      </c>
      <c r="AO20" s="108">
        <v>1</v>
      </c>
      <c r="AP20" s="108">
        <v>1.2</v>
      </c>
    </row>
    <row r="21" spans="1:42" ht="24" customHeight="1">
      <c r="A21" s="330" t="s">
        <v>1266</v>
      </c>
      <c r="B21" s="216"/>
      <c r="C21" s="165"/>
      <c r="D21" s="342">
        <v>5</v>
      </c>
      <c r="E21" s="343" t="s">
        <v>98</v>
      </c>
      <c r="F21" s="437" t="s">
        <v>1255</v>
      </c>
      <c r="G21" s="438" t="s">
        <v>372</v>
      </c>
      <c r="H21" s="455" t="s">
        <v>98</v>
      </c>
      <c r="I21" s="455" t="s">
        <v>98</v>
      </c>
      <c r="J21" s="336">
        <v>1</v>
      </c>
      <c r="K21" s="438" t="s">
        <v>679</v>
      </c>
      <c r="L21" s="560">
        <v>0</v>
      </c>
      <c r="M21" s="336">
        <v>1</v>
      </c>
      <c r="N21" s="337">
        <f t="shared" si="0"/>
        <v>3.0909055800049732</v>
      </c>
      <c r="O21" s="561" t="str">
        <f t="shared" si="1"/>
        <v>(4,1,1,1,1,5); Market share Chinese modules</v>
      </c>
      <c r="P21" s="560">
        <v>4.702930955647E-2</v>
      </c>
      <c r="Q21" s="336">
        <v>1</v>
      </c>
      <c r="R21" s="337">
        <f t="shared" si="2"/>
        <v>3.0909055800049732</v>
      </c>
      <c r="S21" s="561" t="str">
        <f t="shared" si="3"/>
        <v>(4,1,1,1,1,5); Market share Chinese modules</v>
      </c>
      <c r="T21" s="560">
        <v>0</v>
      </c>
      <c r="U21" s="336">
        <v>1</v>
      </c>
      <c r="V21" s="337">
        <f t="shared" si="4"/>
        <v>3.0909055800049732</v>
      </c>
      <c r="W21" s="437" t="str">
        <f t="shared" si="5"/>
        <v>(4,1,1,1,1,5); Market share Chinese modules</v>
      </c>
      <c r="X21" s="338"/>
      <c r="Y21" s="77" t="s">
        <v>1312</v>
      </c>
      <c r="Z21" s="83">
        <v>4</v>
      </c>
      <c r="AA21" s="83">
        <v>1</v>
      </c>
      <c r="AB21" s="83">
        <v>1</v>
      </c>
      <c r="AC21" s="83">
        <v>1</v>
      </c>
      <c r="AD21" s="83">
        <v>1</v>
      </c>
      <c r="AE21" s="83">
        <v>5</v>
      </c>
      <c r="AF21" s="104">
        <v>9</v>
      </c>
      <c r="AG21" s="104">
        <v>3</v>
      </c>
      <c r="AH21" s="107">
        <f t="shared" si="6"/>
        <v>1.2941338353151037</v>
      </c>
      <c r="AI21" s="107">
        <f t="shared" si="7"/>
        <v>3.0909055800049732</v>
      </c>
      <c r="AJ21" s="107" t="str">
        <f t="shared" si="8"/>
        <v>(4,1,1,1,1,5)</v>
      </c>
      <c r="AK21" s="108">
        <v>1.2</v>
      </c>
      <c r="AL21" s="108">
        <v>1</v>
      </c>
      <c r="AM21" s="108">
        <v>1</v>
      </c>
      <c r="AN21" s="108">
        <v>1</v>
      </c>
      <c r="AO21" s="108">
        <v>1</v>
      </c>
      <c r="AP21" s="108">
        <v>1.2</v>
      </c>
    </row>
    <row r="22" spans="1:42" ht="24" customHeight="1">
      <c r="A22" s="330" t="s">
        <v>1152</v>
      </c>
      <c r="B22" s="216"/>
      <c r="C22" s="165"/>
      <c r="D22" s="342">
        <v>5</v>
      </c>
      <c r="E22" s="343" t="s">
        <v>98</v>
      </c>
      <c r="F22" s="437" t="s">
        <v>1126</v>
      </c>
      <c r="G22" s="438" t="s">
        <v>372</v>
      </c>
      <c r="H22" s="455" t="s">
        <v>98</v>
      </c>
      <c r="I22" s="455" t="s">
        <v>98</v>
      </c>
      <c r="J22" s="336">
        <v>1</v>
      </c>
      <c r="K22" s="438" t="s">
        <v>679</v>
      </c>
      <c r="L22" s="560">
        <v>7.39032007315958E-2</v>
      </c>
      <c r="M22" s="336">
        <v>1</v>
      </c>
      <c r="N22" s="337">
        <f t="shared" si="0"/>
        <v>3.0909055800049732</v>
      </c>
      <c r="O22" s="561" t="str">
        <f t="shared" si="1"/>
        <v>(4,1,1,1,1,5); Market share Chinese modules</v>
      </c>
      <c r="P22" s="560">
        <v>0</v>
      </c>
      <c r="Q22" s="336">
        <v>1</v>
      </c>
      <c r="R22" s="337">
        <f t="shared" si="2"/>
        <v>3.0909055800049732</v>
      </c>
      <c r="S22" s="561" t="str">
        <f t="shared" si="3"/>
        <v>(4,1,1,1,1,5); Market share Chinese modules</v>
      </c>
      <c r="T22" s="560">
        <v>0</v>
      </c>
      <c r="U22" s="336">
        <v>1</v>
      </c>
      <c r="V22" s="337">
        <f t="shared" si="4"/>
        <v>3.0909055800049732</v>
      </c>
      <c r="W22" s="437" t="str">
        <f t="shared" si="5"/>
        <v>(4,1,1,1,1,5); Market share Chinese modules</v>
      </c>
      <c r="X22" s="562"/>
      <c r="Y22" s="77" t="s">
        <v>1312</v>
      </c>
      <c r="Z22" s="83">
        <v>4</v>
      </c>
      <c r="AA22" s="83">
        <v>1</v>
      </c>
      <c r="AB22" s="83">
        <v>1</v>
      </c>
      <c r="AC22" s="83">
        <v>1</v>
      </c>
      <c r="AD22" s="83">
        <v>1</v>
      </c>
      <c r="AE22" s="83">
        <v>5</v>
      </c>
      <c r="AF22" s="104">
        <v>9</v>
      </c>
      <c r="AG22" s="104">
        <v>3</v>
      </c>
      <c r="AH22" s="107">
        <f t="shared" si="6"/>
        <v>1.2941338353151037</v>
      </c>
      <c r="AI22" s="107">
        <f t="shared" si="7"/>
        <v>3.0909055800049732</v>
      </c>
      <c r="AJ22" s="107" t="str">
        <f t="shared" si="8"/>
        <v>(4,1,1,1,1,5)</v>
      </c>
      <c r="AK22" s="108">
        <v>1.2</v>
      </c>
      <c r="AL22" s="108">
        <v>1</v>
      </c>
      <c r="AM22" s="108">
        <v>1</v>
      </c>
      <c r="AN22" s="108">
        <v>1</v>
      </c>
      <c r="AO22" s="108">
        <v>1</v>
      </c>
      <c r="AP22" s="108">
        <v>1.2</v>
      </c>
    </row>
    <row r="23" spans="1:42" ht="24" customHeight="1">
      <c r="A23" s="330" t="s">
        <v>1267</v>
      </c>
      <c r="B23" s="216"/>
      <c r="C23" s="165"/>
      <c r="D23" s="342">
        <v>5</v>
      </c>
      <c r="E23" s="343" t="s">
        <v>98</v>
      </c>
      <c r="F23" s="437" t="s">
        <v>1256</v>
      </c>
      <c r="G23" s="438" t="s">
        <v>372</v>
      </c>
      <c r="H23" s="455" t="s">
        <v>98</v>
      </c>
      <c r="I23" s="455" t="s">
        <v>98</v>
      </c>
      <c r="J23" s="336">
        <v>1</v>
      </c>
      <c r="K23" s="438" t="s">
        <v>679</v>
      </c>
      <c r="L23" s="560">
        <v>4.702930955647E-2</v>
      </c>
      <c r="M23" s="336">
        <v>1</v>
      </c>
      <c r="N23" s="337">
        <f t="shared" si="0"/>
        <v>3.0909055800049732</v>
      </c>
      <c r="O23" s="561" t="str">
        <f t="shared" si="1"/>
        <v>(4,1,1,1,1,5); Market share Chinese modules</v>
      </c>
      <c r="P23" s="560">
        <v>0</v>
      </c>
      <c r="Q23" s="336">
        <v>1</v>
      </c>
      <c r="R23" s="337">
        <f t="shared" si="2"/>
        <v>3.0909055800049732</v>
      </c>
      <c r="S23" s="561" t="str">
        <f t="shared" si="3"/>
        <v>(4,1,1,1,1,5); Market share Chinese modules</v>
      </c>
      <c r="T23" s="560">
        <v>0</v>
      </c>
      <c r="U23" s="336">
        <v>1</v>
      </c>
      <c r="V23" s="337">
        <f t="shared" si="4"/>
        <v>3.0909055800049732</v>
      </c>
      <c r="W23" s="437" t="str">
        <f t="shared" si="5"/>
        <v>(4,1,1,1,1,5); Market share Chinese modules</v>
      </c>
      <c r="X23" s="562"/>
      <c r="Y23" s="77" t="s">
        <v>1312</v>
      </c>
      <c r="Z23" s="83">
        <v>4</v>
      </c>
      <c r="AA23" s="83">
        <v>1</v>
      </c>
      <c r="AB23" s="83">
        <v>1</v>
      </c>
      <c r="AC23" s="83">
        <v>1</v>
      </c>
      <c r="AD23" s="83">
        <v>1</v>
      </c>
      <c r="AE23" s="83">
        <v>5</v>
      </c>
      <c r="AF23" s="104">
        <v>9</v>
      </c>
      <c r="AG23" s="104">
        <v>3</v>
      </c>
      <c r="AH23" s="107">
        <f t="shared" si="6"/>
        <v>1.2941338353151037</v>
      </c>
      <c r="AI23" s="107">
        <f t="shared" si="7"/>
        <v>3.0909055800049732</v>
      </c>
      <c r="AJ23" s="107" t="str">
        <f t="shared" si="8"/>
        <v>(4,1,1,1,1,5)</v>
      </c>
      <c r="AK23" s="108">
        <v>1.2</v>
      </c>
      <c r="AL23" s="108">
        <v>1</v>
      </c>
      <c r="AM23" s="108">
        <v>1</v>
      </c>
      <c r="AN23" s="108">
        <v>1</v>
      </c>
      <c r="AO23" s="108">
        <v>1</v>
      </c>
      <c r="AP23" s="108">
        <v>1.2</v>
      </c>
    </row>
    <row r="24" spans="1:42" ht="24" customHeight="1">
      <c r="A24" s="330">
        <v>269599</v>
      </c>
      <c r="B24" s="331" t="s">
        <v>322</v>
      </c>
      <c r="C24" s="88"/>
      <c r="D24" s="340">
        <v>5</v>
      </c>
      <c r="E24" s="341" t="s">
        <v>98</v>
      </c>
      <c r="F24" s="432" t="s">
        <v>244</v>
      </c>
      <c r="G24" s="433" t="s">
        <v>245</v>
      </c>
      <c r="H24" s="434" t="s">
        <v>98</v>
      </c>
      <c r="I24" s="434" t="s">
        <v>98</v>
      </c>
      <c r="J24" s="94">
        <v>0</v>
      </c>
      <c r="K24" s="433" t="s">
        <v>115</v>
      </c>
      <c r="L24" s="435">
        <f>SUM(L17:L23)*L28/1000*L46</f>
        <v>6.1623549585404929</v>
      </c>
      <c r="M24" s="95">
        <v>1</v>
      </c>
      <c r="N24" s="96">
        <f t="shared" si="0"/>
        <v>2.0949941301068096</v>
      </c>
      <c r="O24" s="432" t="str">
        <f t="shared" si="1"/>
        <v>(4,5,na,na,na,na); Transport distance CN-APAC:  4584 km</v>
      </c>
      <c r="P24" s="435">
        <f>SUM(P17:P23)*P28/1000*P46</f>
        <v>6.3562821924161348</v>
      </c>
      <c r="Q24" s="95">
        <v>1</v>
      </c>
      <c r="R24" s="96">
        <f t="shared" si="2"/>
        <v>2.0949941301068096</v>
      </c>
      <c r="S24" s="432" t="str">
        <f t="shared" si="3"/>
        <v>(4,5,na,na,na,na); Transport distance CN-APAC:  4584 km</v>
      </c>
      <c r="T24" s="435">
        <f>SUM(T17:T23)*T28/1000*T46</f>
        <v>6.9656283573618687</v>
      </c>
      <c r="U24" s="95">
        <v>1</v>
      </c>
      <c r="V24" s="96">
        <f t="shared" si="4"/>
        <v>2.0949941301068096</v>
      </c>
      <c r="W24" s="432" t="str">
        <f t="shared" si="5"/>
        <v>(4,5,na,na,na,na); Transport distance CN-APAC:  4584 km</v>
      </c>
      <c r="X24" s="112"/>
      <c r="Y24" s="77" t="s">
        <v>1352</v>
      </c>
      <c r="Z24" s="339">
        <v>4</v>
      </c>
      <c r="AA24" s="339">
        <v>5</v>
      </c>
      <c r="AB24" s="339" t="s">
        <v>106</v>
      </c>
      <c r="AC24" s="339" t="s">
        <v>106</v>
      </c>
      <c r="AD24" s="339" t="s">
        <v>106</v>
      </c>
      <c r="AE24" s="339" t="s">
        <v>106</v>
      </c>
      <c r="AF24" s="104">
        <v>5</v>
      </c>
      <c r="AG24" s="104">
        <v>2</v>
      </c>
      <c r="AH24" s="107">
        <f t="shared" si="6"/>
        <v>1.2941338353151037</v>
      </c>
      <c r="AI24" s="107">
        <f t="shared" si="7"/>
        <v>2.0949941301068096</v>
      </c>
      <c r="AJ24" s="107" t="str">
        <f t="shared" si="8"/>
        <v>(4,5,na,na,na,na)</v>
      </c>
      <c r="AK24" s="108">
        <v>1.2</v>
      </c>
      <c r="AL24" s="108">
        <v>1.2</v>
      </c>
      <c r="AM24" s="108">
        <v>1</v>
      </c>
      <c r="AN24" s="108">
        <v>1</v>
      </c>
      <c r="AO24" s="108">
        <v>1</v>
      </c>
      <c r="AP24" s="108">
        <v>1</v>
      </c>
    </row>
    <row r="25" spans="1:42">
      <c r="A25" s="330">
        <v>160371</v>
      </c>
      <c r="B25" s="331"/>
      <c r="C25" s="88"/>
      <c r="D25" s="340">
        <v>5</v>
      </c>
      <c r="E25" s="341" t="s">
        <v>98</v>
      </c>
      <c r="F25" s="432" t="s">
        <v>242</v>
      </c>
      <c r="G25" s="433" t="s">
        <v>93</v>
      </c>
      <c r="H25" s="434" t="s">
        <v>98</v>
      </c>
      <c r="I25" s="434" t="s">
        <v>98</v>
      </c>
      <c r="J25" s="94">
        <v>0</v>
      </c>
      <c r="K25" s="433" t="s">
        <v>115</v>
      </c>
      <c r="L25" s="435">
        <f>L28*200/1000</f>
        <v>2.2232537284320002</v>
      </c>
      <c r="M25" s="95">
        <v>1</v>
      </c>
      <c r="N25" s="96">
        <f t="shared" si="0"/>
        <v>2.0949941301068096</v>
      </c>
      <c r="O25" s="432" t="str">
        <f t="shared" si="1"/>
        <v>(4,5,na,na,na,na); Standard distance 200km</v>
      </c>
      <c r="P25" s="435">
        <f>P28*200/1000</f>
        <v>2.29321877404512</v>
      </c>
      <c r="Q25" s="95">
        <v>1</v>
      </c>
      <c r="R25" s="96">
        <f t="shared" si="2"/>
        <v>2.0949941301068096</v>
      </c>
      <c r="S25" s="432" t="str">
        <f t="shared" si="3"/>
        <v>(4,5,na,na,na,na); Standard distance 200km</v>
      </c>
      <c r="T25" s="435">
        <f>T28*200/1000</f>
        <v>2.5130586148585401</v>
      </c>
      <c r="U25" s="95">
        <v>1</v>
      </c>
      <c r="V25" s="96">
        <f t="shared" si="4"/>
        <v>2.0949941301068096</v>
      </c>
      <c r="W25" s="432" t="str">
        <f t="shared" si="5"/>
        <v>(4,5,na,na,na,na); Standard distance 200km</v>
      </c>
      <c r="X25" s="112"/>
      <c r="Y25" s="77" t="s">
        <v>562</v>
      </c>
      <c r="Z25" s="339">
        <v>4</v>
      </c>
      <c r="AA25" s="339">
        <v>5</v>
      </c>
      <c r="AB25" s="339" t="s">
        <v>106</v>
      </c>
      <c r="AC25" s="339" t="s">
        <v>106</v>
      </c>
      <c r="AD25" s="339" t="s">
        <v>106</v>
      </c>
      <c r="AE25" s="339" t="s">
        <v>106</v>
      </c>
      <c r="AF25" s="104">
        <v>5</v>
      </c>
      <c r="AG25" s="104">
        <v>2</v>
      </c>
      <c r="AH25" s="107">
        <f t="shared" si="6"/>
        <v>1.2941338353151037</v>
      </c>
      <c r="AI25" s="107">
        <f t="shared" si="7"/>
        <v>2.0949941301068096</v>
      </c>
      <c r="AJ25" s="107" t="str">
        <f t="shared" si="8"/>
        <v>(4,5,na,na,na,na)</v>
      </c>
      <c r="AK25" s="108">
        <v>1.2</v>
      </c>
      <c r="AL25" s="108">
        <v>1.2</v>
      </c>
      <c r="AM25" s="108">
        <v>1</v>
      </c>
      <c r="AN25" s="108">
        <v>1</v>
      </c>
      <c r="AO25" s="108">
        <v>1</v>
      </c>
      <c r="AP25" s="108">
        <v>1</v>
      </c>
    </row>
    <row r="26" spans="1:42">
      <c r="A26" s="330">
        <v>269641</v>
      </c>
      <c r="B26" s="331"/>
      <c r="C26" s="88"/>
      <c r="D26" s="340">
        <v>5</v>
      </c>
      <c r="E26" s="341" t="s">
        <v>98</v>
      </c>
      <c r="F26" s="432" t="s">
        <v>240</v>
      </c>
      <c r="G26" s="433" t="s">
        <v>93</v>
      </c>
      <c r="H26" s="434" t="s">
        <v>98</v>
      </c>
      <c r="I26" s="434" t="s">
        <v>98</v>
      </c>
      <c r="J26" s="94">
        <v>0</v>
      </c>
      <c r="K26" s="433" t="s">
        <v>115</v>
      </c>
      <c r="L26" s="435">
        <f>L28*50/1000</f>
        <v>0.55581343210800005</v>
      </c>
      <c r="M26" s="95">
        <v>1</v>
      </c>
      <c r="N26" s="96">
        <f t="shared" si="0"/>
        <v>2.0949941301068096</v>
      </c>
      <c r="O26" s="432" t="str">
        <f t="shared" si="1"/>
        <v>(4,5,na,na,na,na); Standard distance 50km</v>
      </c>
      <c r="P26" s="435">
        <f>P28*50/1000</f>
        <v>0.57330469351127999</v>
      </c>
      <c r="Q26" s="95">
        <v>1</v>
      </c>
      <c r="R26" s="96">
        <f t="shared" si="2"/>
        <v>2.0949941301068096</v>
      </c>
      <c r="S26" s="432" t="str">
        <f t="shared" si="3"/>
        <v>(4,5,na,na,na,na); Standard distance 50km</v>
      </c>
      <c r="T26" s="435">
        <f>T28*50/1000</f>
        <v>0.62826465371463502</v>
      </c>
      <c r="U26" s="95">
        <v>1</v>
      </c>
      <c r="V26" s="96">
        <f t="shared" si="4"/>
        <v>2.0949941301068096</v>
      </c>
      <c r="W26" s="432" t="str">
        <f t="shared" si="5"/>
        <v>(4,5,na,na,na,na); Standard distance 50km</v>
      </c>
      <c r="X26" s="112"/>
      <c r="Y26" s="77" t="s">
        <v>563</v>
      </c>
      <c r="Z26" s="339">
        <v>4</v>
      </c>
      <c r="AA26" s="339">
        <v>5</v>
      </c>
      <c r="AB26" s="339" t="s">
        <v>106</v>
      </c>
      <c r="AC26" s="339" t="s">
        <v>106</v>
      </c>
      <c r="AD26" s="339" t="s">
        <v>106</v>
      </c>
      <c r="AE26" s="339" t="s">
        <v>106</v>
      </c>
      <c r="AF26" s="104">
        <v>5</v>
      </c>
      <c r="AG26" s="104">
        <v>2</v>
      </c>
      <c r="AH26" s="107">
        <f t="shared" si="6"/>
        <v>1.2941338353151037</v>
      </c>
      <c r="AI26" s="107">
        <f t="shared" si="7"/>
        <v>2.0949941301068096</v>
      </c>
      <c r="AJ26" s="107" t="str">
        <f t="shared" si="8"/>
        <v>(4,5,na,na,na,na)</v>
      </c>
      <c r="AK26" s="108">
        <v>1.2</v>
      </c>
      <c r="AL26" s="108">
        <v>1.2</v>
      </c>
      <c r="AM26" s="108">
        <v>1</v>
      </c>
      <c r="AN26" s="108">
        <v>1</v>
      </c>
      <c r="AO26" s="108">
        <v>1</v>
      </c>
      <c r="AP26" s="108">
        <v>1</v>
      </c>
    </row>
    <row r="27" spans="1:42">
      <c r="B27" s="126"/>
      <c r="C27" s="140"/>
      <c r="D27" s="141"/>
      <c r="E27" s="142"/>
      <c r="F27" s="444"/>
      <c r="G27" s="445"/>
      <c r="H27" s="446"/>
      <c r="I27" s="446"/>
      <c r="J27" s="143"/>
      <c r="K27" s="445"/>
      <c r="L27" s="447"/>
      <c r="M27" s="447"/>
      <c r="N27" s="447"/>
      <c r="P27" s="447"/>
      <c r="Q27" s="447"/>
      <c r="R27" s="447"/>
      <c r="T27" s="447"/>
      <c r="U27" s="447"/>
      <c r="V27" s="447"/>
      <c r="X27" s="112"/>
    </row>
    <row r="28" spans="1:42">
      <c r="B28" s="126"/>
      <c r="C28" s="140"/>
      <c r="D28" s="141"/>
      <c r="E28" s="142"/>
      <c r="F28" s="444" t="s">
        <v>1316</v>
      </c>
      <c r="G28" s="445"/>
      <c r="H28" s="446"/>
      <c r="I28" s="446"/>
      <c r="J28" s="143"/>
      <c r="K28" s="445" t="s">
        <v>902</v>
      </c>
      <c r="L28" s="473">
        <v>11.11626864216</v>
      </c>
      <c r="M28" s="473"/>
      <c r="N28" s="473"/>
      <c r="O28" s="469"/>
      <c r="P28" s="473">
        <v>11.466093870225601</v>
      </c>
      <c r="Q28" s="473"/>
      <c r="R28" s="473"/>
      <c r="S28" s="469"/>
      <c r="T28" s="473">
        <v>12.5652930742927</v>
      </c>
      <c r="U28" s="473"/>
      <c r="V28" s="473"/>
      <c r="W28" s="469"/>
      <c r="X28" s="112"/>
    </row>
    <row r="29" spans="1:42">
      <c r="B29" s="126"/>
      <c r="C29" s="140"/>
      <c r="D29" s="141"/>
      <c r="E29" s="142"/>
      <c r="F29" s="444"/>
      <c r="G29" s="445"/>
      <c r="H29" s="446"/>
      <c r="I29" s="446"/>
      <c r="J29" s="143"/>
      <c r="K29" s="445"/>
      <c r="L29" s="447"/>
      <c r="M29" s="447"/>
      <c r="N29" s="447"/>
      <c r="P29" s="447"/>
      <c r="Q29" s="447"/>
      <c r="R29" s="447"/>
      <c r="T29" s="447"/>
      <c r="U29" s="447"/>
      <c r="V29" s="447"/>
      <c r="X29" s="112"/>
    </row>
    <row r="30" spans="1:42">
      <c r="B30" s="126"/>
      <c r="C30" s="140"/>
      <c r="D30" s="141"/>
      <c r="E30" s="142"/>
      <c r="F30" s="444" t="s">
        <v>568</v>
      </c>
      <c r="G30" s="445"/>
      <c r="H30" s="446"/>
      <c r="I30" s="446"/>
      <c r="J30" s="143"/>
      <c r="K30" s="445"/>
      <c r="L30" s="144">
        <f>SUM(L10:L23)</f>
        <v>0.99999999999999978</v>
      </c>
      <c r="M30" s="447"/>
      <c r="N30" s="447"/>
      <c r="P30" s="144">
        <f>SUM(P10:P23)</f>
        <v>0.99999999999999967</v>
      </c>
      <c r="Q30" s="447"/>
      <c r="R30" s="447"/>
      <c r="T30" s="144">
        <f>SUM(T10:T23)</f>
        <v>0.99999999999999978</v>
      </c>
      <c r="U30" s="447"/>
      <c r="V30" s="447"/>
      <c r="X30" s="112"/>
    </row>
    <row r="32" spans="1:42">
      <c r="F32" s="697" t="s">
        <v>535</v>
      </c>
    </row>
    <row r="33" spans="6:20" ht="24" customHeight="1">
      <c r="F33" s="709" t="s">
        <v>1317</v>
      </c>
      <c r="G33" s="710" t="s">
        <v>1318</v>
      </c>
      <c r="H33" s="711" t="s">
        <v>1319</v>
      </c>
      <c r="I33" s="446"/>
      <c r="J33" s="143"/>
      <c r="K33" s="445"/>
      <c r="L33" s="447"/>
      <c r="M33" s="447"/>
      <c r="N33" s="447"/>
      <c r="P33" s="447"/>
      <c r="Q33" s="447"/>
      <c r="R33" s="447"/>
      <c r="T33" s="447"/>
    </row>
    <row r="34" spans="6:20" ht="12.75">
      <c r="F34" s="429" t="s">
        <v>1320</v>
      </c>
      <c r="G34" s="715">
        <v>0.35</v>
      </c>
      <c r="H34" s="715">
        <v>0.38888888888888901</v>
      </c>
      <c r="I34" s="446"/>
      <c r="J34" s="143"/>
      <c r="K34" s="445"/>
      <c r="L34" s="447"/>
      <c r="M34" s="447"/>
      <c r="N34" s="447"/>
      <c r="P34" s="447"/>
      <c r="Q34" s="447"/>
      <c r="R34" s="447"/>
      <c r="T34" s="447"/>
    </row>
    <row r="35" spans="6:20" ht="12.75">
      <c r="F35" s="429" t="s">
        <v>1322</v>
      </c>
      <c r="G35" s="715">
        <v>0.55000000000000004</v>
      </c>
      <c r="H35" s="715">
        <v>0.61111111111111105</v>
      </c>
      <c r="I35" s="446"/>
      <c r="J35" s="143"/>
      <c r="K35" s="445"/>
      <c r="L35" s="447"/>
      <c r="M35" s="447"/>
      <c r="N35" s="447"/>
      <c r="P35" s="447"/>
      <c r="Q35" s="447"/>
      <c r="R35" s="447"/>
      <c r="T35" s="447"/>
    </row>
    <row r="36" spans="6:20" ht="12.75">
      <c r="F36" s="429" t="s">
        <v>1323</v>
      </c>
      <c r="G36" s="715">
        <v>0.1</v>
      </c>
      <c r="H36" s="715" t="s">
        <v>1324</v>
      </c>
      <c r="I36" s="446"/>
      <c r="J36" s="143"/>
      <c r="K36" s="445"/>
      <c r="L36" s="447"/>
      <c r="M36" s="447"/>
      <c r="N36" s="447"/>
      <c r="P36" s="447"/>
      <c r="Q36" s="447"/>
      <c r="R36" s="447"/>
      <c r="T36" s="447"/>
    </row>
    <row r="37" spans="6:20">
      <c r="F37" s="143"/>
      <c r="G37" s="143"/>
      <c r="H37" s="143"/>
      <c r="I37" s="446"/>
      <c r="J37" s="143"/>
      <c r="K37" s="445"/>
      <c r="L37" s="447"/>
      <c r="M37" s="447"/>
      <c r="N37" s="447"/>
      <c r="P37" s="447"/>
      <c r="Q37" s="447"/>
      <c r="R37" s="447"/>
      <c r="T37" s="447"/>
    </row>
    <row r="38" spans="6:20">
      <c r="F38" s="709" t="s">
        <v>1325</v>
      </c>
      <c r="G38" s="712"/>
      <c r="H38" s="711" t="s">
        <v>1326</v>
      </c>
      <c r="I38" s="446"/>
      <c r="J38" s="143"/>
      <c r="K38" s="445"/>
      <c r="L38" s="447"/>
      <c r="M38" s="447"/>
      <c r="N38" s="447"/>
      <c r="P38" s="447"/>
      <c r="Q38" s="447"/>
      <c r="R38" s="447"/>
      <c r="T38" s="447"/>
    </row>
    <row r="39" spans="6:20">
      <c r="F39" s="714" t="s">
        <v>1327</v>
      </c>
      <c r="G39" s="712"/>
      <c r="H39" s="711"/>
      <c r="I39" s="446"/>
      <c r="J39" s="143"/>
      <c r="K39" s="445"/>
      <c r="L39" s="447"/>
      <c r="M39" s="447"/>
      <c r="N39" s="447"/>
      <c r="P39" s="447"/>
      <c r="Q39" s="447"/>
      <c r="R39" s="447"/>
      <c r="T39" s="447"/>
    </row>
    <row r="40" spans="6:20" ht="12.75">
      <c r="F40" s="537" t="s">
        <v>1328</v>
      </c>
      <c r="G40" s="715">
        <v>0.35555555555555601</v>
      </c>
      <c r="H40" s="715"/>
      <c r="I40" s="446"/>
      <c r="J40" s="143"/>
      <c r="K40" s="445"/>
      <c r="L40" s="447"/>
      <c r="M40" s="447"/>
      <c r="N40" s="447"/>
      <c r="P40" s="447"/>
      <c r="Q40" s="447"/>
      <c r="R40" s="447"/>
      <c r="T40" s="447"/>
    </row>
    <row r="41" spans="6:20" ht="12.75">
      <c r="F41" s="537" t="s">
        <v>1329</v>
      </c>
      <c r="G41" s="715">
        <v>0.64444444444444404</v>
      </c>
      <c r="H41" s="715"/>
      <c r="I41" s="446"/>
      <c r="J41" s="143"/>
      <c r="K41" s="445"/>
      <c r="L41" s="447"/>
      <c r="M41" s="447"/>
      <c r="N41" s="447"/>
      <c r="P41" s="447"/>
      <c r="Q41" s="447"/>
      <c r="R41" s="447"/>
      <c r="T41" s="447"/>
    </row>
    <row r="42" spans="6:20" ht="12.75">
      <c r="F42" s="714" t="s">
        <v>1330</v>
      </c>
      <c r="G42" s="715"/>
      <c r="H42" s="715"/>
      <c r="I42" s="446"/>
      <c r="J42" s="143"/>
      <c r="K42" s="445"/>
      <c r="L42" s="447"/>
      <c r="M42" s="447"/>
      <c r="N42" s="447"/>
      <c r="P42" s="447"/>
      <c r="Q42" s="447"/>
      <c r="R42" s="447"/>
      <c r="T42" s="447"/>
    </row>
    <row r="43" spans="6:20" ht="12.75">
      <c r="F43" s="429" t="s">
        <v>1328</v>
      </c>
      <c r="G43" s="715">
        <v>0.296296296296296</v>
      </c>
      <c r="H43" s="715"/>
      <c r="I43" s="446"/>
      <c r="J43" s="143"/>
      <c r="K43" s="445"/>
      <c r="L43" s="447"/>
      <c r="M43" s="447"/>
      <c r="N43" s="447"/>
      <c r="P43" s="447"/>
      <c r="Q43" s="447"/>
      <c r="R43" s="447"/>
      <c r="T43" s="447"/>
    </row>
    <row r="44" spans="6:20" ht="12.75">
      <c r="F44" s="429" t="s">
        <v>1329</v>
      </c>
      <c r="G44" s="715">
        <v>0.70370370370370405</v>
      </c>
      <c r="H44" s="715"/>
      <c r="I44" s="446"/>
      <c r="J44" s="143"/>
      <c r="K44" s="445"/>
      <c r="L44" s="447"/>
      <c r="M44" s="447"/>
      <c r="N44" s="447"/>
      <c r="P44" s="447"/>
      <c r="Q44" s="447"/>
      <c r="R44" s="447"/>
      <c r="T44" s="447"/>
    </row>
    <row r="45" spans="6:20">
      <c r="G45" s="126"/>
      <c r="H45" s="446"/>
      <c r="I45" s="446"/>
      <c r="J45" s="143"/>
      <c r="K45" s="445"/>
      <c r="L45" s="447"/>
      <c r="M45" s="447"/>
      <c r="N45" s="447"/>
      <c r="P45" s="447"/>
      <c r="Q45" s="447"/>
      <c r="R45" s="447"/>
      <c r="T45" s="447"/>
    </row>
    <row r="46" spans="6:20" ht="24">
      <c r="F46" s="126" t="s">
        <v>1100</v>
      </c>
      <c r="G46" s="445"/>
      <c r="H46" s="446"/>
      <c r="I46" s="446"/>
      <c r="J46" s="143"/>
      <c r="K46" s="445" t="s">
        <v>168</v>
      </c>
      <c r="L46" s="133">
        <v>4584</v>
      </c>
      <c r="M46" s="447"/>
      <c r="N46" s="447"/>
      <c r="P46" s="133">
        <v>4584</v>
      </c>
      <c r="Q46" s="447"/>
      <c r="R46" s="447"/>
      <c r="T46" s="133">
        <v>4584</v>
      </c>
    </row>
  </sheetData>
  <mergeCells count="1">
    <mergeCell ref="Z1:AE1"/>
  </mergeCells>
  <conditionalFormatting sqref="D10:W26">
    <cfRule type="expression" dxfId="200" priority="1">
      <formula>MOD(ROW(),2)=0</formula>
    </cfRule>
  </conditionalFormatting>
  <conditionalFormatting sqref="Y10:AE26">
    <cfRule type="expression" dxfId="199" priority="6">
      <formula>MOD(ROW(),2)=0</formula>
    </cfRule>
  </conditionalFormatting>
  <conditionalFormatting sqref="AF10:AP26">
    <cfRule type="expression" dxfId="198" priority="5">
      <formula>MOD(ROW(),2)=0</formula>
    </cfRule>
  </conditionalFormatting>
  <dataValidations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Z3" xr:uid="{00000000-0002-0000-23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E3" xr:uid="{00000000-0002-0000-23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D3" xr:uid="{00000000-0002-0000-23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C3" xr:uid="{00000000-0002-0000-23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B3" xr:uid="{00000000-0002-0000-23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A3" xr:uid="{00000000-0002-0000-2300-000005000000}"/>
    <dataValidation allowBlank="1" showInputMessage="1" showErrorMessage="1" prompt="Do not change." sqref="AF3:AP4" xr:uid="{00000000-0002-0000-2300-000006000000}"/>
    <dataValidation allowBlank="1" showInputMessage="1" showErrorMessage="1" promptTitle="Remarks" prompt="A general comment (data source, calculation procedure, ...) can be made about each individual exchange. The remarks are added to the GeneralComment-field." sqref="Y3" xr:uid="{00000000-0002-0000-2300-000007000000}"/>
    <dataValidation allowBlank="1" showInputMessage="1" showErrorMessage="1" promptTitle="Do not change" prompt="This field is automatically updated from the names-list" sqref="AF10:AF26" xr:uid="{00000000-0002-0000-2300-000008000000}"/>
  </dataValidations>
  <pageMargins left="0.78740157499999996" right="0.78740157499999996" top="0.984251969" bottom="0.984251969" header="0.4921259845" footer="0.4921259845"/>
  <pageSetup paperSize="9" scale="42"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19">
    <tabColor rgb="FF9CD9F0"/>
  </sheetPr>
  <dimension ref="A1:W64"/>
  <sheetViews>
    <sheetView topLeftCell="A5" workbookViewId="0">
      <selection activeCell="N8" sqref="N8"/>
    </sheetView>
  </sheetViews>
  <sheetFormatPr baseColWidth="10" defaultColWidth="11.42578125" defaultRowHeight="15"/>
  <cols>
    <col min="1" max="1" width="22.7109375" style="183" customWidth="1"/>
    <col min="2" max="6" width="12.7109375" style="183" customWidth="1"/>
    <col min="7" max="7" width="14.140625" style="183" customWidth="1"/>
    <col min="8" max="9" width="12.7109375" style="183" customWidth="1"/>
    <col min="10" max="10" width="15.42578125" style="183" bestFit="1" customWidth="1"/>
    <col min="11" max="12" width="12.7109375" style="183" customWidth="1"/>
    <col min="13" max="14" width="11.42578125" style="183" customWidth="1"/>
    <col min="15" max="16384" width="11.42578125" style="183"/>
  </cols>
  <sheetData>
    <row r="1" spans="1:22" ht="39" customHeight="1">
      <c r="A1" s="182" t="s">
        <v>1353</v>
      </c>
      <c r="B1" s="280"/>
      <c r="C1" s="280"/>
      <c r="D1" s="328"/>
      <c r="E1" s="280"/>
      <c r="F1" s="280"/>
      <c r="G1" s="280"/>
      <c r="H1" s="280"/>
      <c r="I1" s="280"/>
      <c r="J1" s="280"/>
      <c r="K1" s="280"/>
      <c r="L1" s="280"/>
      <c r="M1" s="280"/>
      <c r="N1" s="280"/>
      <c r="O1" s="280"/>
      <c r="P1" s="280"/>
      <c r="Q1" s="280"/>
      <c r="R1" s="280"/>
      <c r="S1" s="280"/>
      <c r="T1" s="280"/>
      <c r="U1" s="280"/>
      <c r="V1" s="280"/>
    </row>
    <row r="2" spans="1:22">
      <c r="A2" s="1202" t="s">
        <v>1354</v>
      </c>
      <c r="B2" s="280"/>
      <c r="C2" s="280"/>
      <c r="D2" s="280"/>
      <c r="E2" s="280"/>
      <c r="F2" s="280"/>
      <c r="G2" s="280"/>
      <c r="H2" s="280"/>
      <c r="I2" s="280"/>
      <c r="J2" s="280"/>
      <c r="K2" s="280"/>
      <c r="L2" s="280"/>
      <c r="M2" s="280"/>
      <c r="N2" s="280"/>
      <c r="O2" s="280"/>
      <c r="P2" s="280"/>
      <c r="Q2" s="280"/>
      <c r="R2" s="280"/>
      <c r="S2" s="280"/>
      <c r="T2" s="280"/>
      <c r="U2" s="280"/>
      <c r="V2" s="280"/>
    </row>
    <row r="3" spans="1:22">
      <c r="A3" s="327"/>
      <c r="B3" s="280"/>
      <c r="C3" s="280"/>
      <c r="D3" s="280"/>
      <c r="E3" s="280"/>
      <c r="F3" s="280"/>
      <c r="G3" s="280"/>
      <c r="H3" s="280"/>
      <c r="I3" s="280"/>
      <c r="J3" s="280"/>
      <c r="K3" s="280"/>
      <c r="L3" s="280"/>
      <c r="M3" s="280"/>
      <c r="N3" s="280"/>
      <c r="O3" s="280"/>
      <c r="P3" s="280"/>
      <c r="Q3" s="280"/>
      <c r="R3" s="280"/>
      <c r="S3" s="280"/>
      <c r="T3" s="280"/>
      <c r="U3" s="280"/>
      <c r="V3" s="280"/>
    </row>
    <row r="5" spans="1:22" ht="30">
      <c r="A5" s="1593" t="s">
        <v>1355</v>
      </c>
      <c r="B5" s="716" t="s">
        <v>1356</v>
      </c>
      <c r="C5" s="716" t="s">
        <v>1356</v>
      </c>
      <c r="D5" s="716" t="s">
        <v>1357</v>
      </c>
      <c r="E5" s="716" t="s">
        <v>1358</v>
      </c>
      <c r="F5" s="716" t="s">
        <v>1359</v>
      </c>
      <c r="G5" s="716" t="s">
        <v>1360</v>
      </c>
      <c r="H5" s="716" t="s">
        <v>1361</v>
      </c>
      <c r="I5" s="716" t="s">
        <v>1362</v>
      </c>
      <c r="J5" s="716" t="s">
        <v>1360</v>
      </c>
      <c r="K5" s="280"/>
      <c r="L5" s="280"/>
      <c r="M5" s="280"/>
      <c r="N5" s="280"/>
      <c r="O5" s="280"/>
      <c r="P5" s="280"/>
      <c r="Q5" s="280"/>
      <c r="R5" s="280"/>
      <c r="S5" s="280"/>
      <c r="T5" s="280"/>
      <c r="U5" s="280"/>
      <c r="V5" s="280"/>
    </row>
    <row r="6" spans="1:22">
      <c r="A6" s="1569"/>
      <c r="B6" s="181" t="s">
        <v>1363</v>
      </c>
      <c r="C6" s="181" t="s">
        <v>1364</v>
      </c>
      <c r="D6" s="181" t="s">
        <v>1364</v>
      </c>
      <c r="E6" s="181" t="s">
        <v>1364</v>
      </c>
      <c r="F6" s="181" t="s">
        <v>1364</v>
      </c>
      <c r="G6" s="181" t="s">
        <v>1364</v>
      </c>
      <c r="H6" s="181" t="s">
        <v>1364</v>
      </c>
      <c r="I6" s="181" t="s">
        <v>1364</v>
      </c>
      <c r="J6" s="181" t="s">
        <v>1318</v>
      </c>
      <c r="K6" s="280"/>
      <c r="L6" s="280"/>
      <c r="M6" s="280"/>
      <c r="N6" s="280"/>
      <c r="O6" s="280"/>
      <c r="P6" s="280"/>
      <c r="Q6" s="280"/>
      <c r="R6" s="280"/>
      <c r="S6" s="280"/>
      <c r="T6" s="280"/>
      <c r="U6" s="280"/>
      <c r="V6" s="280"/>
    </row>
    <row r="7" spans="1:22">
      <c r="A7" s="257" t="s">
        <v>1365</v>
      </c>
      <c r="B7" s="1204">
        <f>C7*C14</f>
        <v>1770800</v>
      </c>
      <c r="C7" s="1204">
        <f>885400</f>
        <v>885400</v>
      </c>
      <c r="D7" s="1204">
        <v>775860</v>
      </c>
      <c r="E7" s="1204">
        <v>678453</v>
      </c>
      <c r="F7" s="1204">
        <v>627990</v>
      </c>
      <c r="G7" s="1204">
        <v>350439</v>
      </c>
      <c r="H7" s="476"/>
      <c r="I7" s="383"/>
      <c r="J7" s="477">
        <f>G7/G$12</f>
        <v>0.58641358641358643</v>
      </c>
      <c r="K7" s="280"/>
      <c r="L7" s="280"/>
      <c r="M7" s="280"/>
      <c r="N7" s="280"/>
      <c r="O7" s="280"/>
      <c r="P7" s="280"/>
      <c r="Q7" s="280"/>
      <c r="R7" s="280"/>
      <c r="S7" s="280"/>
      <c r="T7" s="280"/>
      <c r="U7" s="280"/>
      <c r="V7" s="280"/>
    </row>
    <row r="8" spans="1:22">
      <c r="A8" s="257" t="s">
        <v>1366</v>
      </c>
      <c r="B8" s="1204">
        <f>B12*V18</f>
        <v>41800</v>
      </c>
      <c r="C8" s="1204">
        <f>B8/$C$14</f>
        <v>20900</v>
      </c>
      <c r="D8" s="1204">
        <v>28140</v>
      </c>
      <c r="E8" s="1204">
        <v>64507</v>
      </c>
      <c r="F8" s="1204">
        <v>70422</v>
      </c>
      <c r="G8" s="1204">
        <v>65670</v>
      </c>
      <c r="H8" s="476">
        <f>3.46+3.65+2.47</f>
        <v>9.58</v>
      </c>
      <c r="I8" s="383"/>
      <c r="J8" s="477">
        <f>G8/G$12</f>
        <v>0.10989010989010989</v>
      </c>
      <c r="K8" s="280"/>
      <c r="L8" s="280"/>
      <c r="M8" s="280"/>
      <c r="N8" s="384"/>
      <c r="O8" s="280"/>
      <c r="P8" s="280"/>
      <c r="Q8" s="280"/>
      <c r="R8" s="280"/>
      <c r="S8" s="280"/>
      <c r="T8" s="280"/>
      <c r="U8" s="280"/>
      <c r="V8" s="280"/>
    </row>
    <row r="9" spans="1:22">
      <c r="A9" s="257" t="s">
        <v>1367</v>
      </c>
      <c r="B9" s="1204">
        <f>B12*V20</f>
        <v>30400</v>
      </c>
      <c r="C9" s="1204">
        <f>B9/$C$14</f>
        <v>15200</v>
      </c>
      <c r="D9" s="1204">
        <v>0</v>
      </c>
      <c r="E9" s="1204">
        <v>5773</v>
      </c>
      <c r="F9" s="1204">
        <v>24684</v>
      </c>
      <c r="G9" s="1204">
        <v>83580.000000000015</v>
      </c>
      <c r="H9" s="476">
        <v>5.92</v>
      </c>
      <c r="I9" s="383"/>
      <c r="J9" s="477">
        <f>G9/G$12</f>
        <v>0.1398601398601399</v>
      </c>
      <c r="K9" s="280"/>
      <c r="L9" s="280"/>
      <c r="M9" s="280"/>
      <c r="N9" s="280"/>
      <c r="O9" s="280"/>
      <c r="P9" s="280"/>
      <c r="Q9" s="280"/>
      <c r="R9" s="280"/>
      <c r="S9" s="280"/>
      <c r="T9" s="280"/>
      <c r="U9" s="280"/>
      <c r="V9" s="280"/>
    </row>
    <row r="10" spans="1:22">
      <c r="A10" s="257" t="s">
        <v>1368</v>
      </c>
      <c r="B10" s="1204">
        <f>B12*V19</f>
        <v>58900</v>
      </c>
      <c r="C10" s="1204">
        <f>B10/$C$14</f>
        <v>29450</v>
      </c>
      <c r="D10" s="1204">
        <v>0</v>
      </c>
      <c r="E10" s="1204">
        <v>2761</v>
      </c>
      <c r="F10" s="1204">
        <v>2904</v>
      </c>
      <c r="G10" s="1204">
        <v>83580.000000000015</v>
      </c>
      <c r="H10" s="476"/>
      <c r="I10" s="383"/>
      <c r="J10" s="477">
        <f>G10/G$12</f>
        <v>0.1398601398601399</v>
      </c>
      <c r="K10" s="280"/>
      <c r="L10" s="280"/>
      <c r="M10" s="280"/>
      <c r="N10" s="280"/>
      <c r="O10" s="280"/>
      <c r="P10" s="280"/>
      <c r="Q10" s="280"/>
      <c r="R10" s="280"/>
      <c r="S10" s="280"/>
      <c r="T10" s="280"/>
      <c r="U10" s="280"/>
      <c r="V10" s="280"/>
    </row>
    <row r="11" spans="1:22">
      <c r="A11" s="257" t="s">
        <v>1369</v>
      </c>
      <c r="B11" s="1204">
        <v>0</v>
      </c>
      <c r="C11" s="1204">
        <f>B11/$C$14</f>
        <v>0</v>
      </c>
      <c r="D11" s="1204">
        <v>0</v>
      </c>
      <c r="E11" s="1204">
        <v>0</v>
      </c>
      <c r="F11" s="1204">
        <v>3000</v>
      </c>
      <c r="G11" s="1204">
        <v>14328</v>
      </c>
      <c r="H11" s="476"/>
      <c r="I11" s="383"/>
      <c r="J11" s="477">
        <f>G11/G$12</f>
        <v>2.3976023976023976E-2</v>
      </c>
      <c r="K11" s="280"/>
      <c r="L11" s="280"/>
      <c r="M11" s="280"/>
      <c r="N11" s="280"/>
      <c r="O11" s="280"/>
      <c r="P11" s="280"/>
      <c r="Q11" s="280"/>
      <c r="R11" s="280"/>
      <c r="S11" s="280"/>
      <c r="T11" s="280"/>
      <c r="U11" s="280"/>
      <c r="V11" s="280"/>
    </row>
    <row r="12" spans="1:22">
      <c r="A12" s="181" t="s">
        <v>91</v>
      </c>
      <c r="B12" s="258">
        <f>R17</f>
        <v>1900000</v>
      </c>
      <c r="C12" s="258">
        <f t="shared" ref="C12:I12" si="0">SUM((C7:C11))</f>
        <v>950950</v>
      </c>
      <c r="D12" s="258">
        <f t="shared" si="0"/>
        <v>804000</v>
      </c>
      <c r="E12" s="258">
        <f t="shared" si="0"/>
        <v>751494</v>
      </c>
      <c r="F12" s="258">
        <f t="shared" si="0"/>
        <v>729000</v>
      </c>
      <c r="G12" s="258">
        <f t="shared" si="0"/>
        <v>597597</v>
      </c>
      <c r="H12" s="478">
        <f t="shared" si="0"/>
        <v>15.5</v>
      </c>
      <c r="I12" s="180">
        <f t="shared" si="0"/>
        <v>0</v>
      </c>
      <c r="J12" s="479">
        <f>SUM(J7:J11)</f>
        <v>1.0000000000000002</v>
      </c>
      <c r="K12" s="280"/>
      <c r="L12" s="280"/>
      <c r="M12" s="280"/>
      <c r="N12" s="280"/>
      <c r="O12" s="280"/>
      <c r="P12" s="280"/>
      <c r="Q12" s="280"/>
      <c r="R12" s="280"/>
      <c r="S12" s="280"/>
      <c r="T12" s="280"/>
      <c r="U12" s="280"/>
      <c r="V12" s="280"/>
    </row>
    <row r="14" spans="1:22">
      <c r="A14" s="249" t="s">
        <v>1370</v>
      </c>
      <c r="B14" s="249" t="s">
        <v>1371</v>
      </c>
      <c r="C14" s="1203">
        <v>2</v>
      </c>
      <c r="D14" s="249" t="s">
        <v>1372</v>
      </c>
      <c r="E14" s="280"/>
      <c r="F14" s="280"/>
      <c r="G14" s="280"/>
      <c r="H14" s="280"/>
      <c r="I14" s="280"/>
      <c r="J14" s="280"/>
      <c r="K14" s="280"/>
      <c r="L14" s="280"/>
      <c r="M14" s="280"/>
      <c r="N14" s="280"/>
      <c r="O14" s="280"/>
      <c r="P14" s="280"/>
      <c r="Q14" s="280"/>
      <c r="R14" s="280"/>
      <c r="S14" s="280"/>
      <c r="T14" s="280"/>
      <c r="U14" s="280"/>
      <c r="V14" s="280"/>
    </row>
    <row r="16" spans="1:22" ht="15" customHeight="1">
      <c r="A16" s="1595" t="s">
        <v>1373</v>
      </c>
      <c r="B16" s="1594" t="s">
        <v>1365</v>
      </c>
      <c r="C16" s="1566"/>
      <c r="D16" s="1594" t="s">
        <v>1366</v>
      </c>
      <c r="E16" s="1566"/>
      <c r="F16" s="1594" t="s">
        <v>1367</v>
      </c>
      <c r="G16" s="1566"/>
      <c r="H16" s="1594" t="s">
        <v>1368</v>
      </c>
      <c r="I16" s="1566"/>
      <c r="J16" s="1594" t="s">
        <v>1374</v>
      </c>
      <c r="K16" s="1566"/>
      <c r="L16" s="181" t="s">
        <v>1375</v>
      </c>
      <c r="M16" s="181" t="s">
        <v>1376</v>
      </c>
      <c r="N16" s="181" t="s">
        <v>91</v>
      </c>
      <c r="O16" s="181" t="s">
        <v>91</v>
      </c>
      <c r="P16" s="280"/>
      <c r="Q16" s="280" t="s">
        <v>1377</v>
      </c>
      <c r="R16" s="280"/>
      <c r="S16" s="280"/>
      <c r="T16" s="280"/>
      <c r="U16" s="280" t="s">
        <v>1378</v>
      </c>
      <c r="V16" s="280"/>
    </row>
    <row r="17" spans="1:23">
      <c r="A17" s="1569"/>
      <c r="B17" s="181" t="s">
        <v>1364</v>
      </c>
      <c r="C17" s="181" t="s">
        <v>1318</v>
      </c>
      <c r="D17" s="181" t="s">
        <v>1364</v>
      </c>
      <c r="E17" s="181" t="s">
        <v>1318</v>
      </c>
      <c r="F17" s="181" t="s">
        <v>1364</v>
      </c>
      <c r="G17" s="181" t="s">
        <v>1318</v>
      </c>
      <c r="H17" s="181" t="s">
        <v>1364</v>
      </c>
      <c r="I17" s="181" t="s">
        <v>1318</v>
      </c>
      <c r="J17" s="181" t="s">
        <v>1364</v>
      </c>
      <c r="K17" s="181" t="s">
        <v>1318</v>
      </c>
      <c r="L17" s="181" t="s">
        <v>1364</v>
      </c>
      <c r="M17" s="181" t="s">
        <v>1364</v>
      </c>
      <c r="N17" s="181" t="s">
        <v>1364</v>
      </c>
      <c r="O17" s="181" t="s">
        <v>1318</v>
      </c>
      <c r="P17" s="280"/>
      <c r="Q17" s="280" t="s">
        <v>1379</v>
      </c>
      <c r="R17" s="280">
        <v>1900000</v>
      </c>
      <c r="S17" s="280" t="s">
        <v>1363</v>
      </c>
      <c r="T17" s="280"/>
      <c r="U17" s="280" t="s">
        <v>1365</v>
      </c>
      <c r="V17" s="386">
        <v>0.93200000000000005</v>
      </c>
      <c r="W17" s="280"/>
    </row>
    <row r="18" spans="1:23">
      <c r="A18" s="257" t="s">
        <v>1365</v>
      </c>
      <c r="B18" s="385">
        <f>C7</f>
        <v>885400</v>
      </c>
      <c r="C18" s="480">
        <f>B18/B$23</f>
        <v>0.9648382705377524</v>
      </c>
      <c r="D18" s="385">
        <f>($D$8*$C$12/$D$12-D$19)*$M18/SUM($M$18:$M$22)</f>
        <v>0</v>
      </c>
      <c r="E18" s="480">
        <f>D18/D$23</f>
        <v>0</v>
      </c>
      <c r="F18" s="385">
        <v>0</v>
      </c>
      <c r="G18" s="480">
        <v>0</v>
      </c>
      <c r="H18" s="385">
        <v>0</v>
      </c>
      <c r="I18" s="480">
        <v>0</v>
      </c>
      <c r="J18" s="385">
        <v>0</v>
      </c>
      <c r="K18" s="480">
        <v>0</v>
      </c>
      <c r="L18" s="385">
        <f>B18</f>
        <v>885400</v>
      </c>
      <c r="M18" s="385">
        <f>C7-L18</f>
        <v>0</v>
      </c>
      <c r="N18" s="385">
        <f>SUM(B18,D18,F18,H18,J18)</f>
        <v>885400</v>
      </c>
      <c r="O18" s="481">
        <f t="shared" ref="O18:O23" si="1">N18/N$23</f>
        <v>0.93106893106893107</v>
      </c>
      <c r="P18" s="280"/>
      <c r="Q18" s="280" t="s">
        <v>1379</v>
      </c>
      <c r="R18" s="280">
        <f>R17/2</f>
        <v>950000</v>
      </c>
      <c r="S18" s="280" t="s">
        <v>1364</v>
      </c>
      <c r="T18" s="280"/>
      <c r="U18" s="280" t="s">
        <v>373</v>
      </c>
      <c r="V18" s="386">
        <v>2.1999999999999999E-2</v>
      </c>
      <c r="W18" s="280"/>
    </row>
    <row r="19" spans="1:23">
      <c r="A19" s="257" t="s">
        <v>1366</v>
      </c>
      <c r="B19" s="385">
        <f>($D$7*$C$12/$D$12-B$18)*$M19/SUM($M$18:$M$22)</f>
        <v>0</v>
      </c>
      <c r="C19" s="480">
        <f>B19/B$23</f>
        <v>0</v>
      </c>
      <c r="D19" s="385">
        <f>C8</f>
        <v>20900</v>
      </c>
      <c r="E19" s="480">
        <f>D19/D$23</f>
        <v>0.62794348508634223</v>
      </c>
      <c r="F19" s="385">
        <v>0</v>
      </c>
      <c r="G19" s="480">
        <v>0</v>
      </c>
      <c r="H19" s="385">
        <v>0</v>
      </c>
      <c r="I19" s="480">
        <v>0</v>
      </c>
      <c r="J19" s="385">
        <v>0</v>
      </c>
      <c r="K19" s="480">
        <v>0</v>
      </c>
      <c r="L19" s="385">
        <f>D19</f>
        <v>20900</v>
      </c>
      <c r="M19" s="385">
        <f>C8-L19</f>
        <v>0</v>
      </c>
      <c r="N19" s="385">
        <f>SUM(B19,D19,F19,H19,J19)</f>
        <v>20900</v>
      </c>
      <c r="O19" s="481">
        <f t="shared" si="1"/>
        <v>2.197802197802198E-2</v>
      </c>
      <c r="P19" s="280"/>
      <c r="Q19" s="280" t="str">
        <f>U17</f>
        <v>China</v>
      </c>
      <c r="R19" s="280">
        <f>$R$18*V17</f>
        <v>885400</v>
      </c>
      <c r="S19" s="280" t="s">
        <v>1364</v>
      </c>
      <c r="T19" s="280"/>
      <c r="U19" s="280" t="s">
        <v>1368</v>
      </c>
      <c r="V19" s="386">
        <v>3.1E-2</v>
      </c>
      <c r="W19" s="280"/>
    </row>
    <row r="20" spans="1:23">
      <c r="A20" s="257" t="s">
        <v>1367</v>
      </c>
      <c r="B20" s="385">
        <f>($D$7*$C$12/$D$12-B$18)*$M20/SUM($M$18:$M$22)</f>
        <v>10984.425531914894</v>
      </c>
      <c r="C20" s="480">
        <f>B20/B$23</f>
        <v>1.1969950455233224E-2</v>
      </c>
      <c r="D20" s="385">
        <f>($D$8*$C$12/$D$12-D$19)*$M20/SUM($M$18:$M$22)</f>
        <v>4215.5744680851067</v>
      </c>
      <c r="E20" s="480">
        <f>D20/D$23</f>
        <v>0.12665753699188351</v>
      </c>
      <c r="F20" s="385">
        <v>0</v>
      </c>
      <c r="G20" s="480">
        <v>1</v>
      </c>
      <c r="H20" s="385">
        <v>0</v>
      </c>
      <c r="I20" s="480">
        <v>0</v>
      </c>
      <c r="J20" s="385">
        <v>0</v>
      </c>
      <c r="K20" s="480">
        <v>0</v>
      </c>
      <c r="L20" s="385">
        <v>0</v>
      </c>
      <c r="M20" s="385">
        <f>C9-L20</f>
        <v>15200</v>
      </c>
      <c r="N20" s="385">
        <f>SUM(B20,D20,F20,H20,J20)</f>
        <v>15200</v>
      </c>
      <c r="O20" s="481">
        <f t="shared" si="1"/>
        <v>1.5984015984015984E-2</v>
      </c>
      <c r="P20" s="280"/>
      <c r="Q20" s="280" t="str">
        <f>U18</f>
        <v>APAC</v>
      </c>
      <c r="R20" s="280">
        <f>$R$18*V18</f>
        <v>20900</v>
      </c>
      <c r="S20" s="280" t="s">
        <v>1364</v>
      </c>
      <c r="T20" s="280"/>
      <c r="U20" s="280" t="s">
        <v>1367</v>
      </c>
      <c r="V20" s="386">
        <v>1.6E-2</v>
      </c>
      <c r="W20" s="280"/>
    </row>
    <row r="21" spans="1:23">
      <c r="A21" s="257" t="s">
        <v>1368</v>
      </c>
      <c r="B21" s="385">
        <f>($D$7*$C$12/$D$12-B$18)*$M21/SUM($M$18:$M$22)</f>
        <v>21282.324468085106</v>
      </c>
      <c r="C21" s="480">
        <f>B21/B$23</f>
        <v>2.3191779007014371E-2</v>
      </c>
      <c r="D21" s="385">
        <f>($D$8*$C$12/$D$12-D$19)*$M21/SUM($M$18:$M$22)</f>
        <v>8167.6755319148933</v>
      </c>
      <c r="E21" s="480">
        <f>D21/D$23</f>
        <v>0.24539897792177426</v>
      </c>
      <c r="F21" s="385">
        <v>0</v>
      </c>
      <c r="G21" s="480">
        <v>0</v>
      </c>
      <c r="H21" s="385">
        <v>0</v>
      </c>
      <c r="I21" s="480">
        <v>1</v>
      </c>
      <c r="J21" s="385">
        <v>0</v>
      </c>
      <c r="K21" s="480">
        <v>0</v>
      </c>
      <c r="L21" s="385">
        <v>0</v>
      </c>
      <c r="M21" s="385">
        <f>C10-L21</f>
        <v>29450</v>
      </c>
      <c r="N21" s="385">
        <f>SUM(B21,D21,F21,H21,J21)</f>
        <v>29450</v>
      </c>
      <c r="O21" s="481">
        <f t="shared" si="1"/>
        <v>3.0969030969030968E-2</v>
      </c>
      <c r="P21" s="280"/>
      <c r="Q21" s="280" t="str">
        <f>U19</f>
        <v>Europe</v>
      </c>
      <c r="R21" s="280">
        <f>$R$18*V19</f>
        <v>29450</v>
      </c>
      <c r="S21" s="280" t="s">
        <v>1364</v>
      </c>
      <c r="T21" s="280"/>
      <c r="U21" s="280"/>
      <c r="V21" s="386"/>
      <c r="W21" s="280"/>
    </row>
    <row r="22" spans="1:23">
      <c r="A22" s="257" t="s">
        <v>1374</v>
      </c>
      <c r="B22" s="385">
        <f>($D$7*$C$12/$D$12-B$18)*$M22/SUM($M$18:$M$22)</f>
        <v>0</v>
      </c>
      <c r="C22" s="480">
        <f>B22/B$23</f>
        <v>0</v>
      </c>
      <c r="D22" s="385">
        <f>($D$8*$C$12/$D$12-D$19)*$M22/SUM($M$18:$M$22)</f>
        <v>0</v>
      </c>
      <c r="E22" s="480">
        <f>D22/D$23</f>
        <v>0</v>
      </c>
      <c r="F22" s="385">
        <v>0</v>
      </c>
      <c r="G22" s="480">
        <v>0</v>
      </c>
      <c r="H22" s="385">
        <v>0</v>
      </c>
      <c r="I22" s="480">
        <v>0</v>
      </c>
      <c r="J22" s="385">
        <f>$D11*$C$12/$D$12</f>
        <v>0</v>
      </c>
      <c r="K22" s="480">
        <v>1</v>
      </c>
      <c r="L22" s="385">
        <f>J22</f>
        <v>0</v>
      </c>
      <c r="M22" s="385">
        <v>0</v>
      </c>
      <c r="N22" s="385">
        <f>SUM(B22,D22,F22,H22,J22)</f>
        <v>0</v>
      </c>
      <c r="O22" s="481">
        <f t="shared" si="1"/>
        <v>0</v>
      </c>
      <c r="P22" s="280"/>
      <c r="Q22" s="280" t="str">
        <f>U20</f>
        <v>Americas</v>
      </c>
      <c r="R22" s="280">
        <f>$R$18*V20</f>
        <v>15200</v>
      </c>
      <c r="S22" s="280" t="s">
        <v>1364</v>
      </c>
      <c r="T22" s="280"/>
      <c r="U22" s="280"/>
      <c r="V22" s="386"/>
      <c r="W22" s="280"/>
    </row>
    <row r="23" spans="1:23">
      <c r="A23" s="181" t="s">
        <v>1380</v>
      </c>
      <c r="B23" s="375">
        <f>SUM(B18:B22)</f>
        <v>917666.75</v>
      </c>
      <c r="C23" s="482">
        <f t="shared" ref="C23:N23" si="2">SUM((C18:C22))</f>
        <v>1</v>
      </c>
      <c r="D23" s="180">
        <f t="shared" si="2"/>
        <v>33283.25</v>
      </c>
      <c r="E23" s="482">
        <f t="shared" si="2"/>
        <v>1</v>
      </c>
      <c r="F23" s="180">
        <f t="shared" si="2"/>
        <v>0</v>
      </c>
      <c r="G23" s="482">
        <f t="shared" si="2"/>
        <v>1</v>
      </c>
      <c r="H23" s="180">
        <f t="shared" si="2"/>
        <v>0</v>
      </c>
      <c r="I23" s="482">
        <f t="shared" si="2"/>
        <v>1</v>
      </c>
      <c r="J23" s="180">
        <f t="shared" si="2"/>
        <v>0</v>
      </c>
      <c r="K23" s="482">
        <f t="shared" si="2"/>
        <v>1</v>
      </c>
      <c r="L23" s="180">
        <f t="shared" si="2"/>
        <v>906300</v>
      </c>
      <c r="M23" s="180">
        <f t="shared" si="2"/>
        <v>44650</v>
      </c>
      <c r="N23" s="180">
        <f t="shared" si="2"/>
        <v>950950</v>
      </c>
      <c r="O23" s="479">
        <f t="shared" si="1"/>
        <v>1</v>
      </c>
      <c r="P23" s="280"/>
      <c r="Q23" s="280"/>
      <c r="R23" s="280"/>
      <c r="S23" s="280"/>
      <c r="T23" s="280"/>
      <c r="U23" s="280"/>
      <c r="V23" s="386"/>
      <c r="W23" s="280"/>
    </row>
    <row r="24" spans="1:23">
      <c r="A24" s="184"/>
      <c r="B24" s="279">
        <f>B23*$D$12/$C$12</f>
        <v>775860</v>
      </c>
      <c r="C24" s="185"/>
      <c r="D24" s="279">
        <f>D23*$D$12/$C$12</f>
        <v>28140</v>
      </c>
      <c r="E24" s="185"/>
      <c r="F24" s="279">
        <f>F23*$D$12/$C$12</f>
        <v>0</v>
      </c>
      <c r="G24" s="185"/>
      <c r="H24" s="279">
        <f>H23*$D$12/$C$12</f>
        <v>0</v>
      </c>
      <c r="I24" s="185"/>
      <c r="J24" s="279">
        <f>J23*$D$12/$C$12</f>
        <v>0</v>
      </c>
      <c r="K24" s="185"/>
      <c r="L24" s="185"/>
      <c r="M24" s="185"/>
      <c r="N24" s="279">
        <f>N23*$D$12/$C$12</f>
        <v>804000</v>
      </c>
      <c r="O24" s="185"/>
      <c r="P24" s="280"/>
      <c r="Q24" s="280"/>
      <c r="R24" s="280"/>
      <c r="S24" s="280"/>
      <c r="T24" s="280"/>
      <c r="U24" s="280"/>
      <c r="V24" s="386"/>
      <c r="W24" s="280"/>
    </row>
    <row r="25" spans="1:23">
      <c r="A25" s="280"/>
      <c r="B25" s="280"/>
      <c r="C25" s="280"/>
      <c r="D25" s="280"/>
      <c r="E25" s="280"/>
      <c r="F25" s="280"/>
      <c r="G25" s="280"/>
      <c r="H25" s="280"/>
      <c r="I25" s="280"/>
      <c r="J25" s="280"/>
      <c r="K25" s="280"/>
      <c r="L25" s="280"/>
      <c r="M25" s="280"/>
      <c r="N25" s="280"/>
      <c r="O25" s="280"/>
      <c r="P25" s="280"/>
      <c r="Q25" s="280" t="s">
        <v>1381</v>
      </c>
      <c r="R25" s="280"/>
      <c r="S25" s="280"/>
      <c r="T25" s="280"/>
      <c r="U25" s="280" t="s">
        <v>1378</v>
      </c>
      <c r="V25" s="386"/>
      <c r="W25" s="280"/>
    </row>
    <row r="26" spans="1:23" ht="15" customHeight="1">
      <c r="A26" s="1595" t="s">
        <v>1382</v>
      </c>
      <c r="B26" s="1594" t="s">
        <v>1365</v>
      </c>
      <c r="C26" s="1566"/>
      <c r="D26" s="1594" t="s">
        <v>1366</v>
      </c>
      <c r="E26" s="1566"/>
      <c r="F26" s="1594" t="s">
        <v>1367</v>
      </c>
      <c r="G26" s="1566"/>
      <c r="H26" s="1594" t="s">
        <v>1368</v>
      </c>
      <c r="I26" s="1566"/>
      <c r="J26" s="1594" t="s">
        <v>1374</v>
      </c>
      <c r="K26" s="1566"/>
      <c r="L26" s="181" t="s">
        <v>1375</v>
      </c>
      <c r="M26" s="181" t="s">
        <v>1376</v>
      </c>
      <c r="N26" s="181" t="s">
        <v>91</v>
      </c>
      <c r="O26" s="181" t="s">
        <v>91</v>
      </c>
      <c r="P26" s="280"/>
      <c r="Q26" s="280" t="s">
        <v>1379</v>
      </c>
      <c r="R26" s="280">
        <v>804000</v>
      </c>
      <c r="S26" s="280" t="s">
        <v>1364</v>
      </c>
      <c r="T26" s="280"/>
      <c r="U26" s="280" t="s">
        <v>1365</v>
      </c>
      <c r="V26" s="386">
        <v>0.96499999999999997</v>
      </c>
      <c r="W26" s="280"/>
    </row>
    <row r="27" spans="1:23">
      <c r="A27" s="1569"/>
      <c r="B27" s="181" t="s">
        <v>1364</v>
      </c>
      <c r="C27" s="181" t="s">
        <v>1318</v>
      </c>
      <c r="D27" s="181" t="s">
        <v>1364</v>
      </c>
      <c r="E27" s="181" t="s">
        <v>1318</v>
      </c>
      <c r="F27" s="181" t="s">
        <v>1364</v>
      </c>
      <c r="G27" s="181" t="s">
        <v>1318</v>
      </c>
      <c r="H27" s="181" t="s">
        <v>1364</v>
      </c>
      <c r="I27" s="181" t="s">
        <v>1318</v>
      </c>
      <c r="J27" s="181" t="s">
        <v>1364</v>
      </c>
      <c r="K27" s="181" t="s">
        <v>1318</v>
      </c>
      <c r="L27" s="181" t="s">
        <v>1364</v>
      </c>
      <c r="M27" s="181" t="s">
        <v>1364</v>
      </c>
      <c r="N27" s="181" t="s">
        <v>1364</v>
      </c>
      <c r="O27" s="181" t="s">
        <v>1318</v>
      </c>
      <c r="P27" s="280"/>
      <c r="Q27" s="280" t="s">
        <v>1365</v>
      </c>
      <c r="R27" s="280">
        <f>$R$26*V26</f>
        <v>775860</v>
      </c>
      <c r="S27" s="280" t="s">
        <v>1364</v>
      </c>
      <c r="T27" s="280"/>
      <c r="U27" s="280" t="s">
        <v>373</v>
      </c>
      <c r="V27" s="386">
        <v>3.5000000000000003E-2</v>
      </c>
      <c r="W27" s="280"/>
    </row>
    <row r="28" spans="1:23">
      <c r="A28" s="257" t="s">
        <v>1365</v>
      </c>
      <c r="B28" s="385">
        <f>$E$7*($D$12/$E$12)</f>
        <v>725855.71142284572</v>
      </c>
      <c r="C28" s="480">
        <f>B28/B$33</f>
        <v>1</v>
      </c>
      <c r="D28" s="385">
        <f>($E$8*$D$12/$E$12-D$29)*$M28/SUM(($M$28:$M$32))</f>
        <v>40874.02805611222</v>
      </c>
      <c r="E28" s="480">
        <f>D28/D$33</f>
        <v>0.59225680933852143</v>
      </c>
      <c r="F28" s="385">
        <f>($E$9*$D$12/$E$12-F$30)*$M28/SUM($M$28:$M$32)</f>
        <v>6176.3527054108208</v>
      </c>
      <c r="G28" s="480">
        <f>F28/F$33</f>
        <v>1</v>
      </c>
      <c r="H28" s="385">
        <f>($E$10*$D$12/$E$12-H$31)*$M28/SUM($M$28:$M$32)</f>
        <v>2953.9078156312626</v>
      </c>
      <c r="I28" s="480">
        <f>H28/H$33</f>
        <v>1</v>
      </c>
      <c r="J28" s="385">
        <f>($E$11*$D$12/$E$12-J$32)*$M28/SUM($M$28:$M$32)</f>
        <v>0</v>
      </c>
      <c r="K28" s="480">
        <v>0</v>
      </c>
      <c r="L28" s="385">
        <f>B28</f>
        <v>725855.71142284572</v>
      </c>
      <c r="M28" s="385">
        <f>D7-L28</f>
        <v>50004.288577154279</v>
      </c>
      <c r="N28" s="385">
        <f>SUM(B28,D28,F28,H28,J28)</f>
        <v>775860</v>
      </c>
      <c r="O28" s="483">
        <f t="shared" ref="O28:O33" si="3">N28/N$33</f>
        <v>0.96499999999999997</v>
      </c>
      <c r="P28" s="280"/>
      <c r="Q28" s="280" t="s">
        <v>373</v>
      </c>
      <c r="R28" s="280">
        <f>$R$26*V27</f>
        <v>28140.000000000004</v>
      </c>
      <c r="S28" s="280" t="s">
        <v>1364</v>
      </c>
      <c r="T28" s="280"/>
      <c r="U28" s="280" t="s">
        <v>1368</v>
      </c>
      <c r="V28" s="386">
        <v>0</v>
      </c>
      <c r="W28" s="280"/>
    </row>
    <row r="29" spans="1:23">
      <c r="A29" s="257" t="s">
        <v>1366</v>
      </c>
      <c r="B29" s="385">
        <f>($E$7*$D$12/$E$12-B$28)*$M29/SUM($M$28:$M$32)</f>
        <v>0</v>
      </c>
      <c r="C29" s="480">
        <f>B29/B$33</f>
        <v>0</v>
      </c>
      <c r="D29" s="385">
        <f>D8</f>
        <v>28140</v>
      </c>
      <c r="E29" s="480">
        <f>D29/D$33</f>
        <v>0.40774319066147863</v>
      </c>
      <c r="F29" s="385">
        <f>($E$9*$D$12/$E$12-F$30)*$M29/SUM($M$28:$M$32)</f>
        <v>0</v>
      </c>
      <c r="G29" s="480">
        <f>F29/F$33</f>
        <v>0</v>
      </c>
      <c r="H29" s="385">
        <f>($E$10*$D$12/$E$12-H$31)*$M29/SUM($M$28:$M$32)</f>
        <v>0</v>
      </c>
      <c r="I29" s="480">
        <f>H29/H$33</f>
        <v>0</v>
      </c>
      <c r="J29" s="385">
        <f>($E$11*$D$12/$E$12-J$32)*$M29/SUM($M$28:$M$32)</f>
        <v>0</v>
      </c>
      <c r="K29" s="480">
        <v>0</v>
      </c>
      <c r="L29" s="385">
        <f>D29</f>
        <v>28140</v>
      </c>
      <c r="M29" s="385">
        <f>D8-L29</f>
        <v>0</v>
      </c>
      <c r="N29" s="385">
        <f>SUM(B29,D29,F29,H29,J29)</f>
        <v>28140</v>
      </c>
      <c r="O29" s="483">
        <f t="shared" si="3"/>
        <v>3.5000000000000003E-2</v>
      </c>
      <c r="P29" s="280"/>
      <c r="Q29" s="280" t="s">
        <v>1368</v>
      </c>
      <c r="R29" s="280">
        <f>$R$26*V28</f>
        <v>0</v>
      </c>
      <c r="S29" s="280" t="s">
        <v>1364</v>
      </c>
      <c r="T29" s="280"/>
      <c r="U29" s="280" t="s">
        <v>1367</v>
      </c>
      <c r="V29" s="386">
        <v>0</v>
      </c>
      <c r="W29" s="280"/>
    </row>
    <row r="30" spans="1:23">
      <c r="A30" s="257" t="s">
        <v>1367</v>
      </c>
      <c r="B30" s="385">
        <f>($E$7*$D$12/$E$12-B$28)*$M30/SUM($M$28:$M$32)</f>
        <v>0</v>
      </c>
      <c r="C30" s="480">
        <f>B30/B$33</f>
        <v>0</v>
      </c>
      <c r="D30" s="385">
        <f>($E$8*$D$12/$E$12-D$29)*$M30/SUM($M$28:$M$32)</f>
        <v>0</v>
      </c>
      <c r="E30" s="480">
        <f>D30/D$33</f>
        <v>0</v>
      </c>
      <c r="F30" s="385">
        <v>0</v>
      </c>
      <c r="G30" s="480">
        <f>F30/F$33</f>
        <v>0</v>
      </c>
      <c r="H30" s="385">
        <f>($E$10*$D$12/$E$12-H$31)*$M30/SUM($M$28:$M$32)</f>
        <v>0</v>
      </c>
      <c r="I30" s="480">
        <f>H30/H$33</f>
        <v>0</v>
      </c>
      <c r="J30" s="385">
        <f>($E$11*$D$12/$E$12-J$32)*$M30/SUM($M$28:$M$32)</f>
        <v>0</v>
      </c>
      <c r="K30" s="480">
        <v>0</v>
      </c>
      <c r="L30" s="385">
        <f>F30</f>
        <v>0</v>
      </c>
      <c r="M30" s="385">
        <f>D9-L30</f>
        <v>0</v>
      </c>
      <c r="N30" s="385">
        <f>SUM(B30,D30,F30,H30,J30)</f>
        <v>0</v>
      </c>
      <c r="O30" s="483">
        <f t="shared" si="3"/>
        <v>0</v>
      </c>
      <c r="P30" s="280"/>
      <c r="Q30" s="280" t="s">
        <v>1367</v>
      </c>
      <c r="R30" s="280">
        <f>$R$26*V29</f>
        <v>0</v>
      </c>
      <c r="S30" s="280" t="s">
        <v>1364</v>
      </c>
      <c r="T30" s="280"/>
      <c r="U30" s="280"/>
      <c r="V30" s="386"/>
      <c r="W30" s="280"/>
    </row>
    <row r="31" spans="1:23">
      <c r="A31" s="257" t="s">
        <v>1368</v>
      </c>
      <c r="B31" s="385">
        <f>($E$7*$D$12/$E$12-B$28)*$M31/SUM($M$28:$M$32)</f>
        <v>0</v>
      </c>
      <c r="C31" s="480">
        <f>B31/B$33</f>
        <v>0</v>
      </c>
      <c r="D31" s="385">
        <f>($E$8*$D$12/$E$12-D$29)*$M31/SUM($M$28:$M$32)</f>
        <v>0</v>
      </c>
      <c r="E31" s="480">
        <f>D31/D$33</f>
        <v>0</v>
      </c>
      <c r="F31" s="385">
        <f>($E$9*$D$12/$E$12-F$30)*$M31/SUM($M$28:$M$32)</f>
        <v>0</v>
      </c>
      <c r="G31" s="480">
        <f>F31/F$33</f>
        <v>0</v>
      </c>
      <c r="H31" s="385">
        <v>0</v>
      </c>
      <c r="I31" s="480">
        <f>H31/H$33</f>
        <v>0</v>
      </c>
      <c r="J31" s="385">
        <f>($E$11*$D$12/$E$12-J$32)*$M31/SUM($M$28:$M$32)</f>
        <v>0</v>
      </c>
      <c r="K31" s="480">
        <v>0</v>
      </c>
      <c r="L31" s="385">
        <f>H31</f>
        <v>0</v>
      </c>
      <c r="M31" s="385">
        <f>D10-L31</f>
        <v>0</v>
      </c>
      <c r="N31" s="385">
        <f>SUM(B31,D31,F31,H31,J31)</f>
        <v>0</v>
      </c>
      <c r="O31" s="483">
        <f t="shared" si="3"/>
        <v>0</v>
      </c>
      <c r="P31" s="280"/>
      <c r="Q31" s="280"/>
      <c r="R31" s="280"/>
      <c r="S31" s="280"/>
      <c r="T31" s="280"/>
      <c r="U31" s="280"/>
      <c r="V31" s="386"/>
      <c r="W31" s="280"/>
    </row>
    <row r="32" spans="1:23">
      <c r="A32" s="257" t="s">
        <v>1374</v>
      </c>
      <c r="B32" s="385">
        <f>($E$7*$D$12/$E$12-B$28)*$M32/SUM($M$28:$M$32)</f>
        <v>0</v>
      </c>
      <c r="C32" s="480">
        <f>B32/B$33</f>
        <v>0</v>
      </c>
      <c r="D32" s="385">
        <f>($E$8*$D$12/$E$12-D$29)*$M32/SUM($M$28:$M$32)</f>
        <v>0</v>
      </c>
      <c r="E32" s="480">
        <f>D32/D$33</f>
        <v>0</v>
      </c>
      <c r="F32" s="385">
        <f>($E$9*$D$12/$E$12-F$30)*$M32/SUM($M$28:$M$32)</f>
        <v>0</v>
      </c>
      <c r="G32" s="480">
        <f>F32/F$33</f>
        <v>0</v>
      </c>
      <c r="H32" s="385">
        <f>($E$10*$D$12/$E$12-H$31)*$M32/SUM($M$28:$M$32)</f>
        <v>0</v>
      </c>
      <c r="I32" s="480">
        <f>H32/H$33</f>
        <v>0</v>
      </c>
      <c r="J32" s="385">
        <f>D11</f>
        <v>0</v>
      </c>
      <c r="K32" s="480">
        <v>1</v>
      </c>
      <c r="L32" s="385">
        <f>J32</f>
        <v>0</v>
      </c>
      <c r="M32" s="385">
        <f>D11-L32</f>
        <v>0</v>
      </c>
      <c r="N32" s="385">
        <f>SUM(B32,D32,F32,H32,J32)</f>
        <v>0</v>
      </c>
      <c r="O32" s="483">
        <f t="shared" si="3"/>
        <v>0</v>
      </c>
      <c r="P32" s="280"/>
      <c r="Q32" s="280"/>
      <c r="R32" s="280"/>
      <c r="S32" s="280"/>
      <c r="T32" s="280"/>
      <c r="U32" s="280"/>
      <c r="V32" s="386"/>
      <c r="W32" s="280"/>
    </row>
    <row r="33" spans="1:22">
      <c r="A33" s="181" t="s">
        <v>1380</v>
      </c>
      <c r="B33" s="374">
        <f>SUM(B28:B32)</f>
        <v>725855.71142284572</v>
      </c>
      <c r="C33" s="482">
        <f t="shared" ref="C33:N33" si="4">SUM((C28:C32))</f>
        <v>1</v>
      </c>
      <c r="D33" s="180">
        <f t="shared" si="4"/>
        <v>69014.02805611222</v>
      </c>
      <c r="E33" s="482">
        <f t="shared" si="4"/>
        <v>1</v>
      </c>
      <c r="F33" s="180">
        <f t="shared" si="4"/>
        <v>6176.3527054108208</v>
      </c>
      <c r="G33" s="482">
        <f t="shared" si="4"/>
        <v>1</v>
      </c>
      <c r="H33" s="180">
        <f t="shared" si="4"/>
        <v>2953.9078156312626</v>
      </c>
      <c r="I33" s="482">
        <f t="shared" si="4"/>
        <v>1</v>
      </c>
      <c r="J33" s="180">
        <f t="shared" si="4"/>
        <v>0</v>
      </c>
      <c r="K33" s="482">
        <f t="shared" si="4"/>
        <v>1</v>
      </c>
      <c r="L33" s="180">
        <f t="shared" si="4"/>
        <v>753995.71142284572</v>
      </c>
      <c r="M33" s="180">
        <f t="shared" si="4"/>
        <v>50004.288577154279</v>
      </c>
      <c r="N33" s="180">
        <f t="shared" si="4"/>
        <v>804000</v>
      </c>
      <c r="O33" s="484">
        <f t="shared" si="3"/>
        <v>1</v>
      </c>
      <c r="P33" s="280"/>
      <c r="Q33" s="280" t="s">
        <v>1383</v>
      </c>
      <c r="R33" s="280"/>
      <c r="S33" s="280"/>
      <c r="T33" s="280"/>
      <c r="U33" s="280" t="s">
        <v>1378</v>
      </c>
      <c r="V33" s="386"/>
    </row>
    <row r="34" spans="1:22">
      <c r="A34" s="280"/>
      <c r="B34" s="279">
        <f>B33*$E$12/$D$12</f>
        <v>678453</v>
      </c>
      <c r="C34" s="280"/>
      <c r="D34" s="279">
        <f>D33*$E$12/$D$12</f>
        <v>64507</v>
      </c>
      <c r="E34" s="280"/>
      <c r="F34" s="279">
        <f>F33*$E$12/$D$12</f>
        <v>5772.9999999999991</v>
      </c>
      <c r="G34" s="280"/>
      <c r="H34" s="279">
        <f>H33*$E$12/$D$12</f>
        <v>2761</v>
      </c>
      <c r="I34" s="280"/>
      <c r="J34" s="279">
        <f>J33*$E$12/$D$12</f>
        <v>0</v>
      </c>
      <c r="K34" s="280"/>
      <c r="L34" s="237"/>
      <c r="M34" s="280"/>
      <c r="N34" s="279">
        <f>N33*$E$12/$D$12</f>
        <v>751494</v>
      </c>
      <c r="O34" s="280"/>
      <c r="P34" s="280"/>
      <c r="Q34" s="280" t="s">
        <v>1379</v>
      </c>
      <c r="R34" s="387">
        <f>753000</f>
        <v>753000</v>
      </c>
      <c r="S34" s="280" t="s">
        <v>1364</v>
      </c>
      <c r="T34" s="280"/>
      <c r="U34" s="280" t="s">
        <v>1365</v>
      </c>
      <c r="V34" s="386">
        <v>0.90100000000000002</v>
      </c>
    </row>
    <row r="35" spans="1:22">
      <c r="A35" s="280"/>
      <c r="B35" s="280"/>
      <c r="C35" s="280"/>
      <c r="D35" s="280"/>
      <c r="E35" s="280"/>
      <c r="F35" s="280"/>
      <c r="G35" s="280"/>
      <c r="H35" s="280"/>
      <c r="I35" s="280"/>
      <c r="J35" s="280"/>
      <c r="K35" s="280"/>
      <c r="L35" s="280"/>
      <c r="M35" s="280"/>
      <c r="N35" s="280"/>
      <c r="O35" s="280"/>
      <c r="P35" s="280"/>
      <c r="Q35" s="280" t="s">
        <v>1365</v>
      </c>
      <c r="R35" s="387">
        <f>$R$34*V34</f>
        <v>678453</v>
      </c>
      <c r="S35" s="280" t="s">
        <v>1364</v>
      </c>
      <c r="T35" s="280"/>
      <c r="U35" s="280" t="s">
        <v>373</v>
      </c>
      <c r="V35" s="386">
        <f>(2.5+2.1+0.6+2+0.5+0.7+0.5/3)/100</f>
        <v>8.5666666666666641E-2</v>
      </c>
    </row>
    <row r="36" spans="1:22" ht="15" customHeight="1">
      <c r="A36" s="1595" t="s">
        <v>1384</v>
      </c>
      <c r="B36" s="1594" t="s">
        <v>1365</v>
      </c>
      <c r="C36" s="1566"/>
      <c r="D36" s="1594" t="s">
        <v>1366</v>
      </c>
      <c r="E36" s="1566"/>
      <c r="F36" s="1594" t="s">
        <v>1367</v>
      </c>
      <c r="G36" s="1566"/>
      <c r="H36" s="1594" t="s">
        <v>1368</v>
      </c>
      <c r="I36" s="1566"/>
      <c r="J36" s="1594" t="s">
        <v>1374</v>
      </c>
      <c r="K36" s="1566"/>
      <c r="L36" s="181" t="s">
        <v>1375</v>
      </c>
      <c r="M36" s="181" t="s">
        <v>1376</v>
      </c>
      <c r="N36" s="181" t="s">
        <v>91</v>
      </c>
      <c r="O36" s="181" t="s">
        <v>91</v>
      </c>
      <c r="P36" s="280"/>
      <c r="Q36" s="280" t="s">
        <v>373</v>
      </c>
      <c r="R36" s="387">
        <f>$R$34*V35</f>
        <v>64506.999999999978</v>
      </c>
      <c r="S36" s="280" t="s">
        <v>1364</v>
      </c>
      <c r="T36" s="280"/>
      <c r="U36" s="280" t="s">
        <v>1368</v>
      </c>
      <c r="V36" s="386">
        <f>(0.2+0.5/3)%</f>
        <v>3.666666666666667E-3</v>
      </c>
    </row>
    <row r="37" spans="1:22">
      <c r="A37" s="1569"/>
      <c r="B37" s="181" t="s">
        <v>1364</v>
      </c>
      <c r="C37" s="181" t="s">
        <v>1318</v>
      </c>
      <c r="D37" s="181" t="s">
        <v>1364</v>
      </c>
      <c r="E37" s="181" t="s">
        <v>1318</v>
      </c>
      <c r="F37" s="181" t="s">
        <v>1364</v>
      </c>
      <c r="G37" s="181" t="s">
        <v>1318</v>
      </c>
      <c r="H37" s="181" t="s">
        <v>1364</v>
      </c>
      <c r="I37" s="181" t="s">
        <v>1318</v>
      </c>
      <c r="J37" s="181" t="s">
        <v>1364</v>
      </c>
      <c r="K37" s="181" t="s">
        <v>1318</v>
      </c>
      <c r="L37" s="181" t="s">
        <v>1364</v>
      </c>
      <c r="M37" s="181" t="s">
        <v>1364</v>
      </c>
      <c r="N37" s="181" t="s">
        <v>1364</v>
      </c>
      <c r="O37" s="181" t="s">
        <v>1318</v>
      </c>
      <c r="P37" s="280"/>
      <c r="Q37" s="280" t="s">
        <v>1368</v>
      </c>
      <c r="R37" s="387">
        <f>$R$34*V36</f>
        <v>2761.0000000000005</v>
      </c>
      <c r="S37" s="280" t="s">
        <v>1364</v>
      </c>
      <c r="T37" s="280"/>
      <c r="U37" s="280" t="s">
        <v>1367</v>
      </c>
      <c r="V37" s="386">
        <f>(0.6+0.5/3)%</f>
        <v>7.6666666666666662E-3</v>
      </c>
    </row>
    <row r="38" spans="1:22">
      <c r="A38" s="257" t="s">
        <v>1365</v>
      </c>
      <c r="B38" s="385">
        <f>$F$7*($E$12/$F$12)</f>
        <v>647367.23876543215</v>
      </c>
      <c r="C38" s="480">
        <f>B38/B$43</f>
        <v>1</v>
      </c>
      <c r="D38" s="385">
        <f>($F$8*$E$12/$F$12-D$39)*$M38/SUM(($M$38:$M$42))</f>
        <v>8087.9389135802485</v>
      </c>
      <c r="E38" s="480">
        <f>D38/D$43</f>
        <v>0.11141188400486755</v>
      </c>
      <c r="F38" s="385">
        <f>($F$9*$E$12/$F$12-F$40)*$M38/SUM(($M$38:$M$42))</f>
        <v>19672.648691358023</v>
      </c>
      <c r="G38" s="480">
        <f>F38/F$43</f>
        <v>0.77312427480142587</v>
      </c>
      <c r="H38" s="385">
        <f>($F$10*$E$12/$F$12-H$41)*$M38/SUM(($M$38:$M$42))</f>
        <v>232.60572839506176</v>
      </c>
      <c r="I38" s="480">
        <f>H38/H$43</f>
        <v>7.7700856257970491E-2</v>
      </c>
      <c r="J38" s="385">
        <f>($F$11*$E$12/$F$12-J$42)*$M38/SUM(($M$38:$M$42))</f>
        <v>3092.5679012345681</v>
      </c>
      <c r="K38" s="480">
        <f>J38/J$43</f>
        <v>1</v>
      </c>
      <c r="L38" s="385">
        <f>B38</f>
        <v>647367.23876543215</v>
      </c>
      <c r="M38" s="385">
        <f>E7-L38</f>
        <v>31085.76123456785</v>
      </c>
      <c r="N38" s="385">
        <f>SUM(B38,D38,F38,H38,J38)</f>
        <v>678453.00000000012</v>
      </c>
      <c r="O38" s="483">
        <f t="shared" ref="O38:O43" si="5">N38/N$43</f>
        <v>0.90280561122244496</v>
      </c>
      <c r="P38" s="280"/>
      <c r="Q38" s="280" t="s">
        <v>1367</v>
      </c>
      <c r="R38" s="387">
        <f>$R$34*V37</f>
        <v>5773</v>
      </c>
      <c r="S38" s="280" t="s">
        <v>1364</v>
      </c>
      <c r="T38" s="280"/>
      <c r="U38" s="280"/>
      <c r="V38" s="386"/>
    </row>
    <row r="39" spans="1:22">
      <c r="A39" s="257" t="s">
        <v>1366</v>
      </c>
      <c r="B39" s="385">
        <f>($F$7*$E$12/$F$12-B$38)*$M39/SUM($M$38:$M$42)</f>
        <v>0</v>
      </c>
      <c r="C39" s="480">
        <f>B39/B$43</f>
        <v>0</v>
      </c>
      <c r="D39" s="385">
        <f>E8</f>
        <v>64507</v>
      </c>
      <c r="E39" s="480">
        <f>D39/D$43</f>
        <v>0.88858811599513243</v>
      </c>
      <c r="F39" s="385">
        <f>($F$9*$E$12/$F$12-F$40)*$M39/SUM(($M$38:$M$42))</f>
        <v>0</v>
      </c>
      <c r="G39" s="480">
        <f>F39/F$43</f>
        <v>0</v>
      </c>
      <c r="H39" s="385">
        <f>($F$10*$E$12/$F$12-H$41)*$M39/SUM(($M$38:$M$42))</f>
        <v>0</v>
      </c>
      <c r="I39" s="480">
        <f>H39/H$43</f>
        <v>0</v>
      </c>
      <c r="J39" s="385">
        <f>($F$11*$E$12/$F$12-J$42)*$M39/SUM(($M$38:$M$42))</f>
        <v>0</v>
      </c>
      <c r="K39" s="480">
        <f>J39/J$43</f>
        <v>0</v>
      </c>
      <c r="L39" s="385">
        <f>D39</f>
        <v>64507</v>
      </c>
      <c r="M39" s="385">
        <f>E8-L39</f>
        <v>0</v>
      </c>
      <c r="N39" s="385">
        <f>SUM(B39,D39,F39,H39,J39)</f>
        <v>64507</v>
      </c>
      <c r="O39" s="483">
        <f t="shared" si="5"/>
        <v>8.5838343353373397E-2</v>
      </c>
      <c r="P39" s="280"/>
      <c r="Q39" s="280"/>
      <c r="R39" s="387"/>
      <c r="S39" s="280"/>
      <c r="T39" s="280"/>
      <c r="U39" s="280"/>
      <c r="V39" s="386"/>
    </row>
    <row r="40" spans="1:22">
      <c r="A40" s="257" t="s">
        <v>1367</v>
      </c>
      <c r="B40" s="385">
        <f>($F$7*$E$12/$F$12-B$38)*$M40/SUM($M$38:$M$42)</f>
        <v>0</v>
      </c>
      <c r="C40" s="480">
        <f>B40/B$43</f>
        <v>0</v>
      </c>
      <c r="D40" s="385">
        <f>($F$8*$E$12/$F$12-D$39)*$M40/SUM(($M$38:$M$42))</f>
        <v>0</v>
      </c>
      <c r="E40" s="480">
        <f>D40/D$43</f>
        <v>0</v>
      </c>
      <c r="F40" s="385">
        <f>E9</f>
        <v>5773</v>
      </c>
      <c r="G40" s="480">
        <f>F40/F$43</f>
        <v>0.22687572519857413</v>
      </c>
      <c r="H40" s="385">
        <f>($F$10*$E$12/$F$12-H$41)*$M40/SUM(($M$38:$M$42))</f>
        <v>0</v>
      </c>
      <c r="I40" s="480">
        <f>H40/H$43</f>
        <v>0</v>
      </c>
      <c r="J40" s="385">
        <f>($F$11*$E$12/$F$12-J$42)*$M40/SUM(($M$38:$M$42))</f>
        <v>0</v>
      </c>
      <c r="K40" s="480">
        <f>J40/J$43</f>
        <v>0</v>
      </c>
      <c r="L40" s="385">
        <f>F40</f>
        <v>5773</v>
      </c>
      <c r="M40" s="385">
        <v>0</v>
      </c>
      <c r="N40" s="385">
        <f>SUM(B40,D40,F40,H40,J40)</f>
        <v>5773</v>
      </c>
      <c r="O40" s="483">
        <f t="shared" si="5"/>
        <v>7.6820307281229112E-3</v>
      </c>
      <c r="P40" s="280"/>
      <c r="Q40" s="280"/>
      <c r="R40" s="387"/>
      <c r="S40" s="280"/>
      <c r="T40" s="280"/>
      <c r="U40" s="280"/>
      <c r="V40" s="386"/>
    </row>
    <row r="41" spans="1:22">
      <c r="A41" s="257" t="s">
        <v>1368</v>
      </c>
      <c r="B41" s="385">
        <f>($F$7*$E$12/$F$12-B$38)*$M41/SUM($M$38:$M$42)</f>
        <v>0</v>
      </c>
      <c r="C41" s="480">
        <f>B41/B$43</f>
        <v>0</v>
      </c>
      <c r="D41" s="385">
        <f>($F$8*$E$12/$F$12-D$39)*$M41/SUM(($M$38:$M$42))</f>
        <v>0</v>
      </c>
      <c r="E41" s="480">
        <f>D41/D$43</f>
        <v>0</v>
      </c>
      <c r="F41" s="385">
        <f>($F$9*$E$12/$F$12-F$40)*$M41/SUM(($M$38:$M$42))</f>
        <v>0</v>
      </c>
      <c r="G41" s="480">
        <f>F41/F$43</f>
        <v>0</v>
      </c>
      <c r="H41" s="385">
        <f>E10</f>
        <v>2761</v>
      </c>
      <c r="I41" s="480">
        <f>H41/H$43</f>
        <v>0.92229914374202948</v>
      </c>
      <c r="J41" s="385">
        <f>($F$11*$E$12/$F$12-J$42)*$M41/SUM(($M$38:$M$42))</f>
        <v>0</v>
      </c>
      <c r="K41" s="480">
        <f>J41/J$43</f>
        <v>0</v>
      </c>
      <c r="L41" s="385">
        <f>H41</f>
        <v>2761</v>
      </c>
      <c r="M41" s="385">
        <f>E10-L41</f>
        <v>0</v>
      </c>
      <c r="N41" s="385">
        <f>SUM(B41,D41,F41,H41,J41)</f>
        <v>2761</v>
      </c>
      <c r="O41" s="483">
        <f t="shared" si="5"/>
        <v>3.6740146960587837E-3</v>
      </c>
      <c r="P41" s="280"/>
      <c r="Q41" s="280" t="s">
        <v>1385</v>
      </c>
      <c r="R41" s="387"/>
      <c r="S41" s="280"/>
      <c r="T41" s="280"/>
      <c r="U41" s="280" t="s">
        <v>1378</v>
      </c>
      <c r="V41" s="386"/>
    </row>
    <row r="42" spans="1:22">
      <c r="A42" s="257" t="s">
        <v>1374</v>
      </c>
      <c r="B42" s="385">
        <f>($F$7*$E$12/$F$12-B$38)*$M42/SUM($M$38:$M$42)</f>
        <v>0</v>
      </c>
      <c r="C42" s="480">
        <f>B42/B$43</f>
        <v>0</v>
      </c>
      <c r="D42" s="385">
        <f>($F$8*$E$12/$F$12-D$39)*$M42/SUM(($M$38:$M$42))</f>
        <v>0</v>
      </c>
      <c r="E42" s="480">
        <f>D42/D$43</f>
        <v>0</v>
      </c>
      <c r="F42" s="385">
        <f>($F$9*$E$12/$F$12-F$40)*$M42/SUM(($M$38:$M$42))</f>
        <v>0</v>
      </c>
      <c r="G42" s="480">
        <f>F42/F$43</f>
        <v>0</v>
      </c>
      <c r="H42" s="385">
        <f>($F$10*$E$12/$F$12-H$41)*$M42/SUM(($M$38:$M$42))</f>
        <v>0</v>
      </c>
      <c r="I42" s="480">
        <f>H42/H$43</f>
        <v>0</v>
      </c>
      <c r="J42" s="385">
        <f>E11</f>
        <v>0</v>
      </c>
      <c r="K42" s="480">
        <f>J42/J$43</f>
        <v>0</v>
      </c>
      <c r="L42" s="385">
        <f>J42</f>
        <v>0</v>
      </c>
      <c r="M42" s="385">
        <f>E11-L42</f>
        <v>0</v>
      </c>
      <c r="N42" s="385">
        <f>SUM(B42,D42,F42,H42,J42)</f>
        <v>0</v>
      </c>
      <c r="O42" s="483">
        <f t="shared" si="5"/>
        <v>0</v>
      </c>
      <c r="P42" s="280"/>
      <c r="Q42" s="280" t="s">
        <v>1379</v>
      </c>
      <c r="R42" s="387">
        <f>726000</f>
        <v>726000</v>
      </c>
      <c r="S42" s="280" t="s">
        <v>1364</v>
      </c>
      <c r="T42" s="280"/>
      <c r="U42" s="280" t="s">
        <v>1365</v>
      </c>
      <c r="V42" s="386">
        <v>0.86499999999999999</v>
      </c>
    </row>
    <row r="43" spans="1:22">
      <c r="A43" s="181" t="s">
        <v>1386</v>
      </c>
      <c r="B43" s="180">
        <f t="shared" ref="B43:N43" si="6">SUM((B38:B42))</f>
        <v>647367.23876543215</v>
      </c>
      <c r="C43" s="482">
        <f t="shared" si="6"/>
        <v>1</v>
      </c>
      <c r="D43" s="180">
        <f t="shared" si="6"/>
        <v>72594.938913580248</v>
      </c>
      <c r="E43" s="482">
        <f t="shared" si="6"/>
        <v>1</v>
      </c>
      <c r="F43" s="180">
        <f t="shared" si="6"/>
        <v>25445.648691358023</v>
      </c>
      <c r="G43" s="482">
        <f t="shared" si="6"/>
        <v>1</v>
      </c>
      <c r="H43" s="180">
        <f t="shared" si="6"/>
        <v>2993.6057283950618</v>
      </c>
      <c r="I43" s="482">
        <f t="shared" si="6"/>
        <v>1</v>
      </c>
      <c r="J43" s="180">
        <f t="shared" si="6"/>
        <v>3092.5679012345681</v>
      </c>
      <c r="K43" s="482">
        <f t="shared" si="6"/>
        <v>1</v>
      </c>
      <c r="L43" s="180">
        <f t="shared" si="6"/>
        <v>720408.23876543215</v>
      </c>
      <c r="M43" s="180">
        <f t="shared" si="6"/>
        <v>31085.76123456785</v>
      </c>
      <c r="N43" s="180">
        <f t="shared" si="6"/>
        <v>751494.00000000012</v>
      </c>
      <c r="O43" s="484">
        <f t="shared" si="5"/>
        <v>1</v>
      </c>
      <c r="P43" s="280"/>
      <c r="Q43" s="280" t="s">
        <v>1365</v>
      </c>
      <c r="R43" s="387">
        <f>$R$42*V42</f>
        <v>627990</v>
      </c>
      <c r="S43" s="280" t="s">
        <v>1364</v>
      </c>
      <c r="T43" s="280"/>
      <c r="U43" s="280" t="s">
        <v>373</v>
      </c>
      <c r="V43" s="386">
        <f>(3.3+2.5+1.5+1+0.7+0.5+0.6/3)/100</f>
        <v>9.6999999999999989E-2</v>
      </c>
    </row>
    <row r="44" spans="1:22">
      <c r="A44" s="280"/>
      <c r="B44" s="279">
        <f>B43*$F$12/$E$12</f>
        <v>627990.00000000012</v>
      </c>
      <c r="C44" s="280"/>
      <c r="D44" s="279">
        <f>D43*$F$12/$E$12</f>
        <v>70422</v>
      </c>
      <c r="E44" s="280"/>
      <c r="F44" s="279">
        <f>F43*$F$12/$E$12</f>
        <v>24684</v>
      </c>
      <c r="G44" s="280"/>
      <c r="H44" s="279">
        <f>H43*$F$12/$E$12</f>
        <v>2904</v>
      </c>
      <c r="I44" s="280"/>
      <c r="J44" s="279">
        <f>J43*$F$12/$E$12</f>
        <v>3000</v>
      </c>
      <c r="K44" s="280"/>
      <c r="L44" s="280"/>
      <c r="M44" s="280"/>
      <c r="N44" s="279">
        <f>N43*$F$12/$E$12</f>
        <v>729000.00000000012</v>
      </c>
      <c r="O44" s="280"/>
      <c r="P44" s="280"/>
      <c r="Q44" s="280" t="s">
        <v>373</v>
      </c>
      <c r="R44" s="387">
        <f>$R$42*V43</f>
        <v>70421.999999999985</v>
      </c>
      <c r="S44" s="280" t="s">
        <v>1364</v>
      </c>
      <c r="T44" s="280"/>
      <c r="U44" s="280" t="s">
        <v>1368</v>
      </c>
      <c r="V44" s="386">
        <f>(0.2+0.6/3)%</f>
        <v>4.0000000000000001E-3</v>
      </c>
    </row>
    <row r="45" spans="1:22">
      <c r="A45" s="280"/>
      <c r="B45" s="280"/>
      <c r="C45" s="280"/>
      <c r="D45" s="280"/>
      <c r="E45" s="280"/>
      <c r="F45" s="280"/>
      <c r="G45" s="280"/>
      <c r="H45" s="280"/>
      <c r="I45" s="280"/>
      <c r="J45" s="280"/>
      <c r="K45" s="280"/>
      <c r="L45" s="280"/>
      <c r="M45" s="280"/>
      <c r="N45" s="280"/>
      <c r="O45" s="280"/>
      <c r="P45" s="280"/>
      <c r="Q45" s="280" t="s">
        <v>1368</v>
      </c>
      <c r="R45" s="387">
        <f>$R$42*V44</f>
        <v>2904</v>
      </c>
      <c r="S45" s="280" t="s">
        <v>1364</v>
      </c>
      <c r="T45" s="280"/>
      <c r="U45" s="280" t="s">
        <v>1367</v>
      </c>
      <c r="V45" s="386">
        <f>(3.2+0.6/3)%</f>
        <v>3.4000000000000002E-2</v>
      </c>
    </row>
    <row r="46" spans="1:22" ht="15" customHeight="1">
      <c r="A46" s="1595" t="s">
        <v>1387</v>
      </c>
      <c r="B46" s="1594" t="s">
        <v>1365</v>
      </c>
      <c r="C46" s="1566"/>
      <c r="D46" s="1594" t="s">
        <v>1366</v>
      </c>
      <c r="E46" s="1566"/>
      <c r="F46" s="1594" t="s">
        <v>1367</v>
      </c>
      <c r="G46" s="1566"/>
      <c r="H46" s="1594" t="s">
        <v>1368</v>
      </c>
      <c r="I46" s="1566"/>
      <c r="J46" s="1594" t="s">
        <v>1374</v>
      </c>
      <c r="K46" s="1566"/>
      <c r="L46" s="181" t="s">
        <v>1375</v>
      </c>
      <c r="M46" s="181" t="s">
        <v>1376</v>
      </c>
      <c r="N46" s="181" t="s">
        <v>91</v>
      </c>
      <c r="O46" s="181" t="s">
        <v>91</v>
      </c>
      <c r="P46" s="280"/>
      <c r="Q46" s="280" t="s">
        <v>1367</v>
      </c>
      <c r="R46" s="387">
        <f>$R$42*V45</f>
        <v>24684</v>
      </c>
      <c r="S46" s="280" t="s">
        <v>1364</v>
      </c>
      <c r="T46" s="280"/>
      <c r="U46" s="280"/>
      <c r="V46" s="386"/>
    </row>
    <row r="47" spans="1:22">
      <c r="A47" s="1569"/>
      <c r="B47" s="181" t="s">
        <v>1364</v>
      </c>
      <c r="C47" s="181" t="s">
        <v>1318</v>
      </c>
      <c r="D47" s="181" t="s">
        <v>1364</v>
      </c>
      <c r="E47" s="181" t="s">
        <v>1318</v>
      </c>
      <c r="F47" s="181" t="s">
        <v>1364</v>
      </c>
      <c r="G47" s="181" t="s">
        <v>1318</v>
      </c>
      <c r="H47" s="181" t="s">
        <v>1364</v>
      </c>
      <c r="I47" s="181" t="s">
        <v>1318</v>
      </c>
      <c r="J47" s="181" t="s">
        <v>1364</v>
      </c>
      <c r="K47" s="181" t="s">
        <v>1318</v>
      </c>
      <c r="L47" s="181" t="s">
        <v>1364</v>
      </c>
      <c r="M47" s="181" t="s">
        <v>1364</v>
      </c>
      <c r="N47" s="181" t="s">
        <v>1364</v>
      </c>
      <c r="O47" s="181" t="s">
        <v>1318</v>
      </c>
      <c r="P47" s="280"/>
      <c r="Q47" s="280"/>
      <c r="R47" s="387"/>
      <c r="S47" s="280"/>
      <c r="T47" s="280"/>
      <c r="U47" s="280"/>
      <c r="V47" s="386"/>
    </row>
    <row r="48" spans="1:22">
      <c r="A48" s="257" t="s">
        <v>1365</v>
      </c>
      <c r="B48" s="385">
        <f>$G7*$F$12/$G$12</f>
        <v>427495.50449550449</v>
      </c>
      <c r="C48" s="480">
        <f>B48/B$53</f>
        <v>1</v>
      </c>
      <c r="D48" s="385">
        <f>($G$8*$F$12/$G$12-D$49)*$M48/SUM($M$48:$M$52)</f>
        <v>9687.8901098901115</v>
      </c>
      <c r="E48" s="480">
        <f>D48/D$53</f>
        <v>0.12093251028806586</v>
      </c>
      <c r="F48" s="385">
        <f>($G$9*$F$12/$G$12-F$50)*$M48/SUM($M$48:$M$52)</f>
        <v>77274.041958041969</v>
      </c>
      <c r="G48" s="480">
        <f>F48/F$53</f>
        <v>0.75790041152263377</v>
      </c>
      <c r="H48" s="385">
        <f>($G$10*$F$12/$G$12-H$51)*$M48/SUM($M$48:$M$52)</f>
        <v>99054.041958041955</v>
      </c>
      <c r="I48" s="480">
        <f>H48/H$53</f>
        <v>0.97151769547325106</v>
      </c>
      <c r="J48" s="385">
        <f>($G$11*$F$12/$G$12-J$52)*$M48/SUM($M$48:$M$52)</f>
        <v>14478.521478521476</v>
      </c>
      <c r="K48" s="480">
        <f>J48/J$53</f>
        <v>0.82836076817558291</v>
      </c>
      <c r="L48" s="385">
        <f>B48</f>
        <v>427495.50449550449</v>
      </c>
      <c r="M48" s="385">
        <f>F7-L48</f>
        <v>200494.49550449551</v>
      </c>
      <c r="N48" s="385">
        <f>SUM(B48,D48,F48,H48,J48)</f>
        <v>627990</v>
      </c>
      <c r="O48" s="483">
        <f t="shared" ref="O48:O53" si="7">N48/N$53</f>
        <v>0.86144032921810698</v>
      </c>
      <c r="P48" s="280"/>
      <c r="Q48" s="280"/>
      <c r="R48" s="387"/>
      <c r="S48" s="280"/>
      <c r="T48" s="280"/>
      <c r="U48" s="280"/>
      <c r="V48" s="386"/>
    </row>
    <row r="49" spans="1:22">
      <c r="A49" s="257" t="s">
        <v>1366</v>
      </c>
      <c r="B49" s="385">
        <f>($G$7*$F$12/$G$12-B$48)*$M49/SUM($M$48:$M$52)</f>
        <v>0</v>
      </c>
      <c r="C49" s="480">
        <f>B49/B$53</f>
        <v>0</v>
      </c>
      <c r="D49" s="385">
        <f>F8</f>
        <v>70422</v>
      </c>
      <c r="E49" s="480">
        <f>D49/D$53</f>
        <v>0.87906748971193416</v>
      </c>
      <c r="F49" s="385">
        <f>($G$9*$F$12/$G$12-F$50)*$M49/SUM($M$48:$M$52)</f>
        <v>0</v>
      </c>
      <c r="G49" s="480">
        <f>F49/F$53</f>
        <v>0</v>
      </c>
      <c r="H49" s="385">
        <f>($G$10*$F$12/$G$12-H$51)*$M49/SUM($M$48:$M$52)</f>
        <v>0</v>
      </c>
      <c r="I49" s="480">
        <f>H49/H$53</f>
        <v>0</v>
      </c>
      <c r="J49" s="385">
        <f>($G$11*$F$12/$G$12-J$52)*$M49/SUM($M$48:$M$52)</f>
        <v>0</v>
      </c>
      <c r="K49" s="480">
        <f>J49/J$53</f>
        <v>0</v>
      </c>
      <c r="L49" s="385">
        <f>D49</f>
        <v>70422</v>
      </c>
      <c r="M49" s="385">
        <f>F8-L49</f>
        <v>0</v>
      </c>
      <c r="N49" s="385">
        <f>SUM(B49,D49,F49,H49,J49)</f>
        <v>70422</v>
      </c>
      <c r="O49" s="483">
        <f t="shared" si="7"/>
        <v>9.6600823045267487E-2</v>
      </c>
      <c r="P49" s="280"/>
      <c r="Q49" s="280" t="s">
        <v>1388</v>
      </c>
      <c r="R49" s="387"/>
      <c r="S49" s="280"/>
      <c r="T49" s="280"/>
      <c r="U49" s="280" t="s">
        <v>1378</v>
      </c>
      <c r="V49" s="386"/>
    </row>
    <row r="50" spans="1:22">
      <c r="A50" s="257" t="s">
        <v>1367</v>
      </c>
      <c r="B50" s="385">
        <f>($G$7*$F$12/$G$12-B$48)*$M50/SUM($M$48:$M$52)</f>
        <v>0</v>
      </c>
      <c r="C50" s="480">
        <f>B50/B$53</f>
        <v>0</v>
      </c>
      <c r="D50" s="385">
        <f>($G$8*$F$12/$G$12-D$49)*$M50/SUM($M$48:$M$52)</f>
        <v>0</v>
      </c>
      <c r="E50" s="480">
        <f>D50/D$53</f>
        <v>0</v>
      </c>
      <c r="F50" s="385">
        <f>F9</f>
        <v>24684</v>
      </c>
      <c r="G50" s="480">
        <f>F50/F$53</f>
        <v>0.24209958847736623</v>
      </c>
      <c r="H50" s="385">
        <f>($G$10*$F$12/$G$12-H$51)*$M50/SUM($M$48:$M$52)</f>
        <v>0</v>
      </c>
      <c r="I50" s="480">
        <f>H50/H$53</f>
        <v>0</v>
      </c>
      <c r="J50" s="385">
        <f>($G$11*$F$12/$G$12-J$52)*$M50/SUM($M$48:$M$52)</f>
        <v>0</v>
      </c>
      <c r="K50" s="480">
        <f>J50/J$53</f>
        <v>0</v>
      </c>
      <c r="L50" s="385">
        <f>F50</f>
        <v>24684</v>
      </c>
      <c r="M50" s="385">
        <f>F9-L50</f>
        <v>0</v>
      </c>
      <c r="N50" s="385">
        <f>SUM(B50,D50,F50,H50,J50)</f>
        <v>24684</v>
      </c>
      <c r="O50" s="483">
        <f t="shared" si="7"/>
        <v>3.3860082304526751E-2</v>
      </c>
      <c r="P50" s="280"/>
      <c r="Q50" s="280" t="s">
        <v>1379</v>
      </c>
      <c r="R50" s="387">
        <f>597000</f>
        <v>597000</v>
      </c>
      <c r="S50" s="280" t="s">
        <v>1364</v>
      </c>
      <c r="T50" s="280"/>
      <c r="U50" s="280" t="s">
        <v>1365</v>
      </c>
      <c r="V50" s="386">
        <v>0.58699999999999997</v>
      </c>
    </row>
    <row r="51" spans="1:22">
      <c r="A51" s="257" t="s">
        <v>1368</v>
      </c>
      <c r="B51" s="385">
        <f>($G$7*$F$12/$G$12-B$48)*$M51/SUM($M$48:$M$52)</f>
        <v>0</v>
      </c>
      <c r="C51" s="480">
        <f>B51/B$53</f>
        <v>0</v>
      </c>
      <c r="D51" s="385">
        <f>($G$8*$F$12/$G$12-D$49)*$M51/SUM($M$48:$M$52)</f>
        <v>0</v>
      </c>
      <c r="E51" s="480">
        <f>D51/D$53</f>
        <v>0</v>
      </c>
      <c r="F51" s="385">
        <f>($G$9*$F$12/$G$12-F$50)*$M51/SUM($M$48:$M$52)</f>
        <v>0</v>
      </c>
      <c r="G51" s="480">
        <f>F51/F$53</f>
        <v>0</v>
      </c>
      <c r="H51" s="385">
        <f>F10</f>
        <v>2904</v>
      </c>
      <c r="I51" s="480">
        <f>H51/H$53</f>
        <v>2.8482304526748971E-2</v>
      </c>
      <c r="J51" s="385">
        <f>($G$11*$F$12/$G$12-J$52)*$M51/SUM($M$48:$M$52)</f>
        <v>0</v>
      </c>
      <c r="K51" s="480">
        <f>J51/J$53</f>
        <v>0</v>
      </c>
      <c r="L51" s="385">
        <f>H51</f>
        <v>2904</v>
      </c>
      <c r="M51" s="385">
        <f>F10-L51</f>
        <v>0</v>
      </c>
      <c r="N51" s="385">
        <f>SUM(B51,D51,F51,H51,J51)</f>
        <v>2904</v>
      </c>
      <c r="O51" s="483">
        <f t="shared" si="7"/>
        <v>3.9835390946502056E-3</v>
      </c>
      <c r="P51" s="280"/>
      <c r="Q51" s="280" t="s">
        <v>1365</v>
      </c>
      <c r="R51" s="387">
        <f>$R$50*V50</f>
        <v>350439</v>
      </c>
      <c r="S51" s="280" t="s">
        <v>1364</v>
      </c>
      <c r="T51" s="280"/>
      <c r="U51" s="280" t="s">
        <v>373</v>
      </c>
      <c r="V51" s="386">
        <v>0.11</v>
      </c>
    </row>
    <row r="52" spans="1:22">
      <c r="A52" s="257" t="s">
        <v>1374</v>
      </c>
      <c r="B52" s="385">
        <f>($G$7*$F$12/$G$12-B$48)*$M52/SUM($M$48:$M$52)</f>
        <v>0</v>
      </c>
      <c r="C52" s="480">
        <f>B52/B$53</f>
        <v>0</v>
      </c>
      <c r="D52" s="385">
        <f>($G$8*$F$12/$G$12-D$49)*$M52/SUM($M$48:$M$52)</f>
        <v>0</v>
      </c>
      <c r="E52" s="480">
        <f>D52/D$53</f>
        <v>0</v>
      </c>
      <c r="F52" s="385">
        <f>($G$9*$F$12/$G$12-F$50)*$M52/SUM($M$48:$M$52)</f>
        <v>0</v>
      </c>
      <c r="G52" s="480">
        <f>F52/F$53</f>
        <v>0</v>
      </c>
      <c r="H52" s="385">
        <f>($G$10*$F$12/$G$12-H$51)*$M52/SUM($M$48:$M$52)</f>
        <v>0</v>
      </c>
      <c r="I52" s="480">
        <f>H52/H$53</f>
        <v>0</v>
      </c>
      <c r="J52" s="385">
        <f>F11</f>
        <v>3000</v>
      </c>
      <c r="K52" s="480">
        <f>J52/J$53</f>
        <v>0.17163923182441701</v>
      </c>
      <c r="L52" s="385">
        <f>J52</f>
        <v>3000</v>
      </c>
      <c r="M52" s="385">
        <f>F11-L52</f>
        <v>0</v>
      </c>
      <c r="N52" s="385">
        <f>SUM(B52,D52,F52,H52,J52)</f>
        <v>3000</v>
      </c>
      <c r="O52" s="483">
        <f t="shared" si="7"/>
        <v>4.11522633744856E-3</v>
      </c>
      <c r="P52" s="280"/>
      <c r="Q52" s="280" t="s">
        <v>373</v>
      </c>
      <c r="R52" s="387">
        <f>$R$50*V51</f>
        <v>65670</v>
      </c>
      <c r="S52" s="280" t="s">
        <v>1364</v>
      </c>
      <c r="T52" s="280"/>
      <c r="U52" s="280" t="s">
        <v>1368</v>
      </c>
      <c r="V52" s="386">
        <v>0.14000000000000001</v>
      </c>
    </row>
    <row r="53" spans="1:22">
      <c r="A53" s="181" t="s">
        <v>1380</v>
      </c>
      <c r="B53" s="180">
        <f t="shared" ref="B53:N53" si="8">SUM((B48:B52))</f>
        <v>427495.50449550449</v>
      </c>
      <c r="C53" s="482">
        <f t="shared" si="8"/>
        <v>1</v>
      </c>
      <c r="D53" s="180">
        <f t="shared" si="8"/>
        <v>80109.890109890111</v>
      </c>
      <c r="E53" s="482">
        <f t="shared" si="8"/>
        <v>1</v>
      </c>
      <c r="F53" s="180">
        <f t="shared" si="8"/>
        <v>101958.04195804197</v>
      </c>
      <c r="G53" s="482">
        <f t="shared" si="8"/>
        <v>1</v>
      </c>
      <c r="H53" s="180">
        <f t="shared" si="8"/>
        <v>101958.04195804195</v>
      </c>
      <c r="I53" s="482">
        <f t="shared" si="8"/>
        <v>1</v>
      </c>
      <c r="J53" s="180">
        <f t="shared" si="8"/>
        <v>17478.521478521478</v>
      </c>
      <c r="K53" s="482">
        <f t="shared" si="8"/>
        <v>0.99999999999999989</v>
      </c>
      <c r="L53" s="180">
        <f t="shared" si="8"/>
        <v>528505.50449550455</v>
      </c>
      <c r="M53" s="180">
        <f t="shared" si="8"/>
        <v>200494.49550449551</v>
      </c>
      <c r="N53" s="180">
        <f t="shared" si="8"/>
        <v>729000</v>
      </c>
      <c r="O53" s="484">
        <f t="shared" si="7"/>
        <v>1</v>
      </c>
      <c r="P53" s="280"/>
      <c r="Q53" s="280" t="s">
        <v>1368</v>
      </c>
      <c r="R53" s="387">
        <f>$R$50*V52</f>
        <v>83580.000000000015</v>
      </c>
      <c r="S53" s="280" t="s">
        <v>1364</v>
      </c>
      <c r="T53" s="280"/>
      <c r="U53" s="280" t="s">
        <v>1367</v>
      </c>
      <c r="V53" s="386">
        <v>0.14000000000000001</v>
      </c>
    </row>
    <row r="54" spans="1:22">
      <c r="A54" s="280"/>
      <c r="B54" s="279">
        <f>B53*$G$12/$F$12</f>
        <v>350439</v>
      </c>
      <c r="C54" s="280"/>
      <c r="D54" s="279">
        <f>D53*$G$12/$F$12</f>
        <v>65670</v>
      </c>
      <c r="E54" s="280"/>
      <c r="F54" s="279">
        <f>F53*$G$12/$F$12</f>
        <v>83580.000000000015</v>
      </c>
      <c r="G54" s="280"/>
      <c r="H54" s="279">
        <f>H53*$G$12/$F$12</f>
        <v>83580</v>
      </c>
      <c r="I54" s="280"/>
      <c r="J54" s="279">
        <f>J53*$G$12/$F$12</f>
        <v>14328</v>
      </c>
      <c r="K54" s="280"/>
      <c r="L54" s="237"/>
      <c r="M54" s="280"/>
      <c r="N54" s="279">
        <f>N53*$G$12/$F$12</f>
        <v>597597</v>
      </c>
      <c r="O54" s="280"/>
      <c r="P54" s="280"/>
      <c r="Q54" s="280" t="s">
        <v>1367</v>
      </c>
      <c r="R54" s="387">
        <f>$R$50*V53</f>
        <v>83580.000000000015</v>
      </c>
      <c r="S54" s="280" t="s">
        <v>1364</v>
      </c>
      <c r="T54" s="280"/>
      <c r="U54" s="280" t="s">
        <v>1374</v>
      </c>
      <c r="V54" s="386">
        <v>2.4E-2</v>
      </c>
    </row>
    <row r="55" spans="1:22">
      <c r="A55" s="280"/>
      <c r="B55" s="280"/>
      <c r="C55" s="280"/>
      <c r="D55" s="280"/>
      <c r="E55" s="280"/>
      <c r="F55" s="280"/>
      <c r="G55" s="280"/>
      <c r="H55" s="280"/>
      <c r="I55" s="280"/>
      <c r="J55" s="280"/>
      <c r="K55" s="280"/>
      <c r="L55" s="280"/>
      <c r="M55" s="280"/>
      <c r="N55" s="280"/>
      <c r="O55" s="280"/>
      <c r="P55" s="280"/>
      <c r="Q55" s="280" t="s">
        <v>1374</v>
      </c>
      <c r="R55" s="387">
        <f>$R$50*V54</f>
        <v>14328</v>
      </c>
      <c r="S55" s="280" t="s">
        <v>1364</v>
      </c>
      <c r="T55" s="280"/>
      <c r="U55" s="280"/>
      <c r="V55" s="280"/>
    </row>
    <row r="56" spans="1:22">
      <c r="A56" s="280"/>
      <c r="B56" s="280"/>
      <c r="C56" s="280"/>
      <c r="D56" s="280"/>
      <c r="E56" s="280"/>
      <c r="F56" s="280"/>
      <c r="G56" s="280"/>
      <c r="H56" s="280"/>
      <c r="I56" s="280"/>
      <c r="J56" s="280"/>
      <c r="K56" s="280"/>
      <c r="L56" s="280"/>
      <c r="M56" s="280"/>
      <c r="N56" s="280"/>
      <c r="O56" s="280"/>
      <c r="P56" s="280"/>
      <c r="Q56" s="280"/>
      <c r="R56" s="280"/>
      <c r="S56" s="280"/>
      <c r="T56" s="280"/>
      <c r="U56" s="280"/>
      <c r="V56" s="280"/>
    </row>
    <row r="57" spans="1:22">
      <c r="A57" s="280"/>
      <c r="B57" s="280"/>
      <c r="C57" s="280"/>
      <c r="D57" s="280"/>
      <c r="E57" s="280"/>
      <c r="F57" s="280"/>
      <c r="G57" s="280"/>
      <c r="H57" s="280"/>
      <c r="I57" s="280"/>
      <c r="J57" s="280"/>
      <c r="K57" s="280"/>
      <c r="L57" s="280"/>
      <c r="M57" s="280"/>
      <c r="N57" s="280"/>
      <c r="O57" s="280"/>
      <c r="P57" s="280"/>
      <c r="Q57" s="280"/>
      <c r="R57" s="280"/>
      <c r="S57" s="280"/>
      <c r="T57" s="280"/>
      <c r="U57" s="280"/>
      <c r="V57" s="280"/>
    </row>
    <row r="58" spans="1:22">
      <c r="A58" s="280"/>
      <c r="B58" s="280"/>
      <c r="C58" s="280"/>
      <c r="D58" s="280"/>
      <c r="E58" s="280"/>
      <c r="F58" s="280"/>
      <c r="G58" s="280"/>
      <c r="H58" s="280"/>
      <c r="I58" s="280"/>
      <c r="J58" s="280"/>
      <c r="K58" s="280"/>
      <c r="L58" s="280"/>
      <c r="M58" s="280"/>
      <c r="N58" s="280"/>
      <c r="O58" s="280"/>
      <c r="P58" s="280"/>
      <c r="Q58" s="280"/>
      <c r="R58" s="280"/>
      <c r="S58" s="280"/>
      <c r="T58" s="280"/>
      <c r="U58" s="280"/>
      <c r="V58" s="280"/>
    </row>
    <row r="59" spans="1:22">
      <c r="A59" s="280"/>
      <c r="B59" s="280"/>
      <c r="C59" s="280"/>
      <c r="D59" s="280"/>
      <c r="E59" s="280"/>
      <c r="F59" s="280"/>
      <c r="G59" s="280"/>
      <c r="H59" s="280"/>
      <c r="I59" s="280"/>
      <c r="J59" s="280"/>
      <c r="K59" s="280"/>
      <c r="L59" s="280"/>
      <c r="M59" s="280"/>
      <c r="N59" s="280"/>
      <c r="O59" s="280"/>
      <c r="P59" s="280"/>
      <c r="Q59" s="280"/>
      <c r="R59" s="280"/>
      <c r="S59" s="280"/>
      <c r="T59" s="280"/>
      <c r="U59" s="280"/>
      <c r="V59" s="280"/>
    </row>
    <row r="60" spans="1:22">
      <c r="A60" s="280"/>
      <c r="B60" s="280"/>
      <c r="C60" s="280"/>
      <c r="D60" s="280"/>
      <c r="E60" s="280"/>
      <c r="F60" s="280"/>
      <c r="G60" s="280"/>
      <c r="H60" s="280"/>
      <c r="I60" s="280"/>
      <c r="J60" s="280"/>
      <c r="K60" s="280"/>
      <c r="L60" s="280"/>
      <c r="M60" s="280"/>
      <c r="N60" s="280"/>
      <c r="O60" s="280"/>
      <c r="P60" s="280"/>
      <c r="Q60" s="280"/>
      <c r="R60" s="280"/>
      <c r="S60" s="280"/>
      <c r="T60" s="280"/>
      <c r="U60" s="280"/>
      <c r="V60" s="280"/>
    </row>
    <row r="61" spans="1:22">
      <c r="A61" s="280"/>
      <c r="B61" s="280"/>
      <c r="C61" s="280"/>
      <c r="D61" s="280"/>
      <c r="E61" s="280"/>
      <c r="F61" s="280"/>
      <c r="G61" s="280"/>
      <c r="H61" s="280"/>
      <c r="I61" s="280"/>
      <c r="J61" s="280"/>
      <c r="K61" s="280"/>
      <c r="L61" s="280"/>
      <c r="M61" s="280"/>
      <c r="N61" s="280"/>
      <c r="O61" s="280"/>
      <c r="P61" s="280"/>
      <c r="Q61" s="280"/>
      <c r="R61" s="280"/>
      <c r="S61" s="280"/>
      <c r="T61" s="280"/>
      <c r="U61" s="280"/>
      <c r="V61" s="280"/>
    </row>
    <row r="62" spans="1:22">
      <c r="A62" s="280"/>
      <c r="B62" s="280"/>
      <c r="C62" s="280"/>
      <c r="D62" s="280"/>
      <c r="E62" s="280"/>
      <c r="F62" s="280"/>
      <c r="G62" s="280"/>
      <c r="H62" s="280"/>
      <c r="I62" s="280"/>
      <c r="J62" s="280"/>
      <c r="K62" s="280"/>
      <c r="L62" s="280"/>
      <c r="M62" s="280"/>
      <c r="N62" s="280"/>
      <c r="O62" s="280"/>
      <c r="P62" s="280"/>
      <c r="Q62" s="280"/>
      <c r="R62" s="280"/>
      <c r="S62" s="280"/>
      <c r="T62" s="280"/>
      <c r="U62" s="280"/>
      <c r="V62" s="280"/>
    </row>
    <row r="63" spans="1:22">
      <c r="A63" s="280"/>
      <c r="B63" s="280"/>
      <c r="C63" s="280"/>
      <c r="D63" s="280"/>
      <c r="E63" s="280"/>
      <c r="F63" s="280"/>
      <c r="G63" s="280"/>
      <c r="H63" s="280"/>
      <c r="I63" s="280"/>
      <c r="J63" s="280"/>
      <c r="K63" s="280"/>
      <c r="L63" s="280"/>
      <c r="M63" s="280"/>
      <c r="N63" s="280"/>
      <c r="O63" s="280"/>
      <c r="P63" s="280"/>
      <c r="Q63" s="280"/>
      <c r="R63" s="280"/>
      <c r="S63" s="280"/>
      <c r="T63" s="280"/>
      <c r="U63" s="280"/>
      <c r="V63" s="280"/>
    </row>
    <row r="64" spans="1:22">
      <c r="A64" s="280"/>
      <c r="B64" s="280"/>
      <c r="C64" s="280"/>
      <c r="D64" s="280"/>
      <c r="E64" s="280"/>
      <c r="F64" s="280"/>
      <c r="G64" s="280"/>
      <c r="H64" s="280"/>
      <c r="I64" s="280"/>
      <c r="J64" s="280"/>
      <c r="K64" s="280"/>
      <c r="L64" s="280"/>
      <c r="M64" s="280"/>
      <c r="N64" s="280"/>
      <c r="O64" s="280"/>
      <c r="P64" s="280"/>
      <c r="Q64" s="280"/>
      <c r="R64" s="280"/>
      <c r="S64" s="280"/>
      <c r="T64" s="280"/>
      <c r="U64" s="280"/>
      <c r="V64" s="280"/>
    </row>
  </sheetData>
  <mergeCells count="25">
    <mergeCell ref="J46:K46"/>
    <mergeCell ref="B36:C36"/>
    <mergeCell ref="B26:C26"/>
    <mergeCell ref="D26:E26"/>
    <mergeCell ref="H26:I26"/>
    <mergeCell ref="J36:K36"/>
    <mergeCell ref="F26:G26"/>
    <mergeCell ref="J26:K26"/>
    <mergeCell ref="D36:E36"/>
    <mergeCell ref="A5:A6"/>
    <mergeCell ref="D16:E16"/>
    <mergeCell ref="H16:I16"/>
    <mergeCell ref="J16:K16"/>
    <mergeCell ref="H46:I46"/>
    <mergeCell ref="A26:A27"/>
    <mergeCell ref="A46:A47"/>
    <mergeCell ref="F36:G36"/>
    <mergeCell ref="H36:I36"/>
    <mergeCell ref="F46:G46"/>
    <mergeCell ref="B16:C16"/>
    <mergeCell ref="F16:G16"/>
    <mergeCell ref="B46:C46"/>
    <mergeCell ref="D46:E46"/>
    <mergeCell ref="A36:A37"/>
    <mergeCell ref="A16:A17"/>
  </mergeCells>
  <pageMargins left="0.7" right="0.7" top="0.78740157499999996" bottom="0.78740157499999996" header="0.3" footer="0.3"/>
  <pageSetup paperSize="9" orientation="portrait" horizontalDpi="4294967295" verticalDpi="4294967295"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51">
    <tabColor rgb="FF9CD9F0"/>
  </sheetPr>
  <dimension ref="A1:AP57"/>
  <sheetViews>
    <sheetView topLeftCell="A38" workbookViewId="0">
      <selection activeCell="A59" sqref="A58:XFD59"/>
    </sheetView>
  </sheetViews>
  <sheetFormatPr baseColWidth="10" defaultColWidth="11.42578125" defaultRowHeight="12.75" outlineLevelCol="1"/>
  <cols>
    <col min="1" max="1" width="12.7109375" style="277" customWidth="1"/>
    <col min="2" max="2" width="12.7109375" style="124" customWidth="1"/>
    <col min="3" max="3" width="4.7109375" style="125" customWidth="1" outlineLevel="1"/>
    <col min="4" max="5" width="4.7109375" style="277" customWidth="1" outlineLevel="1"/>
    <col min="6" max="6" width="40.7109375" style="126" customWidth="1"/>
    <col min="7" max="7" width="8.7109375" style="277" customWidth="1"/>
    <col min="8" max="8" width="8.7109375" style="277" customWidth="1" outlineLevel="1"/>
    <col min="9" max="9" width="20.7109375" style="277" customWidth="1" outlineLevel="1"/>
    <col min="10" max="10" width="4.7109375" style="277" customWidth="1"/>
    <col min="11" max="11" width="8.7109375" style="277" customWidth="1"/>
    <col min="12" max="12" width="15.7109375" style="277" customWidth="1"/>
    <col min="13" max="14" width="5.7109375" style="120" customWidth="1" outlineLevel="1"/>
    <col min="15" max="15" width="40.7109375" style="109" customWidth="1" outlineLevel="1"/>
    <col min="16" max="16" width="15.7109375" style="277" customWidth="1"/>
    <col min="17" max="18" width="5.7109375" style="120" customWidth="1" outlineLevel="1"/>
    <col min="19" max="19" width="40.7109375" style="109" customWidth="1" outlineLevel="1"/>
    <col min="20" max="20" width="15.7109375" style="277" customWidth="1"/>
    <col min="21" max="22" width="5.7109375" style="120" customWidth="1" outlineLevel="1"/>
    <col min="23" max="23" width="40.7109375" style="109" customWidth="1" outlineLevel="1"/>
    <col min="24" max="24" width="4.140625" style="109" customWidth="1"/>
    <col min="25" max="25" width="40.7109375" style="128" customWidth="1"/>
    <col min="26" max="26" width="4.7109375" style="402" customWidth="1" outlineLevel="1"/>
    <col min="27" max="35" width="4.7109375" style="395" customWidth="1" outlineLevel="1"/>
    <col min="36" max="36" width="19.7109375" style="395" customWidth="1" outlineLevel="1"/>
    <col min="37" max="42" width="4.7109375" style="277" customWidth="1" outlineLevel="1"/>
    <col min="43" max="44" width="11.42578125" style="196" customWidth="1"/>
    <col min="45" max="16384" width="11.42578125" style="196"/>
  </cols>
  <sheetData>
    <row r="1" spans="1:42" s="403" customFormat="1">
      <c r="A1" s="77"/>
      <c r="B1" s="78"/>
      <c r="C1" s="79"/>
      <c r="D1" s="77"/>
      <c r="E1" s="77"/>
      <c r="F1" s="80"/>
      <c r="G1" s="77"/>
      <c r="H1" s="77"/>
      <c r="I1" s="77"/>
      <c r="J1" s="77"/>
      <c r="K1" s="77"/>
      <c r="L1" s="296">
        <f>A7</f>
        <v>258737</v>
      </c>
      <c r="M1" s="81"/>
      <c r="N1" s="81"/>
      <c r="O1" s="81"/>
      <c r="P1" s="330">
        <f>A8</f>
        <v>258639</v>
      </c>
      <c r="Q1" s="81"/>
      <c r="R1" s="81"/>
      <c r="S1" s="81"/>
      <c r="T1" s="330" t="str">
        <f>A9</f>
        <v>Z-PV-088</v>
      </c>
      <c r="U1" s="81"/>
      <c r="V1" s="81"/>
      <c r="W1" s="81"/>
      <c r="X1" s="109"/>
      <c r="Y1" s="378"/>
      <c r="Z1" s="1586"/>
      <c r="AA1" s="1596"/>
      <c r="AB1" s="1596"/>
      <c r="AC1" s="1596"/>
      <c r="AD1" s="1596"/>
      <c r="AE1" s="1596"/>
      <c r="AF1" s="406"/>
      <c r="AG1" s="406"/>
      <c r="AH1" s="406"/>
      <c r="AI1" s="406"/>
      <c r="AJ1" s="406"/>
      <c r="AK1" s="378"/>
      <c r="AL1" s="378"/>
      <c r="AM1" s="378"/>
      <c r="AN1" s="378"/>
      <c r="AO1" s="378"/>
      <c r="AP1" s="378"/>
    </row>
    <row r="2" spans="1:42" s="403" customForma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421"/>
      <c r="Y2" s="406"/>
      <c r="Z2" s="406"/>
      <c r="AA2" s="406"/>
      <c r="AB2" s="406"/>
      <c r="AC2" s="406"/>
      <c r="AD2" s="406"/>
      <c r="AE2" s="406"/>
      <c r="AF2" s="406"/>
      <c r="AG2" s="378"/>
      <c r="AH2" s="378"/>
      <c r="AI2" s="378"/>
      <c r="AJ2" s="378"/>
      <c r="AK2" s="378"/>
      <c r="AL2" s="378"/>
      <c r="AM2" s="378"/>
      <c r="AN2" s="378"/>
      <c r="AO2" s="378"/>
      <c r="AP2" s="378"/>
    </row>
    <row r="3" spans="1:42" s="194" customFormat="1" ht="79.5" customHeight="1">
      <c r="A3" s="83"/>
      <c r="B3" s="84"/>
      <c r="C3" s="79">
        <v>401</v>
      </c>
      <c r="D3" s="85" t="s">
        <v>136</v>
      </c>
      <c r="E3" s="85" t="s">
        <v>137</v>
      </c>
      <c r="F3" s="86" t="s">
        <v>71</v>
      </c>
      <c r="G3" s="85" t="s">
        <v>72</v>
      </c>
      <c r="H3" s="85" t="s">
        <v>73</v>
      </c>
      <c r="I3" s="85" t="s">
        <v>138</v>
      </c>
      <c r="J3" s="85" t="s">
        <v>139</v>
      </c>
      <c r="K3" s="85" t="s">
        <v>76</v>
      </c>
      <c r="L3" s="87" t="s">
        <v>1389</v>
      </c>
      <c r="M3" s="422" t="s">
        <v>78</v>
      </c>
      <c r="N3" s="422" t="s">
        <v>79</v>
      </c>
      <c r="O3" s="423" t="s">
        <v>80</v>
      </c>
      <c r="P3" s="87" t="s">
        <v>1390</v>
      </c>
      <c r="Q3" s="422" t="s">
        <v>78</v>
      </c>
      <c r="R3" s="422" t="s">
        <v>79</v>
      </c>
      <c r="S3" s="423" t="s">
        <v>80</v>
      </c>
      <c r="T3" s="87" t="s">
        <v>1391</v>
      </c>
      <c r="U3" s="422" t="s">
        <v>78</v>
      </c>
      <c r="V3" s="422" t="s">
        <v>79</v>
      </c>
      <c r="W3" s="423" t="s">
        <v>80</v>
      </c>
      <c r="X3" s="424"/>
      <c r="Y3" s="97" t="s">
        <v>363</v>
      </c>
      <c r="Z3" s="98" t="s">
        <v>364</v>
      </c>
      <c r="AA3" s="98" t="s">
        <v>365</v>
      </c>
      <c r="AB3" s="98" t="s">
        <v>366</v>
      </c>
      <c r="AC3" s="98" t="s">
        <v>367</v>
      </c>
      <c r="AD3" s="98" t="s">
        <v>368</v>
      </c>
      <c r="AE3" s="98" t="s">
        <v>369</v>
      </c>
      <c r="AF3" s="99" t="s">
        <v>88</v>
      </c>
      <c r="AG3" s="99" t="s">
        <v>370</v>
      </c>
      <c r="AH3" s="99" t="s">
        <v>90</v>
      </c>
      <c r="AI3" s="99" t="s">
        <v>91</v>
      </c>
      <c r="AJ3" s="99" t="s">
        <v>371</v>
      </c>
      <c r="AK3" s="100" t="s">
        <v>364</v>
      </c>
      <c r="AL3" s="100" t="s">
        <v>365</v>
      </c>
      <c r="AM3" s="100" t="s">
        <v>366</v>
      </c>
      <c r="AN3" s="100" t="s">
        <v>367</v>
      </c>
      <c r="AO3" s="100" t="s">
        <v>368</v>
      </c>
      <c r="AP3" s="100" t="s">
        <v>369</v>
      </c>
    </row>
    <row r="4" spans="1:42" s="194" customFormat="1" ht="24" customHeight="1">
      <c r="A4" s="77"/>
      <c r="B4" s="84"/>
      <c r="C4" s="79">
        <v>662</v>
      </c>
      <c r="D4" s="86"/>
      <c r="E4" s="86"/>
      <c r="F4" s="86" t="s">
        <v>72</v>
      </c>
      <c r="G4" s="86"/>
      <c r="H4" s="86"/>
      <c r="I4" s="86"/>
      <c r="J4" s="86"/>
      <c r="K4" s="86"/>
      <c r="L4" s="87" t="s">
        <v>382</v>
      </c>
      <c r="M4" s="425"/>
      <c r="N4" s="425"/>
      <c r="O4" s="426"/>
      <c r="P4" s="87" t="s">
        <v>215</v>
      </c>
      <c r="Q4" s="425"/>
      <c r="R4" s="425"/>
      <c r="S4" s="426"/>
      <c r="T4" s="87" t="s">
        <v>647</v>
      </c>
      <c r="U4" s="425"/>
      <c r="V4" s="425"/>
      <c r="W4" s="426"/>
      <c r="X4" s="427"/>
      <c r="Y4" s="101"/>
      <c r="Z4" s="102" t="s">
        <v>94</v>
      </c>
      <c r="AA4" s="97"/>
      <c r="AB4" s="97"/>
      <c r="AC4" s="97"/>
      <c r="AD4" s="97"/>
      <c r="AE4" s="97"/>
      <c r="AF4" s="103"/>
      <c r="AG4" s="103"/>
      <c r="AH4" s="103" t="s">
        <v>95</v>
      </c>
      <c r="AI4" s="103" t="s">
        <v>95</v>
      </c>
      <c r="AJ4" s="104"/>
      <c r="AK4" s="105"/>
      <c r="AL4" s="105"/>
      <c r="AM4" s="105"/>
      <c r="AN4" s="105"/>
      <c r="AO4" s="105"/>
      <c r="AP4" s="105"/>
    </row>
    <row r="5" spans="1:42" s="194" customForma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427"/>
      <c r="Y5" s="101"/>
      <c r="Z5" s="97"/>
      <c r="AA5" s="97"/>
      <c r="AB5" s="97"/>
      <c r="AC5" s="97"/>
      <c r="AD5" s="97"/>
      <c r="AE5" s="97"/>
      <c r="AF5" s="104"/>
      <c r="AG5" s="104"/>
      <c r="AH5" s="104"/>
      <c r="AI5" s="104"/>
      <c r="AJ5" s="104"/>
      <c r="AK5" s="105"/>
      <c r="AL5" s="105"/>
      <c r="AM5" s="105"/>
      <c r="AN5" s="105"/>
      <c r="AO5" s="105"/>
      <c r="AP5" s="105"/>
    </row>
    <row r="6" spans="1:42" s="194" customForma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427"/>
      <c r="Y6" s="101"/>
      <c r="Z6" s="106"/>
      <c r="AA6" s="106"/>
      <c r="AB6" s="106"/>
      <c r="AC6" s="106"/>
      <c r="AD6" s="106"/>
      <c r="AE6" s="106"/>
      <c r="AF6" s="104"/>
      <c r="AG6" s="104"/>
      <c r="AH6" s="428"/>
      <c r="AI6" s="428"/>
      <c r="AJ6" s="107"/>
      <c r="AK6" s="105"/>
      <c r="AL6" s="105"/>
      <c r="AM6" s="105"/>
      <c r="AN6" s="105"/>
      <c r="AO6" s="105"/>
      <c r="AP6" s="105"/>
    </row>
    <row r="7" spans="1:42" ht="24.75" customHeight="1">
      <c r="A7" s="296">
        <v>258737</v>
      </c>
      <c r="B7" s="331" t="s">
        <v>97</v>
      </c>
      <c r="C7" s="88"/>
      <c r="D7" s="294"/>
      <c r="E7" s="295">
        <v>0</v>
      </c>
      <c r="F7" s="429" t="s">
        <v>1389</v>
      </c>
      <c r="G7" s="430" t="s">
        <v>382</v>
      </c>
      <c r="H7" s="431" t="s">
        <v>98</v>
      </c>
      <c r="I7" s="431" t="s">
        <v>98</v>
      </c>
      <c r="J7" s="89">
        <v>1</v>
      </c>
      <c r="K7" s="430" t="s">
        <v>679</v>
      </c>
      <c r="L7" s="90">
        <v>1</v>
      </c>
      <c r="M7" s="91"/>
      <c r="N7" s="92"/>
      <c r="O7" s="93"/>
      <c r="P7" s="90">
        <v>0</v>
      </c>
      <c r="Q7" s="91"/>
      <c r="R7" s="92"/>
      <c r="S7" s="93"/>
      <c r="T7" s="90">
        <v>0</v>
      </c>
      <c r="U7" s="91"/>
      <c r="V7" s="92"/>
      <c r="W7" s="93"/>
      <c r="X7" s="427"/>
      <c r="Y7" s="101"/>
      <c r="Z7" s="97"/>
      <c r="AA7" s="97"/>
      <c r="AB7" s="97"/>
      <c r="AC7" s="97"/>
      <c r="AD7" s="97"/>
      <c r="AE7" s="97"/>
      <c r="AF7" s="104"/>
      <c r="AG7" s="104"/>
      <c r="AH7" s="104"/>
      <c r="AI7" s="104"/>
      <c r="AJ7" s="104"/>
      <c r="AK7" s="104"/>
      <c r="AL7" s="104"/>
      <c r="AM7" s="104"/>
      <c r="AN7" s="104"/>
      <c r="AO7" s="104"/>
      <c r="AP7" s="104"/>
    </row>
    <row r="8" spans="1:42" ht="24" customHeight="1">
      <c r="A8" s="330">
        <v>258639</v>
      </c>
      <c r="B8" s="331"/>
      <c r="C8" s="88"/>
      <c r="D8" s="294"/>
      <c r="E8" s="295">
        <v>0</v>
      </c>
      <c r="F8" s="429" t="s">
        <v>1390</v>
      </c>
      <c r="G8" s="430" t="s">
        <v>215</v>
      </c>
      <c r="H8" s="431" t="s">
        <v>98</v>
      </c>
      <c r="I8" s="431" t="s">
        <v>98</v>
      </c>
      <c r="J8" s="89">
        <v>1</v>
      </c>
      <c r="K8" s="430" t="s">
        <v>679</v>
      </c>
      <c r="L8" s="90">
        <v>0</v>
      </c>
      <c r="M8" s="91"/>
      <c r="N8" s="92"/>
      <c r="O8" s="93"/>
      <c r="P8" s="90">
        <v>1</v>
      </c>
      <c r="Q8" s="91"/>
      <c r="R8" s="92"/>
      <c r="S8" s="93"/>
      <c r="T8" s="90">
        <v>0</v>
      </c>
      <c r="U8" s="91"/>
      <c r="V8" s="92"/>
      <c r="W8" s="93"/>
      <c r="X8" s="427"/>
      <c r="Y8" s="101"/>
      <c r="Z8" s="97"/>
      <c r="AA8" s="97"/>
      <c r="AB8" s="97"/>
      <c r="AC8" s="97"/>
      <c r="AD8" s="97"/>
      <c r="AE8" s="97"/>
      <c r="AF8" s="104"/>
      <c r="AG8" s="104"/>
      <c r="AH8" s="104"/>
      <c r="AI8" s="104"/>
      <c r="AJ8" s="104"/>
      <c r="AK8" s="104"/>
      <c r="AL8" s="104"/>
      <c r="AM8" s="104"/>
      <c r="AN8" s="104"/>
      <c r="AO8" s="104"/>
      <c r="AP8" s="104"/>
    </row>
    <row r="9" spans="1:42" ht="24" customHeight="1">
      <c r="A9" s="330" t="s">
        <v>1392</v>
      </c>
      <c r="B9" s="331"/>
      <c r="C9" s="88"/>
      <c r="D9" s="294"/>
      <c r="E9" s="295">
        <v>0</v>
      </c>
      <c r="F9" s="429" t="s">
        <v>1391</v>
      </c>
      <c r="G9" s="430" t="s">
        <v>647</v>
      </c>
      <c r="H9" s="431" t="s">
        <v>98</v>
      </c>
      <c r="I9" s="431" t="s">
        <v>98</v>
      </c>
      <c r="J9" s="89">
        <v>1</v>
      </c>
      <c r="K9" s="430" t="s">
        <v>679</v>
      </c>
      <c r="L9" s="90">
        <v>0</v>
      </c>
      <c r="M9" s="91"/>
      <c r="N9" s="92"/>
      <c r="O9" s="93"/>
      <c r="P9" s="90">
        <v>0</v>
      </c>
      <c r="Q9" s="91"/>
      <c r="R9" s="92"/>
      <c r="S9" s="93"/>
      <c r="T9" s="90">
        <v>1</v>
      </c>
      <c r="U9" s="91"/>
      <c r="V9" s="92"/>
      <c r="W9" s="93"/>
      <c r="X9" s="427"/>
      <c r="Y9" s="101"/>
      <c r="Z9" s="97"/>
      <c r="AA9" s="97"/>
      <c r="AB9" s="97"/>
      <c r="AC9" s="97"/>
      <c r="AD9" s="97"/>
      <c r="AE9" s="97"/>
      <c r="AF9" s="104"/>
      <c r="AG9" s="104"/>
      <c r="AH9" s="104"/>
      <c r="AI9" s="104"/>
      <c r="AJ9" s="104"/>
      <c r="AK9" s="104"/>
      <c r="AL9" s="104"/>
      <c r="AM9" s="104"/>
      <c r="AN9" s="104"/>
      <c r="AO9" s="104"/>
      <c r="AP9" s="104"/>
    </row>
    <row r="10" spans="1:42" ht="24" customHeight="1">
      <c r="A10" s="330">
        <v>259809</v>
      </c>
      <c r="B10" s="331" t="s">
        <v>500</v>
      </c>
      <c r="C10" s="88"/>
      <c r="D10" s="340">
        <v>5</v>
      </c>
      <c r="E10" s="341" t="s">
        <v>98</v>
      </c>
      <c r="F10" s="432" t="s">
        <v>381</v>
      </c>
      <c r="G10" s="433" t="s">
        <v>382</v>
      </c>
      <c r="H10" s="434" t="s">
        <v>98</v>
      </c>
      <c r="I10" s="434" t="s">
        <v>98</v>
      </c>
      <c r="J10" s="94">
        <v>0</v>
      </c>
      <c r="K10" s="433" t="s">
        <v>109</v>
      </c>
      <c r="L10" s="435">
        <v>21.704144014686999</v>
      </c>
      <c r="M10" s="95">
        <v>1</v>
      </c>
      <c r="N10" s="96">
        <f t="shared" ref="N10:N55" si="0">$AI10</f>
        <v>1.0779537044351355</v>
      </c>
      <c r="O10" s="432" t="str">
        <f t="shared" ref="O10:O55" si="1">$AJ10&amp;"; "&amp;$Y10</f>
        <v>(1,1,2,1,1,3); 2020 data for First Solar in US, Malaysia and Vietnam</v>
      </c>
      <c r="P10" s="435" t="s">
        <v>98</v>
      </c>
      <c r="Q10" s="95">
        <v>1</v>
      </c>
      <c r="R10" s="96">
        <f t="shared" ref="R10:R55" si="2">$AI10</f>
        <v>1.0779537044351355</v>
      </c>
      <c r="S10" s="432" t="str">
        <f t="shared" ref="S10:S55" si="3">$AJ10&amp;"; "&amp;$Y10</f>
        <v>(1,1,2,1,1,3); 2020 data for First Solar in US, Malaysia and Vietnam</v>
      </c>
      <c r="T10" s="435" t="s">
        <v>98</v>
      </c>
      <c r="U10" s="95">
        <v>1</v>
      </c>
      <c r="V10" s="96">
        <f t="shared" ref="V10:V55" si="4">$AI10</f>
        <v>1.0779537044351355</v>
      </c>
      <c r="W10" s="432" t="str">
        <f t="shared" ref="W10:W55" si="5">$AJ10&amp;"; "&amp;$Y10</f>
        <v>(1,1,2,1,1,3); 2020 data for First Solar in US, Malaysia and Vietnam</v>
      </c>
      <c r="X10" s="112"/>
      <c r="Y10" s="216" t="s">
        <v>1393</v>
      </c>
      <c r="Z10" s="339">
        <v>1</v>
      </c>
      <c r="AA10" s="339">
        <v>1</v>
      </c>
      <c r="AB10" s="339">
        <v>2</v>
      </c>
      <c r="AC10" s="339">
        <v>1</v>
      </c>
      <c r="AD10" s="339">
        <v>1</v>
      </c>
      <c r="AE10" s="339">
        <v>3</v>
      </c>
      <c r="AF10" s="104">
        <v>3</v>
      </c>
      <c r="AG10" s="104">
        <v>1.05</v>
      </c>
      <c r="AH10" s="107">
        <f t="shared" ref="AH10:AH55" si="6">EXP(SQRT((LN(AK10)^2)+(LN(AL10)^2)+(LN(AM10)^2)+(LN(AN10)^2)+(LN(AO10)^2)+(LN(AP10)^2)))</f>
        <v>1.0587041087527549</v>
      </c>
      <c r="AI10" s="107">
        <f t="shared" ref="AI10:AI55" si="7">EXP(SQRT((LN(AK10)^2)+(LN(AL10)^2)+(LN(AM10)^2)+(LN(AN10)^2)+(LN(AO10)^2)+(LN(AP10)^2)+LN(AG10)^2))</f>
        <v>1.0779537044351355</v>
      </c>
      <c r="AJ10" s="107" t="str">
        <f t="shared" ref="AJ10:AJ55" si="8">CONCATENATE("(",Z10,",",AA10,",",AB10,",",AC10,",",AD10,",",AE10,")")</f>
        <v>(1,1,2,1,1,3)</v>
      </c>
      <c r="AK10" s="108">
        <v>1</v>
      </c>
      <c r="AL10" s="108">
        <v>1</v>
      </c>
      <c r="AM10" s="108">
        <v>1.03</v>
      </c>
      <c r="AN10" s="108">
        <v>1</v>
      </c>
      <c r="AO10" s="108">
        <v>1</v>
      </c>
      <c r="AP10" s="108">
        <v>1.05</v>
      </c>
    </row>
    <row r="11" spans="1:42" ht="24" customHeight="1">
      <c r="A11" s="330">
        <v>19772</v>
      </c>
      <c r="B11" s="331"/>
      <c r="C11" s="88"/>
      <c r="D11" s="340">
        <v>5</v>
      </c>
      <c r="E11" s="341" t="s">
        <v>98</v>
      </c>
      <c r="F11" s="432" t="s">
        <v>225</v>
      </c>
      <c r="G11" s="433" t="s">
        <v>215</v>
      </c>
      <c r="H11" s="434" t="s">
        <v>98</v>
      </c>
      <c r="I11" s="434" t="s">
        <v>98</v>
      </c>
      <c r="J11" s="94">
        <v>0</v>
      </c>
      <c r="K11" s="433" t="s">
        <v>109</v>
      </c>
      <c r="L11" s="435" t="s">
        <v>98</v>
      </c>
      <c r="M11" s="95">
        <v>1</v>
      </c>
      <c r="N11" s="96">
        <f t="shared" si="0"/>
        <v>1.0779537044351355</v>
      </c>
      <c r="O11" s="432" t="str">
        <f t="shared" si="1"/>
        <v>(1,1,2,1,1,3); 2020 data for First Solar in US, Malaysia and Vietnam</v>
      </c>
      <c r="P11" s="435">
        <v>22.586271246766302</v>
      </c>
      <c r="Q11" s="95">
        <v>1</v>
      </c>
      <c r="R11" s="96">
        <f t="shared" si="2"/>
        <v>1.0779537044351355</v>
      </c>
      <c r="S11" s="432" t="str">
        <f t="shared" si="3"/>
        <v>(1,1,2,1,1,3); 2020 data for First Solar in US, Malaysia and Vietnam</v>
      </c>
      <c r="T11" s="435" t="s">
        <v>98</v>
      </c>
      <c r="U11" s="95">
        <v>1</v>
      </c>
      <c r="V11" s="96">
        <f t="shared" si="4"/>
        <v>1.0779537044351355</v>
      </c>
      <c r="W11" s="432" t="str">
        <f t="shared" si="5"/>
        <v>(1,1,2,1,1,3); 2020 data for First Solar in US, Malaysia and Vietnam</v>
      </c>
      <c r="X11" s="112"/>
      <c r="Y11" s="216" t="s">
        <v>1393</v>
      </c>
      <c r="Z11" s="339">
        <v>1</v>
      </c>
      <c r="AA11" s="339">
        <v>1</v>
      </c>
      <c r="AB11" s="339">
        <v>2</v>
      </c>
      <c r="AC11" s="339">
        <v>1</v>
      </c>
      <c r="AD11" s="339">
        <v>1</v>
      </c>
      <c r="AE11" s="339">
        <v>3</v>
      </c>
      <c r="AF11" s="104">
        <v>3</v>
      </c>
      <c r="AG11" s="104">
        <v>1.05</v>
      </c>
      <c r="AH11" s="107">
        <f t="shared" si="6"/>
        <v>1.0587041087527549</v>
      </c>
      <c r="AI11" s="107">
        <f t="shared" si="7"/>
        <v>1.0779537044351355</v>
      </c>
      <c r="AJ11" s="107" t="str">
        <f t="shared" si="8"/>
        <v>(1,1,2,1,1,3)</v>
      </c>
      <c r="AK11" s="108">
        <v>1</v>
      </c>
      <c r="AL11" s="108">
        <v>1</v>
      </c>
      <c r="AM11" s="108">
        <v>1.03</v>
      </c>
      <c r="AN11" s="108">
        <v>1</v>
      </c>
      <c r="AO11" s="108">
        <v>1</v>
      </c>
      <c r="AP11" s="108">
        <v>1.05</v>
      </c>
    </row>
    <row r="12" spans="1:42" ht="24" customHeight="1">
      <c r="A12" s="330" t="s">
        <v>645</v>
      </c>
      <c r="B12" s="331"/>
      <c r="C12" s="88"/>
      <c r="D12" s="340">
        <v>5</v>
      </c>
      <c r="E12" s="341" t="s">
        <v>98</v>
      </c>
      <c r="F12" s="432" t="s">
        <v>646</v>
      </c>
      <c r="G12" s="433" t="s">
        <v>647</v>
      </c>
      <c r="H12" s="434" t="s">
        <v>98</v>
      </c>
      <c r="I12" s="434" t="s">
        <v>98</v>
      </c>
      <c r="J12" s="94">
        <v>0</v>
      </c>
      <c r="K12" s="433" t="s">
        <v>109</v>
      </c>
      <c r="L12" s="435" t="s">
        <v>98</v>
      </c>
      <c r="M12" s="95">
        <v>1</v>
      </c>
      <c r="N12" s="96">
        <f t="shared" si="0"/>
        <v>1.0779537044351355</v>
      </c>
      <c r="O12" s="432" t="str">
        <f t="shared" si="1"/>
        <v>(1,1,2,1,1,3); 2020 data for First Solar in US, Malaysia and Vietnam</v>
      </c>
      <c r="P12" s="435" t="s">
        <v>98</v>
      </c>
      <c r="Q12" s="95">
        <v>1</v>
      </c>
      <c r="R12" s="96">
        <f t="shared" si="2"/>
        <v>1.0779537044351355</v>
      </c>
      <c r="S12" s="432" t="str">
        <f t="shared" si="3"/>
        <v>(1,1,2,1,1,3); 2020 data for First Solar in US, Malaysia and Vietnam</v>
      </c>
      <c r="T12" s="435">
        <v>19.313268334723102</v>
      </c>
      <c r="U12" s="95">
        <v>1</v>
      </c>
      <c r="V12" s="96">
        <f t="shared" si="4"/>
        <v>1.0779537044351355</v>
      </c>
      <c r="W12" s="432" t="str">
        <f t="shared" si="5"/>
        <v>(1,1,2,1,1,3); 2020 data for First Solar in US, Malaysia and Vietnam</v>
      </c>
      <c r="X12" s="112"/>
      <c r="Y12" s="216" t="s">
        <v>1393</v>
      </c>
      <c r="Z12" s="339">
        <v>1</v>
      </c>
      <c r="AA12" s="339">
        <v>1</v>
      </c>
      <c r="AB12" s="339">
        <v>2</v>
      </c>
      <c r="AC12" s="339">
        <v>1</v>
      </c>
      <c r="AD12" s="339">
        <v>1</v>
      </c>
      <c r="AE12" s="339">
        <v>3</v>
      </c>
      <c r="AF12" s="104">
        <v>2</v>
      </c>
      <c r="AG12" s="104">
        <v>1.05</v>
      </c>
      <c r="AH12" s="107">
        <f t="shared" si="6"/>
        <v>1.0587041087527549</v>
      </c>
      <c r="AI12" s="107">
        <f t="shared" si="7"/>
        <v>1.0779537044351355</v>
      </c>
      <c r="AJ12" s="107" t="str">
        <f t="shared" si="8"/>
        <v>(1,1,2,1,1,3)</v>
      </c>
      <c r="AK12" s="108">
        <v>1</v>
      </c>
      <c r="AL12" s="108">
        <v>1</v>
      </c>
      <c r="AM12" s="108">
        <v>1.03</v>
      </c>
      <c r="AN12" s="108">
        <v>1</v>
      </c>
      <c r="AO12" s="108">
        <v>1</v>
      </c>
      <c r="AP12" s="108">
        <v>1.05</v>
      </c>
    </row>
    <row r="13" spans="1:42" ht="24" customHeight="1">
      <c r="A13" s="330">
        <v>269483</v>
      </c>
      <c r="B13" s="331"/>
      <c r="C13" s="88"/>
      <c r="D13" s="340">
        <v>5</v>
      </c>
      <c r="E13" s="341" t="s">
        <v>98</v>
      </c>
      <c r="F13" s="432" t="s">
        <v>1394</v>
      </c>
      <c r="G13" s="433" t="s">
        <v>93</v>
      </c>
      <c r="H13" s="434" t="s">
        <v>98</v>
      </c>
      <c r="I13" s="434" t="s">
        <v>98</v>
      </c>
      <c r="J13" s="94">
        <v>0</v>
      </c>
      <c r="K13" s="433" t="s">
        <v>104</v>
      </c>
      <c r="L13" s="435">
        <v>0</v>
      </c>
      <c r="M13" s="95">
        <v>1</v>
      </c>
      <c r="N13" s="96">
        <f t="shared" si="0"/>
        <v>1.0779537044351355</v>
      </c>
      <c r="O13" s="432" t="str">
        <f t="shared" si="1"/>
        <v>(1,1,2,1,1,3); 2020 data for First Solar in US, Malaysia and Vietnam</v>
      </c>
      <c r="P13" s="435">
        <v>6.31</v>
      </c>
      <c r="Q13" s="95">
        <v>1</v>
      </c>
      <c r="R13" s="96">
        <f t="shared" si="2"/>
        <v>1.0779537044351355</v>
      </c>
      <c r="S13" s="432" t="str">
        <f t="shared" si="3"/>
        <v>(1,1,2,1,1,3); 2020 data for First Solar in US, Malaysia and Vietnam</v>
      </c>
      <c r="T13" s="435">
        <v>0</v>
      </c>
      <c r="U13" s="95">
        <v>1</v>
      </c>
      <c r="V13" s="96">
        <f t="shared" si="4"/>
        <v>1.0779537044351355</v>
      </c>
      <c r="W13" s="432" t="str">
        <f t="shared" si="5"/>
        <v>(1,1,2,1,1,3); 2020 data for First Solar in US, Malaysia and Vietnam</v>
      </c>
      <c r="X13" s="112"/>
      <c r="Y13" s="216" t="s">
        <v>1393</v>
      </c>
      <c r="Z13" s="339">
        <v>1</v>
      </c>
      <c r="AA13" s="339">
        <v>1</v>
      </c>
      <c r="AB13" s="339">
        <v>2</v>
      </c>
      <c r="AC13" s="339">
        <v>1</v>
      </c>
      <c r="AD13" s="339">
        <v>1</v>
      </c>
      <c r="AE13" s="339">
        <v>3</v>
      </c>
      <c r="AF13" s="104">
        <v>1</v>
      </c>
      <c r="AG13" s="104">
        <v>1.05</v>
      </c>
      <c r="AH13" s="107">
        <f t="shared" si="6"/>
        <v>1.0587041087527549</v>
      </c>
      <c r="AI13" s="107">
        <f t="shared" si="7"/>
        <v>1.0779537044351355</v>
      </c>
      <c r="AJ13" s="107" t="str">
        <f t="shared" si="8"/>
        <v>(1,1,2,1,1,3)</v>
      </c>
      <c r="AK13" s="108">
        <v>1</v>
      </c>
      <c r="AL13" s="108">
        <v>1</v>
      </c>
      <c r="AM13" s="108">
        <v>1.03</v>
      </c>
      <c r="AN13" s="108">
        <v>1</v>
      </c>
      <c r="AO13" s="108">
        <v>1</v>
      </c>
      <c r="AP13" s="108">
        <v>1.05</v>
      </c>
    </row>
    <row r="14" spans="1:42" ht="24" customHeight="1">
      <c r="A14" s="330">
        <v>264425</v>
      </c>
      <c r="B14" s="331" t="s">
        <v>592</v>
      </c>
      <c r="C14" s="88"/>
      <c r="D14" s="340">
        <v>5</v>
      </c>
      <c r="E14" s="341" t="s">
        <v>98</v>
      </c>
      <c r="F14" s="432" t="s">
        <v>1395</v>
      </c>
      <c r="G14" s="433" t="s">
        <v>215</v>
      </c>
      <c r="H14" s="434" t="s">
        <v>98</v>
      </c>
      <c r="I14" s="434" t="s">
        <v>98</v>
      </c>
      <c r="J14" s="94">
        <v>1</v>
      </c>
      <c r="K14" s="433" t="s">
        <v>144</v>
      </c>
      <c r="L14" s="435">
        <v>3.9999999999999998E-6</v>
      </c>
      <c r="M14" s="95">
        <v>1</v>
      </c>
      <c r="N14" s="96">
        <f t="shared" si="0"/>
        <v>3.0044434512710634</v>
      </c>
      <c r="O14" s="432" t="str">
        <f t="shared" si="1"/>
        <v>(1,1,2,1,1,3); 2020 data for First Solar in US, Malaysia and Vietnam</v>
      </c>
      <c r="P14" s="435">
        <v>3.9999999999999998E-6</v>
      </c>
      <c r="Q14" s="95">
        <v>1</v>
      </c>
      <c r="R14" s="96">
        <f t="shared" si="2"/>
        <v>3.0044434512710634</v>
      </c>
      <c r="S14" s="432" t="str">
        <f t="shared" si="3"/>
        <v>(1,1,2,1,1,3); 2020 data for First Solar in US, Malaysia and Vietnam</v>
      </c>
      <c r="T14" s="435">
        <v>3.9999999999999998E-6</v>
      </c>
      <c r="U14" s="95">
        <v>1</v>
      </c>
      <c r="V14" s="96">
        <f t="shared" si="4"/>
        <v>3.0044434512710634</v>
      </c>
      <c r="W14" s="432" t="str">
        <f t="shared" si="5"/>
        <v>(1,1,2,1,1,3); 2020 data for First Solar in US, Malaysia and Vietnam</v>
      </c>
      <c r="X14" s="112"/>
      <c r="Y14" s="216" t="s">
        <v>1393</v>
      </c>
      <c r="Z14" s="339">
        <v>1</v>
      </c>
      <c r="AA14" s="339">
        <v>1</v>
      </c>
      <c r="AB14" s="339">
        <v>2</v>
      </c>
      <c r="AC14" s="339">
        <v>1</v>
      </c>
      <c r="AD14" s="339">
        <v>1</v>
      </c>
      <c r="AE14" s="339">
        <v>3</v>
      </c>
      <c r="AF14" s="104">
        <v>9</v>
      </c>
      <c r="AG14" s="104">
        <v>3</v>
      </c>
      <c r="AH14" s="107">
        <f t="shared" si="6"/>
        <v>1.0587041087527549</v>
      </c>
      <c r="AI14" s="107">
        <f t="shared" si="7"/>
        <v>3.0044434512710634</v>
      </c>
      <c r="AJ14" s="107" t="str">
        <f t="shared" si="8"/>
        <v>(1,1,2,1,1,3)</v>
      </c>
      <c r="AK14" s="108">
        <v>1</v>
      </c>
      <c r="AL14" s="108">
        <v>1</v>
      </c>
      <c r="AM14" s="108">
        <v>1.03</v>
      </c>
      <c r="AN14" s="108">
        <v>1</v>
      </c>
      <c r="AO14" s="108">
        <v>1</v>
      </c>
      <c r="AP14" s="108">
        <v>1.05</v>
      </c>
    </row>
    <row r="15" spans="1:42" ht="24" customHeight="1">
      <c r="A15" s="330">
        <v>269089</v>
      </c>
      <c r="B15" s="331" t="s">
        <v>582</v>
      </c>
      <c r="C15" s="88"/>
      <c r="D15" s="340">
        <v>5</v>
      </c>
      <c r="E15" s="341" t="s">
        <v>98</v>
      </c>
      <c r="F15" s="432" t="s">
        <v>675</v>
      </c>
      <c r="G15" s="433" t="s">
        <v>93</v>
      </c>
      <c r="H15" s="434" t="s">
        <v>98</v>
      </c>
      <c r="I15" s="434" t="s">
        <v>98</v>
      </c>
      <c r="J15" s="94">
        <v>0</v>
      </c>
      <c r="K15" s="433" t="s">
        <v>96</v>
      </c>
      <c r="L15" s="435">
        <v>1.6018538788891701</v>
      </c>
      <c r="M15" s="95">
        <v>1</v>
      </c>
      <c r="N15" s="96">
        <f t="shared" si="0"/>
        <v>1.0779537044351355</v>
      </c>
      <c r="O15" s="486" t="str">
        <f t="shared" si="1"/>
        <v>(1,1,2,1,1,3); 2020 data for First Solar in US, Malaysia and Vietnam</v>
      </c>
      <c r="P15" s="435">
        <v>1.62870428430662</v>
      </c>
      <c r="Q15" s="95">
        <v>1</v>
      </c>
      <c r="R15" s="96">
        <f t="shared" si="2"/>
        <v>1.0779537044351355</v>
      </c>
      <c r="S15" s="486" t="str">
        <f t="shared" si="3"/>
        <v>(1,1,2,1,1,3); 2020 data for First Solar in US, Malaysia and Vietnam</v>
      </c>
      <c r="T15" s="435">
        <v>1.5945138094861599</v>
      </c>
      <c r="U15" s="95">
        <v>1</v>
      </c>
      <c r="V15" s="96">
        <f t="shared" si="4"/>
        <v>1.0779537044351355</v>
      </c>
      <c r="W15" s="432" t="str">
        <f t="shared" si="5"/>
        <v>(1,1,2,1,1,3); 2020 data for First Solar in US, Malaysia and Vietnam</v>
      </c>
      <c r="X15" s="112"/>
      <c r="Y15" s="216" t="s">
        <v>1393</v>
      </c>
      <c r="Z15" s="339">
        <v>1</v>
      </c>
      <c r="AA15" s="339">
        <v>1</v>
      </c>
      <c r="AB15" s="339">
        <v>2</v>
      </c>
      <c r="AC15" s="339">
        <v>1</v>
      </c>
      <c r="AD15" s="339">
        <v>1</v>
      </c>
      <c r="AE15" s="339">
        <v>3</v>
      </c>
      <c r="AF15" s="104">
        <v>3</v>
      </c>
      <c r="AG15" s="104">
        <v>1.05</v>
      </c>
      <c r="AH15" s="107">
        <f t="shared" si="6"/>
        <v>1.0587041087527549</v>
      </c>
      <c r="AI15" s="107">
        <f t="shared" si="7"/>
        <v>1.0779537044351355</v>
      </c>
      <c r="AJ15" s="107" t="str">
        <f t="shared" si="8"/>
        <v>(1,1,2,1,1,3)</v>
      </c>
      <c r="AK15" s="108">
        <v>1</v>
      </c>
      <c r="AL15" s="108">
        <v>1</v>
      </c>
      <c r="AM15" s="108">
        <v>1.03</v>
      </c>
      <c r="AN15" s="108">
        <v>1</v>
      </c>
      <c r="AO15" s="108">
        <v>1</v>
      </c>
      <c r="AP15" s="108">
        <v>1.05</v>
      </c>
    </row>
    <row r="16" spans="1:42" ht="24" customHeight="1">
      <c r="A16" s="330">
        <v>260694</v>
      </c>
      <c r="B16" s="331"/>
      <c r="C16" s="88"/>
      <c r="D16" s="340">
        <v>5</v>
      </c>
      <c r="E16" s="341" t="s">
        <v>98</v>
      </c>
      <c r="F16" s="432" t="s">
        <v>1396</v>
      </c>
      <c r="G16" s="433" t="s">
        <v>215</v>
      </c>
      <c r="H16" s="434" t="s">
        <v>98</v>
      </c>
      <c r="I16" s="434" t="s">
        <v>98</v>
      </c>
      <c r="J16" s="94">
        <v>0</v>
      </c>
      <c r="K16" s="433" t="s">
        <v>96</v>
      </c>
      <c r="L16" s="435">
        <v>2.2503433786181901E-2</v>
      </c>
      <c r="M16" s="95">
        <v>1</v>
      </c>
      <c r="N16" s="96">
        <f t="shared" si="0"/>
        <v>1.0779537044351355</v>
      </c>
      <c r="O16" s="486" t="str">
        <f t="shared" si="1"/>
        <v>(1,1,2,1,1,3); 2020 data for First Solar in US, Malaysia and Vietnam</v>
      </c>
      <c r="P16" s="435">
        <v>2.3234096839984401E-2</v>
      </c>
      <c r="Q16" s="95">
        <v>1</v>
      </c>
      <c r="R16" s="96">
        <f t="shared" si="2"/>
        <v>1.0779537044351355</v>
      </c>
      <c r="S16" s="486" t="str">
        <f t="shared" si="3"/>
        <v>(1,1,2,1,1,3); 2020 data for First Solar in US, Malaysia and Vietnam</v>
      </c>
      <c r="T16" s="435">
        <v>2.2315620182734398E-2</v>
      </c>
      <c r="U16" s="95">
        <v>1</v>
      </c>
      <c r="V16" s="96">
        <f t="shared" si="4"/>
        <v>1.0779537044351355</v>
      </c>
      <c r="W16" s="432" t="str">
        <f t="shared" si="5"/>
        <v>(1,1,2,1,1,3); 2020 data for First Solar in US, Malaysia and Vietnam</v>
      </c>
      <c r="X16" s="112"/>
      <c r="Y16" s="216" t="s">
        <v>1393</v>
      </c>
      <c r="Z16" s="339">
        <v>1</v>
      </c>
      <c r="AA16" s="339">
        <v>1</v>
      </c>
      <c r="AB16" s="339">
        <v>2</v>
      </c>
      <c r="AC16" s="339">
        <v>1</v>
      </c>
      <c r="AD16" s="339">
        <v>1</v>
      </c>
      <c r="AE16" s="339">
        <v>3</v>
      </c>
      <c r="AF16" s="104">
        <v>3</v>
      </c>
      <c r="AG16" s="104">
        <v>1.05</v>
      </c>
      <c r="AH16" s="107">
        <f t="shared" si="6"/>
        <v>1.0587041087527549</v>
      </c>
      <c r="AI16" s="107">
        <f t="shared" si="7"/>
        <v>1.0779537044351355</v>
      </c>
      <c r="AJ16" s="107" t="str">
        <f t="shared" si="8"/>
        <v>(1,1,2,1,1,3)</v>
      </c>
      <c r="AK16" s="108">
        <v>1</v>
      </c>
      <c r="AL16" s="108">
        <v>1</v>
      </c>
      <c r="AM16" s="108">
        <v>1.03</v>
      </c>
      <c r="AN16" s="108">
        <v>1</v>
      </c>
      <c r="AO16" s="108">
        <v>1</v>
      </c>
      <c r="AP16" s="108">
        <v>1.05</v>
      </c>
    </row>
    <row r="17" spans="1:42" ht="24" customHeight="1">
      <c r="A17" s="330">
        <v>157715</v>
      </c>
      <c r="B17" s="331"/>
      <c r="C17" s="88"/>
      <c r="D17" s="340">
        <v>5</v>
      </c>
      <c r="E17" s="341" t="s">
        <v>98</v>
      </c>
      <c r="F17" s="432" t="s">
        <v>473</v>
      </c>
      <c r="G17" s="433" t="s">
        <v>154</v>
      </c>
      <c r="H17" s="434" t="s">
        <v>98</v>
      </c>
      <c r="I17" s="434" t="s">
        <v>98</v>
      </c>
      <c r="J17" s="94">
        <v>0</v>
      </c>
      <c r="K17" s="433" t="s">
        <v>96</v>
      </c>
      <c r="L17" s="435">
        <v>9.2115678181406094E-3</v>
      </c>
      <c r="M17" s="95">
        <v>1</v>
      </c>
      <c r="N17" s="96">
        <f t="shared" si="0"/>
        <v>1.0779537044351355</v>
      </c>
      <c r="O17" s="486" t="str">
        <f t="shared" si="1"/>
        <v>(1,1,2,1,1,3); 2020 data for First Solar in US, Malaysia and Vietnam</v>
      </c>
      <c r="P17" s="435">
        <v>1.0600513573556101E-2</v>
      </c>
      <c r="Q17" s="95">
        <v>1</v>
      </c>
      <c r="R17" s="96">
        <f t="shared" si="2"/>
        <v>1.0779537044351355</v>
      </c>
      <c r="S17" s="486" t="str">
        <f t="shared" si="3"/>
        <v>(1,1,2,1,1,3); 2020 data for First Solar in US, Malaysia and Vietnam</v>
      </c>
      <c r="T17" s="435">
        <v>9.2260997211070193E-3</v>
      </c>
      <c r="U17" s="95">
        <v>1</v>
      </c>
      <c r="V17" s="96">
        <f t="shared" si="4"/>
        <v>1.0779537044351355</v>
      </c>
      <c r="W17" s="432" t="str">
        <f t="shared" si="5"/>
        <v>(1,1,2,1,1,3); 2020 data for First Solar in US, Malaysia and Vietnam</v>
      </c>
      <c r="X17" s="112"/>
      <c r="Y17" s="216" t="s">
        <v>1393</v>
      </c>
      <c r="Z17" s="339">
        <v>1</v>
      </c>
      <c r="AA17" s="339">
        <v>1</v>
      </c>
      <c r="AB17" s="339">
        <v>2</v>
      </c>
      <c r="AC17" s="339">
        <v>1</v>
      </c>
      <c r="AD17" s="339">
        <v>1</v>
      </c>
      <c r="AE17" s="339">
        <v>3</v>
      </c>
      <c r="AF17" s="104">
        <v>3</v>
      </c>
      <c r="AG17" s="104">
        <v>1.05</v>
      </c>
      <c r="AH17" s="107">
        <f t="shared" si="6"/>
        <v>1.0587041087527549</v>
      </c>
      <c r="AI17" s="107">
        <f t="shared" si="7"/>
        <v>1.0779537044351355</v>
      </c>
      <c r="AJ17" s="107" t="str">
        <f t="shared" si="8"/>
        <v>(1,1,2,1,1,3)</v>
      </c>
      <c r="AK17" s="108">
        <v>1</v>
      </c>
      <c r="AL17" s="108">
        <v>1</v>
      </c>
      <c r="AM17" s="108">
        <v>1.03</v>
      </c>
      <c r="AN17" s="108">
        <v>1</v>
      </c>
      <c r="AO17" s="108">
        <v>1</v>
      </c>
      <c r="AP17" s="108">
        <v>1.05</v>
      </c>
    </row>
    <row r="18" spans="1:42" ht="24" customHeight="1">
      <c r="A18" s="330">
        <v>157699</v>
      </c>
      <c r="B18" s="331"/>
      <c r="C18" s="88"/>
      <c r="D18" s="340">
        <v>5</v>
      </c>
      <c r="E18" s="341" t="s">
        <v>98</v>
      </c>
      <c r="F18" s="432" t="s">
        <v>316</v>
      </c>
      <c r="G18" s="433" t="s">
        <v>154</v>
      </c>
      <c r="H18" s="434" t="s">
        <v>98</v>
      </c>
      <c r="I18" s="434" t="s">
        <v>98</v>
      </c>
      <c r="J18" s="94">
        <v>0</v>
      </c>
      <c r="K18" s="433" t="s">
        <v>96</v>
      </c>
      <c r="L18" s="435">
        <v>2.6872631399201499E-2</v>
      </c>
      <c r="M18" s="95">
        <v>1</v>
      </c>
      <c r="N18" s="96">
        <f t="shared" si="0"/>
        <v>1.0779537044351355</v>
      </c>
      <c r="O18" s="486" t="str">
        <f t="shared" si="1"/>
        <v>(1,1,2,1,1,3); 2020 data for First Solar in US, Malaysia and Vietnam</v>
      </c>
      <c r="P18" s="435">
        <v>3.3695242654711702E-2</v>
      </c>
      <c r="Q18" s="95">
        <v>1</v>
      </c>
      <c r="R18" s="96">
        <f t="shared" si="2"/>
        <v>1.0779537044351355</v>
      </c>
      <c r="S18" s="486" t="str">
        <f t="shared" si="3"/>
        <v>(1,1,2,1,1,3); 2020 data for First Solar in US, Malaysia and Vietnam</v>
      </c>
      <c r="T18" s="435">
        <v>2.6755845364180499E-2</v>
      </c>
      <c r="U18" s="95">
        <v>1</v>
      </c>
      <c r="V18" s="96">
        <f t="shared" si="4"/>
        <v>1.0779537044351355</v>
      </c>
      <c r="W18" s="432" t="str">
        <f t="shared" si="5"/>
        <v>(1,1,2,1,1,3); 2020 data for First Solar in US, Malaysia and Vietnam</v>
      </c>
      <c r="X18" s="112"/>
      <c r="Y18" s="216" t="s">
        <v>1393</v>
      </c>
      <c r="Z18" s="339">
        <v>1</v>
      </c>
      <c r="AA18" s="339">
        <v>1</v>
      </c>
      <c r="AB18" s="339">
        <v>2</v>
      </c>
      <c r="AC18" s="339">
        <v>1</v>
      </c>
      <c r="AD18" s="339">
        <v>1</v>
      </c>
      <c r="AE18" s="339">
        <v>3</v>
      </c>
      <c r="AF18" s="104">
        <v>3</v>
      </c>
      <c r="AG18" s="104">
        <v>1.05</v>
      </c>
      <c r="AH18" s="107">
        <f t="shared" si="6"/>
        <v>1.0587041087527549</v>
      </c>
      <c r="AI18" s="107">
        <f t="shared" si="7"/>
        <v>1.0779537044351355</v>
      </c>
      <c r="AJ18" s="107" t="str">
        <f t="shared" si="8"/>
        <v>(1,1,2,1,1,3)</v>
      </c>
      <c r="AK18" s="108">
        <v>1</v>
      </c>
      <c r="AL18" s="108">
        <v>1</v>
      </c>
      <c r="AM18" s="108">
        <v>1.03</v>
      </c>
      <c r="AN18" s="108">
        <v>1</v>
      </c>
      <c r="AO18" s="108">
        <v>1</v>
      </c>
      <c r="AP18" s="108">
        <v>1.05</v>
      </c>
    </row>
    <row r="19" spans="1:42" ht="24" customHeight="1">
      <c r="A19" s="330">
        <v>160379</v>
      </c>
      <c r="B19" s="331"/>
      <c r="C19" s="88"/>
      <c r="D19" s="340">
        <v>5</v>
      </c>
      <c r="E19" s="341" t="s">
        <v>98</v>
      </c>
      <c r="F19" s="432" t="s">
        <v>1174</v>
      </c>
      <c r="G19" s="433" t="s">
        <v>93</v>
      </c>
      <c r="H19" s="434" t="s">
        <v>98</v>
      </c>
      <c r="I19" s="434" t="s">
        <v>98</v>
      </c>
      <c r="J19" s="94">
        <v>0</v>
      </c>
      <c r="K19" s="433" t="s">
        <v>96</v>
      </c>
      <c r="L19" s="435">
        <v>3.23278592804172E-3</v>
      </c>
      <c r="M19" s="95">
        <v>1</v>
      </c>
      <c r="N19" s="96">
        <f t="shared" si="0"/>
        <v>1.1649902150316884</v>
      </c>
      <c r="O19" s="486" t="str">
        <f t="shared" si="1"/>
        <v>(1,4,3,3,1,3); 2020 data for First Solar in US, Malaysia and Vietnam</v>
      </c>
      <c r="P19" s="435">
        <v>3.28697414953914E-3</v>
      </c>
      <c r="Q19" s="95">
        <v>1</v>
      </c>
      <c r="R19" s="96">
        <f t="shared" si="2"/>
        <v>1.1649902150316884</v>
      </c>
      <c r="S19" s="486" t="str">
        <f t="shared" si="3"/>
        <v>(1,4,3,3,1,3); 2020 data for First Solar in US, Malaysia and Vietnam</v>
      </c>
      <c r="T19" s="435">
        <v>3.2179725462535202E-3</v>
      </c>
      <c r="U19" s="95">
        <v>1</v>
      </c>
      <c r="V19" s="96">
        <f t="shared" si="4"/>
        <v>1.1649902150316884</v>
      </c>
      <c r="W19" s="432" t="str">
        <f t="shared" si="5"/>
        <v>(1,4,3,3,1,3); 2020 data for First Solar in US, Malaysia and Vietnam</v>
      </c>
      <c r="X19" s="113"/>
      <c r="Y19" s="216" t="s">
        <v>1393</v>
      </c>
      <c r="Z19" s="339">
        <v>1</v>
      </c>
      <c r="AA19" s="339">
        <v>4</v>
      </c>
      <c r="AB19" s="339">
        <v>3</v>
      </c>
      <c r="AC19" s="339">
        <v>3</v>
      </c>
      <c r="AD19" s="339">
        <v>1</v>
      </c>
      <c r="AE19" s="339">
        <v>3</v>
      </c>
      <c r="AF19" s="104">
        <v>3</v>
      </c>
      <c r="AG19" s="104">
        <v>1.05</v>
      </c>
      <c r="AH19" s="107">
        <f t="shared" si="6"/>
        <v>1.1557031727027498</v>
      </c>
      <c r="AI19" s="107">
        <f t="shared" si="7"/>
        <v>1.1649902150316884</v>
      </c>
      <c r="AJ19" s="107" t="str">
        <f t="shared" si="8"/>
        <v>(1,4,3,3,1,3)</v>
      </c>
      <c r="AK19" s="108">
        <v>1</v>
      </c>
      <c r="AL19" s="108">
        <v>1.1000000000000001</v>
      </c>
      <c r="AM19" s="108">
        <v>1.1000000000000001</v>
      </c>
      <c r="AN19" s="108">
        <v>1.02</v>
      </c>
      <c r="AO19" s="108">
        <v>1</v>
      </c>
      <c r="AP19" s="108">
        <v>1.05</v>
      </c>
    </row>
    <row r="20" spans="1:42" ht="24" customHeight="1">
      <c r="A20" s="330">
        <v>268437</v>
      </c>
      <c r="B20" s="331"/>
      <c r="C20" s="88"/>
      <c r="D20" s="340">
        <v>5</v>
      </c>
      <c r="E20" s="341" t="s">
        <v>98</v>
      </c>
      <c r="F20" s="432" t="s">
        <v>1188</v>
      </c>
      <c r="G20" s="433" t="s">
        <v>93</v>
      </c>
      <c r="H20" s="434" t="s">
        <v>98</v>
      </c>
      <c r="I20" s="434" t="s">
        <v>98</v>
      </c>
      <c r="J20" s="94">
        <v>0</v>
      </c>
      <c r="K20" s="433" t="s">
        <v>96</v>
      </c>
      <c r="L20" s="435">
        <v>0.37924232859170898</v>
      </c>
      <c r="M20" s="95">
        <v>1</v>
      </c>
      <c r="N20" s="96">
        <f t="shared" si="0"/>
        <v>1.0834154250740264</v>
      </c>
      <c r="O20" s="486" t="str">
        <f t="shared" si="1"/>
        <v>(1,2,2,3,1,3); 2020 data for First Solar in US, Malaysia and Vietnam</v>
      </c>
      <c r="P20" s="435">
        <v>0.38559921944695202</v>
      </c>
      <c r="Q20" s="95">
        <v>1</v>
      </c>
      <c r="R20" s="96">
        <f t="shared" si="2"/>
        <v>1.0834154250740264</v>
      </c>
      <c r="S20" s="486" t="str">
        <f t="shared" si="3"/>
        <v>(1,2,2,3,1,3); 2020 data for First Solar in US, Malaysia and Vietnam</v>
      </c>
      <c r="T20" s="435">
        <v>0.37750455147663797</v>
      </c>
      <c r="U20" s="95">
        <v>1</v>
      </c>
      <c r="V20" s="96">
        <f t="shared" si="4"/>
        <v>1.0834154250740264</v>
      </c>
      <c r="W20" s="432" t="str">
        <f t="shared" si="5"/>
        <v>(1,2,2,3,1,3); 2020 data for First Solar in US, Malaysia and Vietnam</v>
      </c>
      <c r="X20" s="112"/>
      <c r="Y20" s="216" t="s">
        <v>1393</v>
      </c>
      <c r="Z20" s="339">
        <v>1</v>
      </c>
      <c r="AA20" s="339">
        <v>2</v>
      </c>
      <c r="AB20" s="339">
        <v>2</v>
      </c>
      <c r="AC20" s="339">
        <v>3</v>
      </c>
      <c r="AD20" s="339">
        <v>1</v>
      </c>
      <c r="AE20" s="339">
        <v>3</v>
      </c>
      <c r="AF20" s="104">
        <v>3</v>
      </c>
      <c r="AG20" s="104">
        <v>1.05</v>
      </c>
      <c r="AH20" s="107">
        <f t="shared" si="6"/>
        <v>1.0656118303245188</v>
      </c>
      <c r="AI20" s="107">
        <f t="shared" si="7"/>
        <v>1.0834154250740264</v>
      </c>
      <c r="AJ20" s="107" t="str">
        <f t="shared" si="8"/>
        <v>(1,2,2,3,1,3)</v>
      </c>
      <c r="AK20" s="108">
        <v>1</v>
      </c>
      <c r="AL20" s="108">
        <v>1.02</v>
      </c>
      <c r="AM20" s="108">
        <v>1.03</v>
      </c>
      <c r="AN20" s="108">
        <v>1.02</v>
      </c>
      <c r="AO20" s="108">
        <v>1</v>
      </c>
      <c r="AP20" s="108">
        <v>1.05</v>
      </c>
    </row>
    <row r="21" spans="1:42" ht="24" customHeight="1">
      <c r="A21" s="330">
        <v>269335</v>
      </c>
      <c r="B21" s="331"/>
      <c r="C21" s="88"/>
      <c r="D21" s="340">
        <v>5</v>
      </c>
      <c r="E21" s="341" t="s">
        <v>98</v>
      </c>
      <c r="F21" s="432" t="s">
        <v>493</v>
      </c>
      <c r="G21" s="433" t="s">
        <v>93</v>
      </c>
      <c r="H21" s="434" t="s">
        <v>98</v>
      </c>
      <c r="I21" s="434" t="s">
        <v>98</v>
      </c>
      <c r="J21" s="94">
        <v>0</v>
      </c>
      <c r="K21" s="433" t="s">
        <v>144</v>
      </c>
      <c r="L21" s="435">
        <v>1.44592249855408E-2</v>
      </c>
      <c r="M21" s="95">
        <v>1</v>
      </c>
      <c r="N21" s="96">
        <f t="shared" si="0"/>
        <v>1.0779537044351355</v>
      </c>
      <c r="O21" s="486" t="str">
        <f t="shared" si="1"/>
        <v>(1,1,2,1,1,3); 2020 data for First Solar in US, Malaysia and Vietnam</v>
      </c>
      <c r="P21" s="435">
        <v>1.44592249855408E-2</v>
      </c>
      <c r="Q21" s="95">
        <v>1</v>
      </c>
      <c r="R21" s="96">
        <f t="shared" si="2"/>
        <v>1.0779537044351355</v>
      </c>
      <c r="S21" s="486" t="str">
        <f t="shared" si="3"/>
        <v>(1,1,2,1,1,3); 2020 data for First Solar in US, Malaysia and Vietnam</v>
      </c>
      <c r="T21" s="435">
        <v>1.44592249855408E-2</v>
      </c>
      <c r="U21" s="95">
        <v>1</v>
      </c>
      <c r="V21" s="96">
        <f t="shared" si="4"/>
        <v>1.0779537044351355</v>
      </c>
      <c r="W21" s="432" t="str">
        <f t="shared" si="5"/>
        <v>(1,1,2,1,1,3); 2020 data for First Solar in US, Malaysia and Vietnam</v>
      </c>
      <c r="X21" s="112"/>
      <c r="Y21" s="216" t="s">
        <v>1393</v>
      </c>
      <c r="Z21" s="339">
        <v>1</v>
      </c>
      <c r="AA21" s="339">
        <v>1</v>
      </c>
      <c r="AB21" s="339">
        <v>2</v>
      </c>
      <c r="AC21" s="339">
        <v>1</v>
      </c>
      <c r="AD21" s="339">
        <v>1</v>
      </c>
      <c r="AE21" s="339">
        <v>3</v>
      </c>
      <c r="AF21" s="104">
        <v>3</v>
      </c>
      <c r="AG21" s="104">
        <v>1.05</v>
      </c>
      <c r="AH21" s="107">
        <f t="shared" si="6"/>
        <v>1.0587041087527549</v>
      </c>
      <c r="AI21" s="107">
        <f t="shared" si="7"/>
        <v>1.0779537044351355</v>
      </c>
      <c r="AJ21" s="107" t="str">
        <f t="shared" si="8"/>
        <v>(1,1,2,1,1,3)</v>
      </c>
      <c r="AK21" s="108">
        <v>1</v>
      </c>
      <c r="AL21" s="108">
        <v>1</v>
      </c>
      <c r="AM21" s="108">
        <v>1.03</v>
      </c>
      <c r="AN21" s="108">
        <v>1</v>
      </c>
      <c r="AO21" s="108">
        <v>1</v>
      </c>
      <c r="AP21" s="108">
        <v>1.05</v>
      </c>
    </row>
    <row r="22" spans="1:42" ht="24" customHeight="1">
      <c r="A22" s="330">
        <v>269091</v>
      </c>
      <c r="B22" s="331"/>
      <c r="C22" s="88"/>
      <c r="D22" s="340">
        <v>5</v>
      </c>
      <c r="E22" s="341" t="s">
        <v>98</v>
      </c>
      <c r="F22" s="432" t="s">
        <v>1397</v>
      </c>
      <c r="G22" s="433" t="s">
        <v>93</v>
      </c>
      <c r="H22" s="434" t="s">
        <v>98</v>
      </c>
      <c r="I22" s="434" t="s">
        <v>98</v>
      </c>
      <c r="J22" s="94">
        <v>0</v>
      </c>
      <c r="K22" s="433" t="s">
        <v>96</v>
      </c>
      <c r="L22" s="435">
        <v>5.4038609059620004</v>
      </c>
      <c r="M22" s="95">
        <v>1</v>
      </c>
      <c r="N22" s="96">
        <f t="shared" si="0"/>
        <v>1.0779537044351355</v>
      </c>
      <c r="O22" s="486" t="str">
        <f t="shared" si="1"/>
        <v>(1,1,2,1,1,3); 2020 data for First Solar in US, Malaysia and Vietnam</v>
      </c>
      <c r="P22" s="435">
        <v>5.4944408633831001</v>
      </c>
      <c r="Q22" s="95">
        <v>1</v>
      </c>
      <c r="R22" s="96">
        <f t="shared" si="2"/>
        <v>1.0779537044351355</v>
      </c>
      <c r="S22" s="486" t="str">
        <f t="shared" si="3"/>
        <v>(1,1,2,1,1,3); 2020 data for First Solar in US, Malaysia and Vietnam</v>
      </c>
      <c r="T22" s="435">
        <v>5.3790991504631398</v>
      </c>
      <c r="U22" s="95">
        <v>1</v>
      </c>
      <c r="V22" s="96">
        <f t="shared" si="4"/>
        <v>1.0779537044351355</v>
      </c>
      <c r="W22" s="432" t="str">
        <f t="shared" si="5"/>
        <v>(1,1,2,1,1,3); 2020 data for First Solar in US, Malaysia and Vietnam</v>
      </c>
      <c r="X22" s="112"/>
      <c r="Y22" s="216" t="s">
        <v>1393</v>
      </c>
      <c r="Z22" s="339">
        <v>1</v>
      </c>
      <c r="AA22" s="339">
        <v>1</v>
      </c>
      <c r="AB22" s="339">
        <v>2</v>
      </c>
      <c r="AC22" s="339">
        <v>1</v>
      </c>
      <c r="AD22" s="339">
        <v>1</v>
      </c>
      <c r="AE22" s="339">
        <v>3</v>
      </c>
      <c r="AF22" s="104">
        <v>3</v>
      </c>
      <c r="AG22" s="104">
        <v>1.05</v>
      </c>
      <c r="AH22" s="107">
        <f t="shared" si="6"/>
        <v>1.0587041087527549</v>
      </c>
      <c r="AI22" s="107">
        <f t="shared" si="7"/>
        <v>1.0779537044351355</v>
      </c>
      <c r="AJ22" s="107" t="str">
        <f t="shared" si="8"/>
        <v>(1,1,2,1,1,3)</v>
      </c>
      <c r="AK22" s="108">
        <v>1</v>
      </c>
      <c r="AL22" s="108">
        <v>1</v>
      </c>
      <c r="AM22" s="108">
        <v>1.03</v>
      </c>
      <c r="AN22" s="108">
        <v>1</v>
      </c>
      <c r="AO22" s="108">
        <v>1</v>
      </c>
      <c r="AP22" s="108">
        <v>1.05</v>
      </c>
    </row>
    <row r="23" spans="1:42" ht="24" customHeight="1">
      <c r="A23" s="330">
        <v>269117</v>
      </c>
      <c r="B23" s="331"/>
      <c r="C23" s="88"/>
      <c r="D23" s="340">
        <v>5</v>
      </c>
      <c r="E23" s="341" t="s">
        <v>98</v>
      </c>
      <c r="F23" s="432" t="s">
        <v>1284</v>
      </c>
      <c r="G23" s="433" t="s">
        <v>93</v>
      </c>
      <c r="H23" s="434" t="s">
        <v>98</v>
      </c>
      <c r="I23" s="434" t="s">
        <v>98</v>
      </c>
      <c r="J23" s="94">
        <v>0</v>
      </c>
      <c r="K23" s="433" t="s">
        <v>96</v>
      </c>
      <c r="L23" s="435">
        <v>0.10775999999999999</v>
      </c>
      <c r="M23" s="95">
        <v>1</v>
      </c>
      <c r="N23" s="96">
        <f t="shared" si="0"/>
        <v>1.1649902150316884</v>
      </c>
      <c r="O23" s="486" t="str">
        <f t="shared" si="1"/>
        <v>(1,4,3,3,1,3); Fthenakis, literature</v>
      </c>
      <c r="P23" s="435">
        <v>0.10775999999999999</v>
      </c>
      <c r="Q23" s="95">
        <v>1</v>
      </c>
      <c r="R23" s="96">
        <f t="shared" si="2"/>
        <v>1.1649902150316884</v>
      </c>
      <c r="S23" s="486" t="str">
        <f t="shared" si="3"/>
        <v>(1,4,3,3,1,3); Fthenakis, literature</v>
      </c>
      <c r="T23" s="435">
        <v>0.10775999999999999</v>
      </c>
      <c r="U23" s="95">
        <v>1</v>
      </c>
      <c r="V23" s="96">
        <f t="shared" si="4"/>
        <v>1.1649902150316884</v>
      </c>
      <c r="W23" s="432" t="str">
        <f t="shared" si="5"/>
        <v>(1,4,3,3,1,3); Fthenakis, literature</v>
      </c>
      <c r="X23" s="112"/>
      <c r="Y23" s="216" t="s">
        <v>1398</v>
      </c>
      <c r="Z23" s="339">
        <v>1</v>
      </c>
      <c r="AA23" s="339">
        <v>4</v>
      </c>
      <c r="AB23" s="339">
        <v>3</v>
      </c>
      <c r="AC23" s="339">
        <v>3</v>
      </c>
      <c r="AD23" s="339">
        <v>1</v>
      </c>
      <c r="AE23" s="339">
        <v>3</v>
      </c>
      <c r="AF23" s="104">
        <v>3</v>
      </c>
      <c r="AG23" s="104">
        <v>1.05</v>
      </c>
      <c r="AH23" s="107">
        <f t="shared" si="6"/>
        <v>1.1557031727027498</v>
      </c>
      <c r="AI23" s="107">
        <f t="shared" si="7"/>
        <v>1.1649902150316884</v>
      </c>
      <c r="AJ23" s="107" t="str">
        <f t="shared" si="8"/>
        <v>(1,4,3,3,1,3)</v>
      </c>
      <c r="AK23" s="108">
        <v>1</v>
      </c>
      <c r="AL23" s="108">
        <v>1.1000000000000001</v>
      </c>
      <c r="AM23" s="108">
        <v>1.1000000000000001</v>
      </c>
      <c r="AN23" s="108">
        <v>1.02</v>
      </c>
      <c r="AO23" s="108">
        <v>1</v>
      </c>
      <c r="AP23" s="108">
        <v>1.05</v>
      </c>
    </row>
    <row r="24" spans="1:42">
      <c r="A24" s="330">
        <v>269331</v>
      </c>
      <c r="B24" s="331"/>
      <c r="C24" s="88"/>
      <c r="D24" s="340">
        <v>5</v>
      </c>
      <c r="E24" s="341" t="s">
        <v>98</v>
      </c>
      <c r="F24" s="432" t="s">
        <v>1179</v>
      </c>
      <c r="G24" s="433" t="s">
        <v>93</v>
      </c>
      <c r="H24" s="434" t="s">
        <v>98</v>
      </c>
      <c r="I24" s="434" t="s">
        <v>98</v>
      </c>
      <c r="J24" s="94">
        <v>0</v>
      </c>
      <c r="K24" s="433" t="s">
        <v>96</v>
      </c>
      <c r="L24" s="435">
        <v>0.11746928445187201</v>
      </c>
      <c r="M24" s="95">
        <v>1</v>
      </c>
      <c r="N24" s="96">
        <f t="shared" si="0"/>
        <v>1.1649902150316884</v>
      </c>
      <c r="O24" s="486" t="str">
        <f t="shared" si="1"/>
        <v>(1,4,3,3,1,3); Fthenakis, literature</v>
      </c>
      <c r="P24" s="435">
        <v>0.119438314182485</v>
      </c>
      <c r="Q24" s="95">
        <v>1</v>
      </c>
      <c r="R24" s="96">
        <f t="shared" si="2"/>
        <v>1.1649902150316884</v>
      </c>
      <c r="S24" s="486" t="str">
        <f t="shared" si="3"/>
        <v>(1,4,3,3,1,3); Fthenakis, literature</v>
      </c>
      <c r="T24" s="435">
        <v>0.116931012695652</v>
      </c>
      <c r="U24" s="95">
        <v>1</v>
      </c>
      <c r="V24" s="96">
        <f t="shared" si="4"/>
        <v>1.1649902150316884</v>
      </c>
      <c r="W24" s="432" t="str">
        <f t="shared" si="5"/>
        <v>(1,4,3,3,1,3); Fthenakis, literature</v>
      </c>
      <c r="X24" s="112"/>
      <c r="Y24" s="216" t="s">
        <v>1398</v>
      </c>
      <c r="Z24" s="339">
        <v>1</v>
      </c>
      <c r="AA24" s="339">
        <v>4</v>
      </c>
      <c r="AB24" s="339">
        <v>3</v>
      </c>
      <c r="AC24" s="339">
        <v>3</v>
      </c>
      <c r="AD24" s="339">
        <v>1</v>
      </c>
      <c r="AE24" s="339">
        <v>3</v>
      </c>
      <c r="AF24" s="104">
        <v>3</v>
      </c>
      <c r="AG24" s="104">
        <v>1.05</v>
      </c>
      <c r="AH24" s="107">
        <f t="shared" si="6"/>
        <v>1.1557031727027498</v>
      </c>
      <c r="AI24" s="107">
        <f t="shared" si="7"/>
        <v>1.1649902150316884</v>
      </c>
      <c r="AJ24" s="107" t="str">
        <f t="shared" si="8"/>
        <v>(1,4,3,3,1,3)</v>
      </c>
      <c r="AK24" s="108">
        <v>1</v>
      </c>
      <c r="AL24" s="108">
        <v>1.1000000000000001</v>
      </c>
      <c r="AM24" s="108">
        <v>1.1000000000000001</v>
      </c>
      <c r="AN24" s="108">
        <v>1.02</v>
      </c>
      <c r="AO24" s="108">
        <v>1</v>
      </c>
      <c r="AP24" s="108">
        <v>1.05</v>
      </c>
    </row>
    <row r="25" spans="1:42">
      <c r="A25" s="330">
        <v>269103</v>
      </c>
      <c r="B25" s="331"/>
      <c r="C25" s="88"/>
      <c r="D25" s="340">
        <v>5</v>
      </c>
      <c r="E25" s="341" t="s">
        <v>98</v>
      </c>
      <c r="F25" s="432" t="s">
        <v>1183</v>
      </c>
      <c r="G25" s="433" t="s">
        <v>93</v>
      </c>
      <c r="H25" s="434" t="s">
        <v>98</v>
      </c>
      <c r="I25" s="434" t="s">
        <v>98</v>
      </c>
      <c r="J25" s="94">
        <v>0</v>
      </c>
      <c r="K25" s="433" t="s">
        <v>96</v>
      </c>
      <c r="L25" s="435">
        <v>6.7592420344301098</v>
      </c>
      <c r="M25" s="95">
        <v>1</v>
      </c>
      <c r="N25" s="96">
        <f t="shared" si="0"/>
        <v>1.1649902150316884</v>
      </c>
      <c r="O25" s="486" t="str">
        <f t="shared" si="1"/>
        <v>(1,4,3,3,1,3); Fthenakis, literature</v>
      </c>
      <c r="P25" s="435">
        <v>6.9787075823635103</v>
      </c>
      <c r="Q25" s="95">
        <v>1</v>
      </c>
      <c r="R25" s="96">
        <f t="shared" si="2"/>
        <v>1.1649902150316884</v>
      </c>
      <c r="S25" s="486" t="str">
        <f t="shared" si="3"/>
        <v>(1,4,3,3,1,3); Fthenakis, literature</v>
      </c>
      <c r="T25" s="435">
        <v>6.7028294169104097</v>
      </c>
      <c r="U25" s="95">
        <v>1</v>
      </c>
      <c r="V25" s="96">
        <f t="shared" si="4"/>
        <v>1.1649902150316884</v>
      </c>
      <c r="W25" s="432" t="str">
        <f t="shared" si="5"/>
        <v>(1,4,3,3,1,3); Fthenakis, literature</v>
      </c>
      <c r="X25" s="112"/>
      <c r="Y25" s="216" t="s">
        <v>1398</v>
      </c>
      <c r="Z25" s="339">
        <v>1</v>
      </c>
      <c r="AA25" s="339">
        <v>4</v>
      </c>
      <c r="AB25" s="339">
        <v>3</v>
      </c>
      <c r="AC25" s="339">
        <v>3</v>
      </c>
      <c r="AD25" s="339">
        <v>1</v>
      </c>
      <c r="AE25" s="339">
        <v>3</v>
      </c>
      <c r="AF25" s="104">
        <v>3</v>
      </c>
      <c r="AG25" s="104">
        <v>1.05</v>
      </c>
      <c r="AH25" s="107">
        <f t="shared" si="6"/>
        <v>1.1557031727027498</v>
      </c>
      <c r="AI25" s="107">
        <f t="shared" si="7"/>
        <v>1.1649902150316884</v>
      </c>
      <c r="AJ25" s="107" t="str">
        <f t="shared" si="8"/>
        <v>(1,4,3,3,1,3)</v>
      </c>
      <c r="AK25" s="108">
        <v>1</v>
      </c>
      <c r="AL25" s="108">
        <v>1.1000000000000001</v>
      </c>
      <c r="AM25" s="108">
        <v>1.1000000000000001</v>
      </c>
      <c r="AN25" s="108">
        <v>1.02</v>
      </c>
      <c r="AO25" s="108">
        <v>1</v>
      </c>
      <c r="AP25" s="108">
        <v>1.05</v>
      </c>
    </row>
    <row r="26" spans="1:42">
      <c r="A26" s="330">
        <v>160373</v>
      </c>
      <c r="B26" s="331"/>
      <c r="C26" s="88"/>
      <c r="D26" s="340">
        <v>5</v>
      </c>
      <c r="E26" s="341" t="s">
        <v>98</v>
      </c>
      <c r="F26" s="432" t="s">
        <v>1399</v>
      </c>
      <c r="G26" s="433" t="s">
        <v>93</v>
      </c>
      <c r="H26" s="434" t="s">
        <v>98</v>
      </c>
      <c r="I26" s="434" t="s">
        <v>98</v>
      </c>
      <c r="J26" s="94">
        <v>0</v>
      </c>
      <c r="K26" s="433" t="s">
        <v>96</v>
      </c>
      <c r="L26" s="435">
        <v>1.1178287651062E-2</v>
      </c>
      <c r="M26" s="95">
        <v>1</v>
      </c>
      <c r="N26" s="96">
        <f t="shared" si="0"/>
        <v>1.1649902150316884</v>
      </c>
      <c r="O26" s="486" t="str">
        <f t="shared" si="1"/>
        <v>(1,4,3,3,1,3); Fthenakis, literature</v>
      </c>
      <c r="P26" s="435">
        <v>1.1365659020735301E-2</v>
      </c>
      <c r="Q26" s="95">
        <v>1</v>
      </c>
      <c r="R26" s="96">
        <f t="shared" si="2"/>
        <v>1.1649902150316884</v>
      </c>
      <c r="S26" s="486" t="str">
        <f t="shared" si="3"/>
        <v>(1,4,3,3,1,3); Fthenakis, literature</v>
      </c>
      <c r="T26" s="435">
        <v>1.1127066120654699E-2</v>
      </c>
      <c r="U26" s="95">
        <v>1</v>
      </c>
      <c r="V26" s="96">
        <f t="shared" si="4"/>
        <v>1.1649902150316884</v>
      </c>
      <c r="W26" s="432" t="str">
        <f t="shared" si="5"/>
        <v>(1,4,3,3,1,3); Fthenakis, literature</v>
      </c>
      <c r="X26" s="112"/>
      <c r="Y26" s="216" t="s">
        <v>1398</v>
      </c>
      <c r="Z26" s="339">
        <v>1</v>
      </c>
      <c r="AA26" s="339">
        <v>4</v>
      </c>
      <c r="AB26" s="339">
        <v>3</v>
      </c>
      <c r="AC26" s="339">
        <v>3</v>
      </c>
      <c r="AD26" s="339">
        <v>1</v>
      </c>
      <c r="AE26" s="339">
        <v>3</v>
      </c>
      <c r="AF26" s="104">
        <v>3</v>
      </c>
      <c r="AG26" s="104">
        <v>1.05</v>
      </c>
      <c r="AH26" s="107">
        <f t="shared" si="6"/>
        <v>1.1557031727027498</v>
      </c>
      <c r="AI26" s="107">
        <f t="shared" si="7"/>
        <v>1.1649902150316884</v>
      </c>
      <c r="AJ26" s="107" t="str">
        <f t="shared" si="8"/>
        <v>(1,4,3,3,1,3)</v>
      </c>
      <c r="AK26" s="108">
        <v>1</v>
      </c>
      <c r="AL26" s="108">
        <v>1.1000000000000001</v>
      </c>
      <c r="AM26" s="108">
        <v>1.1000000000000001</v>
      </c>
      <c r="AN26" s="108">
        <v>1.02</v>
      </c>
      <c r="AO26" s="108">
        <v>1</v>
      </c>
      <c r="AP26" s="108">
        <v>1.05</v>
      </c>
    </row>
    <row r="27" spans="1:42">
      <c r="A27" s="330">
        <v>269211</v>
      </c>
      <c r="B27" s="331" t="s">
        <v>1198</v>
      </c>
      <c r="C27" s="88"/>
      <c r="D27" s="340">
        <v>5</v>
      </c>
      <c r="E27" s="341" t="s">
        <v>98</v>
      </c>
      <c r="F27" s="432" t="s">
        <v>838</v>
      </c>
      <c r="G27" s="433" t="s">
        <v>93</v>
      </c>
      <c r="H27" s="434" t="s">
        <v>98</v>
      </c>
      <c r="I27" s="434" t="s">
        <v>98</v>
      </c>
      <c r="J27" s="94">
        <v>0</v>
      </c>
      <c r="K27" s="433" t="s">
        <v>96</v>
      </c>
      <c r="L27" s="435">
        <v>1.67E-2</v>
      </c>
      <c r="M27" s="95">
        <v>1</v>
      </c>
      <c r="N27" s="96">
        <f t="shared" si="0"/>
        <v>1.1649902150316884</v>
      </c>
      <c r="O27" s="432" t="str">
        <f t="shared" si="1"/>
        <v>(1,4,3,3,1,3); Fthenakis, literature</v>
      </c>
      <c r="P27" s="435">
        <v>1.67E-2</v>
      </c>
      <c r="Q27" s="95">
        <v>1</v>
      </c>
      <c r="R27" s="96">
        <f t="shared" si="2"/>
        <v>1.1649902150316884</v>
      </c>
      <c r="S27" s="432" t="str">
        <f t="shared" si="3"/>
        <v>(1,4,3,3,1,3); Fthenakis, literature</v>
      </c>
      <c r="T27" s="435">
        <v>1.67E-2</v>
      </c>
      <c r="U27" s="95">
        <v>1</v>
      </c>
      <c r="V27" s="96">
        <f t="shared" si="4"/>
        <v>1.1649902150316884</v>
      </c>
      <c r="W27" s="432" t="str">
        <f t="shared" si="5"/>
        <v>(1,4,3,3,1,3); Fthenakis, literature</v>
      </c>
      <c r="X27" s="112"/>
      <c r="Y27" s="216" t="s">
        <v>1398</v>
      </c>
      <c r="Z27" s="339">
        <v>1</v>
      </c>
      <c r="AA27" s="339">
        <v>4</v>
      </c>
      <c r="AB27" s="339">
        <v>3</v>
      </c>
      <c r="AC27" s="339">
        <v>3</v>
      </c>
      <c r="AD27" s="339">
        <v>1</v>
      </c>
      <c r="AE27" s="339">
        <v>3</v>
      </c>
      <c r="AF27" s="104">
        <v>3</v>
      </c>
      <c r="AG27" s="104">
        <v>1.05</v>
      </c>
      <c r="AH27" s="107">
        <f t="shared" si="6"/>
        <v>1.1557031727027498</v>
      </c>
      <c r="AI27" s="107">
        <f t="shared" si="7"/>
        <v>1.1649902150316884</v>
      </c>
      <c r="AJ27" s="107" t="str">
        <f t="shared" si="8"/>
        <v>(1,4,3,3,1,3)</v>
      </c>
      <c r="AK27" s="108">
        <v>1</v>
      </c>
      <c r="AL27" s="108">
        <v>1.1000000000000001</v>
      </c>
      <c r="AM27" s="108">
        <v>1.1000000000000001</v>
      </c>
      <c r="AN27" s="108">
        <v>1.02</v>
      </c>
      <c r="AO27" s="108">
        <v>1</v>
      </c>
      <c r="AP27" s="108">
        <v>1.05</v>
      </c>
    </row>
    <row r="28" spans="1:42">
      <c r="A28" s="330">
        <v>269227</v>
      </c>
      <c r="B28" s="331"/>
      <c r="C28" s="88"/>
      <c r="D28" s="340">
        <v>5</v>
      </c>
      <c r="E28" s="341" t="s">
        <v>98</v>
      </c>
      <c r="F28" s="432" t="s">
        <v>1057</v>
      </c>
      <c r="G28" s="433" t="s">
        <v>93</v>
      </c>
      <c r="H28" s="434" t="s">
        <v>98</v>
      </c>
      <c r="I28" s="434" t="s">
        <v>98</v>
      </c>
      <c r="J28" s="94">
        <v>0</v>
      </c>
      <c r="K28" s="433" t="s">
        <v>96</v>
      </c>
      <c r="L28" s="435">
        <v>2.0799999999999998E-3</v>
      </c>
      <c r="M28" s="95">
        <v>1</v>
      </c>
      <c r="N28" s="96">
        <f t="shared" si="0"/>
        <v>1.1649902150316884</v>
      </c>
      <c r="O28" s="432" t="str">
        <f t="shared" si="1"/>
        <v>(1,4,3,3,1,3); Fthenakis, literature</v>
      </c>
      <c r="P28" s="435">
        <v>2.0799999999999998E-3</v>
      </c>
      <c r="Q28" s="95">
        <v>1</v>
      </c>
      <c r="R28" s="96">
        <f t="shared" si="2"/>
        <v>1.1649902150316884</v>
      </c>
      <c r="S28" s="432" t="str">
        <f t="shared" si="3"/>
        <v>(1,4,3,3,1,3); Fthenakis, literature</v>
      </c>
      <c r="T28" s="435">
        <v>2.0799999999999998E-3</v>
      </c>
      <c r="U28" s="95">
        <v>1</v>
      </c>
      <c r="V28" s="96">
        <f t="shared" si="4"/>
        <v>1.1649902150316884</v>
      </c>
      <c r="W28" s="432" t="str">
        <f t="shared" si="5"/>
        <v>(1,4,3,3,1,3); Fthenakis, literature</v>
      </c>
      <c r="X28" s="112"/>
      <c r="Y28" s="216" t="s">
        <v>1398</v>
      </c>
      <c r="Z28" s="339">
        <v>1</v>
      </c>
      <c r="AA28" s="339">
        <v>4</v>
      </c>
      <c r="AB28" s="339">
        <v>3</v>
      </c>
      <c r="AC28" s="339">
        <v>3</v>
      </c>
      <c r="AD28" s="339">
        <v>1</v>
      </c>
      <c r="AE28" s="339">
        <v>3</v>
      </c>
      <c r="AF28" s="104">
        <v>3</v>
      </c>
      <c r="AG28" s="104">
        <v>1.05</v>
      </c>
      <c r="AH28" s="107">
        <f t="shared" si="6"/>
        <v>1.1557031727027498</v>
      </c>
      <c r="AI28" s="107">
        <f t="shared" si="7"/>
        <v>1.1649902150316884</v>
      </c>
      <c r="AJ28" s="107" t="str">
        <f t="shared" si="8"/>
        <v>(1,4,3,3,1,3)</v>
      </c>
      <c r="AK28" s="108">
        <v>1</v>
      </c>
      <c r="AL28" s="108">
        <v>1.1000000000000001</v>
      </c>
      <c r="AM28" s="108">
        <v>1.1000000000000001</v>
      </c>
      <c r="AN28" s="108">
        <v>1.02</v>
      </c>
      <c r="AO28" s="108">
        <v>1</v>
      </c>
      <c r="AP28" s="108">
        <v>1.05</v>
      </c>
    </row>
    <row r="29" spans="1:42">
      <c r="A29" s="330">
        <v>269249</v>
      </c>
      <c r="B29" s="331"/>
      <c r="C29" s="88"/>
      <c r="D29" s="340">
        <v>5</v>
      </c>
      <c r="E29" s="341" t="s">
        <v>98</v>
      </c>
      <c r="F29" s="432" t="s">
        <v>584</v>
      </c>
      <c r="G29" s="433" t="s">
        <v>93</v>
      </c>
      <c r="H29" s="434" t="s">
        <v>98</v>
      </c>
      <c r="I29" s="434" t="s">
        <v>98</v>
      </c>
      <c r="J29" s="94">
        <v>0</v>
      </c>
      <c r="K29" s="433" t="s">
        <v>96</v>
      </c>
      <c r="L29" s="435">
        <v>5.7200000000000001E-2</v>
      </c>
      <c r="M29" s="95">
        <v>1</v>
      </c>
      <c r="N29" s="96">
        <f t="shared" si="0"/>
        <v>1.1649902150316884</v>
      </c>
      <c r="O29" s="432" t="str">
        <f t="shared" si="1"/>
        <v>(1,4,3,3,1,3); Fthenakis, literature</v>
      </c>
      <c r="P29" s="435">
        <v>5.7200000000000001E-2</v>
      </c>
      <c r="Q29" s="95">
        <v>1</v>
      </c>
      <c r="R29" s="96">
        <f t="shared" si="2"/>
        <v>1.1649902150316884</v>
      </c>
      <c r="S29" s="432" t="str">
        <f t="shared" si="3"/>
        <v>(1,4,3,3,1,3); Fthenakis, literature</v>
      </c>
      <c r="T29" s="435">
        <v>5.7200000000000001E-2</v>
      </c>
      <c r="U29" s="95">
        <v>1</v>
      </c>
      <c r="V29" s="96">
        <f t="shared" si="4"/>
        <v>1.1649902150316884</v>
      </c>
      <c r="W29" s="432" t="str">
        <f t="shared" si="5"/>
        <v>(1,4,3,3,1,3); Fthenakis, literature</v>
      </c>
      <c r="X29" s="112"/>
      <c r="Y29" s="216" t="s">
        <v>1398</v>
      </c>
      <c r="Z29" s="339">
        <v>1</v>
      </c>
      <c r="AA29" s="339">
        <v>4</v>
      </c>
      <c r="AB29" s="339">
        <v>3</v>
      </c>
      <c r="AC29" s="339">
        <v>3</v>
      </c>
      <c r="AD29" s="339">
        <v>1</v>
      </c>
      <c r="AE29" s="339">
        <v>3</v>
      </c>
      <c r="AF29" s="104">
        <v>3</v>
      </c>
      <c r="AG29" s="104">
        <v>1.05</v>
      </c>
      <c r="AH29" s="107">
        <f t="shared" si="6"/>
        <v>1.1557031727027498</v>
      </c>
      <c r="AI29" s="107">
        <f t="shared" si="7"/>
        <v>1.1649902150316884</v>
      </c>
      <c r="AJ29" s="107" t="str">
        <f t="shared" si="8"/>
        <v>(1,4,3,3,1,3)</v>
      </c>
      <c r="AK29" s="108">
        <v>1</v>
      </c>
      <c r="AL29" s="108">
        <v>1.1000000000000001</v>
      </c>
      <c r="AM29" s="108">
        <v>1.1000000000000001</v>
      </c>
      <c r="AN29" s="108">
        <v>1.02</v>
      </c>
      <c r="AO29" s="108">
        <v>1</v>
      </c>
      <c r="AP29" s="108">
        <v>1.05</v>
      </c>
    </row>
    <row r="30" spans="1:42" ht="24" customHeight="1">
      <c r="A30" s="330">
        <v>269223</v>
      </c>
      <c r="B30" s="331"/>
      <c r="C30" s="88"/>
      <c r="D30" s="340">
        <v>5</v>
      </c>
      <c r="E30" s="341" t="s">
        <v>98</v>
      </c>
      <c r="F30" s="432" t="s">
        <v>318</v>
      </c>
      <c r="G30" s="433" t="s">
        <v>93</v>
      </c>
      <c r="H30" s="434" t="s">
        <v>98</v>
      </c>
      <c r="I30" s="434" t="s">
        <v>98</v>
      </c>
      <c r="J30" s="94">
        <v>0</v>
      </c>
      <c r="K30" s="433" t="s">
        <v>96</v>
      </c>
      <c r="L30" s="435">
        <v>7.3200000000000001E-2</v>
      </c>
      <c r="M30" s="95">
        <v>1</v>
      </c>
      <c r="N30" s="96">
        <f t="shared" si="0"/>
        <v>1.0779537044351355</v>
      </c>
      <c r="O30" s="432" t="str">
        <f t="shared" si="1"/>
        <v>(1,1,2,1,1,3); 2015 and 2017-2018 (estimated) data for First Solar in US and Malaysia</v>
      </c>
      <c r="P30" s="435">
        <v>7.3200000000000001E-2</v>
      </c>
      <c r="Q30" s="95">
        <v>1</v>
      </c>
      <c r="R30" s="96">
        <f t="shared" si="2"/>
        <v>1.0779537044351355</v>
      </c>
      <c r="S30" s="432" t="str">
        <f t="shared" si="3"/>
        <v>(1,1,2,1,1,3); 2015 and 2017-2018 (estimated) data for First Solar in US and Malaysia</v>
      </c>
      <c r="T30" s="435">
        <v>7.3200000000000001E-2</v>
      </c>
      <c r="U30" s="95">
        <v>1</v>
      </c>
      <c r="V30" s="96">
        <f t="shared" si="4"/>
        <v>1.0779537044351355</v>
      </c>
      <c r="W30" s="432" t="str">
        <f t="shared" si="5"/>
        <v>(1,1,2,1,1,3); 2015 and 2017-2018 (estimated) data for First Solar in US and Malaysia</v>
      </c>
      <c r="X30" s="112"/>
      <c r="Y30" s="216" t="s">
        <v>1400</v>
      </c>
      <c r="Z30" s="339">
        <v>1</v>
      </c>
      <c r="AA30" s="339">
        <v>1</v>
      </c>
      <c r="AB30" s="339">
        <v>2</v>
      </c>
      <c r="AC30" s="339">
        <v>1</v>
      </c>
      <c r="AD30" s="339">
        <v>1</v>
      </c>
      <c r="AE30" s="339">
        <v>3</v>
      </c>
      <c r="AF30" s="104">
        <v>3</v>
      </c>
      <c r="AG30" s="104">
        <v>1.05</v>
      </c>
      <c r="AH30" s="107">
        <f t="shared" si="6"/>
        <v>1.0587041087527549</v>
      </c>
      <c r="AI30" s="107">
        <f t="shared" si="7"/>
        <v>1.0779537044351355</v>
      </c>
      <c r="AJ30" s="107" t="str">
        <f t="shared" si="8"/>
        <v>(1,1,2,1,1,3)</v>
      </c>
      <c r="AK30" s="108">
        <v>1</v>
      </c>
      <c r="AL30" s="108">
        <v>1</v>
      </c>
      <c r="AM30" s="108">
        <v>1.03</v>
      </c>
      <c r="AN30" s="108">
        <v>1</v>
      </c>
      <c r="AO30" s="108">
        <v>1</v>
      </c>
      <c r="AP30" s="108">
        <v>1.05</v>
      </c>
    </row>
    <row r="31" spans="1:42" ht="24" customHeight="1">
      <c r="A31" s="330">
        <v>269201</v>
      </c>
      <c r="B31" s="331"/>
      <c r="C31" s="88"/>
      <c r="D31" s="340">
        <v>5</v>
      </c>
      <c r="E31" s="341" t="s">
        <v>98</v>
      </c>
      <c r="F31" s="432" t="s">
        <v>470</v>
      </c>
      <c r="G31" s="433" t="s">
        <v>93</v>
      </c>
      <c r="H31" s="434" t="s">
        <v>98</v>
      </c>
      <c r="I31" s="434" t="s">
        <v>98</v>
      </c>
      <c r="J31" s="94">
        <v>0</v>
      </c>
      <c r="K31" s="433" t="s">
        <v>96</v>
      </c>
      <c r="L31" s="435">
        <v>4.53E-2</v>
      </c>
      <c r="M31" s="95">
        <v>1</v>
      </c>
      <c r="N31" s="96">
        <f t="shared" si="0"/>
        <v>1.1649902150316884</v>
      </c>
      <c r="O31" s="432" t="str">
        <f t="shared" si="1"/>
        <v>(1,4,3,3,1,3); 2015 and 2017-2018 (estimated) data for First Solar in US and Malaysia</v>
      </c>
      <c r="P31" s="435">
        <v>4.53E-2</v>
      </c>
      <c r="Q31" s="95">
        <v>1</v>
      </c>
      <c r="R31" s="96">
        <f t="shared" si="2"/>
        <v>1.1649902150316884</v>
      </c>
      <c r="S31" s="432" t="str">
        <f t="shared" si="3"/>
        <v>(1,4,3,3,1,3); 2015 and 2017-2018 (estimated) data for First Solar in US and Malaysia</v>
      </c>
      <c r="T31" s="435">
        <v>4.53E-2</v>
      </c>
      <c r="U31" s="95">
        <v>1</v>
      </c>
      <c r="V31" s="96">
        <f t="shared" si="4"/>
        <v>1.1649902150316884</v>
      </c>
      <c r="W31" s="432" t="str">
        <f t="shared" si="5"/>
        <v>(1,4,3,3,1,3); 2015 and 2017-2018 (estimated) data for First Solar in US and Malaysia</v>
      </c>
      <c r="X31" s="112"/>
      <c r="Y31" s="216" t="s">
        <v>1400</v>
      </c>
      <c r="Z31" s="339">
        <v>1</v>
      </c>
      <c r="AA31" s="339">
        <v>4</v>
      </c>
      <c r="AB31" s="339">
        <v>3</v>
      </c>
      <c r="AC31" s="339">
        <v>3</v>
      </c>
      <c r="AD31" s="339">
        <v>1</v>
      </c>
      <c r="AE31" s="339">
        <v>3</v>
      </c>
      <c r="AF31" s="104">
        <v>3</v>
      </c>
      <c r="AG31" s="104">
        <v>1.05</v>
      </c>
      <c r="AH31" s="107">
        <f t="shared" si="6"/>
        <v>1.1557031727027498</v>
      </c>
      <c r="AI31" s="107">
        <f t="shared" si="7"/>
        <v>1.1649902150316884</v>
      </c>
      <c r="AJ31" s="107" t="str">
        <f t="shared" si="8"/>
        <v>(1,4,3,3,1,3)</v>
      </c>
      <c r="AK31" s="108">
        <v>1</v>
      </c>
      <c r="AL31" s="108">
        <v>1.1000000000000001</v>
      </c>
      <c r="AM31" s="108">
        <v>1.1000000000000001</v>
      </c>
      <c r="AN31" s="108">
        <v>1.02</v>
      </c>
      <c r="AO31" s="108">
        <v>1</v>
      </c>
      <c r="AP31" s="108">
        <v>1.05</v>
      </c>
    </row>
    <row r="32" spans="1:42" ht="24" customHeight="1">
      <c r="A32" s="330">
        <v>269497</v>
      </c>
      <c r="B32" s="331"/>
      <c r="C32" s="88"/>
      <c r="D32" s="340">
        <v>5</v>
      </c>
      <c r="E32" s="341" t="s">
        <v>98</v>
      </c>
      <c r="F32" s="432" t="s">
        <v>468</v>
      </c>
      <c r="G32" s="433" t="s">
        <v>93</v>
      </c>
      <c r="H32" s="434" t="s">
        <v>98</v>
      </c>
      <c r="I32" s="434" t="s">
        <v>98</v>
      </c>
      <c r="J32" s="94">
        <v>0</v>
      </c>
      <c r="K32" s="433" t="s">
        <v>96</v>
      </c>
      <c r="L32" s="435">
        <v>4.9299999999999997E-2</v>
      </c>
      <c r="M32" s="95">
        <v>1</v>
      </c>
      <c r="N32" s="96">
        <f t="shared" si="0"/>
        <v>1.1649902150316884</v>
      </c>
      <c r="O32" s="432" t="str">
        <f t="shared" si="1"/>
        <v>(1,4,3,3,1,3); Fthenakis, literature</v>
      </c>
      <c r="P32" s="435">
        <v>4.9299999999999997E-2</v>
      </c>
      <c r="Q32" s="95">
        <v>1</v>
      </c>
      <c r="R32" s="96">
        <f t="shared" si="2"/>
        <v>1.1649902150316884</v>
      </c>
      <c r="S32" s="432" t="str">
        <f t="shared" si="3"/>
        <v>(1,4,3,3,1,3); Fthenakis, literature</v>
      </c>
      <c r="T32" s="435">
        <v>4.9299999999999997E-2</v>
      </c>
      <c r="U32" s="95">
        <v>1</v>
      </c>
      <c r="V32" s="96">
        <f t="shared" si="4"/>
        <v>1.1649902150316884</v>
      </c>
      <c r="W32" s="432" t="str">
        <f t="shared" si="5"/>
        <v>(1,4,3,3,1,3); Fthenakis, literature</v>
      </c>
      <c r="X32" s="112"/>
      <c r="Y32" s="216" t="s">
        <v>1398</v>
      </c>
      <c r="Z32" s="339">
        <v>1</v>
      </c>
      <c r="AA32" s="339">
        <v>4</v>
      </c>
      <c r="AB32" s="339">
        <v>3</v>
      </c>
      <c r="AC32" s="339">
        <v>3</v>
      </c>
      <c r="AD32" s="339">
        <v>1</v>
      </c>
      <c r="AE32" s="339">
        <v>3</v>
      </c>
      <c r="AF32" s="104">
        <v>3</v>
      </c>
      <c r="AG32" s="104">
        <v>1.05</v>
      </c>
      <c r="AH32" s="107">
        <f t="shared" si="6"/>
        <v>1.1557031727027498</v>
      </c>
      <c r="AI32" s="107">
        <f t="shared" si="7"/>
        <v>1.1649902150316884</v>
      </c>
      <c r="AJ32" s="107" t="str">
        <f t="shared" si="8"/>
        <v>(1,4,3,3,1,3)</v>
      </c>
      <c r="AK32" s="108">
        <v>1</v>
      </c>
      <c r="AL32" s="108">
        <v>1.1000000000000001</v>
      </c>
      <c r="AM32" s="108">
        <v>1.1000000000000001</v>
      </c>
      <c r="AN32" s="108">
        <v>1.02</v>
      </c>
      <c r="AO32" s="108">
        <v>1</v>
      </c>
      <c r="AP32" s="108">
        <v>1.05</v>
      </c>
    </row>
    <row r="33" spans="1:42" ht="24" customHeight="1">
      <c r="A33" s="330">
        <v>269295</v>
      </c>
      <c r="B33" s="331"/>
      <c r="C33" s="88"/>
      <c r="D33" s="340">
        <v>5</v>
      </c>
      <c r="E33" s="341" t="s">
        <v>98</v>
      </c>
      <c r="F33" s="432" t="s">
        <v>239</v>
      </c>
      <c r="G33" s="433" t="s">
        <v>93</v>
      </c>
      <c r="H33" s="434" t="s">
        <v>98</v>
      </c>
      <c r="I33" s="434" t="s">
        <v>98</v>
      </c>
      <c r="J33" s="94">
        <v>0</v>
      </c>
      <c r="K33" s="433" t="s">
        <v>96</v>
      </c>
      <c r="L33" s="435">
        <v>3.9300000000000002E-2</v>
      </c>
      <c r="M33" s="95">
        <v>1</v>
      </c>
      <c r="N33" s="96">
        <f t="shared" si="0"/>
        <v>1.0779537044351355</v>
      </c>
      <c r="O33" s="432" t="str">
        <f t="shared" si="1"/>
        <v>(1,1,2,1,1,3); 2015 and 2017-2018 (estimated) data for First Solar in US and Malaysia</v>
      </c>
      <c r="P33" s="435">
        <v>3.9300000000000002E-2</v>
      </c>
      <c r="Q33" s="95">
        <v>1</v>
      </c>
      <c r="R33" s="96">
        <f t="shared" si="2"/>
        <v>1.0779537044351355</v>
      </c>
      <c r="S33" s="432" t="str">
        <f t="shared" si="3"/>
        <v>(1,1,2,1,1,3); 2015 and 2017-2018 (estimated) data for First Solar in US and Malaysia</v>
      </c>
      <c r="T33" s="435">
        <v>3.9300000000000002E-2</v>
      </c>
      <c r="U33" s="95">
        <v>1</v>
      </c>
      <c r="V33" s="96">
        <f t="shared" si="4"/>
        <v>1.0779537044351355</v>
      </c>
      <c r="W33" s="432" t="str">
        <f t="shared" si="5"/>
        <v>(1,1,2,1,1,3); 2015 and 2017-2018 (estimated) data for First Solar in US and Malaysia</v>
      </c>
      <c r="X33" s="112"/>
      <c r="Y33" s="216" t="s">
        <v>1400</v>
      </c>
      <c r="Z33" s="339">
        <v>1</v>
      </c>
      <c r="AA33" s="339">
        <v>1</v>
      </c>
      <c r="AB33" s="339">
        <v>2</v>
      </c>
      <c r="AC33" s="339">
        <v>1</v>
      </c>
      <c r="AD33" s="339">
        <v>1</v>
      </c>
      <c r="AE33" s="339">
        <v>3</v>
      </c>
      <c r="AF33" s="104">
        <v>3</v>
      </c>
      <c r="AG33" s="104">
        <v>1.05</v>
      </c>
      <c r="AH33" s="107">
        <f t="shared" si="6"/>
        <v>1.0587041087527549</v>
      </c>
      <c r="AI33" s="107">
        <f t="shared" si="7"/>
        <v>1.0779537044351355</v>
      </c>
      <c r="AJ33" s="107" t="str">
        <f t="shared" si="8"/>
        <v>(1,1,2,1,1,3)</v>
      </c>
      <c r="AK33" s="108">
        <v>1</v>
      </c>
      <c r="AL33" s="108">
        <v>1</v>
      </c>
      <c r="AM33" s="108">
        <v>1.03</v>
      </c>
      <c r="AN33" s="108">
        <v>1</v>
      </c>
      <c r="AO33" s="108">
        <v>1</v>
      </c>
      <c r="AP33" s="108">
        <v>1.05</v>
      </c>
    </row>
    <row r="34" spans="1:42" ht="24" customHeight="1">
      <c r="A34" s="330">
        <v>257458</v>
      </c>
      <c r="B34" s="331"/>
      <c r="C34" s="88"/>
      <c r="D34" s="340">
        <v>5</v>
      </c>
      <c r="E34" s="341" t="s">
        <v>98</v>
      </c>
      <c r="F34" s="432" t="s">
        <v>490</v>
      </c>
      <c r="G34" s="433" t="s">
        <v>382</v>
      </c>
      <c r="H34" s="434" t="s">
        <v>98</v>
      </c>
      <c r="I34" s="434" t="s">
        <v>98</v>
      </c>
      <c r="J34" s="94">
        <v>0</v>
      </c>
      <c r="K34" s="433" t="s">
        <v>96</v>
      </c>
      <c r="L34" s="435">
        <v>117.909937040386</v>
      </c>
      <c r="M34" s="95">
        <v>1</v>
      </c>
      <c r="N34" s="96">
        <f t="shared" si="0"/>
        <v>1.0779537044351355</v>
      </c>
      <c r="O34" s="432" t="str">
        <f t="shared" si="1"/>
        <v>(1,1,2,1,1,3); 2015 and 2017-2018 (estimated) data for First Solar in US and Malaysia</v>
      </c>
      <c r="P34" s="435"/>
      <c r="Q34" s="95">
        <v>1</v>
      </c>
      <c r="R34" s="96">
        <f t="shared" si="2"/>
        <v>1.0779537044351355</v>
      </c>
      <c r="S34" s="432" t="str">
        <f t="shared" si="3"/>
        <v>(1,1,2,1,1,3); 2015 and 2017-2018 (estimated) data for First Solar in US and Malaysia</v>
      </c>
      <c r="T34" s="435"/>
      <c r="U34" s="95">
        <v>1</v>
      </c>
      <c r="V34" s="96">
        <f t="shared" si="4"/>
        <v>1.0779537044351355</v>
      </c>
      <c r="W34" s="432" t="str">
        <f t="shared" si="5"/>
        <v>(1,1,2,1,1,3); 2015 and 2017-2018 (estimated) data for First Solar in US and Malaysia</v>
      </c>
      <c r="X34" s="112"/>
      <c r="Y34" s="216" t="s">
        <v>1400</v>
      </c>
      <c r="Z34" s="339">
        <v>1</v>
      </c>
      <c r="AA34" s="339">
        <v>1</v>
      </c>
      <c r="AB34" s="339">
        <v>2</v>
      </c>
      <c r="AC34" s="339">
        <v>1</v>
      </c>
      <c r="AD34" s="339">
        <v>1</v>
      </c>
      <c r="AE34" s="339">
        <v>3</v>
      </c>
      <c r="AF34" s="104">
        <v>3</v>
      </c>
      <c r="AG34" s="104">
        <v>1.05</v>
      </c>
      <c r="AH34" s="107">
        <f t="shared" si="6"/>
        <v>1.0587041087527549</v>
      </c>
      <c r="AI34" s="107">
        <f t="shared" si="7"/>
        <v>1.0779537044351355</v>
      </c>
      <c r="AJ34" s="107" t="str">
        <f t="shared" si="8"/>
        <v>(1,1,2,1,1,3)</v>
      </c>
      <c r="AK34" s="108">
        <v>1</v>
      </c>
      <c r="AL34" s="108">
        <v>1</v>
      </c>
      <c r="AM34" s="108">
        <v>1.03</v>
      </c>
      <c r="AN34" s="108">
        <v>1</v>
      </c>
      <c r="AO34" s="108">
        <v>1</v>
      </c>
      <c r="AP34" s="108">
        <v>1.05</v>
      </c>
    </row>
    <row r="35" spans="1:42" ht="24" customHeight="1">
      <c r="A35" s="330">
        <v>265931</v>
      </c>
      <c r="B35" s="331"/>
      <c r="C35" s="88"/>
      <c r="D35" s="340">
        <v>5</v>
      </c>
      <c r="E35" s="341" t="s">
        <v>98</v>
      </c>
      <c r="F35" s="432" t="s">
        <v>489</v>
      </c>
      <c r="G35" s="433" t="s">
        <v>215</v>
      </c>
      <c r="H35" s="434" t="s">
        <v>98</v>
      </c>
      <c r="I35" s="434" t="s">
        <v>98</v>
      </c>
      <c r="J35" s="94">
        <v>0</v>
      </c>
      <c r="K35" s="433" t="s">
        <v>96</v>
      </c>
      <c r="L35" s="435">
        <v>0</v>
      </c>
      <c r="M35" s="95">
        <v>1</v>
      </c>
      <c r="N35" s="96">
        <f t="shared" si="0"/>
        <v>1.0936573467430124</v>
      </c>
      <c r="O35" s="432" t="str">
        <f t="shared" si="1"/>
        <v>(2,1,2,1,1,3); Assumption</v>
      </c>
      <c r="P35" s="435">
        <v>61.015298523725498</v>
      </c>
      <c r="Q35" s="95">
        <v>1</v>
      </c>
      <c r="R35" s="96">
        <f t="shared" si="2"/>
        <v>1.0936573467430124</v>
      </c>
      <c r="S35" s="432" t="str">
        <f t="shared" si="3"/>
        <v>(2,1,2,1,1,3); Assumption</v>
      </c>
      <c r="T35" s="435"/>
      <c r="U35" s="95">
        <v>1</v>
      </c>
      <c r="V35" s="96">
        <f t="shared" si="4"/>
        <v>1.0936573467430124</v>
      </c>
      <c r="W35" s="432" t="str">
        <f t="shared" si="5"/>
        <v>(2,1,2,1,1,3); Assumption</v>
      </c>
      <c r="X35" s="112"/>
      <c r="Y35" s="216" t="s">
        <v>1401</v>
      </c>
      <c r="Z35" s="339">
        <v>2</v>
      </c>
      <c r="AA35" s="339">
        <v>1</v>
      </c>
      <c r="AB35" s="339">
        <v>2</v>
      </c>
      <c r="AC35" s="339">
        <v>1</v>
      </c>
      <c r="AD35" s="339">
        <v>1</v>
      </c>
      <c r="AE35" s="339">
        <v>3</v>
      </c>
      <c r="AF35" s="104">
        <v>3</v>
      </c>
      <c r="AG35" s="104">
        <v>1.05</v>
      </c>
      <c r="AH35" s="107">
        <f t="shared" si="6"/>
        <v>1.0779537044351355</v>
      </c>
      <c r="AI35" s="107">
        <f t="shared" si="7"/>
        <v>1.0936573467430124</v>
      </c>
      <c r="AJ35" s="107" t="str">
        <f t="shared" si="8"/>
        <v>(2,1,2,1,1,3)</v>
      </c>
      <c r="AK35" s="108">
        <v>1.05</v>
      </c>
      <c r="AL35" s="108">
        <v>1</v>
      </c>
      <c r="AM35" s="108">
        <v>1.03</v>
      </c>
      <c r="AN35" s="108">
        <v>1</v>
      </c>
      <c r="AO35" s="108">
        <v>1</v>
      </c>
      <c r="AP35" s="108">
        <v>1.05</v>
      </c>
    </row>
    <row r="36" spans="1:42" ht="24" customHeight="1">
      <c r="A36" s="330" t="s">
        <v>650</v>
      </c>
      <c r="B36" s="331"/>
      <c r="C36" s="88"/>
      <c r="D36" s="340">
        <v>5</v>
      </c>
      <c r="E36" s="341" t="s">
        <v>98</v>
      </c>
      <c r="F36" s="432" t="s">
        <v>651</v>
      </c>
      <c r="G36" s="433" t="s">
        <v>647</v>
      </c>
      <c r="H36" s="434" t="s">
        <v>98</v>
      </c>
      <c r="I36" s="434" t="s">
        <v>98</v>
      </c>
      <c r="J36" s="94">
        <v>0</v>
      </c>
      <c r="K36" s="433" t="s">
        <v>96</v>
      </c>
      <c r="L36" s="435">
        <v>0</v>
      </c>
      <c r="M36" s="95">
        <v>1</v>
      </c>
      <c r="N36" s="96">
        <f t="shared" si="0"/>
        <v>3.0044434512710634</v>
      </c>
      <c r="O36" s="432" t="str">
        <f t="shared" si="1"/>
        <v>(1,1,2,1,1,3); 2010 data for First Solar in Malaysia</v>
      </c>
      <c r="P36" s="435"/>
      <c r="Q36" s="95">
        <v>1</v>
      </c>
      <c r="R36" s="96">
        <f t="shared" si="2"/>
        <v>3.0044434512710634</v>
      </c>
      <c r="S36" s="432" t="str">
        <f t="shared" si="3"/>
        <v>(1,1,2,1,1,3); 2010 data for First Solar in Malaysia</v>
      </c>
      <c r="T36" s="435">
        <v>76.568018950176807</v>
      </c>
      <c r="U36" s="95">
        <v>1</v>
      </c>
      <c r="V36" s="96">
        <f t="shared" si="4"/>
        <v>3.0044434512710634</v>
      </c>
      <c r="W36" s="432" t="str">
        <f t="shared" si="5"/>
        <v>(1,1,2,1,1,3); 2010 data for First Solar in Malaysia</v>
      </c>
      <c r="X36" s="427"/>
      <c r="Y36" s="216" t="s">
        <v>1402</v>
      </c>
      <c r="Z36" s="339">
        <v>1</v>
      </c>
      <c r="AA36" s="339">
        <v>1</v>
      </c>
      <c r="AB36" s="339">
        <v>2</v>
      </c>
      <c r="AC36" s="339">
        <v>1</v>
      </c>
      <c r="AD36" s="339">
        <v>1</v>
      </c>
      <c r="AE36" s="339">
        <v>3</v>
      </c>
      <c r="AF36" s="104">
        <v>9</v>
      </c>
      <c r="AG36" s="104">
        <v>3</v>
      </c>
      <c r="AH36" s="107">
        <f t="shared" si="6"/>
        <v>1.0587041087527549</v>
      </c>
      <c r="AI36" s="107">
        <f t="shared" si="7"/>
        <v>3.0044434512710634</v>
      </c>
      <c r="AJ36" s="107" t="str">
        <f t="shared" si="8"/>
        <v>(1,1,2,1,1,3)</v>
      </c>
      <c r="AK36" s="108">
        <v>1</v>
      </c>
      <c r="AL36" s="108">
        <v>1</v>
      </c>
      <c r="AM36" s="108">
        <v>1.03</v>
      </c>
      <c r="AN36" s="108">
        <v>1</v>
      </c>
      <c r="AO36" s="108">
        <v>1</v>
      </c>
      <c r="AP36" s="108">
        <v>1.05</v>
      </c>
    </row>
    <row r="37" spans="1:42" ht="24" customHeight="1">
      <c r="A37" s="330">
        <v>160371</v>
      </c>
      <c r="B37" s="331" t="s">
        <v>322</v>
      </c>
      <c r="C37" s="88"/>
      <c r="D37" s="340">
        <v>5</v>
      </c>
      <c r="E37" s="341" t="s">
        <v>98</v>
      </c>
      <c r="F37" s="432" t="s">
        <v>242</v>
      </c>
      <c r="G37" s="433" t="s">
        <v>93</v>
      </c>
      <c r="H37" s="434" t="s">
        <v>98</v>
      </c>
      <c r="I37" s="434" t="s">
        <v>98</v>
      </c>
      <c r="J37" s="94">
        <v>0</v>
      </c>
      <c r="K37" s="433" t="s">
        <v>115</v>
      </c>
      <c r="L37" s="435">
        <v>10.399314832995699</v>
      </c>
      <c r="M37" s="95">
        <v>1</v>
      </c>
      <c r="N37" s="96">
        <f t="shared" si="0"/>
        <v>2.0046923955187372</v>
      </c>
      <c r="O37" s="432" t="str">
        <f t="shared" si="1"/>
        <v>(1,1,2,1,1,3); 2015 and 2017-2018 (estimated) data for First Solar in US</v>
      </c>
      <c r="P37" s="435">
        <v>21.477353419799201</v>
      </c>
      <c r="Q37" s="95">
        <v>1</v>
      </c>
      <c r="R37" s="96">
        <f t="shared" si="2"/>
        <v>2.0046923955187372</v>
      </c>
      <c r="S37" s="432" t="str">
        <f t="shared" si="3"/>
        <v>(1,1,2,1,1,3); 2015 and 2017-2018 (estimated) data for First Solar in US</v>
      </c>
      <c r="T37" s="435">
        <v>0</v>
      </c>
      <c r="U37" s="95">
        <v>1</v>
      </c>
      <c r="V37" s="96">
        <f t="shared" si="4"/>
        <v>2.0046923955187372</v>
      </c>
      <c r="W37" s="432" t="str">
        <f t="shared" si="5"/>
        <v>(1,1,2,1,1,3); 2015 and 2017-2018 (estimated) data for First Solar in US</v>
      </c>
      <c r="X37" s="112"/>
      <c r="Y37" s="216" t="s">
        <v>1403</v>
      </c>
      <c r="Z37" s="339">
        <v>1</v>
      </c>
      <c r="AA37" s="339">
        <v>1</v>
      </c>
      <c r="AB37" s="339">
        <v>2</v>
      </c>
      <c r="AC37" s="339">
        <v>1</v>
      </c>
      <c r="AD37" s="339">
        <v>1</v>
      </c>
      <c r="AE37" s="339">
        <v>3</v>
      </c>
      <c r="AF37" s="104">
        <v>5</v>
      </c>
      <c r="AG37" s="104">
        <v>2</v>
      </c>
      <c r="AH37" s="107">
        <f t="shared" si="6"/>
        <v>1.0587041087527549</v>
      </c>
      <c r="AI37" s="107">
        <f t="shared" si="7"/>
        <v>2.0046923955187372</v>
      </c>
      <c r="AJ37" s="107" t="str">
        <f t="shared" si="8"/>
        <v>(1,1,2,1,1,3)</v>
      </c>
      <c r="AK37" s="108">
        <v>1</v>
      </c>
      <c r="AL37" s="108">
        <v>1</v>
      </c>
      <c r="AM37" s="108">
        <v>1.03</v>
      </c>
      <c r="AN37" s="108">
        <v>1</v>
      </c>
      <c r="AO37" s="108">
        <v>1</v>
      </c>
      <c r="AP37" s="108">
        <v>1.05</v>
      </c>
    </row>
    <row r="38" spans="1:42" ht="20.25" customHeight="1">
      <c r="A38" s="330">
        <v>269641</v>
      </c>
      <c r="B38" s="331"/>
      <c r="C38" s="88"/>
      <c r="D38" s="340">
        <v>5</v>
      </c>
      <c r="E38" s="341" t="s">
        <v>98</v>
      </c>
      <c r="F38" s="432" t="s">
        <v>240</v>
      </c>
      <c r="G38" s="433" t="s">
        <v>93</v>
      </c>
      <c r="H38" s="434" t="s">
        <v>98</v>
      </c>
      <c r="I38" s="434" t="s">
        <v>98</v>
      </c>
      <c r="J38" s="94">
        <v>0</v>
      </c>
      <c r="K38" s="433" t="s">
        <v>115</v>
      </c>
      <c r="L38" s="435">
        <v>0.98637196632298296</v>
      </c>
      <c r="M38" s="95">
        <v>1</v>
      </c>
      <c r="N38" s="96">
        <f t="shared" si="0"/>
        <v>2.0046923955187372</v>
      </c>
      <c r="O38" s="432" t="str">
        <f t="shared" si="1"/>
        <v>(1,1,2,1,1,3); 2015 and 2017-2018 (estimated) data for First Solar in US</v>
      </c>
      <c r="P38" s="435">
        <v>4.7430946219783801</v>
      </c>
      <c r="Q38" s="95">
        <v>1</v>
      </c>
      <c r="R38" s="96">
        <f t="shared" si="2"/>
        <v>2.0046923955187372</v>
      </c>
      <c r="S38" s="432" t="str">
        <f t="shared" si="3"/>
        <v>(1,1,2,1,1,3); 2015 and 2017-2018 (estimated) data for First Solar in US</v>
      </c>
      <c r="T38" s="435">
        <v>1.40896191087883</v>
      </c>
      <c r="U38" s="95">
        <v>1</v>
      </c>
      <c r="V38" s="96">
        <f t="shared" si="4"/>
        <v>2.0046923955187372</v>
      </c>
      <c r="W38" s="432" t="str">
        <f t="shared" si="5"/>
        <v>(1,1,2,1,1,3); 2015 and 2017-2018 (estimated) data for First Solar in US</v>
      </c>
      <c r="X38" s="112"/>
      <c r="Y38" s="216" t="s">
        <v>1403</v>
      </c>
      <c r="Z38" s="339">
        <v>1</v>
      </c>
      <c r="AA38" s="339">
        <v>1</v>
      </c>
      <c r="AB38" s="339">
        <v>2</v>
      </c>
      <c r="AC38" s="339">
        <v>1</v>
      </c>
      <c r="AD38" s="339">
        <v>1</v>
      </c>
      <c r="AE38" s="339">
        <v>3</v>
      </c>
      <c r="AF38" s="104">
        <v>5</v>
      </c>
      <c r="AG38" s="104">
        <v>2</v>
      </c>
      <c r="AH38" s="107">
        <f t="shared" si="6"/>
        <v>1.0587041087527549</v>
      </c>
      <c r="AI38" s="107">
        <f t="shared" si="7"/>
        <v>2.0046923955187372</v>
      </c>
      <c r="AJ38" s="107" t="str">
        <f t="shared" si="8"/>
        <v>(1,1,2,1,1,3)</v>
      </c>
      <c r="AK38" s="108">
        <v>1</v>
      </c>
      <c r="AL38" s="108">
        <v>1</v>
      </c>
      <c r="AM38" s="108">
        <v>1.03</v>
      </c>
      <c r="AN38" s="108">
        <v>1</v>
      </c>
      <c r="AO38" s="108">
        <v>1</v>
      </c>
      <c r="AP38" s="108">
        <v>1.05</v>
      </c>
    </row>
    <row r="39" spans="1:42" ht="24" customHeight="1">
      <c r="A39" s="330">
        <v>269599</v>
      </c>
      <c r="B39" s="331"/>
      <c r="C39" s="88"/>
      <c r="D39" s="340">
        <v>5</v>
      </c>
      <c r="E39" s="341" t="s">
        <v>98</v>
      </c>
      <c r="F39" s="432" t="s">
        <v>244</v>
      </c>
      <c r="G39" s="433" t="s">
        <v>245</v>
      </c>
      <c r="H39" s="434" t="s">
        <v>98</v>
      </c>
      <c r="I39" s="434" t="s">
        <v>98</v>
      </c>
      <c r="J39" s="94">
        <v>0</v>
      </c>
      <c r="K39" s="433" t="s">
        <v>115</v>
      </c>
      <c r="L39" s="435">
        <v>66.487997160472005</v>
      </c>
      <c r="M39" s="95">
        <v>1</v>
      </c>
      <c r="N39" s="96">
        <f t="shared" si="0"/>
        <v>2.0046923955187372</v>
      </c>
      <c r="O39" s="432" t="str">
        <f t="shared" si="1"/>
        <v>(1,1,2,1,1,3); 2015 and 2017-2018 (estimated) data for First Solar in US and Malaysia</v>
      </c>
      <c r="P39" s="435">
        <v>65.033338603282203</v>
      </c>
      <c r="Q39" s="95">
        <v>1</v>
      </c>
      <c r="R39" s="96">
        <f t="shared" si="2"/>
        <v>2.0046923955187372</v>
      </c>
      <c r="S39" s="432" t="str">
        <f t="shared" si="3"/>
        <v>(1,1,2,1,1,3); 2015 and 2017-2018 (estimated) data for First Solar in US and Malaysia</v>
      </c>
      <c r="T39" s="435">
        <v>38.067783726928504</v>
      </c>
      <c r="U39" s="95">
        <v>1</v>
      </c>
      <c r="V39" s="96">
        <f t="shared" si="4"/>
        <v>2.0046923955187372</v>
      </c>
      <c r="W39" s="432" t="str">
        <f t="shared" si="5"/>
        <v>(1,1,2,1,1,3); 2015 and 2017-2018 (estimated) data for First Solar in US and Malaysia</v>
      </c>
      <c r="X39" s="112"/>
      <c r="Y39" s="216" t="s">
        <v>1400</v>
      </c>
      <c r="Z39" s="339">
        <v>1</v>
      </c>
      <c r="AA39" s="339">
        <v>1</v>
      </c>
      <c r="AB39" s="339">
        <v>2</v>
      </c>
      <c r="AC39" s="339">
        <v>1</v>
      </c>
      <c r="AD39" s="339">
        <v>1</v>
      </c>
      <c r="AE39" s="339">
        <v>3</v>
      </c>
      <c r="AF39" s="104">
        <v>5</v>
      </c>
      <c r="AG39" s="104">
        <v>2</v>
      </c>
      <c r="AH39" s="107">
        <f t="shared" si="6"/>
        <v>1.0587041087527549</v>
      </c>
      <c r="AI39" s="107">
        <f t="shared" si="7"/>
        <v>2.0046923955187372</v>
      </c>
      <c r="AJ39" s="107" t="str">
        <f t="shared" si="8"/>
        <v>(1,1,2,1,1,3)</v>
      </c>
      <c r="AK39" s="108">
        <v>1</v>
      </c>
      <c r="AL39" s="108">
        <v>1</v>
      </c>
      <c r="AM39" s="108">
        <v>1.03</v>
      </c>
      <c r="AN39" s="108">
        <v>1</v>
      </c>
      <c r="AO39" s="108">
        <v>1</v>
      </c>
      <c r="AP39" s="108">
        <v>1.05</v>
      </c>
    </row>
    <row r="40" spans="1:42" ht="24" customHeight="1">
      <c r="A40" s="330">
        <v>157753</v>
      </c>
      <c r="B40" s="331" t="s">
        <v>511</v>
      </c>
      <c r="C40" s="88"/>
      <c r="D40" s="340">
        <v>5</v>
      </c>
      <c r="E40" s="341" t="s">
        <v>98</v>
      </c>
      <c r="F40" s="432" t="s">
        <v>515</v>
      </c>
      <c r="G40" s="433" t="s">
        <v>103</v>
      </c>
      <c r="H40" s="434" t="s">
        <v>98</v>
      </c>
      <c r="I40" s="434" t="s">
        <v>98</v>
      </c>
      <c r="J40" s="94">
        <v>0</v>
      </c>
      <c r="K40" s="433" t="s">
        <v>96</v>
      </c>
      <c r="L40" s="435">
        <v>0.10105394288214201</v>
      </c>
      <c r="M40" s="95">
        <v>1</v>
      </c>
      <c r="N40" s="96">
        <f t="shared" si="0"/>
        <v>1.0779537044351355</v>
      </c>
      <c r="O40" s="432" t="str">
        <f t="shared" si="1"/>
        <v>(1,1,2,1,1,3); 2015 and 2017-2018 (estimated) data for First Solar in Malaysia</v>
      </c>
      <c r="P40" s="435">
        <v>0.13758603337171199</v>
      </c>
      <c r="Q40" s="95">
        <v>1</v>
      </c>
      <c r="R40" s="96">
        <f t="shared" si="2"/>
        <v>1.0779537044351355</v>
      </c>
      <c r="S40" s="432" t="str">
        <f t="shared" si="3"/>
        <v>(1,1,2,1,1,3); 2015 and 2017-2018 (estimated) data for First Solar in Malaysia</v>
      </c>
      <c r="T40" s="435">
        <v>0.16755626850194599</v>
      </c>
      <c r="U40" s="95">
        <v>1</v>
      </c>
      <c r="V40" s="96">
        <f t="shared" si="4"/>
        <v>1.0779537044351355</v>
      </c>
      <c r="W40" s="432" t="str">
        <f t="shared" si="5"/>
        <v>(1,1,2,1,1,3); 2015 and 2017-2018 (estimated) data for First Solar in Malaysia</v>
      </c>
      <c r="X40" s="112"/>
      <c r="Y40" s="216" t="s">
        <v>1404</v>
      </c>
      <c r="Z40" s="339">
        <v>1</v>
      </c>
      <c r="AA40" s="339">
        <v>1</v>
      </c>
      <c r="AB40" s="339">
        <v>2</v>
      </c>
      <c r="AC40" s="339">
        <v>1</v>
      </c>
      <c r="AD40" s="339">
        <v>1</v>
      </c>
      <c r="AE40" s="339">
        <v>3</v>
      </c>
      <c r="AF40" s="104">
        <v>6</v>
      </c>
      <c r="AG40" s="104">
        <v>1.05</v>
      </c>
      <c r="AH40" s="107">
        <f t="shared" si="6"/>
        <v>1.0587041087527549</v>
      </c>
      <c r="AI40" s="107">
        <f t="shared" si="7"/>
        <v>1.0779537044351355</v>
      </c>
      <c r="AJ40" s="107" t="str">
        <f t="shared" si="8"/>
        <v>(1,1,2,1,1,3)</v>
      </c>
      <c r="AK40" s="108">
        <v>1</v>
      </c>
      <c r="AL40" s="108">
        <v>1</v>
      </c>
      <c r="AM40" s="108">
        <v>1.03</v>
      </c>
      <c r="AN40" s="108">
        <v>1</v>
      </c>
      <c r="AO40" s="108">
        <v>1</v>
      </c>
      <c r="AP40" s="108">
        <v>1.05</v>
      </c>
    </row>
    <row r="41" spans="1:42" ht="24" customHeight="1">
      <c r="A41" s="330">
        <v>79239</v>
      </c>
      <c r="B41" s="331"/>
      <c r="C41" s="88"/>
      <c r="D41" s="340">
        <v>5</v>
      </c>
      <c r="E41" s="341" t="s">
        <v>98</v>
      </c>
      <c r="F41" s="432" t="s">
        <v>512</v>
      </c>
      <c r="G41" s="433" t="s">
        <v>103</v>
      </c>
      <c r="H41" s="434" t="s">
        <v>98</v>
      </c>
      <c r="I41" s="434" t="s">
        <v>98</v>
      </c>
      <c r="J41" s="94">
        <v>0</v>
      </c>
      <c r="K41" s="433" t="s">
        <v>96</v>
      </c>
      <c r="L41" s="435">
        <v>0.24048397691696899</v>
      </c>
      <c r="M41" s="95">
        <v>1</v>
      </c>
      <c r="N41" s="96">
        <f t="shared" si="0"/>
        <v>1.0779537044351355</v>
      </c>
      <c r="O41" s="432" t="str">
        <f t="shared" si="1"/>
        <v>(1,1,2,1,1,3); 2015 and 2017-2018 (estimated) data for First Solar in Malaysia</v>
      </c>
      <c r="P41" s="435">
        <v>0.111910501267644</v>
      </c>
      <c r="Q41" s="95">
        <v>1</v>
      </c>
      <c r="R41" s="96">
        <f t="shared" si="2"/>
        <v>1.0779537044351355</v>
      </c>
      <c r="S41" s="432" t="str">
        <f t="shared" si="3"/>
        <v>(1,1,2,1,1,3); 2015 and 2017-2018 (estimated) data for First Solar in Malaysia</v>
      </c>
      <c r="T41" s="435">
        <v>8.0006781087789303E-2</v>
      </c>
      <c r="U41" s="95">
        <v>1</v>
      </c>
      <c r="V41" s="96">
        <f t="shared" si="4"/>
        <v>1.0779537044351355</v>
      </c>
      <c r="W41" s="432" t="str">
        <f t="shared" si="5"/>
        <v>(1,1,2,1,1,3); 2015 and 2017-2018 (estimated) data for First Solar in Malaysia</v>
      </c>
      <c r="X41" s="112"/>
      <c r="Y41" s="216" t="s">
        <v>1404</v>
      </c>
      <c r="Z41" s="339">
        <v>1</v>
      </c>
      <c r="AA41" s="339">
        <v>1</v>
      </c>
      <c r="AB41" s="339">
        <v>2</v>
      </c>
      <c r="AC41" s="339">
        <v>1</v>
      </c>
      <c r="AD41" s="339">
        <v>1</v>
      </c>
      <c r="AE41" s="339">
        <v>3</v>
      </c>
      <c r="AF41" s="104">
        <v>6</v>
      </c>
      <c r="AG41" s="104">
        <v>1.05</v>
      </c>
      <c r="AH41" s="107">
        <f t="shared" si="6"/>
        <v>1.0587041087527549</v>
      </c>
      <c r="AI41" s="107">
        <f t="shared" si="7"/>
        <v>1.0779537044351355</v>
      </c>
      <c r="AJ41" s="107" t="str">
        <f t="shared" si="8"/>
        <v>(1,1,2,1,1,3)</v>
      </c>
      <c r="AK41" s="108">
        <v>1</v>
      </c>
      <c r="AL41" s="108">
        <v>1</v>
      </c>
      <c r="AM41" s="108">
        <v>1.03</v>
      </c>
      <c r="AN41" s="108">
        <v>1</v>
      </c>
      <c r="AO41" s="108">
        <v>1</v>
      </c>
      <c r="AP41" s="108">
        <v>1.05</v>
      </c>
    </row>
    <row r="42" spans="1:42" ht="24" customHeight="1">
      <c r="A42" s="330">
        <v>269095</v>
      </c>
      <c r="B42" s="331"/>
      <c r="C42" s="88"/>
      <c r="D42" s="340">
        <v>5</v>
      </c>
      <c r="E42" s="341" t="s">
        <v>98</v>
      </c>
      <c r="F42" s="432" t="s">
        <v>323</v>
      </c>
      <c r="G42" s="433" t="s">
        <v>103</v>
      </c>
      <c r="H42" s="434" t="s">
        <v>98</v>
      </c>
      <c r="I42" s="434" t="s">
        <v>98</v>
      </c>
      <c r="J42" s="94">
        <v>0</v>
      </c>
      <c r="K42" s="433" t="s">
        <v>119</v>
      </c>
      <c r="L42" s="435">
        <v>0</v>
      </c>
      <c r="M42" s="95">
        <v>1</v>
      </c>
      <c r="N42" s="96">
        <f t="shared" si="0"/>
        <v>1.1649902150316884</v>
      </c>
      <c r="O42" s="432" t="str">
        <f t="shared" si="1"/>
        <v>(1,4,3,3,1,3); 2015 and 2017-2018 (estimated) data for First Solar in US and Malaysia</v>
      </c>
      <c r="P42" s="435">
        <v>2.76572555839944E-2</v>
      </c>
      <c r="Q42" s="95">
        <v>1</v>
      </c>
      <c r="R42" s="96">
        <f t="shared" si="2"/>
        <v>1.1649902150316884</v>
      </c>
      <c r="S42" s="432" t="str">
        <f t="shared" si="3"/>
        <v>(1,4,3,3,1,3); 2015 and 2017-2018 (estimated) data for First Solar in US and Malaysia</v>
      </c>
      <c r="T42" s="435">
        <v>4.7768421740212702E-2</v>
      </c>
      <c r="U42" s="95">
        <v>1</v>
      </c>
      <c r="V42" s="96">
        <f t="shared" si="4"/>
        <v>1.1649902150316884</v>
      </c>
      <c r="W42" s="432" t="str">
        <f t="shared" si="5"/>
        <v>(1,4,3,3,1,3); 2015 and 2017-2018 (estimated) data for First Solar in US and Malaysia</v>
      </c>
      <c r="X42" s="112"/>
      <c r="Y42" s="216" t="s">
        <v>1400</v>
      </c>
      <c r="Z42" s="339">
        <v>1</v>
      </c>
      <c r="AA42" s="339">
        <v>4</v>
      </c>
      <c r="AB42" s="339">
        <v>3</v>
      </c>
      <c r="AC42" s="339">
        <v>3</v>
      </c>
      <c r="AD42" s="339">
        <v>1</v>
      </c>
      <c r="AE42" s="339">
        <v>3</v>
      </c>
      <c r="AF42" s="104">
        <v>6</v>
      </c>
      <c r="AG42" s="104">
        <v>1.05</v>
      </c>
      <c r="AH42" s="107">
        <f t="shared" si="6"/>
        <v>1.1557031727027498</v>
      </c>
      <c r="AI42" s="107">
        <f t="shared" si="7"/>
        <v>1.1649902150316884</v>
      </c>
      <c r="AJ42" s="107" t="str">
        <f t="shared" si="8"/>
        <v>(1,4,3,3,1,3)</v>
      </c>
      <c r="AK42" s="108">
        <v>1</v>
      </c>
      <c r="AL42" s="108">
        <v>1.1000000000000001</v>
      </c>
      <c r="AM42" s="108">
        <v>1.1000000000000001</v>
      </c>
      <c r="AN42" s="108">
        <v>1.02</v>
      </c>
      <c r="AO42" s="108">
        <v>1</v>
      </c>
      <c r="AP42" s="108">
        <v>1.05</v>
      </c>
    </row>
    <row r="43" spans="1:42" ht="48" customHeight="1">
      <c r="A43" s="330">
        <v>21844</v>
      </c>
      <c r="B43" s="331" t="s">
        <v>1405</v>
      </c>
      <c r="C43" s="88"/>
      <c r="D43" s="340" t="s">
        <v>98</v>
      </c>
      <c r="E43" s="341">
        <v>4</v>
      </c>
      <c r="F43" s="432" t="s">
        <v>121</v>
      </c>
      <c r="G43" s="433" t="s">
        <v>98</v>
      </c>
      <c r="H43" s="434" t="s">
        <v>247</v>
      </c>
      <c r="I43" s="434" t="s">
        <v>258</v>
      </c>
      <c r="J43" s="94" t="s">
        <v>98</v>
      </c>
      <c r="K43" s="433" t="s">
        <v>104</v>
      </c>
      <c r="L43" s="435">
        <v>78.134918452873293</v>
      </c>
      <c r="M43" s="95">
        <v>1</v>
      </c>
      <c r="N43" s="96">
        <f t="shared" si="0"/>
        <v>1.0779537044351355</v>
      </c>
      <c r="O43" s="432" t="str">
        <f t="shared" si="1"/>
        <v>(1,1,2,1,1,3); 2015 and 2017-2018 (estimated) data for First Solar in US</v>
      </c>
      <c r="P43" s="435">
        <v>81.310576488358507</v>
      </c>
      <c r="Q43" s="95">
        <v>1</v>
      </c>
      <c r="R43" s="96">
        <f t="shared" si="2"/>
        <v>1.0779537044351355</v>
      </c>
      <c r="S43" s="432" t="str">
        <f t="shared" si="3"/>
        <v>(1,1,2,1,1,3); 2015 and 2017-2018 (estimated) data for First Solar in US</v>
      </c>
      <c r="T43" s="435">
        <v>69.527766005003002</v>
      </c>
      <c r="U43" s="95">
        <v>1</v>
      </c>
      <c r="V43" s="96">
        <f t="shared" si="4"/>
        <v>1.0779537044351355</v>
      </c>
      <c r="W43" s="432" t="str">
        <f t="shared" si="5"/>
        <v>(1,1,2,1,1,3); 2015 and 2017-2018 (estimated) data for First Solar in US</v>
      </c>
      <c r="X43" s="112"/>
      <c r="Y43" s="216" t="s">
        <v>1403</v>
      </c>
      <c r="Z43" s="339">
        <v>1</v>
      </c>
      <c r="AA43" s="339">
        <v>1</v>
      </c>
      <c r="AB43" s="339">
        <v>2</v>
      </c>
      <c r="AC43" s="339">
        <v>1</v>
      </c>
      <c r="AD43" s="339">
        <v>1</v>
      </c>
      <c r="AE43" s="339">
        <v>3</v>
      </c>
      <c r="AF43" s="104">
        <v>13</v>
      </c>
      <c r="AG43" s="104">
        <v>1.05</v>
      </c>
      <c r="AH43" s="107">
        <f t="shared" si="6"/>
        <v>1.0587041087527549</v>
      </c>
      <c r="AI43" s="107">
        <f t="shared" si="7"/>
        <v>1.0779537044351355</v>
      </c>
      <c r="AJ43" s="107" t="str">
        <f t="shared" si="8"/>
        <v>(1,1,2,1,1,3)</v>
      </c>
      <c r="AK43" s="108">
        <v>1</v>
      </c>
      <c r="AL43" s="108">
        <v>1</v>
      </c>
      <c r="AM43" s="108">
        <v>1.03</v>
      </c>
      <c r="AN43" s="108">
        <v>1</v>
      </c>
      <c r="AO43" s="108">
        <v>1</v>
      </c>
      <c r="AP43" s="108">
        <v>1.05</v>
      </c>
    </row>
    <row r="44" spans="1:42">
      <c r="A44" s="330">
        <v>32153</v>
      </c>
      <c r="B44" s="331"/>
      <c r="C44" s="88"/>
      <c r="D44" s="340" t="s">
        <v>98</v>
      </c>
      <c r="E44" s="341">
        <v>4</v>
      </c>
      <c r="F44" s="432" t="s">
        <v>352</v>
      </c>
      <c r="G44" s="433" t="s">
        <v>98</v>
      </c>
      <c r="H44" s="434" t="s">
        <v>247</v>
      </c>
      <c r="I44" s="434" t="s">
        <v>258</v>
      </c>
      <c r="J44" s="94" t="s">
        <v>98</v>
      </c>
      <c r="K44" s="433" t="s">
        <v>96</v>
      </c>
      <c r="L44" s="435">
        <v>2.9976806390361601E-8</v>
      </c>
      <c r="M44" s="95">
        <v>1</v>
      </c>
      <c r="N44" s="96">
        <f t="shared" si="0"/>
        <v>5.0949158853185388</v>
      </c>
      <c r="O44" s="432" t="str">
        <f t="shared" si="1"/>
        <v>(3,4,3,3,1,5); Calculation</v>
      </c>
      <c r="P44" s="435">
        <v>1.2010254983813799E-6</v>
      </c>
      <c r="Q44" s="95">
        <v>1</v>
      </c>
      <c r="R44" s="96">
        <f t="shared" si="2"/>
        <v>5.0949158853185388</v>
      </c>
      <c r="S44" s="432" t="str">
        <f t="shared" si="3"/>
        <v>(3,4,3,3,1,5); Calculation</v>
      </c>
      <c r="T44" s="435">
        <v>5.1567625237658305E-7</v>
      </c>
      <c r="U44" s="95">
        <v>1</v>
      </c>
      <c r="V44" s="96">
        <f t="shared" si="4"/>
        <v>5.0949158853185388</v>
      </c>
      <c r="W44" s="432" t="str">
        <f t="shared" si="5"/>
        <v>(3,4,3,3,1,5); Calculation</v>
      </c>
      <c r="X44" s="112"/>
      <c r="Y44" s="216" t="s">
        <v>249</v>
      </c>
      <c r="Z44" s="339">
        <v>3</v>
      </c>
      <c r="AA44" s="339">
        <v>4</v>
      </c>
      <c r="AB44" s="339">
        <v>3</v>
      </c>
      <c r="AC44" s="339">
        <v>3</v>
      </c>
      <c r="AD44" s="339">
        <v>1</v>
      </c>
      <c r="AE44" s="339">
        <v>5</v>
      </c>
      <c r="AF44" s="104">
        <v>22</v>
      </c>
      <c r="AG44" s="104">
        <v>5</v>
      </c>
      <c r="AH44" s="107">
        <f t="shared" si="6"/>
        <v>1.2798586482969265</v>
      </c>
      <c r="AI44" s="107">
        <f t="shared" si="7"/>
        <v>5.0949158853185388</v>
      </c>
      <c r="AJ44" s="107" t="str">
        <f t="shared" si="8"/>
        <v>(3,4,3,3,1,5)</v>
      </c>
      <c r="AK44" s="108">
        <v>1.1000000000000001</v>
      </c>
      <c r="AL44" s="108">
        <v>1.1000000000000001</v>
      </c>
      <c r="AM44" s="108">
        <v>1.1000000000000001</v>
      </c>
      <c r="AN44" s="108">
        <v>1.02</v>
      </c>
      <c r="AO44" s="108">
        <v>1</v>
      </c>
      <c r="AP44" s="108">
        <v>1.2</v>
      </c>
    </row>
    <row r="45" spans="1:42" ht="36" customHeight="1">
      <c r="A45" s="330">
        <v>90275</v>
      </c>
      <c r="B45" s="331"/>
      <c r="C45" s="88"/>
      <c r="D45" s="340" t="s">
        <v>98</v>
      </c>
      <c r="E45" s="341">
        <v>4</v>
      </c>
      <c r="F45" s="432" t="s">
        <v>259</v>
      </c>
      <c r="G45" s="433" t="s">
        <v>98</v>
      </c>
      <c r="H45" s="434" t="s">
        <v>247</v>
      </c>
      <c r="I45" s="434" t="s">
        <v>258</v>
      </c>
      <c r="J45" s="94" t="s">
        <v>98</v>
      </c>
      <c r="K45" s="433" t="s">
        <v>96</v>
      </c>
      <c r="L45" s="435">
        <v>6.0368241548977696E-3</v>
      </c>
      <c r="M45" s="95">
        <v>1</v>
      </c>
      <c r="N45" s="96">
        <f t="shared" si="0"/>
        <v>1.2859877072397368</v>
      </c>
      <c r="O45" s="432" t="str">
        <f t="shared" si="1"/>
        <v>(3,4,3,3,1,5); 46% evaporation of tap water; Personal communication Parikhit Sinha, FirstSolar</v>
      </c>
      <c r="P45" s="435">
        <v>1.41378186239775E-2</v>
      </c>
      <c r="Q45" s="95">
        <v>1</v>
      </c>
      <c r="R45" s="96">
        <f t="shared" si="2"/>
        <v>1.2859877072397368</v>
      </c>
      <c r="S45" s="432" t="str">
        <f t="shared" si="3"/>
        <v>(3,4,3,3,1,5); 46% evaporation of tap water; Personal communication Parikhit Sinha, FirstSolar</v>
      </c>
      <c r="T45" s="435">
        <v>6.0153828530297299E-3</v>
      </c>
      <c r="U45" s="95">
        <v>1</v>
      </c>
      <c r="V45" s="96">
        <f t="shared" si="4"/>
        <v>1.2859877072397368</v>
      </c>
      <c r="W45" s="432" t="str">
        <f t="shared" si="5"/>
        <v>(3,4,3,3,1,5); 46% evaporation of tap water; Personal communication Parikhit Sinha, FirstSolar</v>
      </c>
      <c r="X45" s="112"/>
      <c r="Y45" s="216" t="s">
        <v>1406</v>
      </c>
      <c r="Z45" s="339">
        <v>3</v>
      </c>
      <c r="AA45" s="339">
        <v>4</v>
      </c>
      <c r="AB45" s="339">
        <v>3</v>
      </c>
      <c r="AC45" s="339">
        <v>3</v>
      </c>
      <c r="AD45" s="339">
        <v>1</v>
      </c>
      <c r="AE45" s="339">
        <v>5</v>
      </c>
      <c r="AF45" s="104">
        <v>14</v>
      </c>
      <c r="AG45" s="104">
        <v>1.05</v>
      </c>
      <c r="AH45" s="107">
        <f t="shared" si="6"/>
        <v>1.2798586482969265</v>
      </c>
      <c r="AI45" s="107">
        <f t="shared" si="7"/>
        <v>1.2859877072397368</v>
      </c>
      <c r="AJ45" s="107" t="str">
        <f t="shared" si="8"/>
        <v>(3,4,3,3,1,5)</v>
      </c>
      <c r="AK45" s="108">
        <v>1.1000000000000001</v>
      </c>
      <c r="AL45" s="108">
        <v>1.1000000000000001</v>
      </c>
      <c r="AM45" s="108">
        <v>1.1000000000000001</v>
      </c>
      <c r="AN45" s="108">
        <v>1.02</v>
      </c>
      <c r="AO45" s="108">
        <v>1</v>
      </c>
      <c r="AP45" s="108">
        <v>1.2</v>
      </c>
    </row>
    <row r="46" spans="1:42" ht="24" customHeight="1">
      <c r="A46" s="330">
        <v>90531</v>
      </c>
      <c r="B46" s="331"/>
      <c r="C46" s="88"/>
      <c r="D46" s="340" t="s">
        <v>98</v>
      </c>
      <c r="E46" s="341">
        <v>4</v>
      </c>
      <c r="F46" s="432" t="s">
        <v>178</v>
      </c>
      <c r="G46" s="433" t="s">
        <v>98</v>
      </c>
      <c r="H46" s="434" t="s">
        <v>247</v>
      </c>
      <c r="I46" s="434" t="s">
        <v>258</v>
      </c>
      <c r="J46" s="94" t="s">
        <v>98</v>
      </c>
      <c r="K46" s="433" t="s">
        <v>96</v>
      </c>
      <c r="L46" s="435" t="s">
        <v>98</v>
      </c>
      <c r="M46" s="95">
        <v>1</v>
      </c>
      <c r="N46" s="96">
        <f t="shared" si="0"/>
        <v>5.0949158853185388</v>
      </c>
      <c r="O46" s="432" t="str">
        <f t="shared" si="1"/>
        <v>(3,4,3,3,1,5); Difference of tap water supply and wastewater outflow</v>
      </c>
      <c r="P46" s="435">
        <v>1.0746430926439701E-3</v>
      </c>
      <c r="Q46" s="95">
        <v>1</v>
      </c>
      <c r="R46" s="96">
        <f t="shared" si="2"/>
        <v>5.0949158853185388</v>
      </c>
      <c r="S46" s="432" t="str">
        <f t="shared" si="3"/>
        <v>(3,4,3,3,1,5); Difference of tap water supply and wastewater outflow</v>
      </c>
      <c r="T46" s="435">
        <v>5.1023029404027103E-6</v>
      </c>
      <c r="U46" s="95">
        <v>1</v>
      </c>
      <c r="V46" s="96">
        <f t="shared" si="4"/>
        <v>5.0949158853185388</v>
      </c>
      <c r="W46" s="432" t="str">
        <f t="shared" si="5"/>
        <v>(3,4,3,3,1,5); Difference of tap water supply and wastewater outflow</v>
      </c>
      <c r="X46" s="112"/>
      <c r="Y46" s="216" t="s">
        <v>1407</v>
      </c>
      <c r="Z46" s="339">
        <v>3</v>
      </c>
      <c r="AA46" s="339">
        <v>4</v>
      </c>
      <c r="AB46" s="339">
        <v>3</v>
      </c>
      <c r="AC46" s="339">
        <v>3</v>
      </c>
      <c r="AD46" s="339">
        <v>1</v>
      </c>
      <c r="AE46" s="339">
        <v>5</v>
      </c>
      <c r="AF46" s="104">
        <v>17</v>
      </c>
      <c r="AG46" s="104">
        <v>5</v>
      </c>
      <c r="AH46" s="107">
        <f t="shared" si="6"/>
        <v>1.2798586482969265</v>
      </c>
      <c r="AI46" s="107">
        <f t="shared" si="7"/>
        <v>5.0949158853185388</v>
      </c>
      <c r="AJ46" s="107" t="str">
        <f t="shared" si="8"/>
        <v>(3,4,3,3,1,5)</v>
      </c>
      <c r="AK46" s="108">
        <v>1.1000000000000001</v>
      </c>
      <c r="AL46" s="108">
        <v>1.1000000000000001</v>
      </c>
      <c r="AM46" s="108">
        <v>1.1000000000000001</v>
      </c>
      <c r="AN46" s="108">
        <v>1.02</v>
      </c>
      <c r="AO46" s="108">
        <v>1</v>
      </c>
      <c r="AP46" s="108">
        <v>1.2</v>
      </c>
    </row>
    <row r="47" spans="1:42" ht="24" customHeight="1">
      <c r="A47" s="330">
        <v>90351</v>
      </c>
      <c r="B47" s="331"/>
      <c r="C47" s="88"/>
      <c r="D47" s="340" t="s">
        <v>98</v>
      </c>
      <c r="E47" s="341">
        <v>4</v>
      </c>
      <c r="F47" s="432" t="s">
        <v>1017</v>
      </c>
      <c r="G47" s="433" t="s">
        <v>98</v>
      </c>
      <c r="H47" s="434" t="s">
        <v>247</v>
      </c>
      <c r="I47" s="434" t="s">
        <v>248</v>
      </c>
      <c r="J47" s="94" t="s">
        <v>98</v>
      </c>
      <c r="K47" s="433" t="s">
        <v>96</v>
      </c>
      <c r="L47" s="435">
        <v>7.8741184629101301E-6</v>
      </c>
      <c r="M47" s="95">
        <v>1</v>
      </c>
      <c r="N47" s="96">
        <f t="shared" si="0"/>
        <v>1.5209944396561488</v>
      </c>
      <c r="O47" s="432" t="str">
        <f t="shared" si="1"/>
        <v>(1,1,3,1,1,3); 2015 and 2017-2018 (estimated) data for First Solar in US</v>
      </c>
      <c r="P47" s="435">
        <v>0</v>
      </c>
      <c r="Q47" s="95">
        <v>1</v>
      </c>
      <c r="R47" s="96">
        <f t="shared" si="2"/>
        <v>1.5209944396561488</v>
      </c>
      <c r="S47" s="432" t="str">
        <f t="shared" si="3"/>
        <v>(1,1,3,1,1,3); 2015 and 2017-2018 (estimated) data for First Solar in US</v>
      </c>
      <c r="T47" s="435">
        <v>1.2056147068308499E-5</v>
      </c>
      <c r="U47" s="95">
        <v>1</v>
      </c>
      <c r="V47" s="96">
        <f t="shared" si="4"/>
        <v>1.5209944396561488</v>
      </c>
      <c r="W47" s="432" t="str">
        <f t="shared" si="5"/>
        <v>(1,1,3,1,1,3); 2015 and 2017-2018 (estimated) data for First Solar in US</v>
      </c>
      <c r="X47" s="112"/>
      <c r="Y47" s="216" t="s">
        <v>1403</v>
      </c>
      <c r="Z47" s="339">
        <v>1</v>
      </c>
      <c r="AA47" s="339">
        <v>1</v>
      </c>
      <c r="AB47" s="339">
        <v>3</v>
      </c>
      <c r="AC47" s="339">
        <v>1</v>
      </c>
      <c r="AD47" s="339">
        <v>1</v>
      </c>
      <c r="AE47" s="339">
        <v>3</v>
      </c>
      <c r="AF47" s="104">
        <v>18</v>
      </c>
      <c r="AG47" s="104">
        <v>1.5</v>
      </c>
      <c r="AH47" s="107">
        <f t="shared" si="6"/>
        <v>1.1130148943987077</v>
      </c>
      <c r="AI47" s="107">
        <f t="shared" si="7"/>
        <v>1.5209944396561488</v>
      </c>
      <c r="AJ47" s="107" t="str">
        <f t="shared" si="8"/>
        <v>(1,1,3,1,1,3)</v>
      </c>
      <c r="AK47" s="108">
        <v>1</v>
      </c>
      <c r="AL47" s="108">
        <v>1</v>
      </c>
      <c r="AM47" s="108">
        <v>1.1000000000000001</v>
      </c>
      <c r="AN47" s="108">
        <v>1</v>
      </c>
      <c r="AO47" s="108">
        <v>1</v>
      </c>
      <c r="AP47" s="108">
        <v>1.05</v>
      </c>
    </row>
    <row r="48" spans="1:42" ht="24" customHeight="1">
      <c r="A48" s="330">
        <v>160493</v>
      </c>
      <c r="B48" s="331"/>
      <c r="C48" s="88"/>
      <c r="D48" s="340" t="s">
        <v>98</v>
      </c>
      <c r="E48" s="341">
        <v>4</v>
      </c>
      <c r="F48" s="432" t="s">
        <v>1408</v>
      </c>
      <c r="G48" s="433" t="s">
        <v>98</v>
      </c>
      <c r="H48" s="434" t="s">
        <v>247</v>
      </c>
      <c r="I48" s="434" t="s">
        <v>258</v>
      </c>
      <c r="J48" s="94" t="s">
        <v>98</v>
      </c>
      <c r="K48" s="433" t="s">
        <v>96</v>
      </c>
      <c r="L48" s="435">
        <v>0</v>
      </c>
      <c r="M48" s="95">
        <v>1</v>
      </c>
      <c r="N48" s="96">
        <f t="shared" si="0"/>
        <v>1.5209944396561488</v>
      </c>
      <c r="O48" s="432" t="str">
        <f t="shared" si="1"/>
        <v>(1,1,3,1,1,3); 2015 and 2017-2018 (estimated) data for First Solar in US</v>
      </c>
      <c r="P48" s="435">
        <v>0</v>
      </c>
      <c r="Q48" s="95">
        <v>1</v>
      </c>
      <c r="R48" s="96">
        <f t="shared" si="2"/>
        <v>1.5209944396561488</v>
      </c>
      <c r="S48" s="432" t="str">
        <f t="shared" si="3"/>
        <v>(1,1,3,1,1,3); 2015 and 2017-2018 (estimated) data for First Solar in US</v>
      </c>
      <c r="T48" s="435">
        <v>2.5381362249070601E-6</v>
      </c>
      <c r="U48" s="95">
        <v>1</v>
      </c>
      <c r="V48" s="96">
        <f t="shared" si="4"/>
        <v>1.5209944396561488</v>
      </c>
      <c r="W48" s="432" t="str">
        <f t="shared" si="5"/>
        <v>(1,1,3,1,1,3); 2015 and 2017-2018 (estimated) data for First Solar in US</v>
      </c>
      <c r="X48" s="112"/>
      <c r="Y48" s="216" t="s">
        <v>1403</v>
      </c>
      <c r="Z48" s="339">
        <v>1</v>
      </c>
      <c r="AA48" s="339">
        <v>1</v>
      </c>
      <c r="AB48" s="339">
        <v>3</v>
      </c>
      <c r="AC48" s="339">
        <v>1</v>
      </c>
      <c r="AD48" s="339">
        <v>1</v>
      </c>
      <c r="AE48" s="339">
        <v>3</v>
      </c>
      <c r="AF48" s="104">
        <v>18</v>
      </c>
      <c r="AG48" s="104">
        <v>1.5</v>
      </c>
      <c r="AH48" s="107">
        <f t="shared" si="6"/>
        <v>1.1130148943987077</v>
      </c>
      <c r="AI48" s="107">
        <f t="shared" si="7"/>
        <v>1.5209944396561488</v>
      </c>
      <c r="AJ48" s="107" t="str">
        <f t="shared" si="8"/>
        <v>(1,1,3,1,1,3)</v>
      </c>
      <c r="AK48" s="108">
        <v>1</v>
      </c>
      <c r="AL48" s="108">
        <v>1</v>
      </c>
      <c r="AM48" s="108">
        <v>1.1000000000000001</v>
      </c>
      <c r="AN48" s="108">
        <v>1</v>
      </c>
      <c r="AO48" s="108">
        <v>1</v>
      </c>
      <c r="AP48" s="108">
        <v>1.05</v>
      </c>
    </row>
    <row r="49" spans="1:42" ht="24" customHeight="1">
      <c r="A49" s="330">
        <v>37859</v>
      </c>
      <c r="B49" s="331"/>
      <c r="C49" s="88"/>
      <c r="D49" s="340" t="s">
        <v>98</v>
      </c>
      <c r="E49" s="341">
        <v>4</v>
      </c>
      <c r="F49" s="432" t="s">
        <v>1409</v>
      </c>
      <c r="G49" s="433" t="s">
        <v>98</v>
      </c>
      <c r="H49" s="434" t="s">
        <v>247</v>
      </c>
      <c r="I49" s="434" t="s">
        <v>258</v>
      </c>
      <c r="J49" s="94" t="s">
        <v>98</v>
      </c>
      <c r="K49" s="433" t="s">
        <v>96</v>
      </c>
      <c r="L49" s="435">
        <v>1.64129995344034E-6</v>
      </c>
      <c r="M49" s="95">
        <v>1</v>
      </c>
      <c r="N49" s="96">
        <f t="shared" si="0"/>
        <v>1.5209944396561488</v>
      </c>
      <c r="O49" s="432" t="str">
        <f t="shared" si="1"/>
        <v>(1,1,3,1,1,3); 2015 and 2017-2018 (estimated) data for First Solar in US</v>
      </c>
      <c r="P49" s="435">
        <v>3.3482493052538299E-4</v>
      </c>
      <c r="Q49" s="95">
        <v>1</v>
      </c>
      <c r="R49" s="96">
        <f t="shared" si="2"/>
        <v>1.5209944396561488</v>
      </c>
      <c r="S49" s="432" t="str">
        <f t="shared" si="3"/>
        <v>(1,1,3,1,1,3); 2015 and 2017-2018 (estimated) data for First Solar in US</v>
      </c>
      <c r="T49" s="435">
        <v>4.32861541399177E-5</v>
      </c>
      <c r="U49" s="95">
        <v>1</v>
      </c>
      <c r="V49" s="96">
        <f t="shared" si="4"/>
        <v>1.5209944396561488</v>
      </c>
      <c r="W49" s="432" t="str">
        <f t="shared" si="5"/>
        <v>(1,1,3,1,1,3); 2015 and 2017-2018 (estimated) data for First Solar in US</v>
      </c>
      <c r="X49" s="112"/>
      <c r="Y49" s="216" t="s">
        <v>1403</v>
      </c>
      <c r="Z49" s="339">
        <v>1</v>
      </c>
      <c r="AA49" s="339">
        <v>1</v>
      </c>
      <c r="AB49" s="339">
        <v>3</v>
      </c>
      <c r="AC49" s="339">
        <v>1</v>
      </c>
      <c r="AD49" s="339">
        <v>1</v>
      </c>
      <c r="AE49" s="339">
        <v>3</v>
      </c>
      <c r="AF49" s="104">
        <v>18</v>
      </c>
      <c r="AG49" s="104">
        <v>1.5</v>
      </c>
      <c r="AH49" s="107">
        <f t="shared" si="6"/>
        <v>1.1130148943987077</v>
      </c>
      <c r="AI49" s="107">
        <f t="shared" si="7"/>
        <v>1.5209944396561488</v>
      </c>
      <c r="AJ49" s="107" t="str">
        <f t="shared" si="8"/>
        <v>(1,1,3,1,1,3)</v>
      </c>
      <c r="AK49" s="108">
        <v>1</v>
      </c>
      <c r="AL49" s="108">
        <v>1</v>
      </c>
      <c r="AM49" s="108">
        <v>1.1000000000000001</v>
      </c>
      <c r="AN49" s="108">
        <v>1</v>
      </c>
      <c r="AO49" s="108">
        <v>1</v>
      </c>
      <c r="AP49" s="108">
        <v>1.05</v>
      </c>
    </row>
    <row r="50" spans="1:42" ht="24" customHeight="1">
      <c r="A50" s="330">
        <v>26267</v>
      </c>
      <c r="B50" s="331"/>
      <c r="C50" s="88"/>
      <c r="D50" s="340" t="s">
        <v>98</v>
      </c>
      <c r="E50" s="341">
        <v>4</v>
      </c>
      <c r="F50" s="432" t="s">
        <v>181</v>
      </c>
      <c r="G50" s="433" t="s">
        <v>98</v>
      </c>
      <c r="H50" s="434" t="s">
        <v>247</v>
      </c>
      <c r="I50" s="434" t="s">
        <v>258</v>
      </c>
      <c r="J50" s="94" t="s">
        <v>98</v>
      </c>
      <c r="K50" s="433" t="s">
        <v>96</v>
      </c>
      <c r="L50" s="435">
        <v>2.0577416456062401E-5</v>
      </c>
      <c r="M50" s="95">
        <v>1</v>
      </c>
      <c r="N50" s="96">
        <f t="shared" si="0"/>
        <v>1.5209944396561488</v>
      </c>
      <c r="O50" s="432" t="str">
        <f t="shared" si="1"/>
        <v>(1,1,3,1,1,3); 2015 and 2017-2018 (estimated) data for First Solar in US</v>
      </c>
      <c r="P50" s="435">
        <v>3.7326868751910501E-3</v>
      </c>
      <c r="Q50" s="95">
        <v>1</v>
      </c>
      <c r="R50" s="96">
        <f t="shared" si="2"/>
        <v>1.5209944396561488</v>
      </c>
      <c r="S50" s="432" t="str">
        <f t="shared" si="3"/>
        <v>(1,1,3,1,1,3); 2015 and 2017-2018 (estimated) data for First Solar in US</v>
      </c>
      <c r="T50" s="435">
        <v>4.5389061133264199E-4</v>
      </c>
      <c r="U50" s="95">
        <v>1</v>
      </c>
      <c r="V50" s="96">
        <f t="shared" si="4"/>
        <v>1.5209944396561488</v>
      </c>
      <c r="W50" s="432" t="str">
        <f t="shared" si="5"/>
        <v>(1,1,3,1,1,3); 2015 and 2017-2018 (estimated) data for First Solar in US</v>
      </c>
      <c r="X50" s="112"/>
      <c r="Y50" s="216" t="s">
        <v>1403</v>
      </c>
      <c r="Z50" s="339">
        <v>1</v>
      </c>
      <c r="AA50" s="339">
        <v>1</v>
      </c>
      <c r="AB50" s="339">
        <v>3</v>
      </c>
      <c r="AC50" s="339">
        <v>1</v>
      </c>
      <c r="AD50" s="339">
        <v>1</v>
      </c>
      <c r="AE50" s="339">
        <v>3</v>
      </c>
      <c r="AF50" s="104">
        <v>16</v>
      </c>
      <c r="AG50" s="104">
        <v>1.5</v>
      </c>
      <c r="AH50" s="107">
        <f t="shared" si="6"/>
        <v>1.1130148943987077</v>
      </c>
      <c r="AI50" s="107">
        <f t="shared" si="7"/>
        <v>1.5209944396561488</v>
      </c>
      <c r="AJ50" s="107" t="str">
        <f t="shared" si="8"/>
        <v>(1,1,3,1,1,3)</v>
      </c>
      <c r="AK50" s="108">
        <v>1</v>
      </c>
      <c r="AL50" s="108">
        <v>1</v>
      </c>
      <c r="AM50" s="108">
        <v>1.1000000000000001</v>
      </c>
      <c r="AN50" s="108">
        <v>1</v>
      </c>
      <c r="AO50" s="108">
        <v>1</v>
      </c>
      <c r="AP50" s="108">
        <v>1.05</v>
      </c>
    </row>
    <row r="51" spans="1:42" ht="36" customHeight="1">
      <c r="A51" s="330">
        <v>160225</v>
      </c>
      <c r="B51" s="331" t="s">
        <v>1410</v>
      </c>
      <c r="C51" s="88"/>
      <c r="D51" s="340" t="s">
        <v>98</v>
      </c>
      <c r="E51" s="341">
        <v>4</v>
      </c>
      <c r="F51" s="432" t="s">
        <v>297</v>
      </c>
      <c r="G51" s="433" t="s">
        <v>98</v>
      </c>
      <c r="H51" s="434" t="s">
        <v>344</v>
      </c>
      <c r="I51" s="434" t="s">
        <v>248</v>
      </c>
      <c r="J51" s="94" t="s">
        <v>98</v>
      </c>
      <c r="K51" s="433" t="s">
        <v>96</v>
      </c>
      <c r="L51" s="435">
        <v>2.1999872281798499E-4</v>
      </c>
      <c r="M51" s="95">
        <v>1</v>
      </c>
      <c r="N51" s="96">
        <f t="shared" si="0"/>
        <v>1.5209944396561488</v>
      </c>
      <c r="O51" s="432" t="str">
        <f t="shared" si="1"/>
        <v>(1,1,3,1,1,3); 2015 and 2017-2018 (estimated) data for First Solar in US</v>
      </c>
      <c r="P51" s="435">
        <v>1.38286277919972E-4</v>
      </c>
      <c r="Q51" s="95">
        <v>1</v>
      </c>
      <c r="R51" s="96">
        <f t="shared" si="2"/>
        <v>1.5209944396561488</v>
      </c>
      <c r="S51" s="432" t="str">
        <f t="shared" si="3"/>
        <v>(1,1,3,1,1,3); 2015 and 2017-2018 (estimated) data for First Solar in US</v>
      </c>
      <c r="T51" s="435">
        <v>4.2275053240088201E-4</v>
      </c>
      <c r="U51" s="95">
        <v>1</v>
      </c>
      <c r="V51" s="96">
        <f t="shared" si="4"/>
        <v>1.5209944396561488</v>
      </c>
      <c r="W51" s="432" t="str">
        <f t="shared" si="5"/>
        <v>(1,1,3,1,1,3); 2015 and 2017-2018 (estimated) data for First Solar in US</v>
      </c>
      <c r="X51" s="112"/>
      <c r="Y51" s="216" t="s">
        <v>1403</v>
      </c>
      <c r="Z51" s="339">
        <v>1</v>
      </c>
      <c r="AA51" s="339">
        <v>1</v>
      </c>
      <c r="AB51" s="339">
        <v>3</v>
      </c>
      <c r="AC51" s="339">
        <v>1</v>
      </c>
      <c r="AD51" s="339">
        <v>1</v>
      </c>
      <c r="AE51" s="339">
        <v>3</v>
      </c>
      <c r="AF51" s="104">
        <v>32</v>
      </c>
      <c r="AG51" s="104">
        <v>1.5</v>
      </c>
      <c r="AH51" s="107">
        <f t="shared" si="6"/>
        <v>1.1130148943987077</v>
      </c>
      <c r="AI51" s="107">
        <f t="shared" si="7"/>
        <v>1.5209944396561488</v>
      </c>
      <c r="AJ51" s="107" t="str">
        <f t="shared" si="8"/>
        <v>(1,1,3,1,1,3)</v>
      </c>
      <c r="AK51" s="108">
        <v>1</v>
      </c>
      <c r="AL51" s="108">
        <v>1</v>
      </c>
      <c r="AM51" s="108">
        <v>1.1000000000000001</v>
      </c>
      <c r="AN51" s="108">
        <v>1</v>
      </c>
      <c r="AO51" s="108">
        <v>1</v>
      </c>
      <c r="AP51" s="108">
        <v>1.05</v>
      </c>
    </row>
    <row r="52" spans="1:42" ht="24" customHeight="1">
      <c r="A52" s="330">
        <v>160297</v>
      </c>
      <c r="B52" s="331"/>
      <c r="C52" s="88"/>
      <c r="D52" s="340" t="s">
        <v>98</v>
      </c>
      <c r="E52" s="341">
        <v>4</v>
      </c>
      <c r="F52" s="432" t="s">
        <v>352</v>
      </c>
      <c r="G52" s="433" t="s">
        <v>98</v>
      </c>
      <c r="H52" s="434" t="s">
        <v>344</v>
      </c>
      <c r="I52" s="434" t="s">
        <v>248</v>
      </c>
      <c r="J52" s="94" t="s">
        <v>98</v>
      </c>
      <c r="K52" s="433" t="s">
        <v>96</v>
      </c>
      <c r="L52" s="435">
        <v>8.8709162426607002E-8</v>
      </c>
      <c r="M52" s="95">
        <v>1</v>
      </c>
      <c r="N52" s="96">
        <f t="shared" si="0"/>
        <v>3.0156568896139588</v>
      </c>
      <c r="O52" s="432" t="str">
        <f t="shared" si="1"/>
        <v>(1,1,3,1,1,3); 2015 and 2017-2018 (estimated) data for First Solar in US</v>
      </c>
      <c r="P52" s="435">
        <v>5.5544988297855399E-7</v>
      </c>
      <c r="Q52" s="95">
        <v>1</v>
      </c>
      <c r="R52" s="96">
        <f t="shared" si="2"/>
        <v>3.0156568896139588</v>
      </c>
      <c r="S52" s="432" t="str">
        <f t="shared" si="3"/>
        <v>(1,1,3,1,1,3); 2015 and 2017-2018 (estimated) data for First Solar in US</v>
      </c>
      <c r="T52" s="435">
        <v>2.4483306492764798E-8</v>
      </c>
      <c r="U52" s="95">
        <v>1</v>
      </c>
      <c r="V52" s="96">
        <f t="shared" si="4"/>
        <v>3.0156568896139588</v>
      </c>
      <c r="W52" s="432" t="str">
        <f t="shared" si="5"/>
        <v>(1,1,3,1,1,3); 2015 and 2017-2018 (estimated) data for First Solar in US</v>
      </c>
      <c r="X52" s="112"/>
      <c r="Y52" s="216" t="s">
        <v>1403</v>
      </c>
      <c r="Z52" s="339">
        <v>1</v>
      </c>
      <c r="AA52" s="339">
        <v>1</v>
      </c>
      <c r="AB52" s="339">
        <v>3</v>
      </c>
      <c r="AC52" s="339">
        <v>1</v>
      </c>
      <c r="AD52" s="339">
        <v>1</v>
      </c>
      <c r="AE52" s="339">
        <v>3</v>
      </c>
      <c r="AF52" s="104">
        <v>34</v>
      </c>
      <c r="AG52" s="104">
        <v>3</v>
      </c>
      <c r="AH52" s="107">
        <f t="shared" si="6"/>
        <v>1.1130148943987077</v>
      </c>
      <c r="AI52" s="107">
        <f t="shared" si="7"/>
        <v>3.0156568896139588</v>
      </c>
      <c r="AJ52" s="107" t="str">
        <f t="shared" si="8"/>
        <v>(1,1,3,1,1,3)</v>
      </c>
      <c r="AK52" s="108">
        <v>1</v>
      </c>
      <c r="AL52" s="108">
        <v>1</v>
      </c>
      <c r="AM52" s="108">
        <v>1.1000000000000001</v>
      </c>
      <c r="AN52" s="108">
        <v>1</v>
      </c>
      <c r="AO52" s="108">
        <v>1</v>
      </c>
      <c r="AP52" s="108">
        <v>1.05</v>
      </c>
    </row>
    <row r="53" spans="1:42" ht="24" customHeight="1">
      <c r="A53" s="330">
        <v>160217</v>
      </c>
      <c r="B53" s="331"/>
      <c r="C53" s="88"/>
      <c r="D53" s="340" t="s">
        <v>98</v>
      </c>
      <c r="E53" s="341">
        <v>4</v>
      </c>
      <c r="F53" s="432" t="s">
        <v>296</v>
      </c>
      <c r="G53" s="433" t="s">
        <v>98</v>
      </c>
      <c r="H53" s="434" t="s">
        <v>344</v>
      </c>
      <c r="I53" s="434" t="s">
        <v>248</v>
      </c>
      <c r="J53" s="94" t="s">
        <v>98</v>
      </c>
      <c r="K53" s="433" t="s">
        <v>96</v>
      </c>
      <c r="L53" s="435">
        <v>9.7580078669267701E-4</v>
      </c>
      <c r="M53" s="95">
        <v>1</v>
      </c>
      <c r="N53" s="96">
        <f t="shared" si="0"/>
        <v>1.5209944396561488</v>
      </c>
      <c r="O53" s="432" t="str">
        <f t="shared" si="1"/>
        <v>(1,1,3,1,1,3); 2015 and 2017-2018 (estimated) data for First Solar in US</v>
      </c>
      <c r="P53" s="435">
        <v>1.21738019995549E-3</v>
      </c>
      <c r="Q53" s="95">
        <v>1</v>
      </c>
      <c r="R53" s="96">
        <f t="shared" si="2"/>
        <v>1.5209944396561488</v>
      </c>
      <c r="S53" s="432" t="str">
        <f t="shared" si="3"/>
        <v>(1,1,3,1,1,3); 2015 and 2017-2018 (estimated) data for First Solar in US</v>
      </c>
      <c r="T53" s="435">
        <v>1.0556821204586999E-3</v>
      </c>
      <c r="U53" s="95">
        <v>1</v>
      </c>
      <c r="V53" s="96">
        <f t="shared" si="4"/>
        <v>1.5209944396561488</v>
      </c>
      <c r="W53" s="432" t="str">
        <f t="shared" si="5"/>
        <v>(1,1,3,1,1,3); 2015 and 2017-2018 (estimated) data for First Solar in US</v>
      </c>
      <c r="X53" s="112"/>
      <c r="Y53" s="216" t="s">
        <v>1403</v>
      </c>
      <c r="Z53" s="339">
        <v>1</v>
      </c>
      <c r="AA53" s="339">
        <v>1</v>
      </c>
      <c r="AB53" s="339">
        <v>3</v>
      </c>
      <c r="AC53" s="339">
        <v>1</v>
      </c>
      <c r="AD53" s="339">
        <v>1</v>
      </c>
      <c r="AE53" s="339">
        <v>3</v>
      </c>
      <c r="AF53" s="104">
        <v>32</v>
      </c>
      <c r="AG53" s="104">
        <v>1.5</v>
      </c>
      <c r="AH53" s="107">
        <f t="shared" si="6"/>
        <v>1.1130148943987077</v>
      </c>
      <c r="AI53" s="107">
        <f t="shared" si="7"/>
        <v>1.5209944396561488</v>
      </c>
      <c r="AJ53" s="107" t="str">
        <f t="shared" si="8"/>
        <v>(1,1,3,1,1,3)</v>
      </c>
      <c r="AK53" s="108">
        <v>1</v>
      </c>
      <c r="AL53" s="108">
        <v>1</v>
      </c>
      <c r="AM53" s="108">
        <v>1.1000000000000001</v>
      </c>
      <c r="AN53" s="108">
        <v>1</v>
      </c>
      <c r="AO53" s="108">
        <v>1</v>
      </c>
      <c r="AP53" s="108">
        <v>1.05</v>
      </c>
    </row>
    <row r="54" spans="1:42" ht="24" customHeight="1">
      <c r="A54" s="330">
        <v>160303</v>
      </c>
      <c r="B54" s="331"/>
      <c r="C54" s="88"/>
      <c r="D54" s="340" t="s">
        <v>98</v>
      </c>
      <c r="E54" s="341">
        <v>4</v>
      </c>
      <c r="F54" s="432" t="s">
        <v>346</v>
      </c>
      <c r="G54" s="433" t="s">
        <v>98</v>
      </c>
      <c r="H54" s="434" t="s">
        <v>344</v>
      </c>
      <c r="I54" s="434" t="s">
        <v>248</v>
      </c>
      <c r="J54" s="94" t="s">
        <v>98</v>
      </c>
      <c r="K54" s="433" t="s">
        <v>96</v>
      </c>
      <c r="L54" s="435">
        <v>8.8709162426607004E-7</v>
      </c>
      <c r="M54" s="95">
        <v>1</v>
      </c>
      <c r="N54" s="96">
        <f t="shared" si="0"/>
        <v>3.0156568896139588</v>
      </c>
      <c r="O54" s="432" t="str">
        <f t="shared" si="1"/>
        <v>(1,1,3,1,1,3); 2015 and 2017-2018 (estimated) data for First Solar in US</v>
      </c>
      <c r="P54" s="435">
        <v>7.72098385053177E-7</v>
      </c>
      <c r="Q54" s="95">
        <v>1</v>
      </c>
      <c r="R54" s="96">
        <f t="shared" si="2"/>
        <v>3.0156568896139588</v>
      </c>
      <c r="S54" s="432" t="str">
        <f t="shared" si="3"/>
        <v>(1,1,3,1,1,3); 2015 and 2017-2018 (estimated) data for First Solar in US</v>
      </c>
      <c r="T54" s="435">
        <v>8.3594738045372203E-7</v>
      </c>
      <c r="U54" s="95">
        <v>1</v>
      </c>
      <c r="V54" s="96">
        <f t="shared" si="4"/>
        <v>3.0156568896139588</v>
      </c>
      <c r="W54" s="432" t="str">
        <f t="shared" si="5"/>
        <v>(1,1,3,1,1,3); 2015 and 2017-2018 (estimated) data for First Solar in US</v>
      </c>
      <c r="X54" s="112"/>
      <c r="Y54" s="216" t="s">
        <v>1403</v>
      </c>
      <c r="Z54" s="339">
        <v>1</v>
      </c>
      <c r="AA54" s="339">
        <v>1</v>
      </c>
      <c r="AB54" s="339">
        <v>3</v>
      </c>
      <c r="AC54" s="339">
        <v>1</v>
      </c>
      <c r="AD54" s="339">
        <v>1</v>
      </c>
      <c r="AE54" s="339">
        <v>3</v>
      </c>
      <c r="AF54" s="104">
        <v>34</v>
      </c>
      <c r="AG54" s="104">
        <v>3</v>
      </c>
      <c r="AH54" s="107">
        <f t="shared" si="6"/>
        <v>1.1130148943987077</v>
      </c>
      <c r="AI54" s="107">
        <f t="shared" si="7"/>
        <v>3.0156568896139588</v>
      </c>
      <c r="AJ54" s="107" t="str">
        <f t="shared" si="8"/>
        <v>(1,1,3,1,1,3)</v>
      </c>
      <c r="AK54" s="108">
        <v>1</v>
      </c>
      <c r="AL54" s="108">
        <v>1</v>
      </c>
      <c r="AM54" s="108">
        <v>1.1000000000000001</v>
      </c>
      <c r="AN54" s="108">
        <v>1</v>
      </c>
      <c r="AO54" s="108">
        <v>1</v>
      </c>
      <c r="AP54" s="108">
        <v>1.05</v>
      </c>
    </row>
    <row r="55" spans="1:42" ht="24" customHeight="1">
      <c r="A55" s="330">
        <v>1734</v>
      </c>
      <c r="B55" s="331"/>
      <c r="C55" s="88"/>
      <c r="D55" s="340" t="s">
        <v>98</v>
      </c>
      <c r="E55" s="341">
        <v>4</v>
      </c>
      <c r="F55" s="432" t="s">
        <v>1411</v>
      </c>
      <c r="G55" s="433" t="s">
        <v>98</v>
      </c>
      <c r="H55" s="434" t="s">
        <v>344</v>
      </c>
      <c r="I55" s="434" t="s">
        <v>248</v>
      </c>
      <c r="J55" s="94" t="s">
        <v>98</v>
      </c>
      <c r="K55" s="433" t="s">
        <v>96</v>
      </c>
      <c r="L55" s="435">
        <v>4.2580397964771401E-4</v>
      </c>
      <c r="M55" s="95">
        <v>1</v>
      </c>
      <c r="N55" s="96">
        <f t="shared" si="0"/>
        <v>1.5209944396561488</v>
      </c>
      <c r="O55" s="432" t="str">
        <f t="shared" si="1"/>
        <v>(1,1,3,1,1,3); 2015 and 2017-2018 (estimated) data for First Solar in US</v>
      </c>
      <c r="P55" s="435">
        <v>8.8364931590862106E-5</v>
      </c>
      <c r="Q55" s="95">
        <v>1</v>
      </c>
      <c r="R55" s="96">
        <f t="shared" si="2"/>
        <v>1.5209944396561488</v>
      </c>
      <c r="S55" s="432" t="str">
        <f t="shared" si="3"/>
        <v>(1,1,3,1,1,3); 2015 and 2017-2018 (estimated) data for First Solar in US</v>
      </c>
      <c r="T55" s="435">
        <v>5.0156842827223298E-4</v>
      </c>
      <c r="U55" s="95">
        <v>1</v>
      </c>
      <c r="V55" s="96">
        <f t="shared" si="4"/>
        <v>1.5209944396561488</v>
      </c>
      <c r="W55" s="432" t="str">
        <f t="shared" si="5"/>
        <v>(1,1,3,1,1,3); 2015 and 2017-2018 (estimated) data for First Solar in US</v>
      </c>
      <c r="X55" s="112"/>
      <c r="Y55" s="216" t="s">
        <v>1403</v>
      </c>
      <c r="Z55" s="339">
        <v>1</v>
      </c>
      <c r="AA55" s="339">
        <v>1</v>
      </c>
      <c r="AB55" s="339">
        <v>3</v>
      </c>
      <c r="AC55" s="339">
        <v>1</v>
      </c>
      <c r="AD55" s="339">
        <v>1</v>
      </c>
      <c r="AE55" s="339">
        <v>3</v>
      </c>
      <c r="AF55" s="104">
        <v>32</v>
      </c>
      <c r="AG55" s="104">
        <v>1.5</v>
      </c>
      <c r="AH55" s="107">
        <f t="shared" si="6"/>
        <v>1.1130148943987077</v>
      </c>
      <c r="AI55" s="107">
        <f t="shared" si="7"/>
        <v>1.5209944396561488</v>
      </c>
      <c r="AJ55" s="107" t="str">
        <f t="shared" si="8"/>
        <v>(1,1,3,1,1,3)</v>
      </c>
      <c r="AK55" s="108">
        <v>1</v>
      </c>
      <c r="AL55" s="108">
        <v>1</v>
      </c>
      <c r="AM55" s="108">
        <v>1.1000000000000001</v>
      </c>
      <c r="AN55" s="108">
        <v>1</v>
      </c>
      <c r="AO55" s="108">
        <v>1</v>
      </c>
      <c r="AP55" s="108">
        <v>1.05</v>
      </c>
    </row>
    <row r="56" spans="1:42">
      <c r="B56" s="277"/>
      <c r="C56" s="277"/>
      <c r="F56" s="277"/>
      <c r="M56" s="277"/>
      <c r="N56" s="277"/>
      <c r="O56" s="277"/>
      <c r="Q56" s="277"/>
      <c r="R56" s="277"/>
      <c r="S56" s="277"/>
      <c r="U56" s="277"/>
      <c r="V56" s="277"/>
      <c r="W56" s="277"/>
      <c r="X56" s="112"/>
    </row>
    <row r="57" spans="1:42">
      <c r="X57" s="112"/>
    </row>
  </sheetData>
  <mergeCells count="1">
    <mergeCell ref="Z1:AE1"/>
  </mergeCells>
  <conditionalFormatting sqref="F55:K55">
    <cfRule type="expression" dxfId="197" priority="33">
      <formula>MOD(ROW(),2)=0</formula>
    </cfRule>
  </conditionalFormatting>
  <conditionalFormatting sqref="M27:M33 N27:N44 M35:M44 O35:O44 M47:M54 N47:P55">
    <cfRule type="expression" dxfId="196" priority="22">
      <formula>MOD(ROW(),2)=0</formula>
    </cfRule>
  </conditionalFormatting>
  <conditionalFormatting sqref="M15:N26">
    <cfRule type="expression" dxfId="195" priority="3">
      <formula>MOD(ROW(),2)=0</formula>
    </cfRule>
  </conditionalFormatting>
  <conditionalFormatting sqref="M10:O14">
    <cfRule type="expression" dxfId="194" priority="20">
      <formula>MOD(ROW(),2)=0</formula>
    </cfRule>
  </conditionalFormatting>
  <conditionalFormatting sqref="M34:O38">
    <cfRule type="expression" dxfId="193" priority="19">
      <formula>MOD(ROW(),2)=0</formula>
    </cfRule>
  </conditionalFormatting>
  <conditionalFormatting sqref="M45:O46">
    <cfRule type="expression" dxfId="192" priority="8">
      <formula>MOD(ROW(),2)=0</formula>
    </cfRule>
  </conditionalFormatting>
  <conditionalFormatting sqref="M55:O55">
    <cfRule type="expression" dxfId="191" priority="18">
      <formula>MOD(ROW(),2)=0</formula>
    </cfRule>
  </conditionalFormatting>
  <conditionalFormatting sqref="O15:O33">
    <cfRule type="expression" dxfId="190" priority="13">
      <formula>MOD(ROW(),2)=0</formula>
    </cfRule>
  </conditionalFormatting>
  <conditionalFormatting sqref="P10:P46 T10:T46 D10:L55">
    <cfRule type="expression" dxfId="189" priority="12">
      <formula>MOD(ROW(),2)=0</formula>
    </cfRule>
  </conditionalFormatting>
  <conditionalFormatting sqref="Q27:Q33 R27:R44 Q35:Q44 S35:S44 Q47:Q54 R47:T55">
    <cfRule type="expression" dxfId="188" priority="27">
      <formula>MOD(ROW(),2)=0</formula>
    </cfRule>
  </conditionalFormatting>
  <conditionalFormatting sqref="Q15:R26">
    <cfRule type="expression" dxfId="187" priority="1">
      <formula>MOD(ROW(),2)=0</formula>
    </cfRule>
  </conditionalFormatting>
  <conditionalFormatting sqref="Q10:S14">
    <cfRule type="expression" dxfId="186" priority="25">
      <formula>MOD(ROW(),2)=0</formula>
    </cfRule>
  </conditionalFormatting>
  <conditionalFormatting sqref="Q34:S38">
    <cfRule type="expression" dxfId="185" priority="24">
      <formula>MOD(ROW(),2)=0</formula>
    </cfRule>
  </conditionalFormatting>
  <conditionalFormatting sqref="Q45:S46">
    <cfRule type="expression" dxfId="184" priority="9">
      <formula>MOD(ROW(),2)=0</formula>
    </cfRule>
  </conditionalFormatting>
  <conditionalFormatting sqref="Q55:S55">
    <cfRule type="expression" dxfId="183" priority="23">
      <formula>MOD(ROW(),2)=0</formula>
    </cfRule>
  </conditionalFormatting>
  <conditionalFormatting sqref="S15:S33">
    <cfRule type="expression" dxfId="182" priority="14">
      <formula>MOD(ROW(),2)=0</formula>
    </cfRule>
  </conditionalFormatting>
  <conditionalFormatting sqref="U23:U33 W23:W33 V23:V44 U35:U44 W35:W44 U47:U54 V47:W55">
    <cfRule type="expression" dxfId="181" priority="32">
      <formula>MOD(ROW(),2)=0</formula>
    </cfRule>
  </conditionalFormatting>
  <conditionalFormatting sqref="U10:W22">
    <cfRule type="expression" dxfId="180" priority="15">
      <formula>MOD(ROW(),2)=0</formula>
    </cfRule>
  </conditionalFormatting>
  <conditionalFormatting sqref="U34:W38">
    <cfRule type="expression" dxfId="179" priority="29">
      <formula>MOD(ROW(),2)=0</formula>
    </cfRule>
  </conditionalFormatting>
  <conditionalFormatting sqref="U45:W46">
    <cfRule type="expression" dxfId="178" priority="10">
      <formula>MOD(ROW(),2)=0</formula>
    </cfRule>
  </conditionalFormatting>
  <conditionalFormatting sqref="U55:W55">
    <cfRule type="expression" dxfId="177" priority="28">
      <formula>MOD(ROW(),2)=0</formula>
    </cfRule>
  </conditionalFormatting>
  <conditionalFormatting sqref="Y10:AE55">
    <cfRule type="expression" dxfId="176" priority="7">
      <formula>MOD(ROW(),2)=0</formula>
    </cfRule>
  </conditionalFormatting>
  <conditionalFormatting sqref="Z13:AE14">
    <cfRule type="expression" dxfId="175" priority="39">
      <formula>MOD(ROW(),2)=0</formula>
    </cfRule>
  </conditionalFormatting>
  <conditionalFormatting sqref="AF10:AP55">
    <cfRule type="expression" dxfId="174" priority="11">
      <formula>MOD(ROW(),2)=0</formula>
    </cfRule>
  </conditionalFormatting>
  <dataValidations count="14">
    <dataValidation allowBlank="1" showInputMessage="1" showErrorMessage="1" promptTitle="Remarks" prompt="A general comment (data source, calculation procedure, ...) can be made about each individual exchange. The remarks are added to the GeneralComment-field." sqref="Y3 Y10:Y55" xr:uid="{00000000-0002-0000-2B00-000000000000}"/>
    <dataValidation allowBlank="1" showInputMessage="1" showErrorMessage="1" promptTitle="Do not change" prompt="This field is automatically calculated from your inputs." sqref="AG10:AP55" xr:uid="{00000000-0002-0000-2B00-000001000000}"/>
    <dataValidation allowBlank="1" showInputMessage="1" showErrorMessage="1" promptTitle="Do not change" prompt="This field is automatically updated from the names-list" sqref="AF10:AF55" xr:uid="{00000000-0002-0000-2B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10:E47" xr:uid="{00000000-0002-0000-2B00-000003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10:D47" xr:uid="{00000000-0002-0000-2B00-000004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10:K55" xr:uid="{00000000-0002-0000-2B00-000005000000}"/>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Z56:AP56" xr:uid="{00000000-0002-0000-2B00-000006000000}"/>
    <dataValidation allowBlank="1" showInputMessage="1" showErrorMessage="1" prompt="Do not change." sqref="AF3:AP4 AH7:AP9" xr:uid="{00000000-0002-0000-2B00-000007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A3 AA10:AA55" xr:uid="{00000000-0002-0000-2B00-000008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B3 AB10:AB55" xr:uid="{00000000-0002-0000-2B00-000009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C3 AC10:AC55" xr:uid="{00000000-0002-0000-2B00-00000A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D3 AD10:AD55" xr:uid="{00000000-0002-0000-2B00-00000B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E3 AE10:AE55" xr:uid="{00000000-0002-0000-2B00-00000C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Z3 Z10:Z55" xr:uid="{00000000-0002-0000-2B00-00000D000000}"/>
  </dataValidations>
  <printOptions headings="1"/>
  <pageMargins left="0" right="0" top="0.59055118110236227" bottom="0.59055118110236227" header="0.51181102362204722" footer="0.51181102362204722"/>
  <pageSetup paperSize="9" scale="71"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
    <tabColor rgb="FF9CD9F0"/>
  </sheetPr>
  <dimension ref="A1:AM53"/>
  <sheetViews>
    <sheetView topLeftCell="A21" workbookViewId="0">
      <selection activeCell="A51" sqref="A51:XFD56"/>
    </sheetView>
  </sheetViews>
  <sheetFormatPr baseColWidth="10" defaultColWidth="11.42578125" defaultRowHeight="12.75"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15.7109375" style="277" customWidth="1"/>
    <col min="13" max="14" width="5.7109375" style="120" hidden="1" customWidth="1" outlineLevel="1"/>
    <col min="15" max="15" width="40.7109375" style="109" hidden="1" customWidth="1" outlineLevel="1"/>
    <col min="16" max="16" width="15.7109375" style="277" customWidth="1" collapsed="1"/>
    <col min="17" max="18" width="5.7109375" style="120" hidden="1" customWidth="1" outlineLevel="1"/>
    <col min="19" max="19" width="47.5703125" style="109" hidden="1" customWidth="1" outlineLevel="1"/>
    <col min="20" max="20" width="10.5703125" style="179" customWidth="1" collapsed="1"/>
    <col min="21" max="21" width="40.7109375" style="128" customWidth="1"/>
    <col min="22" max="22" width="4.7109375" style="402" hidden="1" customWidth="1" outlineLevel="1"/>
    <col min="23" max="31" width="4.7109375" style="395" hidden="1" customWidth="1" outlineLevel="1"/>
    <col min="32" max="32" width="19.5703125" style="395" hidden="1" customWidth="1" outlineLevel="1"/>
    <col min="33" max="38" width="4.7109375" style="277" hidden="1" customWidth="1" outlineLevel="1"/>
    <col min="39" max="39" width="11.42578125" style="196" customWidth="1" collapsed="1"/>
    <col min="40" max="40" width="11.42578125" style="196" customWidth="1"/>
    <col min="41" max="16384" width="11.42578125" style="196"/>
  </cols>
  <sheetData>
    <row r="1" spans="1:38" s="403" customFormat="1">
      <c r="A1" s="77"/>
      <c r="B1" s="78"/>
      <c r="C1" s="79"/>
      <c r="D1" s="77"/>
      <c r="E1" s="77"/>
      <c r="F1" s="80"/>
      <c r="G1" s="77"/>
      <c r="H1" s="77"/>
      <c r="I1" s="77"/>
      <c r="J1" s="77"/>
      <c r="K1" s="77"/>
      <c r="L1" s="330" t="str">
        <f>A7</f>
        <v>Z-PV-006</v>
      </c>
      <c r="M1" s="81"/>
      <c r="N1" s="81"/>
      <c r="O1" s="81"/>
      <c r="P1" s="330" t="str">
        <f>A8</f>
        <v>Z-PV-007</v>
      </c>
      <c r="Q1" s="81"/>
      <c r="R1" s="81"/>
      <c r="S1" s="81"/>
      <c r="T1" s="179"/>
      <c r="U1" s="378"/>
      <c r="V1" s="1586"/>
      <c r="W1" s="1596"/>
      <c r="X1" s="1596"/>
      <c r="Y1" s="1596"/>
      <c r="Z1" s="1596"/>
      <c r="AA1" s="1596"/>
      <c r="AB1" s="406"/>
      <c r="AC1" s="406"/>
      <c r="AD1" s="406"/>
      <c r="AE1" s="406"/>
      <c r="AF1" s="406"/>
      <c r="AG1" s="378"/>
      <c r="AH1" s="378"/>
      <c r="AI1" s="378"/>
      <c r="AJ1" s="378"/>
      <c r="AK1" s="378"/>
      <c r="AL1" s="378"/>
    </row>
    <row r="2" spans="1:38" s="403" customForma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179"/>
      <c r="U2" s="406"/>
      <c r="V2" s="406"/>
      <c r="W2" s="406"/>
      <c r="X2" s="406"/>
      <c r="Y2" s="406"/>
      <c r="Z2" s="406"/>
      <c r="AA2" s="406"/>
      <c r="AB2" s="406"/>
      <c r="AC2" s="378"/>
      <c r="AD2" s="378"/>
      <c r="AE2" s="378"/>
      <c r="AF2" s="378"/>
      <c r="AG2" s="378"/>
      <c r="AH2" s="378"/>
      <c r="AI2" s="378"/>
      <c r="AJ2" s="378"/>
      <c r="AK2" s="378"/>
      <c r="AL2" s="378"/>
    </row>
    <row r="3" spans="1:38" s="194" customFormat="1" ht="79.5" customHeight="1">
      <c r="A3" s="83"/>
      <c r="B3" s="84"/>
      <c r="C3" s="79">
        <v>401</v>
      </c>
      <c r="D3" s="85" t="s">
        <v>136</v>
      </c>
      <c r="E3" s="85" t="s">
        <v>137</v>
      </c>
      <c r="F3" s="86" t="s">
        <v>71</v>
      </c>
      <c r="G3" s="85" t="s">
        <v>72</v>
      </c>
      <c r="H3" s="85" t="s">
        <v>73</v>
      </c>
      <c r="I3" s="85" t="s">
        <v>138</v>
      </c>
      <c r="J3" s="85" t="s">
        <v>139</v>
      </c>
      <c r="K3" s="85" t="s">
        <v>76</v>
      </c>
      <c r="L3" s="87" t="s">
        <v>1412</v>
      </c>
      <c r="M3" s="422" t="s">
        <v>78</v>
      </c>
      <c r="N3" s="422" t="s">
        <v>79</v>
      </c>
      <c r="O3" s="423" t="s">
        <v>80</v>
      </c>
      <c r="P3" s="87" t="s">
        <v>1413</v>
      </c>
      <c r="Q3" s="422" t="s">
        <v>78</v>
      </c>
      <c r="R3" s="422" t="s">
        <v>79</v>
      </c>
      <c r="S3" s="423" t="s">
        <v>80</v>
      </c>
      <c r="T3" s="179"/>
      <c r="U3" s="97" t="s">
        <v>363</v>
      </c>
      <c r="V3" s="98" t="s">
        <v>364</v>
      </c>
      <c r="W3" s="98" t="s">
        <v>365</v>
      </c>
      <c r="X3" s="98" t="s">
        <v>366</v>
      </c>
      <c r="Y3" s="98" t="s">
        <v>367</v>
      </c>
      <c r="Z3" s="98" t="s">
        <v>368</v>
      </c>
      <c r="AA3" s="98" t="s">
        <v>369</v>
      </c>
      <c r="AB3" s="99" t="s">
        <v>88</v>
      </c>
      <c r="AC3" s="99" t="s">
        <v>370</v>
      </c>
      <c r="AD3" s="99" t="s">
        <v>90</v>
      </c>
      <c r="AE3" s="99" t="s">
        <v>91</v>
      </c>
      <c r="AF3" s="99" t="s">
        <v>371</v>
      </c>
      <c r="AG3" s="100" t="s">
        <v>364</v>
      </c>
      <c r="AH3" s="100" t="s">
        <v>365</v>
      </c>
      <c r="AI3" s="100" t="s">
        <v>366</v>
      </c>
      <c r="AJ3" s="100" t="s">
        <v>367</v>
      </c>
      <c r="AK3" s="100" t="s">
        <v>368</v>
      </c>
      <c r="AL3" s="100" t="s">
        <v>369</v>
      </c>
    </row>
    <row r="4" spans="1:38" s="194" customFormat="1" ht="24" customHeight="1">
      <c r="A4" s="77"/>
      <c r="B4" s="84"/>
      <c r="C4" s="79">
        <v>662</v>
      </c>
      <c r="D4" s="86"/>
      <c r="E4" s="86"/>
      <c r="F4" s="86" t="s">
        <v>72</v>
      </c>
      <c r="G4" s="86"/>
      <c r="H4" s="86"/>
      <c r="I4" s="86"/>
      <c r="J4" s="86"/>
      <c r="K4" s="86"/>
      <c r="L4" s="87" t="s">
        <v>215</v>
      </c>
      <c r="M4" s="425"/>
      <c r="N4" s="425"/>
      <c r="O4" s="426"/>
      <c r="P4" s="87" t="s">
        <v>992</v>
      </c>
      <c r="Q4" s="425"/>
      <c r="R4" s="425"/>
      <c r="S4" s="426"/>
      <c r="T4" s="179"/>
      <c r="U4" s="101"/>
      <c r="V4" s="102" t="s">
        <v>94</v>
      </c>
      <c r="W4" s="97"/>
      <c r="X4" s="97"/>
      <c r="Y4" s="97"/>
      <c r="Z4" s="97"/>
      <c r="AA4" s="97"/>
      <c r="AB4" s="103"/>
      <c r="AC4" s="103"/>
      <c r="AD4" s="103" t="s">
        <v>95</v>
      </c>
      <c r="AE4" s="103" t="s">
        <v>95</v>
      </c>
      <c r="AF4" s="104"/>
      <c r="AG4" s="105"/>
      <c r="AH4" s="105"/>
      <c r="AI4" s="105"/>
      <c r="AJ4" s="105"/>
      <c r="AK4" s="105"/>
      <c r="AL4" s="105"/>
    </row>
    <row r="5" spans="1:38" s="194" customFormat="1">
      <c r="A5" s="77"/>
      <c r="B5" s="84"/>
      <c r="C5" s="79">
        <v>493</v>
      </c>
      <c r="D5" s="86"/>
      <c r="E5" s="86"/>
      <c r="F5" s="86" t="s">
        <v>75</v>
      </c>
      <c r="G5" s="86"/>
      <c r="H5" s="86"/>
      <c r="I5" s="86"/>
      <c r="J5" s="86"/>
      <c r="K5" s="86"/>
      <c r="L5" s="87">
        <v>1</v>
      </c>
      <c r="M5" s="425"/>
      <c r="N5" s="425"/>
      <c r="O5" s="426"/>
      <c r="P5" s="87">
        <v>1</v>
      </c>
      <c r="Q5" s="425"/>
      <c r="R5" s="425"/>
      <c r="S5" s="426"/>
      <c r="T5" s="179"/>
      <c r="U5" s="101"/>
      <c r="V5" s="97"/>
      <c r="W5" s="97"/>
      <c r="X5" s="97"/>
      <c r="Y5" s="97"/>
      <c r="Z5" s="97"/>
      <c r="AA5" s="97"/>
      <c r="AB5" s="104"/>
      <c r="AC5" s="104"/>
      <c r="AD5" s="104"/>
      <c r="AE5" s="104"/>
      <c r="AF5" s="104"/>
      <c r="AG5" s="105"/>
      <c r="AH5" s="105"/>
      <c r="AI5" s="105"/>
      <c r="AJ5" s="105"/>
      <c r="AK5" s="105"/>
      <c r="AL5" s="105"/>
    </row>
    <row r="6" spans="1:38" s="194" customFormat="1">
      <c r="A6" s="77"/>
      <c r="B6" s="84"/>
      <c r="C6" s="79">
        <v>403</v>
      </c>
      <c r="D6" s="86"/>
      <c r="E6" s="86"/>
      <c r="F6" s="86" t="s">
        <v>76</v>
      </c>
      <c r="G6" s="86"/>
      <c r="H6" s="86"/>
      <c r="I6" s="86"/>
      <c r="J6" s="86"/>
      <c r="K6" s="86"/>
      <c r="L6" s="87" t="s">
        <v>679</v>
      </c>
      <c r="M6" s="425"/>
      <c r="N6" s="425"/>
      <c r="O6" s="426"/>
      <c r="P6" s="87" t="s">
        <v>679</v>
      </c>
      <c r="Q6" s="425"/>
      <c r="R6" s="425"/>
      <c r="S6" s="426"/>
      <c r="T6" s="179"/>
      <c r="U6" s="101"/>
      <c r="V6" s="106"/>
      <c r="W6" s="106"/>
      <c r="X6" s="106"/>
      <c r="Y6" s="106"/>
      <c r="Z6" s="106"/>
      <c r="AA6" s="106"/>
      <c r="AB6" s="104"/>
      <c r="AC6" s="104"/>
      <c r="AD6" s="428"/>
      <c r="AE6" s="428"/>
      <c r="AF6" s="107"/>
      <c r="AG6" s="105"/>
      <c r="AH6" s="105"/>
      <c r="AI6" s="105"/>
      <c r="AJ6" s="105"/>
      <c r="AK6" s="105"/>
      <c r="AL6" s="105"/>
    </row>
    <row r="7" spans="1:38" ht="24" customHeight="1">
      <c r="A7" s="330" t="s">
        <v>1414</v>
      </c>
      <c r="B7" s="331" t="s">
        <v>97</v>
      </c>
      <c r="C7" s="88"/>
      <c r="D7" s="294"/>
      <c r="E7" s="295">
        <v>0</v>
      </c>
      <c r="F7" s="429" t="s">
        <v>1412</v>
      </c>
      <c r="G7" s="430" t="s">
        <v>215</v>
      </c>
      <c r="H7" s="431" t="s">
        <v>98</v>
      </c>
      <c r="I7" s="431" t="s">
        <v>98</v>
      </c>
      <c r="J7" s="89">
        <v>1</v>
      </c>
      <c r="K7" s="430" t="s">
        <v>679</v>
      </c>
      <c r="L7" s="90">
        <v>1</v>
      </c>
      <c r="M7" s="91"/>
      <c r="N7" s="92"/>
      <c r="O7" s="93"/>
      <c r="P7" s="90">
        <v>0</v>
      </c>
      <c r="Q7" s="91"/>
      <c r="R7" s="92"/>
      <c r="S7" s="93"/>
      <c r="U7" s="101"/>
      <c r="V7" s="97"/>
      <c r="W7" s="97"/>
      <c r="X7" s="97"/>
      <c r="Y7" s="97"/>
      <c r="Z7" s="97"/>
      <c r="AA7" s="97"/>
      <c r="AB7" s="104"/>
      <c r="AC7" s="104"/>
      <c r="AD7" s="104"/>
      <c r="AE7" s="104"/>
      <c r="AF7" s="104"/>
      <c r="AG7" s="104"/>
      <c r="AH7" s="104"/>
      <c r="AI7" s="104"/>
      <c r="AJ7" s="104"/>
      <c r="AK7" s="104"/>
      <c r="AL7" s="104"/>
    </row>
    <row r="8" spans="1:38" ht="24" customHeight="1">
      <c r="A8" s="330" t="s">
        <v>1415</v>
      </c>
      <c r="B8" s="331"/>
      <c r="C8" s="88"/>
      <c r="D8" s="294"/>
      <c r="E8" s="295">
        <v>0</v>
      </c>
      <c r="F8" s="429" t="s">
        <v>1413</v>
      </c>
      <c r="G8" s="430" t="s">
        <v>992</v>
      </c>
      <c r="H8" s="431" t="s">
        <v>98</v>
      </c>
      <c r="I8" s="431" t="s">
        <v>98</v>
      </c>
      <c r="J8" s="89">
        <v>1</v>
      </c>
      <c r="K8" s="430" t="s">
        <v>679</v>
      </c>
      <c r="L8" s="90">
        <v>0</v>
      </c>
      <c r="M8" s="91"/>
      <c r="N8" s="92"/>
      <c r="O8" s="93"/>
      <c r="P8" s="90">
        <v>1</v>
      </c>
      <c r="Q8" s="91"/>
      <c r="R8" s="92"/>
      <c r="S8" s="93"/>
      <c r="U8" s="101"/>
      <c r="V8" s="97"/>
      <c r="W8" s="97"/>
      <c r="X8" s="97"/>
      <c r="Y8" s="97"/>
      <c r="Z8" s="97"/>
      <c r="AA8" s="97"/>
      <c r="AB8" s="104"/>
      <c r="AC8" s="104"/>
      <c r="AD8" s="104"/>
      <c r="AE8" s="104"/>
      <c r="AF8" s="104"/>
      <c r="AG8" s="104"/>
      <c r="AH8" s="104"/>
      <c r="AI8" s="104"/>
      <c r="AJ8" s="104"/>
      <c r="AK8" s="104"/>
      <c r="AL8" s="104"/>
    </row>
    <row r="9" spans="1:38">
      <c r="A9" s="330">
        <v>19772</v>
      </c>
      <c r="B9" s="331" t="s">
        <v>500</v>
      </c>
      <c r="C9" s="88"/>
      <c r="D9" s="340">
        <v>5</v>
      </c>
      <c r="E9" s="341" t="s">
        <v>98</v>
      </c>
      <c r="F9" s="432" t="s">
        <v>225</v>
      </c>
      <c r="G9" s="433" t="s">
        <v>215</v>
      </c>
      <c r="H9" s="434" t="s">
        <v>98</v>
      </c>
      <c r="I9" s="434" t="s">
        <v>98</v>
      </c>
      <c r="J9" s="94">
        <v>0</v>
      </c>
      <c r="K9" s="433" t="s">
        <v>109</v>
      </c>
      <c r="L9" s="435">
        <v>18.093966438447101</v>
      </c>
      <c r="M9" s="95">
        <v>1</v>
      </c>
      <c r="N9" s="96">
        <f t="shared" ref="N9:N50" si="0">$AE9</f>
        <v>1.0779537044351355</v>
      </c>
      <c r="O9" s="432" t="str">
        <f t="shared" ref="O9:O50" si="1">$AF9&amp;"; "&amp;$U9</f>
        <v>(1,1,2,1,1,3);  2022 data for First Solar in US</v>
      </c>
      <c r="P9" s="435">
        <v>0</v>
      </c>
      <c r="Q9" s="95">
        <v>1</v>
      </c>
      <c r="R9" s="96">
        <f t="shared" ref="R9:R50" si="2">$AE9</f>
        <v>1.0779537044351355</v>
      </c>
      <c r="S9" s="432" t="str">
        <f t="shared" ref="S9:S50" si="3">$AF9&amp;"; "&amp;$U9</f>
        <v>(1,1,2,1,1,3);  2022 data for First Solar in US</v>
      </c>
      <c r="U9" s="216" t="s">
        <v>1416</v>
      </c>
      <c r="V9" s="339">
        <v>1</v>
      </c>
      <c r="W9" s="339">
        <v>1</v>
      </c>
      <c r="X9" s="339">
        <v>2</v>
      </c>
      <c r="Y9" s="339">
        <v>1</v>
      </c>
      <c r="Z9" s="339">
        <v>1</v>
      </c>
      <c r="AA9" s="339">
        <v>3</v>
      </c>
      <c r="AB9" s="104">
        <v>3</v>
      </c>
      <c r="AC9" s="104">
        <v>1.05</v>
      </c>
      <c r="AD9" s="107">
        <f t="shared" ref="AD9:AD50" si="4">EXP(SQRT((LN(AG9)^2)+(LN(AH9)^2)+(LN(AI9)^2)+(LN(AJ9)^2)+(LN(AK9)^2)+(LN(AL9)^2)))</f>
        <v>1.0587041087527549</v>
      </c>
      <c r="AE9" s="107">
        <f t="shared" ref="AE9:AE50" si="5">EXP(SQRT((LN(AG9)^2)+(LN(AH9)^2)+(LN(AI9)^2)+(LN(AJ9)^2)+(LN(AK9)^2)+(LN(AL9)^2)+LN(AC9)^2))</f>
        <v>1.0779537044351355</v>
      </c>
      <c r="AF9" s="107" t="str">
        <f t="shared" ref="AF9:AF50" si="6">CONCATENATE("(",V9,",",W9,",",X9,",",Y9,",",Z9,",",AA9,")")</f>
        <v>(1,1,2,1,1,3)</v>
      </c>
      <c r="AG9" s="108">
        <v>1</v>
      </c>
      <c r="AH9" s="108">
        <v>1</v>
      </c>
      <c r="AI9" s="108">
        <v>1.03</v>
      </c>
      <c r="AJ9" s="108">
        <v>1</v>
      </c>
      <c r="AK9" s="108">
        <v>1</v>
      </c>
      <c r="AL9" s="108">
        <v>1.05</v>
      </c>
    </row>
    <row r="10" spans="1:38">
      <c r="A10" s="330">
        <v>257738</v>
      </c>
      <c r="B10" s="331"/>
      <c r="C10" s="88"/>
      <c r="D10" s="340">
        <v>5</v>
      </c>
      <c r="E10" s="341" t="s">
        <v>98</v>
      </c>
      <c r="F10" s="432" t="s">
        <v>999</v>
      </c>
      <c r="G10" s="433" t="s">
        <v>992</v>
      </c>
      <c r="H10" s="434" t="s">
        <v>98</v>
      </c>
      <c r="I10" s="434" t="s">
        <v>98</v>
      </c>
      <c r="J10" s="94">
        <v>0</v>
      </c>
      <c r="K10" s="433" t="s">
        <v>109</v>
      </c>
      <c r="L10" s="435">
        <v>0</v>
      </c>
      <c r="M10" s="95">
        <v>1</v>
      </c>
      <c r="N10" s="96">
        <f t="shared" si="0"/>
        <v>1.0779537044351355</v>
      </c>
      <c r="O10" s="432" t="str">
        <f t="shared" si="1"/>
        <v>(1,1,2,1,1,3);  2022 data for First Solar in India</v>
      </c>
      <c r="P10" s="435">
        <v>18.093966438447101</v>
      </c>
      <c r="Q10" s="95">
        <v>1</v>
      </c>
      <c r="R10" s="96">
        <f t="shared" si="2"/>
        <v>1.0779537044351355</v>
      </c>
      <c r="S10" s="432" t="str">
        <f t="shared" si="3"/>
        <v>(1,1,2,1,1,3);  2022 data for First Solar in India</v>
      </c>
      <c r="U10" s="216" t="s">
        <v>1417</v>
      </c>
      <c r="V10" s="339">
        <v>1</v>
      </c>
      <c r="W10" s="339">
        <v>1</v>
      </c>
      <c r="X10" s="339">
        <v>2</v>
      </c>
      <c r="Y10" s="339">
        <v>1</v>
      </c>
      <c r="Z10" s="339">
        <v>1</v>
      </c>
      <c r="AA10" s="339">
        <v>3</v>
      </c>
      <c r="AB10" s="104">
        <v>3</v>
      </c>
      <c r="AC10" s="104">
        <v>1.05</v>
      </c>
      <c r="AD10" s="107">
        <f t="shared" si="4"/>
        <v>1.0587041087527549</v>
      </c>
      <c r="AE10" s="107">
        <f t="shared" si="5"/>
        <v>1.0779537044351355</v>
      </c>
      <c r="AF10" s="107" t="str">
        <f t="shared" si="6"/>
        <v>(1,1,2,1,1,3)</v>
      </c>
      <c r="AG10" s="108">
        <v>1</v>
      </c>
      <c r="AH10" s="108">
        <v>1</v>
      </c>
      <c r="AI10" s="108">
        <v>1.03</v>
      </c>
      <c r="AJ10" s="108">
        <v>1</v>
      </c>
      <c r="AK10" s="108">
        <v>1</v>
      </c>
      <c r="AL10" s="108">
        <v>1.05</v>
      </c>
    </row>
    <row r="11" spans="1:38" ht="38.25" customHeight="1">
      <c r="A11" s="330">
        <v>269483</v>
      </c>
      <c r="B11" s="331"/>
      <c r="C11" s="88"/>
      <c r="D11" s="340">
        <v>5</v>
      </c>
      <c r="E11" s="341" t="s">
        <v>98</v>
      </c>
      <c r="F11" s="432" t="s">
        <v>1394</v>
      </c>
      <c r="G11" s="433" t="s">
        <v>93</v>
      </c>
      <c r="H11" s="434" t="s">
        <v>98</v>
      </c>
      <c r="I11" s="434" t="s">
        <v>98</v>
      </c>
      <c r="J11" s="94">
        <v>0</v>
      </c>
      <c r="K11" s="433" t="s">
        <v>104</v>
      </c>
      <c r="L11" s="435">
        <v>5.2332916937445502</v>
      </c>
      <c r="M11" s="95">
        <v>1</v>
      </c>
      <c r="N11" s="96">
        <f t="shared" si="0"/>
        <v>1.0779537044351355</v>
      </c>
      <c r="O11" s="432" t="str">
        <f t="shared" si="1"/>
        <v>(1,1,2,1,1,3);  2022 data for First Solar in US and estimate for additional 2023 usage;  not applicable in India due to warm climate</v>
      </c>
      <c r="P11" s="435">
        <v>0</v>
      </c>
      <c r="Q11" s="95">
        <v>1</v>
      </c>
      <c r="R11" s="96">
        <f t="shared" si="2"/>
        <v>1.0779537044351355</v>
      </c>
      <c r="S11" s="432" t="str">
        <f t="shared" si="3"/>
        <v>(1,1,2,1,1,3);  2022 data for First Solar in US and estimate for additional 2023 usage;  not applicable in India due to warm climate</v>
      </c>
      <c r="U11" s="216" t="s">
        <v>1418</v>
      </c>
      <c r="V11" s="339">
        <v>1</v>
      </c>
      <c r="W11" s="339">
        <v>1</v>
      </c>
      <c r="X11" s="339">
        <v>2</v>
      </c>
      <c r="Y11" s="339">
        <v>1</v>
      </c>
      <c r="Z11" s="339">
        <v>1</v>
      </c>
      <c r="AA11" s="339">
        <v>3</v>
      </c>
      <c r="AB11" s="104">
        <v>1</v>
      </c>
      <c r="AC11" s="104">
        <v>1.05</v>
      </c>
      <c r="AD11" s="107">
        <f t="shared" si="4"/>
        <v>1.0587041087527549</v>
      </c>
      <c r="AE11" s="107">
        <f t="shared" si="5"/>
        <v>1.0779537044351355</v>
      </c>
      <c r="AF11" s="107" t="str">
        <f t="shared" si="6"/>
        <v>(1,1,2,1,1,3)</v>
      </c>
      <c r="AG11" s="108">
        <v>1</v>
      </c>
      <c r="AH11" s="108">
        <v>1</v>
      </c>
      <c r="AI11" s="108">
        <v>1.03</v>
      </c>
      <c r="AJ11" s="108">
        <v>1</v>
      </c>
      <c r="AK11" s="108">
        <v>1</v>
      </c>
      <c r="AL11" s="108">
        <v>1.05</v>
      </c>
    </row>
    <row r="12" spans="1:38">
      <c r="A12" s="330">
        <v>264425</v>
      </c>
      <c r="B12" s="331" t="s">
        <v>592</v>
      </c>
      <c r="C12" s="88"/>
      <c r="D12" s="340">
        <v>5</v>
      </c>
      <c r="E12" s="341" t="s">
        <v>98</v>
      </c>
      <c r="F12" s="432" t="s">
        <v>1395</v>
      </c>
      <c r="G12" s="433" t="s">
        <v>215</v>
      </c>
      <c r="H12" s="434" t="s">
        <v>98</v>
      </c>
      <c r="I12" s="434" t="s">
        <v>98</v>
      </c>
      <c r="J12" s="94">
        <v>1</v>
      </c>
      <c r="K12" s="433" t="s">
        <v>144</v>
      </c>
      <c r="L12" s="435">
        <v>3.9999999999999998E-6</v>
      </c>
      <c r="M12" s="95">
        <v>1</v>
      </c>
      <c r="N12" s="96">
        <f t="shared" si="0"/>
        <v>3.0044434512710634</v>
      </c>
      <c r="O12" s="432" t="str">
        <f t="shared" si="1"/>
        <v>(1,1,2,1,1,3);  Assumption</v>
      </c>
      <c r="P12" s="435">
        <v>3.9999999999999998E-6</v>
      </c>
      <c r="Q12" s="95">
        <v>1</v>
      </c>
      <c r="R12" s="96">
        <f t="shared" si="2"/>
        <v>3.0044434512710634</v>
      </c>
      <c r="S12" s="432" t="str">
        <f t="shared" si="3"/>
        <v>(1,1,2,1,1,3);  Assumption</v>
      </c>
      <c r="U12" s="216" t="s">
        <v>1419</v>
      </c>
      <c r="V12" s="339">
        <v>1</v>
      </c>
      <c r="W12" s="339">
        <v>1</v>
      </c>
      <c r="X12" s="339">
        <v>2</v>
      </c>
      <c r="Y12" s="339">
        <v>1</v>
      </c>
      <c r="Z12" s="339">
        <v>1</v>
      </c>
      <c r="AA12" s="339">
        <v>3</v>
      </c>
      <c r="AB12" s="104">
        <v>9</v>
      </c>
      <c r="AC12" s="104">
        <v>3</v>
      </c>
      <c r="AD12" s="107">
        <f t="shared" si="4"/>
        <v>1.0587041087527549</v>
      </c>
      <c r="AE12" s="107">
        <f t="shared" si="5"/>
        <v>3.0044434512710634</v>
      </c>
      <c r="AF12" s="107" t="str">
        <f t="shared" si="6"/>
        <v>(1,1,2,1,1,3)</v>
      </c>
      <c r="AG12" s="108">
        <v>1</v>
      </c>
      <c r="AH12" s="108">
        <v>1</v>
      </c>
      <c r="AI12" s="108">
        <v>1.03</v>
      </c>
      <c r="AJ12" s="108">
        <v>1</v>
      </c>
      <c r="AK12" s="108">
        <v>1</v>
      </c>
      <c r="AL12" s="108">
        <v>1.05</v>
      </c>
    </row>
    <row r="13" spans="1:38" ht="25.5" customHeight="1">
      <c r="A13" s="330">
        <v>160377</v>
      </c>
      <c r="B13" s="331" t="s">
        <v>582</v>
      </c>
      <c r="C13" s="88"/>
      <c r="D13" s="340">
        <v>5</v>
      </c>
      <c r="E13" s="341" t="s">
        <v>98</v>
      </c>
      <c r="F13" s="432" t="s">
        <v>819</v>
      </c>
      <c r="G13" s="433" t="s">
        <v>93</v>
      </c>
      <c r="H13" s="434" t="s">
        <v>98</v>
      </c>
      <c r="I13" s="434" t="s">
        <v>98</v>
      </c>
      <c r="J13" s="94">
        <v>0</v>
      </c>
      <c r="K13" s="433" t="s">
        <v>96</v>
      </c>
      <c r="L13" s="435">
        <v>2.48668243407529</v>
      </c>
      <c r="M13" s="95">
        <v>1</v>
      </c>
      <c r="N13" s="96">
        <f t="shared" si="0"/>
        <v>1.0779537044351355</v>
      </c>
      <c r="O13" s="432" t="str">
        <f t="shared" si="1"/>
        <v>(1,1,2,1,1,3);  2023 data for First Solar in US (tracker back-rail), India (fixed-tilt back-rail)</v>
      </c>
      <c r="P13" s="435">
        <v>1.73146776891168</v>
      </c>
      <c r="Q13" s="95">
        <v>1</v>
      </c>
      <c r="R13" s="96">
        <f t="shared" si="2"/>
        <v>1.0779537044351355</v>
      </c>
      <c r="S13" s="432" t="str">
        <f t="shared" si="3"/>
        <v>(1,1,2,1,1,3);  2023 data for First Solar in US (tracker back-rail), India (fixed-tilt back-rail)</v>
      </c>
      <c r="U13" s="216" t="s">
        <v>1420</v>
      </c>
      <c r="V13" s="339">
        <v>1</v>
      </c>
      <c r="W13" s="339">
        <v>1</v>
      </c>
      <c r="X13" s="339">
        <v>2</v>
      </c>
      <c r="Y13" s="339">
        <v>1</v>
      </c>
      <c r="Z13" s="339">
        <v>1</v>
      </c>
      <c r="AA13" s="339">
        <v>3</v>
      </c>
      <c r="AB13" s="104">
        <v>3</v>
      </c>
      <c r="AC13" s="104">
        <v>1.05</v>
      </c>
      <c r="AD13" s="107">
        <f t="shared" si="4"/>
        <v>1.0587041087527549</v>
      </c>
      <c r="AE13" s="107">
        <f t="shared" si="5"/>
        <v>1.0779537044351355</v>
      </c>
      <c r="AF13" s="107" t="str">
        <f t="shared" si="6"/>
        <v>(1,1,2,1,1,3)</v>
      </c>
      <c r="AG13" s="108">
        <v>1</v>
      </c>
      <c r="AH13" s="108">
        <v>1</v>
      </c>
      <c r="AI13" s="108">
        <v>1.03</v>
      </c>
      <c r="AJ13" s="108">
        <v>1</v>
      </c>
      <c r="AK13" s="108">
        <v>1</v>
      </c>
      <c r="AL13" s="108">
        <v>1.05</v>
      </c>
    </row>
    <row r="14" spans="1:38" ht="24" customHeight="1">
      <c r="A14" s="330">
        <v>260694</v>
      </c>
      <c r="B14" s="331"/>
      <c r="C14" s="88"/>
      <c r="D14" s="340">
        <v>5</v>
      </c>
      <c r="E14" s="341" t="s">
        <v>98</v>
      </c>
      <c r="F14" s="432" t="s">
        <v>1396</v>
      </c>
      <c r="G14" s="433" t="s">
        <v>215</v>
      </c>
      <c r="H14" s="434" t="s">
        <v>98</v>
      </c>
      <c r="I14" s="434" t="s">
        <v>98</v>
      </c>
      <c r="J14" s="94">
        <v>0</v>
      </c>
      <c r="K14" s="433" t="s">
        <v>96</v>
      </c>
      <c r="L14" s="435">
        <v>2.3234096839984401E-2</v>
      </c>
      <c r="M14" s="95">
        <v>1</v>
      </c>
      <c r="N14" s="96">
        <f t="shared" si="0"/>
        <v>1.0779537044351355</v>
      </c>
      <c r="O14" s="432" t="str">
        <f t="shared" si="1"/>
        <v>(1,1,2,1,1,3);  2023 data for First Solar in US, India</v>
      </c>
      <c r="P14" s="435">
        <v>2.3234096839984401E-2</v>
      </c>
      <c r="Q14" s="95">
        <v>1</v>
      </c>
      <c r="R14" s="96">
        <f t="shared" si="2"/>
        <v>1.0779537044351355</v>
      </c>
      <c r="S14" s="432" t="str">
        <f t="shared" si="3"/>
        <v>(1,1,2,1,1,3);  2023 data for First Solar in US, India</v>
      </c>
      <c r="U14" s="216" t="s">
        <v>1421</v>
      </c>
      <c r="V14" s="339">
        <v>1</v>
      </c>
      <c r="W14" s="339">
        <v>1</v>
      </c>
      <c r="X14" s="339">
        <v>2</v>
      </c>
      <c r="Y14" s="339">
        <v>1</v>
      </c>
      <c r="Z14" s="339">
        <v>1</v>
      </c>
      <c r="AA14" s="339">
        <v>3</v>
      </c>
      <c r="AB14" s="104">
        <v>3</v>
      </c>
      <c r="AC14" s="104">
        <v>1.05</v>
      </c>
      <c r="AD14" s="107">
        <f t="shared" si="4"/>
        <v>1.0587041087527549</v>
      </c>
      <c r="AE14" s="107">
        <f t="shared" si="5"/>
        <v>1.0779537044351355</v>
      </c>
      <c r="AF14" s="107" t="str">
        <f t="shared" si="6"/>
        <v>(1,1,2,1,1,3)</v>
      </c>
      <c r="AG14" s="108">
        <v>1</v>
      </c>
      <c r="AH14" s="108">
        <v>1</v>
      </c>
      <c r="AI14" s="108">
        <v>1.03</v>
      </c>
      <c r="AJ14" s="108">
        <v>1</v>
      </c>
      <c r="AK14" s="108">
        <v>1</v>
      </c>
      <c r="AL14" s="108">
        <v>1.05</v>
      </c>
    </row>
    <row r="15" spans="1:38">
      <c r="A15" s="330">
        <v>157715</v>
      </c>
      <c r="B15" s="331"/>
      <c r="C15" s="88"/>
      <c r="D15" s="340">
        <v>5</v>
      </c>
      <c r="E15" s="341" t="s">
        <v>98</v>
      </c>
      <c r="F15" s="432" t="s">
        <v>473</v>
      </c>
      <c r="G15" s="433" t="s">
        <v>154</v>
      </c>
      <c r="H15" s="434" t="s">
        <v>98</v>
      </c>
      <c r="I15" s="434" t="s">
        <v>98</v>
      </c>
      <c r="J15" s="94">
        <v>0</v>
      </c>
      <c r="K15" s="433" t="s">
        <v>96</v>
      </c>
      <c r="L15" s="435">
        <v>8.0217121136634296E-3</v>
      </c>
      <c r="M15" s="95">
        <v>1</v>
      </c>
      <c r="N15" s="96">
        <f t="shared" si="0"/>
        <v>1.0779537044351355</v>
      </c>
      <c r="O15" s="432" t="str">
        <f t="shared" si="1"/>
        <v>(1,1,2,1,1,3);  2023 data for First Solar in US, India</v>
      </c>
      <c r="P15" s="435">
        <v>8.0217121136634296E-3</v>
      </c>
      <c r="Q15" s="95">
        <v>1</v>
      </c>
      <c r="R15" s="96">
        <f t="shared" si="2"/>
        <v>1.0779537044351355</v>
      </c>
      <c r="S15" s="432" t="str">
        <f t="shared" si="3"/>
        <v>(1,1,2,1,1,3);  2023 data for First Solar in US, India</v>
      </c>
      <c r="U15" s="216" t="s">
        <v>1421</v>
      </c>
      <c r="V15" s="339">
        <v>1</v>
      </c>
      <c r="W15" s="339">
        <v>1</v>
      </c>
      <c r="X15" s="339">
        <v>2</v>
      </c>
      <c r="Y15" s="339">
        <v>1</v>
      </c>
      <c r="Z15" s="339">
        <v>1</v>
      </c>
      <c r="AA15" s="339">
        <v>3</v>
      </c>
      <c r="AB15" s="104">
        <v>3</v>
      </c>
      <c r="AC15" s="104">
        <v>1.05</v>
      </c>
      <c r="AD15" s="107">
        <f t="shared" si="4"/>
        <v>1.0587041087527549</v>
      </c>
      <c r="AE15" s="107">
        <f t="shared" si="5"/>
        <v>1.0779537044351355</v>
      </c>
      <c r="AF15" s="107" t="str">
        <f t="shared" si="6"/>
        <v>(1,1,2,1,1,3)</v>
      </c>
      <c r="AG15" s="108">
        <v>1</v>
      </c>
      <c r="AH15" s="108">
        <v>1</v>
      </c>
      <c r="AI15" s="108">
        <v>1.03</v>
      </c>
      <c r="AJ15" s="108">
        <v>1</v>
      </c>
      <c r="AK15" s="108">
        <v>1</v>
      </c>
      <c r="AL15" s="108">
        <v>1.05</v>
      </c>
    </row>
    <row r="16" spans="1:38">
      <c r="A16" s="330">
        <v>157699</v>
      </c>
      <c r="B16" s="331"/>
      <c r="C16" s="88"/>
      <c r="D16" s="340">
        <v>5</v>
      </c>
      <c r="E16" s="341" t="s">
        <v>98</v>
      </c>
      <c r="F16" s="432" t="s">
        <v>316</v>
      </c>
      <c r="G16" s="433" t="s">
        <v>154</v>
      </c>
      <c r="H16" s="434" t="s">
        <v>98</v>
      </c>
      <c r="I16" s="434" t="s">
        <v>98</v>
      </c>
      <c r="J16" s="94">
        <v>0</v>
      </c>
      <c r="K16" s="433" t="s">
        <v>96</v>
      </c>
      <c r="L16" s="435">
        <v>2.8683823222303499E-2</v>
      </c>
      <c r="M16" s="95">
        <v>1</v>
      </c>
      <c r="N16" s="96">
        <f t="shared" si="0"/>
        <v>1.0779537044351355</v>
      </c>
      <c r="O16" s="432" t="str">
        <f t="shared" si="1"/>
        <v>(1,1,2,1,1,3);  2023 data for First Solar in US, India</v>
      </c>
      <c r="P16" s="435">
        <v>2.8683823222303499E-2</v>
      </c>
      <c r="Q16" s="95">
        <v>1</v>
      </c>
      <c r="R16" s="96">
        <f t="shared" si="2"/>
        <v>1.0779537044351355</v>
      </c>
      <c r="S16" s="432" t="str">
        <f t="shared" si="3"/>
        <v>(1,1,2,1,1,3);  2023 data for First Solar in US, India</v>
      </c>
      <c r="U16" s="216" t="s">
        <v>1421</v>
      </c>
      <c r="V16" s="339">
        <v>1</v>
      </c>
      <c r="W16" s="339">
        <v>1</v>
      </c>
      <c r="X16" s="339">
        <v>2</v>
      </c>
      <c r="Y16" s="339">
        <v>1</v>
      </c>
      <c r="Z16" s="339">
        <v>1</v>
      </c>
      <c r="AA16" s="339">
        <v>3</v>
      </c>
      <c r="AB16" s="104">
        <v>3</v>
      </c>
      <c r="AC16" s="104">
        <v>1.05</v>
      </c>
      <c r="AD16" s="107">
        <f t="shared" si="4"/>
        <v>1.0587041087527549</v>
      </c>
      <c r="AE16" s="107">
        <f t="shared" si="5"/>
        <v>1.0779537044351355</v>
      </c>
      <c r="AF16" s="107" t="str">
        <f t="shared" si="6"/>
        <v>(1,1,2,1,1,3)</v>
      </c>
      <c r="AG16" s="108">
        <v>1</v>
      </c>
      <c r="AH16" s="108">
        <v>1</v>
      </c>
      <c r="AI16" s="108">
        <v>1.03</v>
      </c>
      <c r="AJ16" s="108">
        <v>1</v>
      </c>
      <c r="AK16" s="108">
        <v>1</v>
      </c>
      <c r="AL16" s="108">
        <v>1.05</v>
      </c>
    </row>
    <row r="17" spans="1:38">
      <c r="A17" s="330">
        <v>160379</v>
      </c>
      <c r="B17" s="331"/>
      <c r="C17" s="88"/>
      <c r="D17" s="340">
        <v>5</v>
      </c>
      <c r="E17" s="341" t="s">
        <v>98</v>
      </c>
      <c r="F17" s="432" t="s">
        <v>1174</v>
      </c>
      <c r="G17" s="433" t="s">
        <v>93</v>
      </c>
      <c r="H17" s="434" t="s">
        <v>98</v>
      </c>
      <c r="I17" s="434" t="s">
        <v>98</v>
      </c>
      <c r="J17" s="94">
        <v>0</v>
      </c>
      <c r="K17" s="433" t="s">
        <v>96</v>
      </c>
      <c r="L17" s="435">
        <v>3.2084454358878999E-3</v>
      </c>
      <c r="M17" s="95">
        <v>1</v>
      </c>
      <c r="N17" s="96">
        <f t="shared" si="0"/>
        <v>1.1649902150316884</v>
      </c>
      <c r="O17" s="432" t="str">
        <f t="shared" si="1"/>
        <v>(1,4,3,3,1,3);  2023 data for First Solar in US, India</v>
      </c>
      <c r="P17" s="435">
        <v>3.2084454358878999E-3</v>
      </c>
      <c r="Q17" s="95">
        <v>1</v>
      </c>
      <c r="R17" s="96">
        <f t="shared" si="2"/>
        <v>1.1649902150316884</v>
      </c>
      <c r="S17" s="432" t="str">
        <f t="shared" si="3"/>
        <v>(1,4,3,3,1,3);  2023 data for First Solar in US, India</v>
      </c>
      <c r="U17" s="216" t="s">
        <v>1421</v>
      </c>
      <c r="V17" s="339">
        <v>1</v>
      </c>
      <c r="W17" s="339">
        <v>4</v>
      </c>
      <c r="X17" s="339">
        <v>3</v>
      </c>
      <c r="Y17" s="339">
        <v>3</v>
      </c>
      <c r="Z17" s="339">
        <v>1</v>
      </c>
      <c r="AA17" s="339">
        <v>3</v>
      </c>
      <c r="AB17" s="104">
        <v>3</v>
      </c>
      <c r="AC17" s="104">
        <v>1.05</v>
      </c>
      <c r="AD17" s="107">
        <f t="shared" si="4"/>
        <v>1.1557031727027498</v>
      </c>
      <c r="AE17" s="107">
        <f t="shared" si="5"/>
        <v>1.1649902150316884</v>
      </c>
      <c r="AF17" s="107" t="str">
        <f t="shared" si="6"/>
        <v>(1,4,3,3,1,3)</v>
      </c>
      <c r="AG17" s="108">
        <v>1</v>
      </c>
      <c r="AH17" s="108">
        <v>1.1000000000000001</v>
      </c>
      <c r="AI17" s="108">
        <v>1.1000000000000001</v>
      </c>
      <c r="AJ17" s="108">
        <v>1.02</v>
      </c>
      <c r="AK17" s="108">
        <v>1</v>
      </c>
      <c r="AL17" s="108">
        <v>1.05</v>
      </c>
    </row>
    <row r="18" spans="1:38">
      <c r="A18" s="330">
        <v>268437</v>
      </c>
      <c r="B18" s="331"/>
      <c r="C18" s="88"/>
      <c r="D18" s="340">
        <v>5</v>
      </c>
      <c r="E18" s="341" t="s">
        <v>98</v>
      </c>
      <c r="F18" s="432" t="s">
        <v>1188</v>
      </c>
      <c r="G18" s="433" t="s">
        <v>93</v>
      </c>
      <c r="H18" s="434" t="s">
        <v>98</v>
      </c>
      <c r="I18" s="434" t="s">
        <v>98</v>
      </c>
      <c r="J18" s="94">
        <v>0</v>
      </c>
      <c r="K18" s="433" t="s">
        <v>96</v>
      </c>
      <c r="L18" s="435">
        <v>0.39589826337466799</v>
      </c>
      <c r="M18" s="95">
        <v>1</v>
      </c>
      <c r="N18" s="96">
        <f t="shared" si="0"/>
        <v>1.0834154250740264</v>
      </c>
      <c r="O18" s="432" t="str">
        <f t="shared" si="1"/>
        <v>(1,2,2,3,1,3);  2023 data for First Solar in US, India</v>
      </c>
      <c r="P18" s="435">
        <v>0.39589826337466799</v>
      </c>
      <c r="Q18" s="95">
        <v>1</v>
      </c>
      <c r="R18" s="96">
        <f t="shared" si="2"/>
        <v>1.0834154250740264</v>
      </c>
      <c r="S18" s="432" t="str">
        <f t="shared" si="3"/>
        <v>(1,2,2,3,1,3);  2023 data for First Solar in US, India</v>
      </c>
      <c r="U18" s="216" t="s">
        <v>1421</v>
      </c>
      <c r="V18" s="339">
        <v>1</v>
      </c>
      <c r="W18" s="339">
        <v>2</v>
      </c>
      <c r="X18" s="339">
        <v>2</v>
      </c>
      <c r="Y18" s="339">
        <v>3</v>
      </c>
      <c r="Z18" s="339">
        <v>1</v>
      </c>
      <c r="AA18" s="339">
        <v>3</v>
      </c>
      <c r="AB18" s="104">
        <v>3</v>
      </c>
      <c r="AC18" s="104">
        <v>1.05</v>
      </c>
      <c r="AD18" s="107">
        <f t="shared" si="4"/>
        <v>1.0656118303245188</v>
      </c>
      <c r="AE18" s="107">
        <f t="shared" si="5"/>
        <v>1.0834154250740264</v>
      </c>
      <c r="AF18" s="107" t="str">
        <f t="shared" si="6"/>
        <v>(1,2,2,3,1,3)</v>
      </c>
      <c r="AG18" s="108">
        <v>1</v>
      </c>
      <c r="AH18" s="108">
        <v>1.02</v>
      </c>
      <c r="AI18" s="108">
        <v>1.03</v>
      </c>
      <c r="AJ18" s="108">
        <v>1.02</v>
      </c>
      <c r="AK18" s="108">
        <v>1</v>
      </c>
      <c r="AL18" s="108">
        <v>1.05</v>
      </c>
    </row>
    <row r="19" spans="1:38">
      <c r="A19" s="330">
        <v>269335</v>
      </c>
      <c r="B19" s="331"/>
      <c r="C19" s="88"/>
      <c r="D19" s="340">
        <v>5</v>
      </c>
      <c r="E19" s="341" t="s">
        <v>98</v>
      </c>
      <c r="F19" s="432" t="s">
        <v>493</v>
      </c>
      <c r="G19" s="433" t="s">
        <v>93</v>
      </c>
      <c r="H19" s="434" t="s">
        <v>98</v>
      </c>
      <c r="I19" s="434" t="s">
        <v>98</v>
      </c>
      <c r="J19" s="94">
        <v>0</v>
      </c>
      <c r="K19" s="433" t="s">
        <v>144</v>
      </c>
      <c r="L19" s="435">
        <v>7.7639751552795004E-3</v>
      </c>
      <c r="M19" s="95">
        <v>1</v>
      </c>
      <c r="N19" s="96">
        <f t="shared" si="0"/>
        <v>1.0779537044351355</v>
      </c>
      <c r="O19" s="432" t="str">
        <f t="shared" si="1"/>
        <v>(1,1,2,1,1,3);  2023 data for First Solar in US, India</v>
      </c>
      <c r="P19" s="435">
        <v>7.4404761904761901E-3</v>
      </c>
      <c r="Q19" s="95">
        <v>1</v>
      </c>
      <c r="R19" s="96">
        <f t="shared" si="2"/>
        <v>1.0779537044351355</v>
      </c>
      <c r="S19" s="432" t="str">
        <f t="shared" si="3"/>
        <v>(1,1,2,1,1,3);  2023 data for First Solar in US, India</v>
      </c>
      <c r="U19" s="216" t="s">
        <v>1421</v>
      </c>
      <c r="V19" s="339">
        <v>1</v>
      </c>
      <c r="W19" s="339">
        <v>1</v>
      </c>
      <c r="X19" s="339">
        <v>2</v>
      </c>
      <c r="Y19" s="339">
        <v>1</v>
      </c>
      <c r="Z19" s="339">
        <v>1</v>
      </c>
      <c r="AA19" s="339">
        <v>3</v>
      </c>
      <c r="AB19" s="104">
        <v>3</v>
      </c>
      <c r="AC19" s="104">
        <v>1.05</v>
      </c>
      <c r="AD19" s="107">
        <f t="shared" si="4"/>
        <v>1.0587041087527549</v>
      </c>
      <c r="AE19" s="107">
        <f t="shared" si="5"/>
        <v>1.0779537044351355</v>
      </c>
      <c r="AF19" s="107" t="str">
        <f t="shared" si="6"/>
        <v>(1,1,2,1,1,3)</v>
      </c>
      <c r="AG19" s="108">
        <v>1</v>
      </c>
      <c r="AH19" s="108">
        <v>1</v>
      </c>
      <c r="AI19" s="108">
        <v>1.03</v>
      </c>
      <c r="AJ19" s="108">
        <v>1</v>
      </c>
      <c r="AK19" s="108">
        <v>1</v>
      </c>
      <c r="AL19" s="108">
        <v>1.05</v>
      </c>
    </row>
    <row r="20" spans="1:38">
      <c r="A20" s="330">
        <v>269091</v>
      </c>
      <c r="B20" s="331"/>
      <c r="C20" s="88"/>
      <c r="D20" s="340">
        <v>5</v>
      </c>
      <c r="E20" s="341" t="s">
        <v>98</v>
      </c>
      <c r="F20" s="432" t="s">
        <v>1397</v>
      </c>
      <c r="G20" s="433" t="s">
        <v>93</v>
      </c>
      <c r="H20" s="434" t="s">
        <v>98</v>
      </c>
      <c r="I20" s="434" t="s">
        <v>98</v>
      </c>
      <c r="J20" s="94">
        <v>0</v>
      </c>
      <c r="K20" s="433" t="s">
        <v>96</v>
      </c>
      <c r="L20" s="435">
        <v>5.1367231249677596</v>
      </c>
      <c r="M20" s="95">
        <v>1</v>
      </c>
      <c r="N20" s="96">
        <f t="shared" si="0"/>
        <v>1.0779537044351355</v>
      </c>
      <c r="O20" s="432" t="str">
        <f t="shared" si="1"/>
        <v>(1,1,2,1,1,3);  2023 data for First Solar in US, India</v>
      </c>
      <c r="P20" s="435">
        <v>5.1367231249677596</v>
      </c>
      <c r="Q20" s="95">
        <v>1</v>
      </c>
      <c r="R20" s="96">
        <f t="shared" si="2"/>
        <v>1.0779537044351355</v>
      </c>
      <c r="S20" s="432" t="str">
        <f t="shared" si="3"/>
        <v>(1,1,2,1,1,3);  2023 data for First Solar in US, India</v>
      </c>
      <c r="U20" s="216" t="s">
        <v>1421</v>
      </c>
      <c r="V20" s="339">
        <v>1</v>
      </c>
      <c r="W20" s="339">
        <v>1</v>
      </c>
      <c r="X20" s="339">
        <v>2</v>
      </c>
      <c r="Y20" s="339">
        <v>1</v>
      </c>
      <c r="Z20" s="339">
        <v>1</v>
      </c>
      <c r="AA20" s="339">
        <v>3</v>
      </c>
      <c r="AB20" s="104">
        <v>3</v>
      </c>
      <c r="AC20" s="104">
        <v>1.05</v>
      </c>
      <c r="AD20" s="107">
        <f t="shared" si="4"/>
        <v>1.0587041087527549</v>
      </c>
      <c r="AE20" s="107">
        <f t="shared" si="5"/>
        <v>1.0779537044351355</v>
      </c>
      <c r="AF20" s="107" t="str">
        <f t="shared" si="6"/>
        <v>(1,1,2,1,1,3)</v>
      </c>
      <c r="AG20" s="108">
        <v>1</v>
      </c>
      <c r="AH20" s="108">
        <v>1</v>
      </c>
      <c r="AI20" s="108">
        <v>1.03</v>
      </c>
      <c r="AJ20" s="108">
        <v>1</v>
      </c>
      <c r="AK20" s="108">
        <v>1</v>
      </c>
      <c r="AL20" s="108">
        <v>1.05</v>
      </c>
    </row>
    <row r="21" spans="1:38" ht="25.5" customHeight="1">
      <c r="A21" s="330">
        <v>269117</v>
      </c>
      <c r="B21" s="331"/>
      <c r="C21" s="88"/>
      <c r="D21" s="340">
        <v>5</v>
      </c>
      <c r="E21" s="341" t="s">
        <v>98</v>
      </c>
      <c r="F21" s="432" t="s">
        <v>1284</v>
      </c>
      <c r="G21" s="433" t="s">
        <v>93</v>
      </c>
      <c r="H21" s="434" t="s">
        <v>98</v>
      </c>
      <c r="I21" s="434" t="s">
        <v>98</v>
      </c>
      <c r="J21" s="94">
        <v>0</v>
      </c>
      <c r="K21" s="433" t="s">
        <v>96</v>
      </c>
      <c r="L21" s="435">
        <v>0.10775999999999999</v>
      </c>
      <c r="M21" s="95">
        <v>1</v>
      </c>
      <c r="N21" s="96">
        <f t="shared" si="0"/>
        <v>1.1649902150316884</v>
      </c>
      <c r="O21" s="432" t="str">
        <f t="shared" si="1"/>
        <v>(1,4,3,3,1,3);  Fthenakis, literature, sum up of several materials</v>
      </c>
      <c r="P21" s="435">
        <v>0.10775999999999999</v>
      </c>
      <c r="Q21" s="95">
        <v>1</v>
      </c>
      <c r="R21" s="96">
        <f t="shared" si="2"/>
        <v>1.1649902150316884</v>
      </c>
      <c r="S21" s="432" t="str">
        <f t="shared" si="3"/>
        <v>(1,4,3,3,1,3);  Fthenakis, literature, sum up of several materials</v>
      </c>
      <c r="U21" s="216" t="s">
        <v>1422</v>
      </c>
      <c r="V21" s="339">
        <v>1</v>
      </c>
      <c r="W21" s="339">
        <v>4</v>
      </c>
      <c r="X21" s="339">
        <v>3</v>
      </c>
      <c r="Y21" s="339">
        <v>3</v>
      </c>
      <c r="Z21" s="339">
        <v>1</v>
      </c>
      <c r="AA21" s="339">
        <v>3</v>
      </c>
      <c r="AB21" s="104">
        <v>3</v>
      </c>
      <c r="AC21" s="104">
        <v>1.05</v>
      </c>
      <c r="AD21" s="107">
        <f t="shared" si="4"/>
        <v>1.1557031727027498</v>
      </c>
      <c r="AE21" s="107">
        <f t="shared" si="5"/>
        <v>1.1649902150316884</v>
      </c>
      <c r="AF21" s="107" t="str">
        <f t="shared" si="6"/>
        <v>(1,4,3,3,1,3)</v>
      </c>
      <c r="AG21" s="108">
        <v>1</v>
      </c>
      <c r="AH21" s="108">
        <v>1.1000000000000001</v>
      </c>
      <c r="AI21" s="108">
        <v>1.1000000000000001</v>
      </c>
      <c r="AJ21" s="108">
        <v>1.02</v>
      </c>
      <c r="AK21" s="108">
        <v>1</v>
      </c>
      <c r="AL21" s="108">
        <v>1.05</v>
      </c>
    </row>
    <row r="22" spans="1:38">
      <c r="A22" s="330">
        <v>269331</v>
      </c>
      <c r="B22" s="331"/>
      <c r="C22" s="88"/>
      <c r="D22" s="340">
        <v>5</v>
      </c>
      <c r="E22" s="341" t="s">
        <v>98</v>
      </c>
      <c r="F22" s="432" t="s">
        <v>1179</v>
      </c>
      <c r="G22" s="433" t="s">
        <v>93</v>
      </c>
      <c r="H22" s="434" t="s">
        <v>98</v>
      </c>
      <c r="I22" s="434" t="s">
        <v>98</v>
      </c>
      <c r="J22" s="94">
        <v>0</v>
      </c>
      <c r="K22" s="433" t="s">
        <v>96</v>
      </c>
      <c r="L22" s="435">
        <v>9.1984290337672997E-2</v>
      </c>
      <c r="M22" s="95">
        <v>1</v>
      </c>
      <c r="N22" s="96">
        <f t="shared" si="0"/>
        <v>1.1649902150316884</v>
      </c>
      <c r="O22" s="432" t="str">
        <f t="shared" si="1"/>
        <v>(1,4,3,3,1,3);  2023 data for First Solar in US, India</v>
      </c>
      <c r="P22" s="435">
        <v>9.1984290337672997E-2</v>
      </c>
      <c r="Q22" s="95">
        <v>1</v>
      </c>
      <c r="R22" s="96">
        <f t="shared" si="2"/>
        <v>1.1649902150316884</v>
      </c>
      <c r="S22" s="432" t="str">
        <f t="shared" si="3"/>
        <v>(1,4,3,3,1,3);  2023 data for First Solar in US, India</v>
      </c>
      <c r="U22" s="216" t="s">
        <v>1421</v>
      </c>
      <c r="V22" s="339">
        <v>1</v>
      </c>
      <c r="W22" s="339">
        <v>4</v>
      </c>
      <c r="X22" s="339">
        <v>3</v>
      </c>
      <c r="Y22" s="339">
        <v>3</v>
      </c>
      <c r="Z22" s="339">
        <v>1</v>
      </c>
      <c r="AA22" s="339">
        <v>3</v>
      </c>
      <c r="AB22" s="104">
        <v>3</v>
      </c>
      <c r="AC22" s="104">
        <v>1.05</v>
      </c>
      <c r="AD22" s="107">
        <f t="shared" si="4"/>
        <v>1.1557031727027498</v>
      </c>
      <c r="AE22" s="107">
        <f t="shared" si="5"/>
        <v>1.1649902150316884</v>
      </c>
      <c r="AF22" s="107" t="str">
        <f t="shared" si="6"/>
        <v>(1,4,3,3,1,3)</v>
      </c>
      <c r="AG22" s="108">
        <v>1</v>
      </c>
      <c r="AH22" s="108">
        <v>1.1000000000000001</v>
      </c>
      <c r="AI22" s="108">
        <v>1.1000000000000001</v>
      </c>
      <c r="AJ22" s="108">
        <v>1.02</v>
      </c>
      <c r="AK22" s="108">
        <v>1</v>
      </c>
      <c r="AL22" s="108">
        <v>1.05</v>
      </c>
    </row>
    <row r="23" spans="1:38">
      <c r="A23" s="330">
        <v>269103</v>
      </c>
      <c r="B23" s="331"/>
      <c r="C23" s="88"/>
      <c r="D23" s="340">
        <v>5</v>
      </c>
      <c r="E23" s="341" t="s">
        <v>98</v>
      </c>
      <c r="F23" s="432" t="s">
        <v>1183</v>
      </c>
      <c r="G23" s="433" t="s">
        <v>93</v>
      </c>
      <c r="H23" s="434" t="s">
        <v>98</v>
      </c>
      <c r="I23" s="434" t="s">
        <v>98</v>
      </c>
      <c r="J23" s="94">
        <v>0</v>
      </c>
      <c r="K23" s="433" t="s">
        <v>96</v>
      </c>
      <c r="L23" s="435">
        <v>6.7417999918091596</v>
      </c>
      <c r="M23" s="95">
        <v>1</v>
      </c>
      <c r="N23" s="96">
        <f t="shared" si="0"/>
        <v>1.1649902150316884</v>
      </c>
      <c r="O23" s="432" t="str">
        <f t="shared" si="1"/>
        <v>(1,4,3,3,1,3);  2023 data for First Solar in US, India</v>
      </c>
      <c r="P23" s="435">
        <v>6.7417999918091596</v>
      </c>
      <c r="Q23" s="95">
        <v>1</v>
      </c>
      <c r="R23" s="96">
        <f t="shared" si="2"/>
        <v>1.1649902150316884</v>
      </c>
      <c r="S23" s="432" t="str">
        <f t="shared" si="3"/>
        <v>(1,4,3,3,1,3);  2023 data for First Solar in US, India</v>
      </c>
      <c r="U23" s="216" t="s">
        <v>1421</v>
      </c>
      <c r="V23" s="339">
        <v>1</v>
      </c>
      <c r="W23" s="339">
        <v>4</v>
      </c>
      <c r="X23" s="339">
        <v>3</v>
      </c>
      <c r="Y23" s="339">
        <v>3</v>
      </c>
      <c r="Z23" s="339">
        <v>1</v>
      </c>
      <c r="AA23" s="339">
        <v>3</v>
      </c>
      <c r="AB23" s="104">
        <v>3</v>
      </c>
      <c r="AC23" s="104">
        <v>1.05</v>
      </c>
      <c r="AD23" s="107">
        <f t="shared" si="4"/>
        <v>1.1557031727027498</v>
      </c>
      <c r="AE23" s="107">
        <f t="shared" si="5"/>
        <v>1.1649902150316884</v>
      </c>
      <c r="AF23" s="107" t="str">
        <f t="shared" si="6"/>
        <v>(1,4,3,3,1,3)</v>
      </c>
      <c r="AG23" s="108">
        <v>1</v>
      </c>
      <c r="AH23" s="108">
        <v>1.1000000000000001</v>
      </c>
      <c r="AI23" s="108">
        <v>1.1000000000000001</v>
      </c>
      <c r="AJ23" s="108">
        <v>1.02</v>
      </c>
      <c r="AK23" s="108">
        <v>1</v>
      </c>
      <c r="AL23" s="108">
        <v>1.05</v>
      </c>
    </row>
    <row r="24" spans="1:38">
      <c r="A24" s="330">
        <v>268933</v>
      </c>
      <c r="B24" s="331"/>
      <c r="C24" s="88"/>
      <c r="D24" s="340">
        <v>5</v>
      </c>
      <c r="E24" s="341" t="s">
        <v>98</v>
      </c>
      <c r="F24" s="432" t="s">
        <v>683</v>
      </c>
      <c r="G24" s="433" t="s">
        <v>93</v>
      </c>
      <c r="H24" s="434" t="s">
        <v>98</v>
      </c>
      <c r="I24" s="434" t="s">
        <v>98</v>
      </c>
      <c r="J24" s="94">
        <v>0</v>
      </c>
      <c r="K24" s="433" t="s">
        <v>679</v>
      </c>
      <c r="L24" s="435">
        <v>0.13339999999999999</v>
      </c>
      <c r="M24" s="95">
        <v>1</v>
      </c>
      <c r="N24" s="96">
        <f t="shared" si="0"/>
        <v>1.1649902150316884</v>
      </c>
      <c r="O24" s="432" t="str">
        <f t="shared" si="1"/>
        <v>(1,4,3,3,1,3);  2023 data for First Solar in US, India</v>
      </c>
      <c r="P24" s="435">
        <v>9.28859259259259E-2</v>
      </c>
      <c r="Q24" s="95">
        <v>1</v>
      </c>
      <c r="R24" s="96">
        <f t="shared" si="2"/>
        <v>1.1649902150316884</v>
      </c>
      <c r="S24" s="432" t="str">
        <f t="shared" si="3"/>
        <v>(1,4,3,3,1,3);  2023 data for First Solar in US, India</v>
      </c>
      <c r="U24" s="216" t="s">
        <v>1421</v>
      </c>
      <c r="V24" s="339">
        <v>1</v>
      </c>
      <c r="W24" s="339">
        <v>4</v>
      </c>
      <c r="X24" s="339">
        <v>3</v>
      </c>
      <c r="Y24" s="339">
        <v>3</v>
      </c>
      <c r="Z24" s="339">
        <v>1</v>
      </c>
      <c r="AA24" s="339">
        <v>3</v>
      </c>
      <c r="AB24" s="104">
        <v>3</v>
      </c>
      <c r="AC24" s="104">
        <v>1.05</v>
      </c>
      <c r="AD24" s="107">
        <f t="shared" si="4"/>
        <v>1.1557031727027498</v>
      </c>
      <c r="AE24" s="107">
        <f t="shared" si="5"/>
        <v>1.1649902150316884</v>
      </c>
      <c r="AF24" s="107" t="str">
        <f t="shared" si="6"/>
        <v>(1,4,3,3,1,3)</v>
      </c>
      <c r="AG24" s="108">
        <v>1</v>
      </c>
      <c r="AH24" s="108">
        <v>1.1000000000000001</v>
      </c>
      <c r="AI24" s="108">
        <v>1.1000000000000001</v>
      </c>
      <c r="AJ24" s="108">
        <v>1.02</v>
      </c>
      <c r="AK24" s="108">
        <v>1</v>
      </c>
      <c r="AL24" s="108">
        <v>1.05</v>
      </c>
    </row>
    <row r="25" spans="1:38">
      <c r="A25" s="330">
        <v>269211</v>
      </c>
      <c r="B25" s="331" t="s">
        <v>1198</v>
      </c>
      <c r="C25" s="88"/>
      <c r="D25" s="340">
        <v>5</v>
      </c>
      <c r="E25" s="341" t="s">
        <v>98</v>
      </c>
      <c r="F25" s="432" t="s">
        <v>838</v>
      </c>
      <c r="G25" s="433" t="s">
        <v>93</v>
      </c>
      <c r="H25" s="434" t="s">
        <v>98</v>
      </c>
      <c r="I25" s="434" t="s">
        <v>98</v>
      </c>
      <c r="J25" s="94">
        <v>0</v>
      </c>
      <c r="K25" s="433" t="s">
        <v>96</v>
      </c>
      <c r="L25" s="435">
        <v>1.67E-2</v>
      </c>
      <c r="M25" s="95">
        <v>1</v>
      </c>
      <c r="N25" s="96">
        <f t="shared" si="0"/>
        <v>1.1649902150316884</v>
      </c>
      <c r="O25" s="432" t="str">
        <f t="shared" si="1"/>
        <v>(1,4,3,3,1,3);  Fthenakis, literature</v>
      </c>
      <c r="P25" s="435">
        <v>1.67E-2</v>
      </c>
      <c r="Q25" s="95">
        <v>1</v>
      </c>
      <c r="R25" s="96">
        <f t="shared" si="2"/>
        <v>1.1649902150316884</v>
      </c>
      <c r="S25" s="432" t="str">
        <f t="shared" si="3"/>
        <v>(1,4,3,3,1,3);  Fthenakis, literature</v>
      </c>
      <c r="U25" s="216" t="s">
        <v>1423</v>
      </c>
      <c r="V25" s="339">
        <v>1</v>
      </c>
      <c r="W25" s="339">
        <v>4</v>
      </c>
      <c r="X25" s="339">
        <v>3</v>
      </c>
      <c r="Y25" s="339">
        <v>3</v>
      </c>
      <c r="Z25" s="339">
        <v>1</v>
      </c>
      <c r="AA25" s="339">
        <v>3</v>
      </c>
      <c r="AB25" s="104">
        <v>3</v>
      </c>
      <c r="AC25" s="104">
        <v>1.05</v>
      </c>
      <c r="AD25" s="107">
        <f t="shared" si="4"/>
        <v>1.1557031727027498</v>
      </c>
      <c r="AE25" s="107">
        <f t="shared" si="5"/>
        <v>1.1649902150316884</v>
      </c>
      <c r="AF25" s="107" t="str">
        <f t="shared" si="6"/>
        <v>(1,4,3,3,1,3)</v>
      </c>
      <c r="AG25" s="108">
        <v>1</v>
      </c>
      <c r="AH25" s="108">
        <v>1.1000000000000001</v>
      </c>
      <c r="AI25" s="108">
        <v>1.1000000000000001</v>
      </c>
      <c r="AJ25" s="108">
        <v>1.02</v>
      </c>
      <c r="AK25" s="108">
        <v>1</v>
      </c>
      <c r="AL25" s="108">
        <v>1.05</v>
      </c>
    </row>
    <row r="26" spans="1:38">
      <c r="A26" s="330">
        <v>269227</v>
      </c>
      <c r="B26" s="331"/>
      <c r="C26" s="88"/>
      <c r="D26" s="340">
        <v>5</v>
      </c>
      <c r="E26" s="341" t="s">
        <v>98</v>
      </c>
      <c r="F26" s="432" t="s">
        <v>1057</v>
      </c>
      <c r="G26" s="433" t="s">
        <v>93</v>
      </c>
      <c r="H26" s="434" t="s">
        <v>98</v>
      </c>
      <c r="I26" s="434" t="s">
        <v>98</v>
      </c>
      <c r="J26" s="94">
        <v>0</v>
      </c>
      <c r="K26" s="433" t="s">
        <v>96</v>
      </c>
      <c r="L26" s="435">
        <v>2.0799999999999998E-3</v>
      </c>
      <c r="M26" s="95">
        <v>1</v>
      </c>
      <c r="N26" s="96">
        <f t="shared" si="0"/>
        <v>1.1649902150316884</v>
      </c>
      <c r="O26" s="432" t="str">
        <f t="shared" si="1"/>
        <v>(1,4,3,3,1,3);  Fthenakis, literature</v>
      </c>
      <c r="P26" s="435">
        <v>2.0799999999999998E-3</v>
      </c>
      <c r="Q26" s="95">
        <v>1</v>
      </c>
      <c r="R26" s="96">
        <f t="shared" si="2"/>
        <v>1.1649902150316884</v>
      </c>
      <c r="S26" s="432" t="str">
        <f t="shared" si="3"/>
        <v>(1,4,3,3,1,3);  Fthenakis, literature</v>
      </c>
      <c r="U26" s="216" t="s">
        <v>1423</v>
      </c>
      <c r="V26" s="339">
        <v>1</v>
      </c>
      <c r="W26" s="339">
        <v>4</v>
      </c>
      <c r="X26" s="339">
        <v>3</v>
      </c>
      <c r="Y26" s="339">
        <v>3</v>
      </c>
      <c r="Z26" s="339">
        <v>1</v>
      </c>
      <c r="AA26" s="339">
        <v>3</v>
      </c>
      <c r="AB26" s="104">
        <v>3</v>
      </c>
      <c r="AC26" s="104">
        <v>1.05</v>
      </c>
      <c r="AD26" s="107">
        <f t="shared" si="4"/>
        <v>1.1557031727027498</v>
      </c>
      <c r="AE26" s="107">
        <f t="shared" si="5"/>
        <v>1.1649902150316884</v>
      </c>
      <c r="AF26" s="107" t="str">
        <f t="shared" si="6"/>
        <v>(1,4,3,3,1,3)</v>
      </c>
      <c r="AG26" s="108">
        <v>1</v>
      </c>
      <c r="AH26" s="108">
        <v>1.1000000000000001</v>
      </c>
      <c r="AI26" s="108">
        <v>1.1000000000000001</v>
      </c>
      <c r="AJ26" s="108">
        <v>1.02</v>
      </c>
      <c r="AK26" s="108">
        <v>1</v>
      </c>
      <c r="AL26" s="108">
        <v>1.05</v>
      </c>
    </row>
    <row r="27" spans="1:38">
      <c r="A27" s="330">
        <v>269249</v>
      </c>
      <c r="B27" s="331"/>
      <c r="C27" s="88"/>
      <c r="D27" s="340">
        <v>5</v>
      </c>
      <c r="E27" s="341" t="s">
        <v>98</v>
      </c>
      <c r="F27" s="432" t="s">
        <v>584</v>
      </c>
      <c r="G27" s="433" t="s">
        <v>93</v>
      </c>
      <c r="H27" s="434" t="s">
        <v>98</v>
      </c>
      <c r="I27" s="434" t="s">
        <v>98</v>
      </c>
      <c r="J27" s="94">
        <v>0</v>
      </c>
      <c r="K27" s="433" t="s">
        <v>96</v>
      </c>
      <c r="L27" s="435">
        <v>5.7200000000000001E-2</v>
      </c>
      <c r="M27" s="95">
        <v>1</v>
      </c>
      <c r="N27" s="96">
        <f t="shared" si="0"/>
        <v>1.1649902150316884</v>
      </c>
      <c r="O27" s="432" t="str">
        <f t="shared" si="1"/>
        <v>(1,4,3,3,1,3);  Fthenakis, literature</v>
      </c>
      <c r="P27" s="435">
        <v>5.7200000000000001E-2</v>
      </c>
      <c r="Q27" s="95">
        <v>1</v>
      </c>
      <c r="R27" s="96">
        <f t="shared" si="2"/>
        <v>1.1649902150316884</v>
      </c>
      <c r="S27" s="432" t="str">
        <f t="shared" si="3"/>
        <v>(1,4,3,3,1,3);  Fthenakis, literature</v>
      </c>
      <c r="U27" s="216" t="s">
        <v>1423</v>
      </c>
      <c r="V27" s="339">
        <v>1</v>
      </c>
      <c r="W27" s="339">
        <v>4</v>
      </c>
      <c r="X27" s="339">
        <v>3</v>
      </c>
      <c r="Y27" s="339">
        <v>3</v>
      </c>
      <c r="Z27" s="339">
        <v>1</v>
      </c>
      <c r="AA27" s="339">
        <v>3</v>
      </c>
      <c r="AB27" s="104">
        <v>3</v>
      </c>
      <c r="AC27" s="104">
        <v>1.05</v>
      </c>
      <c r="AD27" s="107">
        <f t="shared" si="4"/>
        <v>1.1557031727027498</v>
      </c>
      <c r="AE27" s="107">
        <f t="shared" si="5"/>
        <v>1.1649902150316884</v>
      </c>
      <c r="AF27" s="107" t="str">
        <f t="shared" si="6"/>
        <v>(1,4,3,3,1,3)</v>
      </c>
      <c r="AG27" s="108">
        <v>1</v>
      </c>
      <c r="AH27" s="108">
        <v>1.1000000000000001</v>
      </c>
      <c r="AI27" s="108">
        <v>1.1000000000000001</v>
      </c>
      <c r="AJ27" s="108">
        <v>1.02</v>
      </c>
      <c r="AK27" s="108">
        <v>1</v>
      </c>
      <c r="AL27" s="108">
        <v>1.05</v>
      </c>
    </row>
    <row r="28" spans="1:38">
      <c r="A28" s="330">
        <v>269223</v>
      </c>
      <c r="B28" s="331"/>
      <c r="C28" s="88"/>
      <c r="D28" s="340">
        <v>5</v>
      </c>
      <c r="E28" s="341" t="s">
        <v>98</v>
      </c>
      <c r="F28" s="432" t="s">
        <v>318</v>
      </c>
      <c r="G28" s="433" t="s">
        <v>93</v>
      </c>
      <c r="H28" s="434" t="s">
        <v>98</v>
      </c>
      <c r="I28" s="434" t="s">
        <v>98</v>
      </c>
      <c r="J28" s="94">
        <v>0</v>
      </c>
      <c r="K28" s="433" t="s">
        <v>96</v>
      </c>
      <c r="L28" s="435">
        <v>7.3200000000000001E-2</v>
      </c>
      <c r="M28" s="95">
        <v>1</v>
      </c>
      <c r="N28" s="96">
        <f t="shared" si="0"/>
        <v>1.1649902150316884</v>
      </c>
      <c r="O28" s="432" t="str">
        <f t="shared" si="1"/>
        <v>(1,4,3,3,1,3);  Fthenakis, literature</v>
      </c>
      <c r="P28" s="435">
        <v>7.3200000000000001E-2</v>
      </c>
      <c r="Q28" s="95">
        <v>1</v>
      </c>
      <c r="R28" s="96">
        <f t="shared" si="2"/>
        <v>1.1649902150316884</v>
      </c>
      <c r="S28" s="432" t="str">
        <f t="shared" si="3"/>
        <v>(1,4,3,3,1,3);  Fthenakis, literature</v>
      </c>
      <c r="U28" s="216" t="s">
        <v>1423</v>
      </c>
      <c r="V28" s="339">
        <v>1</v>
      </c>
      <c r="W28" s="339">
        <v>4</v>
      </c>
      <c r="X28" s="339">
        <v>3</v>
      </c>
      <c r="Y28" s="339">
        <v>3</v>
      </c>
      <c r="Z28" s="339">
        <v>1</v>
      </c>
      <c r="AA28" s="339">
        <v>3</v>
      </c>
      <c r="AB28" s="104">
        <v>3</v>
      </c>
      <c r="AC28" s="104">
        <v>1.05</v>
      </c>
      <c r="AD28" s="107">
        <f t="shared" si="4"/>
        <v>1.1557031727027498</v>
      </c>
      <c r="AE28" s="107">
        <f t="shared" si="5"/>
        <v>1.1649902150316884</v>
      </c>
      <c r="AF28" s="107" t="str">
        <f t="shared" si="6"/>
        <v>(1,4,3,3,1,3)</v>
      </c>
      <c r="AG28" s="108">
        <v>1</v>
      </c>
      <c r="AH28" s="108">
        <v>1.1000000000000001</v>
      </c>
      <c r="AI28" s="108">
        <v>1.1000000000000001</v>
      </c>
      <c r="AJ28" s="108">
        <v>1.02</v>
      </c>
      <c r="AK28" s="108">
        <v>1</v>
      </c>
      <c r="AL28" s="108">
        <v>1.05</v>
      </c>
    </row>
    <row r="29" spans="1:38">
      <c r="A29" s="330">
        <v>269201</v>
      </c>
      <c r="B29" s="331"/>
      <c r="C29" s="88"/>
      <c r="D29" s="340">
        <v>5</v>
      </c>
      <c r="E29" s="341" t="s">
        <v>98</v>
      </c>
      <c r="F29" s="432" t="s">
        <v>470</v>
      </c>
      <c r="G29" s="433" t="s">
        <v>93</v>
      </c>
      <c r="H29" s="434" t="s">
        <v>98</v>
      </c>
      <c r="I29" s="434" t="s">
        <v>98</v>
      </c>
      <c r="J29" s="94">
        <v>0</v>
      </c>
      <c r="K29" s="433" t="s">
        <v>96</v>
      </c>
      <c r="L29" s="435">
        <v>4.53E-2</v>
      </c>
      <c r="M29" s="95">
        <v>1</v>
      </c>
      <c r="N29" s="96">
        <f t="shared" si="0"/>
        <v>1.1649902150316884</v>
      </c>
      <c r="O29" s="432" t="str">
        <f t="shared" si="1"/>
        <v>(1,4,3,3,1,3);  Fthenakis, literature</v>
      </c>
      <c r="P29" s="435">
        <v>4.53E-2</v>
      </c>
      <c r="Q29" s="95">
        <v>1</v>
      </c>
      <c r="R29" s="96">
        <f t="shared" si="2"/>
        <v>1.1649902150316884</v>
      </c>
      <c r="S29" s="432" t="str">
        <f t="shared" si="3"/>
        <v>(1,4,3,3,1,3);  Fthenakis, literature</v>
      </c>
      <c r="U29" s="216" t="s">
        <v>1423</v>
      </c>
      <c r="V29" s="339">
        <v>1</v>
      </c>
      <c r="W29" s="339">
        <v>4</v>
      </c>
      <c r="X29" s="339">
        <v>3</v>
      </c>
      <c r="Y29" s="339">
        <v>3</v>
      </c>
      <c r="Z29" s="339">
        <v>1</v>
      </c>
      <c r="AA29" s="339">
        <v>3</v>
      </c>
      <c r="AB29" s="104">
        <v>3</v>
      </c>
      <c r="AC29" s="104">
        <v>1.05</v>
      </c>
      <c r="AD29" s="107">
        <f t="shared" si="4"/>
        <v>1.1557031727027498</v>
      </c>
      <c r="AE29" s="107">
        <f t="shared" si="5"/>
        <v>1.1649902150316884</v>
      </c>
      <c r="AF29" s="107" t="str">
        <f t="shared" si="6"/>
        <v>(1,4,3,3,1,3)</v>
      </c>
      <c r="AG29" s="108">
        <v>1</v>
      </c>
      <c r="AH29" s="108">
        <v>1.1000000000000001</v>
      </c>
      <c r="AI29" s="108">
        <v>1.1000000000000001</v>
      </c>
      <c r="AJ29" s="108">
        <v>1.02</v>
      </c>
      <c r="AK29" s="108">
        <v>1</v>
      </c>
      <c r="AL29" s="108">
        <v>1.05</v>
      </c>
    </row>
    <row r="30" spans="1:38" ht="24" customHeight="1">
      <c r="A30" s="330">
        <v>269497</v>
      </c>
      <c r="B30" s="331"/>
      <c r="C30" s="88"/>
      <c r="D30" s="340">
        <v>5</v>
      </c>
      <c r="E30" s="341" t="s">
        <v>98</v>
      </c>
      <c r="F30" s="432" t="s">
        <v>468</v>
      </c>
      <c r="G30" s="433" t="s">
        <v>93</v>
      </c>
      <c r="H30" s="434" t="s">
        <v>98</v>
      </c>
      <c r="I30" s="434" t="s">
        <v>98</v>
      </c>
      <c r="J30" s="94">
        <v>0</v>
      </c>
      <c r="K30" s="433" t="s">
        <v>96</v>
      </c>
      <c r="L30" s="435">
        <v>4.9299999999999997E-2</v>
      </c>
      <c r="M30" s="95">
        <v>1</v>
      </c>
      <c r="N30" s="96">
        <f t="shared" si="0"/>
        <v>1.1649902150316884</v>
      </c>
      <c r="O30" s="432" t="str">
        <f t="shared" si="1"/>
        <v>(1,4,3,3,1,3);  Fthenakis, literature</v>
      </c>
      <c r="P30" s="435">
        <v>4.9299999999999997E-2</v>
      </c>
      <c r="Q30" s="95">
        <v>1</v>
      </c>
      <c r="R30" s="96">
        <f t="shared" si="2"/>
        <v>1.1649902150316884</v>
      </c>
      <c r="S30" s="432" t="str">
        <f t="shared" si="3"/>
        <v>(1,4,3,3,1,3);  Fthenakis, literature</v>
      </c>
      <c r="U30" s="216" t="s">
        <v>1423</v>
      </c>
      <c r="V30" s="339">
        <v>1</v>
      </c>
      <c r="W30" s="339">
        <v>4</v>
      </c>
      <c r="X30" s="339">
        <v>3</v>
      </c>
      <c r="Y30" s="339">
        <v>3</v>
      </c>
      <c r="Z30" s="339">
        <v>1</v>
      </c>
      <c r="AA30" s="339">
        <v>3</v>
      </c>
      <c r="AB30" s="104">
        <v>3</v>
      </c>
      <c r="AC30" s="104">
        <v>1.05</v>
      </c>
      <c r="AD30" s="107">
        <f t="shared" si="4"/>
        <v>1.1557031727027498</v>
      </c>
      <c r="AE30" s="107">
        <f t="shared" si="5"/>
        <v>1.1649902150316884</v>
      </c>
      <c r="AF30" s="107" t="str">
        <f t="shared" si="6"/>
        <v>(1,4,3,3,1,3)</v>
      </c>
      <c r="AG30" s="108">
        <v>1</v>
      </c>
      <c r="AH30" s="108">
        <v>1.1000000000000001</v>
      </c>
      <c r="AI30" s="108">
        <v>1.1000000000000001</v>
      </c>
      <c r="AJ30" s="108">
        <v>1.02</v>
      </c>
      <c r="AK30" s="108">
        <v>1</v>
      </c>
      <c r="AL30" s="108">
        <v>1.05</v>
      </c>
    </row>
    <row r="31" spans="1:38">
      <c r="A31" s="330">
        <v>269295</v>
      </c>
      <c r="B31" s="331"/>
      <c r="C31" s="88"/>
      <c r="D31" s="340">
        <v>5</v>
      </c>
      <c r="E31" s="341" t="s">
        <v>98</v>
      </c>
      <c r="F31" s="432" t="s">
        <v>239</v>
      </c>
      <c r="G31" s="433" t="s">
        <v>93</v>
      </c>
      <c r="H31" s="434" t="s">
        <v>98</v>
      </c>
      <c r="I31" s="434" t="s">
        <v>98</v>
      </c>
      <c r="J31" s="94">
        <v>0</v>
      </c>
      <c r="K31" s="433" t="s">
        <v>96</v>
      </c>
      <c r="L31" s="435">
        <v>3.9300000000000002E-2</v>
      </c>
      <c r="M31" s="95">
        <v>1</v>
      </c>
      <c r="N31" s="96">
        <f t="shared" si="0"/>
        <v>1.1649902150316884</v>
      </c>
      <c r="O31" s="432" t="str">
        <f t="shared" si="1"/>
        <v>(1,4,3,3,1,3);  Fthenakis, literature</v>
      </c>
      <c r="P31" s="435">
        <v>3.9300000000000002E-2</v>
      </c>
      <c r="Q31" s="95">
        <v>1</v>
      </c>
      <c r="R31" s="96">
        <f t="shared" si="2"/>
        <v>1.1649902150316884</v>
      </c>
      <c r="S31" s="432" t="str">
        <f t="shared" si="3"/>
        <v>(1,4,3,3,1,3);  Fthenakis, literature</v>
      </c>
      <c r="U31" s="216" t="s">
        <v>1423</v>
      </c>
      <c r="V31" s="339">
        <v>1</v>
      </c>
      <c r="W31" s="339">
        <v>4</v>
      </c>
      <c r="X31" s="339">
        <v>3</v>
      </c>
      <c r="Y31" s="339">
        <v>3</v>
      </c>
      <c r="Z31" s="339">
        <v>1</v>
      </c>
      <c r="AA31" s="339">
        <v>3</v>
      </c>
      <c r="AB31" s="104">
        <v>3</v>
      </c>
      <c r="AC31" s="104">
        <v>1.05</v>
      </c>
      <c r="AD31" s="107">
        <f t="shared" si="4"/>
        <v>1.1557031727027498</v>
      </c>
      <c r="AE31" s="107">
        <f t="shared" si="5"/>
        <v>1.1649902150316884</v>
      </c>
      <c r="AF31" s="107" t="str">
        <f t="shared" si="6"/>
        <v>(1,4,3,3,1,3)</v>
      </c>
      <c r="AG31" s="108">
        <v>1</v>
      </c>
      <c r="AH31" s="108">
        <v>1.1000000000000001</v>
      </c>
      <c r="AI31" s="108">
        <v>1.1000000000000001</v>
      </c>
      <c r="AJ31" s="108">
        <v>1.02</v>
      </c>
      <c r="AK31" s="108">
        <v>1</v>
      </c>
      <c r="AL31" s="108">
        <v>1.05</v>
      </c>
    </row>
    <row r="32" spans="1:38" ht="24" customHeight="1">
      <c r="A32" s="330">
        <v>256060</v>
      </c>
      <c r="B32" s="331"/>
      <c r="C32" s="88"/>
      <c r="D32" s="340">
        <v>5</v>
      </c>
      <c r="E32" s="341" t="s">
        <v>98</v>
      </c>
      <c r="F32" s="432" t="s">
        <v>991</v>
      </c>
      <c r="G32" s="433" t="s">
        <v>992</v>
      </c>
      <c r="H32" s="434" t="s">
        <v>98</v>
      </c>
      <c r="I32" s="434" t="s">
        <v>98</v>
      </c>
      <c r="J32" s="94">
        <v>0</v>
      </c>
      <c r="K32" s="433" t="s">
        <v>96</v>
      </c>
      <c r="L32" s="435">
        <v>0</v>
      </c>
      <c r="M32" s="95">
        <v>1</v>
      </c>
      <c r="N32" s="96">
        <f t="shared" si="0"/>
        <v>1.0779537044351355</v>
      </c>
      <c r="O32" s="432" t="str">
        <f t="shared" si="1"/>
        <v>(1,1,2,1,1,3);  2022 data for First Solar; 60% reuse in India</v>
      </c>
      <c r="P32" s="435">
        <v>22.020650735712699</v>
      </c>
      <c r="Q32" s="95">
        <v>1</v>
      </c>
      <c r="R32" s="96">
        <f t="shared" si="2"/>
        <v>1.0779537044351355</v>
      </c>
      <c r="S32" s="432" t="str">
        <f t="shared" si="3"/>
        <v>(1,1,2,1,1,3);  2022 data for First Solar; 60% reuse in India</v>
      </c>
      <c r="U32" s="216" t="s">
        <v>1424</v>
      </c>
      <c r="V32" s="339">
        <v>1</v>
      </c>
      <c r="W32" s="339">
        <v>1</v>
      </c>
      <c r="X32" s="339">
        <v>2</v>
      </c>
      <c r="Y32" s="339">
        <v>1</v>
      </c>
      <c r="Z32" s="339">
        <v>1</v>
      </c>
      <c r="AA32" s="339">
        <v>3</v>
      </c>
      <c r="AB32" s="104">
        <v>3</v>
      </c>
      <c r="AC32" s="104">
        <v>1.05</v>
      </c>
      <c r="AD32" s="107">
        <f t="shared" si="4"/>
        <v>1.0587041087527549</v>
      </c>
      <c r="AE32" s="107">
        <f t="shared" si="5"/>
        <v>1.0779537044351355</v>
      </c>
      <c r="AF32" s="107" t="str">
        <f t="shared" si="6"/>
        <v>(1,1,2,1,1,3)</v>
      </c>
      <c r="AG32" s="108">
        <v>1</v>
      </c>
      <c r="AH32" s="108">
        <v>1</v>
      </c>
      <c r="AI32" s="108">
        <v>1.03</v>
      </c>
      <c r="AJ32" s="108">
        <v>1</v>
      </c>
      <c r="AK32" s="108">
        <v>1</v>
      </c>
      <c r="AL32" s="108">
        <v>1.05</v>
      </c>
    </row>
    <row r="33" spans="1:38" ht="24" customHeight="1">
      <c r="A33" s="330">
        <v>265931</v>
      </c>
      <c r="B33" s="331"/>
      <c r="C33" s="88"/>
      <c r="D33" s="340">
        <v>5</v>
      </c>
      <c r="E33" s="341" t="s">
        <v>98</v>
      </c>
      <c r="F33" s="432" t="s">
        <v>489</v>
      </c>
      <c r="G33" s="433" t="s">
        <v>215</v>
      </c>
      <c r="H33" s="434" t="s">
        <v>98</v>
      </c>
      <c r="I33" s="434" t="s">
        <v>98</v>
      </c>
      <c r="J33" s="94">
        <v>0</v>
      </c>
      <c r="K33" s="433" t="s">
        <v>96</v>
      </c>
      <c r="L33" s="435">
        <v>55.051626839281802</v>
      </c>
      <c r="M33" s="95">
        <v>1</v>
      </c>
      <c r="N33" s="96">
        <f t="shared" si="0"/>
        <v>1.0936573467430124</v>
      </c>
      <c r="O33" s="432" t="str">
        <f t="shared" si="1"/>
        <v>(2,1,2,1,1,3);  2022 data for First Solar; 60% reuse in India</v>
      </c>
      <c r="P33" s="435">
        <v>0</v>
      </c>
      <c r="Q33" s="95">
        <v>1</v>
      </c>
      <c r="R33" s="96">
        <f t="shared" si="2"/>
        <v>1.0936573467430124</v>
      </c>
      <c r="S33" s="432" t="str">
        <f t="shared" si="3"/>
        <v>(2,1,2,1,1,3);  2022 data for First Solar; 60% reuse in India</v>
      </c>
      <c r="U33" s="216" t="s">
        <v>1424</v>
      </c>
      <c r="V33" s="339">
        <v>2</v>
      </c>
      <c r="W33" s="339">
        <v>1</v>
      </c>
      <c r="X33" s="339">
        <v>2</v>
      </c>
      <c r="Y33" s="339">
        <v>1</v>
      </c>
      <c r="Z33" s="339">
        <v>1</v>
      </c>
      <c r="AA33" s="339">
        <v>3</v>
      </c>
      <c r="AB33" s="104">
        <v>3</v>
      </c>
      <c r="AC33" s="104">
        <v>1.05</v>
      </c>
      <c r="AD33" s="107">
        <f t="shared" si="4"/>
        <v>1.0779537044351355</v>
      </c>
      <c r="AE33" s="107">
        <f t="shared" si="5"/>
        <v>1.0936573467430124</v>
      </c>
      <c r="AF33" s="107" t="str">
        <f t="shared" si="6"/>
        <v>(2,1,2,1,1,3)</v>
      </c>
      <c r="AG33" s="108">
        <v>1.05</v>
      </c>
      <c r="AH33" s="108">
        <v>1</v>
      </c>
      <c r="AI33" s="108">
        <v>1.03</v>
      </c>
      <c r="AJ33" s="108">
        <v>1</v>
      </c>
      <c r="AK33" s="108">
        <v>1</v>
      </c>
      <c r="AL33" s="108">
        <v>1.05</v>
      </c>
    </row>
    <row r="34" spans="1:38">
      <c r="A34" s="330">
        <v>160371</v>
      </c>
      <c r="B34" s="331" t="s">
        <v>322</v>
      </c>
      <c r="C34" s="88"/>
      <c r="D34" s="340">
        <v>5</v>
      </c>
      <c r="E34" s="341" t="s">
        <v>98</v>
      </c>
      <c r="F34" s="432" t="s">
        <v>242</v>
      </c>
      <c r="G34" s="433" t="s">
        <v>93</v>
      </c>
      <c r="H34" s="434" t="s">
        <v>98</v>
      </c>
      <c r="I34" s="434" t="s">
        <v>98</v>
      </c>
      <c r="J34" s="94">
        <v>0</v>
      </c>
      <c r="K34" s="433" t="s">
        <v>115</v>
      </c>
      <c r="L34" s="435">
        <v>31.5419200154317</v>
      </c>
      <c r="M34" s="95">
        <v>1</v>
      </c>
      <c r="N34" s="96">
        <f t="shared" si="0"/>
        <v>2.0046923955187372</v>
      </c>
      <c r="O34" s="432" t="str">
        <f t="shared" si="1"/>
        <v>(1,1,2,1,1,3);  2022 data for First Solar in US</v>
      </c>
      <c r="P34" s="435">
        <v>31.5419200154317</v>
      </c>
      <c r="Q34" s="95">
        <v>1</v>
      </c>
      <c r="R34" s="96">
        <f t="shared" si="2"/>
        <v>2.0046923955187372</v>
      </c>
      <c r="S34" s="432" t="str">
        <f t="shared" si="3"/>
        <v>(1,1,2,1,1,3);  2022 data for First Solar in US</v>
      </c>
      <c r="U34" s="216" t="s">
        <v>1416</v>
      </c>
      <c r="V34" s="339">
        <v>1</v>
      </c>
      <c r="W34" s="339">
        <v>1</v>
      </c>
      <c r="X34" s="339">
        <v>2</v>
      </c>
      <c r="Y34" s="339">
        <v>1</v>
      </c>
      <c r="Z34" s="339">
        <v>1</v>
      </c>
      <c r="AA34" s="339">
        <v>3</v>
      </c>
      <c r="AB34" s="104">
        <v>5</v>
      </c>
      <c r="AC34" s="104">
        <v>2</v>
      </c>
      <c r="AD34" s="107">
        <f t="shared" si="4"/>
        <v>1.0587041087527549</v>
      </c>
      <c r="AE34" s="107">
        <f t="shared" si="5"/>
        <v>2.0046923955187372</v>
      </c>
      <c r="AF34" s="107" t="str">
        <f t="shared" si="6"/>
        <v>(1,1,2,1,1,3)</v>
      </c>
      <c r="AG34" s="108">
        <v>1</v>
      </c>
      <c r="AH34" s="108">
        <v>1</v>
      </c>
      <c r="AI34" s="108">
        <v>1.03</v>
      </c>
      <c r="AJ34" s="108">
        <v>1</v>
      </c>
      <c r="AK34" s="108">
        <v>1</v>
      </c>
      <c r="AL34" s="108">
        <v>1.05</v>
      </c>
    </row>
    <row r="35" spans="1:38" ht="24">
      <c r="A35" s="330">
        <v>269641</v>
      </c>
      <c r="B35" s="331"/>
      <c r="C35" s="88"/>
      <c r="D35" s="340">
        <v>5</v>
      </c>
      <c r="E35" s="341" t="s">
        <v>98</v>
      </c>
      <c r="F35" s="432" t="s">
        <v>240</v>
      </c>
      <c r="G35" s="433" t="s">
        <v>93</v>
      </c>
      <c r="H35" s="434" t="s">
        <v>98</v>
      </c>
      <c r="I35" s="434" t="s">
        <v>98</v>
      </c>
      <c r="J35" s="94">
        <v>0</v>
      </c>
      <c r="K35" s="433" t="s">
        <v>115</v>
      </c>
      <c r="L35" s="435">
        <v>4.1754130841791497</v>
      </c>
      <c r="M35" s="95">
        <v>1</v>
      </c>
      <c r="N35" s="96">
        <f t="shared" si="0"/>
        <v>2.0046923955187372</v>
      </c>
      <c r="O35" s="432" t="str">
        <f t="shared" si="1"/>
        <v>(1,1,2,1,1,3);  2022 data for First Solar in US; 50% average capacity utilization</v>
      </c>
      <c r="P35" s="435">
        <v>4.1754130841791497</v>
      </c>
      <c r="Q35" s="95">
        <v>1</v>
      </c>
      <c r="R35" s="96">
        <f t="shared" si="2"/>
        <v>2.0046923955187372</v>
      </c>
      <c r="S35" s="432" t="str">
        <f t="shared" si="3"/>
        <v>(1,1,2,1,1,3);  2022 data for First Solar in US; 50% average capacity utilization</v>
      </c>
      <c r="U35" s="216" t="s">
        <v>1425</v>
      </c>
      <c r="V35" s="339">
        <v>1</v>
      </c>
      <c r="W35" s="339">
        <v>1</v>
      </c>
      <c r="X35" s="339">
        <v>2</v>
      </c>
      <c r="Y35" s="339">
        <v>1</v>
      </c>
      <c r="Z35" s="339">
        <v>1</v>
      </c>
      <c r="AA35" s="339">
        <v>3</v>
      </c>
      <c r="AB35" s="104">
        <v>5</v>
      </c>
      <c r="AC35" s="104">
        <v>2</v>
      </c>
      <c r="AD35" s="107">
        <f t="shared" si="4"/>
        <v>1.0587041087527549</v>
      </c>
      <c r="AE35" s="107">
        <f t="shared" si="5"/>
        <v>2.0046923955187372</v>
      </c>
      <c r="AF35" s="107" t="str">
        <f t="shared" si="6"/>
        <v>(1,1,2,1,1,3)</v>
      </c>
      <c r="AG35" s="108">
        <v>1</v>
      </c>
      <c r="AH35" s="108">
        <v>1</v>
      </c>
      <c r="AI35" s="108">
        <v>1.03</v>
      </c>
      <c r="AJ35" s="108">
        <v>1</v>
      </c>
      <c r="AK35" s="108">
        <v>1</v>
      </c>
      <c r="AL35" s="108">
        <v>1.05</v>
      </c>
    </row>
    <row r="36" spans="1:38">
      <c r="A36" s="330">
        <v>269599</v>
      </c>
      <c r="B36" s="331"/>
      <c r="C36" s="88"/>
      <c r="D36" s="340">
        <v>5</v>
      </c>
      <c r="E36" s="341" t="s">
        <v>98</v>
      </c>
      <c r="F36" s="432" t="s">
        <v>244</v>
      </c>
      <c r="G36" s="433" t="s">
        <v>245</v>
      </c>
      <c r="H36" s="434" t="s">
        <v>98</v>
      </c>
      <c r="I36" s="434" t="s">
        <v>98</v>
      </c>
      <c r="J36" s="94">
        <v>0</v>
      </c>
      <c r="K36" s="433" t="s">
        <v>115</v>
      </c>
      <c r="L36" s="435">
        <v>119.163181084648</v>
      </c>
      <c r="M36" s="95">
        <v>1</v>
      </c>
      <c r="N36" s="96">
        <f t="shared" si="0"/>
        <v>2.0046923955187372</v>
      </c>
      <c r="O36" s="432" t="str">
        <f t="shared" si="1"/>
        <v>(1,1,2,1,1,3);  2022 data for First Solar in US</v>
      </c>
      <c r="P36" s="435">
        <v>119.163181084648</v>
      </c>
      <c r="Q36" s="95">
        <v>1</v>
      </c>
      <c r="R36" s="96">
        <f t="shared" si="2"/>
        <v>2.0046923955187372</v>
      </c>
      <c r="S36" s="432" t="str">
        <f t="shared" si="3"/>
        <v>(1,1,2,1,1,3);  2022 data for First Solar in US</v>
      </c>
      <c r="U36" s="216" t="s">
        <v>1416</v>
      </c>
      <c r="V36" s="339">
        <v>1</v>
      </c>
      <c r="W36" s="339">
        <v>1</v>
      </c>
      <c r="X36" s="339">
        <v>2</v>
      </c>
      <c r="Y36" s="339">
        <v>1</v>
      </c>
      <c r="Z36" s="339">
        <v>1</v>
      </c>
      <c r="AA36" s="339">
        <v>3</v>
      </c>
      <c r="AB36" s="104">
        <v>5</v>
      </c>
      <c r="AC36" s="104">
        <v>2</v>
      </c>
      <c r="AD36" s="107">
        <f t="shared" si="4"/>
        <v>1.0587041087527549</v>
      </c>
      <c r="AE36" s="107">
        <f t="shared" si="5"/>
        <v>2.0046923955187372</v>
      </c>
      <c r="AF36" s="107" t="str">
        <f t="shared" si="6"/>
        <v>(1,1,2,1,1,3)</v>
      </c>
      <c r="AG36" s="108">
        <v>1</v>
      </c>
      <c r="AH36" s="108">
        <v>1</v>
      </c>
      <c r="AI36" s="108">
        <v>1.03</v>
      </c>
      <c r="AJ36" s="108">
        <v>1</v>
      </c>
      <c r="AK36" s="108">
        <v>1</v>
      </c>
      <c r="AL36" s="108">
        <v>1.05</v>
      </c>
    </row>
    <row r="37" spans="1:38" ht="24" customHeight="1">
      <c r="A37" s="330">
        <v>157753</v>
      </c>
      <c r="B37" s="331" t="s">
        <v>511</v>
      </c>
      <c r="C37" s="88"/>
      <c r="D37" s="340">
        <v>5</v>
      </c>
      <c r="E37" s="341" t="s">
        <v>98</v>
      </c>
      <c r="F37" s="432" t="s">
        <v>515</v>
      </c>
      <c r="G37" s="433" t="s">
        <v>103</v>
      </c>
      <c r="H37" s="434" t="s">
        <v>98</v>
      </c>
      <c r="I37" s="434" t="s">
        <v>98</v>
      </c>
      <c r="J37" s="94">
        <v>0</v>
      </c>
      <c r="K37" s="433" t="s">
        <v>96</v>
      </c>
      <c r="L37" s="435">
        <v>4.5997286661859302E-2</v>
      </c>
      <c r="M37" s="95">
        <v>1</v>
      </c>
      <c r="N37" s="96">
        <f t="shared" si="0"/>
        <v>1.0779537044351355</v>
      </c>
      <c r="O37" s="432" t="str">
        <f t="shared" si="1"/>
        <v>(1,1,2,1,1,3);  2022 data for First Solar in US</v>
      </c>
      <c r="P37" s="435">
        <v>4.5997286661859302E-2</v>
      </c>
      <c r="Q37" s="95">
        <v>1</v>
      </c>
      <c r="R37" s="96">
        <f t="shared" si="2"/>
        <v>1.0779537044351355</v>
      </c>
      <c r="S37" s="432" t="str">
        <f t="shared" si="3"/>
        <v>(1,1,2,1,1,3);  2022 data for First Solar in US</v>
      </c>
      <c r="U37" s="216" t="s">
        <v>1416</v>
      </c>
      <c r="V37" s="339">
        <v>1</v>
      </c>
      <c r="W37" s="339">
        <v>1</v>
      </c>
      <c r="X37" s="339">
        <v>2</v>
      </c>
      <c r="Y37" s="339">
        <v>1</v>
      </c>
      <c r="Z37" s="339">
        <v>1</v>
      </c>
      <c r="AA37" s="339">
        <v>3</v>
      </c>
      <c r="AB37" s="104">
        <v>6</v>
      </c>
      <c r="AC37" s="104">
        <v>1.05</v>
      </c>
      <c r="AD37" s="107">
        <f t="shared" si="4"/>
        <v>1.0587041087527549</v>
      </c>
      <c r="AE37" s="107">
        <f t="shared" si="5"/>
        <v>1.0779537044351355</v>
      </c>
      <c r="AF37" s="107" t="str">
        <f t="shared" si="6"/>
        <v>(1,1,2,1,1,3)</v>
      </c>
      <c r="AG37" s="108">
        <v>1</v>
      </c>
      <c r="AH37" s="108">
        <v>1</v>
      </c>
      <c r="AI37" s="108">
        <v>1.03</v>
      </c>
      <c r="AJ37" s="108">
        <v>1</v>
      </c>
      <c r="AK37" s="108">
        <v>1</v>
      </c>
      <c r="AL37" s="108">
        <v>1.05</v>
      </c>
    </row>
    <row r="38" spans="1:38" ht="24" customHeight="1">
      <c r="A38" s="330">
        <v>79239</v>
      </c>
      <c r="B38" s="331"/>
      <c r="C38" s="88"/>
      <c r="D38" s="340">
        <v>5</v>
      </c>
      <c r="E38" s="341" t="s">
        <v>98</v>
      </c>
      <c r="F38" s="432" t="s">
        <v>512</v>
      </c>
      <c r="G38" s="433" t="s">
        <v>103</v>
      </c>
      <c r="H38" s="434" t="s">
        <v>98</v>
      </c>
      <c r="I38" s="434" t="s">
        <v>98</v>
      </c>
      <c r="J38" s="94">
        <v>0</v>
      </c>
      <c r="K38" s="433" t="s">
        <v>96</v>
      </c>
      <c r="L38" s="435">
        <v>3.1740708291638102E-2</v>
      </c>
      <c r="M38" s="95">
        <v>1</v>
      </c>
      <c r="N38" s="96">
        <f t="shared" si="0"/>
        <v>1.0779537044351355</v>
      </c>
      <c r="O38" s="432" t="str">
        <f t="shared" si="1"/>
        <v>(1,1,2,1,1,3);  2022 data for First Solar in US</v>
      </c>
      <c r="P38" s="435">
        <v>3.1740708291638102E-2</v>
      </c>
      <c r="Q38" s="95">
        <v>1</v>
      </c>
      <c r="R38" s="96">
        <f t="shared" si="2"/>
        <v>1.0779537044351355</v>
      </c>
      <c r="S38" s="432" t="str">
        <f t="shared" si="3"/>
        <v>(1,1,2,1,1,3);  2022 data for First Solar in US</v>
      </c>
      <c r="U38" s="216" t="s">
        <v>1416</v>
      </c>
      <c r="V38" s="339">
        <v>1</v>
      </c>
      <c r="W38" s="339">
        <v>1</v>
      </c>
      <c r="X38" s="339">
        <v>2</v>
      </c>
      <c r="Y38" s="339">
        <v>1</v>
      </c>
      <c r="Z38" s="339">
        <v>1</v>
      </c>
      <c r="AA38" s="339">
        <v>3</v>
      </c>
      <c r="AB38" s="104">
        <v>6</v>
      </c>
      <c r="AC38" s="104">
        <v>1.05</v>
      </c>
      <c r="AD38" s="107">
        <f t="shared" si="4"/>
        <v>1.0587041087527549</v>
      </c>
      <c r="AE38" s="107">
        <f t="shared" si="5"/>
        <v>1.0779537044351355</v>
      </c>
      <c r="AF38" s="107" t="str">
        <f t="shared" si="6"/>
        <v>(1,1,2,1,1,3)</v>
      </c>
      <c r="AG38" s="108">
        <v>1</v>
      </c>
      <c r="AH38" s="108">
        <v>1</v>
      </c>
      <c r="AI38" s="108">
        <v>1.03</v>
      </c>
      <c r="AJ38" s="108">
        <v>1</v>
      </c>
      <c r="AK38" s="108">
        <v>1</v>
      </c>
      <c r="AL38" s="108">
        <v>1.05</v>
      </c>
    </row>
    <row r="39" spans="1:38" ht="25.5" customHeight="1">
      <c r="A39" s="330">
        <v>269095</v>
      </c>
      <c r="B39" s="331"/>
      <c r="C39" s="88"/>
      <c r="D39" s="340">
        <v>5</v>
      </c>
      <c r="E39" s="341" t="s">
        <v>98</v>
      </c>
      <c r="F39" s="432" t="s">
        <v>323</v>
      </c>
      <c r="G39" s="433" t="s">
        <v>103</v>
      </c>
      <c r="H39" s="434" t="s">
        <v>98</v>
      </c>
      <c r="I39" s="434" t="s">
        <v>98</v>
      </c>
      <c r="J39" s="94">
        <v>0</v>
      </c>
      <c r="K39" s="433" t="s">
        <v>119</v>
      </c>
      <c r="L39" s="435">
        <v>2.6145197094583201E-2</v>
      </c>
      <c r="M39" s="95">
        <v>1</v>
      </c>
      <c r="N39" s="96">
        <f t="shared" si="0"/>
        <v>1.1649902150316884</v>
      </c>
      <c r="O39" s="432" t="str">
        <f t="shared" si="1"/>
        <v>(1,4,3,3,1,3);  2022 data for First Solar in US; zero-liquid discharge in India</v>
      </c>
      <c r="P39" s="435">
        <v>0</v>
      </c>
      <c r="Q39" s="95">
        <v>1</v>
      </c>
      <c r="R39" s="96">
        <f t="shared" si="2"/>
        <v>1.1649902150316884</v>
      </c>
      <c r="S39" s="432" t="str">
        <f t="shared" si="3"/>
        <v>(1,4,3,3,1,3);  2022 data for First Solar in US; zero-liquid discharge in India</v>
      </c>
      <c r="U39" s="216" t="s">
        <v>1426</v>
      </c>
      <c r="V39" s="339">
        <v>1</v>
      </c>
      <c r="W39" s="339">
        <v>4</v>
      </c>
      <c r="X39" s="339">
        <v>3</v>
      </c>
      <c r="Y39" s="339">
        <v>3</v>
      </c>
      <c r="Z39" s="339">
        <v>1</v>
      </c>
      <c r="AA39" s="339">
        <v>3</v>
      </c>
      <c r="AB39" s="104">
        <v>6</v>
      </c>
      <c r="AC39" s="104">
        <v>1.05</v>
      </c>
      <c r="AD39" s="107">
        <f t="shared" si="4"/>
        <v>1.1557031727027498</v>
      </c>
      <c r="AE39" s="107">
        <f t="shared" si="5"/>
        <v>1.1649902150316884</v>
      </c>
      <c r="AF39" s="107" t="str">
        <f t="shared" si="6"/>
        <v>(1,4,3,3,1,3)</v>
      </c>
      <c r="AG39" s="108">
        <v>1</v>
      </c>
      <c r="AH39" s="108">
        <v>1.1000000000000001</v>
      </c>
      <c r="AI39" s="108">
        <v>1.1000000000000001</v>
      </c>
      <c r="AJ39" s="108">
        <v>1.02</v>
      </c>
      <c r="AK39" s="108">
        <v>1</v>
      </c>
      <c r="AL39" s="108">
        <v>1.05</v>
      </c>
    </row>
    <row r="40" spans="1:38" ht="48" customHeight="1">
      <c r="A40" s="330">
        <v>21844</v>
      </c>
      <c r="B40" s="331" t="s">
        <v>1405</v>
      </c>
      <c r="C40" s="88"/>
      <c r="D40" s="340">
        <v>4</v>
      </c>
      <c r="E40" s="341" t="s">
        <v>98</v>
      </c>
      <c r="F40" s="432" t="s">
        <v>121</v>
      </c>
      <c r="G40" s="433" t="s">
        <v>98</v>
      </c>
      <c r="H40" s="434" t="s">
        <v>247</v>
      </c>
      <c r="I40" s="434" t="s">
        <v>258</v>
      </c>
      <c r="J40" s="94" t="s">
        <v>98</v>
      </c>
      <c r="K40" s="433" t="s">
        <v>104</v>
      </c>
      <c r="L40" s="435">
        <v>65.138279178409704</v>
      </c>
      <c r="M40" s="95">
        <v>1</v>
      </c>
      <c r="N40" s="96">
        <f t="shared" si="0"/>
        <v>1.0779537044351355</v>
      </c>
      <c r="O40" s="432" t="str">
        <f t="shared" si="1"/>
        <v>(1,1,2,1,1,3);  Calculation</v>
      </c>
      <c r="P40" s="435">
        <v>65.138279178409704</v>
      </c>
      <c r="Q40" s="95">
        <v>1</v>
      </c>
      <c r="R40" s="96">
        <f t="shared" si="2"/>
        <v>1.0779537044351355</v>
      </c>
      <c r="S40" s="432" t="str">
        <f t="shared" si="3"/>
        <v>(1,1,2,1,1,3);  Calculation</v>
      </c>
      <c r="U40" s="216" t="s">
        <v>1427</v>
      </c>
      <c r="V40" s="339">
        <v>1</v>
      </c>
      <c r="W40" s="339">
        <v>1</v>
      </c>
      <c r="X40" s="339">
        <v>2</v>
      </c>
      <c r="Y40" s="339">
        <v>1</v>
      </c>
      <c r="Z40" s="339">
        <v>1</v>
      </c>
      <c r="AA40" s="339">
        <v>3</v>
      </c>
      <c r="AB40" s="104">
        <v>13</v>
      </c>
      <c r="AC40" s="104">
        <v>1.05</v>
      </c>
      <c r="AD40" s="107">
        <f t="shared" si="4"/>
        <v>1.0587041087527549</v>
      </c>
      <c r="AE40" s="107">
        <f t="shared" si="5"/>
        <v>1.0779537044351355</v>
      </c>
      <c r="AF40" s="107" t="str">
        <f t="shared" si="6"/>
        <v>(1,1,2,1,1,3)</v>
      </c>
      <c r="AG40" s="108">
        <v>1</v>
      </c>
      <c r="AH40" s="108">
        <v>1</v>
      </c>
      <c r="AI40" s="108">
        <v>1.03</v>
      </c>
      <c r="AJ40" s="108">
        <v>1</v>
      </c>
      <c r="AK40" s="108">
        <v>1</v>
      </c>
      <c r="AL40" s="108">
        <v>1.05</v>
      </c>
    </row>
    <row r="41" spans="1:38">
      <c r="A41" s="330">
        <v>32153</v>
      </c>
      <c r="B41" s="331"/>
      <c r="C41" s="88"/>
      <c r="D41" s="340">
        <v>4</v>
      </c>
      <c r="E41" s="341" t="s">
        <v>98</v>
      </c>
      <c r="F41" s="432" t="s">
        <v>352</v>
      </c>
      <c r="G41" s="433" t="s">
        <v>98</v>
      </c>
      <c r="H41" s="434" t="s">
        <v>247</v>
      </c>
      <c r="I41" s="434" t="s">
        <v>258</v>
      </c>
      <c r="J41" s="94" t="s">
        <v>98</v>
      </c>
      <c r="K41" s="433" t="s">
        <v>96</v>
      </c>
      <c r="L41" s="435">
        <v>8.6913274593118795E-7</v>
      </c>
      <c r="M41" s="95">
        <v>1</v>
      </c>
      <c r="N41" s="96">
        <f t="shared" si="0"/>
        <v>5.0949158853185388</v>
      </c>
      <c r="O41" s="432" t="str">
        <f t="shared" si="1"/>
        <v>(3,4,3,3,1,5);  2020 data for First Solar in US)</v>
      </c>
      <c r="P41" s="435">
        <v>8.6913274593118795E-7</v>
      </c>
      <c r="Q41" s="95">
        <v>1</v>
      </c>
      <c r="R41" s="96">
        <f t="shared" si="2"/>
        <v>5.0949158853185388</v>
      </c>
      <c r="S41" s="432" t="str">
        <f t="shared" si="3"/>
        <v>(3,4,3,3,1,5);  2020 data for First Solar in US)</v>
      </c>
      <c r="U41" s="216" t="s">
        <v>1428</v>
      </c>
      <c r="V41" s="339">
        <v>3</v>
      </c>
      <c r="W41" s="339">
        <v>4</v>
      </c>
      <c r="X41" s="339">
        <v>3</v>
      </c>
      <c r="Y41" s="339">
        <v>3</v>
      </c>
      <c r="Z41" s="339">
        <v>1</v>
      </c>
      <c r="AA41" s="339">
        <v>5</v>
      </c>
      <c r="AB41" s="104">
        <v>22</v>
      </c>
      <c r="AC41" s="104">
        <v>5</v>
      </c>
      <c r="AD41" s="107">
        <f t="shared" si="4"/>
        <v>1.2798586482969265</v>
      </c>
      <c r="AE41" s="107">
        <f t="shared" si="5"/>
        <v>5.0949158853185388</v>
      </c>
      <c r="AF41" s="107" t="str">
        <f t="shared" si="6"/>
        <v>(3,4,3,3,1,5)</v>
      </c>
      <c r="AG41" s="108">
        <v>1.1000000000000001</v>
      </c>
      <c r="AH41" s="108">
        <v>1.1000000000000001</v>
      </c>
      <c r="AI41" s="108">
        <v>1.1000000000000001</v>
      </c>
      <c r="AJ41" s="108">
        <v>1.02</v>
      </c>
      <c r="AK41" s="108">
        <v>1</v>
      </c>
      <c r="AL41" s="108">
        <v>1.2</v>
      </c>
    </row>
    <row r="42" spans="1:38">
      <c r="A42" s="330">
        <v>90275</v>
      </c>
      <c r="B42" s="331"/>
      <c r="C42" s="88"/>
      <c r="D42" s="340">
        <v>4</v>
      </c>
      <c r="E42" s="341" t="s">
        <v>98</v>
      </c>
      <c r="F42" s="432" t="s">
        <v>259</v>
      </c>
      <c r="G42" s="433" t="s">
        <v>98</v>
      </c>
      <c r="H42" s="434" t="s">
        <v>247</v>
      </c>
      <c r="I42" s="434" t="s">
        <v>258</v>
      </c>
      <c r="J42" s="94" t="s">
        <v>98</v>
      </c>
      <c r="K42" s="433" t="s">
        <v>96</v>
      </c>
      <c r="L42" s="435">
        <v>8.9435196139370406E-3</v>
      </c>
      <c r="M42" s="95">
        <v>1</v>
      </c>
      <c r="N42" s="96">
        <f t="shared" si="0"/>
        <v>1.2859877072397368</v>
      </c>
      <c r="O42" s="432" t="str">
        <f t="shared" si="1"/>
        <v>(3,4,3,3,1,5);  2022 data for First Solar in US)</v>
      </c>
      <c r="P42" s="435">
        <v>8.9435196139370406E-3</v>
      </c>
      <c r="Q42" s="95">
        <v>1</v>
      </c>
      <c r="R42" s="96">
        <f t="shared" si="2"/>
        <v>1.2859877072397368</v>
      </c>
      <c r="S42" s="432" t="str">
        <f t="shared" si="3"/>
        <v>(3,4,3,3,1,5);  2022 data for First Solar in US)</v>
      </c>
      <c r="U42" s="216" t="s">
        <v>1429</v>
      </c>
      <c r="V42" s="339">
        <v>3</v>
      </c>
      <c r="W42" s="339">
        <v>4</v>
      </c>
      <c r="X42" s="339">
        <v>3</v>
      </c>
      <c r="Y42" s="339">
        <v>3</v>
      </c>
      <c r="Z42" s="339">
        <v>1</v>
      </c>
      <c r="AA42" s="339">
        <v>5</v>
      </c>
      <c r="AB42" s="104">
        <v>14</v>
      </c>
      <c r="AC42" s="104">
        <v>1.05</v>
      </c>
      <c r="AD42" s="107">
        <f t="shared" si="4"/>
        <v>1.2798586482969265</v>
      </c>
      <c r="AE42" s="107">
        <f t="shared" si="5"/>
        <v>1.2859877072397368</v>
      </c>
      <c r="AF42" s="107" t="str">
        <f t="shared" si="6"/>
        <v>(3,4,3,3,1,5)</v>
      </c>
      <c r="AG42" s="108">
        <v>1.1000000000000001</v>
      </c>
      <c r="AH42" s="108">
        <v>1.1000000000000001</v>
      </c>
      <c r="AI42" s="108">
        <v>1.1000000000000001</v>
      </c>
      <c r="AJ42" s="108">
        <v>1.02</v>
      </c>
      <c r="AK42" s="108">
        <v>1</v>
      </c>
      <c r="AL42" s="108">
        <v>1.2</v>
      </c>
    </row>
    <row r="43" spans="1:38">
      <c r="A43" s="330">
        <v>90531</v>
      </c>
      <c r="B43" s="331"/>
      <c r="C43" s="88"/>
      <c r="D43" s="340">
        <v>4</v>
      </c>
      <c r="E43" s="341" t="s">
        <v>98</v>
      </c>
      <c r="F43" s="432" t="s">
        <v>178</v>
      </c>
      <c r="G43" s="433" t="s">
        <v>98</v>
      </c>
      <c r="H43" s="434" t="s">
        <v>247</v>
      </c>
      <c r="I43" s="434" t="s">
        <v>258</v>
      </c>
      <c r="J43" s="94" t="s">
        <v>98</v>
      </c>
      <c r="K43" s="433" t="s">
        <v>96</v>
      </c>
      <c r="L43" s="435">
        <v>4.9850943394730903E-4</v>
      </c>
      <c r="M43" s="95">
        <v>1</v>
      </c>
      <c r="N43" s="96">
        <f t="shared" si="0"/>
        <v>5.0949158853185388</v>
      </c>
      <c r="O43" s="432" t="str">
        <f t="shared" si="1"/>
        <v>(3,4,3,3,1,5);  2022 data for First Solar in US)</v>
      </c>
      <c r="P43" s="435">
        <v>4.9850943394730903E-4</v>
      </c>
      <c r="Q43" s="95">
        <v>1</v>
      </c>
      <c r="R43" s="96">
        <f t="shared" si="2"/>
        <v>5.0949158853185388</v>
      </c>
      <c r="S43" s="432" t="str">
        <f t="shared" si="3"/>
        <v>(3,4,3,3,1,5);  2022 data for First Solar in US)</v>
      </c>
      <c r="U43" s="216" t="s">
        <v>1429</v>
      </c>
      <c r="V43" s="339">
        <v>3</v>
      </c>
      <c r="W43" s="339">
        <v>4</v>
      </c>
      <c r="X43" s="339">
        <v>3</v>
      </c>
      <c r="Y43" s="339">
        <v>3</v>
      </c>
      <c r="Z43" s="339">
        <v>1</v>
      </c>
      <c r="AA43" s="339">
        <v>5</v>
      </c>
      <c r="AB43" s="104">
        <v>17</v>
      </c>
      <c r="AC43" s="104">
        <v>5</v>
      </c>
      <c r="AD43" s="107">
        <f t="shared" si="4"/>
        <v>1.2798586482969265</v>
      </c>
      <c r="AE43" s="107">
        <f t="shared" si="5"/>
        <v>5.0949158853185388</v>
      </c>
      <c r="AF43" s="107" t="str">
        <f t="shared" si="6"/>
        <v>(3,4,3,3,1,5)</v>
      </c>
      <c r="AG43" s="108">
        <v>1.1000000000000001</v>
      </c>
      <c r="AH43" s="108">
        <v>1.1000000000000001</v>
      </c>
      <c r="AI43" s="108">
        <v>1.1000000000000001</v>
      </c>
      <c r="AJ43" s="108">
        <v>1.02</v>
      </c>
      <c r="AK43" s="108">
        <v>1</v>
      </c>
      <c r="AL43" s="108">
        <v>1.2</v>
      </c>
    </row>
    <row r="44" spans="1:38">
      <c r="A44" s="330">
        <v>37859</v>
      </c>
      <c r="B44" s="331"/>
      <c r="C44" s="88"/>
      <c r="D44" s="340">
        <v>4</v>
      </c>
      <c r="E44" s="341" t="s">
        <v>98</v>
      </c>
      <c r="F44" s="432" t="s">
        <v>1409</v>
      </c>
      <c r="G44" s="433" t="s">
        <v>98</v>
      </c>
      <c r="H44" s="434" t="s">
        <v>247</v>
      </c>
      <c r="I44" s="434" t="s">
        <v>258</v>
      </c>
      <c r="J44" s="94" t="s">
        <v>98</v>
      </c>
      <c r="K44" s="433" t="s">
        <v>96</v>
      </c>
      <c r="L44" s="435">
        <v>6.9036081002274503E-5</v>
      </c>
      <c r="M44" s="95">
        <v>1</v>
      </c>
      <c r="N44" s="96">
        <f t="shared" si="0"/>
        <v>1.5060018684514287</v>
      </c>
      <c r="O44" s="432" t="str">
        <f t="shared" si="1"/>
        <v>(1,1,2,1,1,3);  2022 data for First Solar in US)</v>
      </c>
      <c r="P44" s="435">
        <v>6.9036081002274503E-5</v>
      </c>
      <c r="Q44" s="95">
        <v>1</v>
      </c>
      <c r="R44" s="96">
        <f t="shared" si="2"/>
        <v>1.5060018684514287</v>
      </c>
      <c r="S44" s="432" t="str">
        <f t="shared" si="3"/>
        <v>(1,1,2,1,1,3);  2022 data for First Solar in US)</v>
      </c>
      <c r="U44" s="216" t="s">
        <v>1429</v>
      </c>
      <c r="V44" s="339">
        <v>1</v>
      </c>
      <c r="W44" s="339">
        <v>1</v>
      </c>
      <c r="X44" s="339">
        <v>2</v>
      </c>
      <c r="Y44" s="339">
        <v>1</v>
      </c>
      <c r="Z44" s="339">
        <v>1</v>
      </c>
      <c r="AA44" s="339">
        <v>3</v>
      </c>
      <c r="AB44" s="104">
        <v>18</v>
      </c>
      <c r="AC44" s="104">
        <v>1.5</v>
      </c>
      <c r="AD44" s="107">
        <f t="shared" si="4"/>
        <v>1.0587041087527549</v>
      </c>
      <c r="AE44" s="107">
        <f t="shared" si="5"/>
        <v>1.5060018684514287</v>
      </c>
      <c r="AF44" s="107" t="str">
        <f t="shared" si="6"/>
        <v>(1,1,2,1,1,3)</v>
      </c>
      <c r="AG44" s="108">
        <v>1</v>
      </c>
      <c r="AH44" s="108">
        <v>1</v>
      </c>
      <c r="AI44" s="108">
        <v>1.03</v>
      </c>
      <c r="AJ44" s="108">
        <v>1</v>
      </c>
      <c r="AK44" s="108">
        <v>1</v>
      </c>
      <c r="AL44" s="108">
        <v>1.05</v>
      </c>
    </row>
    <row r="45" spans="1:38">
      <c r="A45" s="330">
        <v>26267</v>
      </c>
      <c r="B45" s="331"/>
      <c r="C45" s="88"/>
      <c r="D45" s="340">
        <v>4</v>
      </c>
      <c r="E45" s="341" t="s">
        <v>98</v>
      </c>
      <c r="F45" s="432" t="s">
        <v>181</v>
      </c>
      <c r="G45" s="433" t="s">
        <v>98</v>
      </c>
      <c r="H45" s="434" t="s">
        <v>247</v>
      </c>
      <c r="I45" s="434" t="s">
        <v>258</v>
      </c>
      <c r="J45" s="94" t="s">
        <v>98</v>
      </c>
      <c r="K45" s="433" t="s">
        <v>96</v>
      </c>
      <c r="L45" s="435">
        <v>2.3911048714333398E-3</v>
      </c>
      <c r="M45" s="95">
        <v>1</v>
      </c>
      <c r="N45" s="96">
        <f t="shared" si="0"/>
        <v>1.5060018684514287</v>
      </c>
      <c r="O45" s="432" t="str">
        <f t="shared" si="1"/>
        <v>(1,1,2,1,1,3);  2022 data for First Solar in US)</v>
      </c>
      <c r="P45" s="435">
        <v>2.3911048714333398E-3</v>
      </c>
      <c r="Q45" s="95">
        <v>1</v>
      </c>
      <c r="R45" s="96">
        <f t="shared" si="2"/>
        <v>1.5060018684514287</v>
      </c>
      <c r="S45" s="432" t="str">
        <f t="shared" si="3"/>
        <v>(1,1,2,1,1,3);  2022 data for First Solar in US)</v>
      </c>
      <c r="U45" s="216" t="s">
        <v>1429</v>
      </c>
      <c r="V45" s="339">
        <v>1</v>
      </c>
      <c r="W45" s="339">
        <v>1</v>
      </c>
      <c r="X45" s="339">
        <v>2</v>
      </c>
      <c r="Y45" s="339">
        <v>1</v>
      </c>
      <c r="Z45" s="339">
        <v>1</v>
      </c>
      <c r="AA45" s="339">
        <v>3</v>
      </c>
      <c r="AB45" s="104">
        <v>16</v>
      </c>
      <c r="AC45" s="104">
        <v>1.5</v>
      </c>
      <c r="AD45" s="107">
        <f t="shared" si="4"/>
        <v>1.0587041087527549</v>
      </c>
      <c r="AE45" s="107">
        <f t="shared" si="5"/>
        <v>1.5060018684514287</v>
      </c>
      <c r="AF45" s="107" t="str">
        <f t="shared" si="6"/>
        <v>(1,1,2,1,1,3)</v>
      </c>
      <c r="AG45" s="108">
        <v>1</v>
      </c>
      <c r="AH45" s="108">
        <v>1</v>
      </c>
      <c r="AI45" s="108">
        <v>1.03</v>
      </c>
      <c r="AJ45" s="108">
        <v>1</v>
      </c>
      <c r="AK45" s="108">
        <v>1</v>
      </c>
      <c r="AL45" s="108">
        <v>1.05</v>
      </c>
    </row>
    <row r="46" spans="1:38" ht="36" customHeight="1">
      <c r="A46" s="330">
        <v>160225</v>
      </c>
      <c r="B46" s="331" t="s">
        <v>1410</v>
      </c>
      <c r="C46" s="88"/>
      <c r="D46" s="340">
        <v>4</v>
      </c>
      <c r="E46" s="341" t="s">
        <v>98</v>
      </c>
      <c r="F46" s="432" t="s">
        <v>297</v>
      </c>
      <c r="G46" s="433" t="s">
        <v>98</v>
      </c>
      <c r="H46" s="434" t="s">
        <v>344</v>
      </c>
      <c r="I46" s="434" t="s">
        <v>248</v>
      </c>
      <c r="J46" s="94" t="s">
        <v>98</v>
      </c>
      <c r="K46" s="433" t="s">
        <v>96</v>
      </c>
      <c r="L46" s="435">
        <v>1.38286277919972E-4</v>
      </c>
      <c r="M46" s="95">
        <v>1</v>
      </c>
      <c r="N46" s="96">
        <f t="shared" si="0"/>
        <v>1.5060018684514287</v>
      </c>
      <c r="O46" s="432" t="str">
        <f t="shared" si="1"/>
        <v>(1,1,2,1,1,3);  2020 data for First Solar in US)</v>
      </c>
      <c r="P46" s="435">
        <v>1.38286277919972E-4</v>
      </c>
      <c r="Q46" s="95">
        <v>1</v>
      </c>
      <c r="R46" s="96">
        <f t="shared" si="2"/>
        <v>1.5060018684514287</v>
      </c>
      <c r="S46" s="432" t="str">
        <f t="shared" si="3"/>
        <v>(1,1,2,1,1,3);  2020 data for First Solar in US)</v>
      </c>
      <c r="U46" s="216" t="s">
        <v>1428</v>
      </c>
      <c r="V46" s="339">
        <v>1</v>
      </c>
      <c r="W46" s="339">
        <v>1</v>
      </c>
      <c r="X46" s="339">
        <v>2</v>
      </c>
      <c r="Y46" s="339">
        <v>1</v>
      </c>
      <c r="Z46" s="339">
        <v>1</v>
      </c>
      <c r="AA46" s="339">
        <v>3</v>
      </c>
      <c r="AB46" s="104">
        <v>32</v>
      </c>
      <c r="AC46" s="104">
        <v>1.5</v>
      </c>
      <c r="AD46" s="107">
        <f t="shared" si="4"/>
        <v>1.0587041087527549</v>
      </c>
      <c r="AE46" s="107">
        <f t="shared" si="5"/>
        <v>1.5060018684514287</v>
      </c>
      <c r="AF46" s="107" t="str">
        <f t="shared" si="6"/>
        <v>(1,1,2,1,1,3)</v>
      </c>
      <c r="AG46" s="108">
        <v>1</v>
      </c>
      <c r="AH46" s="108">
        <v>1</v>
      </c>
      <c r="AI46" s="108">
        <v>1.03</v>
      </c>
      <c r="AJ46" s="108">
        <v>1</v>
      </c>
      <c r="AK46" s="108">
        <v>1</v>
      </c>
      <c r="AL46" s="108">
        <v>1.05</v>
      </c>
    </row>
    <row r="47" spans="1:38">
      <c r="A47" s="330">
        <v>160297</v>
      </c>
      <c r="B47" s="331"/>
      <c r="C47" s="88"/>
      <c r="D47" s="340">
        <v>4</v>
      </c>
      <c r="E47" s="341" t="s">
        <v>98</v>
      </c>
      <c r="F47" s="432" t="s">
        <v>352</v>
      </c>
      <c r="G47" s="433" t="s">
        <v>98</v>
      </c>
      <c r="H47" s="434" t="s">
        <v>344</v>
      </c>
      <c r="I47" s="434" t="s">
        <v>248</v>
      </c>
      <c r="J47" s="94" t="s">
        <v>98</v>
      </c>
      <c r="K47" s="433" t="s">
        <v>96</v>
      </c>
      <c r="L47" s="435">
        <v>6.9720525585555196E-7</v>
      </c>
      <c r="M47" s="95">
        <v>1</v>
      </c>
      <c r="N47" s="96">
        <f t="shared" si="0"/>
        <v>3.0044434512710634</v>
      </c>
      <c r="O47" s="432" t="str">
        <f t="shared" si="1"/>
        <v>(1,1,2,1,1,3);  2022 data for First Solar in US)</v>
      </c>
      <c r="P47" s="435">
        <v>6.9720525585555196E-7</v>
      </c>
      <c r="Q47" s="95">
        <v>1</v>
      </c>
      <c r="R47" s="96">
        <f t="shared" si="2"/>
        <v>3.0044434512710634</v>
      </c>
      <c r="S47" s="432" t="str">
        <f t="shared" si="3"/>
        <v>(1,1,2,1,1,3);  2022 data for First Solar in US)</v>
      </c>
      <c r="U47" s="216" t="s">
        <v>1429</v>
      </c>
      <c r="V47" s="339">
        <v>1</v>
      </c>
      <c r="W47" s="339">
        <v>1</v>
      </c>
      <c r="X47" s="339">
        <v>2</v>
      </c>
      <c r="Y47" s="339">
        <v>1</v>
      </c>
      <c r="Z47" s="339">
        <v>1</v>
      </c>
      <c r="AA47" s="339">
        <v>3</v>
      </c>
      <c r="AB47" s="104">
        <v>34</v>
      </c>
      <c r="AC47" s="104">
        <v>3</v>
      </c>
      <c r="AD47" s="107">
        <f t="shared" si="4"/>
        <v>1.0587041087527549</v>
      </c>
      <c r="AE47" s="107">
        <f t="shared" si="5"/>
        <v>3.0044434512710634</v>
      </c>
      <c r="AF47" s="107" t="str">
        <f t="shared" si="6"/>
        <v>(1,1,2,1,1,3)</v>
      </c>
      <c r="AG47" s="108">
        <v>1</v>
      </c>
      <c r="AH47" s="108">
        <v>1</v>
      </c>
      <c r="AI47" s="108">
        <v>1.03</v>
      </c>
      <c r="AJ47" s="108">
        <v>1</v>
      </c>
      <c r="AK47" s="108">
        <v>1</v>
      </c>
      <c r="AL47" s="108">
        <v>1.05</v>
      </c>
    </row>
    <row r="48" spans="1:38">
      <c r="A48" s="330">
        <v>160217</v>
      </c>
      <c r="B48" s="331"/>
      <c r="C48" s="88"/>
      <c r="D48" s="340">
        <v>4</v>
      </c>
      <c r="E48" s="341" t="s">
        <v>98</v>
      </c>
      <c r="F48" s="432" t="s">
        <v>296</v>
      </c>
      <c r="G48" s="433" t="s">
        <v>98</v>
      </c>
      <c r="H48" s="434" t="s">
        <v>344</v>
      </c>
      <c r="I48" s="434" t="s">
        <v>248</v>
      </c>
      <c r="J48" s="94" t="s">
        <v>98</v>
      </c>
      <c r="K48" s="433" t="s">
        <v>96</v>
      </c>
      <c r="L48" s="435">
        <v>2.1245805035700802E-3</v>
      </c>
      <c r="M48" s="95">
        <v>1</v>
      </c>
      <c r="N48" s="96">
        <f t="shared" si="0"/>
        <v>1.5060018684514287</v>
      </c>
      <c r="O48" s="432" t="str">
        <f t="shared" si="1"/>
        <v>(1,1,2,1,1,3);  2022 data for First Solar in US)</v>
      </c>
      <c r="P48" s="435">
        <v>2.1245805035700802E-3</v>
      </c>
      <c r="Q48" s="95">
        <v>1</v>
      </c>
      <c r="R48" s="96">
        <f t="shared" si="2"/>
        <v>1.5060018684514287</v>
      </c>
      <c r="S48" s="432" t="str">
        <f t="shared" si="3"/>
        <v>(1,1,2,1,1,3);  2022 data for First Solar in US)</v>
      </c>
      <c r="U48" s="216" t="s">
        <v>1429</v>
      </c>
      <c r="V48" s="339">
        <v>1</v>
      </c>
      <c r="W48" s="339">
        <v>1</v>
      </c>
      <c r="X48" s="339">
        <v>2</v>
      </c>
      <c r="Y48" s="339">
        <v>1</v>
      </c>
      <c r="Z48" s="339">
        <v>1</v>
      </c>
      <c r="AA48" s="339">
        <v>3</v>
      </c>
      <c r="AB48" s="104">
        <v>32</v>
      </c>
      <c r="AC48" s="104">
        <v>1.5</v>
      </c>
      <c r="AD48" s="107">
        <f t="shared" si="4"/>
        <v>1.0587041087527549</v>
      </c>
      <c r="AE48" s="107">
        <f t="shared" si="5"/>
        <v>1.5060018684514287</v>
      </c>
      <c r="AF48" s="107" t="str">
        <f t="shared" si="6"/>
        <v>(1,1,2,1,1,3)</v>
      </c>
      <c r="AG48" s="108">
        <v>1</v>
      </c>
      <c r="AH48" s="108">
        <v>1</v>
      </c>
      <c r="AI48" s="108">
        <v>1.03</v>
      </c>
      <c r="AJ48" s="108">
        <v>1</v>
      </c>
      <c r="AK48" s="108">
        <v>1</v>
      </c>
      <c r="AL48" s="108">
        <v>1.05</v>
      </c>
    </row>
    <row r="49" spans="1:38">
      <c r="A49" s="330">
        <v>160303</v>
      </c>
      <c r="B49" s="331"/>
      <c r="C49" s="88"/>
      <c r="D49" s="340">
        <v>4</v>
      </c>
      <c r="E49" s="341" t="s">
        <v>98</v>
      </c>
      <c r="F49" s="432" t="s">
        <v>346</v>
      </c>
      <c r="G49" s="433" t="s">
        <v>98</v>
      </c>
      <c r="H49" s="434" t="s">
        <v>344</v>
      </c>
      <c r="I49" s="434" t="s">
        <v>248</v>
      </c>
      <c r="J49" s="94" t="s">
        <v>98</v>
      </c>
      <c r="K49" s="433" t="s">
        <v>96</v>
      </c>
      <c r="L49" s="435">
        <v>1.3547965767193099E-6</v>
      </c>
      <c r="M49" s="95">
        <v>1</v>
      </c>
      <c r="N49" s="96">
        <f t="shared" si="0"/>
        <v>3.0044434512710634</v>
      </c>
      <c r="O49" s="432" t="str">
        <f t="shared" si="1"/>
        <v>(1,1,2,1,1,3);  2022 data for First Solar in US)</v>
      </c>
      <c r="P49" s="435">
        <v>1.3547965767193099E-6</v>
      </c>
      <c r="Q49" s="95">
        <v>1</v>
      </c>
      <c r="R49" s="96">
        <f t="shared" si="2"/>
        <v>3.0044434512710634</v>
      </c>
      <c r="S49" s="432" t="str">
        <f t="shared" si="3"/>
        <v>(1,1,2,1,1,3);  2022 data for First Solar in US)</v>
      </c>
      <c r="U49" s="216" t="s">
        <v>1429</v>
      </c>
      <c r="V49" s="339">
        <v>1</v>
      </c>
      <c r="W49" s="339">
        <v>1</v>
      </c>
      <c r="X49" s="339">
        <v>2</v>
      </c>
      <c r="Y49" s="339">
        <v>1</v>
      </c>
      <c r="Z49" s="339">
        <v>1</v>
      </c>
      <c r="AA49" s="339">
        <v>3</v>
      </c>
      <c r="AB49" s="104">
        <v>34</v>
      </c>
      <c r="AC49" s="104">
        <v>3</v>
      </c>
      <c r="AD49" s="107">
        <f t="shared" si="4"/>
        <v>1.0587041087527549</v>
      </c>
      <c r="AE49" s="107">
        <f t="shared" si="5"/>
        <v>3.0044434512710634</v>
      </c>
      <c r="AF49" s="107" t="str">
        <f t="shared" si="6"/>
        <v>(1,1,2,1,1,3)</v>
      </c>
      <c r="AG49" s="108">
        <v>1</v>
      </c>
      <c r="AH49" s="108">
        <v>1</v>
      </c>
      <c r="AI49" s="108">
        <v>1.03</v>
      </c>
      <c r="AJ49" s="108">
        <v>1</v>
      </c>
      <c r="AK49" s="108">
        <v>1</v>
      </c>
      <c r="AL49" s="108">
        <v>1.05</v>
      </c>
    </row>
    <row r="50" spans="1:38">
      <c r="A50" s="330">
        <v>1734</v>
      </c>
      <c r="B50" s="331"/>
      <c r="C50" s="88"/>
      <c r="D50" s="340">
        <v>4</v>
      </c>
      <c r="E50" s="341" t="s">
        <v>98</v>
      </c>
      <c r="F50" s="432" t="s">
        <v>1411</v>
      </c>
      <c r="G50" s="433" t="s">
        <v>98</v>
      </c>
      <c r="H50" s="434" t="s">
        <v>344</v>
      </c>
      <c r="I50" s="434" t="s">
        <v>248</v>
      </c>
      <c r="J50" s="94" t="s">
        <v>98</v>
      </c>
      <c r="K50" s="433" t="s">
        <v>96</v>
      </c>
      <c r="L50" s="435">
        <v>2.0622024208352499E-5</v>
      </c>
      <c r="M50" s="95">
        <v>1</v>
      </c>
      <c r="N50" s="96">
        <f t="shared" si="0"/>
        <v>1.5060018684514287</v>
      </c>
      <c r="O50" s="432" t="str">
        <f t="shared" si="1"/>
        <v>(1,1,2,1,1,3);  2022 data for First Solar in US)</v>
      </c>
      <c r="P50" s="435">
        <v>2.0622024208352499E-5</v>
      </c>
      <c r="Q50" s="95">
        <v>1</v>
      </c>
      <c r="R50" s="96">
        <f t="shared" si="2"/>
        <v>1.5060018684514287</v>
      </c>
      <c r="S50" s="432" t="str">
        <f t="shared" si="3"/>
        <v>(1,1,2,1,1,3);  2022 data for First Solar in US)</v>
      </c>
      <c r="U50" s="216" t="s">
        <v>1429</v>
      </c>
      <c r="V50" s="339">
        <v>1</v>
      </c>
      <c r="W50" s="339">
        <v>1</v>
      </c>
      <c r="X50" s="339">
        <v>2</v>
      </c>
      <c r="Y50" s="339">
        <v>1</v>
      </c>
      <c r="Z50" s="339">
        <v>1</v>
      </c>
      <c r="AA50" s="339">
        <v>3</v>
      </c>
      <c r="AB50" s="104">
        <v>32</v>
      </c>
      <c r="AC50" s="104">
        <v>1.5</v>
      </c>
      <c r="AD50" s="107">
        <f t="shared" si="4"/>
        <v>1.0587041087527549</v>
      </c>
      <c r="AE50" s="107">
        <f t="shared" si="5"/>
        <v>1.5060018684514287</v>
      </c>
      <c r="AF50" s="107" t="str">
        <f t="shared" si="6"/>
        <v>(1,1,2,1,1,3)</v>
      </c>
      <c r="AG50" s="108">
        <v>1</v>
      </c>
      <c r="AH50" s="108">
        <v>1</v>
      </c>
      <c r="AI50" s="108">
        <v>1.03</v>
      </c>
      <c r="AJ50" s="108">
        <v>1</v>
      </c>
      <c r="AK50" s="108">
        <v>1</v>
      </c>
      <c r="AL50" s="108">
        <v>1.05</v>
      </c>
    </row>
    <row r="53" spans="1:38">
      <c r="L53" s="584"/>
      <c r="P53" s="584"/>
    </row>
  </sheetData>
  <mergeCells count="1">
    <mergeCell ref="V1:AA1"/>
  </mergeCells>
  <conditionalFormatting sqref="D9:O10 D11:K50">
    <cfRule type="expression" dxfId="173" priority="16">
      <formula>MOD(ROW(),2)=0</formula>
    </cfRule>
  </conditionalFormatting>
  <conditionalFormatting sqref="L21:M31 O21:O31 N21:N33 L44:M49 P44:Q49 N44:O50">
    <cfRule type="expression" dxfId="172" priority="39">
      <formula>MOD(ROW(),2)=0</formula>
    </cfRule>
  </conditionalFormatting>
  <conditionalFormatting sqref="L11:O20">
    <cfRule type="expression" dxfId="171" priority="9">
      <formula>MOD(ROW(),2)=0</formula>
    </cfRule>
  </conditionalFormatting>
  <conditionalFormatting sqref="L32:Q43">
    <cfRule type="expression" dxfId="170" priority="4">
      <formula>MOD(ROW(),2)=0</formula>
    </cfRule>
  </conditionalFormatting>
  <conditionalFormatting sqref="L50:Q50">
    <cfRule type="expression" dxfId="169" priority="14">
      <formula>MOD(ROW(),2)=0</formula>
    </cfRule>
  </conditionalFormatting>
  <conditionalFormatting sqref="P9:P31">
    <cfRule type="expression" dxfId="168" priority="35">
      <formula>MOD(ROW(),2)=0</formula>
    </cfRule>
  </conditionalFormatting>
  <conditionalFormatting sqref="Q9:S9 Q10:Q31 R10:S50">
    <cfRule type="expression" dxfId="167" priority="10">
      <formula>MOD(ROW(),2)=0</formula>
    </cfRule>
  </conditionalFormatting>
  <conditionalFormatting sqref="U9:AA50">
    <cfRule type="expression" dxfId="166" priority="1">
      <formula>MOD(ROW(),2)=0</formula>
    </cfRule>
  </conditionalFormatting>
  <conditionalFormatting sqref="AB9:AL50">
    <cfRule type="expression" dxfId="165" priority="7">
      <formula>MOD(ROW(),2)=0</formula>
    </cfRule>
  </conditionalFormatting>
  <dataValidations count="13">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V3 V9:V50" xr:uid="{00000000-0002-0000-2D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A3 AA9:AA50" xr:uid="{00000000-0002-0000-2D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Z3 Z9:Z50" xr:uid="{00000000-0002-0000-2D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Y3 Y9:Y50" xr:uid="{00000000-0002-0000-2D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X3 X9:X50" xr:uid="{00000000-0002-0000-2D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W3 W9:W50" xr:uid="{00000000-0002-0000-2D00-000005000000}"/>
    <dataValidation allowBlank="1" showInputMessage="1" showErrorMessage="1" prompt="Do not change." sqref="AB3:AL4 AD7:AL8" xr:uid="{00000000-0002-0000-2D00-000006000000}"/>
    <dataValidation allowBlank="1" showInputMessage="1" showErrorMessage="1" promptTitle="Remarks" prompt="A general comment (data source, calculation procedure, ...) can be made about each individual exchange. The remarks are added to the GeneralComment-field." sqref="U3" xr:uid="{00000000-0002-0000-2D00-000008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9:D50" xr:uid="{00000000-0002-0000-2D00-000009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9:E50" xr:uid="{00000000-0002-0000-2D00-00000A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9:K50" xr:uid="{00000000-0002-0000-2D00-00000B000000}"/>
    <dataValidation allowBlank="1" showInputMessage="1" showErrorMessage="1" promptTitle="Do not change" prompt="This field is automatically updated from the names-list" sqref="AB9:AB50" xr:uid="{00000000-0002-0000-2D00-00000C000000}"/>
    <dataValidation allowBlank="1" showInputMessage="1" showErrorMessage="1" promptTitle="Do not change" prompt="This field is automatically calculated from your inputs." sqref="AC9:AL50" xr:uid="{00000000-0002-0000-2D00-00000D000000}"/>
  </dataValidations>
  <printOptions headings="1"/>
  <pageMargins left="0" right="0" top="0.59055118110236227" bottom="0.59055118110236227" header="0.51181102362204722" footer="0.51181102362204722"/>
  <pageSetup paperSize="9" scale="71"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26">
    <tabColor rgb="FF9CD9F0"/>
    <pageSetUpPr fitToPage="1"/>
  </sheetPr>
  <dimension ref="A1:AL27"/>
  <sheetViews>
    <sheetView workbookViewId="0">
      <selection activeCell="A28" sqref="A28:XFD49"/>
    </sheetView>
  </sheetViews>
  <sheetFormatPr baseColWidth="10" defaultColWidth="11.42578125" defaultRowHeight="12" outlineLevelCol="1"/>
  <cols>
    <col min="1" max="1" width="12.7109375" style="399" customWidth="1"/>
    <col min="2" max="2" width="13.28515625" style="186" customWidth="1"/>
    <col min="3" max="3" width="3.7109375" style="187" hidden="1" customWidth="1" outlineLevel="1"/>
    <col min="4" max="4" width="5" style="399" hidden="1" customWidth="1" outlineLevel="1"/>
    <col min="5" max="5" width="6.28515625" style="399" hidden="1" customWidth="1" outlineLevel="1"/>
    <col min="6" max="6" width="33.85546875" style="188" customWidth="1" collapsed="1"/>
    <col min="7" max="7" width="13.28515625" style="399" customWidth="1"/>
    <col min="8" max="8" width="5.7109375" style="399" hidden="1" customWidth="1" outlineLevel="1"/>
    <col min="9" max="9" width="10.5703125" style="399" hidden="1" customWidth="1" outlineLevel="1"/>
    <col min="10" max="10" width="6.28515625" style="399" customWidth="1" collapsed="1"/>
    <col min="11" max="11" width="8.28515625" style="399" customWidth="1"/>
    <col min="12" max="12" width="11.42578125" style="399" customWidth="1"/>
    <col min="13" max="13" width="5" style="109" hidden="1" customWidth="1" outlineLevel="1"/>
    <col min="14" max="14" width="5.42578125" style="109" hidden="1" customWidth="1" outlineLevel="1"/>
    <col min="15" max="15" width="37.85546875" style="109" hidden="1" customWidth="1" outlineLevel="1"/>
    <col min="16" max="16" width="9.42578125" style="109" customWidth="1" collapsed="1"/>
    <col min="17" max="17" width="34.140625" style="189" customWidth="1"/>
    <col min="18" max="18" width="3.5703125" style="190" hidden="1" customWidth="1" outlineLevel="1"/>
    <col min="19" max="20" width="3.140625" style="404" hidden="1" customWidth="1" outlineLevel="1"/>
    <col min="21" max="22" width="5.42578125" style="404" hidden="1" customWidth="1" outlineLevel="1"/>
    <col min="23" max="25" width="3.140625" style="404" hidden="1" customWidth="1" outlineLevel="1"/>
    <col min="26" max="27" width="6.42578125" style="404" hidden="1" customWidth="1" outlineLevel="1"/>
    <col min="28" max="28" width="14.28515625" style="404" hidden="1" customWidth="1" outlineLevel="1"/>
    <col min="29" max="34" width="4.42578125" style="399" hidden="1" customWidth="1" outlineLevel="1"/>
    <col min="35" max="35" width="11.42578125" style="399" customWidth="1" collapsed="1"/>
    <col min="36" max="36" width="11.42578125" style="399" customWidth="1"/>
    <col min="37" max="38" width="11.42578125" style="179" customWidth="1"/>
    <col min="39" max="40" width="11.42578125" style="399" customWidth="1"/>
    <col min="41" max="16384" width="11.42578125" style="399"/>
  </cols>
  <sheetData>
    <row r="1" spans="1:34">
      <c r="A1" s="77"/>
      <c r="B1" s="78"/>
      <c r="C1" s="79"/>
      <c r="D1" s="77"/>
      <c r="E1" s="77"/>
      <c r="F1" s="80" t="s">
        <v>65</v>
      </c>
      <c r="G1" s="77"/>
      <c r="H1" s="77"/>
      <c r="I1" s="77"/>
      <c r="J1" s="77"/>
      <c r="K1" s="77"/>
      <c r="L1" s="330">
        <f>A7</f>
        <v>258623</v>
      </c>
      <c r="M1" s="81"/>
      <c r="N1" s="81"/>
      <c r="O1" s="81"/>
      <c r="Q1" s="378"/>
      <c r="R1" s="1586"/>
      <c r="S1" s="1597"/>
      <c r="T1" s="1597"/>
      <c r="U1" s="1597"/>
      <c r="V1" s="1597"/>
      <c r="W1" s="1597"/>
      <c r="X1" s="406"/>
      <c r="Y1" s="406"/>
      <c r="Z1" s="406"/>
      <c r="AA1" s="406"/>
      <c r="AB1" s="406"/>
      <c r="AC1" s="378"/>
      <c r="AD1" s="378"/>
      <c r="AE1" s="378"/>
      <c r="AF1" s="378"/>
      <c r="AG1" s="378"/>
      <c r="AH1" s="378"/>
    </row>
    <row r="2" spans="1:34">
      <c r="A2" s="77"/>
      <c r="B2" s="82"/>
      <c r="C2" s="79" t="s">
        <v>67</v>
      </c>
      <c r="D2" s="82">
        <v>3503</v>
      </c>
      <c r="E2" s="82">
        <v>3504</v>
      </c>
      <c r="F2" s="82">
        <v>3702</v>
      </c>
      <c r="G2" s="82">
        <v>3703</v>
      </c>
      <c r="H2" s="82">
        <v>3506</v>
      </c>
      <c r="I2" s="82">
        <v>3507</v>
      </c>
      <c r="J2" s="82">
        <v>3508</v>
      </c>
      <c r="K2" s="82">
        <v>3706</v>
      </c>
      <c r="L2" s="82">
        <v>3707</v>
      </c>
      <c r="M2" s="419">
        <v>3708</v>
      </c>
      <c r="N2" s="419">
        <v>3709</v>
      </c>
      <c r="O2" s="420">
        <v>3792</v>
      </c>
      <c r="P2" s="421"/>
      <c r="Q2" s="406"/>
      <c r="R2" s="406"/>
      <c r="S2" s="406"/>
      <c r="T2" s="406"/>
      <c r="U2" s="406"/>
      <c r="V2" s="406"/>
      <c r="W2" s="406"/>
      <c r="X2" s="406"/>
      <c r="Y2" s="378"/>
      <c r="Z2" s="378"/>
      <c r="AA2" s="378"/>
      <c r="AB2" s="378"/>
      <c r="AC2" s="378"/>
      <c r="AD2" s="378"/>
      <c r="AE2" s="378"/>
      <c r="AF2" s="378"/>
      <c r="AG2" s="378"/>
      <c r="AH2" s="378"/>
    </row>
    <row r="3" spans="1:34" ht="80.099999999999994" customHeight="1">
      <c r="A3" s="83" t="s">
        <v>68</v>
      </c>
      <c r="B3" s="84"/>
      <c r="C3" s="79">
        <v>401</v>
      </c>
      <c r="D3" s="85" t="s">
        <v>69</v>
      </c>
      <c r="E3" s="85" t="s">
        <v>70</v>
      </c>
      <c r="F3" s="86" t="s">
        <v>71</v>
      </c>
      <c r="G3" s="85" t="s">
        <v>72</v>
      </c>
      <c r="H3" s="85" t="s">
        <v>73</v>
      </c>
      <c r="I3" s="85" t="s">
        <v>74</v>
      </c>
      <c r="J3" s="85" t="s">
        <v>75</v>
      </c>
      <c r="K3" s="85" t="s">
        <v>76</v>
      </c>
      <c r="L3" s="87" t="s">
        <v>1430</v>
      </c>
      <c r="M3" s="422" t="s">
        <v>78</v>
      </c>
      <c r="N3" s="422" t="s">
        <v>79</v>
      </c>
      <c r="O3" s="423" t="s">
        <v>80</v>
      </c>
      <c r="P3" s="424"/>
      <c r="Q3" s="97" t="s">
        <v>363</v>
      </c>
      <c r="R3" s="98" t="s">
        <v>364</v>
      </c>
      <c r="S3" s="98" t="s">
        <v>365</v>
      </c>
      <c r="T3" s="98" t="s">
        <v>366</v>
      </c>
      <c r="U3" s="98" t="s">
        <v>367</v>
      </c>
      <c r="V3" s="98" t="s">
        <v>368</v>
      </c>
      <c r="W3" s="98" t="s">
        <v>369</v>
      </c>
      <c r="X3" s="99" t="s">
        <v>88</v>
      </c>
      <c r="Y3" s="99" t="s">
        <v>370</v>
      </c>
      <c r="Z3" s="99" t="s">
        <v>90</v>
      </c>
      <c r="AA3" s="99" t="s">
        <v>91</v>
      </c>
      <c r="AB3" s="99" t="s">
        <v>371</v>
      </c>
      <c r="AC3" s="100" t="s">
        <v>364</v>
      </c>
      <c r="AD3" s="100" t="s">
        <v>365</v>
      </c>
      <c r="AE3" s="100" t="s">
        <v>366</v>
      </c>
      <c r="AF3" s="100" t="s">
        <v>367</v>
      </c>
      <c r="AG3" s="100" t="s">
        <v>368</v>
      </c>
      <c r="AH3" s="100" t="s">
        <v>369</v>
      </c>
    </row>
    <row r="4" spans="1:34" ht="12" customHeight="1">
      <c r="A4" s="77"/>
      <c r="B4" s="84"/>
      <c r="C4" s="79">
        <v>662</v>
      </c>
      <c r="D4" s="86"/>
      <c r="E4" s="86"/>
      <c r="F4" s="86" t="s">
        <v>72</v>
      </c>
      <c r="G4" s="86"/>
      <c r="H4" s="86"/>
      <c r="I4" s="86"/>
      <c r="J4" s="86"/>
      <c r="K4" s="86"/>
      <c r="L4" s="87" t="s">
        <v>93</v>
      </c>
      <c r="M4" s="425"/>
      <c r="N4" s="425"/>
      <c r="O4" s="426"/>
      <c r="P4" s="427"/>
      <c r="Q4" s="101"/>
      <c r="R4" s="102" t="s">
        <v>94</v>
      </c>
      <c r="S4" s="97"/>
      <c r="T4" s="97"/>
      <c r="U4" s="97"/>
      <c r="V4" s="97"/>
      <c r="W4" s="97"/>
      <c r="X4" s="103"/>
      <c r="Y4" s="103"/>
      <c r="Z4" s="103" t="s">
        <v>95</v>
      </c>
      <c r="AA4" s="103" t="s">
        <v>95</v>
      </c>
      <c r="AB4" s="104"/>
      <c r="AC4" s="105"/>
      <c r="AD4" s="105"/>
      <c r="AE4" s="105"/>
      <c r="AF4" s="105"/>
      <c r="AG4" s="105"/>
      <c r="AH4" s="105"/>
    </row>
    <row r="5" spans="1:34">
      <c r="A5" s="77"/>
      <c r="B5" s="84"/>
      <c r="C5" s="79">
        <v>493</v>
      </c>
      <c r="D5" s="86"/>
      <c r="E5" s="86"/>
      <c r="F5" s="86" t="s">
        <v>75</v>
      </c>
      <c r="G5" s="86"/>
      <c r="H5" s="86"/>
      <c r="I5" s="86"/>
      <c r="J5" s="86"/>
      <c r="K5" s="86"/>
      <c r="L5" s="87">
        <v>1</v>
      </c>
      <c r="M5" s="425"/>
      <c r="N5" s="425"/>
      <c r="O5" s="426"/>
      <c r="P5" s="427"/>
      <c r="Q5" s="101"/>
      <c r="R5" s="97"/>
      <c r="S5" s="97"/>
      <c r="T5" s="97"/>
      <c r="U5" s="97"/>
      <c r="V5" s="97"/>
      <c r="W5" s="97"/>
      <c r="X5" s="104"/>
      <c r="Y5" s="104"/>
      <c r="Z5" s="104"/>
      <c r="AA5" s="104"/>
      <c r="AB5" s="104"/>
      <c r="AC5" s="105"/>
      <c r="AD5" s="105"/>
      <c r="AE5" s="105"/>
      <c r="AF5" s="105"/>
      <c r="AG5" s="105"/>
      <c r="AH5" s="105"/>
    </row>
    <row r="6" spans="1:34">
      <c r="A6" s="77"/>
      <c r="B6" s="84"/>
      <c r="C6" s="79">
        <v>403</v>
      </c>
      <c r="D6" s="86"/>
      <c r="E6" s="86"/>
      <c r="F6" s="86" t="s">
        <v>76</v>
      </c>
      <c r="G6" s="86"/>
      <c r="H6" s="86"/>
      <c r="I6" s="86"/>
      <c r="J6" s="86"/>
      <c r="K6" s="86"/>
      <c r="L6" s="87" t="s">
        <v>679</v>
      </c>
      <c r="M6" s="425"/>
      <c r="N6" s="425"/>
      <c r="O6" s="426"/>
      <c r="P6" s="427"/>
      <c r="Q6" s="101"/>
      <c r="R6" s="106"/>
      <c r="S6" s="106"/>
      <c r="T6" s="106"/>
      <c r="U6" s="106"/>
      <c r="V6" s="106"/>
      <c r="W6" s="106"/>
      <c r="X6" s="104"/>
      <c r="Y6" s="104"/>
      <c r="Z6" s="428"/>
      <c r="AA6" s="428"/>
      <c r="AB6" s="107"/>
      <c r="AC6" s="105"/>
      <c r="AD6" s="105"/>
      <c r="AE6" s="105"/>
      <c r="AF6" s="105"/>
      <c r="AG6" s="105"/>
      <c r="AH6" s="105"/>
    </row>
    <row r="7" spans="1:34" ht="24" customHeight="1">
      <c r="A7" s="330">
        <v>258623</v>
      </c>
      <c r="B7" s="331" t="s">
        <v>97</v>
      </c>
      <c r="C7" s="88"/>
      <c r="D7" s="294" t="s">
        <v>98</v>
      </c>
      <c r="E7" s="295">
        <v>0</v>
      </c>
      <c r="F7" s="429" t="s">
        <v>1430</v>
      </c>
      <c r="G7" s="430" t="s">
        <v>93</v>
      </c>
      <c r="H7" s="431" t="s">
        <v>98</v>
      </c>
      <c r="I7" s="431" t="s">
        <v>98</v>
      </c>
      <c r="J7" s="89">
        <v>1</v>
      </c>
      <c r="K7" s="430" t="s">
        <v>679</v>
      </c>
      <c r="L7" s="90">
        <v>1</v>
      </c>
      <c r="M7" s="91"/>
      <c r="N7" s="92"/>
      <c r="O7" s="93"/>
      <c r="P7" s="427"/>
      <c r="Q7" s="101"/>
      <c r="R7" s="97"/>
      <c r="S7" s="97"/>
      <c r="T7" s="97"/>
      <c r="U7" s="97"/>
      <c r="V7" s="97"/>
      <c r="W7" s="97"/>
      <c r="X7" s="104"/>
      <c r="Y7" s="104"/>
      <c r="Z7" s="104"/>
      <c r="AA7" s="104"/>
      <c r="AB7" s="104"/>
      <c r="AC7" s="104"/>
      <c r="AD7" s="104"/>
      <c r="AE7" s="104"/>
      <c r="AF7" s="104"/>
      <c r="AG7" s="104"/>
      <c r="AH7" s="104"/>
    </row>
    <row r="8" spans="1:34" ht="24" customHeight="1">
      <c r="A8" s="330">
        <v>258639</v>
      </c>
      <c r="B8" s="331" t="s">
        <v>582</v>
      </c>
      <c r="C8" s="88"/>
      <c r="D8" s="340">
        <v>5</v>
      </c>
      <c r="E8" s="341" t="s">
        <v>98</v>
      </c>
      <c r="F8" s="432" t="s">
        <v>1390</v>
      </c>
      <c r="G8" s="433" t="s">
        <v>215</v>
      </c>
      <c r="H8" s="434" t="s">
        <v>98</v>
      </c>
      <c r="I8" s="434" t="s">
        <v>98</v>
      </c>
      <c r="J8" s="94">
        <v>1</v>
      </c>
      <c r="K8" s="433" t="s">
        <v>679</v>
      </c>
      <c r="L8" s="376">
        <f>H18</f>
        <v>0.26014568158168577</v>
      </c>
      <c r="M8" s="95">
        <v>1</v>
      </c>
      <c r="N8" s="96">
        <f>$AA8</f>
        <v>3.0909055800049732</v>
      </c>
      <c r="O8" s="432" t="str">
        <f>$AB8&amp;"; "&amp;$Q8</f>
        <v>(4,1,1,1,1,5); CdTe module import from US</v>
      </c>
      <c r="P8" s="427"/>
      <c r="Q8" s="216" t="s">
        <v>1431</v>
      </c>
      <c r="R8" s="339">
        <v>4</v>
      </c>
      <c r="S8" s="339">
        <v>1</v>
      </c>
      <c r="T8" s="339">
        <v>1</v>
      </c>
      <c r="U8" s="339">
        <v>1</v>
      </c>
      <c r="V8" s="339">
        <v>1</v>
      </c>
      <c r="W8" s="339">
        <v>5</v>
      </c>
      <c r="X8" s="104">
        <v>9</v>
      </c>
      <c r="Y8" s="104">
        <v>3</v>
      </c>
      <c r="Z8" s="107">
        <f>EXP(SQRT((LN(AC8)^2)+(LN(AD8)^2)+(LN(AE8)^2)+(LN(AF8)^2)+(LN(AG8)^2)+(LN(AH8)^2)))</f>
        <v>1.2941338353151037</v>
      </c>
      <c r="AA8" s="107">
        <f>EXP(SQRT((LN(AC8)^2)+(LN(AD8)^2)+(LN(AE8)^2)+(LN(AF8)^2)+(LN(AG8)^2)+(LN(AH8)^2)+LN(Y8)^2))</f>
        <v>3.0909055800049732</v>
      </c>
      <c r="AB8" s="107" t="str">
        <f>CONCATENATE("(",R8,",",S8,",",T8,",",U8,",",V8,",",W8,")")</f>
        <v>(4,1,1,1,1,5)</v>
      </c>
      <c r="AC8" s="108">
        <v>1.2</v>
      </c>
      <c r="AD8" s="108">
        <v>1</v>
      </c>
      <c r="AE8" s="108">
        <v>1</v>
      </c>
      <c r="AF8" s="108">
        <v>1</v>
      </c>
      <c r="AG8" s="108">
        <v>1</v>
      </c>
      <c r="AH8" s="108">
        <v>1.2</v>
      </c>
    </row>
    <row r="9" spans="1:34" ht="24" customHeight="1">
      <c r="A9" s="330">
        <v>258737</v>
      </c>
      <c r="B9" s="331"/>
      <c r="C9" s="88"/>
      <c r="D9" s="340">
        <v>5</v>
      </c>
      <c r="E9" s="341" t="s">
        <v>98</v>
      </c>
      <c r="F9" s="432" t="s">
        <v>1389</v>
      </c>
      <c r="G9" s="433" t="s">
        <v>382</v>
      </c>
      <c r="H9" s="434" t="s">
        <v>98</v>
      </c>
      <c r="I9" s="434" t="s">
        <v>98</v>
      </c>
      <c r="J9" s="94">
        <v>1</v>
      </c>
      <c r="K9" s="433" t="s">
        <v>679</v>
      </c>
      <c r="L9" s="376">
        <f>H19</f>
        <v>0.36004162330905309</v>
      </c>
      <c r="M9" s="95">
        <v>1</v>
      </c>
      <c r="N9" s="96">
        <f>$AA9</f>
        <v>3.0909055800049732</v>
      </c>
      <c r="O9" s="432" t="str">
        <f>$AB9&amp;"; "&amp;$Q9</f>
        <v>(4,1,1,1,1,5); CdTe module import from Malaysia</v>
      </c>
      <c r="P9" s="427"/>
      <c r="Q9" s="216" t="s">
        <v>1432</v>
      </c>
      <c r="R9" s="339">
        <v>4</v>
      </c>
      <c r="S9" s="339">
        <v>1</v>
      </c>
      <c r="T9" s="339">
        <v>1</v>
      </c>
      <c r="U9" s="339">
        <v>1</v>
      </c>
      <c r="V9" s="339">
        <v>1</v>
      </c>
      <c r="W9" s="339">
        <v>5</v>
      </c>
      <c r="X9" s="104">
        <v>9</v>
      </c>
      <c r="Y9" s="104">
        <v>3</v>
      </c>
      <c r="Z9" s="107">
        <f>EXP(SQRT((LN(AC9)^2)+(LN(AD9)^2)+(LN(AE9)^2)+(LN(AF9)^2)+(LN(AG9)^2)+(LN(AH9)^2)))</f>
        <v>1.2941338353151037</v>
      </c>
      <c r="AA9" s="107">
        <f>EXP(SQRT((LN(AC9)^2)+(LN(AD9)^2)+(LN(AE9)^2)+(LN(AF9)^2)+(LN(AG9)^2)+(LN(AH9)^2)+LN(Y9)^2))</f>
        <v>3.0909055800049732</v>
      </c>
      <c r="AB9" s="107" t="str">
        <f>CONCATENATE("(",R9,",",S9,",",T9,",",U9,",",V9,",",W9,")")</f>
        <v>(4,1,1,1,1,5)</v>
      </c>
      <c r="AC9" s="108">
        <v>1.2</v>
      </c>
      <c r="AD9" s="108">
        <v>1</v>
      </c>
      <c r="AE9" s="108">
        <v>1</v>
      </c>
      <c r="AF9" s="108">
        <v>1</v>
      </c>
      <c r="AG9" s="108">
        <v>1</v>
      </c>
      <c r="AH9" s="108">
        <v>1.2</v>
      </c>
    </row>
    <row r="10" spans="1:34" ht="24" customHeight="1">
      <c r="A10" s="330" t="s">
        <v>1392</v>
      </c>
      <c r="B10" s="331"/>
      <c r="C10" s="88"/>
      <c r="D10" s="340">
        <v>5</v>
      </c>
      <c r="E10" s="341" t="s">
        <v>98</v>
      </c>
      <c r="F10" s="432" t="s">
        <v>1391</v>
      </c>
      <c r="G10" s="433" t="s">
        <v>647</v>
      </c>
      <c r="H10" s="434" t="s">
        <v>98</v>
      </c>
      <c r="I10" s="434" t="s">
        <v>98</v>
      </c>
      <c r="J10" s="94">
        <v>1</v>
      </c>
      <c r="K10" s="433" t="s">
        <v>679</v>
      </c>
      <c r="L10" s="376">
        <f>H20</f>
        <v>0.37981269510926119</v>
      </c>
      <c r="M10" s="95">
        <v>1</v>
      </c>
      <c r="N10" s="96">
        <f>$AA10</f>
        <v>3.0909055800049732</v>
      </c>
      <c r="O10" s="432" t="str">
        <f>$AB10&amp;"; "&amp;$Q10</f>
        <v>(4,1,1,1,1,5); CdTe module import from Vietnam</v>
      </c>
      <c r="P10" s="112"/>
      <c r="Q10" s="724" t="s">
        <v>1433</v>
      </c>
      <c r="R10" s="339">
        <v>4</v>
      </c>
      <c r="S10" s="339">
        <v>1</v>
      </c>
      <c r="T10" s="339">
        <v>1</v>
      </c>
      <c r="U10" s="339">
        <v>1</v>
      </c>
      <c r="V10" s="339">
        <v>1</v>
      </c>
      <c r="W10" s="339">
        <v>5</v>
      </c>
      <c r="X10" s="104">
        <v>9</v>
      </c>
      <c r="Y10" s="104">
        <v>3</v>
      </c>
      <c r="Z10" s="107">
        <f>EXP(SQRT((LN(AC10)^2)+(LN(AD10)^2)+(LN(AE10)^2)+(LN(AF10)^2)+(LN(AG10)^2)+(LN(AH10)^2)))</f>
        <v>1.2941338353151037</v>
      </c>
      <c r="AA10" s="107">
        <f>EXP(SQRT((LN(AC10)^2)+(LN(AD10)^2)+(LN(AE10)^2)+(LN(AF10)^2)+(LN(AG10)^2)+(LN(AH10)^2)+LN(Y10)^2))</f>
        <v>3.0909055800049732</v>
      </c>
      <c r="AB10" s="107" t="str">
        <f>CONCATENATE("(",R10,",",S10,",",T10,",",U10,",",V10,",",W10,")")</f>
        <v>(4,1,1,1,1,5)</v>
      </c>
      <c r="AC10" s="108">
        <v>1.2</v>
      </c>
      <c r="AD10" s="108">
        <v>1</v>
      </c>
      <c r="AE10" s="108">
        <v>1</v>
      </c>
      <c r="AF10" s="108">
        <v>1</v>
      </c>
      <c r="AG10" s="108">
        <v>1</v>
      </c>
      <c r="AH10" s="108">
        <v>1.2</v>
      </c>
    </row>
    <row r="11" spans="1:34" ht="41.25" customHeight="1">
      <c r="A11" s="330">
        <v>269599</v>
      </c>
      <c r="B11" s="331" t="s">
        <v>322</v>
      </c>
      <c r="C11" s="88"/>
      <c r="D11" s="340">
        <v>5</v>
      </c>
      <c r="E11" s="341" t="s">
        <v>98</v>
      </c>
      <c r="F11" s="432" t="s">
        <v>244</v>
      </c>
      <c r="G11" s="433" t="s">
        <v>245</v>
      </c>
      <c r="H11" s="434" t="s">
        <v>98</v>
      </c>
      <c r="I11" s="434" t="s">
        <v>98</v>
      </c>
      <c r="J11" s="94">
        <v>0</v>
      </c>
      <c r="K11" s="433" t="s">
        <v>115</v>
      </c>
      <c r="L11" s="435">
        <v>203.54604092499201</v>
      </c>
      <c r="M11" s="95">
        <v>1</v>
      </c>
      <c r="N11" s="96">
        <f>$AA11</f>
        <v>2.0949941301068096</v>
      </c>
      <c r="O11" s="432" t="str">
        <f>$AB11&amp;"; "&amp;$Q11</f>
        <v>(4,5,na,na,na,na); Import of modules from the US 6469 km, from Malaysia 14783 km, and from Vietnam 18672 km to Rotterdam</v>
      </c>
      <c r="P11" s="112"/>
      <c r="Q11" s="216" t="s">
        <v>1434</v>
      </c>
      <c r="R11" s="339">
        <v>4</v>
      </c>
      <c r="S11" s="339">
        <v>5</v>
      </c>
      <c r="T11" s="339" t="s">
        <v>106</v>
      </c>
      <c r="U11" s="339" t="s">
        <v>106</v>
      </c>
      <c r="V11" s="339" t="s">
        <v>106</v>
      </c>
      <c r="W11" s="339" t="s">
        <v>106</v>
      </c>
      <c r="X11" s="104">
        <v>5</v>
      </c>
      <c r="Y11" s="104">
        <v>2</v>
      </c>
      <c r="Z11" s="107">
        <f>EXP(SQRT((LN(AC11)^2)+(LN(AD11)^2)+(LN(AE11)^2)+(LN(AF11)^2)+(LN(AG11)^2)+(LN(AH11)^2)))</f>
        <v>1.2941338353151037</v>
      </c>
      <c r="AA11" s="107">
        <f>EXP(SQRT((LN(AC11)^2)+(LN(AD11)^2)+(LN(AE11)^2)+(LN(AF11)^2)+(LN(AG11)^2)+(LN(AH11)^2)+LN(Y11)^2))</f>
        <v>2.0949941301068096</v>
      </c>
      <c r="AB11" s="107" t="str">
        <f>CONCATENATE("(",R11,",",S11,",",T11,",",U11,",",V11,",",W11,")")</f>
        <v>(4,5,na,na,na,na)</v>
      </c>
      <c r="AC11" s="108">
        <v>1.2</v>
      </c>
      <c r="AD11" s="108">
        <v>1.2</v>
      </c>
      <c r="AE11" s="108">
        <v>1</v>
      </c>
      <c r="AF11" s="108">
        <v>1</v>
      </c>
      <c r="AG11" s="108">
        <v>1</v>
      </c>
      <c r="AH11" s="108">
        <v>1</v>
      </c>
    </row>
    <row r="12" spans="1:34" ht="24" customHeight="1">
      <c r="A12" s="330">
        <v>269641</v>
      </c>
      <c r="B12" s="331"/>
      <c r="C12" s="88"/>
      <c r="D12" s="340">
        <v>5</v>
      </c>
      <c r="E12" s="341" t="s">
        <v>98</v>
      </c>
      <c r="F12" s="432" t="s">
        <v>240</v>
      </c>
      <c r="G12" s="433" t="s">
        <v>93</v>
      </c>
      <c r="H12" s="434" t="s">
        <v>98</v>
      </c>
      <c r="I12" s="434" t="s">
        <v>98</v>
      </c>
      <c r="J12" s="94">
        <v>0</v>
      </c>
      <c r="K12" s="433" t="s">
        <v>115</v>
      </c>
      <c r="L12" s="435">
        <v>13.6702066962798</v>
      </c>
      <c r="M12" s="95">
        <v>1</v>
      </c>
      <c r="N12" s="96">
        <f>$AA12</f>
        <v>2.0949941301068096</v>
      </c>
      <c r="O12" s="432" t="str">
        <f>$AB12&amp;"; "&amp;$Q12</f>
        <v>(4,5,na,na,na,na); Average transport distance from Rotterdam to Europe is 943 km</v>
      </c>
      <c r="P12" s="112"/>
      <c r="Q12" s="216" t="s">
        <v>1435</v>
      </c>
      <c r="R12" s="339">
        <v>4</v>
      </c>
      <c r="S12" s="339">
        <v>5</v>
      </c>
      <c r="T12" s="339" t="s">
        <v>106</v>
      </c>
      <c r="U12" s="339" t="s">
        <v>106</v>
      </c>
      <c r="V12" s="339" t="s">
        <v>106</v>
      </c>
      <c r="W12" s="339" t="s">
        <v>106</v>
      </c>
      <c r="X12" s="104">
        <v>5</v>
      </c>
      <c r="Y12" s="104">
        <v>2</v>
      </c>
      <c r="Z12" s="107">
        <f>EXP(SQRT((LN(AC12)^2)+(LN(AD12)^2)+(LN(AE12)^2)+(LN(AF12)^2)+(LN(AG12)^2)+(LN(AH12)^2)))</f>
        <v>1.2941338353151037</v>
      </c>
      <c r="AA12" s="107">
        <f>EXP(SQRT((LN(AC12)^2)+(LN(AD12)^2)+(LN(AE12)^2)+(LN(AF12)^2)+(LN(AG12)^2)+(LN(AH12)^2)+LN(Y12)^2))</f>
        <v>2.0949941301068096</v>
      </c>
      <c r="AB12" s="107" t="str">
        <f>CONCATENATE("(",R12,",",S12,",",T12,",",U12,",",V12,",",W12,")")</f>
        <v>(4,5,na,na,na,na)</v>
      </c>
      <c r="AC12" s="108">
        <v>1.2</v>
      </c>
      <c r="AD12" s="108">
        <v>1.2</v>
      </c>
      <c r="AE12" s="108">
        <v>1</v>
      </c>
      <c r="AF12" s="108">
        <v>1</v>
      </c>
      <c r="AG12" s="108">
        <v>1</v>
      </c>
      <c r="AH12" s="108">
        <v>1</v>
      </c>
    </row>
    <row r="13" spans="1:34">
      <c r="B13" s="250"/>
      <c r="C13" s="251"/>
      <c r="P13" s="112"/>
    </row>
    <row r="14" spans="1:34">
      <c r="B14" s="250"/>
      <c r="C14" s="251"/>
      <c r="F14" s="721" t="s">
        <v>535</v>
      </c>
      <c r="P14" s="112"/>
    </row>
    <row r="15" spans="1:34">
      <c r="B15" s="250"/>
      <c r="C15" s="251"/>
      <c r="F15" s="722" t="s">
        <v>1436</v>
      </c>
      <c r="G15" s="322"/>
      <c r="H15" s="322"/>
      <c r="I15" s="322"/>
      <c r="J15" s="322"/>
      <c r="K15" s="322"/>
      <c r="L15" s="725" t="s">
        <v>1437</v>
      </c>
      <c r="P15" s="112"/>
    </row>
    <row r="16" spans="1:34">
      <c r="B16" s="250"/>
      <c r="C16" s="251"/>
      <c r="F16" s="723"/>
      <c r="G16" s="322"/>
      <c r="H16" s="322"/>
      <c r="I16" s="322"/>
      <c r="J16" s="322"/>
      <c r="K16" s="322"/>
      <c r="L16" s="726" t="s">
        <v>1438</v>
      </c>
      <c r="P16" s="112"/>
    </row>
    <row r="17" spans="6:16">
      <c r="F17" s="722" t="s">
        <v>1439</v>
      </c>
      <c r="G17" s="722" t="s">
        <v>1440</v>
      </c>
      <c r="H17" s="324" t="s">
        <v>1441</v>
      </c>
      <c r="I17" s="324" t="s">
        <v>1442</v>
      </c>
      <c r="J17" s="324" t="s">
        <v>1443</v>
      </c>
      <c r="K17" s="324" t="s">
        <v>1444</v>
      </c>
      <c r="L17" s="188"/>
      <c r="P17" s="112"/>
    </row>
    <row r="18" spans="6:16">
      <c r="F18" s="723" t="s">
        <v>1445</v>
      </c>
      <c r="G18" s="723">
        <v>2.5</v>
      </c>
      <c r="H18" s="322">
        <f>G18/$G$22</f>
        <v>0.26014568158168577</v>
      </c>
      <c r="I18" s="322">
        <v>3.42</v>
      </c>
      <c r="J18" s="322">
        <f>I18/$I$22</f>
        <v>0.58064516129032262</v>
      </c>
      <c r="K18" s="322">
        <v>5.92</v>
      </c>
      <c r="L18" s="188"/>
      <c r="P18" s="112"/>
    </row>
    <row r="19" spans="6:16">
      <c r="F19" s="723" t="s">
        <v>548</v>
      </c>
      <c r="G19" s="322">
        <v>3.46</v>
      </c>
      <c r="H19" s="322">
        <f>G19/$G$22</f>
        <v>0.36004162330905309</v>
      </c>
      <c r="I19" s="322">
        <v>0</v>
      </c>
      <c r="J19" s="322">
        <f>I19/$I$22</f>
        <v>0</v>
      </c>
      <c r="K19" s="322">
        <v>3.46</v>
      </c>
      <c r="L19" s="188"/>
      <c r="P19" s="112"/>
    </row>
    <row r="20" spans="6:16">
      <c r="F20" s="723" t="s">
        <v>666</v>
      </c>
      <c r="G20" s="322">
        <v>3.65</v>
      </c>
      <c r="H20" s="322">
        <f>G20/$G$22</f>
        <v>0.37981269510926119</v>
      </c>
      <c r="I20" s="322">
        <v>0</v>
      </c>
      <c r="J20" s="322">
        <f>I20/$I$22</f>
        <v>0</v>
      </c>
      <c r="K20" s="322">
        <v>3.65</v>
      </c>
      <c r="L20" s="188"/>
      <c r="P20" s="112"/>
    </row>
    <row r="21" spans="6:16">
      <c r="F21" s="723" t="s">
        <v>1027</v>
      </c>
      <c r="G21" s="322">
        <v>0</v>
      </c>
      <c r="H21" s="322">
        <f>G21/$G$22</f>
        <v>0</v>
      </c>
      <c r="I21" s="322">
        <v>2.4700000000000002</v>
      </c>
      <c r="J21" s="322">
        <f>I21/$I$22</f>
        <v>0.41935483870967749</v>
      </c>
      <c r="K21" s="322">
        <v>2.4700000000000002</v>
      </c>
      <c r="L21" s="191"/>
      <c r="P21" s="112"/>
    </row>
    <row r="22" spans="6:16">
      <c r="F22" s="722" t="s">
        <v>1446</v>
      </c>
      <c r="G22" s="324">
        <v>9.61</v>
      </c>
      <c r="H22" s="324"/>
      <c r="I22" s="324">
        <v>5.89</v>
      </c>
      <c r="J22" s="324"/>
      <c r="K22" s="324">
        <v>15.5</v>
      </c>
      <c r="P22" s="112"/>
    </row>
    <row r="23" spans="6:16">
      <c r="P23" s="112"/>
    </row>
    <row r="24" spans="6:16">
      <c r="P24" s="112"/>
    </row>
    <row r="25" spans="6:16">
      <c r="P25" s="112"/>
    </row>
    <row r="26" spans="6:16">
      <c r="P26" s="112"/>
    </row>
    <row r="27" spans="6:16">
      <c r="P27" s="112"/>
    </row>
  </sheetData>
  <mergeCells count="1">
    <mergeCell ref="R1:W1"/>
  </mergeCells>
  <conditionalFormatting sqref="D8:O12">
    <cfRule type="expression" dxfId="164" priority="1">
      <formula>MOD(ROW(),2)=0</formula>
    </cfRule>
  </conditionalFormatting>
  <conditionalFormatting sqref="Q8:W12">
    <cfRule type="expression" dxfId="163" priority="14">
      <formula>MOD(ROW(),2)=0</formula>
    </cfRule>
  </conditionalFormatting>
  <conditionalFormatting sqref="R10:W11">
    <cfRule type="expression" dxfId="162" priority="4">
      <formula>MOD(ROW(),2)=0</formula>
    </cfRule>
  </conditionalFormatting>
  <conditionalFormatting sqref="X8:AH12">
    <cfRule type="expression" dxfId="161" priority="3">
      <formula>MOD(ROW(),2)=0</formula>
    </cfRule>
  </conditionalFormatting>
  <dataValidations disablePrompts="1" xWindow="608" yWindow="187"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xr:uid="{00000000-0002-0000-2F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xr:uid="{00000000-0002-0000-2F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xr:uid="{00000000-0002-0000-2F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xr:uid="{00000000-0002-0000-2F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xr:uid="{00000000-0002-0000-2F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xr:uid="{00000000-0002-0000-2F00-000005000000}"/>
    <dataValidation allowBlank="1" showInputMessage="1" showErrorMessage="1" prompt="Do not change." sqref="X3:AH4" xr:uid="{00000000-0002-0000-2F00-000006000000}"/>
    <dataValidation allowBlank="1" showInputMessage="1" showErrorMessage="1" promptTitle="Remarks" prompt="A general comment (data source, calculation procedure, ...) can be made about each individual exchange. The remarks are added to the GeneralComment-field." sqref="Q3" xr:uid="{00000000-0002-0000-2F00-000007000000}"/>
    <dataValidation allowBlank="1" showInputMessage="1" showErrorMessage="1" promptTitle="Do not change" prompt="This field is automatically updated from the names-list" sqref="X8:X12" xr:uid="{00000000-0002-0000-2F00-000008000000}"/>
  </dataValidations>
  <pageMargins left="0.78740157499999996" right="0.78740157499999996" top="0.984251969" bottom="0.984251969" header="0.4921259845" footer="0.4921259845"/>
  <pageSetup paperSize="9" scale="4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
    <tabColor rgb="FF9CD9F0"/>
    <pageSetUpPr fitToPage="1"/>
  </sheetPr>
  <dimension ref="A1:AL21"/>
  <sheetViews>
    <sheetView workbookViewId="0">
      <selection activeCell="A23" sqref="A23:XFD35"/>
    </sheetView>
  </sheetViews>
  <sheetFormatPr baseColWidth="10" defaultColWidth="11.42578125" defaultRowHeight="12" outlineLevelCol="1"/>
  <cols>
    <col min="1" max="1" width="12.7109375" style="399" customWidth="1"/>
    <col min="2" max="2" width="13.28515625" style="186" customWidth="1"/>
    <col min="3" max="3" width="3.7109375" style="187" customWidth="1" outlineLevel="1"/>
    <col min="4" max="4" width="5" style="399" customWidth="1" outlineLevel="1"/>
    <col min="5" max="5" width="6.28515625" style="399" customWidth="1" outlineLevel="1"/>
    <col min="6" max="6" width="33.85546875" style="188" customWidth="1"/>
    <col min="7" max="7" width="12.7109375" style="399" customWidth="1"/>
    <col min="8" max="8" width="5.7109375" style="399" customWidth="1" outlineLevel="1"/>
    <col min="9" max="9" width="19.42578125" style="399" customWidth="1" outlineLevel="1"/>
    <col min="10" max="10" width="12" style="399" bestFit="1" customWidth="1"/>
    <col min="11" max="11" width="8.28515625" style="399" customWidth="1"/>
    <col min="12" max="12" width="11.42578125" style="399" customWidth="1"/>
    <col min="13" max="13" width="5" style="109" customWidth="1" outlineLevel="1"/>
    <col min="14" max="14" width="5.42578125" style="109" customWidth="1" outlineLevel="1"/>
    <col min="15" max="15" width="37.85546875" style="109" customWidth="1" outlineLevel="1"/>
    <col min="16" max="16" width="9.42578125" style="109" customWidth="1"/>
    <col min="17" max="17" width="34.140625" style="189" customWidth="1"/>
    <col min="18" max="18" width="4.42578125" style="190" customWidth="1" outlineLevel="1"/>
    <col min="19" max="20" width="3.140625" style="404" customWidth="1" outlineLevel="1"/>
    <col min="21" max="22" width="5.42578125" style="404" customWidth="1" outlineLevel="1"/>
    <col min="23" max="25" width="3.140625" style="404" customWidth="1" outlineLevel="1"/>
    <col min="26" max="27" width="6.42578125" style="404" customWidth="1" outlineLevel="1"/>
    <col min="28" max="28" width="14.28515625" style="404" customWidth="1" outlineLevel="1"/>
    <col min="29" max="34" width="4.42578125" style="399" customWidth="1" outlineLevel="1"/>
    <col min="35" max="36" width="11.42578125" style="399" customWidth="1"/>
    <col min="37" max="38" width="11.42578125" style="179" customWidth="1"/>
    <col min="39" max="40" width="11.42578125" style="399" customWidth="1"/>
    <col min="41" max="16384" width="11.42578125" style="399"/>
  </cols>
  <sheetData>
    <row r="1" spans="1:34">
      <c r="A1" s="77"/>
      <c r="B1" s="78"/>
      <c r="C1" s="79"/>
      <c r="D1" s="77"/>
      <c r="E1" s="77"/>
      <c r="F1" s="80" t="s">
        <v>65</v>
      </c>
      <c r="G1" s="77"/>
      <c r="H1" s="77"/>
      <c r="I1" s="77"/>
      <c r="J1" s="77"/>
      <c r="K1" s="77"/>
      <c r="L1" s="330" t="s">
        <v>1447</v>
      </c>
      <c r="M1" s="81"/>
      <c r="N1" s="81"/>
      <c r="O1" s="81"/>
      <c r="Q1" s="378"/>
      <c r="R1" s="1586"/>
      <c r="S1" s="1597"/>
      <c r="T1" s="1597"/>
      <c r="U1" s="1597"/>
      <c r="V1" s="1597"/>
      <c r="W1" s="1597"/>
      <c r="X1" s="406"/>
      <c r="Y1" s="406"/>
      <c r="Z1" s="406"/>
      <c r="AA1" s="406"/>
      <c r="AB1" s="406"/>
      <c r="AC1" s="378"/>
      <c r="AD1" s="378"/>
      <c r="AE1" s="378"/>
      <c r="AF1" s="378"/>
      <c r="AG1" s="378"/>
      <c r="AH1" s="378"/>
    </row>
    <row r="2" spans="1:34">
      <c r="A2" s="77"/>
      <c r="B2" s="82"/>
      <c r="C2" s="79" t="s">
        <v>67</v>
      </c>
      <c r="D2" s="82">
        <v>3503</v>
      </c>
      <c r="E2" s="82">
        <v>3504</v>
      </c>
      <c r="F2" s="82">
        <v>3702</v>
      </c>
      <c r="G2" s="82">
        <v>3703</v>
      </c>
      <c r="H2" s="82">
        <v>3506</v>
      </c>
      <c r="I2" s="82">
        <v>3507</v>
      </c>
      <c r="J2" s="82">
        <v>3508</v>
      </c>
      <c r="K2" s="82">
        <v>3706</v>
      </c>
      <c r="L2" s="82">
        <v>3707</v>
      </c>
      <c r="M2" s="419">
        <v>3708</v>
      </c>
      <c r="N2" s="419">
        <v>3709</v>
      </c>
      <c r="O2" s="420">
        <v>3792</v>
      </c>
      <c r="P2" s="421"/>
      <c r="Q2" s="406"/>
      <c r="R2" s="406"/>
      <c r="S2" s="406"/>
      <c r="T2" s="406"/>
      <c r="U2" s="406"/>
      <c r="V2" s="406"/>
      <c r="W2" s="406"/>
      <c r="X2" s="406"/>
      <c r="Y2" s="378"/>
      <c r="Z2" s="378"/>
      <c r="AA2" s="378"/>
      <c r="AB2" s="378"/>
      <c r="AC2" s="378"/>
      <c r="AD2" s="378"/>
      <c r="AE2" s="378"/>
      <c r="AF2" s="378"/>
      <c r="AG2" s="378"/>
      <c r="AH2" s="378"/>
    </row>
    <row r="3" spans="1:34" ht="80.099999999999994" customHeight="1">
      <c r="A3" s="83" t="s">
        <v>68</v>
      </c>
      <c r="B3" s="84"/>
      <c r="C3" s="79">
        <v>401</v>
      </c>
      <c r="D3" s="85" t="s">
        <v>69</v>
      </c>
      <c r="E3" s="85" t="s">
        <v>70</v>
      </c>
      <c r="F3" s="86" t="s">
        <v>71</v>
      </c>
      <c r="G3" s="85" t="s">
        <v>72</v>
      </c>
      <c r="H3" s="85" t="s">
        <v>73</v>
      </c>
      <c r="I3" s="85" t="s">
        <v>74</v>
      </c>
      <c r="J3" s="85" t="s">
        <v>75</v>
      </c>
      <c r="K3" s="85" t="s">
        <v>76</v>
      </c>
      <c r="L3" s="87" t="s">
        <v>1448</v>
      </c>
      <c r="M3" s="422" t="s">
        <v>78</v>
      </c>
      <c r="N3" s="422" t="s">
        <v>79</v>
      </c>
      <c r="O3" s="423" t="s">
        <v>80</v>
      </c>
      <c r="P3" s="424"/>
      <c r="Q3" s="97" t="s">
        <v>363</v>
      </c>
      <c r="R3" s="98" t="s">
        <v>364</v>
      </c>
      <c r="S3" s="98" t="s">
        <v>365</v>
      </c>
      <c r="T3" s="98" t="s">
        <v>366</v>
      </c>
      <c r="U3" s="98" t="s">
        <v>367</v>
      </c>
      <c r="V3" s="98" t="s">
        <v>368</v>
      </c>
      <c r="W3" s="98" t="s">
        <v>369</v>
      </c>
      <c r="X3" s="99" t="s">
        <v>88</v>
      </c>
      <c r="Y3" s="99" t="s">
        <v>370</v>
      </c>
      <c r="Z3" s="99" t="s">
        <v>90</v>
      </c>
      <c r="AA3" s="99" t="s">
        <v>91</v>
      </c>
      <c r="AB3" s="99" t="s">
        <v>371</v>
      </c>
      <c r="AC3" s="100" t="s">
        <v>364</v>
      </c>
      <c r="AD3" s="100" t="s">
        <v>365</v>
      </c>
      <c r="AE3" s="100" t="s">
        <v>366</v>
      </c>
      <c r="AF3" s="100" t="s">
        <v>367</v>
      </c>
      <c r="AG3" s="100" t="s">
        <v>368</v>
      </c>
      <c r="AH3" s="100" t="s">
        <v>369</v>
      </c>
    </row>
    <row r="4" spans="1:34" ht="12" customHeight="1">
      <c r="A4" s="77"/>
      <c r="B4" s="84"/>
      <c r="C4" s="79">
        <v>662</v>
      </c>
      <c r="D4" s="86"/>
      <c r="E4" s="86"/>
      <c r="F4" s="86" t="s">
        <v>72</v>
      </c>
      <c r="G4" s="86"/>
      <c r="H4" s="86"/>
      <c r="I4" s="86"/>
      <c r="J4" s="86"/>
      <c r="K4" s="86"/>
      <c r="L4" s="87" t="s">
        <v>215</v>
      </c>
      <c r="M4" s="425"/>
      <c r="N4" s="425"/>
      <c r="O4" s="426"/>
      <c r="P4" s="427"/>
      <c r="Q4" s="101"/>
      <c r="R4" s="102" t="s">
        <v>94</v>
      </c>
      <c r="S4" s="97"/>
      <c r="T4" s="97"/>
      <c r="U4" s="97"/>
      <c r="V4" s="97"/>
      <c r="W4" s="97"/>
      <c r="X4" s="103"/>
      <c r="Y4" s="103"/>
      <c r="Z4" s="103" t="s">
        <v>95</v>
      </c>
      <c r="AA4" s="103" t="s">
        <v>95</v>
      </c>
      <c r="AB4" s="104"/>
      <c r="AC4" s="105"/>
      <c r="AD4" s="105"/>
      <c r="AE4" s="105"/>
      <c r="AF4" s="105"/>
      <c r="AG4" s="105"/>
      <c r="AH4" s="105"/>
    </row>
    <row r="5" spans="1:34">
      <c r="A5" s="77"/>
      <c r="B5" s="84"/>
      <c r="C5" s="79">
        <v>493</v>
      </c>
      <c r="D5" s="86"/>
      <c r="E5" s="86"/>
      <c r="F5" s="86" t="s">
        <v>75</v>
      </c>
      <c r="G5" s="86"/>
      <c r="H5" s="86"/>
      <c r="I5" s="86"/>
      <c r="J5" s="86"/>
      <c r="K5" s="86"/>
      <c r="L5" s="87">
        <v>1</v>
      </c>
      <c r="M5" s="425"/>
      <c r="N5" s="425"/>
      <c r="O5" s="426"/>
      <c r="P5" s="427"/>
      <c r="Q5" s="101"/>
      <c r="R5" s="97"/>
      <c r="S5" s="97"/>
      <c r="T5" s="97"/>
      <c r="U5" s="97"/>
      <c r="V5" s="97"/>
      <c r="W5" s="97"/>
      <c r="X5" s="104"/>
      <c r="Y5" s="104"/>
      <c r="Z5" s="104"/>
      <c r="AA5" s="104"/>
      <c r="AB5" s="104"/>
      <c r="AC5" s="105"/>
      <c r="AD5" s="105"/>
      <c r="AE5" s="105"/>
      <c r="AF5" s="105"/>
      <c r="AG5" s="105"/>
      <c r="AH5" s="105"/>
    </row>
    <row r="6" spans="1:34">
      <c r="A6" s="77"/>
      <c r="B6" s="84"/>
      <c r="C6" s="79">
        <v>403</v>
      </c>
      <c r="D6" s="86"/>
      <c r="E6" s="86"/>
      <c r="F6" s="86" t="s">
        <v>76</v>
      </c>
      <c r="G6" s="86"/>
      <c r="H6" s="86"/>
      <c r="I6" s="86"/>
      <c r="J6" s="86"/>
      <c r="K6" s="86"/>
      <c r="L6" s="87" t="s">
        <v>679</v>
      </c>
      <c r="M6" s="425"/>
      <c r="N6" s="425"/>
      <c r="O6" s="426"/>
      <c r="P6" s="427"/>
      <c r="Q6" s="101"/>
      <c r="R6" s="106"/>
      <c r="S6" s="106"/>
      <c r="T6" s="106"/>
      <c r="U6" s="106"/>
      <c r="V6" s="106"/>
      <c r="W6" s="106"/>
      <c r="X6" s="104"/>
      <c r="Y6" s="104"/>
      <c r="Z6" s="428"/>
      <c r="AA6" s="428"/>
      <c r="AB6" s="107"/>
      <c r="AC6" s="105"/>
      <c r="AD6" s="105"/>
      <c r="AE6" s="105"/>
      <c r="AF6" s="105"/>
      <c r="AG6" s="105"/>
      <c r="AH6" s="105"/>
    </row>
    <row r="7" spans="1:34" ht="24" customHeight="1">
      <c r="A7" s="330" t="s">
        <v>1447</v>
      </c>
      <c r="B7" s="331" t="s">
        <v>97</v>
      </c>
      <c r="C7" s="88"/>
      <c r="D7" s="294" t="s">
        <v>98</v>
      </c>
      <c r="E7" s="295">
        <v>0</v>
      </c>
      <c r="F7" s="429" t="s">
        <v>1448</v>
      </c>
      <c r="G7" s="430" t="s">
        <v>215</v>
      </c>
      <c r="H7" s="431" t="s">
        <v>98</v>
      </c>
      <c r="I7" s="431" t="s">
        <v>98</v>
      </c>
      <c r="J7" s="89">
        <v>1</v>
      </c>
      <c r="K7" s="430" t="s">
        <v>679</v>
      </c>
      <c r="L7" s="90">
        <v>1</v>
      </c>
      <c r="M7" s="91"/>
      <c r="N7" s="92"/>
      <c r="O7" s="93"/>
      <c r="P7" s="427"/>
      <c r="Q7" s="101"/>
      <c r="R7" s="97"/>
      <c r="S7" s="97"/>
      <c r="T7" s="97"/>
      <c r="U7" s="97"/>
      <c r="V7" s="97"/>
      <c r="W7" s="97"/>
      <c r="X7" s="104"/>
      <c r="Y7" s="104"/>
      <c r="Z7" s="104"/>
      <c r="AA7" s="104"/>
      <c r="AB7" s="104"/>
      <c r="AC7" s="104"/>
      <c r="AD7" s="104"/>
      <c r="AE7" s="104"/>
      <c r="AF7" s="104"/>
      <c r="AG7" s="104"/>
      <c r="AH7" s="104"/>
    </row>
    <row r="8" spans="1:34" ht="24" customHeight="1">
      <c r="A8" s="330">
        <v>258639</v>
      </c>
      <c r="B8" s="331" t="s">
        <v>582</v>
      </c>
      <c r="C8" s="88"/>
      <c r="D8" s="340">
        <v>5</v>
      </c>
      <c r="E8" s="341" t="s">
        <v>98</v>
      </c>
      <c r="F8" s="432" t="s">
        <v>1390</v>
      </c>
      <c r="G8" s="433" t="s">
        <v>215</v>
      </c>
      <c r="H8" s="434" t="s">
        <v>98</v>
      </c>
      <c r="I8" s="434" t="s">
        <v>98</v>
      </c>
      <c r="J8" s="94">
        <v>1</v>
      </c>
      <c r="K8" s="433" t="s">
        <v>679</v>
      </c>
      <c r="L8" s="376">
        <v>0.316</v>
      </c>
      <c r="M8" s="95">
        <v>1</v>
      </c>
      <c r="N8" s="96">
        <v>3.0909055800049732</v>
      </c>
      <c r="O8" s="432" t="s">
        <v>3113</v>
      </c>
      <c r="P8" s="427"/>
      <c r="Q8" s="77" t="s">
        <v>1449</v>
      </c>
      <c r="R8" s="339">
        <v>4</v>
      </c>
      <c r="S8" s="339">
        <v>1</v>
      </c>
      <c r="T8" s="339">
        <v>1</v>
      </c>
      <c r="U8" s="339">
        <v>1</v>
      </c>
      <c r="V8" s="339">
        <v>1</v>
      </c>
      <c r="W8" s="339">
        <v>5</v>
      </c>
      <c r="X8" s="104">
        <v>9</v>
      </c>
      <c r="Y8" s="104">
        <v>3</v>
      </c>
      <c r="Z8" s="107">
        <v>1.2941338353151037</v>
      </c>
      <c r="AA8" s="107">
        <v>3.0909055800049732</v>
      </c>
      <c r="AB8" s="107" t="s">
        <v>3114</v>
      </c>
      <c r="AC8" s="108">
        <v>1.2</v>
      </c>
      <c r="AD8" s="108">
        <v>1</v>
      </c>
      <c r="AE8" s="108">
        <v>1</v>
      </c>
      <c r="AF8" s="108">
        <v>1</v>
      </c>
      <c r="AG8" s="108">
        <v>1</v>
      </c>
      <c r="AH8" s="108">
        <v>1.2</v>
      </c>
    </row>
    <row r="9" spans="1:34" ht="24" customHeight="1">
      <c r="A9" s="330" t="s">
        <v>1414</v>
      </c>
      <c r="B9" s="331"/>
      <c r="C9" s="88"/>
      <c r="D9" s="340">
        <v>5</v>
      </c>
      <c r="E9" s="341" t="s">
        <v>98</v>
      </c>
      <c r="F9" s="432" t="s">
        <v>1412</v>
      </c>
      <c r="G9" s="433" t="s">
        <v>215</v>
      </c>
      <c r="H9" s="434" t="s">
        <v>98</v>
      </c>
      <c r="I9" s="434" t="s">
        <v>98</v>
      </c>
      <c r="J9" s="94">
        <v>1</v>
      </c>
      <c r="K9" s="433" t="s">
        <v>679</v>
      </c>
      <c r="L9" s="376">
        <v>0.68399999999999994</v>
      </c>
      <c r="M9" s="95">
        <v>1</v>
      </c>
      <c r="N9" s="96">
        <v>3.0909055800049732</v>
      </c>
      <c r="O9" s="432" t="s">
        <v>3115</v>
      </c>
      <c r="P9" s="427"/>
      <c r="Q9" s="77" t="s">
        <v>1450</v>
      </c>
      <c r="R9" s="339">
        <v>4</v>
      </c>
      <c r="S9" s="339">
        <v>1</v>
      </c>
      <c r="T9" s="339">
        <v>1</v>
      </c>
      <c r="U9" s="339">
        <v>1</v>
      </c>
      <c r="V9" s="339">
        <v>1</v>
      </c>
      <c r="W9" s="339">
        <v>5</v>
      </c>
      <c r="X9" s="104">
        <v>9</v>
      </c>
      <c r="Y9" s="104">
        <v>3</v>
      </c>
      <c r="Z9" s="107">
        <v>1.2941338353151037</v>
      </c>
      <c r="AA9" s="107">
        <v>3.0909055800049732</v>
      </c>
      <c r="AB9" s="107" t="s">
        <v>3114</v>
      </c>
      <c r="AC9" s="108">
        <v>1.2</v>
      </c>
      <c r="AD9" s="108">
        <v>1</v>
      </c>
      <c r="AE9" s="108">
        <v>1</v>
      </c>
      <c r="AF9" s="108">
        <v>1</v>
      </c>
      <c r="AG9" s="108">
        <v>1</v>
      </c>
      <c r="AH9" s="108">
        <v>1.2</v>
      </c>
    </row>
    <row r="10" spans="1:34" ht="41.25" customHeight="1">
      <c r="A10" s="330">
        <v>269599</v>
      </c>
      <c r="B10" s="331" t="s">
        <v>322</v>
      </c>
      <c r="C10" s="88"/>
      <c r="D10" s="340">
        <v>5</v>
      </c>
      <c r="E10" s="341" t="s">
        <v>98</v>
      </c>
      <c r="F10" s="432" t="s">
        <v>244</v>
      </c>
      <c r="G10" s="433" t="s">
        <v>245</v>
      </c>
      <c r="H10" s="434" t="s">
        <v>98</v>
      </c>
      <c r="I10" s="434" t="s">
        <v>98</v>
      </c>
      <c r="J10" s="94">
        <v>0</v>
      </c>
      <c r="K10" s="433" t="s">
        <v>115</v>
      </c>
      <c r="L10" s="435">
        <v>0</v>
      </c>
      <c r="M10" s="95">
        <v>1</v>
      </c>
      <c r="N10" s="96">
        <v>2.0949941301068096</v>
      </c>
      <c r="O10" s="432" t="s">
        <v>3116</v>
      </c>
      <c r="P10" s="112"/>
      <c r="Q10" s="77" t="s">
        <v>1451</v>
      </c>
      <c r="R10" s="339">
        <v>4</v>
      </c>
      <c r="S10" s="339">
        <v>5</v>
      </c>
      <c r="T10" s="339" t="s">
        <v>106</v>
      </c>
      <c r="U10" s="339" t="s">
        <v>106</v>
      </c>
      <c r="V10" s="339" t="s">
        <v>106</v>
      </c>
      <c r="W10" s="339" t="s">
        <v>106</v>
      </c>
      <c r="X10" s="104">
        <v>5</v>
      </c>
      <c r="Y10" s="104">
        <v>2</v>
      </c>
      <c r="Z10" s="107">
        <v>1.2941338353151037</v>
      </c>
      <c r="AA10" s="107">
        <v>2.0949941301068096</v>
      </c>
      <c r="AB10" s="107" t="s">
        <v>274</v>
      </c>
      <c r="AC10" s="108">
        <v>1.2</v>
      </c>
      <c r="AD10" s="108">
        <v>1.2</v>
      </c>
      <c r="AE10" s="108">
        <v>1</v>
      </c>
      <c r="AF10" s="108">
        <v>1</v>
      </c>
      <c r="AG10" s="108">
        <v>1</v>
      </c>
      <c r="AH10" s="108">
        <v>1</v>
      </c>
    </row>
    <row r="11" spans="1:34" ht="24" customHeight="1">
      <c r="A11" s="330">
        <v>269641</v>
      </c>
      <c r="B11" s="331"/>
      <c r="C11" s="88"/>
      <c r="D11" s="340">
        <v>5</v>
      </c>
      <c r="E11" s="341" t="s">
        <v>98</v>
      </c>
      <c r="F11" s="432" t="s">
        <v>240</v>
      </c>
      <c r="G11" s="433" t="s">
        <v>93</v>
      </c>
      <c r="H11" s="434" t="s">
        <v>98</v>
      </c>
      <c r="I11" s="434" t="s">
        <v>98</v>
      </c>
      <c r="J11" s="94">
        <v>0</v>
      </c>
      <c r="K11" s="433" t="s">
        <v>115</v>
      </c>
      <c r="L11" s="435">
        <v>7.4761062687918702</v>
      </c>
      <c r="M11" s="95">
        <v>1</v>
      </c>
      <c r="N11" s="96">
        <v>2.0949941301068096</v>
      </c>
      <c r="O11" s="432" t="s">
        <v>3117</v>
      </c>
      <c r="P11" s="112"/>
      <c r="Q11" s="77" t="s">
        <v>1452</v>
      </c>
      <c r="R11" s="339">
        <v>4</v>
      </c>
      <c r="S11" s="339">
        <v>5</v>
      </c>
      <c r="T11" s="339" t="s">
        <v>106</v>
      </c>
      <c r="U11" s="339" t="s">
        <v>106</v>
      </c>
      <c r="V11" s="339" t="s">
        <v>106</v>
      </c>
      <c r="W11" s="339" t="s">
        <v>106</v>
      </c>
      <c r="X11" s="104">
        <v>5</v>
      </c>
      <c r="Y11" s="104">
        <v>2</v>
      </c>
      <c r="Z11" s="107">
        <v>1.2941338353151037</v>
      </c>
      <c r="AA11" s="107">
        <v>2.0949941301068096</v>
      </c>
      <c r="AB11" s="107" t="s">
        <v>274</v>
      </c>
      <c r="AC11" s="108">
        <v>1.2</v>
      </c>
      <c r="AD11" s="108">
        <v>1.2</v>
      </c>
      <c r="AE11" s="108">
        <v>1</v>
      </c>
      <c r="AF11" s="108">
        <v>1</v>
      </c>
      <c r="AG11" s="108">
        <v>1</v>
      </c>
      <c r="AH11" s="108">
        <v>1</v>
      </c>
    </row>
    <row r="12" spans="1:34">
      <c r="B12" s="250"/>
      <c r="C12" s="251"/>
      <c r="P12" s="112"/>
    </row>
    <row r="13" spans="1:34">
      <c r="B13" s="250"/>
      <c r="C13" s="251"/>
      <c r="F13" s="721" t="s">
        <v>535</v>
      </c>
      <c r="P13" s="112"/>
    </row>
    <row r="14" spans="1:34">
      <c r="B14" s="250"/>
      <c r="C14" s="251"/>
      <c r="F14" s="722" t="s">
        <v>1355</v>
      </c>
      <c r="G14" s="322"/>
      <c r="H14" s="322"/>
      <c r="I14" s="322"/>
      <c r="J14" s="322"/>
      <c r="K14" s="322"/>
      <c r="L14" s="725" t="s">
        <v>1437</v>
      </c>
      <c r="P14" s="112"/>
    </row>
    <row r="15" spans="1:34">
      <c r="B15" s="250"/>
      <c r="C15" s="251"/>
      <c r="F15" s="723"/>
      <c r="G15" s="322"/>
      <c r="H15" s="322"/>
      <c r="I15" s="322"/>
      <c r="J15" s="322"/>
      <c r="K15" s="322"/>
      <c r="P15" s="112"/>
    </row>
    <row r="16" spans="1:34">
      <c r="B16" s="250"/>
      <c r="C16" s="251"/>
      <c r="F16" s="722" t="s">
        <v>1439</v>
      </c>
      <c r="G16" s="722" t="s">
        <v>1440</v>
      </c>
      <c r="H16" s="324" t="s">
        <v>1441</v>
      </c>
      <c r="I16" s="324" t="s">
        <v>1442</v>
      </c>
      <c r="J16" s="324" t="s">
        <v>1443</v>
      </c>
      <c r="K16" s="324" t="s">
        <v>1444</v>
      </c>
      <c r="L16" s="193"/>
      <c r="P16" s="112"/>
    </row>
    <row r="17" spans="6:11">
      <c r="F17" s="723" t="s">
        <v>1445</v>
      </c>
      <c r="G17" s="723">
        <v>2.5</v>
      </c>
      <c r="H17" s="322">
        <v>0.26014568158168577</v>
      </c>
      <c r="I17" s="322">
        <v>3.42</v>
      </c>
      <c r="J17" s="322">
        <v>0.58064516129032262</v>
      </c>
      <c r="K17" s="322">
        <v>5.92</v>
      </c>
    </row>
    <row r="18" spans="6:11">
      <c r="F18" s="723" t="s">
        <v>548</v>
      </c>
      <c r="G18" s="322">
        <v>3.46</v>
      </c>
      <c r="H18" s="322">
        <v>0.36004162330905309</v>
      </c>
      <c r="I18" s="322">
        <v>0</v>
      </c>
      <c r="J18" s="322">
        <v>0</v>
      </c>
      <c r="K18" s="322">
        <v>3.46</v>
      </c>
    </row>
    <row r="19" spans="6:11">
      <c r="F19" s="723" t="s">
        <v>666</v>
      </c>
      <c r="G19" s="322">
        <v>3.65</v>
      </c>
      <c r="H19" s="322">
        <v>0.37981269510926119</v>
      </c>
      <c r="I19" s="322">
        <v>0</v>
      </c>
      <c r="J19" s="322">
        <v>0</v>
      </c>
      <c r="K19" s="322">
        <v>3.65</v>
      </c>
    </row>
    <row r="20" spans="6:11">
      <c r="F20" s="723" t="s">
        <v>1027</v>
      </c>
      <c r="G20" s="322">
        <v>0</v>
      </c>
      <c r="H20" s="322">
        <v>0</v>
      </c>
      <c r="I20" s="322">
        <v>2.4700000000000002</v>
      </c>
      <c r="J20" s="322">
        <v>0.41935483870967749</v>
      </c>
      <c r="K20" s="322">
        <v>2.4700000000000002</v>
      </c>
    </row>
    <row r="21" spans="6:11">
      <c r="F21" s="722" t="s">
        <v>1446</v>
      </c>
      <c r="G21" s="324">
        <v>9.61</v>
      </c>
      <c r="H21" s="324"/>
      <c r="I21" s="324">
        <v>5.89</v>
      </c>
      <c r="J21" s="324"/>
      <c r="K21" s="324">
        <v>15.5</v>
      </c>
    </row>
  </sheetData>
  <mergeCells count="1">
    <mergeCell ref="R1:W1"/>
  </mergeCells>
  <conditionalFormatting sqref="D8:O11">
    <cfRule type="expression" dxfId="160" priority="1">
      <formula>MOD(ROW(),2)=0</formula>
    </cfRule>
  </conditionalFormatting>
  <conditionalFormatting sqref="Q8:W11">
    <cfRule type="expression" dxfId="159" priority="3">
      <formula>MOD(ROW(),2)=0</formula>
    </cfRule>
  </conditionalFormatting>
  <conditionalFormatting sqref="X8:AH11">
    <cfRule type="expression" dxfId="158" priority="4">
      <formula>MOD(ROW(),2)=0</formula>
    </cfRule>
  </conditionalFormatting>
  <dataValidations disablePrompts="1" count="9">
    <dataValidation allowBlank="1" showInputMessage="1" showErrorMessage="1" promptTitle="Remarks" prompt="A general comment (data source, calculation procedure, ...) can be made about each individual exchange. The remarks are added to the GeneralComment-field." sqref="Q3" xr:uid="{00000000-0002-0000-3000-000000000000}"/>
    <dataValidation allowBlank="1" showInputMessage="1" showErrorMessage="1" prompt="Do not change." sqref="X3:AH4" xr:uid="{00000000-0002-0000-30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xr:uid="{00000000-0002-0000-30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xr:uid="{00000000-0002-0000-30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xr:uid="{00000000-0002-0000-30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xr:uid="{00000000-0002-0000-30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xr:uid="{00000000-0002-0000-30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xr:uid="{00000000-0002-0000-3000-000007000000}"/>
    <dataValidation allowBlank="1" showInputMessage="1" showErrorMessage="1" promptTitle="Do not change" prompt="This field is automatically updated from the names-list" sqref="X8:X11" xr:uid="{00000000-0002-0000-3000-000008000000}"/>
  </dataValidations>
  <pageMargins left="0.78740157499999996" right="0.78740157499999996" top="0.984251969" bottom="0.984251969" header="0.4921259845" footer="0.4921259845"/>
  <pageSetup paperSize="9" scale="36"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25">
    <tabColor rgb="FF9CD9F0"/>
    <pageSetUpPr fitToPage="1"/>
  </sheetPr>
  <dimension ref="A1:AJ50"/>
  <sheetViews>
    <sheetView topLeftCell="A36" workbookViewId="0">
      <selection activeCell="L42" sqref="L42"/>
    </sheetView>
  </sheetViews>
  <sheetFormatPr baseColWidth="10" defaultColWidth="11.42578125" defaultRowHeight="12" outlineLevelCol="1"/>
  <cols>
    <col min="1" max="1" width="11.7109375" style="378" customWidth="1"/>
    <col min="2" max="2" width="15.7109375" style="114" customWidth="1"/>
    <col min="3" max="3" width="5.7109375" style="115" hidden="1" customWidth="1" outlineLevel="1"/>
    <col min="4" max="5" width="5" style="378" hidden="1" customWidth="1" outlineLevel="1"/>
    <col min="6" max="6" width="38.85546875" style="378" customWidth="1" collapsed="1"/>
    <col min="7" max="7" width="10.7109375" style="378" customWidth="1"/>
    <col min="8" max="8" width="10.7109375" style="378" hidden="1" customWidth="1" outlineLevel="1"/>
    <col min="9" max="9" width="15.7109375" style="378" hidden="1" customWidth="1" outlineLevel="1"/>
    <col min="10" max="10" width="8.28515625" style="378" customWidth="1" collapsed="1"/>
    <col min="11" max="11" width="5.7109375" style="378" customWidth="1"/>
    <col min="12" max="12" width="15.7109375" style="378" customWidth="1"/>
    <col min="13" max="14" width="5.7109375" style="116" hidden="1" customWidth="1" outlineLevel="1"/>
    <col min="15" max="15" width="60" style="116" hidden="1" customWidth="1" outlineLevel="1"/>
    <col min="16" max="16" width="9.5703125" style="116" customWidth="1" collapsed="1"/>
    <col min="17" max="17" width="19.7109375" style="406" customWidth="1"/>
    <col min="18" max="18" width="58.5703125" style="406" customWidth="1"/>
    <col min="19" max="25" width="4.7109375" style="406" hidden="1" customWidth="1" outlineLevel="1"/>
    <col min="26" max="28" width="5.7109375" style="378" hidden="1" customWidth="1" outlineLevel="1"/>
    <col min="29" max="29" width="15.7109375" style="378" hidden="1" customWidth="1" outlineLevel="1"/>
    <col min="30" max="35" width="4.7109375" style="378" hidden="1" customWidth="1" outlineLevel="1"/>
    <col min="36" max="36" width="11.42578125" style="378" customWidth="1" collapsed="1"/>
    <col min="37" max="16384" width="11.42578125" style="378"/>
  </cols>
  <sheetData>
    <row r="1" spans="1:35">
      <c r="A1" s="77"/>
      <c r="B1" s="78"/>
      <c r="C1" s="79"/>
      <c r="D1" s="77"/>
      <c r="E1" s="77"/>
      <c r="F1" s="80" t="s">
        <v>1453</v>
      </c>
      <c r="G1" s="77"/>
      <c r="H1" s="77"/>
      <c r="I1" s="77"/>
      <c r="J1" s="77"/>
      <c r="K1" s="77"/>
      <c r="L1" s="330">
        <v>261252</v>
      </c>
      <c r="M1" s="81"/>
      <c r="N1" s="81"/>
      <c r="O1" s="81"/>
      <c r="Q1" s="378"/>
      <c r="R1" s="378"/>
      <c r="S1" s="1586" t="s">
        <v>66</v>
      </c>
      <c r="T1" s="1598"/>
      <c r="U1" s="1598"/>
      <c r="V1" s="1598"/>
      <c r="W1" s="1598"/>
      <c r="X1" s="1598"/>
      <c r="Z1" s="406"/>
      <c r="AA1" s="406"/>
      <c r="AB1" s="406"/>
      <c r="AC1" s="406"/>
    </row>
    <row r="2" spans="1:35">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35" ht="105" customHeight="1">
      <c r="A3" s="83" t="s">
        <v>68</v>
      </c>
      <c r="B3" s="84"/>
      <c r="C3" s="79">
        <v>401</v>
      </c>
      <c r="D3" s="85" t="s">
        <v>1454</v>
      </c>
      <c r="E3" s="85" t="s">
        <v>1455</v>
      </c>
      <c r="F3" s="86" t="s">
        <v>71</v>
      </c>
      <c r="G3" s="85" t="s">
        <v>72</v>
      </c>
      <c r="H3" s="85" t="s">
        <v>73</v>
      </c>
      <c r="I3" s="85" t="s">
        <v>1456</v>
      </c>
      <c r="J3" s="85" t="s">
        <v>1457</v>
      </c>
      <c r="K3" s="85" t="s">
        <v>76</v>
      </c>
      <c r="L3" s="87" t="s">
        <v>1458</v>
      </c>
      <c r="M3" s="422" t="s">
        <v>1459</v>
      </c>
      <c r="N3" s="422" t="s">
        <v>1460</v>
      </c>
      <c r="O3" s="423" t="s">
        <v>1461</v>
      </c>
      <c r="Q3" s="97" t="s">
        <v>81</v>
      </c>
      <c r="R3" s="97" t="s">
        <v>253</v>
      </c>
      <c r="S3" s="98" t="s">
        <v>364</v>
      </c>
      <c r="T3" s="98" t="s">
        <v>365</v>
      </c>
      <c r="U3" s="98" t="s">
        <v>366</v>
      </c>
      <c r="V3" s="98" t="s">
        <v>367</v>
      </c>
      <c r="W3" s="98" t="s">
        <v>368</v>
      </c>
      <c r="X3" s="98" t="s">
        <v>369</v>
      </c>
      <c r="Y3" s="99" t="s">
        <v>88</v>
      </c>
      <c r="Z3" s="99" t="s">
        <v>370</v>
      </c>
      <c r="AA3" s="99" t="s">
        <v>90</v>
      </c>
      <c r="AB3" s="99" t="s">
        <v>91</v>
      </c>
      <c r="AC3" s="99" t="s">
        <v>371</v>
      </c>
      <c r="AD3" s="100" t="s">
        <v>364</v>
      </c>
      <c r="AE3" s="100" t="s">
        <v>365</v>
      </c>
      <c r="AF3" s="100" t="s">
        <v>366</v>
      </c>
      <c r="AG3" s="100" t="s">
        <v>367</v>
      </c>
      <c r="AH3" s="100" t="s">
        <v>368</v>
      </c>
      <c r="AI3" s="100" t="s">
        <v>369</v>
      </c>
    </row>
    <row r="4" spans="1:35" ht="24" customHeight="1">
      <c r="A4" s="77"/>
      <c r="B4" s="84"/>
      <c r="C4" s="79">
        <v>662</v>
      </c>
      <c r="D4" s="86"/>
      <c r="E4" s="86"/>
      <c r="F4" s="86" t="s">
        <v>72</v>
      </c>
      <c r="G4" s="86"/>
      <c r="H4" s="86"/>
      <c r="I4" s="86"/>
      <c r="J4" s="86"/>
      <c r="K4" s="86"/>
      <c r="L4" s="87" t="s">
        <v>340</v>
      </c>
      <c r="M4" s="425"/>
      <c r="N4" s="425"/>
      <c r="O4" s="426"/>
      <c r="Q4" s="101"/>
      <c r="R4" s="101"/>
      <c r="S4" s="102" t="s">
        <v>94</v>
      </c>
      <c r="T4" s="97"/>
      <c r="U4" s="97"/>
      <c r="V4" s="97"/>
      <c r="W4" s="97"/>
      <c r="X4" s="97"/>
      <c r="Y4" s="103"/>
      <c r="Z4" s="103"/>
      <c r="AA4" s="103" t="s">
        <v>95</v>
      </c>
      <c r="AB4" s="103" t="s">
        <v>95</v>
      </c>
      <c r="AC4" s="104"/>
      <c r="AD4" s="105"/>
      <c r="AE4" s="105"/>
      <c r="AF4" s="105"/>
      <c r="AG4" s="105"/>
      <c r="AH4" s="105"/>
      <c r="AI4" s="105"/>
    </row>
    <row r="5" spans="1:35">
      <c r="A5" s="77"/>
      <c r="B5" s="84"/>
      <c r="C5" s="79">
        <v>493</v>
      </c>
      <c r="D5" s="86"/>
      <c r="E5" s="86"/>
      <c r="F5" s="86" t="s">
        <v>1457</v>
      </c>
      <c r="G5" s="86"/>
      <c r="H5" s="86"/>
      <c r="I5" s="86"/>
      <c r="J5" s="86"/>
      <c r="K5" s="86"/>
      <c r="L5" s="87">
        <v>1</v>
      </c>
      <c r="M5" s="425"/>
      <c r="N5" s="425"/>
      <c r="O5" s="426"/>
      <c r="Q5" s="101"/>
      <c r="R5" s="101"/>
      <c r="S5" s="97"/>
      <c r="T5" s="97"/>
      <c r="U5" s="97"/>
      <c r="V5" s="97"/>
      <c r="W5" s="97"/>
      <c r="X5" s="97"/>
      <c r="Y5" s="104"/>
      <c r="Z5" s="104"/>
      <c r="AA5" s="104"/>
      <c r="AB5" s="104"/>
      <c r="AC5" s="104"/>
      <c r="AD5" s="105"/>
      <c r="AE5" s="105"/>
      <c r="AF5" s="105"/>
      <c r="AG5" s="105"/>
      <c r="AH5" s="105"/>
      <c r="AI5" s="105"/>
    </row>
    <row r="6" spans="1:35">
      <c r="A6" s="77"/>
      <c r="B6" s="84"/>
      <c r="C6" s="79">
        <v>403</v>
      </c>
      <c r="D6" s="86"/>
      <c r="E6" s="86"/>
      <c r="F6" s="86" t="s">
        <v>76</v>
      </c>
      <c r="G6" s="86"/>
      <c r="H6" s="86"/>
      <c r="I6" s="86"/>
      <c r="J6" s="86"/>
      <c r="K6" s="86"/>
      <c r="L6" s="87" t="s">
        <v>679</v>
      </c>
      <c r="M6" s="425"/>
      <c r="N6" s="425"/>
      <c r="O6" s="426"/>
      <c r="Q6" s="101"/>
      <c r="R6" s="101"/>
      <c r="S6" s="106"/>
      <c r="T6" s="106"/>
      <c r="U6" s="106"/>
      <c r="V6" s="106"/>
      <c r="W6" s="106"/>
      <c r="X6" s="106"/>
      <c r="Y6" s="104"/>
      <c r="Z6" s="104"/>
      <c r="AA6" s="428"/>
      <c r="AB6" s="428"/>
      <c r="AC6" s="107"/>
      <c r="AD6" s="105"/>
      <c r="AE6" s="105"/>
      <c r="AF6" s="105"/>
      <c r="AG6" s="105"/>
      <c r="AH6" s="105"/>
      <c r="AI6" s="105"/>
    </row>
    <row r="7" spans="1:35" ht="24" customHeight="1">
      <c r="A7" s="330">
        <v>261252</v>
      </c>
      <c r="B7" s="331" t="s">
        <v>97</v>
      </c>
      <c r="C7" s="88"/>
      <c r="D7" s="294"/>
      <c r="E7" s="295">
        <v>0</v>
      </c>
      <c r="F7" s="429" t="s">
        <v>1458</v>
      </c>
      <c r="G7" s="430" t="s">
        <v>340</v>
      </c>
      <c r="H7" s="431" t="s">
        <v>98</v>
      </c>
      <c r="I7" s="431" t="s">
        <v>98</v>
      </c>
      <c r="J7" s="89">
        <v>1</v>
      </c>
      <c r="K7" s="430" t="s">
        <v>679</v>
      </c>
      <c r="L7" s="90">
        <v>1</v>
      </c>
      <c r="M7" s="91"/>
      <c r="N7" s="92"/>
      <c r="O7" s="93"/>
      <c r="Q7" s="101"/>
      <c r="R7" s="101"/>
      <c r="S7" s="97"/>
      <c r="T7" s="97"/>
      <c r="U7" s="97"/>
      <c r="V7" s="97"/>
      <c r="W7" s="97"/>
      <c r="X7" s="97"/>
      <c r="Y7" s="104"/>
      <c r="Z7" s="104"/>
      <c r="AA7" s="104"/>
      <c r="AB7" s="104"/>
      <c r="AC7" s="104"/>
      <c r="AD7" s="104"/>
      <c r="AE7" s="104"/>
      <c r="AF7" s="104"/>
      <c r="AG7" s="104"/>
      <c r="AH7" s="104"/>
      <c r="AI7" s="104"/>
    </row>
    <row r="8" spans="1:35" ht="36">
      <c r="A8" s="330">
        <v>55486</v>
      </c>
      <c r="B8" s="331" t="s">
        <v>1462</v>
      </c>
      <c r="C8" s="88"/>
      <c r="D8" s="340">
        <v>4</v>
      </c>
      <c r="E8" s="341" t="s">
        <v>98</v>
      </c>
      <c r="F8" s="432" t="s">
        <v>1463</v>
      </c>
      <c r="G8" s="433" t="s">
        <v>98</v>
      </c>
      <c r="H8" s="434" t="s">
        <v>218</v>
      </c>
      <c r="I8" s="434" t="s">
        <v>132</v>
      </c>
      <c r="J8" s="94" t="s">
        <v>98</v>
      </c>
      <c r="K8" s="433" t="s">
        <v>119</v>
      </c>
      <c r="L8" s="435">
        <v>0.73124999999999996</v>
      </c>
      <c r="M8" s="95">
        <v>1</v>
      </c>
      <c r="N8" s="96">
        <v>1.22256877668779</v>
      </c>
      <c r="O8" s="432" t="s">
        <v>1464</v>
      </c>
      <c r="Q8" s="216" t="s">
        <v>1465</v>
      </c>
      <c r="R8" s="216" t="s">
        <v>1466</v>
      </c>
      <c r="S8" s="339">
        <v>2</v>
      </c>
      <c r="T8" s="339">
        <v>3</v>
      </c>
      <c r="U8" s="339">
        <v>1</v>
      </c>
      <c r="V8" s="339">
        <v>1</v>
      </c>
      <c r="W8" s="339">
        <v>1</v>
      </c>
      <c r="X8" s="339">
        <v>5</v>
      </c>
      <c r="Y8" s="104">
        <v>12</v>
      </c>
      <c r="Z8" s="104">
        <v>1.05</v>
      </c>
      <c r="AA8" s="107">
        <v>1.21523964940916</v>
      </c>
      <c r="AB8" s="107">
        <v>1.22256877668779</v>
      </c>
      <c r="AC8" s="107" t="s">
        <v>1467</v>
      </c>
      <c r="AD8" s="108">
        <v>1.05</v>
      </c>
      <c r="AE8" s="108">
        <v>1.05</v>
      </c>
      <c r="AF8" s="108">
        <v>1</v>
      </c>
      <c r="AG8" s="108">
        <v>1</v>
      </c>
      <c r="AH8" s="108">
        <v>1</v>
      </c>
      <c r="AI8" s="108">
        <v>1.2</v>
      </c>
    </row>
    <row r="9" spans="1:35" ht="48">
      <c r="A9" s="330" t="s">
        <v>1039</v>
      </c>
      <c r="B9" s="331" t="s">
        <v>221</v>
      </c>
      <c r="C9" s="88"/>
      <c r="D9" s="340">
        <v>5</v>
      </c>
      <c r="E9" s="341" t="s">
        <v>98</v>
      </c>
      <c r="F9" s="432" t="s">
        <v>1032</v>
      </c>
      <c r="G9" s="433" t="s">
        <v>372</v>
      </c>
      <c r="H9" s="434" t="s">
        <v>98</v>
      </c>
      <c r="I9" s="434" t="s">
        <v>98</v>
      </c>
      <c r="J9" s="94">
        <v>0</v>
      </c>
      <c r="K9" s="433" t="s">
        <v>679</v>
      </c>
      <c r="L9" s="435">
        <v>0.935415</v>
      </c>
      <c r="M9" s="95">
        <v>1</v>
      </c>
      <c r="N9" s="96">
        <v>1.22256877668779</v>
      </c>
      <c r="O9" s="432" t="s">
        <v>1468</v>
      </c>
      <c r="Q9" s="216" t="s">
        <v>1469</v>
      </c>
      <c r="R9" s="216" t="s">
        <v>1466</v>
      </c>
      <c r="S9" s="339">
        <v>2</v>
      </c>
      <c r="T9" s="339">
        <v>3</v>
      </c>
      <c r="U9" s="339">
        <v>1</v>
      </c>
      <c r="V9" s="339">
        <v>1</v>
      </c>
      <c r="W9" s="339">
        <v>1</v>
      </c>
      <c r="X9" s="339">
        <v>5</v>
      </c>
      <c r="Y9" s="104">
        <v>3</v>
      </c>
      <c r="Z9" s="104">
        <v>1.05</v>
      </c>
      <c r="AA9" s="107">
        <v>1.21523964940916</v>
      </c>
      <c r="AB9" s="107">
        <v>1.22256877668779</v>
      </c>
      <c r="AC9" s="107" t="s">
        <v>1467</v>
      </c>
      <c r="AD9" s="108">
        <v>1.05</v>
      </c>
      <c r="AE9" s="108">
        <v>1.05</v>
      </c>
      <c r="AF9" s="108">
        <v>1</v>
      </c>
      <c r="AG9" s="108">
        <v>1</v>
      </c>
      <c r="AH9" s="108">
        <v>1</v>
      </c>
      <c r="AI9" s="108">
        <v>1.2</v>
      </c>
    </row>
    <row r="10" spans="1:35" ht="36">
      <c r="A10" s="330">
        <v>269079</v>
      </c>
      <c r="B10" s="331"/>
      <c r="C10" s="88"/>
      <c r="D10" s="340">
        <v>5</v>
      </c>
      <c r="E10" s="341" t="s">
        <v>98</v>
      </c>
      <c r="F10" s="432" t="s">
        <v>1105</v>
      </c>
      <c r="G10" s="433" t="s">
        <v>154</v>
      </c>
      <c r="H10" s="434" t="s">
        <v>98</v>
      </c>
      <c r="I10" s="434" t="s">
        <v>98</v>
      </c>
      <c r="J10" s="94">
        <v>1</v>
      </c>
      <c r="K10" s="433" t="s">
        <v>144</v>
      </c>
      <c r="L10" s="435">
        <v>3.9999999999999998E-6</v>
      </c>
      <c r="M10" s="95">
        <v>1</v>
      </c>
      <c r="N10" s="96">
        <v>3.0519287092552898</v>
      </c>
      <c r="O10" s="432" t="s">
        <v>1470</v>
      </c>
      <c r="Q10" s="216" t="s">
        <v>1471</v>
      </c>
      <c r="R10" s="216" t="s">
        <v>1466</v>
      </c>
      <c r="S10" s="339">
        <v>2</v>
      </c>
      <c r="T10" s="339">
        <v>3</v>
      </c>
      <c r="U10" s="339">
        <v>1</v>
      </c>
      <c r="V10" s="339">
        <v>1</v>
      </c>
      <c r="W10" s="339">
        <v>1</v>
      </c>
      <c r="X10" s="339">
        <v>5</v>
      </c>
      <c r="Y10" s="104">
        <v>9</v>
      </c>
      <c r="Z10" s="104">
        <v>3</v>
      </c>
      <c r="AA10" s="107">
        <v>1.21523964940916</v>
      </c>
      <c r="AB10" s="107">
        <v>3.0519287092552898</v>
      </c>
      <c r="AC10" s="107" t="s">
        <v>1467</v>
      </c>
      <c r="AD10" s="108">
        <v>1.05</v>
      </c>
      <c r="AE10" s="108">
        <v>1.05</v>
      </c>
      <c r="AF10" s="108">
        <v>1</v>
      </c>
      <c r="AG10" s="108">
        <v>1</v>
      </c>
      <c r="AH10" s="108">
        <v>1</v>
      </c>
      <c r="AI10" s="108">
        <v>1.2</v>
      </c>
    </row>
    <row r="11" spans="1:35" ht="36">
      <c r="A11" s="330">
        <v>79235</v>
      </c>
      <c r="B11" s="331"/>
      <c r="C11" s="88"/>
      <c r="D11" s="340">
        <v>5</v>
      </c>
      <c r="E11" s="341" t="s">
        <v>98</v>
      </c>
      <c r="F11" s="432" t="s">
        <v>688</v>
      </c>
      <c r="G11" s="433" t="s">
        <v>340</v>
      </c>
      <c r="H11" s="434" t="s">
        <v>98</v>
      </c>
      <c r="I11" s="434" t="s">
        <v>98</v>
      </c>
      <c r="J11" s="94">
        <v>0</v>
      </c>
      <c r="K11" s="433" t="s">
        <v>109</v>
      </c>
      <c r="L11" s="435">
        <v>23.4375</v>
      </c>
      <c r="M11" s="95">
        <v>1</v>
      </c>
      <c r="N11" s="96">
        <v>1.22256877668779</v>
      </c>
      <c r="O11" s="432" t="s">
        <v>1472</v>
      </c>
      <c r="Q11" s="216" t="s">
        <v>1473</v>
      </c>
      <c r="R11" s="216" t="s">
        <v>1466</v>
      </c>
      <c r="S11" s="339">
        <v>2</v>
      </c>
      <c r="T11" s="339">
        <v>3</v>
      </c>
      <c r="U11" s="339">
        <v>1</v>
      </c>
      <c r="V11" s="339">
        <v>1</v>
      </c>
      <c r="W11" s="339">
        <v>1</v>
      </c>
      <c r="X11" s="339">
        <v>5</v>
      </c>
      <c r="Y11" s="104">
        <v>3</v>
      </c>
      <c r="Z11" s="104">
        <v>1.05</v>
      </c>
      <c r="AA11" s="107">
        <v>1.21523964940916</v>
      </c>
      <c r="AB11" s="107">
        <v>1.22256877668779</v>
      </c>
      <c r="AC11" s="107" t="s">
        <v>1467</v>
      </c>
      <c r="AD11" s="108">
        <v>1.05</v>
      </c>
      <c r="AE11" s="108">
        <v>1.05</v>
      </c>
      <c r="AF11" s="108">
        <v>1</v>
      </c>
      <c r="AG11" s="108">
        <v>1</v>
      </c>
      <c r="AH11" s="108">
        <v>1</v>
      </c>
      <c r="AI11" s="108">
        <v>1.2</v>
      </c>
    </row>
    <row r="12" spans="1:35" ht="36">
      <c r="A12" s="330">
        <v>268491</v>
      </c>
      <c r="B12" s="331"/>
      <c r="C12" s="88"/>
      <c r="D12" s="340">
        <v>5</v>
      </c>
      <c r="E12" s="341" t="s">
        <v>98</v>
      </c>
      <c r="F12" s="432" t="s">
        <v>908</v>
      </c>
      <c r="G12" s="433" t="s">
        <v>93</v>
      </c>
      <c r="H12" s="434" t="s">
        <v>98</v>
      </c>
      <c r="I12" s="434" t="s">
        <v>98</v>
      </c>
      <c r="J12" s="94">
        <v>0</v>
      </c>
      <c r="K12" s="433" t="s">
        <v>96</v>
      </c>
      <c r="L12" s="435">
        <v>1.61875E-3</v>
      </c>
      <c r="M12" s="95">
        <v>1</v>
      </c>
      <c r="N12" s="96">
        <v>1.22256877668779</v>
      </c>
      <c r="O12" s="432" t="s">
        <v>1474</v>
      </c>
      <c r="Q12" s="216" t="s">
        <v>1475</v>
      </c>
      <c r="R12" s="216" t="s">
        <v>1466</v>
      </c>
      <c r="S12" s="339">
        <v>2</v>
      </c>
      <c r="T12" s="339">
        <v>3</v>
      </c>
      <c r="U12" s="339">
        <v>1</v>
      </c>
      <c r="V12" s="339">
        <v>1</v>
      </c>
      <c r="W12" s="339">
        <v>1</v>
      </c>
      <c r="X12" s="339">
        <v>5</v>
      </c>
      <c r="Y12" s="104">
        <v>3</v>
      </c>
      <c r="Z12" s="104">
        <v>1.05</v>
      </c>
      <c r="AA12" s="107">
        <v>1.21523964940916</v>
      </c>
      <c r="AB12" s="107">
        <v>1.22256877668779</v>
      </c>
      <c r="AC12" s="107" t="s">
        <v>1467</v>
      </c>
      <c r="AD12" s="108">
        <v>1.05</v>
      </c>
      <c r="AE12" s="108">
        <v>1.05</v>
      </c>
      <c r="AF12" s="108">
        <v>1</v>
      </c>
      <c r="AG12" s="108">
        <v>1</v>
      </c>
      <c r="AH12" s="108">
        <v>1</v>
      </c>
      <c r="AI12" s="108">
        <v>1.2</v>
      </c>
    </row>
    <row r="13" spans="1:35" ht="36">
      <c r="A13" s="330">
        <v>261250</v>
      </c>
      <c r="B13" s="331"/>
      <c r="C13" s="88"/>
      <c r="D13" s="340">
        <v>5</v>
      </c>
      <c r="E13" s="341" t="s">
        <v>98</v>
      </c>
      <c r="F13" s="432" t="s">
        <v>1476</v>
      </c>
      <c r="G13" s="433" t="s">
        <v>93</v>
      </c>
      <c r="H13" s="434" t="s">
        <v>98</v>
      </c>
      <c r="I13" s="434" t="s">
        <v>98</v>
      </c>
      <c r="J13" s="94">
        <v>0</v>
      </c>
      <c r="K13" s="433" t="s">
        <v>96</v>
      </c>
      <c r="L13" s="435">
        <v>3.9375E-4</v>
      </c>
      <c r="M13" s="95">
        <v>1</v>
      </c>
      <c r="N13" s="96">
        <v>1.22256877668779</v>
      </c>
      <c r="O13" s="432" t="s">
        <v>1477</v>
      </c>
      <c r="Q13" s="216" t="s">
        <v>1478</v>
      </c>
      <c r="R13" s="216" t="s">
        <v>1466</v>
      </c>
      <c r="S13" s="339">
        <v>2</v>
      </c>
      <c r="T13" s="339">
        <v>3</v>
      </c>
      <c r="U13" s="339">
        <v>1</v>
      </c>
      <c r="V13" s="339">
        <v>1</v>
      </c>
      <c r="W13" s="339">
        <v>1</v>
      </c>
      <c r="X13" s="339">
        <v>5</v>
      </c>
      <c r="Y13" s="104">
        <v>3</v>
      </c>
      <c r="Z13" s="104">
        <v>1.05</v>
      </c>
      <c r="AA13" s="107">
        <v>1.21523964940916</v>
      </c>
      <c r="AB13" s="107">
        <v>1.22256877668779</v>
      </c>
      <c r="AC13" s="107" t="s">
        <v>1467</v>
      </c>
      <c r="AD13" s="108">
        <v>1.05</v>
      </c>
      <c r="AE13" s="108">
        <v>1.05</v>
      </c>
      <c r="AF13" s="108">
        <v>1</v>
      </c>
      <c r="AG13" s="108">
        <v>1</v>
      </c>
      <c r="AH13" s="108">
        <v>1</v>
      </c>
      <c r="AI13" s="108">
        <v>1.2</v>
      </c>
    </row>
    <row r="14" spans="1:35" ht="36">
      <c r="A14" s="330">
        <v>261248</v>
      </c>
      <c r="B14" s="331"/>
      <c r="C14" s="88"/>
      <c r="D14" s="340">
        <v>5</v>
      </c>
      <c r="E14" s="341" t="s">
        <v>98</v>
      </c>
      <c r="F14" s="432" t="s">
        <v>1479</v>
      </c>
      <c r="G14" s="433" t="s">
        <v>93</v>
      </c>
      <c r="H14" s="434" t="s">
        <v>98</v>
      </c>
      <c r="I14" s="434" t="s">
        <v>98</v>
      </c>
      <c r="J14" s="94">
        <v>0</v>
      </c>
      <c r="K14" s="433" t="s">
        <v>96</v>
      </c>
      <c r="L14" s="435">
        <v>3.9375E-4</v>
      </c>
      <c r="M14" s="95">
        <v>1</v>
      </c>
      <c r="N14" s="96">
        <v>1.22256877668779</v>
      </c>
      <c r="O14" s="432" t="s">
        <v>1480</v>
      </c>
      <c r="Q14" s="216" t="s">
        <v>1481</v>
      </c>
      <c r="R14" s="216" t="s">
        <v>1466</v>
      </c>
      <c r="S14" s="339">
        <v>2</v>
      </c>
      <c r="T14" s="339">
        <v>3</v>
      </c>
      <c r="U14" s="339">
        <v>1</v>
      </c>
      <c r="V14" s="339">
        <v>1</v>
      </c>
      <c r="W14" s="339">
        <v>1</v>
      </c>
      <c r="X14" s="339">
        <v>5</v>
      </c>
      <c r="Y14" s="104">
        <v>3</v>
      </c>
      <c r="Z14" s="104">
        <v>1.05</v>
      </c>
      <c r="AA14" s="107">
        <v>1.21523964940916</v>
      </c>
      <c r="AB14" s="107">
        <v>1.22256877668779</v>
      </c>
      <c r="AC14" s="107" t="s">
        <v>1467</v>
      </c>
      <c r="AD14" s="108">
        <v>1.05</v>
      </c>
      <c r="AE14" s="108">
        <v>1.05</v>
      </c>
      <c r="AF14" s="108">
        <v>1</v>
      </c>
      <c r="AG14" s="108">
        <v>1</v>
      </c>
      <c r="AH14" s="108">
        <v>1</v>
      </c>
      <c r="AI14" s="108">
        <v>1.2</v>
      </c>
    </row>
    <row r="15" spans="1:35" ht="36">
      <c r="A15" s="330">
        <v>157699</v>
      </c>
      <c r="B15" s="331"/>
      <c r="C15" s="88"/>
      <c r="D15" s="340">
        <v>5</v>
      </c>
      <c r="E15" s="341" t="s">
        <v>98</v>
      </c>
      <c r="F15" s="432" t="s">
        <v>316</v>
      </c>
      <c r="G15" s="433" t="s">
        <v>154</v>
      </c>
      <c r="H15" s="434" t="s">
        <v>98</v>
      </c>
      <c r="I15" s="434" t="s">
        <v>98</v>
      </c>
      <c r="J15" s="94">
        <v>0</v>
      </c>
      <c r="K15" s="433" t="s">
        <v>96</v>
      </c>
      <c r="L15" s="435">
        <v>8.1249999999999996E-5</v>
      </c>
      <c r="M15" s="95">
        <v>1</v>
      </c>
      <c r="N15" s="96">
        <v>1.22256877668779</v>
      </c>
      <c r="O15" s="432" t="s">
        <v>1482</v>
      </c>
      <c r="Q15" s="216" t="s">
        <v>1483</v>
      </c>
      <c r="R15" s="216" t="s">
        <v>1466</v>
      </c>
      <c r="S15" s="339">
        <v>2</v>
      </c>
      <c r="T15" s="339">
        <v>3</v>
      </c>
      <c r="U15" s="339">
        <v>1</v>
      </c>
      <c r="V15" s="339">
        <v>1</v>
      </c>
      <c r="W15" s="339">
        <v>1</v>
      </c>
      <c r="X15" s="339">
        <v>5</v>
      </c>
      <c r="Y15" s="104">
        <v>3</v>
      </c>
      <c r="Z15" s="104">
        <v>1.05</v>
      </c>
      <c r="AA15" s="107">
        <v>1.21523964940916</v>
      </c>
      <c r="AB15" s="107">
        <v>1.22256877668779</v>
      </c>
      <c r="AC15" s="107" t="s">
        <v>1467</v>
      </c>
      <c r="AD15" s="108">
        <v>1.05</v>
      </c>
      <c r="AE15" s="108">
        <v>1.05</v>
      </c>
      <c r="AF15" s="108">
        <v>1</v>
      </c>
      <c r="AG15" s="108">
        <v>1</v>
      </c>
      <c r="AH15" s="108">
        <v>1</v>
      </c>
      <c r="AI15" s="108">
        <v>1.2</v>
      </c>
    </row>
    <row r="16" spans="1:35" ht="48">
      <c r="A16" s="330">
        <v>157699</v>
      </c>
      <c r="B16" s="331"/>
      <c r="C16" s="88"/>
      <c r="D16" s="340">
        <v>5</v>
      </c>
      <c r="E16" s="341" t="s">
        <v>98</v>
      </c>
      <c r="F16" s="432" t="s">
        <v>316</v>
      </c>
      <c r="G16" s="433" t="s">
        <v>154</v>
      </c>
      <c r="H16" s="434" t="s">
        <v>98</v>
      </c>
      <c r="I16" s="434" t="s">
        <v>98</v>
      </c>
      <c r="J16" s="94">
        <v>0</v>
      </c>
      <c r="K16" s="433" t="s">
        <v>96</v>
      </c>
      <c r="L16" s="435">
        <v>3.81875E-5</v>
      </c>
      <c r="M16" s="95">
        <v>1</v>
      </c>
      <c r="N16" s="96">
        <v>1.22256877668779</v>
      </c>
      <c r="O16" s="432" t="s">
        <v>1484</v>
      </c>
      <c r="Q16" s="216" t="s">
        <v>1485</v>
      </c>
      <c r="R16" s="216" t="s">
        <v>1466</v>
      </c>
      <c r="S16" s="339">
        <v>2</v>
      </c>
      <c r="T16" s="339">
        <v>3</v>
      </c>
      <c r="U16" s="339">
        <v>1</v>
      </c>
      <c r="V16" s="339">
        <v>1</v>
      </c>
      <c r="W16" s="339">
        <v>1</v>
      </c>
      <c r="X16" s="339">
        <v>5</v>
      </c>
      <c r="Y16" s="104">
        <v>3</v>
      </c>
      <c r="Z16" s="104">
        <v>1.05</v>
      </c>
      <c r="AA16" s="107">
        <v>1.21523964940916</v>
      </c>
      <c r="AB16" s="107">
        <v>1.22256877668779</v>
      </c>
      <c r="AC16" s="107" t="s">
        <v>1467</v>
      </c>
      <c r="AD16" s="108">
        <v>1.05</v>
      </c>
      <c r="AE16" s="108">
        <v>1.05</v>
      </c>
      <c r="AF16" s="108">
        <v>1</v>
      </c>
      <c r="AG16" s="108">
        <v>1</v>
      </c>
      <c r="AH16" s="108">
        <v>1</v>
      </c>
      <c r="AI16" s="108">
        <v>1.2</v>
      </c>
    </row>
    <row r="17" spans="1:35" ht="36">
      <c r="A17" s="330">
        <v>266175</v>
      </c>
      <c r="B17" s="331"/>
      <c r="C17" s="88"/>
      <c r="D17" s="340">
        <v>5</v>
      </c>
      <c r="E17" s="341" t="s">
        <v>98</v>
      </c>
      <c r="F17" s="432" t="s">
        <v>1058</v>
      </c>
      <c r="G17" s="433" t="s">
        <v>154</v>
      </c>
      <c r="H17" s="434" t="s">
        <v>98</v>
      </c>
      <c r="I17" s="434" t="s">
        <v>98</v>
      </c>
      <c r="J17" s="94">
        <v>0</v>
      </c>
      <c r="K17" s="433" t="s">
        <v>96</v>
      </c>
      <c r="L17" s="435">
        <v>0.42375000000000002</v>
      </c>
      <c r="M17" s="95">
        <v>1</v>
      </c>
      <c r="N17" s="96">
        <v>1.22256877668779</v>
      </c>
      <c r="O17" s="432" t="s">
        <v>1486</v>
      </c>
      <c r="Q17" s="216" t="s">
        <v>1487</v>
      </c>
      <c r="R17" s="216" t="s">
        <v>1466</v>
      </c>
      <c r="S17" s="339">
        <v>2</v>
      </c>
      <c r="T17" s="339">
        <v>3</v>
      </c>
      <c r="U17" s="339">
        <v>1</v>
      </c>
      <c r="V17" s="339">
        <v>1</v>
      </c>
      <c r="W17" s="339">
        <v>1</v>
      </c>
      <c r="X17" s="339">
        <v>5</v>
      </c>
      <c r="Y17" s="104">
        <v>3</v>
      </c>
      <c r="Z17" s="104">
        <v>1.05</v>
      </c>
      <c r="AA17" s="107">
        <v>1.21523964940916</v>
      </c>
      <c r="AB17" s="107">
        <v>1.22256877668779</v>
      </c>
      <c r="AC17" s="107" t="s">
        <v>1467</v>
      </c>
      <c r="AD17" s="108">
        <v>1.05</v>
      </c>
      <c r="AE17" s="108">
        <v>1.05</v>
      </c>
      <c r="AF17" s="108">
        <v>1</v>
      </c>
      <c r="AG17" s="108">
        <v>1</v>
      </c>
      <c r="AH17" s="108">
        <v>1</v>
      </c>
      <c r="AI17" s="108">
        <v>1.2</v>
      </c>
    </row>
    <row r="18" spans="1:35" ht="36">
      <c r="A18" s="330">
        <v>266175</v>
      </c>
      <c r="B18" s="331"/>
      <c r="C18" s="88"/>
      <c r="D18" s="340">
        <v>5</v>
      </c>
      <c r="E18" s="341" t="s">
        <v>98</v>
      </c>
      <c r="F18" s="432" t="s">
        <v>1058</v>
      </c>
      <c r="G18" s="433" t="s">
        <v>154</v>
      </c>
      <c r="H18" s="434" t="s">
        <v>98</v>
      </c>
      <c r="I18" s="434" t="s">
        <v>98</v>
      </c>
      <c r="J18" s="94">
        <v>0</v>
      </c>
      <c r="K18" s="433" t="s">
        <v>96</v>
      </c>
      <c r="L18" s="435">
        <v>3.9375E-2</v>
      </c>
      <c r="M18" s="95">
        <v>1</v>
      </c>
      <c r="N18" s="96">
        <v>1.22256877668779</v>
      </c>
      <c r="O18" s="432" t="s">
        <v>1488</v>
      </c>
      <c r="Q18" s="216" t="s">
        <v>1489</v>
      </c>
      <c r="R18" s="216" t="s">
        <v>1466</v>
      </c>
      <c r="S18" s="339">
        <v>2</v>
      </c>
      <c r="T18" s="339">
        <v>3</v>
      </c>
      <c r="U18" s="339">
        <v>1</v>
      </c>
      <c r="V18" s="339">
        <v>1</v>
      </c>
      <c r="W18" s="339">
        <v>1</v>
      </c>
      <c r="X18" s="339">
        <v>5</v>
      </c>
      <c r="Y18" s="104">
        <v>3</v>
      </c>
      <c r="Z18" s="104">
        <v>1.05</v>
      </c>
      <c r="AA18" s="107">
        <v>1.21523964940916</v>
      </c>
      <c r="AB18" s="107">
        <v>1.22256877668779</v>
      </c>
      <c r="AC18" s="107" t="s">
        <v>1467</v>
      </c>
      <c r="AD18" s="108">
        <v>1.05</v>
      </c>
      <c r="AE18" s="108">
        <v>1.05</v>
      </c>
      <c r="AF18" s="108">
        <v>1</v>
      </c>
      <c r="AG18" s="108">
        <v>1</v>
      </c>
      <c r="AH18" s="108">
        <v>1</v>
      </c>
      <c r="AI18" s="108">
        <v>1.2</v>
      </c>
    </row>
    <row r="19" spans="1:35" ht="36">
      <c r="A19" s="330">
        <v>269121</v>
      </c>
      <c r="B19" s="331"/>
      <c r="C19" s="88"/>
      <c r="D19" s="340">
        <v>5</v>
      </c>
      <c r="E19" s="341" t="s">
        <v>98</v>
      </c>
      <c r="F19" s="432" t="s">
        <v>1490</v>
      </c>
      <c r="G19" s="433" t="s">
        <v>93</v>
      </c>
      <c r="H19" s="434" t="s">
        <v>98</v>
      </c>
      <c r="I19" s="434" t="s">
        <v>98</v>
      </c>
      <c r="J19" s="94">
        <v>0</v>
      </c>
      <c r="K19" s="433" t="s">
        <v>96</v>
      </c>
      <c r="L19" s="435">
        <v>7.4999999999999997E-3</v>
      </c>
      <c r="M19" s="95">
        <v>1</v>
      </c>
      <c r="N19" s="96">
        <v>1.22256877668779</v>
      </c>
      <c r="O19" s="432" t="s">
        <v>1491</v>
      </c>
      <c r="Q19" s="216" t="s">
        <v>1492</v>
      </c>
      <c r="R19" s="216" t="s">
        <v>1466</v>
      </c>
      <c r="S19" s="339">
        <v>2</v>
      </c>
      <c r="T19" s="339">
        <v>3</v>
      </c>
      <c r="U19" s="339">
        <v>1</v>
      </c>
      <c r="V19" s="339">
        <v>1</v>
      </c>
      <c r="W19" s="339">
        <v>1</v>
      </c>
      <c r="X19" s="339">
        <v>5</v>
      </c>
      <c r="Y19" s="104">
        <v>3</v>
      </c>
      <c r="Z19" s="104">
        <v>1.05</v>
      </c>
      <c r="AA19" s="107">
        <v>1.21523964940916</v>
      </c>
      <c r="AB19" s="107">
        <v>1.22256877668779</v>
      </c>
      <c r="AC19" s="107" t="s">
        <v>1467</v>
      </c>
      <c r="AD19" s="108">
        <v>1.05</v>
      </c>
      <c r="AE19" s="108">
        <v>1.05</v>
      </c>
      <c r="AF19" s="108">
        <v>1</v>
      </c>
      <c r="AG19" s="108">
        <v>1</v>
      </c>
      <c r="AH19" s="108">
        <v>1</v>
      </c>
      <c r="AI19" s="108">
        <v>1.2</v>
      </c>
    </row>
    <row r="20" spans="1:35" ht="36">
      <c r="A20" s="330">
        <v>269093</v>
      </c>
      <c r="B20" s="331"/>
      <c r="C20" s="88"/>
      <c r="D20" s="340">
        <v>5</v>
      </c>
      <c r="E20" s="341" t="s">
        <v>98</v>
      </c>
      <c r="F20" s="432" t="s">
        <v>1180</v>
      </c>
      <c r="G20" s="433" t="s">
        <v>93</v>
      </c>
      <c r="H20" s="434" t="s">
        <v>98</v>
      </c>
      <c r="I20" s="434" t="s">
        <v>98</v>
      </c>
      <c r="J20" s="94">
        <v>0</v>
      </c>
      <c r="K20" s="433" t="s">
        <v>96</v>
      </c>
      <c r="L20" s="435">
        <v>7.4999999999999997E-3</v>
      </c>
      <c r="M20" s="95">
        <v>1</v>
      </c>
      <c r="N20" s="96">
        <v>1.22256877668779</v>
      </c>
      <c r="O20" s="432" t="s">
        <v>1491</v>
      </c>
      <c r="Q20" s="216" t="s">
        <v>1492</v>
      </c>
      <c r="R20" s="216" t="s">
        <v>1466</v>
      </c>
      <c r="S20" s="339">
        <v>2</v>
      </c>
      <c r="T20" s="339">
        <v>3</v>
      </c>
      <c r="U20" s="339">
        <v>1</v>
      </c>
      <c r="V20" s="339">
        <v>1</v>
      </c>
      <c r="W20" s="339">
        <v>1</v>
      </c>
      <c r="X20" s="339">
        <v>5</v>
      </c>
      <c r="Y20" s="104">
        <v>3</v>
      </c>
      <c r="Z20" s="104">
        <v>1.05</v>
      </c>
      <c r="AA20" s="107">
        <v>1.21523964940916</v>
      </c>
      <c r="AB20" s="107">
        <v>1.22256877668779</v>
      </c>
      <c r="AC20" s="107" t="s">
        <v>1467</v>
      </c>
      <c r="AD20" s="108">
        <v>1.05</v>
      </c>
      <c r="AE20" s="108">
        <v>1.05</v>
      </c>
      <c r="AF20" s="108">
        <v>1</v>
      </c>
      <c r="AG20" s="108">
        <v>1</v>
      </c>
      <c r="AH20" s="108">
        <v>1</v>
      </c>
      <c r="AI20" s="108">
        <v>1.2</v>
      </c>
    </row>
    <row r="21" spans="1:35" ht="96">
      <c r="A21" s="330">
        <v>266451</v>
      </c>
      <c r="B21" s="331"/>
      <c r="C21" s="88"/>
      <c r="D21" s="340">
        <v>5</v>
      </c>
      <c r="E21" s="341" t="s">
        <v>98</v>
      </c>
      <c r="F21" s="432" t="s">
        <v>906</v>
      </c>
      <c r="G21" s="433" t="s">
        <v>93</v>
      </c>
      <c r="H21" s="434" t="s">
        <v>98</v>
      </c>
      <c r="I21" s="434" t="s">
        <v>98</v>
      </c>
      <c r="J21" s="94">
        <v>0</v>
      </c>
      <c r="K21" s="433" t="s">
        <v>96</v>
      </c>
      <c r="L21" s="435">
        <v>3.5209375000000002E-3</v>
      </c>
      <c r="M21" s="95">
        <v>1</v>
      </c>
      <c r="N21" s="96">
        <v>1.22256877668779</v>
      </c>
      <c r="O21" s="432" t="s">
        <v>1493</v>
      </c>
      <c r="Q21" s="216" t="s">
        <v>1494</v>
      </c>
      <c r="R21" s="216" t="s">
        <v>1466</v>
      </c>
      <c r="S21" s="339">
        <v>2</v>
      </c>
      <c r="T21" s="339">
        <v>3</v>
      </c>
      <c r="U21" s="339">
        <v>1</v>
      </c>
      <c r="V21" s="339">
        <v>1</v>
      </c>
      <c r="W21" s="339">
        <v>1</v>
      </c>
      <c r="X21" s="339">
        <v>5</v>
      </c>
      <c r="Y21" s="104">
        <v>3</v>
      </c>
      <c r="Z21" s="104">
        <v>1.05</v>
      </c>
      <c r="AA21" s="107">
        <v>1.21523964940916</v>
      </c>
      <c r="AB21" s="107">
        <v>1.22256877668779</v>
      </c>
      <c r="AC21" s="107" t="s">
        <v>1467</v>
      </c>
      <c r="AD21" s="108">
        <v>1.05</v>
      </c>
      <c r="AE21" s="108">
        <v>1.05</v>
      </c>
      <c r="AF21" s="108">
        <v>1</v>
      </c>
      <c r="AG21" s="108">
        <v>1</v>
      </c>
      <c r="AH21" s="108">
        <v>1</v>
      </c>
      <c r="AI21" s="108">
        <v>1.2</v>
      </c>
    </row>
    <row r="22" spans="1:35" ht="96">
      <c r="A22" s="330">
        <v>263583</v>
      </c>
      <c r="B22" s="331"/>
      <c r="C22" s="88"/>
      <c r="D22" s="340">
        <v>5</v>
      </c>
      <c r="E22" s="341" t="s">
        <v>98</v>
      </c>
      <c r="F22" s="432" t="s">
        <v>1495</v>
      </c>
      <c r="G22" s="433" t="s">
        <v>93</v>
      </c>
      <c r="H22" s="434" t="s">
        <v>98</v>
      </c>
      <c r="I22" s="434" t="s">
        <v>98</v>
      </c>
      <c r="J22" s="94">
        <v>0</v>
      </c>
      <c r="K22" s="433" t="s">
        <v>96</v>
      </c>
      <c r="L22" s="435">
        <v>9.2656250000000006E-5</v>
      </c>
      <c r="M22" s="95">
        <v>1</v>
      </c>
      <c r="N22" s="96">
        <v>1.22256877668779</v>
      </c>
      <c r="O22" s="432" t="s">
        <v>1493</v>
      </c>
      <c r="Q22" s="216" t="s">
        <v>1494</v>
      </c>
      <c r="R22" s="216" t="s">
        <v>1466</v>
      </c>
      <c r="S22" s="339">
        <v>2</v>
      </c>
      <c r="T22" s="339">
        <v>3</v>
      </c>
      <c r="U22" s="339">
        <v>1</v>
      </c>
      <c r="V22" s="339">
        <v>1</v>
      </c>
      <c r="W22" s="339">
        <v>1</v>
      </c>
      <c r="X22" s="339">
        <v>5</v>
      </c>
      <c r="Y22" s="104">
        <v>3</v>
      </c>
      <c r="Z22" s="104">
        <v>1.05</v>
      </c>
      <c r="AA22" s="107">
        <v>1.21523964940916</v>
      </c>
      <c r="AB22" s="107">
        <v>1.22256877668779</v>
      </c>
      <c r="AC22" s="107" t="s">
        <v>1467</v>
      </c>
      <c r="AD22" s="108">
        <v>1.05</v>
      </c>
      <c r="AE22" s="108">
        <v>1.05</v>
      </c>
      <c r="AF22" s="108">
        <v>1</v>
      </c>
      <c r="AG22" s="108">
        <v>1</v>
      </c>
      <c r="AH22" s="108">
        <v>1</v>
      </c>
      <c r="AI22" s="108">
        <v>1.2</v>
      </c>
    </row>
    <row r="23" spans="1:35" ht="96">
      <c r="A23" s="330">
        <v>268383</v>
      </c>
      <c r="B23" s="331"/>
      <c r="C23" s="88"/>
      <c r="D23" s="340">
        <v>5</v>
      </c>
      <c r="E23" s="341" t="s">
        <v>98</v>
      </c>
      <c r="F23" s="432" t="s">
        <v>824</v>
      </c>
      <c r="G23" s="433" t="s">
        <v>93</v>
      </c>
      <c r="H23" s="434" t="s">
        <v>98</v>
      </c>
      <c r="I23" s="434" t="s">
        <v>98</v>
      </c>
      <c r="J23" s="94">
        <v>0</v>
      </c>
      <c r="K23" s="433" t="s">
        <v>96</v>
      </c>
      <c r="L23" s="435">
        <v>9.2656250000000006E-5</v>
      </c>
      <c r="M23" s="95">
        <v>1</v>
      </c>
      <c r="N23" s="96">
        <v>1.22256877668779</v>
      </c>
      <c r="O23" s="432" t="s">
        <v>1493</v>
      </c>
      <c r="Q23" s="216" t="s">
        <v>1494</v>
      </c>
      <c r="R23" s="216" t="s">
        <v>1466</v>
      </c>
      <c r="S23" s="339">
        <v>2</v>
      </c>
      <c r="T23" s="339">
        <v>3</v>
      </c>
      <c r="U23" s="339">
        <v>1</v>
      </c>
      <c r="V23" s="339">
        <v>1</v>
      </c>
      <c r="W23" s="339">
        <v>1</v>
      </c>
      <c r="X23" s="339">
        <v>5</v>
      </c>
      <c r="Y23" s="104">
        <v>3</v>
      </c>
      <c r="Z23" s="104">
        <v>1.05</v>
      </c>
      <c r="AA23" s="107">
        <v>1.21523964940916</v>
      </c>
      <c r="AB23" s="107">
        <v>1.22256877668779</v>
      </c>
      <c r="AC23" s="107" t="s">
        <v>1467</v>
      </c>
      <c r="AD23" s="108">
        <v>1.05</v>
      </c>
      <c r="AE23" s="108">
        <v>1.05</v>
      </c>
      <c r="AF23" s="108">
        <v>1</v>
      </c>
      <c r="AG23" s="108">
        <v>1</v>
      </c>
      <c r="AH23" s="108">
        <v>1</v>
      </c>
      <c r="AI23" s="108">
        <v>1.2</v>
      </c>
    </row>
    <row r="24" spans="1:35" ht="96">
      <c r="A24" s="330">
        <v>265553</v>
      </c>
      <c r="B24" s="331"/>
      <c r="C24" s="88"/>
      <c r="D24" s="340">
        <v>5</v>
      </c>
      <c r="E24" s="341" t="s">
        <v>98</v>
      </c>
      <c r="F24" s="432" t="s">
        <v>1496</v>
      </c>
      <c r="G24" s="433" t="s">
        <v>93</v>
      </c>
      <c r="H24" s="434" t="s">
        <v>98</v>
      </c>
      <c r="I24" s="434" t="s">
        <v>98</v>
      </c>
      <c r="J24" s="94">
        <v>0</v>
      </c>
      <c r="K24" s="433" t="s">
        <v>96</v>
      </c>
      <c r="L24" s="435">
        <v>3.7062500000000002E-4</v>
      </c>
      <c r="M24" s="95">
        <v>1</v>
      </c>
      <c r="N24" s="96">
        <v>1.22256877668779</v>
      </c>
      <c r="O24" s="432" t="s">
        <v>1493</v>
      </c>
      <c r="Q24" s="216" t="s">
        <v>1494</v>
      </c>
      <c r="R24" s="216" t="s">
        <v>1466</v>
      </c>
      <c r="S24" s="339">
        <v>2</v>
      </c>
      <c r="T24" s="339">
        <v>3</v>
      </c>
      <c r="U24" s="339">
        <v>1</v>
      </c>
      <c r="V24" s="339">
        <v>1</v>
      </c>
      <c r="W24" s="339">
        <v>1</v>
      </c>
      <c r="X24" s="339">
        <v>5</v>
      </c>
      <c r="Y24" s="104">
        <v>3</v>
      </c>
      <c r="Z24" s="104">
        <v>1.05</v>
      </c>
      <c r="AA24" s="107">
        <v>1.21523964940916</v>
      </c>
      <c r="AB24" s="107">
        <v>1.22256877668779</v>
      </c>
      <c r="AC24" s="107" t="s">
        <v>1467</v>
      </c>
      <c r="AD24" s="108">
        <v>1.05</v>
      </c>
      <c r="AE24" s="108">
        <v>1.05</v>
      </c>
      <c r="AF24" s="108">
        <v>1</v>
      </c>
      <c r="AG24" s="108">
        <v>1</v>
      </c>
      <c r="AH24" s="108">
        <v>1</v>
      </c>
      <c r="AI24" s="108">
        <v>1.2</v>
      </c>
    </row>
    <row r="25" spans="1:35" ht="36">
      <c r="A25" s="330">
        <v>266181</v>
      </c>
      <c r="B25" s="331"/>
      <c r="C25" s="88"/>
      <c r="D25" s="340">
        <v>5</v>
      </c>
      <c r="E25" s="341" t="s">
        <v>98</v>
      </c>
      <c r="F25" s="432" t="s">
        <v>903</v>
      </c>
      <c r="G25" s="433" t="s">
        <v>93</v>
      </c>
      <c r="H25" s="434" t="s">
        <v>98</v>
      </c>
      <c r="I25" s="434" t="s">
        <v>98</v>
      </c>
      <c r="J25" s="94">
        <v>0</v>
      </c>
      <c r="K25" s="433" t="s">
        <v>96</v>
      </c>
      <c r="L25" s="435">
        <v>9.3749999999999997E-3</v>
      </c>
      <c r="M25" s="95">
        <v>1</v>
      </c>
      <c r="N25" s="96">
        <v>1.22256877668779</v>
      </c>
      <c r="O25" s="432" t="s">
        <v>1497</v>
      </c>
      <c r="Q25" s="216" t="s">
        <v>1498</v>
      </c>
      <c r="R25" s="216" t="s">
        <v>1466</v>
      </c>
      <c r="S25" s="339">
        <v>2</v>
      </c>
      <c r="T25" s="339">
        <v>3</v>
      </c>
      <c r="U25" s="339">
        <v>1</v>
      </c>
      <c r="V25" s="339">
        <v>1</v>
      </c>
      <c r="W25" s="339">
        <v>1</v>
      </c>
      <c r="X25" s="339">
        <v>5</v>
      </c>
      <c r="Y25" s="104">
        <v>3</v>
      </c>
      <c r="Z25" s="104">
        <v>1.05</v>
      </c>
      <c r="AA25" s="107">
        <v>1.21523964940916</v>
      </c>
      <c r="AB25" s="107">
        <v>1.22256877668779</v>
      </c>
      <c r="AC25" s="107" t="s">
        <v>1467</v>
      </c>
      <c r="AD25" s="108">
        <v>1.05</v>
      </c>
      <c r="AE25" s="108">
        <v>1.05</v>
      </c>
      <c r="AF25" s="108">
        <v>1</v>
      </c>
      <c r="AG25" s="108">
        <v>1</v>
      </c>
      <c r="AH25" s="108">
        <v>1</v>
      </c>
      <c r="AI25" s="108">
        <v>1.2</v>
      </c>
    </row>
    <row r="26" spans="1:35" ht="36">
      <c r="A26" s="330">
        <v>269103</v>
      </c>
      <c r="B26" s="331"/>
      <c r="C26" s="88"/>
      <c r="D26" s="340">
        <v>5</v>
      </c>
      <c r="E26" s="341" t="s">
        <v>98</v>
      </c>
      <c r="F26" s="432" t="s">
        <v>1183</v>
      </c>
      <c r="G26" s="433" t="s">
        <v>93</v>
      </c>
      <c r="H26" s="434" t="s">
        <v>98</v>
      </c>
      <c r="I26" s="434" t="s">
        <v>98</v>
      </c>
      <c r="J26" s="94">
        <v>0</v>
      </c>
      <c r="K26" s="433" t="s">
        <v>96</v>
      </c>
      <c r="L26" s="435">
        <v>8.125</v>
      </c>
      <c r="M26" s="95">
        <v>1</v>
      </c>
      <c r="N26" s="96">
        <v>1.22256877668779</v>
      </c>
      <c r="O26" s="432" t="s">
        <v>1499</v>
      </c>
      <c r="Q26" s="216" t="s">
        <v>1500</v>
      </c>
      <c r="R26" s="216" t="s">
        <v>1466</v>
      </c>
      <c r="S26" s="339">
        <v>2</v>
      </c>
      <c r="T26" s="339">
        <v>3</v>
      </c>
      <c r="U26" s="339">
        <v>1</v>
      </c>
      <c r="V26" s="339">
        <v>1</v>
      </c>
      <c r="W26" s="339">
        <v>1</v>
      </c>
      <c r="X26" s="339">
        <v>5</v>
      </c>
      <c r="Y26" s="104">
        <v>3</v>
      </c>
      <c r="Z26" s="104">
        <v>1.05</v>
      </c>
      <c r="AA26" s="107">
        <v>1.21523964940916</v>
      </c>
      <c r="AB26" s="107">
        <v>1.22256877668779</v>
      </c>
      <c r="AC26" s="107" t="s">
        <v>1467</v>
      </c>
      <c r="AD26" s="108">
        <v>1.05</v>
      </c>
      <c r="AE26" s="108">
        <v>1.05</v>
      </c>
      <c r="AF26" s="108">
        <v>1</v>
      </c>
      <c r="AG26" s="108">
        <v>1</v>
      </c>
      <c r="AH26" s="108">
        <v>1</v>
      </c>
      <c r="AI26" s="108">
        <v>1.2</v>
      </c>
    </row>
    <row r="27" spans="1:35" ht="36">
      <c r="A27" s="330">
        <v>269341</v>
      </c>
      <c r="B27" s="331"/>
      <c r="C27" s="88"/>
      <c r="D27" s="340">
        <v>5</v>
      </c>
      <c r="E27" s="341" t="s">
        <v>98</v>
      </c>
      <c r="F27" s="432" t="s">
        <v>1196</v>
      </c>
      <c r="G27" s="433" t="s">
        <v>93</v>
      </c>
      <c r="H27" s="434" t="s">
        <v>98</v>
      </c>
      <c r="I27" s="434" t="s">
        <v>98</v>
      </c>
      <c r="J27" s="94">
        <v>0</v>
      </c>
      <c r="K27" s="433" t="s">
        <v>96</v>
      </c>
      <c r="L27" s="435">
        <v>8</v>
      </c>
      <c r="M27" s="95">
        <v>1</v>
      </c>
      <c r="N27" s="96">
        <v>1.22256877668779</v>
      </c>
      <c r="O27" s="432" t="s">
        <v>1501</v>
      </c>
      <c r="Q27" s="216" t="s">
        <v>1502</v>
      </c>
      <c r="R27" s="216" t="s">
        <v>1466</v>
      </c>
      <c r="S27" s="339">
        <v>2</v>
      </c>
      <c r="T27" s="339">
        <v>3</v>
      </c>
      <c r="U27" s="339">
        <v>1</v>
      </c>
      <c r="V27" s="339">
        <v>1</v>
      </c>
      <c r="W27" s="339">
        <v>1</v>
      </c>
      <c r="X27" s="339">
        <v>5</v>
      </c>
      <c r="Y27" s="104">
        <v>3</v>
      </c>
      <c r="Z27" s="104">
        <v>1.05</v>
      </c>
      <c r="AA27" s="107">
        <v>1.21523964940916</v>
      </c>
      <c r="AB27" s="107">
        <v>1.22256877668779</v>
      </c>
      <c r="AC27" s="107" t="s">
        <v>1467</v>
      </c>
      <c r="AD27" s="108">
        <v>1.05</v>
      </c>
      <c r="AE27" s="108">
        <v>1.05</v>
      </c>
      <c r="AF27" s="108">
        <v>1</v>
      </c>
      <c r="AG27" s="108">
        <v>1</v>
      </c>
      <c r="AH27" s="108">
        <v>1</v>
      </c>
      <c r="AI27" s="108">
        <v>1.2</v>
      </c>
    </row>
    <row r="28" spans="1:35" ht="36">
      <c r="A28" s="330">
        <v>269091</v>
      </c>
      <c r="B28" s="331"/>
      <c r="C28" s="88"/>
      <c r="D28" s="340">
        <v>5</v>
      </c>
      <c r="E28" s="341" t="s">
        <v>98</v>
      </c>
      <c r="F28" s="432" t="s">
        <v>1397</v>
      </c>
      <c r="G28" s="433" t="s">
        <v>93</v>
      </c>
      <c r="H28" s="434" t="s">
        <v>98</v>
      </c>
      <c r="I28" s="434" t="s">
        <v>98</v>
      </c>
      <c r="J28" s="94">
        <v>0</v>
      </c>
      <c r="K28" s="433" t="s">
        <v>96</v>
      </c>
      <c r="L28" s="435">
        <v>5.0750000000000002</v>
      </c>
      <c r="M28" s="95">
        <v>1</v>
      </c>
      <c r="N28" s="96">
        <v>1.22256877668779</v>
      </c>
      <c r="O28" s="432" t="s">
        <v>1503</v>
      </c>
      <c r="Q28" s="216" t="s">
        <v>1504</v>
      </c>
      <c r="R28" s="216" t="s">
        <v>1466</v>
      </c>
      <c r="S28" s="339">
        <v>2</v>
      </c>
      <c r="T28" s="339">
        <v>3</v>
      </c>
      <c r="U28" s="339">
        <v>1</v>
      </c>
      <c r="V28" s="339">
        <v>1</v>
      </c>
      <c r="W28" s="339">
        <v>1</v>
      </c>
      <c r="X28" s="339">
        <v>5</v>
      </c>
      <c r="Y28" s="104">
        <v>3</v>
      </c>
      <c r="Z28" s="104">
        <v>1.05</v>
      </c>
      <c r="AA28" s="107">
        <v>1.21523964940916</v>
      </c>
      <c r="AB28" s="107">
        <v>1.22256877668779</v>
      </c>
      <c r="AC28" s="107" t="s">
        <v>1467</v>
      </c>
      <c r="AD28" s="108">
        <v>1.05</v>
      </c>
      <c r="AE28" s="108">
        <v>1.05</v>
      </c>
      <c r="AF28" s="108">
        <v>1</v>
      </c>
      <c r="AG28" s="108">
        <v>1</v>
      </c>
      <c r="AH28" s="108">
        <v>1</v>
      </c>
      <c r="AI28" s="108">
        <v>1.2</v>
      </c>
    </row>
    <row r="29" spans="1:35" ht="36">
      <c r="A29" s="330">
        <v>268437</v>
      </c>
      <c r="B29" s="331"/>
      <c r="C29" s="88"/>
      <c r="D29" s="340">
        <v>5</v>
      </c>
      <c r="E29" s="341" t="s">
        <v>98</v>
      </c>
      <c r="F29" s="432" t="s">
        <v>1188</v>
      </c>
      <c r="G29" s="433" t="s">
        <v>93</v>
      </c>
      <c r="H29" s="434" t="s">
        <v>98</v>
      </c>
      <c r="I29" s="434" t="s">
        <v>98</v>
      </c>
      <c r="J29" s="94">
        <v>0</v>
      </c>
      <c r="K29" s="433" t="s">
        <v>96</v>
      </c>
      <c r="L29" s="435">
        <v>0.97499999999999998</v>
      </c>
      <c r="M29" s="95">
        <v>1</v>
      </c>
      <c r="N29" s="96">
        <v>1.22256877668779</v>
      </c>
      <c r="O29" s="432" t="s">
        <v>1505</v>
      </c>
      <c r="Q29" s="216" t="s">
        <v>1506</v>
      </c>
      <c r="R29" s="216" t="s">
        <v>1466</v>
      </c>
      <c r="S29" s="339">
        <v>2</v>
      </c>
      <c r="T29" s="339">
        <v>3</v>
      </c>
      <c r="U29" s="339">
        <v>1</v>
      </c>
      <c r="V29" s="339">
        <v>1</v>
      </c>
      <c r="W29" s="339">
        <v>1</v>
      </c>
      <c r="X29" s="339">
        <v>5</v>
      </c>
      <c r="Y29" s="104">
        <v>3</v>
      </c>
      <c r="Z29" s="104">
        <v>1.05</v>
      </c>
      <c r="AA29" s="107">
        <v>1.21523964940916</v>
      </c>
      <c r="AB29" s="107">
        <v>1.22256877668779</v>
      </c>
      <c r="AC29" s="107" t="s">
        <v>1467</v>
      </c>
      <c r="AD29" s="108">
        <v>1.05</v>
      </c>
      <c r="AE29" s="108">
        <v>1.05</v>
      </c>
      <c r="AF29" s="108">
        <v>1</v>
      </c>
      <c r="AG29" s="108">
        <v>1</v>
      </c>
      <c r="AH29" s="108">
        <v>1</v>
      </c>
      <c r="AI29" s="108">
        <v>1.2</v>
      </c>
    </row>
    <row r="30" spans="1:35" ht="36">
      <c r="A30" s="330">
        <v>160379</v>
      </c>
      <c r="B30" s="331"/>
      <c r="C30" s="88"/>
      <c r="D30" s="340">
        <v>5</v>
      </c>
      <c r="E30" s="341" t="s">
        <v>98</v>
      </c>
      <c r="F30" s="432" t="s">
        <v>1174</v>
      </c>
      <c r="G30" s="433" t="s">
        <v>93</v>
      </c>
      <c r="H30" s="434" t="s">
        <v>98</v>
      </c>
      <c r="I30" s="434" t="s">
        <v>98</v>
      </c>
      <c r="J30" s="94">
        <v>0</v>
      </c>
      <c r="K30" s="433" t="s">
        <v>96</v>
      </c>
      <c r="L30" s="435">
        <v>0.10249999999999999</v>
      </c>
      <c r="M30" s="95">
        <v>1</v>
      </c>
      <c r="N30" s="96">
        <v>1.22256877668779</v>
      </c>
      <c r="O30" s="432" t="s">
        <v>1507</v>
      </c>
      <c r="Q30" s="216" t="s">
        <v>1508</v>
      </c>
      <c r="R30" s="216" t="s">
        <v>1466</v>
      </c>
      <c r="S30" s="339">
        <v>2</v>
      </c>
      <c r="T30" s="339">
        <v>3</v>
      </c>
      <c r="U30" s="339">
        <v>1</v>
      </c>
      <c r="V30" s="339">
        <v>1</v>
      </c>
      <c r="W30" s="339">
        <v>1</v>
      </c>
      <c r="X30" s="339">
        <v>5</v>
      </c>
      <c r="Y30" s="104">
        <v>3</v>
      </c>
      <c r="Z30" s="104">
        <v>1.05</v>
      </c>
      <c r="AA30" s="107">
        <v>1.21523964940916</v>
      </c>
      <c r="AB30" s="107">
        <v>1.22256877668779</v>
      </c>
      <c r="AC30" s="107" t="s">
        <v>1467</v>
      </c>
      <c r="AD30" s="108">
        <v>1.05</v>
      </c>
      <c r="AE30" s="108">
        <v>1.05</v>
      </c>
      <c r="AF30" s="108">
        <v>1</v>
      </c>
      <c r="AG30" s="108">
        <v>1</v>
      </c>
      <c r="AH30" s="108">
        <v>1</v>
      </c>
      <c r="AI30" s="108">
        <v>1.2</v>
      </c>
    </row>
    <row r="31" spans="1:35" ht="36">
      <c r="A31" s="330">
        <v>269435</v>
      </c>
      <c r="B31" s="331"/>
      <c r="C31" s="88"/>
      <c r="D31" s="340">
        <v>5</v>
      </c>
      <c r="E31" s="341" t="s">
        <v>98</v>
      </c>
      <c r="F31" s="432" t="s">
        <v>1194</v>
      </c>
      <c r="G31" s="433" t="s">
        <v>93</v>
      </c>
      <c r="H31" s="434" t="s">
        <v>98</v>
      </c>
      <c r="I31" s="434" t="s">
        <v>98</v>
      </c>
      <c r="J31" s="94">
        <v>0</v>
      </c>
      <c r="K31" s="433" t="s">
        <v>96</v>
      </c>
      <c r="L31" s="435">
        <v>0.10249999999999999</v>
      </c>
      <c r="M31" s="95">
        <v>1</v>
      </c>
      <c r="N31" s="96">
        <v>1.22256877668779</v>
      </c>
      <c r="O31" s="432" t="s">
        <v>1507</v>
      </c>
      <c r="Q31" s="216" t="s">
        <v>1508</v>
      </c>
      <c r="R31" s="216" t="s">
        <v>1466</v>
      </c>
      <c r="S31" s="339">
        <v>2</v>
      </c>
      <c r="T31" s="339">
        <v>3</v>
      </c>
      <c r="U31" s="339">
        <v>1</v>
      </c>
      <c r="V31" s="339">
        <v>1</v>
      </c>
      <c r="W31" s="339">
        <v>1</v>
      </c>
      <c r="X31" s="339">
        <v>5</v>
      </c>
      <c r="Y31" s="104">
        <v>3</v>
      </c>
      <c r="Z31" s="104">
        <v>1.05</v>
      </c>
      <c r="AA31" s="107">
        <v>1.21523964940916</v>
      </c>
      <c r="AB31" s="107">
        <v>1.22256877668779</v>
      </c>
      <c r="AC31" s="107" t="s">
        <v>1467</v>
      </c>
      <c r="AD31" s="108">
        <v>1.05</v>
      </c>
      <c r="AE31" s="108">
        <v>1.05</v>
      </c>
      <c r="AF31" s="108">
        <v>1</v>
      </c>
      <c r="AG31" s="108">
        <v>1</v>
      </c>
      <c r="AH31" s="108">
        <v>1</v>
      </c>
      <c r="AI31" s="108">
        <v>1.2</v>
      </c>
    </row>
    <row r="32" spans="1:35" ht="36">
      <c r="A32" s="330">
        <v>269093</v>
      </c>
      <c r="B32" s="331"/>
      <c r="C32" s="88"/>
      <c r="D32" s="340">
        <v>5</v>
      </c>
      <c r="E32" s="341" t="s">
        <v>98</v>
      </c>
      <c r="F32" s="432" t="s">
        <v>1180</v>
      </c>
      <c r="G32" s="433" t="s">
        <v>93</v>
      </c>
      <c r="H32" s="434" t="s">
        <v>98</v>
      </c>
      <c r="I32" s="434" t="s">
        <v>98</v>
      </c>
      <c r="J32" s="94">
        <v>0</v>
      </c>
      <c r="K32" s="433" t="s">
        <v>96</v>
      </c>
      <c r="L32" s="435">
        <v>1.2874999999999999E-2</v>
      </c>
      <c r="M32" s="95">
        <v>1</v>
      </c>
      <c r="N32" s="96">
        <v>1.22256877668779</v>
      </c>
      <c r="O32" s="432" t="s">
        <v>1509</v>
      </c>
      <c r="Q32" s="216" t="s">
        <v>1510</v>
      </c>
      <c r="R32" s="216" t="s">
        <v>1466</v>
      </c>
      <c r="S32" s="339">
        <v>2</v>
      </c>
      <c r="T32" s="339">
        <v>3</v>
      </c>
      <c r="U32" s="339">
        <v>1</v>
      </c>
      <c r="V32" s="339">
        <v>1</v>
      </c>
      <c r="W32" s="339">
        <v>1</v>
      </c>
      <c r="X32" s="339">
        <v>5</v>
      </c>
      <c r="Y32" s="104">
        <v>3</v>
      </c>
      <c r="Z32" s="104">
        <v>1.05</v>
      </c>
      <c r="AA32" s="107">
        <v>1.21523964940916</v>
      </c>
      <c r="AB32" s="107">
        <v>1.22256877668779</v>
      </c>
      <c r="AC32" s="107" t="s">
        <v>1467</v>
      </c>
      <c r="AD32" s="108">
        <v>1.05</v>
      </c>
      <c r="AE32" s="108">
        <v>1.05</v>
      </c>
      <c r="AF32" s="108">
        <v>1</v>
      </c>
      <c r="AG32" s="108">
        <v>1</v>
      </c>
      <c r="AH32" s="108">
        <v>1</v>
      </c>
      <c r="AI32" s="108">
        <v>1.2</v>
      </c>
    </row>
    <row r="33" spans="1:35" ht="36">
      <c r="A33" s="330">
        <v>268491</v>
      </c>
      <c r="B33" s="331"/>
      <c r="C33" s="88"/>
      <c r="D33" s="340">
        <v>5</v>
      </c>
      <c r="E33" s="341" t="s">
        <v>98</v>
      </c>
      <c r="F33" s="432" t="s">
        <v>908</v>
      </c>
      <c r="G33" s="433" t="s">
        <v>93</v>
      </c>
      <c r="H33" s="434" t="s">
        <v>98</v>
      </c>
      <c r="I33" s="434" t="s">
        <v>98</v>
      </c>
      <c r="J33" s="94">
        <v>0</v>
      </c>
      <c r="K33" s="433" t="s">
        <v>96</v>
      </c>
      <c r="L33" s="435">
        <v>7.2499999999999995E-4</v>
      </c>
      <c r="M33" s="95">
        <v>1</v>
      </c>
      <c r="N33" s="96">
        <v>1.22256877668779</v>
      </c>
      <c r="O33" s="432" t="s">
        <v>1511</v>
      </c>
      <c r="Q33" s="216" t="s">
        <v>1512</v>
      </c>
      <c r="R33" s="216" t="s">
        <v>1466</v>
      </c>
      <c r="S33" s="339">
        <v>2</v>
      </c>
      <c r="T33" s="339">
        <v>3</v>
      </c>
      <c r="U33" s="339">
        <v>1</v>
      </c>
      <c r="V33" s="339">
        <v>1</v>
      </c>
      <c r="W33" s="339">
        <v>1</v>
      </c>
      <c r="X33" s="339">
        <v>5</v>
      </c>
      <c r="Y33" s="104">
        <v>3</v>
      </c>
      <c r="Z33" s="104">
        <v>1.05</v>
      </c>
      <c r="AA33" s="107">
        <v>1.21523964940916</v>
      </c>
      <c r="AB33" s="107">
        <v>1.22256877668779</v>
      </c>
      <c r="AC33" s="107" t="s">
        <v>1467</v>
      </c>
      <c r="AD33" s="108">
        <v>1.05</v>
      </c>
      <c r="AE33" s="108">
        <v>1.05</v>
      </c>
      <c r="AF33" s="108">
        <v>1</v>
      </c>
      <c r="AG33" s="108">
        <v>1</v>
      </c>
      <c r="AH33" s="108">
        <v>1</v>
      </c>
      <c r="AI33" s="108">
        <v>1.2</v>
      </c>
    </row>
    <row r="34" spans="1:35" ht="36">
      <c r="A34" s="330">
        <v>268435</v>
      </c>
      <c r="B34" s="331"/>
      <c r="C34" s="88"/>
      <c r="D34" s="340">
        <v>5</v>
      </c>
      <c r="E34" s="341" t="s">
        <v>98</v>
      </c>
      <c r="F34" s="432" t="s">
        <v>1203</v>
      </c>
      <c r="G34" s="433" t="s">
        <v>93</v>
      </c>
      <c r="H34" s="434" t="s">
        <v>98</v>
      </c>
      <c r="I34" s="434" t="s">
        <v>98</v>
      </c>
      <c r="J34" s="94">
        <v>0</v>
      </c>
      <c r="K34" s="433" t="s">
        <v>96</v>
      </c>
      <c r="L34" s="435">
        <v>1.5875E-2</v>
      </c>
      <c r="M34" s="95">
        <v>1</v>
      </c>
      <c r="N34" s="96">
        <v>1.22256877668779</v>
      </c>
      <c r="O34" s="432" t="s">
        <v>1513</v>
      </c>
      <c r="Q34" s="216" t="s">
        <v>1514</v>
      </c>
      <c r="R34" s="216" t="s">
        <v>1466</v>
      </c>
      <c r="S34" s="339">
        <v>2</v>
      </c>
      <c r="T34" s="339">
        <v>3</v>
      </c>
      <c r="U34" s="339">
        <v>1</v>
      </c>
      <c r="V34" s="339">
        <v>1</v>
      </c>
      <c r="W34" s="339">
        <v>1</v>
      </c>
      <c r="X34" s="339">
        <v>5</v>
      </c>
      <c r="Y34" s="104">
        <v>3</v>
      </c>
      <c r="Z34" s="104">
        <v>1.05</v>
      </c>
      <c r="AA34" s="107">
        <v>1.21523964940916</v>
      </c>
      <c r="AB34" s="107">
        <v>1.22256877668779</v>
      </c>
      <c r="AC34" s="107" t="s">
        <v>1467</v>
      </c>
      <c r="AD34" s="108">
        <v>1.05</v>
      </c>
      <c r="AE34" s="108">
        <v>1.05</v>
      </c>
      <c r="AF34" s="108">
        <v>1</v>
      </c>
      <c r="AG34" s="108">
        <v>1</v>
      </c>
      <c r="AH34" s="108">
        <v>1</v>
      </c>
      <c r="AI34" s="108">
        <v>1.2</v>
      </c>
    </row>
    <row r="35" spans="1:35" ht="36">
      <c r="A35" s="330">
        <v>269117</v>
      </c>
      <c r="B35" s="331"/>
      <c r="C35" s="88"/>
      <c r="D35" s="340">
        <v>5</v>
      </c>
      <c r="E35" s="341" t="s">
        <v>98</v>
      </c>
      <c r="F35" s="432" t="s">
        <v>1284</v>
      </c>
      <c r="G35" s="433" t="s">
        <v>93</v>
      </c>
      <c r="H35" s="434" t="s">
        <v>98</v>
      </c>
      <c r="I35" s="434" t="s">
        <v>98</v>
      </c>
      <c r="J35" s="94">
        <v>0</v>
      </c>
      <c r="K35" s="433" t="s">
        <v>96</v>
      </c>
      <c r="L35" s="435">
        <v>0.29499999999999998</v>
      </c>
      <c r="M35" s="95">
        <v>1</v>
      </c>
      <c r="N35" s="96">
        <v>1.22256877668779</v>
      </c>
      <c r="O35" s="432" t="s">
        <v>1515</v>
      </c>
      <c r="Q35" s="216" t="s">
        <v>60</v>
      </c>
      <c r="R35" s="216" t="s">
        <v>1466</v>
      </c>
      <c r="S35" s="339">
        <v>2</v>
      </c>
      <c r="T35" s="339">
        <v>3</v>
      </c>
      <c r="U35" s="339">
        <v>1</v>
      </c>
      <c r="V35" s="339">
        <v>1</v>
      </c>
      <c r="W35" s="339">
        <v>1</v>
      </c>
      <c r="X35" s="339">
        <v>5</v>
      </c>
      <c r="Y35" s="104">
        <v>3</v>
      </c>
      <c r="Z35" s="104">
        <v>1.05</v>
      </c>
      <c r="AA35" s="107">
        <v>1.21523964940916</v>
      </c>
      <c r="AB35" s="107">
        <v>1.22256877668779</v>
      </c>
      <c r="AC35" s="107" t="s">
        <v>1467</v>
      </c>
      <c r="AD35" s="108">
        <v>1.05</v>
      </c>
      <c r="AE35" s="108">
        <v>1.05</v>
      </c>
      <c r="AF35" s="108">
        <v>1</v>
      </c>
      <c r="AG35" s="108">
        <v>1</v>
      </c>
      <c r="AH35" s="108">
        <v>1</v>
      </c>
      <c r="AI35" s="108">
        <v>1.2</v>
      </c>
    </row>
    <row r="36" spans="1:35" ht="36">
      <c r="A36" s="330">
        <v>269111</v>
      </c>
      <c r="B36" s="331"/>
      <c r="C36" s="88"/>
      <c r="D36" s="340">
        <v>5</v>
      </c>
      <c r="E36" s="341" t="s">
        <v>98</v>
      </c>
      <c r="F36" s="432" t="s">
        <v>1279</v>
      </c>
      <c r="G36" s="433" t="s">
        <v>154</v>
      </c>
      <c r="H36" s="434" t="s">
        <v>98</v>
      </c>
      <c r="I36" s="434" t="s">
        <v>98</v>
      </c>
      <c r="J36" s="94">
        <v>0</v>
      </c>
      <c r="K36" s="433" t="s">
        <v>96</v>
      </c>
      <c r="L36" s="435">
        <v>2.8124999999999999E-3</v>
      </c>
      <c r="M36" s="95">
        <v>1</v>
      </c>
      <c r="N36" s="96">
        <v>1.22256877668779</v>
      </c>
      <c r="O36" s="432" t="s">
        <v>1516</v>
      </c>
      <c r="Q36" s="216" t="s">
        <v>1517</v>
      </c>
      <c r="R36" s="216" t="s">
        <v>1466</v>
      </c>
      <c r="S36" s="339">
        <v>2</v>
      </c>
      <c r="T36" s="339">
        <v>3</v>
      </c>
      <c r="U36" s="339">
        <v>1</v>
      </c>
      <c r="V36" s="339">
        <v>1</v>
      </c>
      <c r="W36" s="339">
        <v>1</v>
      </c>
      <c r="X36" s="339">
        <v>5</v>
      </c>
      <c r="Y36" s="104">
        <v>3</v>
      </c>
      <c r="Z36" s="104">
        <v>1.05</v>
      </c>
      <c r="AA36" s="107">
        <v>1.21523964940916</v>
      </c>
      <c r="AB36" s="107">
        <v>1.22256877668779</v>
      </c>
      <c r="AC36" s="107" t="s">
        <v>1467</v>
      </c>
      <c r="AD36" s="108">
        <v>1.05</v>
      </c>
      <c r="AE36" s="108">
        <v>1.05</v>
      </c>
      <c r="AF36" s="108">
        <v>1</v>
      </c>
      <c r="AG36" s="108">
        <v>1</v>
      </c>
      <c r="AH36" s="108">
        <v>1</v>
      </c>
      <c r="AI36" s="108">
        <v>1.2</v>
      </c>
    </row>
    <row r="37" spans="1:35" ht="36">
      <c r="A37" s="330">
        <v>269331</v>
      </c>
      <c r="B37" s="331"/>
      <c r="C37" s="88"/>
      <c r="D37" s="340">
        <v>5</v>
      </c>
      <c r="E37" s="341" t="s">
        <v>98</v>
      </c>
      <c r="F37" s="432" t="s">
        <v>1179</v>
      </c>
      <c r="G37" s="433" t="s">
        <v>93</v>
      </c>
      <c r="H37" s="434" t="s">
        <v>98</v>
      </c>
      <c r="I37" s="434" t="s">
        <v>98</v>
      </c>
      <c r="J37" s="94">
        <v>0</v>
      </c>
      <c r="K37" s="433" t="s">
        <v>96</v>
      </c>
      <c r="L37" s="435">
        <v>0.121875</v>
      </c>
      <c r="M37" s="95">
        <v>1</v>
      </c>
      <c r="N37" s="96">
        <v>1.22256877668779</v>
      </c>
      <c r="O37" s="432" t="s">
        <v>1518</v>
      </c>
      <c r="Q37" s="216" t="s">
        <v>1519</v>
      </c>
      <c r="R37" s="216" t="s">
        <v>1466</v>
      </c>
      <c r="S37" s="339">
        <v>2</v>
      </c>
      <c r="T37" s="339">
        <v>3</v>
      </c>
      <c r="U37" s="339">
        <v>1</v>
      </c>
      <c r="V37" s="339">
        <v>1</v>
      </c>
      <c r="W37" s="339">
        <v>1</v>
      </c>
      <c r="X37" s="339">
        <v>5</v>
      </c>
      <c r="Y37" s="104">
        <v>3</v>
      </c>
      <c r="Z37" s="104">
        <v>1.05</v>
      </c>
      <c r="AA37" s="107">
        <v>1.21523964940916</v>
      </c>
      <c r="AB37" s="107">
        <v>1.22256877668779</v>
      </c>
      <c r="AC37" s="107" t="s">
        <v>1467</v>
      </c>
      <c r="AD37" s="108">
        <v>1.05</v>
      </c>
      <c r="AE37" s="108">
        <v>1.05</v>
      </c>
      <c r="AF37" s="108">
        <v>1</v>
      </c>
      <c r="AG37" s="108">
        <v>1</v>
      </c>
      <c r="AH37" s="108">
        <v>1</v>
      </c>
      <c r="AI37" s="108">
        <v>1.2</v>
      </c>
    </row>
    <row r="38" spans="1:35" ht="36">
      <c r="A38" s="330">
        <v>269089</v>
      </c>
      <c r="B38" s="331"/>
      <c r="C38" s="88"/>
      <c r="D38" s="340">
        <v>5</v>
      </c>
      <c r="E38" s="341" t="s">
        <v>98</v>
      </c>
      <c r="F38" s="432" t="s">
        <v>675</v>
      </c>
      <c r="G38" s="433" t="s">
        <v>93</v>
      </c>
      <c r="H38" s="434" t="s">
        <v>98</v>
      </c>
      <c r="I38" s="434" t="s">
        <v>98</v>
      </c>
      <c r="J38" s="94">
        <v>0</v>
      </c>
      <c r="K38" s="433" t="s">
        <v>96</v>
      </c>
      <c r="L38" s="435">
        <v>2.125</v>
      </c>
      <c r="M38" s="95">
        <v>1</v>
      </c>
      <c r="N38" s="96">
        <v>1.22256877668779</v>
      </c>
      <c r="O38" s="432" t="s">
        <v>1520</v>
      </c>
      <c r="Q38" s="216" t="s">
        <v>1521</v>
      </c>
      <c r="R38" s="216" t="s">
        <v>1466</v>
      </c>
      <c r="S38" s="339">
        <v>2</v>
      </c>
      <c r="T38" s="339">
        <v>3</v>
      </c>
      <c r="U38" s="339">
        <v>1</v>
      </c>
      <c r="V38" s="339">
        <v>1</v>
      </c>
      <c r="W38" s="339">
        <v>1</v>
      </c>
      <c r="X38" s="339">
        <v>5</v>
      </c>
      <c r="Y38" s="104">
        <v>3</v>
      </c>
      <c r="Z38" s="104">
        <v>1.05</v>
      </c>
      <c r="AA38" s="107">
        <v>1.21523964940916</v>
      </c>
      <c r="AB38" s="107">
        <v>1.22256877668779</v>
      </c>
      <c r="AC38" s="107" t="s">
        <v>1467</v>
      </c>
      <c r="AD38" s="108">
        <v>1.05</v>
      </c>
      <c r="AE38" s="108">
        <v>1.05</v>
      </c>
      <c r="AF38" s="108">
        <v>1</v>
      </c>
      <c r="AG38" s="108">
        <v>1</v>
      </c>
      <c r="AH38" s="108">
        <v>1</v>
      </c>
      <c r="AI38" s="108">
        <v>1.2</v>
      </c>
    </row>
    <row r="39" spans="1:35" ht="36">
      <c r="A39" s="330">
        <v>268447</v>
      </c>
      <c r="B39" s="331"/>
      <c r="C39" s="88"/>
      <c r="D39" s="340">
        <v>5</v>
      </c>
      <c r="E39" s="341" t="s">
        <v>98</v>
      </c>
      <c r="F39" s="432" t="s">
        <v>1211</v>
      </c>
      <c r="G39" s="433" t="s">
        <v>93</v>
      </c>
      <c r="H39" s="434" t="s">
        <v>98</v>
      </c>
      <c r="I39" s="434" t="s">
        <v>98</v>
      </c>
      <c r="J39" s="94">
        <v>0</v>
      </c>
      <c r="K39" s="433" t="s">
        <v>96</v>
      </c>
      <c r="L39" s="435">
        <v>0.76249999999999996</v>
      </c>
      <c r="M39" s="95">
        <v>1</v>
      </c>
      <c r="N39" s="96">
        <v>1.22256877668779</v>
      </c>
      <c r="O39" s="432" t="s">
        <v>1522</v>
      </c>
      <c r="Q39" s="216" t="s">
        <v>1523</v>
      </c>
      <c r="R39" s="216" t="s">
        <v>1466</v>
      </c>
      <c r="S39" s="339">
        <v>2</v>
      </c>
      <c r="T39" s="339">
        <v>3</v>
      </c>
      <c r="U39" s="339">
        <v>1</v>
      </c>
      <c r="V39" s="339">
        <v>1</v>
      </c>
      <c r="W39" s="339">
        <v>1</v>
      </c>
      <c r="X39" s="339">
        <v>5</v>
      </c>
      <c r="Y39" s="104">
        <v>3</v>
      </c>
      <c r="Z39" s="104">
        <v>1.05</v>
      </c>
      <c r="AA39" s="107">
        <v>1.21523964940916</v>
      </c>
      <c r="AB39" s="107">
        <v>1.22256877668779</v>
      </c>
      <c r="AC39" s="107" t="s">
        <v>1467</v>
      </c>
      <c r="AD39" s="108">
        <v>1.05</v>
      </c>
      <c r="AE39" s="108">
        <v>1.05</v>
      </c>
      <c r="AF39" s="108">
        <v>1</v>
      </c>
      <c r="AG39" s="108">
        <v>1</v>
      </c>
      <c r="AH39" s="108">
        <v>1</v>
      </c>
      <c r="AI39" s="108">
        <v>1.2</v>
      </c>
    </row>
    <row r="40" spans="1:35" ht="36">
      <c r="A40" s="330">
        <v>269335</v>
      </c>
      <c r="B40" s="331"/>
      <c r="C40" s="88"/>
      <c r="D40" s="340">
        <v>5</v>
      </c>
      <c r="E40" s="341" t="s">
        <v>98</v>
      </c>
      <c r="F40" s="432" t="s">
        <v>493</v>
      </c>
      <c r="G40" s="433" t="s">
        <v>93</v>
      </c>
      <c r="H40" s="434" t="s">
        <v>98</v>
      </c>
      <c r="I40" s="434" t="s">
        <v>98</v>
      </c>
      <c r="J40" s="94">
        <v>0</v>
      </c>
      <c r="K40" s="433" t="s">
        <v>144</v>
      </c>
      <c r="L40" s="435">
        <v>3.125E-2</v>
      </c>
      <c r="M40" s="95">
        <v>1</v>
      </c>
      <c r="N40" s="96">
        <v>1.22256877668779</v>
      </c>
      <c r="O40" s="432" t="s">
        <v>1524</v>
      </c>
      <c r="Q40" s="216" t="s">
        <v>1525</v>
      </c>
      <c r="R40" s="216" t="s">
        <v>1466</v>
      </c>
      <c r="S40" s="339">
        <v>2</v>
      </c>
      <c r="T40" s="339">
        <v>3</v>
      </c>
      <c r="U40" s="339">
        <v>1</v>
      </c>
      <c r="V40" s="339">
        <v>1</v>
      </c>
      <c r="W40" s="339">
        <v>1</v>
      </c>
      <c r="X40" s="339">
        <v>5</v>
      </c>
      <c r="Y40" s="104">
        <v>3</v>
      </c>
      <c r="Z40" s="104">
        <v>1.05</v>
      </c>
      <c r="AA40" s="107">
        <v>1.21523964940916</v>
      </c>
      <c r="AB40" s="107">
        <v>1.22256877668779</v>
      </c>
      <c r="AC40" s="107" t="s">
        <v>1467</v>
      </c>
      <c r="AD40" s="108">
        <v>1.05</v>
      </c>
      <c r="AE40" s="108">
        <v>1.05</v>
      </c>
      <c r="AF40" s="108">
        <v>1</v>
      </c>
      <c r="AG40" s="108">
        <v>1</v>
      </c>
      <c r="AH40" s="108">
        <v>1</v>
      </c>
      <c r="AI40" s="108">
        <v>1.2</v>
      </c>
    </row>
    <row r="41" spans="1:35" ht="36">
      <c r="A41" s="330">
        <v>269641</v>
      </c>
      <c r="B41" s="331"/>
      <c r="C41" s="88"/>
      <c r="D41" s="340">
        <v>5</v>
      </c>
      <c r="E41" s="341" t="s">
        <v>98</v>
      </c>
      <c r="F41" s="432" t="s">
        <v>240</v>
      </c>
      <c r="G41" s="433" t="s">
        <v>93</v>
      </c>
      <c r="H41" s="434" t="s">
        <v>98</v>
      </c>
      <c r="I41" s="434" t="s">
        <v>98</v>
      </c>
      <c r="J41" s="94">
        <v>0</v>
      </c>
      <c r="K41" s="433" t="s">
        <v>115</v>
      </c>
      <c r="L41" s="435">
        <v>4.6101957083084999</v>
      </c>
      <c r="M41" s="95">
        <v>1</v>
      </c>
      <c r="N41" s="96">
        <v>2.0545118552303898</v>
      </c>
      <c r="O41" s="432" t="s">
        <v>1526</v>
      </c>
      <c r="Q41" s="216" t="s">
        <v>1527</v>
      </c>
      <c r="R41" s="216" t="s">
        <v>1466</v>
      </c>
      <c r="S41" s="339">
        <v>2</v>
      </c>
      <c r="T41" s="339">
        <v>3</v>
      </c>
      <c r="U41" s="339">
        <v>1</v>
      </c>
      <c r="V41" s="339">
        <v>1</v>
      </c>
      <c r="W41" s="339">
        <v>1</v>
      </c>
      <c r="X41" s="339">
        <v>5</v>
      </c>
      <c r="Y41" s="104">
        <v>5</v>
      </c>
      <c r="Z41" s="104">
        <v>2</v>
      </c>
      <c r="AA41" s="107">
        <v>1.21523964940916</v>
      </c>
      <c r="AB41" s="107">
        <v>2.0545118552303898</v>
      </c>
      <c r="AC41" s="107" t="s">
        <v>1467</v>
      </c>
      <c r="AD41" s="108">
        <v>1.05</v>
      </c>
      <c r="AE41" s="108">
        <v>1.05</v>
      </c>
      <c r="AF41" s="108">
        <v>1</v>
      </c>
      <c r="AG41" s="108">
        <v>1</v>
      </c>
      <c r="AH41" s="108">
        <v>1</v>
      </c>
      <c r="AI41" s="108">
        <v>1.2</v>
      </c>
    </row>
    <row r="42" spans="1:35" ht="36">
      <c r="A42" s="330">
        <v>269599</v>
      </c>
      <c r="B42" s="331"/>
      <c r="C42" s="88"/>
      <c r="D42" s="340">
        <v>5</v>
      </c>
      <c r="E42" s="341" t="s">
        <v>98</v>
      </c>
      <c r="F42" s="432" t="s">
        <v>244</v>
      </c>
      <c r="G42" s="433" t="s">
        <v>245</v>
      </c>
      <c r="H42" s="434" t="s">
        <v>98</v>
      </c>
      <c r="I42" s="434" t="s">
        <v>98</v>
      </c>
      <c r="J42" s="94">
        <v>0</v>
      </c>
      <c r="K42" s="433" t="s">
        <v>115</v>
      </c>
      <c r="L42" s="435">
        <v>61.356324316600997</v>
      </c>
      <c r="M42" s="95">
        <v>1</v>
      </c>
      <c r="N42" s="96">
        <v>2.0545118552303898</v>
      </c>
      <c r="O42" s="432" t="s">
        <v>1528</v>
      </c>
      <c r="Q42" s="216" t="s">
        <v>1529</v>
      </c>
      <c r="R42" s="216" t="s">
        <v>1466</v>
      </c>
      <c r="S42" s="339">
        <v>2</v>
      </c>
      <c r="T42" s="339">
        <v>3</v>
      </c>
      <c r="U42" s="339">
        <v>1</v>
      </c>
      <c r="V42" s="339">
        <v>1</v>
      </c>
      <c r="W42" s="339">
        <v>1</v>
      </c>
      <c r="X42" s="339">
        <v>5</v>
      </c>
      <c r="Y42" s="104">
        <v>5</v>
      </c>
      <c r="Z42" s="104">
        <v>2</v>
      </c>
      <c r="AA42" s="107">
        <v>1.21523964940916</v>
      </c>
      <c r="AB42" s="107">
        <v>2.0545118552303898</v>
      </c>
      <c r="AC42" s="107" t="s">
        <v>1467</v>
      </c>
      <c r="AD42" s="108">
        <v>1.05</v>
      </c>
      <c r="AE42" s="108">
        <v>1.05</v>
      </c>
      <c r="AF42" s="108">
        <v>1</v>
      </c>
      <c r="AG42" s="108">
        <v>1</v>
      </c>
      <c r="AH42" s="108">
        <v>1</v>
      </c>
      <c r="AI42" s="108">
        <v>1.2</v>
      </c>
    </row>
    <row r="43" spans="1:35" ht="36">
      <c r="A43" s="330">
        <v>269487</v>
      </c>
      <c r="B43" s="331"/>
      <c r="C43" s="88"/>
      <c r="D43" s="340">
        <v>5</v>
      </c>
      <c r="E43" s="341" t="s">
        <v>98</v>
      </c>
      <c r="F43" s="432" t="s">
        <v>1219</v>
      </c>
      <c r="G43" s="433" t="s">
        <v>103</v>
      </c>
      <c r="H43" s="434" t="s">
        <v>98</v>
      </c>
      <c r="I43" s="434" t="s">
        <v>98</v>
      </c>
      <c r="J43" s="94">
        <v>0</v>
      </c>
      <c r="K43" s="433" t="s">
        <v>96</v>
      </c>
      <c r="L43" s="435">
        <v>3.0187499999999999E-2</v>
      </c>
      <c r="M43" s="95">
        <v>1</v>
      </c>
      <c r="N43" s="96">
        <v>1.22256877668779</v>
      </c>
      <c r="O43" s="432" t="s">
        <v>1530</v>
      </c>
      <c r="Q43" s="216" t="s">
        <v>1531</v>
      </c>
      <c r="R43" s="216" t="s">
        <v>1466</v>
      </c>
      <c r="S43" s="339">
        <v>2</v>
      </c>
      <c r="T43" s="339">
        <v>3</v>
      </c>
      <c r="U43" s="339">
        <v>1</v>
      </c>
      <c r="V43" s="339">
        <v>1</v>
      </c>
      <c r="W43" s="339">
        <v>1</v>
      </c>
      <c r="X43" s="339">
        <v>5</v>
      </c>
      <c r="Y43" s="104">
        <v>6</v>
      </c>
      <c r="Z43" s="104">
        <v>1.05</v>
      </c>
      <c r="AA43" s="107">
        <v>1.21523964940916</v>
      </c>
      <c r="AB43" s="107">
        <v>1.22256877668779</v>
      </c>
      <c r="AC43" s="107" t="s">
        <v>1467</v>
      </c>
      <c r="AD43" s="108">
        <v>1.05</v>
      </c>
      <c r="AE43" s="108">
        <v>1.05</v>
      </c>
      <c r="AF43" s="108">
        <v>1</v>
      </c>
      <c r="AG43" s="108">
        <v>1</v>
      </c>
      <c r="AH43" s="108">
        <v>1</v>
      </c>
      <c r="AI43" s="108">
        <v>1.2</v>
      </c>
    </row>
    <row r="44" spans="1:35" ht="60">
      <c r="A44" s="330">
        <v>268064</v>
      </c>
      <c r="B44" s="331"/>
      <c r="C44" s="88"/>
      <c r="D44" s="340">
        <v>5</v>
      </c>
      <c r="E44" s="341" t="s">
        <v>98</v>
      </c>
      <c r="F44" s="432" t="s">
        <v>517</v>
      </c>
      <c r="G44" s="433" t="s">
        <v>103</v>
      </c>
      <c r="H44" s="434" t="s">
        <v>98</v>
      </c>
      <c r="I44" s="434" t="s">
        <v>98</v>
      </c>
      <c r="J44" s="94">
        <v>0</v>
      </c>
      <c r="K44" s="433" t="s">
        <v>96</v>
      </c>
      <c r="L44" s="435">
        <v>0.885625</v>
      </c>
      <c r="M44" s="95">
        <v>1</v>
      </c>
      <c r="N44" s="96">
        <v>1.22256877668779</v>
      </c>
      <c r="O44" s="432" t="s">
        <v>1532</v>
      </c>
      <c r="Q44" s="216" t="s">
        <v>1533</v>
      </c>
      <c r="R44" s="216" t="s">
        <v>1466</v>
      </c>
      <c r="S44" s="339">
        <v>2</v>
      </c>
      <c r="T44" s="339">
        <v>3</v>
      </c>
      <c r="U44" s="339">
        <v>1</v>
      </c>
      <c r="V44" s="339">
        <v>1</v>
      </c>
      <c r="W44" s="339">
        <v>1</v>
      </c>
      <c r="X44" s="339">
        <v>5</v>
      </c>
      <c r="Y44" s="104">
        <v>6</v>
      </c>
      <c r="Z44" s="104">
        <v>1.05</v>
      </c>
      <c r="AA44" s="107">
        <v>1.21523964940916</v>
      </c>
      <c r="AB44" s="107">
        <v>1.22256877668779</v>
      </c>
      <c r="AC44" s="107" t="s">
        <v>1467</v>
      </c>
      <c r="AD44" s="108">
        <v>1.05</v>
      </c>
      <c r="AE44" s="108">
        <v>1.05</v>
      </c>
      <c r="AF44" s="108">
        <v>1</v>
      </c>
      <c r="AG44" s="108">
        <v>1</v>
      </c>
      <c r="AH44" s="108">
        <v>1</v>
      </c>
      <c r="AI44" s="108">
        <v>1.2</v>
      </c>
    </row>
    <row r="45" spans="1:35" ht="36">
      <c r="A45" s="330">
        <v>32171</v>
      </c>
      <c r="B45" s="331" t="s">
        <v>1534</v>
      </c>
      <c r="C45" s="88"/>
      <c r="D45" s="340" t="s">
        <v>98</v>
      </c>
      <c r="E45" s="341">
        <v>4</v>
      </c>
      <c r="F45" s="432" t="s">
        <v>354</v>
      </c>
      <c r="G45" s="433" t="s">
        <v>98</v>
      </c>
      <c r="H45" s="434" t="s">
        <v>247</v>
      </c>
      <c r="I45" s="434" t="s">
        <v>258</v>
      </c>
      <c r="J45" s="94" t="s">
        <v>98</v>
      </c>
      <c r="K45" s="433" t="s">
        <v>96</v>
      </c>
      <c r="L45" s="435">
        <v>1.15625E-5</v>
      </c>
      <c r="M45" s="95">
        <v>1</v>
      </c>
      <c r="N45" s="96">
        <v>5.0591624458778801</v>
      </c>
      <c r="O45" s="432" t="s">
        <v>1535</v>
      </c>
      <c r="Q45" s="216" t="s">
        <v>1536</v>
      </c>
      <c r="R45" s="216" t="s">
        <v>1466</v>
      </c>
      <c r="S45" s="339">
        <v>2</v>
      </c>
      <c r="T45" s="339">
        <v>3</v>
      </c>
      <c r="U45" s="339">
        <v>1</v>
      </c>
      <c r="V45" s="339">
        <v>1</v>
      </c>
      <c r="W45" s="339">
        <v>1</v>
      </c>
      <c r="X45" s="339">
        <v>5</v>
      </c>
      <c r="Y45" s="104">
        <v>22</v>
      </c>
      <c r="Z45" s="104">
        <v>5</v>
      </c>
      <c r="AA45" s="107">
        <v>1.21523964940916</v>
      </c>
      <c r="AB45" s="107">
        <v>5.0591624458778801</v>
      </c>
      <c r="AC45" s="107" t="s">
        <v>1467</v>
      </c>
      <c r="AD45" s="108">
        <v>1.05</v>
      </c>
      <c r="AE45" s="108">
        <v>1.05</v>
      </c>
      <c r="AF45" s="108">
        <v>1</v>
      </c>
      <c r="AG45" s="108">
        <v>1</v>
      </c>
      <c r="AH45" s="108">
        <v>1</v>
      </c>
      <c r="AI45" s="108">
        <v>1.2</v>
      </c>
    </row>
    <row r="46" spans="1:35" ht="36">
      <c r="A46" s="330">
        <v>160227</v>
      </c>
      <c r="B46" s="331" t="s">
        <v>1537</v>
      </c>
      <c r="C46" s="88"/>
      <c r="D46" s="340" t="s">
        <v>98</v>
      </c>
      <c r="E46" s="341">
        <v>4</v>
      </c>
      <c r="F46" s="432" t="s">
        <v>354</v>
      </c>
      <c r="G46" s="433" t="s">
        <v>98</v>
      </c>
      <c r="H46" s="434" t="s">
        <v>344</v>
      </c>
      <c r="I46" s="434" t="s">
        <v>248</v>
      </c>
      <c r="J46" s="94" t="s">
        <v>98</v>
      </c>
      <c r="K46" s="433" t="s">
        <v>96</v>
      </c>
      <c r="L46" s="435">
        <v>1.15625E-5</v>
      </c>
      <c r="M46" s="95">
        <v>1</v>
      </c>
      <c r="N46" s="96">
        <v>5.0591624458778801</v>
      </c>
      <c r="O46" s="432" t="s">
        <v>1538</v>
      </c>
      <c r="Q46" s="216" t="s">
        <v>1539</v>
      </c>
      <c r="R46" s="216" t="s">
        <v>1466</v>
      </c>
      <c r="S46" s="339">
        <v>2</v>
      </c>
      <c r="T46" s="339">
        <v>3</v>
      </c>
      <c r="U46" s="339">
        <v>1</v>
      </c>
      <c r="V46" s="339">
        <v>1</v>
      </c>
      <c r="W46" s="339">
        <v>1</v>
      </c>
      <c r="X46" s="339">
        <v>5</v>
      </c>
      <c r="Y46" s="104">
        <v>35</v>
      </c>
      <c r="Z46" s="104">
        <v>5</v>
      </c>
      <c r="AA46" s="107">
        <v>1.21523964940916</v>
      </c>
      <c r="AB46" s="107">
        <v>5.0591624458778801</v>
      </c>
      <c r="AC46" s="107" t="s">
        <v>1467</v>
      </c>
      <c r="AD46" s="108">
        <v>1.05</v>
      </c>
      <c r="AE46" s="108">
        <v>1.05</v>
      </c>
      <c r="AF46" s="108">
        <v>1</v>
      </c>
      <c r="AG46" s="108">
        <v>1</v>
      </c>
      <c r="AH46" s="108">
        <v>1</v>
      </c>
      <c r="AI46" s="108">
        <v>1.2</v>
      </c>
    </row>
    <row r="47" spans="1:35" ht="36">
      <c r="A47" s="330">
        <v>26845</v>
      </c>
      <c r="B47" s="331" t="s">
        <v>1534</v>
      </c>
      <c r="C47" s="88"/>
      <c r="D47" s="340" t="s">
        <v>98</v>
      </c>
      <c r="E47" s="341">
        <v>4</v>
      </c>
      <c r="F47" s="432" t="s">
        <v>1540</v>
      </c>
      <c r="G47" s="433" t="s">
        <v>98</v>
      </c>
      <c r="H47" s="434" t="s">
        <v>247</v>
      </c>
      <c r="I47" s="434" t="s">
        <v>258</v>
      </c>
      <c r="J47" s="94" t="s">
        <v>98</v>
      </c>
      <c r="K47" s="433" t="s">
        <v>96</v>
      </c>
      <c r="L47" s="435">
        <v>36.5625</v>
      </c>
      <c r="M47" s="95">
        <v>1</v>
      </c>
      <c r="N47" s="96">
        <v>1.5797756771112601</v>
      </c>
      <c r="O47" s="432" t="s">
        <v>1541</v>
      </c>
      <c r="Q47" s="216" t="s">
        <v>1542</v>
      </c>
      <c r="R47" s="216" t="s">
        <v>1543</v>
      </c>
      <c r="S47" s="339">
        <v>3</v>
      </c>
      <c r="T47" s="339">
        <v>3</v>
      </c>
      <c r="U47" s="339">
        <v>1</v>
      </c>
      <c r="V47" s="339">
        <v>1</v>
      </c>
      <c r="W47" s="339">
        <v>1</v>
      </c>
      <c r="X47" s="339">
        <v>5</v>
      </c>
      <c r="Y47" s="104">
        <v>31</v>
      </c>
      <c r="Z47" s="104">
        <v>1.5</v>
      </c>
      <c r="AA47" s="107">
        <v>1.2354522921220701</v>
      </c>
      <c r="AB47" s="107">
        <v>1.5797756771112601</v>
      </c>
      <c r="AC47" s="107" t="s">
        <v>1544</v>
      </c>
      <c r="AD47" s="108">
        <v>1.1000000000000001</v>
      </c>
      <c r="AE47" s="108">
        <v>1.05</v>
      </c>
      <c r="AF47" s="108">
        <v>1</v>
      </c>
      <c r="AG47" s="108">
        <v>1</v>
      </c>
      <c r="AH47" s="108">
        <v>1</v>
      </c>
      <c r="AI47" s="108">
        <v>1.2</v>
      </c>
    </row>
    <row r="50" ht="12" customHeight="1"/>
  </sheetData>
  <mergeCells count="1">
    <mergeCell ref="S1:X1"/>
  </mergeCells>
  <conditionalFormatting sqref="B8:B47">
    <cfRule type="cellIs" dxfId="157" priority="5" stopIfTrue="1" operator="notEqual">
      <formula>""</formula>
    </cfRule>
  </conditionalFormatting>
  <conditionalFormatting sqref="D8:O47 Q8:X47">
    <cfRule type="expression" dxfId="156" priority="1">
      <formula>MOD(ROW(),2)=0</formula>
    </cfRule>
  </conditionalFormatting>
  <conditionalFormatting sqref="S8:X47">
    <cfRule type="cellIs" dxfId="155" priority="4" stopIfTrue="1" operator="notBetween">
      <formula>1</formula>
      <formula>5</formula>
    </cfRule>
  </conditionalFormatting>
  <conditionalFormatting sqref="Y8:AI47">
    <cfRule type="expression" dxfId="154" priority="2">
      <formula>MOD(ROW(),2)=0</formula>
    </cfRule>
  </conditionalFormatting>
  <dataValidations xWindow="1059" yWindow="303" count="28">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47" xr:uid="{00000000-0002-0000-3200-000000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47" xr:uid="{00000000-0002-0000-3200-000001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47" xr:uid="{00000000-0002-0000-32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47" xr:uid="{00000000-0002-0000-3200-000003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47" xr:uid="{00000000-0002-0000-3200-000004000000}"/>
    <dataValidation allowBlank="1" showInputMessage="1" showErrorMessage="1" promptTitle="Do not change" prompt="This field is automatically updated from the names-list" sqref="Y8:Y47" xr:uid="{00000000-0002-0000-3200-000005000000}"/>
    <dataValidation allowBlank="1" showInputMessage="1" showErrorMessage="1" promptTitle="Do not change" prompt="This field is automatically calculated from your inputs." sqref="Z8:AI47" xr:uid="{00000000-0002-0000-3200-000006000000}"/>
    <dataValidation allowBlank="1" showInputMessage="1" showErrorMessage="1" prompt="Mean amount of elementary flow or intermediate product flow. Enter your values (or the respective equation) here." sqref="L8:L47" xr:uid="{00000000-0002-0000-3200-000007000000}"/>
    <dataValidation allowBlank="1" showInputMessage="1" showErrorMessage="1" prompt="always 1" sqref="L7" xr:uid="{00000000-0002-0000-3200-000008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200-000009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200-00000A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S3 S8:S47" xr:uid="{00000000-0002-0000-3200-00000B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X3 X8:X47" xr:uid="{00000000-0002-0000-3200-00000C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W3 W8:W47" xr:uid="{00000000-0002-0000-3200-00000D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V3 V8:V47" xr:uid="{00000000-0002-0000-3200-00000E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U3 U8:U47" xr:uid="{00000000-0002-0000-3200-00000F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T3 T8:T47" xr:uid="{00000000-0002-0000-3200-000010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47" xr:uid="{00000000-0002-0000-3200-000011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200-000012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47" xr:uid="{00000000-0002-0000-3200-000013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200-000014000000}"/>
    <dataValidation allowBlank="1" showInputMessage="1" showErrorMessage="1" promptTitle="Name" prompt="Name of the exchange (elementary flow or intermediate product flow) in English language. " sqref="F2:F3" xr:uid="{00000000-0002-0000-3200-000015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200-000016000000}"/>
    <dataValidation allowBlank="1" showInputMessage="1" showErrorMessage="1" promptTitle="Unit" prompt="Unit of the exchange (elementary flow or intermediate product flow)." sqref="F6 K2:K3" xr:uid="{00000000-0002-0000-3200-000017000000}"/>
    <dataValidation allowBlank="1" showInputMessage="1" showErrorMessage="1" prompt="This cell is automatically updated from the names List according to the index number in L1. It needs to be identical to the output product." sqref="L3:L6" xr:uid="{00000000-0002-0000-3200-000018000000}"/>
    <dataValidation allowBlank="1" showInputMessage="1" showErrorMessage="1" prompt="Do not change." sqref="Y3:AI4" xr:uid="{00000000-0002-0000-3200-000019000000}"/>
    <dataValidation allowBlank="1" showInputMessage="1" showErrorMessage="1" promptTitle="Remarks" prompt="A general comment (data source, calculation procedure, ...) can be made about each individual exchange. The remarks are added to the GeneralComment-field." sqref="Q3 Q8:Q47 R2:R3" xr:uid="{00000000-0002-0000-3200-00001A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200-00001B000000}"/>
  </dataValidations>
  <printOptions horizontalCentered="1" verticalCentered="1"/>
  <pageMargins left="0.78740157480314965" right="0.78740157480314965" top="0.98425196850393704" bottom="0.98425196850393704" header="0.51181102362204722" footer="0.51181102362204722"/>
  <pageSetup paperSize="9" scale="26" orientation="landscape" r:id="rId1"/>
  <headerFooter alignWithMargins="0">
    <oddHeader>&amp;L&amp;C&amp;R</oddHeader>
    <oddFooter>&amp;L&amp;D&amp;C&amp;F&amp;RSeite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84">
    <tabColor rgb="FF9CD9F0"/>
    <pageSetUpPr fitToPage="1"/>
  </sheetPr>
  <dimension ref="A1:AI22"/>
  <sheetViews>
    <sheetView showGridLines="0" workbookViewId="0">
      <selection activeCell="O30" sqref="O30"/>
    </sheetView>
  </sheetViews>
  <sheetFormatPr baseColWidth="10" defaultColWidth="11.42578125" defaultRowHeight="12" outlineLevelCol="1"/>
  <cols>
    <col min="1" max="1" width="10.42578125" style="45" customWidth="1"/>
    <col min="2" max="2" width="16" style="47" customWidth="1"/>
    <col min="3" max="3" width="3.7109375" style="48" hidden="1" customWidth="1" outlineLevel="1"/>
    <col min="4" max="4" width="4.140625" style="45" hidden="1" customWidth="1" outlineLevel="1"/>
    <col min="5" max="5" width="4" style="45" hidden="1" customWidth="1" outlineLevel="1"/>
    <col min="6" max="6" width="48.140625" style="45" customWidth="1" collapsed="1"/>
    <col min="7" max="7" width="6" style="45" customWidth="1"/>
    <col min="8" max="8" width="8.28515625" style="45" hidden="1" customWidth="1" outlineLevel="1"/>
    <col min="9" max="9" width="19.5703125" style="45" hidden="1" customWidth="1" outlineLevel="1"/>
    <col min="10" max="10" width="2.7109375" style="45" customWidth="1" collapsed="1"/>
    <col min="11" max="11" width="12.42578125" style="45" customWidth="1"/>
    <col min="12" max="12" width="14" style="45" customWidth="1"/>
    <col min="13" max="13" width="3.5703125" style="37" customWidth="1" outlineLevel="1"/>
    <col min="14" max="14" width="6.5703125" style="37" customWidth="1" outlineLevel="1"/>
    <col min="15" max="15" width="36.85546875" style="37" customWidth="1" outlineLevel="1"/>
    <col min="16" max="16" width="7.28515625" customWidth="1"/>
    <col min="17" max="17" width="28.85546875" style="391" customWidth="1"/>
    <col min="18" max="18" width="4.140625" style="391" customWidth="1"/>
    <col min="19" max="19" width="4.42578125" style="391" customWidth="1"/>
    <col min="20" max="20" width="4.28515625" style="391" customWidth="1"/>
    <col min="21" max="21" width="4" style="391" customWidth="1"/>
    <col min="22" max="22" width="3.7109375" style="391" customWidth="1"/>
    <col min="23" max="23" width="4.28515625" style="391" customWidth="1"/>
    <col min="24" max="24" width="3.42578125" style="391" hidden="1" customWidth="1" outlineLevel="1"/>
    <col min="25" max="25" width="4.7109375" style="45" hidden="1" customWidth="1" outlineLevel="1"/>
    <col min="26" max="27" width="5.42578125" style="45" hidden="1" customWidth="1" outlineLevel="1"/>
    <col min="28" max="28" width="14.85546875" style="45" hidden="1" customWidth="1" outlineLevel="1"/>
    <col min="29" max="29" width="4.42578125" style="45" hidden="1" customWidth="1" outlineLevel="1"/>
    <col min="30" max="30" width="4.28515625" style="45" hidden="1" customWidth="1" outlineLevel="1"/>
    <col min="31" max="31" width="4" style="45" hidden="1" customWidth="1" outlineLevel="1"/>
    <col min="32" max="32" width="4.42578125" style="45" hidden="1" customWidth="1" outlineLevel="1"/>
    <col min="33" max="33" width="3.85546875" style="45" hidden="1" customWidth="1" outlineLevel="1"/>
    <col min="34" max="34" width="4.28515625" style="45" hidden="1" customWidth="1" outlineLevel="1"/>
    <col min="35" max="35" width="11.42578125" style="45" customWidth="1" collapsed="1"/>
    <col min="36" max="36" width="11.42578125" style="45" customWidth="1"/>
    <col min="37" max="16384" width="11.42578125" style="45"/>
  </cols>
  <sheetData>
    <row r="1" spans="1:34">
      <c r="A1" s="981"/>
      <c r="B1" s="982"/>
      <c r="C1" s="983"/>
      <c r="D1" s="981"/>
      <c r="E1" s="981"/>
      <c r="F1" s="986" t="s">
        <v>65</v>
      </c>
      <c r="G1" s="981"/>
      <c r="H1" s="981"/>
      <c r="I1" s="981"/>
      <c r="J1" s="981"/>
      <c r="K1" s="981"/>
      <c r="L1" s="988">
        <v>267340</v>
      </c>
      <c r="M1" s="896"/>
      <c r="N1" s="896"/>
      <c r="O1" s="896"/>
      <c r="Q1" s="992"/>
      <c r="R1" s="1580" t="s">
        <v>66</v>
      </c>
      <c r="S1" s="1581"/>
      <c r="T1" s="1581"/>
      <c r="U1" s="1581"/>
      <c r="V1" s="1581"/>
      <c r="W1" s="1581"/>
      <c r="X1" s="407"/>
      <c r="Y1" s="407"/>
      <c r="Z1" s="407"/>
      <c r="AA1" s="407"/>
      <c r="AB1" s="407"/>
      <c r="AC1" s="378"/>
      <c r="AD1" s="378"/>
      <c r="AE1" s="378"/>
      <c r="AF1" s="378"/>
      <c r="AG1" s="378"/>
      <c r="AH1" s="378"/>
    </row>
    <row r="2" spans="1:34">
      <c r="A2" s="981"/>
      <c r="B2" s="984"/>
      <c r="C2" s="983" t="s">
        <v>67</v>
      </c>
      <c r="D2" s="984">
        <v>3503</v>
      </c>
      <c r="E2" s="984">
        <v>3504</v>
      </c>
      <c r="F2" s="984">
        <v>3702</v>
      </c>
      <c r="G2" s="984">
        <v>3703</v>
      </c>
      <c r="H2" s="984">
        <v>3506</v>
      </c>
      <c r="I2" s="984">
        <v>3507</v>
      </c>
      <c r="J2" s="984">
        <v>3508</v>
      </c>
      <c r="K2" s="984">
        <v>3706</v>
      </c>
      <c r="L2" s="984">
        <v>3707</v>
      </c>
      <c r="M2" s="989">
        <v>3708</v>
      </c>
      <c r="N2" s="989">
        <v>3709</v>
      </c>
      <c r="O2" s="990">
        <v>3792</v>
      </c>
      <c r="Q2" s="407"/>
      <c r="R2" s="407"/>
      <c r="S2" s="407"/>
      <c r="T2" s="407"/>
      <c r="U2" s="407"/>
      <c r="V2" s="407"/>
      <c r="W2" s="407"/>
      <c r="X2" s="407"/>
      <c r="Y2" s="378"/>
      <c r="Z2" s="378"/>
      <c r="AA2" s="378"/>
      <c r="AB2" s="378"/>
      <c r="AC2" s="378"/>
      <c r="AD2" s="378"/>
      <c r="AE2" s="378"/>
      <c r="AF2" s="378"/>
      <c r="AG2" s="378"/>
      <c r="AH2" s="378"/>
    </row>
    <row r="3" spans="1:34" ht="70.5">
      <c r="A3" s="981" t="s">
        <v>68</v>
      </c>
      <c r="B3" s="985"/>
      <c r="C3" s="983">
        <v>401</v>
      </c>
      <c r="D3" s="85" t="s">
        <v>69</v>
      </c>
      <c r="E3" s="85" t="s">
        <v>70</v>
      </c>
      <c r="F3" s="86" t="s">
        <v>71</v>
      </c>
      <c r="G3" s="85" t="s">
        <v>72</v>
      </c>
      <c r="H3" s="85" t="s">
        <v>73</v>
      </c>
      <c r="I3" s="85" t="s">
        <v>74</v>
      </c>
      <c r="J3" s="85" t="s">
        <v>75</v>
      </c>
      <c r="K3" s="85" t="s">
        <v>76</v>
      </c>
      <c r="L3" s="987" t="s">
        <v>77</v>
      </c>
      <c r="M3" s="422" t="s">
        <v>78</v>
      </c>
      <c r="N3" s="422" t="s">
        <v>79</v>
      </c>
      <c r="O3" s="991" t="s">
        <v>80</v>
      </c>
      <c r="Q3" s="406" t="s">
        <v>81</v>
      </c>
      <c r="R3" s="993" t="s">
        <v>82</v>
      </c>
      <c r="S3" s="993" t="s">
        <v>83</v>
      </c>
      <c r="T3" s="993" t="s">
        <v>84</v>
      </c>
      <c r="U3" s="993" t="s">
        <v>85</v>
      </c>
      <c r="V3" s="993" t="s">
        <v>86</v>
      </c>
      <c r="W3" s="993" t="s">
        <v>87</v>
      </c>
      <c r="X3" s="997" t="s">
        <v>88</v>
      </c>
      <c r="Y3" s="997" t="s">
        <v>89</v>
      </c>
      <c r="Z3" s="997" t="s">
        <v>90</v>
      </c>
      <c r="AA3" s="997" t="s">
        <v>91</v>
      </c>
      <c r="AB3" s="997" t="s">
        <v>92</v>
      </c>
      <c r="AC3" s="998" t="s">
        <v>82</v>
      </c>
      <c r="AD3" s="998" t="s">
        <v>83</v>
      </c>
      <c r="AE3" s="998" t="s">
        <v>84</v>
      </c>
      <c r="AF3" s="998" t="s">
        <v>85</v>
      </c>
      <c r="AG3" s="998" t="s">
        <v>86</v>
      </c>
      <c r="AH3" s="998" t="s">
        <v>87</v>
      </c>
    </row>
    <row r="4" spans="1:34" ht="24">
      <c r="A4" s="981"/>
      <c r="B4" s="985"/>
      <c r="C4" s="983">
        <v>662</v>
      </c>
      <c r="D4" s="86"/>
      <c r="E4" s="86"/>
      <c r="F4" s="86" t="s">
        <v>72</v>
      </c>
      <c r="G4" s="86"/>
      <c r="H4" s="86"/>
      <c r="I4" s="86"/>
      <c r="J4" s="86"/>
      <c r="K4" s="86"/>
      <c r="L4" s="987" t="s">
        <v>93</v>
      </c>
      <c r="M4" s="425"/>
      <c r="N4" s="425"/>
      <c r="O4" s="426"/>
      <c r="Q4" s="992"/>
      <c r="R4" s="994" t="s">
        <v>94</v>
      </c>
      <c r="S4" s="995"/>
      <c r="T4" s="995"/>
      <c r="U4" s="995"/>
      <c r="V4" s="995"/>
      <c r="W4" s="995"/>
      <c r="X4" s="999"/>
      <c r="Y4" s="999"/>
      <c r="Z4" s="999" t="s">
        <v>95</v>
      </c>
      <c r="AA4" s="999" t="s">
        <v>95</v>
      </c>
      <c r="AB4" s="1000"/>
      <c r="AC4" s="1001"/>
      <c r="AD4" s="1001"/>
      <c r="AE4" s="1001"/>
      <c r="AF4" s="1001"/>
      <c r="AG4" s="1001"/>
      <c r="AH4" s="1001"/>
    </row>
    <row r="5" spans="1:34">
      <c r="A5" s="981"/>
      <c r="B5" s="985"/>
      <c r="C5" s="983">
        <v>493</v>
      </c>
      <c r="D5" s="86"/>
      <c r="E5" s="86"/>
      <c r="F5" s="86" t="s">
        <v>75</v>
      </c>
      <c r="G5" s="86"/>
      <c r="H5" s="86"/>
      <c r="I5" s="86"/>
      <c r="J5" s="86"/>
      <c r="K5" s="86"/>
      <c r="L5" s="987">
        <v>0</v>
      </c>
      <c r="M5" s="425"/>
      <c r="N5" s="425"/>
      <c r="O5" s="426"/>
      <c r="Q5" s="992"/>
      <c r="R5" s="995"/>
      <c r="S5" s="995"/>
      <c r="T5" s="995"/>
      <c r="U5" s="995"/>
      <c r="V5" s="995"/>
      <c r="W5" s="995"/>
      <c r="X5" s="1000"/>
      <c r="Y5" s="1000"/>
      <c r="Z5" s="1000"/>
      <c r="AA5" s="1000"/>
      <c r="AB5" s="1000"/>
      <c r="AC5" s="1001"/>
      <c r="AD5" s="1001"/>
      <c r="AE5" s="1001"/>
      <c r="AF5" s="1001"/>
      <c r="AG5" s="1001"/>
      <c r="AH5" s="1001"/>
    </row>
    <row r="6" spans="1:34">
      <c r="A6" s="981"/>
      <c r="B6" s="985"/>
      <c r="C6" s="983">
        <v>403</v>
      </c>
      <c r="D6" s="86"/>
      <c r="E6" s="86"/>
      <c r="F6" s="86" t="s">
        <v>76</v>
      </c>
      <c r="G6" s="86"/>
      <c r="H6" s="86"/>
      <c r="I6" s="86"/>
      <c r="J6" s="86"/>
      <c r="K6" s="86"/>
      <c r="L6" s="987" t="s">
        <v>96</v>
      </c>
      <c r="M6" s="425"/>
      <c r="N6" s="425"/>
      <c r="O6" s="426"/>
      <c r="Q6" s="992"/>
      <c r="R6" s="996"/>
      <c r="S6" s="996"/>
      <c r="T6" s="996"/>
      <c r="U6" s="996"/>
      <c r="V6" s="996"/>
      <c r="W6" s="996"/>
      <c r="X6" s="1000"/>
      <c r="Y6" s="1000"/>
      <c r="Z6" s="1002"/>
      <c r="AA6" s="1002"/>
      <c r="AB6" s="1003"/>
      <c r="AC6" s="1001"/>
      <c r="AD6" s="1001"/>
      <c r="AE6" s="1001"/>
      <c r="AF6" s="1001"/>
      <c r="AG6" s="1001"/>
      <c r="AH6" s="1001"/>
    </row>
    <row r="7" spans="1:34">
      <c r="A7" s="1004">
        <v>267340</v>
      </c>
      <c r="B7" s="1006" t="s">
        <v>97</v>
      </c>
      <c r="C7" s="1007"/>
      <c r="D7" s="1008" t="s">
        <v>98</v>
      </c>
      <c r="E7" s="1009">
        <v>0</v>
      </c>
      <c r="F7" s="1010" t="s">
        <v>77</v>
      </c>
      <c r="G7" s="811" t="s">
        <v>93</v>
      </c>
      <c r="H7" s="1011" t="s">
        <v>98</v>
      </c>
      <c r="I7" s="1011" t="s">
        <v>98</v>
      </c>
      <c r="J7" s="812">
        <v>0</v>
      </c>
      <c r="K7" s="811" t="s">
        <v>96</v>
      </c>
      <c r="L7" s="1012">
        <v>1</v>
      </c>
      <c r="M7" s="91"/>
      <c r="N7" s="92"/>
      <c r="O7" s="93"/>
      <c r="Q7" s="378"/>
      <c r="R7" s="853"/>
      <c r="S7" s="853"/>
      <c r="T7" s="853"/>
      <c r="U7" s="853"/>
      <c r="V7" s="853"/>
      <c r="W7" s="853"/>
      <c r="X7" s="1025"/>
      <c r="Y7" s="1015"/>
      <c r="Z7" s="1015"/>
      <c r="AA7" s="1015"/>
      <c r="AB7" s="1015"/>
      <c r="AC7" s="1016"/>
      <c r="AD7" s="1016"/>
      <c r="AE7" s="1016"/>
      <c r="AF7" s="1016"/>
      <c r="AG7" s="1016"/>
      <c r="AH7" s="1016"/>
    </row>
    <row r="8" spans="1:34" ht="24">
      <c r="A8" s="1004">
        <v>267338</v>
      </c>
      <c r="B8" s="1006" t="str">
        <f t="shared" ref="B8:B21" si="0">IF(OR(D8&lt;&gt;D7,E8&lt;&gt;E7,H8&lt;&gt;H7,I8&lt;&gt;I7),IF(D8=5,"technosphere",IF(D8=4,H8&amp;", "&amp;I8,"emission "&amp;H8&amp;", "&amp;I8)),"")</f>
        <v>technosphere</v>
      </c>
      <c r="C8" s="1007"/>
      <c r="D8" s="1081">
        <v>5</v>
      </c>
      <c r="E8" s="1082" t="s">
        <v>98</v>
      </c>
      <c r="F8" s="899" t="s">
        <v>99</v>
      </c>
      <c r="G8" s="900" t="s">
        <v>93</v>
      </c>
      <c r="H8" s="906" t="s">
        <v>98</v>
      </c>
      <c r="I8" s="901" t="s">
        <v>98</v>
      </c>
      <c r="J8" s="902">
        <v>0</v>
      </c>
      <c r="K8" s="900" t="s">
        <v>96</v>
      </c>
      <c r="L8" s="1083">
        <v>1.6933331999047301</v>
      </c>
      <c r="M8" s="816">
        <v>1</v>
      </c>
      <c r="N8" s="817">
        <f t="shared" ref="N8:N21" si="1">$AA8</f>
        <v>1.3764903792315621</v>
      </c>
      <c r="O8" s="1096" t="str">
        <f t="shared" ref="O8:O21" si="2">$AB8&amp;"; "&amp;$Q8</f>
        <v>(4,5,1,1,1,5,BU:1.05); stoichiometric calculation and 95% yield</v>
      </c>
      <c r="Q8" s="1085" t="s">
        <v>100</v>
      </c>
      <c r="R8" s="1086">
        <v>4</v>
      </c>
      <c r="S8" s="1086">
        <v>5</v>
      </c>
      <c r="T8" s="1086">
        <v>1</v>
      </c>
      <c r="U8" s="1086">
        <v>1</v>
      </c>
      <c r="V8" s="1086">
        <v>1</v>
      </c>
      <c r="W8" s="1086">
        <v>5</v>
      </c>
      <c r="X8" s="1087">
        <v>3</v>
      </c>
      <c r="Y8" s="1088">
        <v>1.05</v>
      </c>
      <c r="Z8" s="1088">
        <f t="shared" ref="Z8:Z21" si="3">EXP(SQRT((LN(AC8)^2)+(LN(AD8)^2)+(LN(AE8)^2)+(LN(AF8)^2)+(LN(AG8)^2)+(LN(AH8)^2)))</f>
        <v>1.3713425173473328</v>
      </c>
      <c r="AA8" s="1088">
        <f t="shared" ref="AA8:AA21" si="4">EXP(SQRT((LN(AC8)^2)+(LN(AD8)^2)+(LN(AE8)^2)+(LN(AF8)^2)+(LN(AG8)^2)+(LN(AH8)^2)+LN(Y8)^2))</f>
        <v>1.3764903792315621</v>
      </c>
      <c r="AB8" s="1088" t="str">
        <f t="shared" ref="AB8:AB21" si="5">CONCATENATE("(",R8,",",S8,",",T8,",",U8,",",V8,",",W8,",BU:",Y8,")")</f>
        <v>(4,5,1,1,1,5,BU:1.05)</v>
      </c>
      <c r="AC8" s="1089">
        <v>1.2</v>
      </c>
      <c r="AD8" s="1089">
        <v>1.2</v>
      </c>
      <c r="AE8" s="1089">
        <v>1</v>
      </c>
      <c r="AF8" s="1089">
        <v>1</v>
      </c>
      <c r="AG8" s="1089">
        <v>1</v>
      </c>
      <c r="AH8" s="1089">
        <v>1.2</v>
      </c>
    </row>
    <row r="9" spans="1:34" ht="24">
      <c r="A9" s="1004">
        <v>269257</v>
      </c>
      <c r="B9" s="1006" t="str">
        <f t="shared" si="0"/>
        <v/>
      </c>
      <c r="C9" s="1007"/>
      <c r="D9" s="1018">
        <v>5</v>
      </c>
      <c r="E9" s="1019" t="s">
        <v>98</v>
      </c>
      <c r="F9" s="1023" t="s">
        <v>101</v>
      </c>
      <c r="G9" s="818" t="s">
        <v>93</v>
      </c>
      <c r="H9" s="821" t="s">
        <v>98</v>
      </c>
      <c r="I9" s="821" t="s">
        <v>98</v>
      </c>
      <c r="J9" s="819">
        <v>0</v>
      </c>
      <c r="K9" s="818" t="s">
        <v>96</v>
      </c>
      <c r="L9" s="1020">
        <v>0.252901003316368</v>
      </c>
      <c r="M9" s="820">
        <v>1</v>
      </c>
      <c r="N9" s="813">
        <f t="shared" si="1"/>
        <v>1.3764903792315621</v>
      </c>
      <c r="O9" s="1051" t="str">
        <f t="shared" si="2"/>
        <v>(4,5,1,1,1,5,BU:1.05); stoichiometric calculation and 95% yield</v>
      </c>
      <c r="Q9" s="1022" t="s">
        <v>100</v>
      </c>
      <c r="R9" s="1024">
        <v>4</v>
      </c>
      <c r="S9" s="1024">
        <v>5</v>
      </c>
      <c r="T9" s="1024">
        <v>1</v>
      </c>
      <c r="U9" s="1024">
        <v>1</v>
      </c>
      <c r="V9" s="1024">
        <v>1</v>
      </c>
      <c r="W9" s="1024">
        <v>5</v>
      </c>
      <c r="X9" s="838">
        <v>3</v>
      </c>
      <c r="Y9" s="1090">
        <v>1.05</v>
      </c>
      <c r="Z9" s="1090">
        <f t="shared" si="3"/>
        <v>1.3713425173473328</v>
      </c>
      <c r="AA9" s="1090">
        <f t="shared" si="4"/>
        <v>1.3764903792315621</v>
      </c>
      <c r="AB9" s="1090" t="str">
        <f t="shared" si="5"/>
        <v>(4,5,1,1,1,5,BU:1.05)</v>
      </c>
      <c r="AC9" s="1091">
        <v>1.2</v>
      </c>
      <c r="AD9" s="1091">
        <v>1.2</v>
      </c>
      <c r="AE9" s="1091">
        <v>1</v>
      </c>
      <c r="AF9" s="1091">
        <v>1</v>
      </c>
      <c r="AG9" s="1091">
        <v>1</v>
      </c>
      <c r="AH9" s="1091">
        <v>1.2</v>
      </c>
    </row>
    <row r="10" spans="1:34" ht="24">
      <c r="A10" s="1004">
        <v>267336</v>
      </c>
      <c r="B10" s="1006" t="str">
        <f t="shared" si="0"/>
        <v/>
      </c>
      <c r="C10" s="1007"/>
      <c r="D10" s="1081">
        <v>5</v>
      </c>
      <c r="E10" s="1082" t="s">
        <v>98</v>
      </c>
      <c r="F10" s="1092" t="s">
        <v>102</v>
      </c>
      <c r="G10" s="814" t="s">
        <v>103</v>
      </c>
      <c r="H10" s="822" t="s">
        <v>98</v>
      </c>
      <c r="I10" s="822" t="s">
        <v>98</v>
      </c>
      <c r="J10" s="815">
        <v>0</v>
      </c>
      <c r="K10" s="814" t="s">
        <v>104</v>
      </c>
      <c r="L10" s="1083">
        <v>7.0000000000000007E-2</v>
      </c>
      <c r="M10" s="816">
        <v>1</v>
      </c>
      <c r="N10" s="817">
        <f t="shared" si="1"/>
        <v>1.3000688016831126</v>
      </c>
      <c r="O10" s="1096" t="str">
        <f t="shared" si="2"/>
        <v>(4,5,na,na,na,na,BU:1.05); abatement system theoretical calculation</v>
      </c>
      <c r="Q10" s="1085" t="s">
        <v>105</v>
      </c>
      <c r="R10" s="1086">
        <v>4</v>
      </c>
      <c r="S10" s="1086">
        <v>5</v>
      </c>
      <c r="T10" s="1086" t="s">
        <v>106</v>
      </c>
      <c r="U10" s="1086" t="s">
        <v>106</v>
      </c>
      <c r="V10" s="1086" t="s">
        <v>106</v>
      </c>
      <c r="W10" s="1086" t="s">
        <v>106</v>
      </c>
      <c r="X10" s="1087">
        <v>1</v>
      </c>
      <c r="Y10" s="1088">
        <v>1.05</v>
      </c>
      <c r="Z10" s="1088">
        <f t="shared" si="3"/>
        <v>1.2941338353151037</v>
      </c>
      <c r="AA10" s="1088">
        <f t="shared" si="4"/>
        <v>1.3000688016831126</v>
      </c>
      <c r="AB10" s="1088" t="str">
        <f t="shared" si="5"/>
        <v>(4,5,na,na,na,na,BU:1.05)</v>
      </c>
      <c r="AC10" s="1089">
        <v>1.2</v>
      </c>
      <c r="AD10" s="1089">
        <v>1.2</v>
      </c>
      <c r="AE10" s="1089">
        <v>1</v>
      </c>
      <c r="AF10" s="1089">
        <v>1</v>
      </c>
      <c r="AG10" s="1089">
        <v>1</v>
      </c>
      <c r="AH10" s="1089">
        <v>1</v>
      </c>
    </row>
    <row r="11" spans="1:34" ht="24">
      <c r="A11" s="1005">
        <v>269603</v>
      </c>
      <c r="B11" s="1006" t="str">
        <f t="shared" si="0"/>
        <v/>
      </c>
      <c r="C11" s="1007"/>
      <c r="D11" s="1018">
        <v>5</v>
      </c>
      <c r="E11" s="1019" t="s">
        <v>98</v>
      </c>
      <c r="F11" s="1023" t="s">
        <v>107</v>
      </c>
      <c r="G11" s="818" t="s">
        <v>108</v>
      </c>
      <c r="H11" s="821" t="s">
        <v>98</v>
      </c>
      <c r="I11" s="821" t="s">
        <v>98</v>
      </c>
      <c r="J11" s="819">
        <v>0</v>
      </c>
      <c r="K11" s="818" t="s">
        <v>109</v>
      </c>
      <c r="L11" s="1020">
        <v>43</v>
      </c>
      <c r="M11" s="820">
        <v>1</v>
      </c>
      <c r="N11" s="813">
        <f t="shared" si="1"/>
        <v>1.1150377561073679</v>
      </c>
      <c r="O11" s="1051" t="str">
        <f t="shared" si="2"/>
        <v>(1,4,1,3,1,1,BU:1.05); according to de Wild-Scholten (2007)</v>
      </c>
      <c r="Q11" s="1022" t="s">
        <v>110</v>
      </c>
      <c r="R11" s="1024">
        <v>1</v>
      </c>
      <c r="S11" s="1024">
        <v>4</v>
      </c>
      <c r="T11" s="1024">
        <v>1</v>
      </c>
      <c r="U11" s="1024">
        <v>3</v>
      </c>
      <c r="V11" s="1024">
        <v>1</v>
      </c>
      <c r="W11" s="1024">
        <v>1</v>
      </c>
      <c r="X11" s="838">
        <v>2</v>
      </c>
      <c r="Y11" s="1090">
        <v>1.05</v>
      </c>
      <c r="Z11" s="1090">
        <f t="shared" si="3"/>
        <v>1.1022412909678683</v>
      </c>
      <c r="AA11" s="1090">
        <f t="shared" si="4"/>
        <v>1.1150377561073679</v>
      </c>
      <c r="AB11" s="1090" t="str">
        <f t="shared" si="5"/>
        <v>(1,4,1,3,1,1,BU:1.05)</v>
      </c>
      <c r="AC11" s="1091">
        <v>1</v>
      </c>
      <c r="AD11" s="1091">
        <v>1.1000000000000001</v>
      </c>
      <c r="AE11" s="1091">
        <v>1</v>
      </c>
      <c r="AF11" s="1091">
        <v>1.02</v>
      </c>
      <c r="AG11" s="1091">
        <v>1</v>
      </c>
      <c r="AH11" s="1091">
        <v>1</v>
      </c>
    </row>
    <row r="12" spans="1:34">
      <c r="A12" s="1004">
        <v>269525</v>
      </c>
      <c r="B12" s="1006" t="str">
        <f t="shared" si="0"/>
        <v/>
      </c>
      <c r="C12" s="1007"/>
      <c r="D12" s="1081">
        <v>5</v>
      </c>
      <c r="E12" s="1082" t="s">
        <v>98</v>
      </c>
      <c r="F12" s="1092" t="s">
        <v>111</v>
      </c>
      <c r="G12" s="814" t="s">
        <v>93</v>
      </c>
      <c r="H12" s="822" t="s">
        <v>98</v>
      </c>
      <c r="I12" s="822" t="s">
        <v>98</v>
      </c>
      <c r="J12" s="815">
        <v>1</v>
      </c>
      <c r="K12" s="814" t="s">
        <v>112</v>
      </c>
      <c r="L12" s="1083">
        <v>4.0000000000000001E-10</v>
      </c>
      <c r="M12" s="816">
        <v>1</v>
      </c>
      <c r="N12" s="817">
        <f t="shared" si="1"/>
        <v>3.0909055800049732</v>
      </c>
      <c r="O12" s="1096" t="str">
        <f t="shared" si="2"/>
        <v>(4,5,na,na,na,na,BU:3); estimation</v>
      </c>
      <c r="Q12" s="1085" t="s">
        <v>113</v>
      </c>
      <c r="R12" s="1086">
        <v>4</v>
      </c>
      <c r="S12" s="1086">
        <v>5</v>
      </c>
      <c r="T12" s="1086" t="s">
        <v>106</v>
      </c>
      <c r="U12" s="1086" t="s">
        <v>106</v>
      </c>
      <c r="V12" s="1086" t="s">
        <v>106</v>
      </c>
      <c r="W12" s="1086" t="s">
        <v>106</v>
      </c>
      <c r="X12" s="1087">
        <v>9</v>
      </c>
      <c r="Y12" s="1088">
        <v>3</v>
      </c>
      <c r="Z12" s="1088">
        <f t="shared" si="3"/>
        <v>1.2941338353151037</v>
      </c>
      <c r="AA12" s="1088">
        <f t="shared" si="4"/>
        <v>3.0909055800049732</v>
      </c>
      <c r="AB12" s="1088" t="str">
        <f t="shared" si="5"/>
        <v>(4,5,na,na,na,na,BU:3)</v>
      </c>
      <c r="AC12" s="1089">
        <v>1.2</v>
      </c>
      <c r="AD12" s="1089">
        <v>1.2</v>
      </c>
      <c r="AE12" s="1089">
        <v>1</v>
      </c>
      <c r="AF12" s="1089">
        <v>1</v>
      </c>
      <c r="AG12" s="1089">
        <v>1</v>
      </c>
      <c r="AH12" s="1089">
        <v>1</v>
      </c>
    </row>
    <row r="13" spans="1:34">
      <c r="A13" s="1004">
        <v>269641</v>
      </c>
      <c r="B13" s="1006" t="str">
        <f t="shared" si="0"/>
        <v/>
      </c>
      <c r="C13" s="1007"/>
      <c r="D13" s="1018">
        <v>5</v>
      </c>
      <c r="E13" s="1019" t="s">
        <v>98</v>
      </c>
      <c r="F13" s="1023" t="s">
        <v>114</v>
      </c>
      <c r="G13" s="818" t="s">
        <v>93</v>
      </c>
      <c r="H13" s="821" t="s">
        <v>98</v>
      </c>
      <c r="I13" s="821" t="s">
        <v>98</v>
      </c>
      <c r="J13" s="819">
        <v>0</v>
      </c>
      <c r="K13" s="818" t="s">
        <v>115</v>
      </c>
      <c r="L13" s="1020">
        <f>(L8+L9)*100/1000</f>
        <v>0.1946234203221098</v>
      </c>
      <c r="M13" s="820">
        <v>1</v>
      </c>
      <c r="N13" s="813">
        <f t="shared" si="1"/>
        <v>2.0949941301068096</v>
      </c>
      <c r="O13" s="1051" t="str">
        <f t="shared" si="2"/>
        <v>(4,5,na,na,na,na,BU:2); standard distances</v>
      </c>
      <c r="Q13" s="1022" t="s">
        <v>116</v>
      </c>
      <c r="R13" s="1024">
        <v>4</v>
      </c>
      <c r="S13" s="1024">
        <v>5</v>
      </c>
      <c r="T13" s="1024" t="s">
        <v>106</v>
      </c>
      <c r="U13" s="1024" t="s">
        <v>106</v>
      </c>
      <c r="V13" s="1024" t="s">
        <v>106</v>
      </c>
      <c r="W13" s="1024" t="s">
        <v>106</v>
      </c>
      <c r="X13" s="838">
        <v>5</v>
      </c>
      <c r="Y13" s="1090">
        <v>2</v>
      </c>
      <c r="Z13" s="1090">
        <f t="shared" si="3"/>
        <v>1.2941338353151037</v>
      </c>
      <c r="AA13" s="1090">
        <f t="shared" si="4"/>
        <v>2.0949941301068096</v>
      </c>
      <c r="AB13" s="1090" t="str">
        <f t="shared" si="5"/>
        <v>(4,5,na,na,na,na,BU:2)</v>
      </c>
      <c r="AC13" s="1091">
        <v>1.2</v>
      </c>
      <c r="AD13" s="1091">
        <v>1.2</v>
      </c>
      <c r="AE13" s="1091">
        <v>1</v>
      </c>
      <c r="AF13" s="1091">
        <v>1</v>
      </c>
      <c r="AG13" s="1091">
        <v>1</v>
      </c>
      <c r="AH13" s="1091">
        <v>1</v>
      </c>
    </row>
    <row r="14" spans="1:34">
      <c r="A14" s="1004">
        <v>160371</v>
      </c>
      <c r="B14" s="1006" t="str">
        <f t="shared" si="0"/>
        <v/>
      </c>
      <c r="C14" s="1007"/>
      <c r="D14" s="1081">
        <v>5</v>
      </c>
      <c r="E14" s="1082" t="s">
        <v>98</v>
      </c>
      <c r="F14" s="1092" t="s">
        <v>117</v>
      </c>
      <c r="G14" s="814" t="s">
        <v>93</v>
      </c>
      <c r="H14" s="822" t="s">
        <v>98</v>
      </c>
      <c r="I14" s="822" t="s">
        <v>98</v>
      </c>
      <c r="J14" s="815">
        <v>0</v>
      </c>
      <c r="K14" s="814" t="s">
        <v>115</v>
      </c>
      <c r="L14" s="1083">
        <f>(L8+L9)*600/1000</f>
        <v>1.1677405219326591</v>
      </c>
      <c r="M14" s="816">
        <v>1</v>
      </c>
      <c r="N14" s="817">
        <f t="shared" si="1"/>
        <v>2.0949941301068096</v>
      </c>
      <c r="O14" s="1096" t="str">
        <f t="shared" si="2"/>
        <v>(4,5,na,na,na,na,BU:2); standard distances</v>
      </c>
      <c r="Q14" s="1085" t="s">
        <v>116</v>
      </c>
      <c r="R14" s="1086">
        <v>4</v>
      </c>
      <c r="S14" s="1086">
        <v>5</v>
      </c>
      <c r="T14" s="1086" t="s">
        <v>106</v>
      </c>
      <c r="U14" s="1086" t="s">
        <v>106</v>
      </c>
      <c r="V14" s="1086" t="s">
        <v>106</v>
      </c>
      <c r="W14" s="1086" t="s">
        <v>106</v>
      </c>
      <c r="X14" s="1087">
        <v>5</v>
      </c>
      <c r="Y14" s="1088">
        <v>2</v>
      </c>
      <c r="Z14" s="1088">
        <f t="shared" si="3"/>
        <v>1.2941338353151037</v>
      </c>
      <c r="AA14" s="1088">
        <f t="shared" si="4"/>
        <v>2.0949941301068096</v>
      </c>
      <c r="AB14" s="1088" t="str">
        <f t="shared" si="5"/>
        <v>(4,5,na,na,na,na,BU:2)</v>
      </c>
      <c r="AC14" s="1089">
        <v>1.2</v>
      </c>
      <c r="AD14" s="1089">
        <v>1.2</v>
      </c>
      <c r="AE14" s="1089">
        <v>1</v>
      </c>
      <c r="AF14" s="1089">
        <v>1</v>
      </c>
      <c r="AG14" s="1089">
        <v>1</v>
      </c>
      <c r="AH14" s="1089">
        <v>1</v>
      </c>
    </row>
    <row r="15" spans="1:34" ht="24">
      <c r="A15" s="1004">
        <v>269519</v>
      </c>
      <c r="B15" s="1006" t="str">
        <f t="shared" si="0"/>
        <v/>
      </c>
      <c r="C15" s="1007"/>
      <c r="D15" s="1018">
        <v>5</v>
      </c>
      <c r="E15" s="1019" t="s">
        <v>98</v>
      </c>
      <c r="F15" s="1023" t="s">
        <v>118</v>
      </c>
      <c r="G15" s="818" t="s">
        <v>103</v>
      </c>
      <c r="H15" s="821" t="s">
        <v>98</v>
      </c>
      <c r="I15" s="821" t="s">
        <v>98</v>
      </c>
      <c r="J15" s="819">
        <v>0</v>
      </c>
      <c r="K15" s="818" t="s">
        <v>119</v>
      </c>
      <c r="L15" s="1020">
        <f>L21</f>
        <v>1.2E-2</v>
      </c>
      <c r="M15" s="820">
        <v>1</v>
      </c>
      <c r="N15" s="813">
        <f t="shared" si="1"/>
        <v>1.3000688016831126</v>
      </c>
      <c r="O15" s="1051" t="str">
        <f t="shared" si="2"/>
        <v>(4,5,na,na,na,na,BU:1.05); due to water consumption</v>
      </c>
      <c r="Q15" s="1022" t="s">
        <v>120</v>
      </c>
      <c r="R15" s="1024">
        <v>4</v>
      </c>
      <c r="S15" s="1024">
        <v>5</v>
      </c>
      <c r="T15" s="1024" t="s">
        <v>106</v>
      </c>
      <c r="U15" s="1024" t="s">
        <v>106</v>
      </c>
      <c r="V15" s="1024" t="s">
        <v>106</v>
      </c>
      <c r="W15" s="1024" t="s">
        <v>106</v>
      </c>
      <c r="X15" s="838">
        <v>6</v>
      </c>
      <c r="Y15" s="1090">
        <v>1.05</v>
      </c>
      <c r="Z15" s="1090">
        <f t="shared" si="3"/>
        <v>1.2941338353151037</v>
      </c>
      <c r="AA15" s="1090">
        <f t="shared" si="4"/>
        <v>1.3000688016831126</v>
      </c>
      <c r="AB15" s="1090" t="str">
        <f t="shared" si="5"/>
        <v>(4,5,na,na,na,na,BU:1.05)</v>
      </c>
      <c r="AC15" s="1091">
        <v>1.2</v>
      </c>
      <c r="AD15" s="1091">
        <v>1.2</v>
      </c>
      <c r="AE15" s="1091">
        <v>1</v>
      </c>
      <c r="AF15" s="1091">
        <v>1</v>
      </c>
      <c r="AG15" s="1091">
        <v>1</v>
      </c>
      <c r="AH15" s="1091">
        <v>1</v>
      </c>
    </row>
    <row r="16" spans="1:34" ht="24">
      <c r="A16" s="1004">
        <v>21844</v>
      </c>
      <c r="B16" s="1006" t="str">
        <f t="shared" si="0"/>
        <v>emission air, high population density</v>
      </c>
      <c r="C16" s="1007"/>
      <c r="D16" s="1081" t="s">
        <v>98</v>
      </c>
      <c r="E16" s="1082">
        <v>4</v>
      </c>
      <c r="F16" s="1092" t="s">
        <v>121</v>
      </c>
      <c r="G16" s="814" t="s">
        <v>98</v>
      </c>
      <c r="H16" s="822" t="s">
        <v>122</v>
      </c>
      <c r="I16" s="822" t="s">
        <v>123</v>
      </c>
      <c r="J16" s="815" t="s">
        <v>98</v>
      </c>
      <c r="K16" s="814" t="s">
        <v>104</v>
      </c>
      <c r="L16" s="1083">
        <f>L11*3.6</f>
        <v>154.80000000000001</v>
      </c>
      <c r="M16" s="816">
        <v>1</v>
      </c>
      <c r="N16" s="817">
        <f t="shared" si="1"/>
        <v>1.3000688016831126</v>
      </c>
      <c r="O16" s="1096" t="str">
        <f t="shared" si="2"/>
        <v>(4,5,na,na,na,na,BU:1.05); due to electricity consumption</v>
      </c>
      <c r="Q16" s="1085" t="s">
        <v>124</v>
      </c>
      <c r="R16" s="1086">
        <v>4</v>
      </c>
      <c r="S16" s="1086">
        <v>5</v>
      </c>
      <c r="T16" s="1086" t="s">
        <v>106</v>
      </c>
      <c r="U16" s="1086" t="s">
        <v>106</v>
      </c>
      <c r="V16" s="1086" t="s">
        <v>106</v>
      </c>
      <c r="W16" s="1086" t="s">
        <v>106</v>
      </c>
      <c r="X16" s="1087">
        <v>13</v>
      </c>
      <c r="Y16" s="1088">
        <v>1.05</v>
      </c>
      <c r="Z16" s="1088">
        <f t="shared" si="3"/>
        <v>1.2941338353151037</v>
      </c>
      <c r="AA16" s="1088">
        <f t="shared" si="4"/>
        <v>1.3000688016831126</v>
      </c>
      <c r="AB16" s="1088" t="str">
        <f t="shared" si="5"/>
        <v>(4,5,na,na,na,na,BU:1.05)</v>
      </c>
      <c r="AC16" s="1089">
        <v>1.2</v>
      </c>
      <c r="AD16" s="1089">
        <v>1.2</v>
      </c>
      <c r="AE16" s="1089">
        <v>1</v>
      </c>
      <c r="AF16" s="1089">
        <v>1</v>
      </c>
      <c r="AG16" s="1089">
        <v>1</v>
      </c>
      <c r="AH16" s="1089">
        <v>1</v>
      </c>
    </row>
    <row r="17" spans="1:34">
      <c r="A17" s="1004">
        <v>73468</v>
      </c>
      <c r="B17" s="1006" t="str">
        <f t="shared" si="0"/>
        <v/>
      </c>
      <c r="C17" s="1007"/>
      <c r="D17" s="1018" t="s">
        <v>98</v>
      </c>
      <c r="E17" s="1019">
        <v>4</v>
      </c>
      <c r="F17" s="1023" t="s">
        <v>125</v>
      </c>
      <c r="G17" s="818" t="s">
        <v>98</v>
      </c>
      <c r="H17" s="821" t="s">
        <v>122</v>
      </c>
      <c r="I17" s="821" t="s">
        <v>123</v>
      </c>
      <c r="J17" s="819" t="s">
        <v>98</v>
      </c>
      <c r="K17" s="818" t="s">
        <v>96</v>
      </c>
      <c r="L17" s="1020">
        <f>L8*0.2%</f>
        <v>3.3866663998094603E-3</v>
      </c>
      <c r="M17" s="820">
        <v>1</v>
      </c>
      <c r="N17" s="813">
        <f t="shared" si="1"/>
        <v>1.6168893782141394</v>
      </c>
      <c r="O17" s="1051" t="str">
        <f t="shared" si="2"/>
        <v>(4,5,na,na,na,na,BU:1.5); estimation 0.2%</v>
      </c>
      <c r="Q17" s="1022" t="s">
        <v>126</v>
      </c>
      <c r="R17" s="1024">
        <v>4</v>
      </c>
      <c r="S17" s="1024">
        <v>5</v>
      </c>
      <c r="T17" s="1024" t="s">
        <v>106</v>
      </c>
      <c r="U17" s="1024" t="s">
        <v>106</v>
      </c>
      <c r="V17" s="1024" t="s">
        <v>106</v>
      </c>
      <c r="W17" s="1024" t="s">
        <v>106</v>
      </c>
      <c r="X17" s="838">
        <v>31</v>
      </c>
      <c r="Y17" s="1090">
        <v>1.5</v>
      </c>
      <c r="Z17" s="1090">
        <f t="shared" si="3"/>
        <v>1.2941338353151037</v>
      </c>
      <c r="AA17" s="1090">
        <f t="shared" si="4"/>
        <v>1.6168893782141394</v>
      </c>
      <c r="AB17" s="1090" t="str">
        <f t="shared" si="5"/>
        <v>(4,5,na,na,na,na,BU:1.5)</v>
      </c>
      <c r="AC17" s="1091">
        <v>1.2</v>
      </c>
      <c r="AD17" s="1091">
        <v>1.2</v>
      </c>
      <c r="AE17" s="1091">
        <v>1</v>
      </c>
      <c r="AF17" s="1091">
        <v>1</v>
      </c>
      <c r="AG17" s="1091">
        <v>1</v>
      </c>
      <c r="AH17" s="1091">
        <v>1</v>
      </c>
    </row>
    <row r="18" spans="1:34">
      <c r="A18" s="1004">
        <v>32351</v>
      </c>
      <c r="B18" s="1006" t="str">
        <f t="shared" si="0"/>
        <v/>
      </c>
      <c r="C18" s="1007"/>
      <c r="D18" s="1081" t="s">
        <v>98</v>
      </c>
      <c r="E18" s="1082">
        <v>4</v>
      </c>
      <c r="F18" s="1092" t="s">
        <v>127</v>
      </c>
      <c r="G18" s="814" t="s">
        <v>98</v>
      </c>
      <c r="H18" s="822" t="s">
        <v>122</v>
      </c>
      <c r="I18" s="822" t="s">
        <v>123</v>
      </c>
      <c r="J18" s="815" t="s">
        <v>98</v>
      </c>
      <c r="K18" s="814" t="s">
        <v>96</v>
      </c>
      <c r="L18" s="1083">
        <f>L9*0.2%</f>
        <v>5.0580200663273599E-4</v>
      </c>
      <c r="M18" s="816">
        <v>1</v>
      </c>
      <c r="N18" s="817">
        <f t="shared" si="1"/>
        <v>1.3713425173473328</v>
      </c>
      <c r="O18" s="1096" t="str">
        <f t="shared" si="2"/>
        <v>(4,5,na,na,na,na,BU:1.2); estimation 0.2%</v>
      </c>
      <c r="Q18" s="1085" t="s">
        <v>126</v>
      </c>
      <c r="R18" s="1086">
        <v>4</v>
      </c>
      <c r="S18" s="1086">
        <v>5</v>
      </c>
      <c r="T18" s="1086" t="s">
        <v>106</v>
      </c>
      <c r="U18" s="1086" t="s">
        <v>106</v>
      </c>
      <c r="V18" s="1086" t="s">
        <v>106</v>
      </c>
      <c r="W18" s="1086" t="s">
        <v>106</v>
      </c>
      <c r="X18" s="1087">
        <v>28</v>
      </c>
      <c r="Y18" s="1088">
        <v>1.2</v>
      </c>
      <c r="Z18" s="1088">
        <f t="shared" si="3"/>
        <v>1.2941338353151037</v>
      </c>
      <c r="AA18" s="1088">
        <f t="shared" si="4"/>
        <v>1.3713425173473328</v>
      </c>
      <c r="AB18" s="1088" t="str">
        <f t="shared" si="5"/>
        <v>(4,5,na,na,na,na,BU:1.2)</v>
      </c>
      <c r="AC18" s="1089">
        <v>1.2</v>
      </c>
      <c r="AD18" s="1089">
        <v>1.2</v>
      </c>
      <c r="AE18" s="1089">
        <v>1</v>
      </c>
      <c r="AF18" s="1089">
        <v>1</v>
      </c>
      <c r="AG18" s="1089">
        <v>1</v>
      </c>
      <c r="AH18" s="1089">
        <v>1</v>
      </c>
    </row>
    <row r="19" spans="1:34" ht="24">
      <c r="A19" s="1004">
        <v>90765</v>
      </c>
      <c r="B19" s="1006" t="str">
        <f t="shared" si="0"/>
        <v/>
      </c>
      <c r="C19" s="1007"/>
      <c r="D19" s="1018" t="s">
        <v>98</v>
      </c>
      <c r="E19" s="1019">
        <v>4</v>
      </c>
      <c r="F19" s="1023" t="s">
        <v>128</v>
      </c>
      <c r="G19" s="818" t="s">
        <v>98</v>
      </c>
      <c r="H19" s="821" t="s">
        <v>122</v>
      </c>
      <c r="I19" s="821" t="s">
        <v>123</v>
      </c>
      <c r="J19" s="819" t="s">
        <v>98</v>
      </c>
      <c r="K19" s="818" t="s">
        <v>96</v>
      </c>
      <c r="L19" s="1020">
        <f>1*0.012</f>
        <v>1.2E-2</v>
      </c>
      <c r="M19" s="820">
        <v>1</v>
      </c>
      <c r="N19" s="813">
        <f t="shared" si="1"/>
        <v>1.5763366686015441</v>
      </c>
      <c r="O19" s="1051" t="str">
        <f t="shared" si="2"/>
        <v>(1,4,1,3,1,5,BU:1.5); 1.2% according to environmental report Air Products</v>
      </c>
      <c r="Q19" s="1022" t="s">
        <v>129</v>
      </c>
      <c r="R19" s="1024">
        <v>1</v>
      </c>
      <c r="S19" s="1024">
        <v>4</v>
      </c>
      <c r="T19" s="1024">
        <v>1</v>
      </c>
      <c r="U19" s="1024">
        <v>3</v>
      </c>
      <c r="V19" s="1024">
        <v>1</v>
      </c>
      <c r="W19" s="1024">
        <v>5</v>
      </c>
      <c r="X19" s="838">
        <v>31</v>
      </c>
      <c r="Y19" s="1090">
        <v>1.5</v>
      </c>
      <c r="Z19" s="1090">
        <f t="shared" si="3"/>
        <v>1.2295911287822268</v>
      </c>
      <c r="AA19" s="1090">
        <f t="shared" si="4"/>
        <v>1.5763366686015441</v>
      </c>
      <c r="AB19" s="1090" t="str">
        <f t="shared" si="5"/>
        <v>(1,4,1,3,1,5,BU:1.5)</v>
      </c>
      <c r="AC19" s="1091">
        <v>1</v>
      </c>
      <c r="AD19" s="1091">
        <v>1.1000000000000001</v>
      </c>
      <c r="AE19" s="1091">
        <v>1</v>
      </c>
      <c r="AF19" s="1091">
        <v>1.02</v>
      </c>
      <c r="AG19" s="1091">
        <v>1</v>
      </c>
      <c r="AH19" s="1091">
        <v>1.2</v>
      </c>
    </row>
    <row r="20" spans="1:34" ht="24">
      <c r="A20" s="1004">
        <v>29019</v>
      </c>
      <c r="B20" s="1006" t="str">
        <f t="shared" si="0"/>
        <v>resource, in water</v>
      </c>
      <c r="C20" s="1007"/>
      <c r="D20" s="1081">
        <v>4</v>
      </c>
      <c r="E20" s="1082" t="s">
        <v>98</v>
      </c>
      <c r="F20" s="1092" t="s">
        <v>130</v>
      </c>
      <c r="G20" s="814" t="s">
        <v>98</v>
      </c>
      <c r="H20" s="822" t="s">
        <v>131</v>
      </c>
      <c r="I20" s="822" t="s">
        <v>132</v>
      </c>
      <c r="J20" s="815" t="s">
        <v>98</v>
      </c>
      <c r="K20" s="814" t="s">
        <v>119</v>
      </c>
      <c r="L20" s="1083">
        <v>2.4E-2</v>
      </c>
      <c r="M20" s="816">
        <v>1</v>
      </c>
      <c r="N20" s="817">
        <f t="shared" si="1"/>
        <v>1.3000688016831126</v>
      </c>
      <c r="O20" s="1096" t="str">
        <f t="shared" si="2"/>
        <v>(4,5,na,na,na,na,BU:1.05); estimation with data from large chemical plant</v>
      </c>
      <c r="Q20" s="1085" t="s">
        <v>133</v>
      </c>
      <c r="R20" s="1086">
        <v>4</v>
      </c>
      <c r="S20" s="1086">
        <v>5</v>
      </c>
      <c r="T20" s="1086" t="s">
        <v>106</v>
      </c>
      <c r="U20" s="1086" t="s">
        <v>106</v>
      </c>
      <c r="V20" s="1086" t="s">
        <v>106</v>
      </c>
      <c r="W20" s="1086" t="s">
        <v>106</v>
      </c>
      <c r="X20" s="1087">
        <v>12</v>
      </c>
      <c r="Y20" s="1088">
        <v>1.05</v>
      </c>
      <c r="Z20" s="1088">
        <f t="shared" si="3"/>
        <v>1.2941338353151037</v>
      </c>
      <c r="AA20" s="1088">
        <f t="shared" si="4"/>
        <v>1.3000688016831126</v>
      </c>
      <c r="AB20" s="1088" t="str">
        <f t="shared" si="5"/>
        <v>(4,5,na,na,na,na,BU:1.05)</v>
      </c>
      <c r="AC20" s="1089">
        <v>1.2</v>
      </c>
      <c r="AD20" s="1089">
        <v>1.2</v>
      </c>
      <c r="AE20" s="1089">
        <v>1</v>
      </c>
      <c r="AF20" s="1089">
        <v>1</v>
      </c>
      <c r="AG20" s="1089">
        <v>1</v>
      </c>
      <c r="AH20" s="1089">
        <v>1</v>
      </c>
    </row>
    <row r="21" spans="1:34" ht="24">
      <c r="A21" s="1004">
        <v>62893</v>
      </c>
      <c r="B21" s="1006" t="str">
        <f t="shared" si="0"/>
        <v/>
      </c>
      <c r="C21" s="1007"/>
      <c r="D21" s="1018">
        <v>4</v>
      </c>
      <c r="E21" s="1019" t="s">
        <v>98</v>
      </c>
      <c r="F21" s="1023" t="s">
        <v>134</v>
      </c>
      <c r="G21" s="818" t="s">
        <v>98</v>
      </c>
      <c r="H21" s="821" t="s">
        <v>131</v>
      </c>
      <c r="I21" s="821" t="s">
        <v>132</v>
      </c>
      <c r="J21" s="819" t="s">
        <v>98</v>
      </c>
      <c r="K21" s="818" t="s">
        <v>119</v>
      </c>
      <c r="L21" s="1020">
        <f>12/1000</f>
        <v>1.2E-2</v>
      </c>
      <c r="M21" s="820">
        <v>1</v>
      </c>
      <c r="N21" s="813">
        <f t="shared" si="1"/>
        <v>1.3000688016831126</v>
      </c>
      <c r="O21" s="1051" t="str">
        <f t="shared" si="2"/>
        <v>(4,5,na,na,na,na,BU:1.05); estimation with data from large chemical plant</v>
      </c>
      <c r="Q21" s="1022" t="s">
        <v>133</v>
      </c>
      <c r="R21" s="1024">
        <v>4</v>
      </c>
      <c r="S21" s="1024">
        <v>5</v>
      </c>
      <c r="T21" s="1024" t="s">
        <v>106</v>
      </c>
      <c r="U21" s="1024" t="s">
        <v>106</v>
      </c>
      <c r="V21" s="1024" t="s">
        <v>106</v>
      </c>
      <c r="W21" s="1024" t="s">
        <v>106</v>
      </c>
      <c r="X21" s="838">
        <v>12</v>
      </c>
      <c r="Y21" s="1090">
        <v>1.05</v>
      </c>
      <c r="Z21" s="1090">
        <f t="shared" si="3"/>
        <v>1.2941338353151037</v>
      </c>
      <c r="AA21" s="1090">
        <f t="shared" si="4"/>
        <v>1.3000688016831126</v>
      </c>
      <c r="AB21" s="1090" t="str">
        <f t="shared" si="5"/>
        <v>(4,5,na,na,na,na,BU:1.05)</v>
      </c>
      <c r="AC21" s="1091">
        <v>1.2</v>
      </c>
      <c r="AD21" s="1091">
        <v>1.2</v>
      </c>
      <c r="AE21" s="1091">
        <v>1</v>
      </c>
      <c r="AF21" s="1091">
        <v>1</v>
      </c>
      <c r="AG21" s="1091">
        <v>1</v>
      </c>
      <c r="AH21" s="1091">
        <v>1</v>
      </c>
    </row>
    <row r="22" spans="1:34">
      <c r="A22" s="63"/>
      <c r="B22" s="64"/>
      <c r="C22" s="65"/>
      <c r="D22" s="66"/>
      <c r="E22" s="67"/>
      <c r="F22" s="414"/>
      <c r="G22" s="415"/>
      <c r="H22" s="416"/>
      <c r="I22" s="416"/>
      <c r="J22" s="44"/>
      <c r="K22" s="415"/>
      <c r="L22" s="412"/>
      <c r="M22" s="40"/>
      <c r="N22" s="41"/>
      <c r="O22" s="39"/>
      <c r="Q22" s="412"/>
      <c r="R22" s="412"/>
      <c r="S22" s="412"/>
      <c r="T22" s="412"/>
      <c r="U22" s="412"/>
      <c r="V22" s="412"/>
      <c r="W22" s="412"/>
      <c r="X22" s="412"/>
      <c r="Y22" s="412"/>
      <c r="Z22" s="412"/>
      <c r="AA22" s="412"/>
      <c r="AB22" s="412"/>
      <c r="AC22" s="412"/>
      <c r="AD22" s="412"/>
      <c r="AE22" s="412"/>
      <c r="AF22" s="412"/>
      <c r="AG22" s="412"/>
      <c r="AH22" s="412"/>
    </row>
  </sheetData>
  <mergeCells count="1">
    <mergeCell ref="R1:W1"/>
  </mergeCells>
  <conditionalFormatting sqref="B8:B22">
    <cfRule type="cellIs" dxfId="374" priority="8" stopIfTrue="1" operator="notEqual">
      <formula>""</formula>
    </cfRule>
  </conditionalFormatting>
  <conditionalFormatting sqref="L1">
    <cfRule type="cellIs" dxfId="373" priority="7" stopIfTrue="1" operator="equal">
      <formula>$F8</formula>
    </cfRule>
  </conditionalFormatting>
  <conditionalFormatting sqref="AC7:AH21">
    <cfRule type="cellIs" dxfId="372" priority="6" stopIfTrue="1" operator="equal">
      <formula>0</formula>
    </cfRule>
  </conditionalFormatting>
  <dataValidations xWindow="808" yWindow="425" count="28">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7 F9:K22" xr:uid="{00000000-0002-0000-0400-000000000000}"/>
    <dataValidation allowBlank="1" showInputMessage="1" showErrorMessage="1" prompt="Mean amount of elementary flow or intermediate product flow. Enter your values (or the respective equation) here." sqref="L8:L22" xr:uid="{00000000-0002-0000-0400-000001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22" xr:uid="{00000000-0002-0000-0400-000002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2" xr:uid="{00000000-0002-0000-0400-000003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2" xr:uid="{00000000-0002-0000-0400-000004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22" xr:uid="{00000000-0002-0000-0400-000005000000}"/>
    <dataValidation allowBlank="1" showInputMessage="1" showErrorMessage="1" promptTitle="Do not change" prompt="This field is automatically calculated from your inputs." sqref="Y8:AH21" xr:uid="{00000000-0002-0000-0400-000006000000}"/>
    <dataValidation allowBlank="1" showInputMessage="1" showErrorMessage="1" promptTitle="Do not change" prompt="This field is automatically updated from the names-list" sqref="X8:X21" xr:uid="{00000000-0002-0000-0400-000007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0400-000008000000}"/>
    <dataValidation allowBlank="1" showInputMessage="1" showErrorMessage="1" promptTitle="Remarks" prompt="A general comment (data source, calculation procedure, ...) can be made about each individual exchange. The remarks are added to the GeneralComment-field." sqref="Q3 Q8:Q21" xr:uid="{00000000-0002-0000-0400-000009000000}"/>
    <dataValidation allowBlank="1" showInputMessage="1" showErrorMessage="1" prompt="Do not change." sqref="X3:AH4 Z7:AH7" xr:uid="{00000000-0002-0000-0400-00000A000000}"/>
    <dataValidation allowBlank="1" showInputMessage="1" showErrorMessage="1" prompt="This cell is automatically updated from the names List according to the index number in L1. It needs to be identical to the output product." sqref="L3:L6" xr:uid="{00000000-0002-0000-0400-00000B000000}"/>
    <dataValidation allowBlank="1" showInputMessage="1" showErrorMessage="1" promptTitle="Unit" prompt="Unit of the exchange (elementary flow or intermediate product flow)." sqref="F6 K2:K3" xr:uid="{00000000-0002-0000-0400-00000C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0400-00000D000000}"/>
    <dataValidation allowBlank="1" showInputMessage="1" showErrorMessage="1" promptTitle="Name" prompt="Name of the exchange (elementary flow or intermediate product flow) in English language. " sqref="F2:F3" xr:uid="{00000000-0002-0000-0400-00000E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0400-00000F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22" xr:uid="{00000000-0002-0000-0400-000010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0400-000011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0 A12:A22" xr:uid="{00000000-0002-0000-0400-00001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21" xr:uid="{00000000-0002-0000-0400-00001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14 T15:W21" xr:uid="{00000000-0002-0000-0400-00001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14" xr:uid="{00000000-0002-0000-0400-00001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14" xr:uid="{00000000-0002-0000-0400-000016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14" xr:uid="{00000000-0002-0000-0400-000017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21" xr:uid="{00000000-0002-0000-0400-000018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0400-000019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0400-00001A000000}"/>
    <dataValidation allowBlank="1" showInputMessage="1" showErrorMessage="1" prompt="always 1" sqref="L7" xr:uid="{00000000-0002-0000-0400-00001B000000}"/>
  </dataValidations>
  <printOptions horizontalCentered="1" verticalCentered="1"/>
  <pageMargins left="0.78740157480314965" right="0.78740157480314965" top="0.98425196850393704" bottom="0.98425196850393704" header="0.51181102362204722" footer="0.51181102362204722"/>
  <pageSetup paperSize="9" scale="52" orientation="landscape" r:id="rId1"/>
  <headerFooter alignWithMargins="0">
    <oddHeader>&amp;L&amp;C&amp;R</oddHeader>
    <oddFooter>&amp;L&amp;D&amp;C&amp;F&amp;RSeite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27">
    <tabColor rgb="FF9CD9F0"/>
    <pageSetUpPr fitToPage="1"/>
  </sheetPr>
  <dimension ref="A1:AI27"/>
  <sheetViews>
    <sheetView workbookViewId="0">
      <selection activeCell="A30" sqref="A30:XFD34"/>
    </sheetView>
  </sheetViews>
  <sheetFormatPr baseColWidth="10" defaultColWidth="11.42578125" defaultRowHeight="12" outlineLevelCol="1"/>
  <cols>
    <col min="1" max="1" width="11.7109375" style="378" customWidth="1"/>
    <col min="2" max="2" width="15.7109375" style="114" customWidth="1"/>
    <col min="3" max="3" width="5.7109375" style="115" hidden="1" customWidth="1" outlineLevel="1"/>
    <col min="4" max="5" width="3.7109375" style="378" hidden="1" customWidth="1" outlineLevel="1"/>
    <col min="6" max="6" width="38.855468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5.7109375" style="378" customWidth="1"/>
    <col min="13" max="14" width="5.7109375" style="116" hidden="1" customWidth="1" outlineLevel="1"/>
    <col min="15" max="15" width="50.7109375" style="116" hidden="1" customWidth="1" outlineLevel="1"/>
    <col min="16" max="16" width="19.7109375" style="406" customWidth="1" collapsed="1"/>
    <col min="17" max="17" width="58.5703125" style="406" customWidth="1"/>
    <col min="18" max="23" width="4.7109375" style="406" customWidth="1"/>
    <col min="24" max="24" width="4.7109375" style="406" hidden="1" customWidth="1" outlineLevel="1"/>
    <col min="25" max="27" width="5.7109375" style="378" hidden="1" customWidth="1" outlineLevel="1"/>
    <col min="28" max="28" width="15.7109375" style="378" hidden="1" customWidth="1" outlineLevel="1"/>
    <col min="29" max="34" width="4.7109375" style="378" hidden="1" customWidth="1" outlineLevel="1"/>
    <col min="35" max="35" width="11.42578125" style="378" customWidth="1" collapsed="1"/>
    <col min="36" max="36" width="11.42578125" style="378" customWidth="1"/>
    <col min="37" max="16384" width="11.42578125" style="378"/>
  </cols>
  <sheetData>
    <row r="1" spans="1:34">
      <c r="A1" s="77"/>
      <c r="B1" s="78"/>
      <c r="C1" s="79"/>
      <c r="D1" s="77"/>
      <c r="E1" s="77"/>
      <c r="F1" s="80" t="s">
        <v>1453</v>
      </c>
      <c r="G1" s="77"/>
      <c r="H1" s="77"/>
      <c r="I1" s="77"/>
      <c r="J1" s="77"/>
      <c r="K1" s="77"/>
      <c r="L1" s="330">
        <v>261250</v>
      </c>
      <c r="M1" s="81"/>
      <c r="N1" s="81"/>
      <c r="O1" s="81"/>
      <c r="P1" s="378"/>
      <c r="Q1" s="378"/>
      <c r="R1" s="1586" t="s">
        <v>66</v>
      </c>
      <c r="S1" s="1598"/>
      <c r="T1" s="1598"/>
      <c r="U1" s="1598"/>
      <c r="V1" s="1598"/>
      <c r="W1" s="1598"/>
      <c r="Y1" s="406"/>
      <c r="Z1" s="406"/>
      <c r="AA1" s="406"/>
      <c r="AB1" s="406"/>
    </row>
    <row r="2" spans="1:34">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34" ht="105" customHeight="1">
      <c r="A3" s="83" t="s">
        <v>68</v>
      </c>
      <c r="B3" s="84"/>
      <c r="C3" s="79">
        <v>401</v>
      </c>
      <c r="D3" s="85" t="s">
        <v>1454</v>
      </c>
      <c r="E3" s="85" t="s">
        <v>1455</v>
      </c>
      <c r="F3" s="86" t="s">
        <v>71</v>
      </c>
      <c r="G3" s="85" t="s">
        <v>72</v>
      </c>
      <c r="H3" s="85" t="s">
        <v>73</v>
      </c>
      <c r="I3" s="85" t="s">
        <v>1456</v>
      </c>
      <c r="J3" s="85" t="s">
        <v>1457</v>
      </c>
      <c r="K3" s="85" t="s">
        <v>76</v>
      </c>
      <c r="L3" s="87" t="s">
        <v>1476</v>
      </c>
      <c r="M3" s="422" t="s">
        <v>1459</v>
      </c>
      <c r="N3" s="422" t="s">
        <v>1460</v>
      </c>
      <c r="O3" s="423" t="s">
        <v>1461</v>
      </c>
      <c r="P3" s="97" t="s">
        <v>81</v>
      </c>
      <c r="Q3" s="97" t="s">
        <v>253</v>
      </c>
      <c r="R3" s="98" t="s">
        <v>364</v>
      </c>
      <c r="S3" s="98" t="s">
        <v>365</v>
      </c>
      <c r="T3" s="98" t="s">
        <v>366</v>
      </c>
      <c r="U3" s="98" t="s">
        <v>367</v>
      </c>
      <c r="V3" s="98" t="s">
        <v>368</v>
      </c>
      <c r="W3" s="98" t="s">
        <v>369</v>
      </c>
      <c r="X3" s="99" t="s">
        <v>88</v>
      </c>
      <c r="Y3" s="99" t="s">
        <v>370</v>
      </c>
      <c r="Z3" s="99" t="s">
        <v>90</v>
      </c>
      <c r="AA3" s="99" t="s">
        <v>91</v>
      </c>
      <c r="AB3" s="99" t="s">
        <v>371</v>
      </c>
      <c r="AC3" s="100" t="s">
        <v>364</v>
      </c>
      <c r="AD3" s="100" t="s">
        <v>365</v>
      </c>
      <c r="AE3" s="100" t="s">
        <v>366</v>
      </c>
      <c r="AF3" s="100" t="s">
        <v>367</v>
      </c>
      <c r="AG3" s="100" t="s">
        <v>368</v>
      </c>
      <c r="AH3" s="100" t="s">
        <v>369</v>
      </c>
    </row>
    <row r="4" spans="1:34" ht="24" customHeight="1">
      <c r="A4" s="77"/>
      <c r="B4" s="84"/>
      <c r="C4" s="79">
        <v>662</v>
      </c>
      <c r="D4" s="86"/>
      <c r="E4" s="86"/>
      <c r="F4" s="86" t="s">
        <v>72</v>
      </c>
      <c r="G4" s="86"/>
      <c r="H4" s="86"/>
      <c r="I4" s="86"/>
      <c r="J4" s="86"/>
      <c r="K4" s="86"/>
      <c r="L4" s="87" t="s">
        <v>93</v>
      </c>
      <c r="M4" s="425"/>
      <c r="N4" s="425"/>
      <c r="O4" s="426"/>
      <c r="P4" s="101"/>
      <c r="Q4" s="101"/>
      <c r="R4" s="102" t="s">
        <v>94</v>
      </c>
      <c r="S4" s="97"/>
      <c r="T4" s="97"/>
      <c r="U4" s="97"/>
      <c r="V4" s="97"/>
      <c r="W4" s="97"/>
      <c r="X4" s="103"/>
      <c r="Y4" s="103"/>
      <c r="Z4" s="103" t="s">
        <v>95</v>
      </c>
      <c r="AA4" s="103" t="s">
        <v>95</v>
      </c>
      <c r="AB4" s="104"/>
      <c r="AC4" s="105"/>
      <c r="AD4" s="105"/>
      <c r="AE4" s="105"/>
      <c r="AF4" s="105"/>
      <c r="AG4" s="105"/>
      <c r="AH4" s="105"/>
    </row>
    <row r="5" spans="1:34">
      <c r="A5" s="77"/>
      <c r="B5" s="84"/>
      <c r="C5" s="79">
        <v>493</v>
      </c>
      <c r="D5" s="86"/>
      <c r="E5" s="86"/>
      <c r="F5" s="86" t="s">
        <v>1457</v>
      </c>
      <c r="G5" s="86"/>
      <c r="H5" s="86"/>
      <c r="I5" s="86"/>
      <c r="J5" s="86"/>
      <c r="K5" s="86"/>
      <c r="L5" s="87">
        <v>0</v>
      </c>
      <c r="M5" s="425"/>
      <c r="N5" s="425"/>
      <c r="O5" s="426"/>
      <c r="P5" s="101"/>
      <c r="Q5" s="101"/>
      <c r="R5" s="97"/>
      <c r="S5" s="97"/>
      <c r="T5" s="97"/>
      <c r="U5" s="97"/>
      <c r="V5" s="97"/>
      <c r="W5" s="97"/>
      <c r="X5" s="104"/>
      <c r="Y5" s="104"/>
      <c r="Z5" s="104"/>
      <c r="AA5" s="104"/>
      <c r="AB5" s="104"/>
      <c r="AC5" s="105"/>
      <c r="AD5" s="105"/>
      <c r="AE5" s="105"/>
      <c r="AF5" s="105"/>
      <c r="AG5" s="105"/>
      <c r="AH5" s="105"/>
    </row>
    <row r="6" spans="1:34">
      <c r="A6" s="77"/>
      <c r="B6" s="84"/>
      <c r="C6" s="79">
        <v>403</v>
      </c>
      <c r="D6" s="86"/>
      <c r="E6" s="86"/>
      <c r="F6" s="86" t="s">
        <v>76</v>
      </c>
      <c r="G6" s="86"/>
      <c r="H6" s="86"/>
      <c r="I6" s="86"/>
      <c r="J6" s="86"/>
      <c r="K6" s="86"/>
      <c r="L6" s="87" t="s">
        <v>96</v>
      </c>
      <c r="M6" s="425"/>
      <c r="N6" s="425"/>
      <c r="O6" s="426"/>
      <c r="P6" s="101"/>
      <c r="Q6" s="101"/>
      <c r="R6" s="106"/>
      <c r="S6" s="106"/>
      <c r="T6" s="106"/>
      <c r="U6" s="106"/>
      <c r="V6" s="106"/>
      <c r="W6" s="106"/>
      <c r="X6" s="104"/>
      <c r="Y6" s="104"/>
      <c r="Z6" s="428"/>
      <c r="AA6" s="428"/>
      <c r="AB6" s="107"/>
      <c r="AC6" s="105"/>
      <c r="AD6" s="105"/>
      <c r="AE6" s="105"/>
      <c r="AF6" s="105"/>
      <c r="AG6" s="105"/>
      <c r="AH6" s="105"/>
    </row>
    <row r="7" spans="1:34">
      <c r="A7" s="330">
        <v>261250</v>
      </c>
      <c r="B7" s="331" t="s">
        <v>97</v>
      </c>
      <c r="C7" s="88"/>
      <c r="D7" s="294" t="s">
        <v>98</v>
      </c>
      <c r="E7" s="295">
        <v>0</v>
      </c>
      <c r="F7" s="429" t="s">
        <v>1476</v>
      </c>
      <c r="G7" s="430" t="s">
        <v>93</v>
      </c>
      <c r="H7" s="431" t="s">
        <v>98</v>
      </c>
      <c r="I7" s="431" t="s">
        <v>98</v>
      </c>
      <c r="J7" s="89">
        <v>0</v>
      </c>
      <c r="K7" s="430" t="s">
        <v>96</v>
      </c>
      <c r="L7" s="90">
        <v>1</v>
      </c>
      <c r="M7" s="91"/>
      <c r="N7" s="92"/>
      <c r="O7" s="93"/>
      <c r="P7" s="101"/>
      <c r="Q7" s="101"/>
      <c r="R7" s="97"/>
      <c r="S7" s="97"/>
      <c r="T7" s="97"/>
      <c r="U7" s="97"/>
      <c r="V7" s="97"/>
      <c r="W7" s="97"/>
      <c r="X7" s="104"/>
      <c r="Y7" s="104"/>
      <c r="Z7" s="104"/>
      <c r="AA7" s="104"/>
      <c r="AB7" s="104"/>
      <c r="AC7" s="104"/>
      <c r="AD7" s="104"/>
      <c r="AE7" s="104"/>
      <c r="AF7" s="104"/>
      <c r="AG7" s="104"/>
      <c r="AH7" s="104"/>
    </row>
    <row r="8" spans="1:34" ht="11.45" customHeight="1">
      <c r="A8" s="330">
        <v>56706</v>
      </c>
      <c r="B8" s="331" t="s">
        <v>1462</v>
      </c>
      <c r="C8" s="88"/>
      <c r="D8" s="340">
        <v>4</v>
      </c>
      <c r="E8" s="341" t="s">
        <v>98</v>
      </c>
      <c r="F8" s="432" t="s">
        <v>618</v>
      </c>
      <c r="G8" s="433" t="s">
        <v>98</v>
      </c>
      <c r="H8" s="434" t="s">
        <v>218</v>
      </c>
      <c r="I8" s="434" t="s">
        <v>132</v>
      </c>
      <c r="J8" s="94" t="s">
        <v>98</v>
      </c>
      <c r="K8" s="433" t="s">
        <v>119</v>
      </c>
      <c r="L8" s="435">
        <v>2.4E-2</v>
      </c>
      <c r="M8" s="95">
        <v>1</v>
      </c>
      <c r="N8" s="96">
        <v>1.3957732849288962</v>
      </c>
      <c r="O8" s="432" t="s">
        <v>3118</v>
      </c>
      <c r="P8" s="216"/>
      <c r="Q8" s="77" t="s">
        <v>1545</v>
      </c>
      <c r="R8" s="339">
        <v>4</v>
      </c>
      <c r="S8" s="339">
        <v>5</v>
      </c>
      <c r="T8" s="339">
        <v>3</v>
      </c>
      <c r="U8" s="339">
        <v>1</v>
      </c>
      <c r="V8" s="339">
        <v>1</v>
      </c>
      <c r="W8" s="339">
        <v>5</v>
      </c>
      <c r="X8" s="104">
        <v>12</v>
      </c>
      <c r="Y8" s="104">
        <v>1.05</v>
      </c>
      <c r="Z8" s="107">
        <v>1.3907731135051336</v>
      </c>
      <c r="AA8" s="107">
        <v>1.3957732849288962</v>
      </c>
      <c r="AB8" s="107" t="s">
        <v>3119</v>
      </c>
      <c r="AC8" s="108">
        <v>1.2</v>
      </c>
      <c r="AD8" s="108">
        <v>1.2</v>
      </c>
      <c r="AE8" s="108">
        <v>1.1000000000000001</v>
      </c>
      <c r="AF8" s="108">
        <v>1</v>
      </c>
      <c r="AG8" s="108">
        <v>1</v>
      </c>
      <c r="AH8" s="108">
        <v>1.2</v>
      </c>
    </row>
    <row r="9" spans="1:34" ht="11.45" customHeight="1">
      <c r="A9" s="330">
        <v>269525</v>
      </c>
      <c r="B9" s="331" t="s">
        <v>221</v>
      </c>
      <c r="C9" s="88"/>
      <c r="D9" s="340">
        <v>5</v>
      </c>
      <c r="E9" s="341" t="s">
        <v>98</v>
      </c>
      <c r="F9" s="432" t="s">
        <v>229</v>
      </c>
      <c r="G9" s="433" t="s">
        <v>93</v>
      </c>
      <c r="H9" s="434" t="s">
        <v>98</v>
      </c>
      <c r="I9" s="434" t="s">
        <v>98</v>
      </c>
      <c r="J9" s="94">
        <v>1</v>
      </c>
      <c r="K9" s="433" t="s">
        <v>144</v>
      </c>
      <c r="L9" s="435">
        <v>4.0000000000000001E-10</v>
      </c>
      <c r="M9" s="95">
        <v>1</v>
      </c>
      <c r="N9" s="96">
        <v>4.0560854896922409</v>
      </c>
      <c r="O9" s="432" t="s">
        <v>3120</v>
      </c>
      <c r="P9" s="216"/>
      <c r="Q9" s="77" t="s">
        <v>1545</v>
      </c>
      <c r="R9" s="339">
        <v>4</v>
      </c>
      <c r="S9" s="339">
        <v>5</v>
      </c>
      <c r="T9" s="339">
        <v>5</v>
      </c>
      <c r="U9" s="339">
        <v>5</v>
      </c>
      <c r="V9" s="339">
        <v>5</v>
      </c>
      <c r="W9" s="339">
        <v>5</v>
      </c>
      <c r="X9" s="104">
        <v>9</v>
      </c>
      <c r="Y9" s="104">
        <v>3</v>
      </c>
      <c r="Z9" s="107">
        <v>2.3824689982955931</v>
      </c>
      <c r="AA9" s="107">
        <v>4.0560854896922409</v>
      </c>
      <c r="AB9" s="107" t="s">
        <v>3121</v>
      </c>
      <c r="AC9" s="108">
        <v>1.2</v>
      </c>
      <c r="AD9" s="108">
        <v>1.2</v>
      </c>
      <c r="AE9" s="108">
        <v>1.5</v>
      </c>
      <c r="AF9" s="108">
        <v>1.1000000000000001</v>
      </c>
      <c r="AG9" s="108">
        <v>2</v>
      </c>
      <c r="AH9" s="108">
        <v>1.2</v>
      </c>
    </row>
    <row r="10" spans="1:34" ht="11.45" customHeight="1">
      <c r="A10" s="330">
        <v>269603</v>
      </c>
      <c r="B10" s="331" t="s">
        <v>529</v>
      </c>
      <c r="C10" s="88"/>
      <c r="D10" s="340">
        <v>5</v>
      </c>
      <c r="E10" s="341" t="s">
        <v>98</v>
      </c>
      <c r="F10" s="432" t="s">
        <v>222</v>
      </c>
      <c r="G10" s="433" t="s">
        <v>223</v>
      </c>
      <c r="H10" s="434" t="s">
        <v>98</v>
      </c>
      <c r="I10" s="434" t="s">
        <v>98</v>
      </c>
      <c r="J10" s="94">
        <v>0</v>
      </c>
      <c r="K10" s="433" t="s">
        <v>109</v>
      </c>
      <c r="L10" s="435">
        <v>0.33300000000000002</v>
      </c>
      <c r="M10" s="95">
        <v>1</v>
      </c>
      <c r="N10" s="96">
        <v>2.3857350899450798</v>
      </c>
      <c r="O10" s="432" t="s">
        <v>3120</v>
      </c>
      <c r="P10" s="216"/>
      <c r="Q10" s="77" t="s">
        <v>1545</v>
      </c>
      <c r="R10" s="339">
        <v>4</v>
      </c>
      <c r="S10" s="339">
        <v>5</v>
      </c>
      <c r="T10" s="339">
        <v>5</v>
      </c>
      <c r="U10" s="339">
        <v>5</v>
      </c>
      <c r="V10" s="339">
        <v>5</v>
      </c>
      <c r="W10" s="339">
        <v>5</v>
      </c>
      <c r="X10" s="104">
        <v>2</v>
      </c>
      <c r="Y10" s="104">
        <v>1.05</v>
      </c>
      <c r="Z10" s="107">
        <v>2.3824689982955931</v>
      </c>
      <c r="AA10" s="107">
        <v>2.3857350899450798</v>
      </c>
      <c r="AB10" s="107" t="s">
        <v>3121</v>
      </c>
      <c r="AC10" s="108">
        <v>1.2</v>
      </c>
      <c r="AD10" s="108">
        <v>1.2</v>
      </c>
      <c r="AE10" s="108">
        <v>1.5</v>
      </c>
      <c r="AF10" s="108">
        <v>1.1000000000000001</v>
      </c>
      <c r="AG10" s="108">
        <v>2</v>
      </c>
      <c r="AH10" s="108">
        <v>1.2</v>
      </c>
    </row>
    <row r="11" spans="1:34" ht="11.45" customHeight="1">
      <c r="A11" s="330">
        <v>269043</v>
      </c>
      <c r="B11" s="331" t="s">
        <v>529</v>
      </c>
      <c r="C11" s="88"/>
      <c r="D11" s="340">
        <v>5</v>
      </c>
      <c r="E11" s="341" t="s">
        <v>98</v>
      </c>
      <c r="F11" s="432" t="s">
        <v>1546</v>
      </c>
      <c r="G11" s="433" t="s">
        <v>93</v>
      </c>
      <c r="H11" s="434" t="s">
        <v>98</v>
      </c>
      <c r="I11" s="434" t="s">
        <v>98</v>
      </c>
      <c r="J11" s="94">
        <v>0</v>
      </c>
      <c r="K11" s="433" t="s">
        <v>104</v>
      </c>
      <c r="L11" s="435">
        <v>2</v>
      </c>
      <c r="M11" s="95">
        <v>1</v>
      </c>
      <c r="N11" s="96">
        <v>2.3857350899450798</v>
      </c>
      <c r="O11" s="432" t="s">
        <v>3120</v>
      </c>
      <c r="P11" s="216"/>
      <c r="Q11" s="77" t="s">
        <v>1545</v>
      </c>
      <c r="R11" s="339">
        <v>4</v>
      </c>
      <c r="S11" s="339">
        <v>5</v>
      </c>
      <c r="T11" s="339">
        <v>5</v>
      </c>
      <c r="U11" s="339">
        <v>5</v>
      </c>
      <c r="V11" s="339">
        <v>5</v>
      </c>
      <c r="W11" s="339">
        <v>5</v>
      </c>
      <c r="X11" s="104">
        <v>1</v>
      </c>
      <c r="Y11" s="104">
        <v>1.05</v>
      </c>
      <c r="Z11" s="107">
        <v>2.3824689982955931</v>
      </c>
      <c r="AA11" s="107">
        <v>2.3857350899450798</v>
      </c>
      <c r="AB11" s="107" t="s">
        <v>3121</v>
      </c>
      <c r="AC11" s="108">
        <v>1.2</v>
      </c>
      <c r="AD11" s="108">
        <v>1.2</v>
      </c>
      <c r="AE11" s="108">
        <v>1.5</v>
      </c>
      <c r="AF11" s="108">
        <v>1.1000000000000001</v>
      </c>
      <c r="AG11" s="108">
        <v>2</v>
      </c>
      <c r="AH11" s="108">
        <v>1.2</v>
      </c>
    </row>
    <row r="12" spans="1:34" ht="11.45" customHeight="1">
      <c r="A12" s="330">
        <v>255701</v>
      </c>
      <c r="B12" s="331" t="s">
        <v>529</v>
      </c>
      <c r="C12" s="88"/>
      <c r="D12" s="340">
        <v>5</v>
      </c>
      <c r="E12" s="341" t="s">
        <v>98</v>
      </c>
      <c r="F12" s="432" t="s">
        <v>1547</v>
      </c>
      <c r="G12" s="433" t="s">
        <v>93</v>
      </c>
      <c r="H12" s="434" t="s">
        <v>98</v>
      </c>
      <c r="I12" s="434" t="s">
        <v>98</v>
      </c>
      <c r="J12" s="94">
        <v>0</v>
      </c>
      <c r="K12" s="433" t="s">
        <v>96</v>
      </c>
      <c r="L12" s="435">
        <v>0.94144000000000005</v>
      </c>
      <c r="M12" s="95">
        <v>1</v>
      </c>
      <c r="N12" s="96">
        <v>1.3957732849288962</v>
      </c>
      <c r="O12" s="432" t="s">
        <v>3118</v>
      </c>
      <c r="P12" s="216"/>
      <c r="Q12" s="77" t="s">
        <v>1545</v>
      </c>
      <c r="R12" s="339">
        <v>4</v>
      </c>
      <c r="S12" s="339">
        <v>5</v>
      </c>
      <c r="T12" s="339">
        <v>3</v>
      </c>
      <c r="U12" s="339">
        <v>1</v>
      </c>
      <c r="V12" s="339">
        <v>1</v>
      </c>
      <c r="W12" s="339">
        <v>5</v>
      </c>
      <c r="X12" s="104">
        <v>3</v>
      </c>
      <c r="Y12" s="104">
        <v>1.05</v>
      </c>
      <c r="Z12" s="107">
        <v>1.3907731135051336</v>
      </c>
      <c r="AA12" s="107">
        <v>1.3957732849288962</v>
      </c>
      <c r="AB12" s="107" t="s">
        <v>3119</v>
      </c>
      <c r="AC12" s="108">
        <v>1.2</v>
      </c>
      <c r="AD12" s="108">
        <v>1.2</v>
      </c>
      <c r="AE12" s="108">
        <v>1.1000000000000001</v>
      </c>
      <c r="AF12" s="108">
        <v>1</v>
      </c>
      <c r="AG12" s="108">
        <v>1</v>
      </c>
      <c r="AH12" s="108">
        <v>1.2</v>
      </c>
    </row>
    <row r="13" spans="1:34" ht="11.45" customHeight="1">
      <c r="A13" s="330">
        <v>269127</v>
      </c>
      <c r="B13" s="331" t="s">
        <v>529</v>
      </c>
      <c r="C13" s="88"/>
      <c r="D13" s="340">
        <v>5</v>
      </c>
      <c r="E13" s="341" t="s">
        <v>98</v>
      </c>
      <c r="F13" s="432" t="s">
        <v>1548</v>
      </c>
      <c r="G13" s="433" t="s">
        <v>154</v>
      </c>
      <c r="H13" s="434" t="s">
        <v>98</v>
      </c>
      <c r="I13" s="434" t="s">
        <v>98</v>
      </c>
      <c r="J13" s="94">
        <v>0</v>
      </c>
      <c r="K13" s="433" t="s">
        <v>96</v>
      </c>
      <c r="L13" s="435">
        <v>0.23721</v>
      </c>
      <c r="M13" s="95">
        <v>1</v>
      </c>
      <c r="N13" s="96">
        <v>1.3957732849288962</v>
      </c>
      <c r="O13" s="432" t="s">
        <v>3118</v>
      </c>
      <c r="P13" s="216"/>
      <c r="Q13" s="77" t="s">
        <v>1545</v>
      </c>
      <c r="R13" s="339">
        <v>4</v>
      </c>
      <c r="S13" s="339">
        <v>5</v>
      </c>
      <c r="T13" s="339">
        <v>3</v>
      </c>
      <c r="U13" s="339">
        <v>1</v>
      </c>
      <c r="V13" s="339">
        <v>1</v>
      </c>
      <c r="W13" s="339">
        <v>5</v>
      </c>
      <c r="X13" s="104">
        <v>3</v>
      </c>
      <c r="Y13" s="104">
        <v>1.05</v>
      </c>
      <c r="Z13" s="107">
        <v>1.3907731135051336</v>
      </c>
      <c r="AA13" s="107">
        <v>1.3957732849288962</v>
      </c>
      <c r="AB13" s="107" t="s">
        <v>3119</v>
      </c>
      <c r="AC13" s="108">
        <v>1.2</v>
      </c>
      <c r="AD13" s="108">
        <v>1.2</v>
      </c>
      <c r="AE13" s="108">
        <v>1.1000000000000001</v>
      </c>
      <c r="AF13" s="108">
        <v>1</v>
      </c>
      <c r="AG13" s="108">
        <v>1</v>
      </c>
      <c r="AH13" s="108">
        <v>1.2</v>
      </c>
    </row>
    <row r="14" spans="1:34" ht="11.45" customHeight="1">
      <c r="A14" s="330">
        <v>264673</v>
      </c>
      <c r="B14" s="331" t="s">
        <v>529</v>
      </c>
      <c r="C14" s="88"/>
      <c r="D14" s="340">
        <v>5</v>
      </c>
      <c r="E14" s="341" t="s">
        <v>98</v>
      </c>
      <c r="F14" s="432" t="s">
        <v>586</v>
      </c>
      <c r="G14" s="433" t="s">
        <v>93</v>
      </c>
      <c r="H14" s="434" t="s">
        <v>98</v>
      </c>
      <c r="I14" s="434" t="s">
        <v>98</v>
      </c>
      <c r="J14" s="94">
        <v>0</v>
      </c>
      <c r="K14" s="433" t="s">
        <v>96</v>
      </c>
      <c r="L14" s="435">
        <v>4.3661999999999999E-2</v>
      </c>
      <c r="M14" s="95">
        <v>1</v>
      </c>
      <c r="N14" s="96">
        <v>1.3957732849288962</v>
      </c>
      <c r="O14" s="432" t="s">
        <v>3118</v>
      </c>
      <c r="P14" s="216"/>
      <c r="Q14" s="77" t="s">
        <v>1545</v>
      </c>
      <c r="R14" s="339">
        <v>4</v>
      </c>
      <c r="S14" s="339">
        <v>5</v>
      </c>
      <c r="T14" s="339">
        <v>3</v>
      </c>
      <c r="U14" s="339">
        <v>1</v>
      </c>
      <c r="V14" s="339">
        <v>1</v>
      </c>
      <c r="W14" s="339">
        <v>5</v>
      </c>
      <c r="X14" s="104">
        <v>3</v>
      </c>
      <c r="Y14" s="104">
        <v>1.05</v>
      </c>
      <c r="Z14" s="107">
        <v>1.3907731135051336</v>
      </c>
      <c r="AA14" s="107">
        <v>1.3957732849288962</v>
      </c>
      <c r="AB14" s="107" t="s">
        <v>3119</v>
      </c>
      <c r="AC14" s="108">
        <v>1.2</v>
      </c>
      <c r="AD14" s="108">
        <v>1.2</v>
      </c>
      <c r="AE14" s="108">
        <v>1.1000000000000001</v>
      </c>
      <c r="AF14" s="108">
        <v>1</v>
      </c>
      <c r="AG14" s="108">
        <v>1</v>
      </c>
      <c r="AH14" s="108">
        <v>1.2</v>
      </c>
    </row>
    <row r="15" spans="1:34" ht="11.45" customHeight="1">
      <c r="A15" s="330">
        <v>269497</v>
      </c>
      <c r="B15" s="331" t="s">
        <v>529</v>
      </c>
      <c r="C15" s="88"/>
      <c r="D15" s="340">
        <v>5</v>
      </c>
      <c r="E15" s="341" t="s">
        <v>98</v>
      </c>
      <c r="F15" s="432" t="s">
        <v>468</v>
      </c>
      <c r="G15" s="433" t="s">
        <v>93</v>
      </c>
      <c r="H15" s="434" t="s">
        <v>98</v>
      </c>
      <c r="I15" s="434" t="s">
        <v>98</v>
      </c>
      <c r="J15" s="94">
        <v>0</v>
      </c>
      <c r="K15" s="433" t="s">
        <v>96</v>
      </c>
      <c r="L15" s="435">
        <v>0.16900999999999999</v>
      </c>
      <c r="M15" s="95">
        <v>1</v>
      </c>
      <c r="N15" s="96">
        <v>1.3957732849288962</v>
      </c>
      <c r="O15" s="432" t="s">
        <v>3118</v>
      </c>
      <c r="P15" s="216"/>
      <c r="Q15" s="77" t="s">
        <v>1545</v>
      </c>
      <c r="R15" s="339">
        <v>4</v>
      </c>
      <c r="S15" s="339">
        <v>5</v>
      </c>
      <c r="T15" s="339">
        <v>3</v>
      </c>
      <c r="U15" s="339">
        <v>1</v>
      </c>
      <c r="V15" s="339">
        <v>1</v>
      </c>
      <c r="W15" s="339">
        <v>5</v>
      </c>
      <c r="X15" s="104">
        <v>3</v>
      </c>
      <c r="Y15" s="104">
        <v>1.05</v>
      </c>
      <c r="Z15" s="107">
        <v>1.3907731135051336</v>
      </c>
      <c r="AA15" s="107">
        <v>1.3957732849288962</v>
      </c>
      <c r="AB15" s="107" t="s">
        <v>3119</v>
      </c>
      <c r="AC15" s="108">
        <v>1.2</v>
      </c>
      <c r="AD15" s="108">
        <v>1.2</v>
      </c>
      <c r="AE15" s="108">
        <v>1.1000000000000001</v>
      </c>
      <c r="AF15" s="108">
        <v>1</v>
      </c>
      <c r="AG15" s="108">
        <v>1</v>
      </c>
      <c r="AH15" s="108">
        <v>1.2</v>
      </c>
    </row>
    <row r="16" spans="1:34" ht="11.45" customHeight="1">
      <c r="A16" s="330">
        <v>90275</v>
      </c>
      <c r="B16" s="331" t="s">
        <v>1534</v>
      </c>
      <c r="C16" s="88"/>
      <c r="D16" s="340" t="s">
        <v>98</v>
      </c>
      <c r="E16" s="341">
        <v>4</v>
      </c>
      <c r="F16" s="432" t="s">
        <v>259</v>
      </c>
      <c r="G16" s="433" t="s">
        <v>98</v>
      </c>
      <c r="H16" s="434" t="s">
        <v>247</v>
      </c>
      <c r="I16" s="434" t="s">
        <v>258</v>
      </c>
      <c r="J16" s="94" t="s">
        <v>98</v>
      </c>
      <c r="K16" s="433" t="s">
        <v>96</v>
      </c>
      <c r="L16" s="435">
        <v>1.409E-2</v>
      </c>
      <c r="M16" s="95">
        <v>1</v>
      </c>
      <c r="N16" s="96">
        <v>2.3857350899450798</v>
      </c>
      <c r="O16" s="432" t="s">
        <v>3120</v>
      </c>
      <c r="P16" s="216"/>
      <c r="Q16" s="77" t="s">
        <v>1545</v>
      </c>
      <c r="R16" s="339">
        <v>4</v>
      </c>
      <c r="S16" s="339">
        <v>5</v>
      </c>
      <c r="T16" s="339">
        <v>5</v>
      </c>
      <c r="U16" s="339">
        <v>5</v>
      </c>
      <c r="V16" s="339">
        <v>5</v>
      </c>
      <c r="W16" s="339">
        <v>5</v>
      </c>
      <c r="X16" s="104">
        <v>14</v>
      </c>
      <c r="Y16" s="104">
        <v>1.05</v>
      </c>
      <c r="Z16" s="107">
        <v>2.3824689982955931</v>
      </c>
      <c r="AA16" s="107">
        <v>2.3857350899450798</v>
      </c>
      <c r="AB16" s="107" t="s">
        <v>3121</v>
      </c>
      <c r="AC16" s="108">
        <v>1.2</v>
      </c>
      <c r="AD16" s="108">
        <v>1.2</v>
      </c>
      <c r="AE16" s="108">
        <v>1.5</v>
      </c>
      <c r="AF16" s="108">
        <v>1.1000000000000001</v>
      </c>
      <c r="AG16" s="108">
        <v>2</v>
      </c>
      <c r="AH16" s="108">
        <v>1.2</v>
      </c>
    </row>
    <row r="17" spans="1:34" ht="11.45" customHeight="1">
      <c r="A17" s="330">
        <v>28623</v>
      </c>
      <c r="B17" s="331" t="s">
        <v>529</v>
      </c>
      <c r="C17" s="88"/>
      <c r="D17" s="340" t="s">
        <v>98</v>
      </c>
      <c r="E17" s="341">
        <v>4</v>
      </c>
      <c r="F17" s="432" t="s">
        <v>312</v>
      </c>
      <c r="G17" s="433" t="s">
        <v>98</v>
      </c>
      <c r="H17" s="434" t="s">
        <v>247</v>
      </c>
      <c r="I17" s="434" t="s">
        <v>258</v>
      </c>
      <c r="J17" s="94" t="s">
        <v>98</v>
      </c>
      <c r="K17" s="433" t="s">
        <v>96</v>
      </c>
      <c r="L17" s="435">
        <v>4.7443000000000002E-4</v>
      </c>
      <c r="M17" s="95">
        <v>1</v>
      </c>
      <c r="N17" s="96">
        <v>2.6068869587257422</v>
      </c>
      <c r="O17" s="432" t="s">
        <v>3120</v>
      </c>
      <c r="P17" s="216"/>
      <c r="Q17" s="77" t="s">
        <v>1545</v>
      </c>
      <c r="R17" s="339">
        <v>4</v>
      </c>
      <c r="S17" s="339">
        <v>5</v>
      </c>
      <c r="T17" s="339">
        <v>5</v>
      </c>
      <c r="U17" s="339">
        <v>5</v>
      </c>
      <c r="V17" s="339">
        <v>5</v>
      </c>
      <c r="W17" s="339">
        <v>5</v>
      </c>
      <c r="X17" s="104">
        <v>18</v>
      </c>
      <c r="Y17" s="104">
        <v>1.5</v>
      </c>
      <c r="Z17" s="107">
        <v>2.3824689982955931</v>
      </c>
      <c r="AA17" s="107">
        <v>2.6068869587257422</v>
      </c>
      <c r="AB17" s="107" t="s">
        <v>3121</v>
      </c>
      <c r="AC17" s="108">
        <v>1.2</v>
      </c>
      <c r="AD17" s="108">
        <v>1.2</v>
      </c>
      <c r="AE17" s="108">
        <v>1.5</v>
      </c>
      <c r="AF17" s="108">
        <v>1.1000000000000001</v>
      </c>
      <c r="AG17" s="108">
        <v>2</v>
      </c>
      <c r="AH17" s="108">
        <v>1.2</v>
      </c>
    </row>
    <row r="18" spans="1:34" ht="11.45" customHeight="1">
      <c r="A18" s="330">
        <v>26845</v>
      </c>
      <c r="B18" s="331" t="s">
        <v>529</v>
      </c>
      <c r="C18" s="88"/>
      <c r="D18" s="340" t="s">
        <v>98</v>
      </c>
      <c r="E18" s="341">
        <v>4</v>
      </c>
      <c r="F18" s="432" t="s">
        <v>1540</v>
      </c>
      <c r="G18" s="433" t="s">
        <v>98</v>
      </c>
      <c r="H18" s="434" t="s">
        <v>247</v>
      </c>
      <c r="I18" s="434" t="s">
        <v>258</v>
      </c>
      <c r="J18" s="94" t="s">
        <v>98</v>
      </c>
      <c r="K18" s="433" t="s">
        <v>96</v>
      </c>
      <c r="L18" s="435">
        <v>9.2999999999999989</v>
      </c>
      <c r="M18" s="95">
        <v>1</v>
      </c>
      <c r="N18" s="96">
        <v>2.1259856025998545</v>
      </c>
      <c r="O18" s="432" t="s">
        <v>3122</v>
      </c>
      <c r="P18" s="216"/>
      <c r="Q18" s="77" t="s">
        <v>1545</v>
      </c>
      <c r="R18" s="339">
        <v>4</v>
      </c>
      <c r="S18" s="339">
        <v>4</v>
      </c>
      <c r="T18" s="339">
        <v>5</v>
      </c>
      <c r="U18" s="339">
        <v>2</v>
      </c>
      <c r="V18" s="339">
        <v>4</v>
      </c>
      <c r="W18" s="339">
        <v>5</v>
      </c>
      <c r="X18" s="104">
        <v>31</v>
      </c>
      <c r="Y18" s="104">
        <v>1.5</v>
      </c>
      <c r="Z18" s="107">
        <v>1.8888703797664121</v>
      </c>
      <c r="AA18" s="107">
        <v>2.1259856025998545</v>
      </c>
      <c r="AB18" s="107" t="s">
        <v>3123</v>
      </c>
      <c r="AC18" s="108">
        <v>1.2</v>
      </c>
      <c r="AD18" s="108">
        <v>1.1000000000000001</v>
      </c>
      <c r="AE18" s="108">
        <v>1.5</v>
      </c>
      <c r="AF18" s="108">
        <v>1.01</v>
      </c>
      <c r="AG18" s="108">
        <v>1.5</v>
      </c>
      <c r="AH18" s="108">
        <v>1.2</v>
      </c>
    </row>
    <row r="19" spans="1:34" ht="11.45" customHeight="1">
      <c r="A19" s="330">
        <v>160225</v>
      </c>
      <c r="B19" s="331" t="s">
        <v>1537</v>
      </c>
      <c r="C19" s="88"/>
      <c r="D19" s="340" t="s">
        <v>98</v>
      </c>
      <c r="E19" s="341">
        <v>4</v>
      </c>
      <c r="F19" s="432" t="s">
        <v>297</v>
      </c>
      <c r="G19" s="433" t="s">
        <v>98</v>
      </c>
      <c r="H19" s="434" t="s">
        <v>344</v>
      </c>
      <c r="I19" s="434" t="s">
        <v>248</v>
      </c>
      <c r="J19" s="94" t="s">
        <v>98</v>
      </c>
      <c r="K19" s="433" t="s">
        <v>96</v>
      </c>
      <c r="L19" s="435">
        <v>1.6374E-3</v>
      </c>
      <c r="M19" s="95">
        <v>1</v>
      </c>
      <c r="N19" s="96">
        <v>2.6068869587257422</v>
      </c>
      <c r="O19" s="432" t="s">
        <v>3120</v>
      </c>
      <c r="P19" s="216"/>
      <c r="Q19" s="77" t="s">
        <v>1545</v>
      </c>
      <c r="R19" s="339">
        <v>4</v>
      </c>
      <c r="S19" s="339">
        <v>5</v>
      </c>
      <c r="T19" s="339">
        <v>5</v>
      </c>
      <c r="U19" s="339">
        <v>5</v>
      </c>
      <c r="V19" s="339">
        <v>5</v>
      </c>
      <c r="W19" s="339">
        <v>5</v>
      </c>
      <c r="X19" s="104">
        <v>32</v>
      </c>
      <c r="Y19" s="104">
        <v>1.5</v>
      </c>
      <c r="Z19" s="107">
        <v>2.3824689982955931</v>
      </c>
      <c r="AA19" s="107">
        <v>2.6068869587257422</v>
      </c>
      <c r="AB19" s="107" t="s">
        <v>3121</v>
      </c>
      <c r="AC19" s="108">
        <v>1.2</v>
      </c>
      <c r="AD19" s="108">
        <v>1.2</v>
      </c>
      <c r="AE19" s="108">
        <v>1.5</v>
      </c>
      <c r="AF19" s="108">
        <v>1.1000000000000001</v>
      </c>
      <c r="AG19" s="108">
        <v>2</v>
      </c>
      <c r="AH19" s="108">
        <v>1.2</v>
      </c>
    </row>
    <row r="20" spans="1:34" ht="11.45" customHeight="1">
      <c r="A20" s="330">
        <v>160217</v>
      </c>
      <c r="B20" s="331" t="s">
        <v>529</v>
      </c>
      <c r="C20" s="88"/>
      <c r="D20" s="340" t="s">
        <v>98</v>
      </c>
      <c r="E20" s="341">
        <v>4</v>
      </c>
      <c r="F20" s="432" t="s">
        <v>296</v>
      </c>
      <c r="G20" s="433" t="s">
        <v>98</v>
      </c>
      <c r="H20" s="434" t="s">
        <v>344</v>
      </c>
      <c r="I20" s="434" t="s">
        <v>248</v>
      </c>
      <c r="J20" s="94" t="s">
        <v>98</v>
      </c>
      <c r="K20" s="433" t="s">
        <v>96</v>
      </c>
      <c r="L20" s="435">
        <v>1.6374E-3</v>
      </c>
      <c r="M20" s="95">
        <v>1</v>
      </c>
      <c r="N20" s="96">
        <v>2.6068869587257422</v>
      </c>
      <c r="O20" s="432" t="s">
        <v>3120</v>
      </c>
      <c r="P20" s="216"/>
      <c r="Q20" s="77" t="s">
        <v>1545</v>
      </c>
      <c r="R20" s="339">
        <v>4</v>
      </c>
      <c r="S20" s="339">
        <v>5</v>
      </c>
      <c r="T20" s="339">
        <v>5</v>
      </c>
      <c r="U20" s="339">
        <v>5</v>
      </c>
      <c r="V20" s="339">
        <v>5</v>
      </c>
      <c r="W20" s="339">
        <v>5</v>
      </c>
      <c r="X20" s="104">
        <v>32</v>
      </c>
      <c r="Y20" s="104">
        <v>1.5</v>
      </c>
      <c r="Z20" s="107">
        <v>2.3824689982955931</v>
      </c>
      <c r="AA20" s="107">
        <v>2.6068869587257422</v>
      </c>
      <c r="AB20" s="107" t="s">
        <v>3121</v>
      </c>
      <c r="AC20" s="108">
        <v>1.2</v>
      </c>
      <c r="AD20" s="108">
        <v>1.2</v>
      </c>
      <c r="AE20" s="108">
        <v>1.5</v>
      </c>
      <c r="AF20" s="108">
        <v>1.1000000000000001</v>
      </c>
      <c r="AG20" s="108">
        <v>2</v>
      </c>
      <c r="AH20" s="108">
        <v>1.2</v>
      </c>
    </row>
    <row r="21" spans="1:34" ht="11.45" customHeight="1">
      <c r="A21" s="330">
        <v>160207</v>
      </c>
      <c r="B21" s="331" t="s">
        <v>529</v>
      </c>
      <c r="C21" s="88"/>
      <c r="D21" s="340" t="s">
        <v>98</v>
      </c>
      <c r="E21" s="341">
        <v>4</v>
      </c>
      <c r="F21" s="432" t="s">
        <v>293</v>
      </c>
      <c r="G21" s="433" t="s">
        <v>98</v>
      </c>
      <c r="H21" s="434" t="s">
        <v>344</v>
      </c>
      <c r="I21" s="434" t="s">
        <v>248</v>
      </c>
      <c r="J21" s="94" t="s">
        <v>98</v>
      </c>
      <c r="K21" s="433" t="s">
        <v>96</v>
      </c>
      <c r="L21" s="435">
        <v>4.2681000000000001E-4</v>
      </c>
      <c r="M21" s="95">
        <v>1</v>
      </c>
      <c r="N21" s="96">
        <v>2.6068869587257422</v>
      </c>
      <c r="O21" s="432" t="s">
        <v>3120</v>
      </c>
      <c r="P21" s="216"/>
      <c r="Q21" s="77" t="s">
        <v>1545</v>
      </c>
      <c r="R21" s="339">
        <v>4</v>
      </c>
      <c r="S21" s="339">
        <v>5</v>
      </c>
      <c r="T21" s="339">
        <v>5</v>
      </c>
      <c r="U21" s="339">
        <v>5</v>
      </c>
      <c r="V21" s="339">
        <v>5</v>
      </c>
      <c r="W21" s="339">
        <v>5</v>
      </c>
      <c r="X21" s="104">
        <v>32</v>
      </c>
      <c r="Y21" s="104">
        <v>1.5</v>
      </c>
      <c r="Z21" s="107">
        <v>2.3824689982955931</v>
      </c>
      <c r="AA21" s="107">
        <v>2.6068869587257422</v>
      </c>
      <c r="AB21" s="107" t="s">
        <v>3121</v>
      </c>
      <c r="AC21" s="108">
        <v>1.2</v>
      </c>
      <c r="AD21" s="108">
        <v>1.2</v>
      </c>
      <c r="AE21" s="108">
        <v>1.5</v>
      </c>
      <c r="AF21" s="108">
        <v>1.1000000000000001</v>
      </c>
      <c r="AG21" s="108">
        <v>2</v>
      </c>
      <c r="AH21" s="108">
        <v>1.2</v>
      </c>
    </row>
    <row r="22" spans="1:34" ht="11.45" customHeight="1">
      <c r="A22" s="330">
        <v>160237</v>
      </c>
      <c r="B22" s="331" t="s">
        <v>529</v>
      </c>
      <c r="C22" s="88"/>
      <c r="D22" s="340" t="s">
        <v>98</v>
      </c>
      <c r="E22" s="341">
        <v>4</v>
      </c>
      <c r="F22" s="432" t="s">
        <v>1549</v>
      </c>
      <c r="G22" s="433" t="s">
        <v>98</v>
      </c>
      <c r="H22" s="434" t="s">
        <v>344</v>
      </c>
      <c r="I22" s="434" t="s">
        <v>248</v>
      </c>
      <c r="J22" s="94" t="s">
        <v>98</v>
      </c>
      <c r="K22" s="433" t="s">
        <v>96</v>
      </c>
      <c r="L22" s="435">
        <v>4.7072000000000003E-2</v>
      </c>
      <c r="M22" s="95">
        <v>1</v>
      </c>
      <c r="N22" s="96">
        <v>6.2254630058132854</v>
      </c>
      <c r="O22" s="432" t="s">
        <v>3120</v>
      </c>
      <c r="P22" s="216"/>
      <c r="Q22" s="77" t="s">
        <v>1545</v>
      </c>
      <c r="R22" s="339">
        <v>4</v>
      </c>
      <c r="S22" s="339">
        <v>5</v>
      </c>
      <c r="T22" s="339">
        <v>5</v>
      </c>
      <c r="U22" s="339">
        <v>5</v>
      </c>
      <c r="V22" s="339">
        <v>5</v>
      </c>
      <c r="W22" s="339">
        <v>5</v>
      </c>
      <c r="X22" s="104">
        <v>35</v>
      </c>
      <c r="Y22" s="104">
        <v>5</v>
      </c>
      <c r="Z22" s="107">
        <v>2.3824689982955931</v>
      </c>
      <c r="AA22" s="107">
        <v>6.2254630058132854</v>
      </c>
      <c r="AB22" s="107" t="s">
        <v>3121</v>
      </c>
      <c r="AC22" s="108">
        <v>1.2</v>
      </c>
      <c r="AD22" s="108">
        <v>1.2</v>
      </c>
      <c r="AE22" s="108">
        <v>1.5</v>
      </c>
      <c r="AF22" s="108">
        <v>1.1000000000000001</v>
      </c>
      <c r="AG22" s="108">
        <v>2</v>
      </c>
      <c r="AH22" s="108">
        <v>1.2</v>
      </c>
    </row>
    <row r="23" spans="1:34" ht="11.45" customHeight="1">
      <c r="A23" s="330">
        <v>17704</v>
      </c>
      <c r="B23" s="331" t="s">
        <v>529</v>
      </c>
      <c r="C23" s="88"/>
      <c r="D23" s="340" t="s">
        <v>98</v>
      </c>
      <c r="E23" s="341">
        <v>4</v>
      </c>
      <c r="F23" s="432" t="s">
        <v>312</v>
      </c>
      <c r="G23" s="433" t="s">
        <v>98</v>
      </c>
      <c r="H23" s="434" t="s">
        <v>344</v>
      </c>
      <c r="I23" s="434" t="s">
        <v>248</v>
      </c>
      <c r="J23" s="94" t="s">
        <v>98</v>
      </c>
      <c r="K23" s="433" t="s">
        <v>96</v>
      </c>
      <c r="L23" s="435">
        <v>1.1386E-3</v>
      </c>
      <c r="M23" s="95">
        <v>1</v>
      </c>
      <c r="N23" s="96">
        <v>4.0560854896922409</v>
      </c>
      <c r="O23" s="432" t="s">
        <v>3120</v>
      </c>
      <c r="P23" s="216"/>
      <c r="Q23" s="77" t="s">
        <v>1545</v>
      </c>
      <c r="R23" s="339">
        <v>4</v>
      </c>
      <c r="S23" s="339">
        <v>5</v>
      </c>
      <c r="T23" s="339">
        <v>5</v>
      </c>
      <c r="U23" s="339">
        <v>5</v>
      </c>
      <c r="V23" s="339">
        <v>5</v>
      </c>
      <c r="W23" s="339">
        <v>5</v>
      </c>
      <c r="X23" s="104">
        <v>34</v>
      </c>
      <c r="Y23" s="104">
        <v>3</v>
      </c>
      <c r="Z23" s="107">
        <v>2.3824689982955931</v>
      </c>
      <c r="AA23" s="107">
        <v>4.0560854896922409</v>
      </c>
      <c r="AB23" s="107" t="s">
        <v>3121</v>
      </c>
      <c r="AC23" s="108">
        <v>1.2</v>
      </c>
      <c r="AD23" s="108">
        <v>1.2</v>
      </c>
      <c r="AE23" s="108">
        <v>1.5</v>
      </c>
      <c r="AF23" s="108">
        <v>1.1000000000000001</v>
      </c>
      <c r="AG23" s="108">
        <v>2</v>
      </c>
      <c r="AH23" s="108">
        <v>1.2</v>
      </c>
    </row>
    <row r="24" spans="1:34" ht="11.45" customHeight="1">
      <c r="A24" s="330">
        <v>81815</v>
      </c>
      <c r="B24" s="331" t="s">
        <v>529</v>
      </c>
      <c r="C24" s="88"/>
      <c r="D24" s="340" t="s">
        <v>98</v>
      </c>
      <c r="E24" s="341">
        <v>4</v>
      </c>
      <c r="F24" s="432" t="s">
        <v>347</v>
      </c>
      <c r="G24" s="433" t="s">
        <v>98</v>
      </c>
      <c r="H24" s="434" t="s">
        <v>344</v>
      </c>
      <c r="I24" s="434" t="s">
        <v>248</v>
      </c>
      <c r="J24" s="94" t="s">
        <v>98</v>
      </c>
      <c r="K24" s="433" t="s">
        <v>96</v>
      </c>
      <c r="L24" s="435">
        <v>0.1338</v>
      </c>
      <c r="M24" s="95">
        <v>1</v>
      </c>
      <c r="N24" s="96">
        <v>2.6068869587257422</v>
      </c>
      <c r="O24" s="432" t="s">
        <v>3120</v>
      </c>
      <c r="P24" s="216"/>
      <c r="Q24" s="77" t="s">
        <v>1545</v>
      </c>
      <c r="R24" s="339">
        <v>4</v>
      </c>
      <c r="S24" s="339">
        <v>5</v>
      </c>
      <c r="T24" s="339">
        <v>5</v>
      </c>
      <c r="U24" s="339">
        <v>5</v>
      </c>
      <c r="V24" s="339">
        <v>5</v>
      </c>
      <c r="W24" s="339">
        <v>5</v>
      </c>
      <c r="X24" s="104">
        <v>33</v>
      </c>
      <c r="Y24" s="104">
        <v>1.5</v>
      </c>
      <c r="Z24" s="107">
        <v>2.3824689982955931</v>
      </c>
      <c r="AA24" s="107">
        <v>2.6068869587257422</v>
      </c>
      <c r="AB24" s="107" t="s">
        <v>3121</v>
      </c>
      <c r="AC24" s="108">
        <v>1.2</v>
      </c>
      <c r="AD24" s="108">
        <v>1.2</v>
      </c>
      <c r="AE24" s="108">
        <v>1.5</v>
      </c>
      <c r="AF24" s="108">
        <v>1.1000000000000001</v>
      </c>
      <c r="AG24" s="108">
        <v>2</v>
      </c>
      <c r="AH24" s="108">
        <v>1.2</v>
      </c>
    </row>
    <row r="25" spans="1:34" ht="11.45" customHeight="1">
      <c r="A25" s="330">
        <v>2850</v>
      </c>
      <c r="B25" s="331" t="s">
        <v>529</v>
      </c>
      <c r="C25" s="88"/>
      <c r="D25" s="340" t="s">
        <v>98</v>
      </c>
      <c r="E25" s="341">
        <v>4</v>
      </c>
      <c r="F25" s="432" t="s">
        <v>348</v>
      </c>
      <c r="G25" s="433" t="s">
        <v>98</v>
      </c>
      <c r="H25" s="434" t="s">
        <v>344</v>
      </c>
      <c r="I25" s="434" t="s">
        <v>248</v>
      </c>
      <c r="J25" s="94" t="s">
        <v>98</v>
      </c>
      <c r="K25" s="433" t="s">
        <v>96</v>
      </c>
      <c r="L25" s="435">
        <v>9.7183000000000005E-2</v>
      </c>
      <c r="M25" s="95">
        <v>1</v>
      </c>
      <c r="N25" s="96">
        <v>6.2254630058132854</v>
      </c>
      <c r="O25" s="432" t="s">
        <v>3120</v>
      </c>
      <c r="P25" s="216"/>
      <c r="Q25" s="77" t="s">
        <v>1545</v>
      </c>
      <c r="R25" s="339">
        <v>4</v>
      </c>
      <c r="S25" s="339">
        <v>5</v>
      </c>
      <c r="T25" s="339">
        <v>5</v>
      </c>
      <c r="U25" s="339">
        <v>5</v>
      </c>
      <c r="V25" s="339">
        <v>5</v>
      </c>
      <c r="W25" s="339">
        <v>5</v>
      </c>
      <c r="X25" s="104">
        <v>35</v>
      </c>
      <c r="Y25" s="104">
        <v>5</v>
      </c>
      <c r="Z25" s="107">
        <v>2.3824689982955931</v>
      </c>
      <c r="AA25" s="107">
        <v>6.2254630058132854</v>
      </c>
      <c r="AB25" s="107" t="s">
        <v>3121</v>
      </c>
      <c r="AC25" s="108">
        <v>1.2</v>
      </c>
      <c r="AD25" s="108">
        <v>1.2</v>
      </c>
      <c r="AE25" s="108">
        <v>1.5</v>
      </c>
      <c r="AF25" s="108">
        <v>1.1000000000000001</v>
      </c>
      <c r="AG25" s="108">
        <v>2</v>
      </c>
      <c r="AH25" s="108">
        <v>1.2</v>
      </c>
    </row>
    <row r="26" spans="1:34" ht="11.45" customHeight="1">
      <c r="A26" s="330">
        <v>160229</v>
      </c>
      <c r="B26" s="331" t="s">
        <v>529</v>
      </c>
      <c r="C26" s="88"/>
      <c r="D26" s="340" t="s">
        <v>98</v>
      </c>
      <c r="E26" s="341">
        <v>4</v>
      </c>
      <c r="F26" s="432" t="s">
        <v>298</v>
      </c>
      <c r="G26" s="433" t="s">
        <v>98</v>
      </c>
      <c r="H26" s="434" t="s">
        <v>344</v>
      </c>
      <c r="I26" s="434" t="s">
        <v>248</v>
      </c>
      <c r="J26" s="94" t="s">
        <v>98</v>
      </c>
      <c r="K26" s="433" t="s">
        <v>96</v>
      </c>
      <c r="L26" s="435">
        <v>4.2681000000000001E-4</v>
      </c>
      <c r="M26" s="95">
        <v>1</v>
      </c>
      <c r="N26" s="96">
        <v>2.6068869587257422</v>
      </c>
      <c r="O26" s="432" t="s">
        <v>3120</v>
      </c>
      <c r="P26" s="216"/>
      <c r="Q26" s="77" t="s">
        <v>1545</v>
      </c>
      <c r="R26" s="339">
        <v>4</v>
      </c>
      <c r="S26" s="339">
        <v>5</v>
      </c>
      <c r="T26" s="339">
        <v>5</v>
      </c>
      <c r="U26" s="339">
        <v>5</v>
      </c>
      <c r="V26" s="339">
        <v>5</v>
      </c>
      <c r="W26" s="339">
        <v>5</v>
      </c>
      <c r="X26" s="104">
        <v>32</v>
      </c>
      <c r="Y26" s="104">
        <v>1.5</v>
      </c>
      <c r="Z26" s="107">
        <v>2.3824689982955931</v>
      </c>
      <c r="AA26" s="107">
        <v>2.6068869587257422</v>
      </c>
      <c r="AB26" s="107" t="s">
        <v>3121</v>
      </c>
      <c r="AC26" s="108">
        <v>1.2</v>
      </c>
      <c r="AD26" s="108">
        <v>1.2</v>
      </c>
      <c r="AE26" s="108">
        <v>1.5</v>
      </c>
      <c r="AF26" s="108">
        <v>1.1000000000000001</v>
      </c>
      <c r="AG26" s="108">
        <v>2</v>
      </c>
      <c r="AH26" s="108">
        <v>1.2</v>
      </c>
    </row>
    <row r="27" spans="1:34" ht="11.45" customHeight="1">
      <c r="A27" s="330">
        <v>64505</v>
      </c>
      <c r="B27" s="331" t="s">
        <v>529</v>
      </c>
      <c r="C27" s="88"/>
      <c r="D27" s="340" t="s">
        <v>98</v>
      </c>
      <c r="E27" s="341">
        <v>4</v>
      </c>
      <c r="F27" s="432" t="s">
        <v>1540</v>
      </c>
      <c r="G27" s="433" t="s">
        <v>98</v>
      </c>
      <c r="H27" s="434" t="s">
        <v>344</v>
      </c>
      <c r="I27" s="434" t="s">
        <v>248</v>
      </c>
      <c r="J27" s="94" t="s">
        <v>98</v>
      </c>
      <c r="K27" s="433" t="s">
        <v>96</v>
      </c>
      <c r="L27" s="435">
        <v>14.7</v>
      </c>
      <c r="M27" s="95">
        <v>1</v>
      </c>
      <c r="N27" s="96">
        <v>2.1259856025998545</v>
      </c>
      <c r="O27" s="432" t="s">
        <v>3122</v>
      </c>
      <c r="P27" s="216"/>
      <c r="Q27" s="77" t="s">
        <v>1545</v>
      </c>
      <c r="R27" s="339">
        <v>4</v>
      </c>
      <c r="S27" s="339">
        <v>4</v>
      </c>
      <c r="T27" s="339">
        <v>5</v>
      </c>
      <c r="U27" s="339">
        <v>2</v>
      </c>
      <c r="V27" s="339">
        <v>4</v>
      </c>
      <c r="W27" s="339">
        <v>5</v>
      </c>
      <c r="X27" s="104">
        <v>33</v>
      </c>
      <c r="Y27" s="104">
        <v>1.5</v>
      </c>
      <c r="Z27" s="107">
        <v>1.8888703797664121</v>
      </c>
      <c r="AA27" s="107">
        <v>2.1259856025998545</v>
      </c>
      <c r="AB27" s="107" t="s">
        <v>3123</v>
      </c>
      <c r="AC27" s="108">
        <v>1.2</v>
      </c>
      <c r="AD27" s="108">
        <v>1.1000000000000001</v>
      </c>
      <c r="AE27" s="108">
        <v>1.5</v>
      </c>
      <c r="AF27" s="108">
        <v>1.01</v>
      </c>
      <c r="AG27" s="108">
        <v>1.5</v>
      </c>
      <c r="AH27" s="108">
        <v>1.2</v>
      </c>
    </row>
  </sheetData>
  <mergeCells count="1">
    <mergeCell ref="R1:W1"/>
  </mergeCells>
  <conditionalFormatting sqref="B8:B27">
    <cfRule type="cellIs" dxfId="153" priority="5" stopIfTrue="1" operator="notEqual">
      <formula>""</formula>
    </cfRule>
  </conditionalFormatting>
  <conditionalFormatting sqref="D8:W27">
    <cfRule type="expression" dxfId="152" priority="1">
      <formula>MOD(ROW(),2)=0</formula>
    </cfRule>
  </conditionalFormatting>
  <conditionalFormatting sqref="R8:W27">
    <cfRule type="cellIs" dxfId="151" priority="4" stopIfTrue="1" operator="notBetween">
      <formula>1</formula>
      <formula>5</formula>
    </cfRule>
  </conditionalFormatting>
  <conditionalFormatting sqref="X8:AH27">
    <cfRule type="expression" dxfId="150" priority="2">
      <formula>MOD(ROW(),2)=0</formula>
    </cfRule>
  </conditionalFormatting>
  <dataValidations count="28">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300-000000000000}"/>
    <dataValidation allowBlank="1" showInputMessage="1" showErrorMessage="1" promptTitle="Remarks" prompt="A general comment (data source, calculation procedure, ...) can be made about each individual exchange. The remarks are added to the GeneralComment-field." sqref="P3 P8:P27 Q2:Q3" xr:uid="{00000000-0002-0000-3300-000001000000}"/>
    <dataValidation allowBlank="1" showInputMessage="1" showErrorMessage="1" prompt="Do not change." sqref="X3:AH4" xr:uid="{00000000-0002-0000-3300-000002000000}"/>
    <dataValidation allowBlank="1" showInputMessage="1" showErrorMessage="1" prompt="This cell is automatically updated from the names List according to the index number in L1. It needs to be identical to the output product." sqref="L3:L6" xr:uid="{00000000-0002-0000-3300-000003000000}"/>
    <dataValidation allowBlank="1" showInputMessage="1" showErrorMessage="1" promptTitle="Unit" prompt="Unit of the exchange (elementary flow or intermediate product flow)." sqref="F6 K2:K3" xr:uid="{00000000-0002-0000-3300-000004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300-000005000000}"/>
    <dataValidation allowBlank="1" showInputMessage="1" showErrorMessage="1" promptTitle="Name" prompt="Name of the exchange (elementary flow or intermediate product flow) in English language. " sqref="F2:F3" xr:uid="{00000000-0002-0000-3300-000006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300-000007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27" xr:uid="{00000000-0002-0000-3300-000008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3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1 A13:A27" xr:uid="{00000000-0002-0000-3300-00000A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27" xr:uid="{00000000-0002-0000-3300-00000B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27" xr:uid="{00000000-0002-0000-3300-00000C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27" xr:uid="{00000000-0002-0000-3300-00000D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27" xr:uid="{00000000-0002-0000-3300-00000E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27" xr:uid="{00000000-0002-0000-3300-00000F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27" xr:uid="{00000000-0002-0000-3300-000010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300-000011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300-000012000000}"/>
    <dataValidation allowBlank="1" showInputMessage="1" showErrorMessage="1" prompt="always 1" sqref="L7" xr:uid="{00000000-0002-0000-3300-000013000000}"/>
    <dataValidation allowBlank="1" showInputMessage="1" showErrorMessage="1" prompt="Mean amount of elementary flow or intermediate product flow. Enter your values (or the respective equation) here." sqref="L8:L27" xr:uid="{00000000-0002-0000-3300-000014000000}"/>
    <dataValidation allowBlank="1" showInputMessage="1" showErrorMessage="1" promptTitle="Do not change" prompt="This field is automatically calculated from your inputs." sqref="Y8:AH27" xr:uid="{00000000-0002-0000-3300-000015000000}"/>
    <dataValidation allowBlank="1" showInputMessage="1" showErrorMessage="1" promptTitle="Do not change" prompt="This field is automatically updated from the names-list" sqref="X8:X27" xr:uid="{00000000-0002-0000-3300-000016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27" xr:uid="{00000000-0002-0000-3300-000017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27" xr:uid="{00000000-0002-0000-3300-000018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7" xr:uid="{00000000-0002-0000-3300-000019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7" xr:uid="{00000000-0002-0000-3300-00001A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27" xr:uid="{00000000-0002-0000-3300-00001B000000}"/>
  </dataValidations>
  <printOptions horizontalCentered="1" verticalCentered="1"/>
  <pageMargins left="0.78740157480314965" right="0.78740157480314965" top="0.98425196850393704" bottom="0.98425196850393704" header="0.51181102362204722" footer="0.51181102362204722"/>
  <pageSetup paperSize="9" scale="36" orientation="landscape" r:id="rId1"/>
  <headerFooter alignWithMargins="0">
    <oddHeader>&amp;L&amp;C&amp;R</oddHeader>
    <oddFooter>&amp;L&amp;D&amp;C&amp;F&amp;RSeite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31">
    <tabColor rgb="FF9CD9F0"/>
    <pageSetUpPr fitToPage="1"/>
  </sheetPr>
  <dimension ref="A1:AI17"/>
  <sheetViews>
    <sheetView showGridLines="0" workbookViewId="0">
      <selection activeCell="A20" sqref="A20:XFD26"/>
    </sheetView>
  </sheetViews>
  <sheetFormatPr baseColWidth="10" defaultColWidth="11.42578125" defaultRowHeight="12" outlineLevelCol="1"/>
  <cols>
    <col min="1" max="1" width="11.7109375" style="378" customWidth="1"/>
    <col min="2" max="2" width="15.7109375" style="114" customWidth="1"/>
    <col min="3" max="3" width="5.7109375" style="115" hidden="1" customWidth="1" outlineLevel="1"/>
    <col min="4" max="5" width="3.7109375" style="378" hidden="1" customWidth="1" outlineLevel="1"/>
    <col min="6" max="6" width="38.855468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5.7109375" style="378" customWidth="1"/>
    <col min="13" max="14" width="5.7109375" style="116" hidden="1" customWidth="1" outlineLevel="1"/>
    <col min="15" max="15" width="50.7109375" style="116" hidden="1" customWidth="1" outlineLevel="1"/>
    <col min="16" max="16" width="19.7109375" style="406" customWidth="1" collapsed="1"/>
    <col min="17" max="17" width="58.5703125" style="406" customWidth="1"/>
    <col min="18" max="23" width="4.7109375" style="406" customWidth="1"/>
    <col min="24" max="24" width="4.7109375" style="406" hidden="1" customWidth="1" outlineLevel="1"/>
    <col min="25" max="25" width="5.7109375" style="378" hidden="1" customWidth="1" outlineLevel="1"/>
    <col min="26" max="26" width="9.42578125" style="378" hidden="1" customWidth="1" outlineLevel="1"/>
    <col min="27" max="27" width="5.7109375" style="378" hidden="1" customWidth="1" outlineLevel="1"/>
    <col min="28" max="28" width="15.7109375" style="378" hidden="1" customWidth="1" outlineLevel="1"/>
    <col min="29" max="34" width="4.7109375" style="378" hidden="1" customWidth="1" outlineLevel="1"/>
    <col min="35" max="35" width="11.42578125" style="378" customWidth="1" collapsed="1"/>
    <col min="36" max="36" width="11.42578125" style="378" customWidth="1"/>
    <col min="37" max="16384" width="11.42578125" style="378"/>
  </cols>
  <sheetData>
    <row r="1" spans="1:34">
      <c r="A1" s="981"/>
      <c r="B1" s="982"/>
      <c r="C1" s="983"/>
      <c r="D1" s="981"/>
      <c r="E1" s="981"/>
      <c r="F1" s="1130" t="s">
        <v>1453</v>
      </c>
      <c r="G1" s="981"/>
      <c r="H1" s="981"/>
      <c r="I1" s="981"/>
      <c r="J1" s="981"/>
      <c r="K1" s="981"/>
      <c r="L1" s="988">
        <v>255701</v>
      </c>
      <c r="M1" s="896"/>
      <c r="N1" s="896"/>
      <c r="O1" s="896"/>
      <c r="P1" s="378"/>
      <c r="Q1" s="378"/>
      <c r="R1" s="1599" t="s">
        <v>66</v>
      </c>
      <c r="S1" s="1600"/>
      <c r="T1" s="1600"/>
      <c r="U1" s="1600"/>
      <c r="V1" s="1600"/>
      <c r="W1" s="1600"/>
      <c r="X1" s="1014"/>
      <c r="Y1" s="1014"/>
      <c r="Z1" s="1014"/>
      <c r="AA1" s="1014"/>
      <c r="AB1" s="1014"/>
      <c r="AC1" s="1001"/>
      <c r="AD1" s="1001"/>
      <c r="AE1" s="1001"/>
      <c r="AF1" s="1001"/>
      <c r="AG1" s="1001"/>
      <c r="AH1" s="1001"/>
    </row>
    <row r="2" spans="1:34">
      <c r="A2" s="981"/>
      <c r="B2" s="984"/>
      <c r="C2" s="983" t="s">
        <v>67</v>
      </c>
      <c r="D2" s="746">
        <v>3503</v>
      </c>
      <c r="E2" s="746">
        <v>3504</v>
      </c>
      <c r="F2" s="746">
        <v>3702</v>
      </c>
      <c r="G2" s="746">
        <v>3703</v>
      </c>
      <c r="H2" s="746">
        <v>3506</v>
      </c>
      <c r="I2" s="746">
        <v>3507</v>
      </c>
      <c r="J2" s="746">
        <v>3508</v>
      </c>
      <c r="K2" s="746">
        <v>3706</v>
      </c>
      <c r="L2" s="746">
        <v>3707</v>
      </c>
      <c r="M2" s="989">
        <v>3708</v>
      </c>
      <c r="N2" s="989">
        <v>3709</v>
      </c>
      <c r="O2" s="495">
        <v>3792</v>
      </c>
      <c r="R2" s="1013"/>
      <c r="S2" s="1013"/>
      <c r="T2" s="1013"/>
      <c r="U2" s="1013"/>
      <c r="V2" s="1013"/>
      <c r="W2" s="1013"/>
      <c r="X2" s="1014"/>
      <c r="Y2" s="1001"/>
      <c r="Z2" s="1001"/>
      <c r="AA2" s="1001"/>
      <c r="AB2" s="1001"/>
      <c r="AC2" s="1001"/>
      <c r="AD2" s="1001"/>
      <c r="AE2" s="1001"/>
      <c r="AF2" s="1001"/>
      <c r="AG2" s="1001"/>
      <c r="AH2" s="1001"/>
    </row>
    <row r="3" spans="1:34" ht="105" customHeight="1">
      <c r="A3" s="1077" t="s">
        <v>68</v>
      </c>
      <c r="B3" s="985"/>
      <c r="C3" s="983">
        <v>401</v>
      </c>
      <c r="D3" s="85" t="s">
        <v>1454</v>
      </c>
      <c r="E3" s="85" t="s">
        <v>1455</v>
      </c>
      <c r="F3" s="86" t="s">
        <v>71</v>
      </c>
      <c r="G3" s="85" t="s">
        <v>72</v>
      </c>
      <c r="H3" s="85" t="s">
        <v>73</v>
      </c>
      <c r="I3" s="85" t="s">
        <v>1456</v>
      </c>
      <c r="J3" s="85" t="s">
        <v>1457</v>
      </c>
      <c r="K3" s="85" t="s">
        <v>76</v>
      </c>
      <c r="L3" s="987" t="s">
        <v>1547</v>
      </c>
      <c r="M3" s="422" t="s">
        <v>1459</v>
      </c>
      <c r="N3" s="422" t="s">
        <v>1460</v>
      </c>
      <c r="O3" s="423" t="s">
        <v>1461</v>
      </c>
      <c r="P3" s="406" t="s">
        <v>81</v>
      </c>
      <c r="Q3" s="406" t="s">
        <v>253</v>
      </c>
      <c r="R3" s="993" t="s">
        <v>364</v>
      </c>
      <c r="S3" s="993" t="s">
        <v>365</v>
      </c>
      <c r="T3" s="993" t="s">
        <v>366</v>
      </c>
      <c r="U3" s="993" t="s">
        <v>367</v>
      </c>
      <c r="V3" s="993" t="s">
        <v>368</v>
      </c>
      <c r="W3" s="993" t="s">
        <v>369</v>
      </c>
      <c r="X3" s="997" t="s">
        <v>88</v>
      </c>
      <c r="Y3" s="997" t="s">
        <v>370</v>
      </c>
      <c r="Z3" s="997" t="s">
        <v>90</v>
      </c>
      <c r="AA3" s="997" t="s">
        <v>91</v>
      </c>
      <c r="AB3" s="997" t="s">
        <v>371</v>
      </c>
      <c r="AC3" s="998" t="s">
        <v>364</v>
      </c>
      <c r="AD3" s="998" t="s">
        <v>365</v>
      </c>
      <c r="AE3" s="998" t="s">
        <v>366</v>
      </c>
      <c r="AF3" s="998" t="s">
        <v>367</v>
      </c>
      <c r="AG3" s="998" t="s">
        <v>368</v>
      </c>
      <c r="AH3" s="998" t="s">
        <v>369</v>
      </c>
    </row>
    <row r="4" spans="1:34" ht="24" customHeight="1">
      <c r="A4" s="981"/>
      <c r="B4" s="985"/>
      <c r="C4" s="983">
        <v>662</v>
      </c>
      <c r="D4" s="86"/>
      <c r="E4" s="86"/>
      <c r="F4" s="86" t="s">
        <v>72</v>
      </c>
      <c r="G4" s="86"/>
      <c r="H4" s="86"/>
      <c r="I4" s="86"/>
      <c r="J4" s="86"/>
      <c r="K4" s="86"/>
      <c r="L4" s="987" t="s">
        <v>93</v>
      </c>
      <c r="M4" s="425"/>
      <c r="N4" s="425"/>
      <c r="O4" s="426"/>
      <c r="P4" s="378"/>
      <c r="Q4" s="378"/>
      <c r="R4" s="1075" t="s">
        <v>94</v>
      </c>
      <c r="S4" s="1013"/>
      <c r="T4" s="1013"/>
      <c r="U4" s="1013"/>
      <c r="V4" s="1013"/>
      <c r="W4" s="1013"/>
      <c r="X4" s="999"/>
      <c r="Y4" s="999"/>
      <c r="Z4" s="999" t="s">
        <v>95</v>
      </c>
      <c r="AA4" s="999" t="s">
        <v>95</v>
      </c>
      <c r="AB4" s="1014"/>
      <c r="AC4" s="1001"/>
      <c r="AD4" s="1001"/>
      <c r="AE4" s="1001"/>
      <c r="AF4" s="1001"/>
      <c r="AG4" s="1001"/>
      <c r="AH4" s="1001"/>
    </row>
    <row r="5" spans="1:34">
      <c r="A5" s="981"/>
      <c r="B5" s="985"/>
      <c r="C5" s="983">
        <v>493</v>
      </c>
      <c r="D5" s="86"/>
      <c r="E5" s="86"/>
      <c r="F5" s="86" t="s">
        <v>1457</v>
      </c>
      <c r="G5" s="86"/>
      <c r="H5" s="86"/>
      <c r="I5" s="86"/>
      <c r="J5" s="86"/>
      <c r="K5" s="86"/>
      <c r="L5" s="987">
        <v>0</v>
      </c>
      <c r="M5" s="425"/>
      <c r="N5" s="425"/>
      <c r="O5" s="426"/>
      <c r="P5" s="378"/>
      <c r="Q5" s="378"/>
      <c r="R5" s="1013"/>
      <c r="S5" s="1013"/>
      <c r="T5" s="1013"/>
      <c r="U5" s="1013"/>
      <c r="V5" s="1013"/>
      <c r="W5" s="1013"/>
      <c r="X5" s="1014"/>
      <c r="Y5" s="1014"/>
      <c r="Z5" s="1014"/>
      <c r="AA5" s="1014"/>
      <c r="AB5" s="1014"/>
      <c r="AC5" s="1001"/>
      <c r="AD5" s="1001"/>
      <c r="AE5" s="1001"/>
      <c r="AF5" s="1001"/>
      <c r="AG5" s="1001"/>
      <c r="AH5" s="1001"/>
    </row>
    <row r="6" spans="1:34">
      <c r="A6" s="981"/>
      <c r="B6" s="985"/>
      <c r="C6" s="983">
        <v>403</v>
      </c>
      <c r="D6" s="86"/>
      <c r="E6" s="86"/>
      <c r="F6" s="86" t="s">
        <v>76</v>
      </c>
      <c r="G6" s="86"/>
      <c r="H6" s="86"/>
      <c r="I6" s="86"/>
      <c r="J6" s="86"/>
      <c r="K6" s="86"/>
      <c r="L6" s="987" t="s">
        <v>96</v>
      </c>
      <c r="M6" s="425"/>
      <c r="N6" s="425"/>
      <c r="O6" s="426"/>
      <c r="P6" s="378"/>
      <c r="Q6" s="378"/>
      <c r="R6" s="834"/>
      <c r="S6" s="834"/>
      <c r="T6" s="834"/>
      <c r="U6" s="834"/>
      <c r="V6" s="834"/>
      <c r="W6" s="834"/>
      <c r="X6" s="1014"/>
      <c r="Y6" s="1014"/>
      <c r="Z6" s="1131"/>
      <c r="AA6" s="1131"/>
      <c r="AB6" s="1015"/>
      <c r="AC6" s="1001"/>
      <c r="AD6" s="1001"/>
      <c r="AE6" s="1001"/>
      <c r="AF6" s="1001"/>
      <c r="AG6" s="1001"/>
      <c r="AH6" s="1001"/>
    </row>
    <row r="7" spans="1:34">
      <c r="A7" s="810">
        <v>255701</v>
      </c>
      <c r="B7" s="1006" t="s">
        <v>97</v>
      </c>
      <c r="C7" s="1007"/>
      <c r="D7" s="1008" t="s">
        <v>98</v>
      </c>
      <c r="E7" s="1009">
        <v>0</v>
      </c>
      <c r="F7" s="1010" t="s">
        <v>1547</v>
      </c>
      <c r="G7" s="811" t="s">
        <v>93</v>
      </c>
      <c r="H7" s="1011" t="s">
        <v>98</v>
      </c>
      <c r="I7" s="1011" t="s">
        <v>98</v>
      </c>
      <c r="J7" s="812">
        <v>0</v>
      </c>
      <c r="K7" s="811" t="s">
        <v>96</v>
      </c>
      <c r="L7" s="1076">
        <v>1</v>
      </c>
      <c r="M7" s="91"/>
      <c r="N7" s="92"/>
      <c r="O7" s="93"/>
      <c r="P7" s="378"/>
      <c r="Q7" s="378"/>
      <c r="R7" s="853"/>
      <c r="S7" s="853"/>
      <c r="T7" s="853"/>
      <c r="U7" s="853"/>
      <c r="V7" s="853"/>
      <c r="W7" s="853"/>
      <c r="X7" s="1025"/>
      <c r="Y7" s="1015"/>
      <c r="Z7" s="1015"/>
      <c r="AA7" s="1015"/>
      <c r="AB7" s="1014"/>
      <c r="AC7" s="1015"/>
      <c r="AD7" s="1015"/>
      <c r="AE7" s="1015"/>
      <c r="AF7" s="1015"/>
      <c r="AG7" s="1015"/>
      <c r="AH7" s="1015"/>
    </row>
    <row r="8" spans="1:34" ht="11.45" customHeight="1">
      <c r="A8" s="810">
        <v>4645</v>
      </c>
      <c r="B8" s="1006" t="s">
        <v>1462</v>
      </c>
      <c r="C8" s="1007"/>
      <c r="D8" s="1081">
        <v>4</v>
      </c>
      <c r="E8" s="1082" t="s">
        <v>98</v>
      </c>
      <c r="F8" s="1092" t="s">
        <v>1550</v>
      </c>
      <c r="G8" s="1132" t="s">
        <v>98</v>
      </c>
      <c r="H8" s="1133" t="s">
        <v>218</v>
      </c>
      <c r="I8" s="1133" t="s">
        <v>132</v>
      </c>
      <c r="J8" s="1134" t="s">
        <v>98</v>
      </c>
      <c r="K8" s="1132" t="s">
        <v>96</v>
      </c>
      <c r="L8" s="1084">
        <v>1</v>
      </c>
      <c r="M8" s="1135">
        <v>1</v>
      </c>
      <c r="N8" s="1136">
        <v>1.3957732849288962</v>
      </c>
      <c r="O8" s="1092" t="s">
        <v>3124</v>
      </c>
      <c r="P8" s="370"/>
      <c r="Q8" s="378" t="s">
        <v>1551</v>
      </c>
      <c r="R8" s="1142">
        <v>4</v>
      </c>
      <c r="S8" s="1142">
        <v>5</v>
      </c>
      <c r="T8" s="1142">
        <v>3</v>
      </c>
      <c r="U8" s="1142">
        <v>1</v>
      </c>
      <c r="V8" s="1142">
        <v>1</v>
      </c>
      <c r="W8" s="1142">
        <v>5</v>
      </c>
      <c r="X8" s="1087">
        <v>12</v>
      </c>
      <c r="Y8" s="1088">
        <v>1.05</v>
      </c>
      <c r="Z8" s="1088">
        <v>1.3907731135051336</v>
      </c>
      <c r="AA8" s="1088">
        <v>1.3957732849288962</v>
      </c>
      <c r="AB8" s="1088" t="s">
        <v>3119</v>
      </c>
      <c r="AC8" s="1089">
        <v>1.2</v>
      </c>
      <c r="AD8" s="1089">
        <v>1.2</v>
      </c>
      <c r="AE8" s="1089">
        <v>1.1000000000000001</v>
      </c>
      <c r="AF8" s="1089">
        <v>1</v>
      </c>
      <c r="AG8" s="1089">
        <v>1</v>
      </c>
      <c r="AH8" s="1089">
        <v>1.2</v>
      </c>
    </row>
    <row r="9" spans="1:34" ht="11.45" customHeight="1">
      <c r="A9" s="810">
        <v>1354</v>
      </c>
      <c r="B9" s="1006" t="s">
        <v>529</v>
      </c>
      <c r="C9" s="1007"/>
      <c r="D9" s="1018">
        <v>4</v>
      </c>
      <c r="E9" s="1019" t="s">
        <v>98</v>
      </c>
      <c r="F9" s="1023" t="s">
        <v>1552</v>
      </c>
      <c r="G9" s="1137" t="s">
        <v>98</v>
      </c>
      <c r="H9" s="1138" t="s">
        <v>218</v>
      </c>
      <c r="I9" s="1138" t="s">
        <v>132</v>
      </c>
      <c r="J9" s="1139" t="s">
        <v>98</v>
      </c>
      <c r="K9" s="1137" t="s">
        <v>119</v>
      </c>
      <c r="L9" s="1021">
        <v>3.3332999999999999</v>
      </c>
      <c r="M9" s="1140">
        <v>1</v>
      </c>
      <c r="N9" s="1141">
        <v>1.2354522921220721</v>
      </c>
      <c r="O9" s="1023" t="s">
        <v>3125</v>
      </c>
      <c r="P9" s="370"/>
      <c r="Q9" s="378" t="s">
        <v>1551</v>
      </c>
      <c r="R9" s="1143">
        <v>1</v>
      </c>
      <c r="S9" s="1143">
        <v>1</v>
      </c>
      <c r="T9" s="1143">
        <v>3</v>
      </c>
      <c r="U9" s="1143">
        <v>1</v>
      </c>
      <c r="V9" s="1143">
        <v>1</v>
      </c>
      <c r="W9" s="1143">
        <v>5</v>
      </c>
      <c r="X9" s="838">
        <v>12</v>
      </c>
      <c r="Y9" s="1090">
        <v>1.05</v>
      </c>
      <c r="Z9" s="1090">
        <v>1.2284225230179247</v>
      </c>
      <c r="AA9" s="1090">
        <v>1.2354522921220721</v>
      </c>
      <c r="AB9" s="1090" t="s">
        <v>3126</v>
      </c>
      <c r="AC9" s="1091">
        <v>1</v>
      </c>
      <c r="AD9" s="1091">
        <v>1</v>
      </c>
      <c r="AE9" s="1091">
        <v>1.1000000000000001</v>
      </c>
      <c r="AF9" s="1091">
        <v>1</v>
      </c>
      <c r="AG9" s="1091">
        <v>1</v>
      </c>
      <c r="AH9" s="1091">
        <v>1.2</v>
      </c>
    </row>
    <row r="10" spans="1:34" ht="11.45" customHeight="1">
      <c r="A10" s="810">
        <v>269525</v>
      </c>
      <c r="B10" s="1006" t="s">
        <v>221</v>
      </c>
      <c r="C10" s="1007"/>
      <c r="D10" s="1081">
        <v>5</v>
      </c>
      <c r="E10" s="1082" t="s">
        <v>98</v>
      </c>
      <c r="F10" s="1092" t="s">
        <v>229</v>
      </c>
      <c r="G10" s="1132" t="s">
        <v>93</v>
      </c>
      <c r="H10" s="1133" t="s">
        <v>98</v>
      </c>
      <c r="I10" s="1133" t="s">
        <v>98</v>
      </c>
      <c r="J10" s="1134">
        <v>1</v>
      </c>
      <c r="K10" s="1132" t="s">
        <v>144</v>
      </c>
      <c r="L10" s="1084">
        <v>4.0000000000000001E-10</v>
      </c>
      <c r="M10" s="1135">
        <v>1</v>
      </c>
      <c r="N10" s="1136">
        <v>4.0560854896922409</v>
      </c>
      <c r="O10" s="1092" t="s">
        <v>3127</v>
      </c>
      <c r="P10" s="370"/>
      <c r="Q10" s="378" t="s">
        <v>1551</v>
      </c>
      <c r="R10" s="1142">
        <v>4</v>
      </c>
      <c r="S10" s="1142">
        <v>5</v>
      </c>
      <c r="T10" s="1142">
        <v>5</v>
      </c>
      <c r="U10" s="1142">
        <v>5</v>
      </c>
      <c r="V10" s="1142">
        <v>5</v>
      </c>
      <c r="W10" s="1142">
        <v>5</v>
      </c>
      <c r="X10" s="1087">
        <v>9</v>
      </c>
      <c r="Y10" s="1088">
        <v>3</v>
      </c>
      <c r="Z10" s="1088">
        <v>2.3824689982955931</v>
      </c>
      <c r="AA10" s="1088">
        <v>4.0560854896922409</v>
      </c>
      <c r="AB10" s="1088" t="s">
        <v>3121</v>
      </c>
      <c r="AC10" s="1089">
        <v>1.2</v>
      </c>
      <c r="AD10" s="1089">
        <v>1.2</v>
      </c>
      <c r="AE10" s="1089">
        <v>1.5</v>
      </c>
      <c r="AF10" s="1089">
        <v>1.1000000000000001</v>
      </c>
      <c r="AG10" s="1089">
        <v>2</v>
      </c>
      <c r="AH10" s="1089">
        <v>1.2</v>
      </c>
    </row>
    <row r="11" spans="1:34" ht="11.45" customHeight="1">
      <c r="A11" s="810">
        <v>269255</v>
      </c>
      <c r="B11" s="1006" t="s">
        <v>529</v>
      </c>
      <c r="C11" s="1007"/>
      <c r="D11" s="1018">
        <v>5</v>
      </c>
      <c r="E11" s="1019" t="s">
        <v>98</v>
      </c>
      <c r="F11" s="1023" t="s">
        <v>1553</v>
      </c>
      <c r="G11" s="1137" t="s">
        <v>93</v>
      </c>
      <c r="H11" s="1138" t="s">
        <v>98</v>
      </c>
      <c r="I11" s="1138" t="s">
        <v>98</v>
      </c>
      <c r="J11" s="1139">
        <v>0</v>
      </c>
      <c r="K11" s="1137" t="s">
        <v>96</v>
      </c>
      <c r="L11" s="1021">
        <v>0.6</v>
      </c>
      <c r="M11" s="1140">
        <v>1</v>
      </c>
      <c r="N11" s="1141">
        <v>1.3957732849288962</v>
      </c>
      <c r="O11" s="1023" t="s">
        <v>3124</v>
      </c>
      <c r="P11" s="370"/>
      <c r="Q11" s="378" t="s">
        <v>1551</v>
      </c>
      <c r="R11" s="1143">
        <v>4</v>
      </c>
      <c r="S11" s="1143">
        <v>5</v>
      </c>
      <c r="T11" s="1143">
        <v>3</v>
      </c>
      <c r="U11" s="1143">
        <v>1</v>
      </c>
      <c r="V11" s="1143">
        <v>1</v>
      </c>
      <c r="W11" s="1143">
        <v>5</v>
      </c>
      <c r="X11" s="838">
        <v>3</v>
      </c>
      <c r="Y11" s="1090">
        <v>1.05</v>
      </c>
      <c r="Z11" s="1090">
        <v>1.3907731135051336</v>
      </c>
      <c r="AA11" s="1090">
        <v>1.3957732849288962</v>
      </c>
      <c r="AB11" s="1090" t="s">
        <v>3119</v>
      </c>
      <c r="AC11" s="1091">
        <v>1.2</v>
      </c>
      <c r="AD11" s="1091">
        <v>1.2</v>
      </c>
      <c r="AE11" s="1091">
        <v>1.1000000000000001</v>
      </c>
      <c r="AF11" s="1091">
        <v>1</v>
      </c>
      <c r="AG11" s="1091">
        <v>1</v>
      </c>
      <c r="AH11" s="1091">
        <v>1.2</v>
      </c>
    </row>
    <row r="12" spans="1:34" ht="11.45" customHeight="1">
      <c r="A12" s="810">
        <v>269603</v>
      </c>
      <c r="B12" s="1006" t="s">
        <v>529</v>
      </c>
      <c r="C12" s="1007"/>
      <c r="D12" s="1081">
        <v>5</v>
      </c>
      <c r="E12" s="1082" t="s">
        <v>98</v>
      </c>
      <c r="F12" s="1092" t="s">
        <v>222</v>
      </c>
      <c r="G12" s="1132" t="s">
        <v>223</v>
      </c>
      <c r="H12" s="1133" t="s">
        <v>98</v>
      </c>
      <c r="I12" s="1133" t="s">
        <v>98</v>
      </c>
      <c r="J12" s="1134">
        <v>0</v>
      </c>
      <c r="K12" s="1132" t="s">
        <v>109</v>
      </c>
      <c r="L12" s="1084">
        <v>1.6900000000000001E-3</v>
      </c>
      <c r="M12" s="1135">
        <v>1</v>
      </c>
      <c r="N12" s="1136">
        <v>1.5646750276965704</v>
      </c>
      <c r="O12" s="1092" t="s">
        <v>3128</v>
      </c>
      <c r="P12" s="370"/>
      <c r="Q12" s="378" t="s">
        <v>1551</v>
      </c>
      <c r="R12" s="1142">
        <v>1</v>
      </c>
      <c r="S12" s="1142">
        <v>2</v>
      </c>
      <c r="T12" s="1142">
        <v>5</v>
      </c>
      <c r="U12" s="1142">
        <v>1</v>
      </c>
      <c r="V12" s="1142">
        <v>1</v>
      </c>
      <c r="W12" s="1142">
        <v>5</v>
      </c>
      <c r="X12" s="1087">
        <v>2</v>
      </c>
      <c r="Y12" s="1088">
        <v>1.05</v>
      </c>
      <c r="Z12" s="1088">
        <v>1.5605081641569645</v>
      </c>
      <c r="AA12" s="1088">
        <v>1.5646750276965704</v>
      </c>
      <c r="AB12" s="1088" t="s">
        <v>3129</v>
      </c>
      <c r="AC12" s="1089">
        <v>1</v>
      </c>
      <c r="AD12" s="1089">
        <v>1.02</v>
      </c>
      <c r="AE12" s="1089">
        <v>1.5</v>
      </c>
      <c r="AF12" s="1089">
        <v>1</v>
      </c>
      <c r="AG12" s="1089">
        <v>1</v>
      </c>
      <c r="AH12" s="1089">
        <v>1.2</v>
      </c>
    </row>
    <row r="13" spans="1:34" ht="11.45" customHeight="1">
      <c r="A13" s="810">
        <v>269043</v>
      </c>
      <c r="B13" s="1006" t="s">
        <v>529</v>
      </c>
      <c r="C13" s="1007"/>
      <c r="D13" s="1018">
        <v>5</v>
      </c>
      <c r="E13" s="1019" t="s">
        <v>98</v>
      </c>
      <c r="F13" s="1023" t="s">
        <v>1546</v>
      </c>
      <c r="G13" s="1137" t="s">
        <v>93</v>
      </c>
      <c r="H13" s="1138" t="s">
        <v>98</v>
      </c>
      <c r="I13" s="1138" t="s">
        <v>98</v>
      </c>
      <c r="J13" s="1139">
        <v>0</v>
      </c>
      <c r="K13" s="1137" t="s">
        <v>104</v>
      </c>
      <c r="L13" s="1021">
        <v>40.073</v>
      </c>
      <c r="M13" s="1140">
        <v>1</v>
      </c>
      <c r="N13" s="1141">
        <v>1.5646750276965704</v>
      </c>
      <c r="O13" s="1023" t="s">
        <v>3128</v>
      </c>
      <c r="P13" s="370"/>
      <c r="Q13" s="378" t="s">
        <v>1551</v>
      </c>
      <c r="R13" s="1143">
        <v>1</v>
      </c>
      <c r="S13" s="1143">
        <v>2</v>
      </c>
      <c r="T13" s="1143">
        <v>5</v>
      </c>
      <c r="U13" s="1143">
        <v>1</v>
      </c>
      <c r="V13" s="1143">
        <v>1</v>
      </c>
      <c r="W13" s="1143">
        <v>5</v>
      </c>
      <c r="X13" s="838">
        <v>1</v>
      </c>
      <c r="Y13" s="1090">
        <v>1.05</v>
      </c>
      <c r="Z13" s="1090">
        <v>1.5605081641569645</v>
      </c>
      <c r="AA13" s="1090">
        <v>1.5646750276965704</v>
      </c>
      <c r="AB13" s="1090" t="s">
        <v>3129</v>
      </c>
      <c r="AC13" s="1091">
        <v>1</v>
      </c>
      <c r="AD13" s="1091">
        <v>1.02</v>
      </c>
      <c r="AE13" s="1091">
        <v>1.5</v>
      </c>
      <c r="AF13" s="1091">
        <v>1</v>
      </c>
      <c r="AG13" s="1091">
        <v>1</v>
      </c>
      <c r="AH13" s="1091">
        <v>1.2</v>
      </c>
    </row>
    <row r="14" spans="1:34" ht="11.45" customHeight="1">
      <c r="A14" s="810">
        <v>269295</v>
      </c>
      <c r="B14" s="1006" t="s">
        <v>529</v>
      </c>
      <c r="C14" s="1007"/>
      <c r="D14" s="1081">
        <v>5</v>
      </c>
      <c r="E14" s="1082" t="s">
        <v>98</v>
      </c>
      <c r="F14" s="1092" t="s">
        <v>239</v>
      </c>
      <c r="G14" s="1132" t="s">
        <v>93</v>
      </c>
      <c r="H14" s="1133" t="s">
        <v>98</v>
      </c>
      <c r="I14" s="1133" t="s">
        <v>98</v>
      </c>
      <c r="J14" s="1134">
        <v>0</v>
      </c>
      <c r="K14" s="1132" t="s">
        <v>96</v>
      </c>
      <c r="L14" s="1084">
        <v>4.3333E-4</v>
      </c>
      <c r="M14" s="1135">
        <v>1</v>
      </c>
      <c r="N14" s="1136">
        <v>1.3957732849288962</v>
      </c>
      <c r="O14" s="1092" t="s">
        <v>3124</v>
      </c>
      <c r="P14" s="370"/>
      <c r="Q14" s="378" t="s">
        <v>1551</v>
      </c>
      <c r="R14" s="1142">
        <v>4</v>
      </c>
      <c r="S14" s="1142">
        <v>5</v>
      </c>
      <c r="T14" s="1142">
        <v>3</v>
      </c>
      <c r="U14" s="1142">
        <v>1</v>
      </c>
      <c r="V14" s="1142">
        <v>1</v>
      </c>
      <c r="W14" s="1142">
        <v>5</v>
      </c>
      <c r="X14" s="1087">
        <v>3</v>
      </c>
      <c r="Y14" s="1088">
        <v>1.05</v>
      </c>
      <c r="Z14" s="1088">
        <v>1.3907731135051336</v>
      </c>
      <c r="AA14" s="1088">
        <v>1.3957732849288962</v>
      </c>
      <c r="AB14" s="1088" t="s">
        <v>3119</v>
      </c>
      <c r="AC14" s="1089">
        <v>1.2</v>
      </c>
      <c r="AD14" s="1089">
        <v>1.2</v>
      </c>
      <c r="AE14" s="1089">
        <v>1.1000000000000001</v>
      </c>
      <c r="AF14" s="1089">
        <v>1</v>
      </c>
      <c r="AG14" s="1089">
        <v>1</v>
      </c>
      <c r="AH14" s="1089">
        <v>1.2</v>
      </c>
    </row>
    <row r="15" spans="1:34" ht="11.45" customHeight="1">
      <c r="A15" s="810">
        <v>26845</v>
      </c>
      <c r="B15" s="1006" t="s">
        <v>1534</v>
      </c>
      <c r="C15" s="1007"/>
      <c r="D15" s="1018" t="s">
        <v>98</v>
      </c>
      <c r="E15" s="1019">
        <v>4</v>
      </c>
      <c r="F15" s="1023" t="s">
        <v>1540</v>
      </c>
      <c r="G15" s="1137" t="s">
        <v>98</v>
      </c>
      <c r="H15" s="1138" t="s">
        <v>247</v>
      </c>
      <c r="I15" s="1138" t="s">
        <v>258</v>
      </c>
      <c r="J15" s="1139" t="s">
        <v>98</v>
      </c>
      <c r="K15" s="1137" t="s">
        <v>96</v>
      </c>
      <c r="L15" s="1021">
        <v>3333.2999999999997</v>
      </c>
      <c r="M15" s="1140">
        <v>1</v>
      </c>
      <c r="N15" s="1141">
        <v>1.575657361015304</v>
      </c>
      <c r="O15" s="1023" t="s">
        <v>3125</v>
      </c>
      <c r="P15" s="370"/>
      <c r="Q15" s="378" t="s">
        <v>1551</v>
      </c>
      <c r="R15" s="1143">
        <v>1</v>
      </c>
      <c r="S15" s="1143">
        <v>1</v>
      </c>
      <c r="T15" s="1143">
        <v>3</v>
      </c>
      <c r="U15" s="1143">
        <v>1</v>
      </c>
      <c r="V15" s="1143">
        <v>1</v>
      </c>
      <c r="W15" s="1143">
        <v>5</v>
      </c>
      <c r="X15" s="838">
        <v>31</v>
      </c>
      <c r="Y15" s="1090">
        <v>1.5</v>
      </c>
      <c r="Z15" s="1090">
        <v>1.2284225230179247</v>
      </c>
      <c r="AA15" s="1090">
        <v>1.575657361015304</v>
      </c>
      <c r="AB15" s="1090" t="s">
        <v>3126</v>
      </c>
      <c r="AC15" s="1091">
        <v>1</v>
      </c>
      <c r="AD15" s="1091">
        <v>1</v>
      </c>
      <c r="AE15" s="1091">
        <v>1.1000000000000001</v>
      </c>
      <c r="AF15" s="1091">
        <v>1</v>
      </c>
      <c r="AG15" s="1091">
        <v>1</v>
      </c>
      <c r="AH15" s="1091">
        <v>1.2</v>
      </c>
    </row>
    <row r="16" spans="1:34" ht="11.45" customHeight="1">
      <c r="A16" s="810">
        <v>160267</v>
      </c>
      <c r="B16" s="1006" t="s">
        <v>1537</v>
      </c>
      <c r="C16" s="1007"/>
      <c r="D16" s="1081" t="s">
        <v>98</v>
      </c>
      <c r="E16" s="1082">
        <v>4</v>
      </c>
      <c r="F16" s="1092" t="s">
        <v>300</v>
      </c>
      <c r="G16" s="1132" t="s">
        <v>98</v>
      </c>
      <c r="H16" s="1133" t="s">
        <v>344</v>
      </c>
      <c r="I16" s="1133" t="s">
        <v>248</v>
      </c>
      <c r="J16" s="1134" t="s">
        <v>98</v>
      </c>
      <c r="K16" s="1132" t="s">
        <v>96</v>
      </c>
      <c r="L16" s="1084">
        <v>0.6</v>
      </c>
      <c r="M16" s="1135">
        <v>1</v>
      </c>
      <c r="N16" s="1136">
        <v>3.3883572183564272</v>
      </c>
      <c r="O16" s="1092" t="s">
        <v>3130</v>
      </c>
      <c r="P16" s="370"/>
      <c r="Q16" s="378" t="s">
        <v>1551</v>
      </c>
      <c r="R16" s="1142">
        <v>4</v>
      </c>
      <c r="S16" s="1142">
        <v>4</v>
      </c>
      <c r="T16" s="1142">
        <v>4</v>
      </c>
      <c r="U16" s="1142">
        <v>5</v>
      </c>
      <c r="V16" s="1142">
        <v>4</v>
      </c>
      <c r="W16" s="1142">
        <v>5</v>
      </c>
      <c r="X16" s="1087">
        <v>34</v>
      </c>
      <c r="Y16" s="1088">
        <v>3</v>
      </c>
      <c r="Z16" s="1088">
        <v>1.7011644092198264</v>
      </c>
      <c r="AA16" s="1088">
        <v>3.3883572183564272</v>
      </c>
      <c r="AB16" s="1088" t="s">
        <v>3131</v>
      </c>
      <c r="AC16" s="1089">
        <v>1.2</v>
      </c>
      <c r="AD16" s="1089">
        <v>1.1000000000000001</v>
      </c>
      <c r="AE16" s="1089">
        <v>1.2</v>
      </c>
      <c r="AF16" s="1089">
        <v>1.1000000000000001</v>
      </c>
      <c r="AG16" s="1089">
        <v>1.5</v>
      </c>
      <c r="AH16" s="1089">
        <v>1.2</v>
      </c>
    </row>
    <row r="17" spans="1:34" ht="11.45" customHeight="1">
      <c r="A17" s="810">
        <v>160305</v>
      </c>
      <c r="B17" s="1006" t="s">
        <v>529</v>
      </c>
      <c r="C17" s="1007"/>
      <c r="D17" s="1018" t="s">
        <v>98</v>
      </c>
      <c r="E17" s="1019">
        <v>4</v>
      </c>
      <c r="F17" s="1023" t="s">
        <v>358</v>
      </c>
      <c r="G17" s="1137" t="s">
        <v>98</v>
      </c>
      <c r="H17" s="1138" t="s">
        <v>344</v>
      </c>
      <c r="I17" s="1138" t="s">
        <v>248</v>
      </c>
      <c r="J17" s="1139" t="s">
        <v>98</v>
      </c>
      <c r="K17" s="1137" t="s">
        <v>96</v>
      </c>
      <c r="L17" s="1021">
        <v>4.2449000000000002E-4</v>
      </c>
      <c r="M17" s="1140">
        <v>1</v>
      </c>
      <c r="N17" s="1141">
        <v>2.6068869587257422</v>
      </c>
      <c r="O17" s="1023" t="s">
        <v>3127</v>
      </c>
      <c r="P17" s="370"/>
      <c r="Q17" s="378" t="s">
        <v>1551</v>
      </c>
      <c r="R17" s="1143">
        <v>4</v>
      </c>
      <c r="S17" s="1143">
        <v>5</v>
      </c>
      <c r="T17" s="1143">
        <v>5</v>
      </c>
      <c r="U17" s="1143">
        <v>5</v>
      </c>
      <c r="V17" s="1143">
        <v>5</v>
      </c>
      <c r="W17" s="1143">
        <v>5</v>
      </c>
      <c r="X17" s="838">
        <v>33</v>
      </c>
      <c r="Y17" s="1090">
        <v>1.5</v>
      </c>
      <c r="Z17" s="1090">
        <v>2.3824689982955931</v>
      </c>
      <c r="AA17" s="1090">
        <v>2.6068869587257422</v>
      </c>
      <c r="AB17" s="1090" t="s">
        <v>3121</v>
      </c>
      <c r="AC17" s="1091">
        <v>1.2</v>
      </c>
      <c r="AD17" s="1091">
        <v>1.2</v>
      </c>
      <c r="AE17" s="1091">
        <v>1.5</v>
      </c>
      <c r="AF17" s="1091">
        <v>1.1000000000000001</v>
      </c>
      <c r="AG17" s="1091">
        <v>2</v>
      </c>
      <c r="AH17" s="1091">
        <v>1.2</v>
      </c>
    </row>
  </sheetData>
  <mergeCells count="1">
    <mergeCell ref="R1:W1"/>
  </mergeCells>
  <dataValidations count="28">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17" xr:uid="{00000000-0002-0000-3400-000000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7" xr:uid="{00000000-0002-0000-3400-000001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7" xr:uid="{00000000-0002-0000-34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7" xr:uid="{00000000-0002-0000-3400-000003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7" xr:uid="{00000000-0002-0000-3400-000004000000}"/>
    <dataValidation allowBlank="1" showInputMessage="1" showErrorMessage="1" promptTitle="Do not change" prompt="This field is automatically updated from the names-list" sqref="X8:X17" xr:uid="{00000000-0002-0000-3400-000005000000}"/>
    <dataValidation allowBlank="1" showInputMessage="1" showErrorMessage="1" promptTitle="Do not change" prompt="This field is automatically calculated from your inputs." sqref="Y8:AH17" xr:uid="{00000000-0002-0000-3400-000006000000}"/>
    <dataValidation allowBlank="1" showInputMessage="1" showErrorMessage="1" prompt="Mean amount of elementary flow or intermediate product flow. Enter your values (or the respective equation) here." sqref="L8:L17" xr:uid="{00000000-0002-0000-3400-000007000000}"/>
    <dataValidation allowBlank="1" showInputMessage="1" showErrorMessage="1" prompt="always 1" sqref="L7" xr:uid="{00000000-0002-0000-3400-000008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400-000009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400-00000A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17" xr:uid="{00000000-0002-0000-3400-00000B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17" xr:uid="{00000000-0002-0000-3400-00000C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17" xr:uid="{00000000-0002-0000-3400-00000D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17" xr:uid="{00000000-0002-0000-3400-00000E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17" xr:uid="{00000000-0002-0000-3400-00000F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17" xr:uid="{00000000-0002-0000-3400-000010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7" xr:uid="{00000000-0002-0000-3400-000011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400-000012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7" xr:uid="{00000000-0002-0000-3400-000013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400-000014000000}"/>
    <dataValidation allowBlank="1" showInputMessage="1" showErrorMessage="1" promptTitle="Name" prompt="Name of the exchange (elementary flow or intermediate product flow) in English language. " sqref="F2:F3" xr:uid="{00000000-0002-0000-3400-000015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400-000016000000}"/>
    <dataValidation allowBlank="1" showInputMessage="1" showErrorMessage="1" promptTitle="Unit" prompt="Unit of the exchange (elementary flow or intermediate product flow)." sqref="F6 K2:K3" xr:uid="{00000000-0002-0000-3400-000017000000}"/>
    <dataValidation allowBlank="1" showInputMessage="1" showErrorMessage="1" prompt="This cell is automatically updated from the names List according to the index number in L1. It needs to be identical to the output product." sqref="L3:L6" xr:uid="{00000000-0002-0000-3400-000018000000}"/>
    <dataValidation allowBlank="1" showInputMessage="1" showErrorMessage="1" prompt="Do not change." sqref="X3:AH4" xr:uid="{00000000-0002-0000-3400-000019000000}"/>
    <dataValidation allowBlank="1" showInputMessage="1" showErrorMessage="1" promptTitle="Remarks" prompt="A general comment (data source, calculation procedure, ...) can be made about each individual exchange. The remarks are added to the GeneralComment-field." sqref="P3 P8:P17 Q2:Q3" xr:uid="{00000000-0002-0000-3400-00001A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400-00001B000000}"/>
  </dataValidations>
  <printOptions horizontalCentered="1" verticalCentered="1"/>
  <pageMargins left="0.78740157480314965" right="0.78740157480314965" top="0.98425196850393704" bottom="0.98425196850393704" header="0.51181102362204722" footer="0.51181102362204722"/>
  <pageSetup paperSize="9" scale="33" orientation="landscape" r:id="rId1"/>
  <headerFooter alignWithMargins="0">
    <oddHeader>&amp;L&amp;C&amp;R</oddHeader>
    <oddFooter>&amp;L&amp;D&amp;C&amp;F&amp;RSeite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34">
    <tabColor rgb="FF9CD9F0"/>
    <pageSetUpPr fitToPage="1"/>
  </sheetPr>
  <dimension ref="A1:AI24"/>
  <sheetViews>
    <sheetView workbookViewId="0">
      <selection activeCell="A27" sqref="A27:XFD33"/>
    </sheetView>
  </sheetViews>
  <sheetFormatPr baseColWidth="10" defaultColWidth="11.42578125" defaultRowHeight="12" outlineLevelCol="1"/>
  <cols>
    <col min="1" max="1" width="11.7109375" style="378" customWidth="1"/>
    <col min="2" max="2" width="15.7109375" style="114" customWidth="1"/>
    <col min="3" max="3" width="5.7109375" style="115" hidden="1" customWidth="1" outlineLevel="1"/>
    <col min="4" max="5" width="3.7109375" style="378" hidden="1" customWidth="1" outlineLevel="1"/>
    <col min="6" max="6" width="38.855468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5.7109375" style="378" customWidth="1"/>
    <col min="13" max="14" width="5.7109375" style="116" hidden="1" customWidth="1" outlineLevel="1"/>
    <col min="15" max="15" width="50.7109375" style="116" hidden="1" customWidth="1" outlineLevel="1"/>
    <col min="16" max="16" width="19.7109375" style="406" customWidth="1" collapsed="1"/>
    <col min="17" max="17" width="58.5703125" style="406" customWidth="1"/>
    <col min="18" max="23" width="4.7109375" style="406" customWidth="1"/>
    <col min="24" max="24" width="4.7109375" style="406" hidden="1" customWidth="1" outlineLevel="1"/>
    <col min="25" max="27" width="5.7109375" style="378" hidden="1" customWidth="1" outlineLevel="1"/>
    <col min="28" max="28" width="15.7109375" style="378" hidden="1" customWidth="1" outlineLevel="1"/>
    <col min="29" max="34" width="4.7109375" style="378" hidden="1" customWidth="1" outlineLevel="1"/>
    <col min="35" max="35" width="11.42578125" style="378" customWidth="1" collapsed="1"/>
    <col min="36" max="36" width="11.42578125" style="378" customWidth="1"/>
    <col min="37" max="16384" width="11.42578125" style="378"/>
  </cols>
  <sheetData>
    <row r="1" spans="1:34">
      <c r="A1" s="77"/>
      <c r="B1" s="78"/>
      <c r="C1" s="79"/>
      <c r="D1" s="77"/>
      <c r="E1" s="77"/>
      <c r="F1" s="80" t="s">
        <v>1453</v>
      </c>
      <c r="G1" s="77"/>
      <c r="H1" s="77"/>
      <c r="I1" s="77"/>
      <c r="J1" s="77"/>
      <c r="K1" s="77"/>
      <c r="L1" s="330">
        <v>261248</v>
      </c>
      <c r="M1" s="81"/>
      <c r="N1" s="81"/>
      <c r="O1" s="81"/>
      <c r="P1" s="378"/>
      <c r="Q1" s="378"/>
      <c r="R1" s="1586" t="s">
        <v>66</v>
      </c>
      <c r="S1" s="1598"/>
      <c r="T1" s="1598"/>
      <c r="U1" s="1598"/>
      <c r="V1" s="1598"/>
      <c r="W1" s="1598"/>
      <c r="Y1" s="406"/>
      <c r="Z1" s="406"/>
      <c r="AA1" s="406"/>
      <c r="AB1" s="406"/>
    </row>
    <row r="2" spans="1:34">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34" ht="105" customHeight="1">
      <c r="A3" s="83" t="s">
        <v>68</v>
      </c>
      <c r="B3" s="84"/>
      <c r="C3" s="79">
        <v>401</v>
      </c>
      <c r="D3" s="85" t="s">
        <v>1454</v>
      </c>
      <c r="E3" s="85" t="s">
        <v>1455</v>
      </c>
      <c r="F3" s="86" t="s">
        <v>71</v>
      </c>
      <c r="G3" s="85" t="s">
        <v>72</v>
      </c>
      <c r="H3" s="85" t="s">
        <v>73</v>
      </c>
      <c r="I3" s="85" t="s">
        <v>1456</v>
      </c>
      <c r="J3" s="85" t="s">
        <v>1457</v>
      </c>
      <c r="K3" s="85" t="s">
        <v>76</v>
      </c>
      <c r="L3" s="87" t="s">
        <v>1479</v>
      </c>
      <c r="M3" s="422" t="s">
        <v>1459</v>
      </c>
      <c r="N3" s="422" t="s">
        <v>1460</v>
      </c>
      <c r="O3" s="423" t="s">
        <v>1461</v>
      </c>
      <c r="P3" s="97" t="s">
        <v>81</v>
      </c>
      <c r="Q3" s="97" t="s">
        <v>253</v>
      </c>
      <c r="R3" s="98" t="s">
        <v>364</v>
      </c>
      <c r="S3" s="98" t="s">
        <v>365</v>
      </c>
      <c r="T3" s="98" t="s">
        <v>366</v>
      </c>
      <c r="U3" s="98" t="s">
        <v>367</v>
      </c>
      <c r="V3" s="98" t="s">
        <v>368</v>
      </c>
      <c r="W3" s="98" t="s">
        <v>369</v>
      </c>
      <c r="X3" s="99" t="s">
        <v>88</v>
      </c>
      <c r="Y3" s="99" t="s">
        <v>370</v>
      </c>
      <c r="Z3" s="99" t="s">
        <v>90</v>
      </c>
      <c r="AA3" s="99" t="s">
        <v>91</v>
      </c>
      <c r="AB3" s="99" t="s">
        <v>371</v>
      </c>
      <c r="AC3" s="100" t="s">
        <v>364</v>
      </c>
      <c r="AD3" s="100" t="s">
        <v>365</v>
      </c>
      <c r="AE3" s="100" t="s">
        <v>366</v>
      </c>
      <c r="AF3" s="100" t="s">
        <v>367</v>
      </c>
      <c r="AG3" s="100" t="s">
        <v>368</v>
      </c>
      <c r="AH3" s="100" t="s">
        <v>369</v>
      </c>
    </row>
    <row r="4" spans="1:34" ht="24" customHeight="1">
      <c r="A4" s="77"/>
      <c r="B4" s="84"/>
      <c r="C4" s="79">
        <v>662</v>
      </c>
      <c r="D4" s="86"/>
      <c r="E4" s="86"/>
      <c r="F4" s="86" t="s">
        <v>72</v>
      </c>
      <c r="G4" s="86"/>
      <c r="H4" s="86"/>
      <c r="I4" s="86"/>
      <c r="J4" s="86"/>
      <c r="K4" s="86"/>
      <c r="L4" s="87" t="s">
        <v>93</v>
      </c>
      <c r="M4" s="425"/>
      <c r="N4" s="425"/>
      <c r="O4" s="426"/>
      <c r="P4" s="101"/>
      <c r="Q4" s="101"/>
      <c r="R4" s="102" t="s">
        <v>94</v>
      </c>
      <c r="S4" s="97"/>
      <c r="T4" s="97"/>
      <c r="U4" s="97"/>
      <c r="V4" s="97"/>
      <c r="W4" s="97"/>
      <c r="X4" s="103"/>
      <c r="Y4" s="103"/>
      <c r="Z4" s="103" t="s">
        <v>95</v>
      </c>
      <c r="AA4" s="103" t="s">
        <v>95</v>
      </c>
      <c r="AB4" s="104"/>
      <c r="AC4" s="105"/>
      <c r="AD4" s="105"/>
      <c r="AE4" s="105"/>
      <c r="AF4" s="105"/>
      <c r="AG4" s="105"/>
      <c r="AH4" s="105"/>
    </row>
    <row r="5" spans="1:34">
      <c r="A5" s="77"/>
      <c r="B5" s="84"/>
      <c r="C5" s="79">
        <v>493</v>
      </c>
      <c r="D5" s="86"/>
      <c r="E5" s="86"/>
      <c r="F5" s="86" t="s">
        <v>1457</v>
      </c>
      <c r="G5" s="86"/>
      <c r="H5" s="86"/>
      <c r="I5" s="86"/>
      <c r="J5" s="86"/>
      <c r="K5" s="86"/>
      <c r="L5" s="87">
        <v>0</v>
      </c>
      <c r="M5" s="425"/>
      <c r="N5" s="425"/>
      <c r="O5" s="426"/>
      <c r="P5" s="101"/>
      <c r="Q5" s="101"/>
      <c r="R5" s="97"/>
      <c r="S5" s="97"/>
      <c r="T5" s="97"/>
      <c r="U5" s="97"/>
      <c r="V5" s="97"/>
      <c r="W5" s="97"/>
      <c r="X5" s="104"/>
      <c r="Y5" s="104"/>
      <c r="Z5" s="104"/>
      <c r="AA5" s="104"/>
      <c r="AB5" s="104"/>
      <c r="AC5" s="105"/>
      <c r="AD5" s="105"/>
      <c r="AE5" s="105"/>
      <c r="AF5" s="105"/>
      <c r="AG5" s="105"/>
      <c r="AH5" s="105"/>
    </row>
    <row r="6" spans="1:34">
      <c r="A6" s="77"/>
      <c r="B6" s="84"/>
      <c r="C6" s="79">
        <v>403</v>
      </c>
      <c r="D6" s="86"/>
      <c r="E6" s="86"/>
      <c r="F6" s="86" t="s">
        <v>76</v>
      </c>
      <c r="G6" s="86"/>
      <c r="H6" s="86"/>
      <c r="I6" s="86"/>
      <c r="J6" s="86"/>
      <c r="K6" s="86"/>
      <c r="L6" s="87" t="s">
        <v>96</v>
      </c>
      <c r="M6" s="425"/>
      <c r="N6" s="425"/>
      <c r="O6" s="426"/>
      <c r="P6" s="101"/>
      <c r="Q6" s="101"/>
      <c r="R6" s="106"/>
      <c r="S6" s="106"/>
      <c r="T6" s="106"/>
      <c r="U6" s="106"/>
      <c r="V6" s="106"/>
      <c r="W6" s="106"/>
      <c r="X6" s="104"/>
      <c r="Y6" s="104"/>
      <c r="Z6" s="428"/>
      <c r="AA6" s="428"/>
      <c r="AB6" s="107"/>
      <c r="AC6" s="105"/>
      <c r="AD6" s="105"/>
      <c r="AE6" s="105"/>
      <c r="AF6" s="105"/>
      <c r="AG6" s="105"/>
      <c r="AH6" s="105"/>
    </row>
    <row r="7" spans="1:34">
      <c r="A7" s="330">
        <v>261248</v>
      </c>
      <c r="B7" s="331" t="s">
        <v>97</v>
      </c>
      <c r="C7" s="88"/>
      <c r="D7" s="294" t="s">
        <v>98</v>
      </c>
      <c r="E7" s="295">
        <v>0</v>
      </c>
      <c r="F7" s="429" t="s">
        <v>1479</v>
      </c>
      <c r="G7" s="430" t="s">
        <v>93</v>
      </c>
      <c r="H7" s="431" t="s">
        <v>98</v>
      </c>
      <c r="I7" s="431" t="s">
        <v>98</v>
      </c>
      <c r="J7" s="89">
        <v>0</v>
      </c>
      <c r="K7" s="430" t="s">
        <v>96</v>
      </c>
      <c r="L7" s="90">
        <v>1</v>
      </c>
      <c r="M7" s="91"/>
      <c r="N7" s="92"/>
      <c r="O7" s="93"/>
      <c r="P7" s="101"/>
      <c r="Q7" s="101"/>
      <c r="R7" s="97"/>
      <c r="S7" s="97"/>
      <c r="T7" s="97"/>
      <c r="U7" s="97"/>
      <c r="V7" s="97"/>
      <c r="W7" s="97"/>
      <c r="X7" s="104"/>
      <c r="Y7" s="104"/>
      <c r="Z7" s="104"/>
      <c r="AA7" s="104"/>
      <c r="AB7" s="104"/>
      <c r="AC7" s="104"/>
      <c r="AD7" s="104"/>
      <c r="AE7" s="104"/>
      <c r="AF7" s="104"/>
      <c r="AG7" s="104"/>
      <c r="AH7" s="104"/>
    </row>
    <row r="8" spans="1:34" ht="11.45" customHeight="1">
      <c r="A8" s="330">
        <v>56706</v>
      </c>
      <c r="B8" s="331" t="s">
        <v>1462</v>
      </c>
      <c r="C8" s="88"/>
      <c r="D8" s="340">
        <v>4</v>
      </c>
      <c r="E8" s="341" t="s">
        <v>98</v>
      </c>
      <c r="F8" s="432" t="s">
        <v>618</v>
      </c>
      <c r="G8" s="433" t="s">
        <v>98</v>
      </c>
      <c r="H8" s="434" t="s">
        <v>218</v>
      </c>
      <c r="I8" s="434" t="s">
        <v>132</v>
      </c>
      <c r="J8" s="94" t="s">
        <v>98</v>
      </c>
      <c r="K8" s="433" t="s">
        <v>119</v>
      </c>
      <c r="L8" s="435">
        <v>2.4E-2</v>
      </c>
      <c r="M8" s="95">
        <v>1</v>
      </c>
      <c r="N8" s="96">
        <v>1.3957732849288962</v>
      </c>
      <c r="O8" s="432" t="s">
        <v>3132</v>
      </c>
      <c r="P8" s="216"/>
      <c r="Q8" s="77" t="s">
        <v>1554</v>
      </c>
      <c r="R8" s="339">
        <v>4</v>
      </c>
      <c r="S8" s="339">
        <v>5</v>
      </c>
      <c r="T8" s="339">
        <v>3</v>
      </c>
      <c r="U8" s="339">
        <v>1</v>
      </c>
      <c r="V8" s="339">
        <v>1</v>
      </c>
      <c r="W8" s="339">
        <v>5</v>
      </c>
      <c r="X8" s="104">
        <v>12</v>
      </c>
      <c r="Y8" s="104">
        <v>1.05</v>
      </c>
      <c r="Z8" s="107">
        <v>1.3907731135051336</v>
      </c>
      <c r="AA8" s="107">
        <v>1.3957732849288962</v>
      </c>
      <c r="AB8" s="107" t="s">
        <v>3119</v>
      </c>
      <c r="AC8" s="108">
        <v>1.2</v>
      </c>
      <c r="AD8" s="108">
        <v>1.2</v>
      </c>
      <c r="AE8" s="108">
        <v>1.1000000000000001</v>
      </c>
      <c r="AF8" s="108">
        <v>1</v>
      </c>
      <c r="AG8" s="108">
        <v>1</v>
      </c>
      <c r="AH8" s="108">
        <v>1.2</v>
      </c>
    </row>
    <row r="9" spans="1:34" ht="11.45" customHeight="1">
      <c r="A9" s="330">
        <v>269525</v>
      </c>
      <c r="B9" s="331" t="s">
        <v>221</v>
      </c>
      <c r="C9" s="88"/>
      <c r="D9" s="340">
        <v>5</v>
      </c>
      <c r="E9" s="341" t="s">
        <v>98</v>
      </c>
      <c r="F9" s="432" t="s">
        <v>229</v>
      </c>
      <c r="G9" s="433" t="s">
        <v>93</v>
      </c>
      <c r="H9" s="434" t="s">
        <v>98</v>
      </c>
      <c r="I9" s="434" t="s">
        <v>98</v>
      </c>
      <c r="J9" s="94">
        <v>1</v>
      </c>
      <c r="K9" s="433" t="s">
        <v>144</v>
      </c>
      <c r="L9" s="435">
        <v>4.0000000000000001E-10</v>
      </c>
      <c r="M9" s="95">
        <v>1</v>
      </c>
      <c r="N9" s="96">
        <v>4.0560854896922409</v>
      </c>
      <c r="O9" s="432" t="s">
        <v>3133</v>
      </c>
      <c r="P9" s="216"/>
      <c r="Q9" s="77" t="s">
        <v>1554</v>
      </c>
      <c r="R9" s="339">
        <v>4</v>
      </c>
      <c r="S9" s="339">
        <v>5</v>
      </c>
      <c r="T9" s="339">
        <v>5</v>
      </c>
      <c r="U9" s="339">
        <v>5</v>
      </c>
      <c r="V9" s="339">
        <v>5</v>
      </c>
      <c r="W9" s="339">
        <v>5</v>
      </c>
      <c r="X9" s="104">
        <v>9</v>
      </c>
      <c r="Y9" s="104">
        <v>3</v>
      </c>
      <c r="Z9" s="107">
        <v>2.3824689982955931</v>
      </c>
      <c r="AA9" s="107">
        <v>4.0560854896922409</v>
      </c>
      <c r="AB9" s="107" t="s">
        <v>3121</v>
      </c>
      <c r="AC9" s="108">
        <v>1.2</v>
      </c>
      <c r="AD9" s="108">
        <v>1.2</v>
      </c>
      <c r="AE9" s="108">
        <v>1.5</v>
      </c>
      <c r="AF9" s="108">
        <v>1.1000000000000001</v>
      </c>
      <c r="AG9" s="108">
        <v>2</v>
      </c>
      <c r="AH9" s="108">
        <v>1.2</v>
      </c>
    </row>
    <row r="10" spans="1:34" ht="11.45" customHeight="1">
      <c r="A10" s="330">
        <v>269603</v>
      </c>
      <c r="B10" s="331" t="s">
        <v>529</v>
      </c>
      <c r="C10" s="88"/>
      <c r="D10" s="340">
        <v>5</v>
      </c>
      <c r="E10" s="341" t="s">
        <v>98</v>
      </c>
      <c r="F10" s="432" t="s">
        <v>222</v>
      </c>
      <c r="G10" s="433" t="s">
        <v>223</v>
      </c>
      <c r="H10" s="434" t="s">
        <v>98</v>
      </c>
      <c r="I10" s="434" t="s">
        <v>98</v>
      </c>
      <c r="J10" s="94">
        <v>0</v>
      </c>
      <c r="K10" s="433" t="s">
        <v>109</v>
      </c>
      <c r="L10" s="435">
        <v>0.33300000000000002</v>
      </c>
      <c r="M10" s="95">
        <v>1</v>
      </c>
      <c r="N10" s="96">
        <v>2.3857350899450798</v>
      </c>
      <c r="O10" s="432" t="s">
        <v>3133</v>
      </c>
      <c r="P10" s="216"/>
      <c r="Q10" s="77" t="s">
        <v>1554</v>
      </c>
      <c r="R10" s="339">
        <v>4</v>
      </c>
      <c r="S10" s="339">
        <v>5</v>
      </c>
      <c r="T10" s="339">
        <v>5</v>
      </c>
      <c r="U10" s="339">
        <v>5</v>
      </c>
      <c r="V10" s="339">
        <v>5</v>
      </c>
      <c r="W10" s="339">
        <v>5</v>
      </c>
      <c r="X10" s="104">
        <v>2</v>
      </c>
      <c r="Y10" s="104">
        <v>1.05</v>
      </c>
      <c r="Z10" s="107">
        <v>2.3824689982955931</v>
      </c>
      <c r="AA10" s="107">
        <v>2.3857350899450798</v>
      </c>
      <c r="AB10" s="107" t="s">
        <v>3121</v>
      </c>
      <c r="AC10" s="108">
        <v>1.2</v>
      </c>
      <c r="AD10" s="108">
        <v>1.2</v>
      </c>
      <c r="AE10" s="108">
        <v>1.5</v>
      </c>
      <c r="AF10" s="108">
        <v>1.1000000000000001</v>
      </c>
      <c r="AG10" s="108">
        <v>2</v>
      </c>
      <c r="AH10" s="108">
        <v>1.2</v>
      </c>
    </row>
    <row r="11" spans="1:34" ht="11.45" customHeight="1">
      <c r="A11" s="330">
        <v>269043</v>
      </c>
      <c r="B11" s="331" t="s">
        <v>529</v>
      </c>
      <c r="C11" s="88"/>
      <c r="D11" s="340">
        <v>5</v>
      </c>
      <c r="E11" s="341" t="s">
        <v>98</v>
      </c>
      <c r="F11" s="432" t="s">
        <v>1546</v>
      </c>
      <c r="G11" s="433" t="s">
        <v>93</v>
      </c>
      <c r="H11" s="434" t="s">
        <v>98</v>
      </c>
      <c r="I11" s="434" t="s">
        <v>98</v>
      </c>
      <c r="J11" s="94">
        <v>0</v>
      </c>
      <c r="K11" s="433" t="s">
        <v>104</v>
      </c>
      <c r="L11" s="435">
        <v>2</v>
      </c>
      <c r="M11" s="95">
        <v>1</v>
      </c>
      <c r="N11" s="96">
        <v>2.3857350899450798</v>
      </c>
      <c r="O11" s="432" t="s">
        <v>3133</v>
      </c>
      <c r="P11" s="216"/>
      <c r="Q11" s="77" t="s">
        <v>1554</v>
      </c>
      <c r="R11" s="339">
        <v>4</v>
      </c>
      <c r="S11" s="339">
        <v>5</v>
      </c>
      <c r="T11" s="339">
        <v>5</v>
      </c>
      <c r="U11" s="339">
        <v>5</v>
      </c>
      <c r="V11" s="339">
        <v>5</v>
      </c>
      <c r="W11" s="339">
        <v>5</v>
      </c>
      <c r="X11" s="104">
        <v>1</v>
      </c>
      <c r="Y11" s="104">
        <v>1.05</v>
      </c>
      <c r="Z11" s="107">
        <v>2.3824689982955931</v>
      </c>
      <c r="AA11" s="107">
        <v>2.3857350899450798</v>
      </c>
      <c r="AB11" s="107" t="s">
        <v>3121</v>
      </c>
      <c r="AC11" s="108">
        <v>1.2</v>
      </c>
      <c r="AD11" s="108">
        <v>1.2</v>
      </c>
      <c r="AE11" s="108">
        <v>1.5</v>
      </c>
      <c r="AF11" s="108">
        <v>1.1000000000000001</v>
      </c>
      <c r="AG11" s="108">
        <v>2</v>
      </c>
      <c r="AH11" s="108">
        <v>1.2</v>
      </c>
    </row>
    <row r="12" spans="1:34" ht="11.45" customHeight="1">
      <c r="A12" s="330">
        <v>261801</v>
      </c>
      <c r="B12" s="331" t="s">
        <v>529</v>
      </c>
      <c r="C12" s="88"/>
      <c r="D12" s="340">
        <v>5</v>
      </c>
      <c r="E12" s="341" t="s">
        <v>98</v>
      </c>
      <c r="F12" s="432" t="s">
        <v>1555</v>
      </c>
      <c r="G12" s="433" t="s">
        <v>93</v>
      </c>
      <c r="H12" s="434" t="s">
        <v>98</v>
      </c>
      <c r="I12" s="434" t="s">
        <v>98</v>
      </c>
      <c r="J12" s="94">
        <v>0</v>
      </c>
      <c r="K12" s="433" t="s">
        <v>96</v>
      </c>
      <c r="L12" s="435">
        <v>0.94064999999999999</v>
      </c>
      <c r="M12" s="95">
        <v>1</v>
      </c>
      <c r="N12" s="96">
        <v>1.3957732849288962</v>
      </c>
      <c r="O12" s="432" t="s">
        <v>3132</v>
      </c>
      <c r="P12" s="216"/>
      <c r="Q12" s="77" t="s">
        <v>1554</v>
      </c>
      <c r="R12" s="339">
        <v>4</v>
      </c>
      <c r="S12" s="339">
        <v>5</v>
      </c>
      <c r="T12" s="339">
        <v>3</v>
      </c>
      <c r="U12" s="339">
        <v>1</v>
      </c>
      <c r="V12" s="339">
        <v>1</v>
      </c>
      <c r="W12" s="339">
        <v>5</v>
      </c>
      <c r="X12" s="104">
        <v>3</v>
      </c>
      <c r="Y12" s="104">
        <v>1.05</v>
      </c>
      <c r="Z12" s="107">
        <v>1.3907731135051336</v>
      </c>
      <c r="AA12" s="107">
        <v>1.3957732849288962</v>
      </c>
      <c r="AB12" s="107" t="s">
        <v>3119</v>
      </c>
      <c r="AC12" s="108">
        <v>1.2</v>
      </c>
      <c r="AD12" s="108">
        <v>1.2</v>
      </c>
      <c r="AE12" s="108">
        <v>1.1000000000000001</v>
      </c>
      <c r="AF12" s="108">
        <v>1</v>
      </c>
      <c r="AG12" s="108">
        <v>1</v>
      </c>
      <c r="AH12" s="108">
        <v>1.2</v>
      </c>
    </row>
    <row r="13" spans="1:34" ht="11.45" customHeight="1">
      <c r="A13" s="330">
        <v>268243</v>
      </c>
      <c r="B13" s="331" t="s">
        <v>529</v>
      </c>
      <c r="C13" s="88"/>
      <c r="D13" s="340">
        <v>5</v>
      </c>
      <c r="E13" s="341" t="s">
        <v>98</v>
      </c>
      <c r="F13" s="432" t="s">
        <v>1556</v>
      </c>
      <c r="G13" s="433" t="s">
        <v>93</v>
      </c>
      <c r="H13" s="434" t="s">
        <v>98</v>
      </c>
      <c r="I13" s="434" t="s">
        <v>98</v>
      </c>
      <c r="J13" s="94">
        <v>0</v>
      </c>
      <c r="K13" s="433" t="s">
        <v>96</v>
      </c>
      <c r="L13" s="435">
        <v>0.16797000000000001</v>
      </c>
      <c r="M13" s="95">
        <v>1</v>
      </c>
      <c r="N13" s="96">
        <v>1.3957732849288962</v>
      </c>
      <c r="O13" s="432" t="s">
        <v>3132</v>
      </c>
      <c r="P13" s="216"/>
      <c r="Q13" s="77" t="s">
        <v>1554</v>
      </c>
      <c r="R13" s="339">
        <v>4</v>
      </c>
      <c r="S13" s="339">
        <v>5</v>
      </c>
      <c r="T13" s="339">
        <v>3</v>
      </c>
      <c r="U13" s="339">
        <v>1</v>
      </c>
      <c r="V13" s="339">
        <v>1</v>
      </c>
      <c r="W13" s="339">
        <v>5</v>
      </c>
      <c r="X13" s="104">
        <v>3</v>
      </c>
      <c r="Y13" s="104">
        <v>1.05</v>
      </c>
      <c r="Z13" s="107">
        <v>1.3907731135051336</v>
      </c>
      <c r="AA13" s="107">
        <v>1.3957732849288962</v>
      </c>
      <c r="AB13" s="107" t="s">
        <v>3119</v>
      </c>
      <c r="AC13" s="108">
        <v>1.2</v>
      </c>
      <c r="AD13" s="108">
        <v>1.2</v>
      </c>
      <c r="AE13" s="108">
        <v>1.1000000000000001</v>
      </c>
      <c r="AF13" s="108">
        <v>1</v>
      </c>
      <c r="AG13" s="108">
        <v>1</v>
      </c>
      <c r="AH13" s="108">
        <v>1.2</v>
      </c>
    </row>
    <row r="14" spans="1:34" ht="11.45" customHeight="1">
      <c r="A14" s="330">
        <v>269509</v>
      </c>
      <c r="B14" s="331" t="s">
        <v>529</v>
      </c>
      <c r="C14" s="88"/>
      <c r="D14" s="340">
        <v>5</v>
      </c>
      <c r="E14" s="341" t="s">
        <v>98</v>
      </c>
      <c r="F14" s="432" t="s">
        <v>461</v>
      </c>
      <c r="G14" s="433" t="s">
        <v>93</v>
      </c>
      <c r="H14" s="434" t="s">
        <v>98</v>
      </c>
      <c r="I14" s="434" t="s">
        <v>98</v>
      </c>
      <c r="J14" s="94">
        <v>0</v>
      </c>
      <c r="K14" s="433" t="s">
        <v>96</v>
      </c>
      <c r="L14" s="435">
        <v>0.38297999999999999</v>
      </c>
      <c r="M14" s="95">
        <v>1</v>
      </c>
      <c r="N14" s="96">
        <v>1.3957732849288962</v>
      </c>
      <c r="O14" s="432" t="s">
        <v>3132</v>
      </c>
      <c r="P14" s="216"/>
      <c r="Q14" s="77" t="s">
        <v>1554</v>
      </c>
      <c r="R14" s="339">
        <v>4</v>
      </c>
      <c r="S14" s="339">
        <v>5</v>
      </c>
      <c r="T14" s="339">
        <v>3</v>
      </c>
      <c r="U14" s="339">
        <v>1</v>
      </c>
      <c r="V14" s="339">
        <v>1</v>
      </c>
      <c r="W14" s="339">
        <v>5</v>
      </c>
      <c r="X14" s="104">
        <v>3</v>
      </c>
      <c r="Y14" s="104">
        <v>1.05</v>
      </c>
      <c r="Z14" s="107">
        <v>1.3907731135051336</v>
      </c>
      <c r="AA14" s="107">
        <v>1.3957732849288962</v>
      </c>
      <c r="AB14" s="107" t="s">
        <v>3119</v>
      </c>
      <c r="AC14" s="108">
        <v>1.2</v>
      </c>
      <c r="AD14" s="108">
        <v>1.2</v>
      </c>
      <c r="AE14" s="108">
        <v>1.1000000000000001</v>
      </c>
      <c r="AF14" s="108">
        <v>1</v>
      </c>
      <c r="AG14" s="108">
        <v>1</v>
      </c>
      <c r="AH14" s="108">
        <v>1.2</v>
      </c>
    </row>
    <row r="15" spans="1:34" ht="11.45" customHeight="1">
      <c r="A15" s="330">
        <v>90275</v>
      </c>
      <c r="B15" s="331" t="s">
        <v>1534</v>
      </c>
      <c r="C15" s="88"/>
      <c r="D15" s="340" t="s">
        <v>98</v>
      </c>
      <c r="E15" s="341">
        <v>4</v>
      </c>
      <c r="F15" s="432" t="s">
        <v>259</v>
      </c>
      <c r="G15" s="433" t="s">
        <v>98</v>
      </c>
      <c r="H15" s="434" t="s">
        <v>247</v>
      </c>
      <c r="I15" s="434" t="s">
        <v>258</v>
      </c>
      <c r="J15" s="94" t="s">
        <v>98</v>
      </c>
      <c r="K15" s="433" t="s">
        <v>96</v>
      </c>
      <c r="L15" s="435">
        <v>2.1285999999999999E-2</v>
      </c>
      <c r="M15" s="95">
        <v>1</v>
      </c>
      <c r="N15" s="96">
        <v>2.3857350899450798</v>
      </c>
      <c r="O15" s="432" t="s">
        <v>3133</v>
      </c>
      <c r="P15" s="216"/>
      <c r="Q15" s="77" t="s">
        <v>1554</v>
      </c>
      <c r="R15" s="339">
        <v>4</v>
      </c>
      <c r="S15" s="339">
        <v>5</v>
      </c>
      <c r="T15" s="339">
        <v>5</v>
      </c>
      <c r="U15" s="339">
        <v>5</v>
      </c>
      <c r="V15" s="339">
        <v>5</v>
      </c>
      <c r="W15" s="339">
        <v>5</v>
      </c>
      <c r="X15" s="104">
        <v>14</v>
      </c>
      <c r="Y15" s="104">
        <v>1.05</v>
      </c>
      <c r="Z15" s="107">
        <v>2.3824689982955931</v>
      </c>
      <c r="AA15" s="107">
        <v>2.3857350899450798</v>
      </c>
      <c r="AB15" s="107" t="s">
        <v>3121</v>
      </c>
      <c r="AC15" s="108">
        <v>1.2</v>
      </c>
      <c r="AD15" s="108">
        <v>1.2</v>
      </c>
      <c r="AE15" s="108">
        <v>1.5</v>
      </c>
      <c r="AF15" s="108">
        <v>1.1000000000000001</v>
      </c>
      <c r="AG15" s="108">
        <v>2</v>
      </c>
      <c r="AH15" s="108">
        <v>1.2</v>
      </c>
    </row>
    <row r="16" spans="1:34" ht="11.45" customHeight="1">
      <c r="A16" s="330">
        <v>26113</v>
      </c>
      <c r="B16" s="331" t="s">
        <v>529</v>
      </c>
      <c r="C16" s="88"/>
      <c r="D16" s="340" t="s">
        <v>98</v>
      </c>
      <c r="E16" s="341">
        <v>4</v>
      </c>
      <c r="F16" s="432" t="s">
        <v>1557</v>
      </c>
      <c r="G16" s="433" t="s">
        <v>98</v>
      </c>
      <c r="H16" s="434" t="s">
        <v>247</v>
      </c>
      <c r="I16" s="434" t="s">
        <v>258</v>
      </c>
      <c r="J16" s="94" t="s">
        <v>98</v>
      </c>
      <c r="K16" s="433" t="s">
        <v>96</v>
      </c>
      <c r="L16" s="435">
        <v>3.3595000000000001E-4</v>
      </c>
      <c r="M16" s="95">
        <v>1</v>
      </c>
      <c r="N16" s="96">
        <v>2.6068869587257422</v>
      </c>
      <c r="O16" s="432" t="s">
        <v>3133</v>
      </c>
      <c r="P16" s="216"/>
      <c r="Q16" s="77" t="s">
        <v>1554</v>
      </c>
      <c r="R16" s="339">
        <v>4</v>
      </c>
      <c r="S16" s="339">
        <v>5</v>
      </c>
      <c r="T16" s="339">
        <v>5</v>
      </c>
      <c r="U16" s="339">
        <v>5</v>
      </c>
      <c r="V16" s="339">
        <v>5</v>
      </c>
      <c r="W16" s="339">
        <v>5</v>
      </c>
      <c r="X16" s="104">
        <v>18</v>
      </c>
      <c r="Y16" s="104">
        <v>1.5</v>
      </c>
      <c r="Z16" s="107">
        <v>2.3824689982955931</v>
      </c>
      <c r="AA16" s="107">
        <v>2.6068869587257422</v>
      </c>
      <c r="AB16" s="107" t="s">
        <v>3121</v>
      </c>
      <c r="AC16" s="108">
        <v>1.2</v>
      </c>
      <c r="AD16" s="108">
        <v>1.2</v>
      </c>
      <c r="AE16" s="108">
        <v>1.5</v>
      </c>
      <c r="AF16" s="108">
        <v>1.1000000000000001</v>
      </c>
      <c r="AG16" s="108">
        <v>2</v>
      </c>
      <c r="AH16" s="108">
        <v>1.2</v>
      </c>
    </row>
    <row r="17" spans="1:34" ht="11.45" customHeight="1">
      <c r="A17" s="330">
        <v>26845</v>
      </c>
      <c r="B17" s="331" t="s">
        <v>529</v>
      </c>
      <c r="C17" s="88"/>
      <c r="D17" s="340" t="s">
        <v>98</v>
      </c>
      <c r="E17" s="341">
        <v>4</v>
      </c>
      <c r="F17" s="432" t="s">
        <v>1540</v>
      </c>
      <c r="G17" s="433" t="s">
        <v>98</v>
      </c>
      <c r="H17" s="434" t="s">
        <v>247</v>
      </c>
      <c r="I17" s="434" t="s">
        <v>258</v>
      </c>
      <c r="J17" s="94" t="s">
        <v>98</v>
      </c>
      <c r="K17" s="433" t="s">
        <v>96</v>
      </c>
      <c r="L17" s="435">
        <v>9.2999999999999989</v>
      </c>
      <c r="M17" s="95">
        <v>1</v>
      </c>
      <c r="N17" s="96">
        <v>2.1259856025998545</v>
      </c>
      <c r="O17" s="432" t="s">
        <v>3134</v>
      </c>
      <c r="P17" s="216"/>
      <c r="Q17" s="77" t="s">
        <v>1554</v>
      </c>
      <c r="R17" s="339">
        <v>4</v>
      </c>
      <c r="S17" s="339">
        <v>4</v>
      </c>
      <c r="T17" s="339">
        <v>5</v>
      </c>
      <c r="U17" s="339">
        <v>2</v>
      </c>
      <c r="V17" s="339">
        <v>4</v>
      </c>
      <c r="W17" s="339">
        <v>5</v>
      </c>
      <c r="X17" s="104">
        <v>31</v>
      </c>
      <c r="Y17" s="104">
        <v>1.5</v>
      </c>
      <c r="Z17" s="107">
        <v>1.8888703797664121</v>
      </c>
      <c r="AA17" s="107">
        <v>2.1259856025998545</v>
      </c>
      <c r="AB17" s="107" t="s">
        <v>3123</v>
      </c>
      <c r="AC17" s="108">
        <v>1.2</v>
      </c>
      <c r="AD17" s="108">
        <v>1.1000000000000001</v>
      </c>
      <c r="AE17" s="108">
        <v>1.5</v>
      </c>
      <c r="AF17" s="108">
        <v>1.01</v>
      </c>
      <c r="AG17" s="108">
        <v>1.5</v>
      </c>
      <c r="AH17" s="108">
        <v>1.2</v>
      </c>
    </row>
    <row r="18" spans="1:34" ht="11.45" customHeight="1">
      <c r="A18" s="330">
        <v>160225</v>
      </c>
      <c r="B18" s="331" t="s">
        <v>1537</v>
      </c>
      <c r="C18" s="88"/>
      <c r="D18" s="340" t="s">
        <v>98</v>
      </c>
      <c r="E18" s="341">
        <v>4</v>
      </c>
      <c r="F18" s="432" t="s">
        <v>297</v>
      </c>
      <c r="G18" s="433" t="s">
        <v>98</v>
      </c>
      <c r="H18" s="434" t="s">
        <v>344</v>
      </c>
      <c r="I18" s="434" t="s">
        <v>248</v>
      </c>
      <c r="J18" s="94" t="s">
        <v>98</v>
      </c>
      <c r="K18" s="433" t="s">
        <v>96</v>
      </c>
      <c r="L18" s="435">
        <v>2.8828E-3</v>
      </c>
      <c r="M18" s="95">
        <v>1</v>
      </c>
      <c r="N18" s="96">
        <v>2.6068869587257422</v>
      </c>
      <c r="O18" s="432" t="s">
        <v>3133</v>
      </c>
      <c r="P18" s="216"/>
      <c r="Q18" s="77" t="s">
        <v>1554</v>
      </c>
      <c r="R18" s="339">
        <v>4</v>
      </c>
      <c r="S18" s="339">
        <v>5</v>
      </c>
      <c r="T18" s="339">
        <v>5</v>
      </c>
      <c r="U18" s="339">
        <v>5</v>
      </c>
      <c r="V18" s="339">
        <v>5</v>
      </c>
      <c r="W18" s="339">
        <v>5</v>
      </c>
      <c r="X18" s="104">
        <v>32</v>
      </c>
      <c r="Y18" s="104">
        <v>1.5</v>
      </c>
      <c r="Z18" s="107">
        <v>2.3824689982955931</v>
      </c>
      <c r="AA18" s="107">
        <v>2.6068869587257422</v>
      </c>
      <c r="AB18" s="107" t="s">
        <v>3121</v>
      </c>
      <c r="AC18" s="108">
        <v>1.2</v>
      </c>
      <c r="AD18" s="108">
        <v>1.2</v>
      </c>
      <c r="AE18" s="108">
        <v>1.5</v>
      </c>
      <c r="AF18" s="108">
        <v>1.1000000000000001</v>
      </c>
      <c r="AG18" s="108">
        <v>2</v>
      </c>
      <c r="AH18" s="108">
        <v>1.2</v>
      </c>
    </row>
    <row r="19" spans="1:34" ht="11.45" customHeight="1">
      <c r="A19" s="330">
        <v>160217</v>
      </c>
      <c r="B19" s="331" t="s">
        <v>529</v>
      </c>
      <c r="C19" s="88"/>
      <c r="D19" s="340" t="s">
        <v>98</v>
      </c>
      <c r="E19" s="341">
        <v>4</v>
      </c>
      <c r="F19" s="432" t="s">
        <v>296</v>
      </c>
      <c r="G19" s="433" t="s">
        <v>98</v>
      </c>
      <c r="H19" s="434" t="s">
        <v>344</v>
      </c>
      <c r="I19" s="434" t="s">
        <v>248</v>
      </c>
      <c r="J19" s="94" t="s">
        <v>98</v>
      </c>
      <c r="K19" s="433" t="s">
        <v>96</v>
      </c>
      <c r="L19" s="435">
        <v>2.8828E-3</v>
      </c>
      <c r="M19" s="95">
        <v>1</v>
      </c>
      <c r="N19" s="96">
        <v>2.6068869587257422</v>
      </c>
      <c r="O19" s="432" t="s">
        <v>3133</v>
      </c>
      <c r="P19" s="216"/>
      <c r="Q19" s="77" t="s">
        <v>1554</v>
      </c>
      <c r="R19" s="339">
        <v>4</v>
      </c>
      <c r="S19" s="339">
        <v>5</v>
      </c>
      <c r="T19" s="339">
        <v>5</v>
      </c>
      <c r="U19" s="339">
        <v>5</v>
      </c>
      <c r="V19" s="339">
        <v>5</v>
      </c>
      <c r="W19" s="339">
        <v>5</v>
      </c>
      <c r="X19" s="104">
        <v>32</v>
      </c>
      <c r="Y19" s="104">
        <v>1.5</v>
      </c>
      <c r="Z19" s="107">
        <v>2.3824689982955931</v>
      </c>
      <c r="AA19" s="107">
        <v>2.6068869587257422</v>
      </c>
      <c r="AB19" s="107" t="s">
        <v>3121</v>
      </c>
      <c r="AC19" s="108">
        <v>1.2</v>
      </c>
      <c r="AD19" s="108">
        <v>1.2</v>
      </c>
      <c r="AE19" s="108">
        <v>1.5</v>
      </c>
      <c r="AF19" s="108">
        <v>1.1000000000000001</v>
      </c>
      <c r="AG19" s="108">
        <v>2</v>
      </c>
      <c r="AH19" s="108">
        <v>1.2</v>
      </c>
    </row>
    <row r="20" spans="1:34" ht="11.45" customHeight="1">
      <c r="A20" s="330">
        <v>160207</v>
      </c>
      <c r="B20" s="331" t="s">
        <v>529</v>
      </c>
      <c r="C20" s="88"/>
      <c r="D20" s="340" t="s">
        <v>98</v>
      </c>
      <c r="E20" s="341">
        <v>4</v>
      </c>
      <c r="F20" s="432" t="s">
        <v>293</v>
      </c>
      <c r="G20" s="433" t="s">
        <v>98</v>
      </c>
      <c r="H20" s="434" t="s">
        <v>344</v>
      </c>
      <c r="I20" s="434" t="s">
        <v>248</v>
      </c>
      <c r="J20" s="94" t="s">
        <v>98</v>
      </c>
      <c r="K20" s="433" t="s">
        <v>96</v>
      </c>
      <c r="L20" s="435">
        <v>6.4411000000000004E-4</v>
      </c>
      <c r="M20" s="95">
        <v>1</v>
      </c>
      <c r="N20" s="96">
        <v>2.6068869587257422</v>
      </c>
      <c r="O20" s="432" t="s">
        <v>3133</v>
      </c>
      <c r="P20" s="216"/>
      <c r="Q20" s="77" t="s">
        <v>1554</v>
      </c>
      <c r="R20" s="339">
        <v>4</v>
      </c>
      <c r="S20" s="339">
        <v>5</v>
      </c>
      <c r="T20" s="339">
        <v>5</v>
      </c>
      <c r="U20" s="339">
        <v>5</v>
      </c>
      <c r="V20" s="339">
        <v>5</v>
      </c>
      <c r="W20" s="339">
        <v>5</v>
      </c>
      <c r="X20" s="104">
        <v>32</v>
      </c>
      <c r="Y20" s="104">
        <v>1.5</v>
      </c>
      <c r="Z20" s="107">
        <v>2.3824689982955931</v>
      </c>
      <c r="AA20" s="107">
        <v>2.6068869587257422</v>
      </c>
      <c r="AB20" s="107" t="s">
        <v>3121</v>
      </c>
      <c r="AC20" s="108">
        <v>1.2</v>
      </c>
      <c r="AD20" s="108">
        <v>1.2</v>
      </c>
      <c r="AE20" s="108">
        <v>1.5</v>
      </c>
      <c r="AF20" s="108">
        <v>1.1000000000000001</v>
      </c>
      <c r="AG20" s="108">
        <v>2</v>
      </c>
      <c r="AH20" s="108">
        <v>1.2</v>
      </c>
    </row>
    <row r="21" spans="1:34" ht="11.45" customHeight="1">
      <c r="A21" s="330">
        <v>160267</v>
      </c>
      <c r="B21" s="331" t="s">
        <v>529</v>
      </c>
      <c r="C21" s="88"/>
      <c r="D21" s="340" t="s">
        <v>98</v>
      </c>
      <c r="E21" s="341">
        <v>4</v>
      </c>
      <c r="F21" s="432" t="s">
        <v>300</v>
      </c>
      <c r="G21" s="433" t="s">
        <v>98</v>
      </c>
      <c r="H21" s="434" t="s">
        <v>344</v>
      </c>
      <c r="I21" s="434" t="s">
        <v>248</v>
      </c>
      <c r="J21" s="94" t="s">
        <v>98</v>
      </c>
      <c r="K21" s="433" t="s">
        <v>96</v>
      </c>
      <c r="L21" s="435">
        <v>0.37234</v>
      </c>
      <c r="M21" s="95">
        <v>1</v>
      </c>
      <c r="N21" s="96">
        <v>4.0560854896922409</v>
      </c>
      <c r="O21" s="432" t="s">
        <v>3133</v>
      </c>
      <c r="P21" s="216"/>
      <c r="Q21" s="77" t="s">
        <v>1554</v>
      </c>
      <c r="R21" s="339">
        <v>4</v>
      </c>
      <c r="S21" s="339">
        <v>5</v>
      </c>
      <c r="T21" s="339">
        <v>5</v>
      </c>
      <c r="U21" s="339">
        <v>5</v>
      </c>
      <c r="V21" s="339">
        <v>5</v>
      </c>
      <c r="W21" s="339">
        <v>5</v>
      </c>
      <c r="X21" s="104">
        <v>34</v>
      </c>
      <c r="Y21" s="104">
        <v>3</v>
      </c>
      <c r="Z21" s="107">
        <v>2.3824689982955931</v>
      </c>
      <c r="AA21" s="107">
        <v>4.0560854896922409</v>
      </c>
      <c r="AB21" s="107" t="s">
        <v>3121</v>
      </c>
      <c r="AC21" s="108">
        <v>1.2</v>
      </c>
      <c r="AD21" s="108">
        <v>1.2</v>
      </c>
      <c r="AE21" s="108">
        <v>1.5</v>
      </c>
      <c r="AF21" s="108">
        <v>1.1000000000000001</v>
      </c>
      <c r="AG21" s="108">
        <v>2</v>
      </c>
      <c r="AH21" s="108">
        <v>1.2</v>
      </c>
    </row>
    <row r="22" spans="1:34" ht="11.45" customHeight="1">
      <c r="A22" s="330">
        <v>31409</v>
      </c>
      <c r="B22" s="331" t="s">
        <v>529</v>
      </c>
      <c r="C22" s="88"/>
      <c r="D22" s="340" t="s">
        <v>98</v>
      </c>
      <c r="E22" s="341">
        <v>4</v>
      </c>
      <c r="F22" s="432" t="s">
        <v>1557</v>
      </c>
      <c r="G22" s="433" t="s">
        <v>98</v>
      </c>
      <c r="H22" s="434" t="s">
        <v>344</v>
      </c>
      <c r="I22" s="434" t="s">
        <v>248</v>
      </c>
      <c r="J22" s="94" t="s">
        <v>98</v>
      </c>
      <c r="K22" s="433" t="s">
        <v>96</v>
      </c>
      <c r="L22" s="435">
        <v>8.0626999999999999E-4</v>
      </c>
      <c r="M22" s="95">
        <v>1</v>
      </c>
      <c r="N22" s="96">
        <v>4.0560854896922409</v>
      </c>
      <c r="O22" s="432" t="s">
        <v>3133</v>
      </c>
      <c r="P22" s="216"/>
      <c r="Q22" s="77" t="s">
        <v>1554</v>
      </c>
      <c r="R22" s="339">
        <v>4</v>
      </c>
      <c r="S22" s="339">
        <v>5</v>
      </c>
      <c r="T22" s="339">
        <v>5</v>
      </c>
      <c r="U22" s="339">
        <v>5</v>
      </c>
      <c r="V22" s="339">
        <v>5</v>
      </c>
      <c r="W22" s="339">
        <v>5</v>
      </c>
      <c r="X22" s="104">
        <v>34</v>
      </c>
      <c r="Y22" s="104">
        <v>3</v>
      </c>
      <c r="Z22" s="107">
        <v>2.3824689982955931</v>
      </c>
      <c r="AA22" s="107">
        <v>4.0560854896922409</v>
      </c>
      <c r="AB22" s="107" t="s">
        <v>3121</v>
      </c>
      <c r="AC22" s="108">
        <v>1.2</v>
      </c>
      <c r="AD22" s="108">
        <v>1.2</v>
      </c>
      <c r="AE22" s="108">
        <v>1.5</v>
      </c>
      <c r="AF22" s="108">
        <v>1.1000000000000001</v>
      </c>
      <c r="AG22" s="108">
        <v>2</v>
      </c>
      <c r="AH22" s="108">
        <v>1.2</v>
      </c>
    </row>
    <row r="23" spans="1:34" ht="11.45" customHeight="1">
      <c r="A23" s="330">
        <v>160229</v>
      </c>
      <c r="B23" s="331" t="s">
        <v>529</v>
      </c>
      <c r="C23" s="88"/>
      <c r="D23" s="340" t="s">
        <v>98</v>
      </c>
      <c r="E23" s="341">
        <v>4</v>
      </c>
      <c r="F23" s="432" t="s">
        <v>298</v>
      </c>
      <c r="G23" s="433" t="s">
        <v>98</v>
      </c>
      <c r="H23" s="434" t="s">
        <v>344</v>
      </c>
      <c r="I23" s="434" t="s">
        <v>248</v>
      </c>
      <c r="J23" s="94" t="s">
        <v>98</v>
      </c>
      <c r="K23" s="433" t="s">
        <v>96</v>
      </c>
      <c r="L23" s="435">
        <v>6.4411000000000004E-4</v>
      </c>
      <c r="M23" s="95">
        <v>1</v>
      </c>
      <c r="N23" s="96">
        <v>2.6068869587257422</v>
      </c>
      <c r="O23" s="432" t="s">
        <v>3133</v>
      </c>
      <c r="P23" s="216"/>
      <c r="Q23" s="77" t="s">
        <v>1554</v>
      </c>
      <c r="R23" s="339">
        <v>4</v>
      </c>
      <c r="S23" s="339">
        <v>5</v>
      </c>
      <c r="T23" s="339">
        <v>5</v>
      </c>
      <c r="U23" s="339">
        <v>5</v>
      </c>
      <c r="V23" s="339">
        <v>5</v>
      </c>
      <c r="W23" s="339">
        <v>5</v>
      </c>
      <c r="X23" s="104">
        <v>32</v>
      </c>
      <c r="Y23" s="104">
        <v>1.5</v>
      </c>
      <c r="Z23" s="107">
        <v>2.3824689982955931</v>
      </c>
      <c r="AA23" s="107">
        <v>2.6068869587257422</v>
      </c>
      <c r="AB23" s="107" t="s">
        <v>3121</v>
      </c>
      <c r="AC23" s="108">
        <v>1.2</v>
      </c>
      <c r="AD23" s="108">
        <v>1.2</v>
      </c>
      <c r="AE23" s="108">
        <v>1.5</v>
      </c>
      <c r="AF23" s="108">
        <v>1.1000000000000001</v>
      </c>
      <c r="AG23" s="108">
        <v>2</v>
      </c>
      <c r="AH23" s="108">
        <v>1.2</v>
      </c>
    </row>
    <row r="24" spans="1:34" ht="11.45" customHeight="1">
      <c r="A24" s="330">
        <v>64505</v>
      </c>
      <c r="B24" s="331" t="s">
        <v>529</v>
      </c>
      <c r="C24" s="88"/>
      <c r="D24" s="340" t="s">
        <v>98</v>
      </c>
      <c r="E24" s="341">
        <v>4</v>
      </c>
      <c r="F24" s="432" t="s">
        <v>1540</v>
      </c>
      <c r="G24" s="433" t="s">
        <v>98</v>
      </c>
      <c r="H24" s="434" t="s">
        <v>344</v>
      </c>
      <c r="I24" s="434" t="s">
        <v>248</v>
      </c>
      <c r="J24" s="94" t="s">
        <v>98</v>
      </c>
      <c r="K24" s="433" t="s">
        <v>96</v>
      </c>
      <c r="L24" s="435">
        <v>14.7</v>
      </c>
      <c r="M24" s="95">
        <v>1</v>
      </c>
      <c r="N24" s="96">
        <v>2.1259856025998545</v>
      </c>
      <c r="O24" s="432" t="s">
        <v>3134</v>
      </c>
      <c r="P24" s="216"/>
      <c r="Q24" s="77" t="s">
        <v>1554</v>
      </c>
      <c r="R24" s="339">
        <v>4</v>
      </c>
      <c r="S24" s="339">
        <v>4</v>
      </c>
      <c r="T24" s="339">
        <v>5</v>
      </c>
      <c r="U24" s="339">
        <v>2</v>
      </c>
      <c r="V24" s="339">
        <v>4</v>
      </c>
      <c r="W24" s="339">
        <v>5</v>
      </c>
      <c r="X24" s="104">
        <v>33</v>
      </c>
      <c r="Y24" s="104">
        <v>1.5</v>
      </c>
      <c r="Z24" s="107">
        <v>1.8888703797664121</v>
      </c>
      <c r="AA24" s="107">
        <v>2.1259856025998545</v>
      </c>
      <c r="AB24" s="107" t="s">
        <v>3123</v>
      </c>
      <c r="AC24" s="108">
        <v>1.2</v>
      </c>
      <c r="AD24" s="108">
        <v>1.1000000000000001</v>
      </c>
      <c r="AE24" s="108">
        <v>1.5</v>
      </c>
      <c r="AF24" s="108">
        <v>1.01</v>
      </c>
      <c r="AG24" s="108">
        <v>1.5</v>
      </c>
      <c r="AH24" s="108">
        <v>1.2</v>
      </c>
    </row>
  </sheetData>
  <mergeCells count="1">
    <mergeCell ref="R1:W1"/>
  </mergeCells>
  <conditionalFormatting sqref="B8:B24">
    <cfRule type="cellIs" dxfId="149" priority="7" stopIfTrue="1" operator="notEqual">
      <formula>""</formula>
    </cfRule>
  </conditionalFormatting>
  <conditionalFormatting sqref="D8:W24">
    <cfRule type="expression" dxfId="148" priority="2">
      <formula>MOD(ROW(),2)=0</formula>
    </cfRule>
  </conditionalFormatting>
  <conditionalFormatting sqref="R8:W24">
    <cfRule type="cellIs" dxfId="147" priority="3" stopIfTrue="1" operator="notBetween">
      <formula>1</formula>
      <formula>5</formula>
    </cfRule>
  </conditionalFormatting>
  <conditionalFormatting sqref="X8:AH24">
    <cfRule type="expression" dxfId="146" priority="1">
      <formula>MOD(ROW(),2)=0</formula>
    </cfRule>
  </conditionalFormatting>
  <dataValidations count="28">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24" xr:uid="{00000000-0002-0000-3500-000000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4" xr:uid="{00000000-0002-0000-3500-000001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4" xr:uid="{00000000-0002-0000-35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24" xr:uid="{00000000-0002-0000-3500-000003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24" xr:uid="{00000000-0002-0000-3500-000004000000}"/>
    <dataValidation allowBlank="1" showInputMessage="1" showErrorMessage="1" promptTitle="Do not change" prompt="This field is automatically updated from the names-list" sqref="X8:X24" xr:uid="{00000000-0002-0000-3500-000005000000}"/>
    <dataValidation allowBlank="1" showInputMessage="1" showErrorMessage="1" promptTitle="Do not change" prompt="This field is automatically calculated from your inputs." sqref="Y8:AH24" xr:uid="{00000000-0002-0000-3500-000006000000}"/>
    <dataValidation allowBlank="1" showInputMessage="1" showErrorMessage="1" prompt="Mean amount of elementary flow or intermediate product flow. Enter your values (or the respective equation) here." sqref="L8:L24" xr:uid="{00000000-0002-0000-3500-000007000000}"/>
    <dataValidation allowBlank="1" showInputMessage="1" showErrorMessage="1" prompt="always 1" sqref="L7" xr:uid="{00000000-0002-0000-3500-000008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500-000009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500-00000A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24" xr:uid="{00000000-0002-0000-3500-00000B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24" xr:uid="{00000000-0002-0000-3500-00000C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24" xr:uid="{00000000-0002-0000-3500-00000D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24" xr:uid="{00000000-0002-0000-3500-00000E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24" xr:uid="{00000000-0002-0000-3500-00000F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24" xr:uid="{00000000-0002-0000-3500-000010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1 A13:A24" xr:uid="{00000000-0002-0000-3500-000011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500-000012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24" xr:uid="{00000000-0002-0000-3500-000013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500-000014000000}"/>
    <dataValidation allowBlank="1" showInputMessage="1" showErrorMessage="1" promptTitle="Name" prompt="Name of the exchange (elementary flow or intermediate product flow) in English language. " sqref="F2:F3" xr:uid="{00000000-0002-0000-3500-000015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500-000016000000}"/>
    <dataValidation allowBlank="1" showInputMessage="1" showErrorMessage="1" promptTitle="Unit" prompt="Unit of the exchange (elementary flow or intermediate product flow)." sqref="F6 K2:K3" xr:uid="{00000000-0002-0000-3500-000017000000}"/>
    <dataValidation allowBlank="1" showInputMessage="1" showErrorMessage="1" prompt="This cell is automatically updated from the names List according to the index number in L1. It needs to be identical to the output product." sqref="L3:L6" xr:uid="{00000000-0002-0000-3500-000018000000}"/>
    <dataValidation allowBlank="1" showInputMessage="1" showErrorMessage="1" prompt="Do not change." sqref="X3:AH4" xr:uid="{00000000-0002-0000-3500-000019000000}"/>
    <dataValidation allowBlank="1" showInputMessage="1" showErrorMessage="1" promptTitle="Remarks" prompt="A general comment (data source, calculation procedure, ...) can be made about each individual exchange. The remarks are added to the GeneralComment-field." sqref="P3 P8:P24 Q2:Q3" xr:uid="{00000000-0002-0000-3500-00001A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500-00001B000000}"/>
  </dataValidations>
  <printOptions horizontalCentered="1" verticalCentered="1"/>
  <pageMargins left="0.78740157480314965" right="0.78740157480314965" top="0.98425196850393704" bottom="0.98425196850393704" header="0.51181102362204722" footer="0.51181102362204722"/>
  <pageSetup paperSize="9" scale="33" orientation="landscape" r:id="rId1"/>
  <headerFooter alignWithMargins="0">
    <oddHeader>&amp;L&amp;C&amp;R</oddHeader>
    <oddFooter>&amp;L&amp;D&amp;C&amp;F&amp;RSeite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5">
    <tabColor rgb="FF9CD9F0"/>
    <pageSetUpPr fitToPage="1"/>
  </sheetPr>
  <dimension ref="A1:AI16"/>
  <sheetViews>
    <sheetView workbookViewId="0">
      <selection activeCell="A19" sqref="A19:XFD23"/>
    </sheetView>
  </sheetViews>
  <sheetFormatPr baseColWidth="10" defaultColWidth="11.42578125" defaultRowHeight="12" outlineLevelCol="1"/>
  <cols>
    <col min="1" max="1" width="11.7109375" style="378" customWidth="1"/>
    <col min="2" max="2" width="15.7109375" style="114" customWidth="1"/>
    <col min="3" max="3" width="5.7109375" style="115" hidden="1" customWidth="1" outlineLevel="1"/>
    <col min="4" max="5" width="3.7109375" style="378" hidden="1" customWidth="1" outlineLevel="1"/>
    <col min="6" max="6" width="38.855468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5.7109375" style="378" customWidth="1"/>
    <col min="13" max="14" width="5.7109375" style="116" hidden="1" customWidth="1" outlineLevel="1"/>
    <col min="15" max="15" width="50.7109375" style="116" hidden="1" customWidth="1" outlineLevel="1"/>
    <col min="16" max="16" width="19.7109375" style="406" customWidth="1" collapsed="1"/>
    <col min="17" max="17" width="58.5703125" style="406" customWidth="1"/>
    <col min="18" max="23" width="4.7109375" style="406" customWidth="1"/>
    <col min="24" max="24" width="4.7109375" style="406" hidden="1" customWidth="1" outlineLevel="1"/>
    <col min="25" max="27" width="5.7109375" style="378" hidden="1" customWidth="1" outlineLevel="1"/>
    <col min="28" max="28" width="15.7109375" style="378" hidden="1" customWidth="1" outlineLevel="1"/>
    <col min="29" max="34" width="4.7109375" style="378" hidden="1" customWidth="1" outlineLevel="1"/>
    <col min="35" max="35" width="11.42578125" style="378" customWidth="1" collapsed="1"/>
    <col min="36" max="36" width="11.42578125" style="378" customWidth="1"/>
    <col min="37" max="16384" width="11.42578125" style="378"/>
  </cols>
  <sheetData>
    <row r="1" spans="1:34">
      <c r="A1" s="77"/>
      <c r="B1" s="78"/>
      <c r="C1" s="79"/>
      <c r="D1" s="77"/>
      <c r="E1" s="77"/>
      <c r="F1" s="80" t="s">
        <v>1453</v>
      </c>
      <c r="G1" s="77"/>
      <c r="H1" s="77"/>
      <c r="I1" s="77"/>
      <c r="J1" s="77"/>
      <c r="K1" s="77"/>
      <c r="L1" s="330">
        <v>261801</v>
      </c>
      <c r="M1" s="81"/>
      <c r="N1" s="81"/>
      <c r="O1" s="81"/>
      <c r="P1" s="378"/>
      <c r="Q1" s="378"/>
      <c r="R1" s="1586" t="s">
        <v>66</v>
      </c>
      <c r="S1" s="1598"/>
      <c r="T1" s="1598"/>
      <c r="U1" s="1598"/>
      <c r="V1" s="1598"/>
      <c r="W1" s="1598"/>
      <c r="Y1" s="406"/>
      <c r="Z1" s="406"/>
      <c r="AA1" s="406"/>
      <c r="AB1" s="406"/>
    </row>
    <row r="2" spans="1:34">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34" ht="105" customHeight="1">
      <c r="A3" s="83" t="s">
        <v>68</v>
      </c>
      <c r="B3" s="84"/>
      <c r="C3" s="79">
        <v>401</v>
      </c>
      <c r="D3" s="85" t="s">
        <v>1454</v>
      </c>
      <c r="E3" s="85" t="s">
        <v>1455</v>
      </c>
      <c r="F3" s="86" t="s">
        <v>71</v>
      </c>
      <c r="G3" s="85" t="s">
        <v>72</v>
      </c>
      <c r="H3" s="85" t="s">
        <v>73</v>
      </c>
      <c r="I3" s="85" t="s">
        <v>1456</v>
      </c>
      <c r="J3" s="85" t="s">
        <v>1457</v>
      </c>
      <c r="K3" s="85" t="s">
        <v>76</v>
      </c>
      <c r="L3" s="87" t="s">
        <v>1555</v>
      </c>
      <c r="M3" s="422" t="s">
        <v>1459</v>
      </c>
      <c r="N3" s="422" t="s">
        <v>1460</v>
      </c>
      <c r="O3" s="423" t="s">
        <v>1461</v>
      </c>
      <c r="P3" s="97" t="s">
        <v>81</v>
      </c>
      <c r="Q3" s="97" t="s">
        <v>253</v>
      </c>
      <c r="R3" s="98" t="s">
        <v>364</v>
      </c>
      <c r="S3" s="98" t="s">
        <v>365</v>
      </c>
      <c r="T3" s="98" t="s">
        <v>366</v>
      </c>
      <c r="U3" s="98" t="s">
        <v>367</v>
      </c>
      <c r="V3" s="98" t="s">
        <v>368</v>
      </c>
      <c r="W3" s="98" t="s">
        <v>369</v>
      </c>
      <c r="X3" s="99" t="s">
        <v>88</v>
      </c>
      <c r="Y3" s="99" t="s">
        <v>370</v>
      </c>
      <c r="Z3" s="99" t="s">
        <v>90</v>
      </c>
      <c r="AA3" s="99" t="s">
        <v>91</v>
      </c>
      <c r="AB3" s="99" t="s">
        <v>371</v>
      </c>
      <c r="AC3" s="100" t="s">
        <v>364</v>
      </c>
      <c r="AD3" s="100" t="s">
        <v>365</v>
      </c>
      <c r="AE3" s="100" t="s">
        <v>366</v>
      </c>
      <c r="AF3" s="100" t="s">
        <v>367</v>
      </c>
      <c r="AG3" s="100" t="s">
        <v>368</v>
      </c>
      <c r="AH3" s="100" t="s">
        <v>369</v>
      </c>
    </row>
    <row r="4" spans="1:34" ht="24" customHeight="1">
      <c r="A4" s="77"/>
      <c r="B4" s="84"/>
      <c r="C4" s="79">
        <v>662</v>
      </c>
      <c r="D4" s="86"/>
      <c r="E4" s="86"/>
      <c r="F4" s="86" t="s">
        <v>72</v>
      </c>
      <c r="G4" s="86"/>
      <c r="H4" s="86"/>
      <c r="I4" s="86"/>
      <c r="J4" s="86"/>
      <c r="K4" s="86"/>
      <c r="L4" s="87" t="s">
        <v>93</v>
      </c>
      <c r="M4" s="425"/>
      <c r="N4" s="425"/>
      <c r="O4" s="426"/>
      <c r="P4" s="101"/>
      <c r="Q4" s="101"/>
      <c r="R4" s="102" t="s">
        <v>94</v>
      </c>
      <c r="S4" s="97"/>
      <c r="T4" s="97"/>
      <c r="U4" s="97"/>
      <c r="V4" s="97"/>
      <c r="W4" s="97"/>
      <c r="X4" s="103"/>
      <c r="Y4" s="103"/>
      <c r="Z4" s="103" t="s">
        <v>95</v>
      </c>
      <c r="AA4" s="103" t="s">
        <v>95</v>
      </c>
      <c r="AB4" s="104"/>
      <c r="AC4" s="105"/>
      <c r="AD4" s="105"/>
      <c r="AE4" s="105"/>
      <c r="AF4" s="105"/>
      <c r="AG4" s="105"/>
      <c r="AH4" s="105"/>
    </row>
    <row r="5" spans="1:34">
      <c r="A5" s="77"/>
      <c r="B5" s="84"/>
      <c r="C5" s="79">
        <v>493</v>
      </c>
      <c r="D5" s="86"/>
      <c r="E5" s="86"/>
      <c r="F5" s="86" t="s">
        <v>1457</v>
      </c>
      <c r="G5" s="86"/>
      <c r="H5" s="86"/>
      <c r="I5" s="86"/>
      <c r="J5" s="86"/>
      <c r="K5" s="86"/>
      <c r="L5" s="87">
        <v>0</v>
      </c>
      <c r="M5" s="425"/>
      <c r="N5" s="425"/>
      <c r="O5" s="426"/>
      <c r="P5" s="101"/>
      <c r="Q5" s="101"/>
      <c r="R5" s="97"/>
      <c r="S5" s="97"/>
      <c r="T5" s="97"/>
      <c r="U5" s="97"/>
      <c r="V5" s="97"/>
      <c r="W5" s="97"/>
      <c r="X5" s="104"/>
      <c r="Y5" s="104"/>
      <c r="Z5" s="104"/>
      <c r="AA5" s="104"/>
      <c r="AB5" s="104"/>
      <c r="AC5" s="105"/>
      <c r="AD5" s="105"/>
      <c r="AE5" s="105"/>
      <c r="AF5" s="105"/>
      <c r="AG5" s="105"/>
      <c r="AH5" s="105"/>
    </row>
    <row r="6" spans="1:34">
      <c r="A6" s="77"/>
      <c r="B6" s="84"/>
      <c r="C6" s="79">
        <v>403</v>
      </c>
      <c r="D6" s="86"/>
      <c r="E6" s="86"/>
      <c r="F6" s="86" t="s">
        <v>76</v>
      </c>
      <c r="G6" s="86"/>
      <c r="H6" s="86"/>
      <c r="I6" s="86"/>
      <c r="J6" s="86"/>
      <c r="K6" s="86"/>
      <c r="L6" s="87" t="s">
        <v>96</v>
      </c>
      <c r="M6" s="425"/>
      <c r="N6" s="425"/>
      <c r="O6" s="426"/>
      <c r="P6" s="101"/>
      <c r="Q6" s="101"/>
      <c r="R6" s="106"/>
      <c r="S6" s="106"/>
      <c r="T6" s="106"/>
      <c r="U6" s="106"/>
      <c r="V6" s="106"/>
      <c r="W6" s="106"/>
      <c r="X6" s="104"/>
      <c r="Y6" s="104"/>
      <c r="Z6" s="428"/>
      <c r="AA6" s="428"/>
      <c r="AB6" s="107"/>
      <c r="AC6" s="105"/>
      <c r="AD6" s="105"/>
      <c r="AE6" s="105"/>
      <c r="AF6" s="105"/>
      <c r="AG6" s="105"/>
      <c r="AH6" s="105"/>
    </row>
    <row r="7" spans="1:34">
      <c r="A7" s="330">
        <v>261801</v>
      </c>
      <c r="B7" s="331" t="s">
        <v>97</v>
      </c>
      <c r="C7" s="88"/>
      <c r="D7" s="294" t="s">
        <v>98</v>
      </c>
      <c r="E7" s="295">
        <v>0</v>
      </c>
      <c r="F7" s="429" t="s">
        <v>1555</v>
      </c>
      <c r="G7" s="430" t="s">
        <v>93</v>
      </c>
      <c r="H7" s="431" t="s">
        <v>98</v>
      </c>
      <c r="I7" s="431" t="s">
        <v>98</v>
      </c>
      <c r="J7" s="89">
        <v>0</v>
      </c>
      <c r="K7" s="430" t="s">
        <v>96</v>
      </c>
      <c r="L7" s="90">
        <v>1</v>
      </c>
      <c r="M7" s="91"/>
      <c r="N7" s="92"/>
      <c r="O7" s="93"/>
      <c r="P7" s="101"/>
      <c r="Q7" s="101"/>
      <c r="R7" s="97"/>
      <c r="S7" s="97"/>
      <c r="T7" s="97"/>
      <c r="U7" s="97"/>
      <c r="V7" s="97"/>
      <c r="W7" s="97"/>
      <c r="X7" s="104"/>
      <c r="Y7" s="104"/>
      <c r="Z7" s="104"/>
      <c r="AA7" s="104"/>
      <c r="AB7" s="104"/>
      <c r="AC7" s="104"/>
      <c r="AD7" s="104"/>
      <c r="AE7" s="104"/>
      <c r="AF7" s="104"/>
      <c r="AG7" s="104"/>
      <c r="AH7" s="104"/>
    </row>
    <row r="8" spans="1:34" ht="11.45" customHeight="1">
      <c r="A8" s="273">
        <v>1152</v>
      </c>
      <c r="B8" s="270" t="s">
        <v>1462</v>
      </c>
      <c r="C8" s="88"/>
      <c r="D8" s="340">
        <v>4</v>
      </c>
      <c r="E8" s="341" t="s">
        <v>98</v>
      </c>
      <c r="F8" s="432" t="s">
        <v>1558</v>
      </c>
      <c r="G8" s="433" t="s">
        <v>98</v>
      </c>
      <c r="H8" s="434" t="s">
        <v>218</v>
      </c>
      <c r="I8" s="434" t="s">
        <v>132</v>
      </c>
      <c r="J8" s="94" t="s">
        <v>98</v>
      </c>
      <c r="K8" s="433" t="s">
        <v>96</v>
      </c>
      <c r="L8" s="435">
        <v>1</v>
      </c>
      <c r="M8" s="95">
        <v>1</v>
      </c>
      <c r="N8" s="96">
        <v>1.3957732849288962</v>
      </c>
      <c r="O8" s="432" t="s">
        <v>3124</v>
      </c>
      <c r="P8" s="216"/>
      <c r="Q8" s="77" t="s">
        <v>1551</v>
      </c>
      <c r="R8" s="339">
        <v>4</v>
      </c>
      <c r="S8" s="339">
        <v>5</v>
      </c>
      <c r="T8" s="339">
        <v>3</v>
      </c>
      <c r="U8" s="339">
        <v>1</v>
      </c>
      <c r="V8" s="339">
        <v>1</v>
      </c>
      <c r="W8" s="339">
        <v>5</v>
      </c>
      <c r="X8" s="104">
        <v>12</v>
      </c>
      <c r="Y8" s="104">
        <v>1.05</v>
      </c>
      <c r="Z8" s="107">
        <v>1.3907731135051336</v>
      </c>
      <c r="AA8" s="107">
        <v>1.3957732849288962</v>
      </c>
      <c r="AB8" s="107" t="s">
        <v>3119</v>
      </c>
      <c r="AC8" s="108">
        <v>1.2</v>
      </c>
      <c r="AD8" s="108">
        <v>1.2</v>
      </c>
      <c r="AE8" s="108">
        <v>1.1000000000000001</v>
      </c>
      <c r="AF8" s="108">
        <v>1</v>
      </c>
      <c r="AG8" s="108">
        <v>1</v>
      </c>
      <c r="AH8" s="108">
        <v>1.2</v>
      </c>
    </row>
    <row r="9" spans="1:34" ht="11.45" customHeight="1">
      <c r="A9" s="330">
        <v>1354</v>
      </c>
      <c r="B9" s="331" t="s">
        <v>529</v>
      </c>
      <c r="C9" s="88"/>
      <c r="D9" s="340">
        <v>4</v>
      </c>
      <c r="E9" s="341" t="s">
        <v>98</v>
      </c>
      <c r="F9" s="432" t="s">
        <v>1552</v>
      </c>
      <c r="G9" s="433" t="s">
        <v>98</v>
      </c>
      <c r="H9" s="434" t="s">
        <v>218</v>
      </c>
      <c r="I9" s="434" t="s">
        <v>132</v>
      </c>
      <c r="J9" s="94" t="s">
        <v>98</v>
      </c>
      <c r="K9" s="433" t="s">
        <v>119</v>
      </c>
      <c r="L9" s="435">
        <v>0.43478</v>
      </c>
      <c r="M9" s="95">
        <v>1</v>
      </c>
      <c r="N9" s="96">
        <v>1.2354522921220721</v>
      </c>
      <c r="O9" s="432" t="s">
        <v>3125</v>
      </c>
      <c r="P9" s="216"/>
      <c r="Q9" s="77" t="s">
        <v>1551</v>
      </c>
      <c r="R9" s="339">
        <v>1</v>
      </c>
      <c r="S9" s="339">
        <v>1</v>
      </c>
      <c r="T9" s="339">
        <v>3</v>
      </c>
      <c r="U9" s="339">
        <v>1</v>
      </c>
      <c r="V9" s="339">
        <v>1</v>
      </c>
      <c r="W9" s="339">
        <v>5</v>
      </c>
      <c r="X9" s="104">
        <v>12</v>
      </c>
      <c r="Y9" s="104">
        <v>1.05</v>
      </c>
      <c r="Z9" s="107">
        <v>1.2284225230179247</v>
      </c>
      <c r="AA9" s="107">
        <v>1.2354522921220721</v>
      </c>
      <c r="AB9" s="107" t="s">
        <v>3126</v>
      </c>
      <c r="AC9" s="108">
        <v>1</v>
      </c>
      <c r="AD9" s="108">
        <v>1</v>
      </c>
      <c r="AE9" s="108">
        <v>1.1000000000000001</v>
      </c>
      <c r="AF9" s="108">
        <v>1</v>
      </c>
      <c r="AG9" s="108">
        <v>1</v>
      </c>
      <c r="AH9" s="108">
        <v>1.2</v>
      </c>
    </row>
    <row r="10" spans="1:34" ht="11.45" customHeight="1">
      <c r="A10" s="330">
        <v>269525</v>
      </c>
      <c r="B10" s="331" t="s">
        <v>221</v>
      </c>
      <c r="C10" s="88"/>
      <c r="D10" s="340">
        <v>5</v>
      </c>
      <c r="E10" s="341" t="s">
        <v>98</v>
      </c>
      <c r="F10" s="432" t="s">
        <v>229</v>
      </c>
      <c r="G10" s="433" t="s">
        <v>93</v>
      </c>
      <c r="H10" s="434" t="s">
        <v>98</v>
      </c>
      <c r="I10" s="434" t="s">
        <v>98</v>
      </c>
      <c r="J10" s="94">
        <v>1</v>
      </c>
      <c r="K10" s="433" t="s">
        <v>144</v>
      </c>
      <c r="L10" s="435">
        <v>4.0000000000000001E-10</v>
      </c>
      <c r="M10" s="95">
        <v>1</v>
      </c>
      <c r="N10" s="96">
        <v>4.0560854896922409</v>
      </c>
      <c r="O10" s="432" t="s">
        <v>3127</v>
      </c>
      <c r="P10" s="216"/>
      <c r="Q10" s="77" t="s">
        <v>1551</v>
      </c>
      <c r="R10" s="339">
        <v>4</v>
      </c>
      <c r="S10" s="339">
        <v>5</v>
      </c>
      <c r="T10" s="339">
        <v>5</v>
      </c>
      <c r="U10" s="339">
        <v>5</v>
      </c>
      <c r="V10" s="339">
        <v>5</v>
      </c>
      <c r="W10" s="339">
        <v>5</v>
      </c>
      <c r="X10" s="104">
        <v>9</v>
      </c>
      <c r="Y10" s="104">
        <v>3</v>
      </c>
      <c r="Z10" s="107">
        <v>2.3824689982955931</v>
      </c>
      <c r="AA10" s="107">
        <v>4.0560854896922409</v>
      </c>
      <c r="AB10" s="107" t="s">
        <v>3121</v>
      </c>
      <c r="AC10" s="108">
        <v>1.2</v>
      </c>
      <c r="AD10" s="108">
        <v>1.2</v>
      </c>
      <c r="AE10" s="108">
        <v>1.5</v>
      </c>
      <c r="AF10" s="108">
        <v>1.1000000000000001</v>
      </c>
      <c r="AG10" s="108">
        <v>2</v>
      </c>
      <c r="AH10" s="108">
        <v>1.2</v>
      </c>
    </row>
    <row r="11" spans="1:34" ht="11.45" customHeight="1">
      <c r="A11" s="330">
        <v>269255</v>
      </c>
      <c r="B11" s="331" t="s">
        <v>529</v>
      </c>
      <c r="C11" s="88"/>
      <c r="D11" s="340">
        <v>5</v>
      </c>
      <c r="E11" s="341" t="s">
        <v>98</v>
      </c>
      <c r="F11" s="432" t="s">
        <v>1553</v>
      </c>
      <c r="G11" s="433" t="s">
        <v>93</v>
      </c>
      <c r="H11" s="434" t="s">
        <v>98</v>
      </c>
      <c r="I11" s="434" t="s">
        <v>98</v>
      </c>
      <c r="J11" s="94">
        <v>0</v>
      </c>
      <c r="K11" s="433" t="s">
        <v>96</v>
      </c>
      <c r="L11" s="435">
        <v>0.6</v>
      </c>
      <c r="M11" s="95">
        <v>1</v>
      </c>
      <c r="N11" s="96">
        <v>1.3957732849288962</v>
      </c>
      <c r="O11" s="432" t="s">
        <v>3124</v>
      </c>
      <c r="P11" s="216"/>
      <c r="Q11" s="77" t="s">
        <v>1551</v>
      </c>
      <c r="R11" s="339">
        <v>4</v>
      </c>
      <c r="S11" s="339">
        <v>5</v>
      </c>
      <c r="T11" s="339">
        <v>3</v>
      </c>
      <c r="U11" s="339">
        <v>1</v>
      </c>
      <c r="V11" s="339">
        <v>1</v>
      </c>
      <c r="W11" s="339">
        <v>5</v>
      </c>
      <c r="X11" s="104">
        <v>3</v>
      </c>
      <c r="Y11" s="104">
        <v>1.05</v>
      </c>
      <c r="Z11" s="107">
        <v>1.3907731135051336</v>
      </c>
      <c r="AA11" s="107">
        <v>1.3957732849288962</v>
      </c>
      <c r="AB11" s="107" t="s">
        <v>3119</v>
      </c>
      <c r="AC11" s="108">
        <v>1.2</v>
      </c>
      <c r="AD11" s="108">
        <v>1.2</v>
      </c>
      <c r="AE11" s="108">
        <v>1.1000000000000001</v>
      </c>
      <c r="AF11" s="108">
        <v>1</v>
      </c>
      <c r="AG11" s="108">
        <v>1</v>
      </c>
      <c r="AH11" s="108">
        <v>1.2</v>
      </c>
    </row>
    <row r="12" spans="1:34" ht="11.45" customHeight="1">
      <c r="A12" s="330">
        <v>269603</v>
      </c>
      <c r="B12" s="331" t="s">
        <v>529</v>
      </c>
      <c r="C12" s="88"/>
      <c r="D12" s="340">
        <v>5</v>
      </c>
      <c r="E12" s="341" t="s">
        <v>98</v>
      </c>
      <c r="F12" s="432" t="s">
        <v>222</v>
      </c>
      <c r="G12" s="433" t="s">
        <v>223</v>
      </c>
      <c r="H12" s="434" t="s">
        <v>98</v>
      </c>
      <c r="I12" s="434" t="s">
        <v>98</v>
      </c>
      <c r="J12" s="94">
        <v>0</v>
      </c>
      <c r="K12" s="433" t="s">
        <v>109</v>
      </c>
      <c r="L12" s="435">
        <v>1.6900000000000001E-3</v>
      </c>
      <c r="M12" s="95">
        <v>1</v>
      </c>
      <c r="N12" s="96">
        <v>1.5646750276965704</v>
      </c>
      <c r="O12" s="432" t="s">
        <v>3128</v>
      </c>
      <c r="P12" s="216"/>
      <c r="Q12" s="77" t="s">
        <v>1551</v>
      </c>
      <c r="R12" s="339">
        <v>1</v>
      </c>
      <c r="S12" s="339">
        <v>2</v>
      </c>
      <c r="T12" s="339">
        <v>5</v>
      </c>
      <c r="U12" s="339">
        <v>1</v>
      </c>
      <c r="V12" s="339">
        <v>1</v>
      </c>
      <c r="W12" s="339">
        <v>5</v>
      </c>
      <c r="X12" s="104">
        <v>2</v>
      </c>
      <c r="Y12" s="104">
        <v>1.05</v>
      </c>
      <c r="Z12" s="107">
        <v>1.5605081641569645</v>
      </c>
      <c r="AA12" s="107">
        <v>1.5646750276965704</v>
      </c>
      <c r="AB12" s="107" t="s">
        <v>3129</v>
      </c>
      <c r="AC12" s="108">
        <v>1</v>
      </c>
      <c r="AD12" s="108">
        <v>1.02</v>
      </c>
      <c r="AE12" s="108">
        <v>1.5</v>
      </c>
      <c r="AF12" s="108">
        <v>1</v>
      </c>
      <c r="AG12" s="108">
        <v>1</v>
      </c>
      <c r="AH12" s="108">
        <v>1.2</v>
      </c>
    </row>
    <row r="13" spans="1:34" ht="11.45" customHeight="1">
      <c r="A13" s="330">
        <v>269043</v>
      </c>
      <c r="B13" s="331" t="s">
        <v>529</v>
      </c>
      <c r="C13" s="88"/>
      <c r="D13" s="340">
        <v>5</v>
      </c>
      <c r="E13" s="341" t="s">
        <v>98</v>
      </c>
      <c r="F13" s="432" t="s">
        <v>1546</v>
      </c>
      <c r="G13" s="433" t="s">
        <v>93</v>
      </c>
      <c r="H13" s="434" t="s">
        <v>98</v>
      </c>
      <c r="I13" s="434" t="s">
        <v>98</v>
      </c>
      <c r="J13" s="94">
        <v>0</v>
      </c>
      <c r="K13" s="433" t="s">
        <v>104</v>
      </c>
      <c r="L13" s="435">
        <v>40.073</v>
      </c>
      <c r="M13" s="95">
        <v>1</v>
      </c>
      <c r="N13" s="96">
        <v>1.5646750276965704</v>
      </c>
      <c r="O13" s="432" t="s">
        <v>3128</v>
      </c>
      <c r="P13" s="216"/>
      <c r="Q13" s="77" t="s">
        <v>1551</v>
      </c>
      <c r="R13" s="339">
        <v>1</v>
      </c>
      <c r="S13" s="339">
        <v>2</v>
      </c>
      <c r="T13" s="339">
        <v>5</v>
      </c>
      <c r="U13" s="339">
        <v>1</v>
      </c>
      <c r="V13" s="339">
        <v>1</v>
      </c>
      <c r="W13" s="339">
        <v>5</v>
      </c>
      <c r="X13" s="104">
        <v>1</v>
      </c>
      <c r="Y13" s="104">
        <v>1.05</v>
      </c>
      <c r="Z13" s="107">
        <v>1.5605081641569645</v>
      </c>
      <c r="AA13" s="107">
        <v>1.5646750276965704</v>
      </c>
      <c r="AB13" s="107" t="s">
        <v>3129</v>
      </c>
      <c r="AC13" s="108">
        <v>1</v>
      </c>
      <c r="AD13" s="108">
        <v>1.02</v>
      </c>
      <c r="AE13" s="108">
        <v>1.5</v>
      </c>
      <c r="AF13" s="108">
        <v>1</v>
      </c>
      <c r="AG13" s="108">
        <v>1</v>
      </c>
      <c r="AH13" s="108">
        <v>1.2</v>
      </c>
    </row>
    <row r="14" spans="1:34" ht="11.45" customHeight="1">
      <c r="A14" s="330">
        <v>269295</v>
      </c>
      <c r="B14" s="331" t="s">
        <v>529</v>
      </c>
      <c r="C14" s="88"/>
      <c r="D14" s="340">
        <v>5</v>
      </c>
      <c r="E14" s="341" t="s">
        <v>98</v>
      </c>
      <c r="F14" s="432" t="s">
        <v>239</v>
      </c>
      <c r="G14" s="433" t="s">
        <v>93</v>
      </c>
      <c r="H14" s="434" t="s">
        <v>98</v>
      </c>
      <c r="I14" s="434" t="s">
        <v>98</v>
      </c>
      <c r="J14" s="94">
        <v>0</v>
      </c>
      <c r="K14" s="433" t="s">
        <v>96</v>
      </c>
      <c r="L14" s="435">
        <v>5.6521000000000002E-2</v>
      </c>
      <c r="M14" s="95">
        <v>1</v>
      </c>
      <c r="N14" s="96">
        <v>1.3957732849288962</v>
      </c>
      <c r="O14" s="432" t="s">
        <v>3124</v>
      </c>
      <c r="P14" s="216"/>
      <c r="Q14" s="77" t="s">
        <v>1551</v>
      </c>
      <c r="R14" s="339">
        <v>4</v>
      </c>
      <c r="S14" s="339">
        <v>5</v>
      </c>
      <c r="T14" s="339">
        <v>3</v>
      </c>
      <c r="U14" s="339">
        <v>1</v>
      </c>
      <c r="V14" s="339">
        <v>1</v>
      </c>
      <c r="W14" s="339">
        <v>5</v>
      </c>
      <c r="X14" s="104">
        <v>3</v>
      </c>
      <c r="Y14" s="104">
        <v>1.05</v>
      </c>
      <c r="Z14" s="107">
        <v>1.3907731135051336</v>
      </c>
      <c r="AA14" s="107">
        <v>1.3957732849288962</v>
      </c>
      <c r="AB14" s="107" t="s">
        <v>3119</v>
      </c>
      <c r="AC14" s="108">
        <v>1.2</v>
      </c>
      <c r="AD14" s="108">
        <v>1.2</v>
      </c>
      <c r="AE14" s="108">
        <v>1.1000000000000001</v>
      </c>
      <c r="AF14" s="108">
        <v>1</v>
      </c>
      <c r="AG14" s="108">
        <v>1</v>
      </c>
      <c r="AH14" s="108">
        <v>1.2</v>
      </c>
    </row>
    <row r="15" spans="1:34" ht="11.45" customHeight="1">
      <c r="A15" s="330">
        <v>26845</v>
      </c>
      <c r="B15" s="331" t="s">
        <v>1534</v>
      </c>
      <c r="C15" s="88"/>
      <c r="D15" s="340" t="s">
        <v>98</v>
      </c>
      <c r="E15" s="341">
        <v>4</v>
      </c>
      <c r="F15" s="432" t="s">
        <v>1540</v>
      </c>
      <c r="G15" s="433" t="s">
        <v>98</v>
      </c>
      <c r="H15" s="434" t="s">
        <v>247</v>
      </c>
      <c r="I15" s="434" t="s">
        <v>258</v>
      </c>
      <c r="J15" s="94" t="s">
        <v>98</v>
      </c>
      <c r="K15" s="433" t="s">
        <v>96</v>
      </c>
      <c r="L15" s="435">
        <v>434.78</v>
      </c>
      <c r="M15" s="95">
        <v>1</v>
      </c>
      <c r="N15" s="96">
        <v>1.575657361015304</v>
      </c>
      <c r="O15" s="432" t="s">
        <v>3125</v>
      </c>
      <c r="P15" s="216"/>
      <c r="Q15" s="77" t="s">
        <v>1551</v>
      </c>
      <c r="R15" s="339">
        <v>1</v>
      </c>
      <c r="S15" s="339">
        <v>1</v>
      </c>
      <c r="T15" s="339">
        <v>3</v>
      </c>
      <c r="U15" s="339">
        <v>1</v>
      </c>
      <c r="V15" s="339">
        <v>1</v>
      </c>
      <c r="W15" s="339">
        <v>5</v>
      </c>
      <c r="X15" s="104">
        <v>31</v>
      </c>
      <c r="Y15" s="104">
        <v>1.5</v>
      </c>
      <c r="Z15" s="107">
        <v>1.2284225230179247</v>
      </c>
      <c r="AA15" s="107">
        <v>1.575657361015304</v>
      </c>
      <c r="AB15" s="107" t="s">
        <v>3126</v>
      </c>
      <c r="AC15" s="108">
        <v>1</v>
      </c>
      <c r="AD15" s="108">
        <v>1</v>
      </c>
      <c r="AE15" s="108">
        <v>1.1000000000000001</v>
      </c>
      <c r="AF15" s="108">
        <v>1</v>
      </c>
      <c r="AG15" s="108">
        <v>1</v>
      </c>
      <c r="AH15" s="108">
        <v>1.2</v>
      </c>
    </row>
    <row r="16" spans="1:34" ht="11.45" customHeight="1">
      <c r="A16" s="330">
        <v>160305</v>
      </c>
      <c r="B16" s="331" t="s">
        <v>1537</v>
      </c>
      <c r="C16" s="88"/>
      <c r="D16" s="340" t="s">
        <v>98</v>
      </c>
      <c r="E16" s="341">
        <v>4</v>
      </c>
      <c r="F16" s="432" t="s">
        <v>358</v>
      </c>
      <c r="G16" s="433" t="s">
        <v>98</v>
      </c>
      <c r="H16" s="434" t="s">
        <v>344</v>
      </c>
      <c r="I16" s="434" t="s">
        <v>248</v>
      </c>
      <c r="J16" s="94" t="s">
        <v>98</v>
      </c>
      <c r="K16" s="433" t="s">
        <v>96</v>
      </c>
      <c r="L16" s="435">
        <v>5.5368000000000001E-2</v>
      </c>
      <c r="M16" s="95">
        <v>1</v>
      </c>
      <c r="N16" s="96">
        <v>2.6068869587257422</v>
      </c>
      <c r="O16" s="432" t="s">
        <v>3127</v>
      </c>
      <c r="P16" s="216"/>
      <c r="Q16" s="77" t="s">
        <v>1551</v>
      </c>
      <c r="R16" s="339">
        <v>4</v>
      </c>
      <c r="S16" s="339">
        <v>5</v>
      </c>
      <c r="T16" s="339">
        <v>5</v>
      </c>
      <c r="U16" s="339">
        <v>5</v>
      </c>
      <c r="V16" s="339">
        <v>5</v>
      </c>
      <c r="W16" s="339">
        <v>5</v>
      </c>
      <c r="X16" s="104">
        <v>33</v>
      </c>
      <c r="Y16" s="104">
        <v>1.5</v>
      </c>
      <c r="Z16" s="107">
        <v>2.3824689982955931</v>
      </c>
      <c r="AA16" s="107">
        <v>2.6068869587257422</v>
      </c>
      <c r="AB16" s="107" t="s">
        <v>3121</v>
      </c>
      <c r="AC16" s="108">
        <v>1.2</v>
      </c>
      <c r="AD16" s="108">
        <v>1.2</v>
      </c>
      <c r="AE16" s="108">
        <v>1.5</v>
      </c>
      <c r="AF16" s="108">
        <v>1.1000000000000001</v>
      </c>
      <c r="AG16" s="108">
        <v>2</v>
      </c>
      <c r="AH16" s="108">
        <v>1.2</v>
      </c>
    </row>
  </sheetData>
  <mergeCells count="1">
    <mergeCell ref="R1:W1"/>
  </mergeCells>
  <conditionalFormatting sqref="B8:B16">
    <cfRule type="cellIs" dxfId="145" priority="5" stopIfTrue="1" operator="notEqual">
      <formula>""</formula>
    </cfRule>
  </conditionalFormatting>
  <conditionalFormatting sqref="D8:W16">
    <cfRule type="expression" dxfId="144" priority="1">
      <formula>MOD(ROW(),2)=0</formula>
    </cfRule>
  </conditionalFormatting>
  <conditionalFormatting sqref="R8:W16">
    <cfRule type="cellIs" dxfId="143" priority="4" stopIfTrue="1" operator="notBetween">
      <formula>1</formula>
      <formula>5</formula>
    </cfRule>
  </conditionalFormatting>
  <conditionalFormatting sqref="X8:AH16">
    <cfRule type="expression" dxfId="142" priority="2">
      <formula>MOD(ROW(),2)=0</formula>
    </cfRule>
  </conditionalFormatting>
  <dataValidations count="28">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600-000000000000}"/>
    <dataValidation allowBlank="1" showInputMessage="1" showErrorMessage="1" promptTitle="Remarks" prompt="A general comment (data source, calculation procedure, ...) can be made about each individual exchange. The remarks are added to the GeneralComment-field." sqref="P3 P8:P16 Q2:Q3" xr:uid="{00000000-0002-0000-3600-000001000000}"/>
    <dataValidation allowBlank="1" showInputMessage="1" showErrorMessage="1" prompt="Do not change." sqref="X3:AH4" xr:uid="{00000000-0002-0000-3600-000002000000}"/>
    <dataValidation allowBlank="1" showInputMessage="1" showErrorMessage="1" prompt="This cell is automatically updated from the names List according to the index number in L1. It needs to be identical to the output product." sqref="L3:L6" xr:uid="{00000000-0002-0000-3600-000003000000}"/>
    <dataValidation allowBlank="1" showInputMessage="1" showErrorMessage="1" promptTitle="Unit" prompt="Unit of the exchange (elementary flow or intermediate product flow)." sqref="F6 K2:K3" xr:uid="{00000000-0002-0000-3600-000004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600-000005000000}"/>
    <dataValidation allowBlank="1" showInputMessage="1" showErrorMessage="1" promptTitle="Name" prompt="Name of the exchange (elementary flow or intermediate product flow) in English language. " sqref="F2:F3" xr:uid="{00000000-0002-0000-3600-000006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600-000007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6" xr:uid="{00000000-0002-0000-3600-000008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6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6" xr:uid="{00000000-0002-0000-3600-00000A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3 S8:S16" xr:uid="{00000000-0002-0000-3600-00000B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3 T8:T16" xr:uid="{00000000-0002-0000-3600-00000C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3 U8:U16" xr:uid="{00000000-0002-0000-3600-00000D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3 V8:V16" xr:uid="{00000000-0002-0000-3600-00000E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3 W8:W16" xr:uid="{00000000-0002-0000-3600-00000F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3 R8:R16" xr:uid="{00000000-0002-0000-3600-000010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600-000011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600-000012000000}"/>
    <dataValidation allowBlank="1" showInputMessage="1" showErrorMessage="1" prompt="always 1" sqref="L7" xr:uid="{00000000-0002-0000-3600-000013000000}"/>
    <dataValidation allowBlank="1" showInputMessage="1" showErrorMessage="1" prompt="Mean amount of elementary flow or intermediate product flow. Enter your values (or the respective equation) here." sqref="L8:L16" xr:uid="{00000000-0002-0000-3600-000014000000}"/>
    <dataValidation allowBlank="1" showInputMessage="1" showErrorMessage="1" promptTitle="Do not change" prompt="This field is automatically calculated from your inputs." sqref="Y8:AH16" xr:uid="{00000000-0002-0000-3600-000015000000}"/>
    <dataValidation allowBlank="1" showInputMessage="1" showErrorMessage="1" promptTitle="Do not change" prompt="This field is automatically updated from the names-list" sqref="X8:X16" xr:uid="{00000000-0002-0000-3600-000016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6" xr:uid="{00000000-0002-0000-3600-000017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6" xr:uid="{00000000-0002-0000-3600-000018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6" xr:uid="{00000000-0002-0000-3600-000019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6" xr:uid="{00000000-0002-0000-3600-00001A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16" xr:uid="{00000000-0002-0000-3600-00001B000000}"/>
  </dataValidations>
  <printOptions horizontalCentered="1" verticalCentered="1"/>
  <pageMargins left="0.78740157480314965" right="0.78740157480314965" top="0.98425196850393704" bottom="0.98425196850393704" header="0.51181102362204722" footer="0.51181102362204722"/>
  <pageSetup paperSize="9" scale="33" orientation="landscape" r:id="rId1"/>
  <headerFooter alignWithMargins="0">
    <oddHeader>&amp;L&amp;C&amp;R</oddHeader>
    <oddFooter>&amp;L&amp;D&amp;C&amp;F&amp;RSeite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39">
    <tabColor rgb="FF9CD9F0"/>
    <pageSetUpPr fitToPage="1"/>
  </sheetPr>
  <dimension ref="A1:AK14"/>
  <sheetViews>
    <sheetView workbookViewId="0">
      <selection activeCell="A15" sqref="A15:XFD24"/>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1.85546875" style="116" customWidth="1" collapsed="1"/>
    <col min="17" max="17" width="44.42578125" style="407" customWidth="1"/>
    <col min="18" max="18" width="19" style="407" customWidth="1"/>
    <col min="19" max="19" width="4.140625" style="407" hidden="1" customWidth="1" outlineLevel="1"/>
    <col min="20" max="20" width="4.42578125" style="407" hidden="1" customWidth="1" outlineLevel="1"/>
    <col min="21" max="21" width="4.28515625" style="407" hidden="1" customWidth="1" outlineLevel="1"/>
    <col min="22" max="22" width="4" style="407" hidden="1" customWidth="1" outlineLevel="1"/>
    <col min="23" max="23" width="3.7109375" style="407" hidden="1" customWidth="1" outlineLevel="1"/>
    <col min="24" max="24" width="4.28515625" style="407" hidden="1" customWidth="1" outlineLevel="1"/>
    <col min="25" max="25" width="3.42578125" style="407" hidden="1" customWidth="1" outlineLevel="1"/>
    <col min="26" max="26" width="4.7109375" style="378" hidden="1" customWidth="1" outlineLevel="1"/>
    <col min="27" max="28" width="5.42578125" style="378" hidden="1" customWidth="1" outlineLevel="1"/>
    <col min="29" max="29" width="14.85546875" style="378" hidden="1" customWidth="1" outlineLevel="1"/>
    <col min="30" max="30" width="4.42578125" style="378" hidden="1" customWidth="1" outlineLevel="1"/>
    <col min="31" max="31" width="4.28515625" style="378" hidden="1" customWidth="1" outlineLevel="1"/>
    <col min="32" max="34" width="4.42578125" style="378" hidden="1" customWidth="1" outlineLevel="1"/>
    <col min="35" max="35" width="4.28515625" style="378" hidden="1" customWidth="1" outlineLevel="1"/>
    <col min="36" max="36" width="11.42578125" style="378" customWidth="1" collapsed="1"/>
    <col min="37" max="37" width="11.42578125" style="378" customWidth="1"/>
    <col min="38" max="16384" width="11.42578125" style="378"/>
  </cols>
  <sheetData>
    <row r="1" spans="1:37">
      <c r="A1" s="77"/>
      <c r="B1" s="78"/>
      <c r="C1" s="79"/>
      <c r="D1" s="77"/>
      <c r="E1" s="77"/>
      <c r="F1" s="80" t="s">
        <v>65</v>
      </c>
      <c r="G1" s="77"/>
      <c r="H1" s="77"/>
      <c r="I1" s="77"/>
      <c r="J1" s="77"/>
      <c r="K1" s="77"/>
      <c r="L1" s="330">
        <v>256520</v>
      </c>
      <c r="M1" s="81"/>
      <c r="N1" s="81"/>
      <c r="O1" s="81"/>
      <c r="Q1" s="378"/>
      <c r="R1" s="378"/>
      <c r="S1" s="1586"/>
      <c r="T1" s="1581"/>
      <c r="U1" s="1581"/>
      <c r="V1" s="1581"/>
      <c r="W1" s="1581"/>
      <c r="X1" s="1581"/>
      <c r="Y1" s="406"/>
      <c r="Z1" s="406"/>
      <c r="AA1" s="406"/>
      <c r="AB1" s="406"/>
      <c r="AC1" s="406"/>
    </row>
    <row r="2" spans="1:37">
      <c r="A2" s="77"/>
      <c r="B2" s="82"/>
      <c r="C2" s="79" t="s">
        <v>67</v>
      </c>
      <c r="D2" s="82">
        <v>3503</v>
      </c>
      <c r="E2" s="82">
        <v>3504</v>
      </c>
      <c r="F2" s="82">
        <v>3702</v>
      </c>
      <c r="G2" s="82">
        <v>3703</v>
      </c>
      <c r="H2" s="82">
        <v>3506</v>
      </c>
      <c r="I2" s="82">
        <v>3507</v>
      </c>
      <c r="J2" s="82">
        <v>3508</v>
      </c>
      <c r="K2" s="82">
        <v>3706</v>
      </c>
      <c r="L2" s="82">
        <v>3707</v>
      </c>
      <c r="M2" s="419">
        <v>3708</v>
      </c>
      <c r="N2" s="419">
        <v>3709</v>
      </c>
      <c r="O2" s="420">
        <v>3792</v>
      </c>
      <c r="Q2" s="406"/>
      <c r="R2" s="406"/>
      <c r="S2" s="406"/>
      <c r="T2" s="406"/>
      <c r="U2" s="406"/>
      <c r="V2" s="406"/>
      <c r="W2" s="406"/>
      <c r="X2" s="406"/>
      <c r="Y2" s="406"/>
    </row>
    <row r="3" spans="1:37" ht="102" customHeight="1">
      <c r="A3" s="83" t="s">
        <v>68</v>
      </c>
      <c r="B3" s="84"/>
      <c r="C3" s="79">
        <v>401</v>
      </c>
      <c r="D3" s="85" t="s">
        <v>69</v>
      </c>
      <c r="E3" s="85" t="s">
        <v>70</v>
      </c>
      <c r="F3" s="86" t="s">
        <v>71</v>
      </c>
      <c r="G3" s="85" t="s">
        <v>72</v>
      </c>
      <c r="H3" s="85" t="s">
        <v>73</v>
      </c>
      <c r="I3" s="85" t="s">
        <v>74</v>
      </c>
      <c r="J3" s="85" t="s">
        <v>75</v>
      </c>
      <c r="K3" s="85" t="s">
        <v>76</v>
      </c>
      <c r="L3" s="87" t="s">
        <v>1559</v>
      </c>
      <c r="M3" s="422" t="s">
        <v>78</v>
      </c>
      <c r="N3" s="422" t="s">
        <v>79</v>
      </c>
      <c r="O3" s="423" t="s">
        <v>80</v>
      </c>
      <c r="Q3" s="97" t="s">
        <v>81</v>
      </c>
      <c r="R3" s="97" t="s">
        <v>253</v>
      </c>
      <c r="S3" s="98" t="s">
        <v>364</v>
      </c>
      <c r="T3" s="98" t="s">
        <v>365</v>
      </c>
      <c r="U3" s="98" t="s">
        <v>366</v>
      </c>
      <c r="V3" s="98" t="s">
        <v>367</v>
      </c>
      <c r="W3" s="98" t="s">
        <v>368</v>
      </c>
      <c r="X3" s="98" t="s">
        <v>369</v>
      </c>
      <c r="Y3" s="99" t="s">
        <v>88</v>
      </c>
      <c r="Z3" s="99" t="s">
        <v>370</v>
      </c>
      <c r="AA3" s="99" t="s">
        <v>90</v>
      </c>
      <c r="AB3" s="99" t="s">
        <v>91</v>
      </c>
      <c r="AC3" s="99" t="s">
        <v>371</v>
      </c>
      <c r="AD3" s="100" t="s">
        <v>364</v>
      </c>
      <c r="AE3" s="100" t="s">
        <v>365</v>
      </c>
      <c r="AF3" s="100" t="s">
        <v>366</v>
      </c>
      <c r="AG3" s="100" t="s">
        <v>367</v>
      </c>
      <c r="AH3" s="100" t="s">
        <v>368</v>
      </c>
      <c r="AI3" s="100" t="s">
        <v>369</v>
      </c>
      <c r="AK3" s="86" t="s">
        <v>1560</v>
      </c>
    </row>
    <row r="4" spans="1:37" ht="12" customHeight="1">
      <c r="A4" s="77"/>
      <c r="B4" s="84"/>
      <c r="C4" s="79">
        <v>662</v>
      </c>
      <c r="D4" s="86"/>
      <c r="E4" s="86"/>
      <c r="F4" s="86" t="s">
        <v>72</v>
      </c>
      <c r="G4" s="86"/>
      <c r="H4" s="86"/>
      <c r="I4" s="86"/>
      <c r="J4" s="86"/>
      <c r="K4" s="86"/>
      <c r="L4" s="87" t="s">
        <v>93</v>
      </c>
      <c r="M4" s="425"/>
      <c r="N4" s="425"/>
      <c r="O4" s="426"/>
      <c r="Q4" s="101"/>
      <c r="R4" s="101"/>
      <c r="S4" s="102" t="s">
        <v>94</v>
      </c>
      <c r="T4" s="97"/>
      <c r="U4" s="97"/>
      <c r="V4" s="97"/>
      <c r="W4" s="97"/>
      <c r="X4" s="97"/>
      <c r="Y4" s="103"/>
      <c r="Z4" s="103"/>
      <c r="AA4" s="103" t="s">
        <v>95</v>
      </c>
      <c r="AB4" s="103" t="s">
        <v>95</v>
      </c>
      <c r="AC4" s="104"/>
      <c r="AD4" s="105"/>
      <c r="AE4" s="105"/>
      <c r="AF4" s="105"/>
      <c r="AG4" s="105"/>
      <c r="AH4" s="105"/>
      <c r="AI4" s="105"/>
      <c r="AK4" s="406" t="s">
        <v>93</v>
      </c>
    </row>
    <row r="5" spans="1:37" ht="12" customHeight="1">
      <c r="A5" s="77"/>
      <c r="B5" s="84"/>
      <c r="C5" s="79">
        <v>493</v>
      </c>
      <c r="D5" s="86"/>
      <c r="E5" s="86"/>
      <c r="F5" s="86" t="s">
        <v>75</v>
      </c>
      <c r="G5" s="86"/>
      <c r="H5" s="86"/>
      <c r="I5" s="86"/>
      <c r="J5" s="86"/>
      <c r="K5" s="86"/>
      <c r="L5" s="87">
        <v>0</v>
      </c>
      <c r="M5" s="425"/>
      <c r="N5" s="425"/>
      <c r="O5" s="426"/>
      <c r="Q5" s="101"/>
      <c r="R5" s="101"/>
      <c r="S5" s="97"/>
      <c r="T5" s="97"/>
      <c r="U5" s="97"/>
      <c r="V5" s="97"/>
      <c r="W5" s="97"/>
      <c r="X5" s="97"/>
      <c r="Y5" s="104"/>
      <c r="Z5" s="104"/>
      <c r="AA5" s="104"/>
      <c r="AB5" s="104"/>
      <c r="AC5" s="104"/>
      <c r="AD5" s="105"/>
      <c r="AE5" s="105"/>
      <c r="AF5" s="105"/>
      <c r="AG5" s="105"/>
      <c r="AH5" s="105"/>
      <c r="AI5" s="105"/>
      <c r="AK5" s="406"/>
    </row>
    <row r="6" spans="1:37" ht="12" customHeight="1">
      <c r="A6" s="77"/>
      <c r="B6" s="84"/>
      <c r="C6" s="79">
        <v>403</v>
      </c>
      <c r="D6" s="86"/>
      <c r="E6" s="86"/>
      <c r="F6" s="86" t="s">
        <v>76</v>
      </c>
      <c r="G6" s="86"/>
      <c r="H6" s="86"/>
      <c r="I6" s="86"/>
      <c r="J6" s="86"/>
      <c r="K6" s="86"/>
      <c r="L6" s="87" t="s">
        <v>96</v>
      </c>
      <c r="M6" s="425"/>
      <c r="N6" s="425"/>
      <c r="O6" s="426"/>
      <c r="Q6" s="101"/>
      <c r="R6" s="101"/>
      <c r="S6" s="106"/>
      <c r="T6" s="106"/>
      <c r="U6" s="106"/>
      <c r="V6" s="106"/>
      <c r="W6" s="106"/>
      <c r="X6" s="106"/>
      <c r="Y6" s="104"/>
      <c r="Z6" s="104"/>
      <c r="AA6" s="428"/>
      <c r="AB6" s="428"/>
      <c r="AC6" s="107"/>
      <c r="AD6" s="105"/>
      <c r="AE6" s="105"/>
      <c r="AF6" s="105"/>
      <c r="AG6" s="105"/>
      <c r="AH6" s="105"/>
      <c r="AI6" s="105"/>
      <c r="AK6" s="406" t="s">
        <v>96</v>
      </c>
    </row>
    <row r="7" spans="1:37">
      <c r="A7" s="330">
        <v>256520</v>
      </c>
      <c r="B7" s="331" t="s">
        <v>97</v>
      </c>
      <c r="C7" s="88"/>
      <c r="D7" s="294" t="s">
        <v>98</v>
      </c>
      <c r="E7" s="295">
        <v>0</v>
      </c>
      <c r="F7" s="429" t="s">
        <v>1559</v>
      </c>
      <c r="G7" s="430" t="s">
        <v>93</v>
      </c>
      <c r="H7" s="431" t="s">
        <v>98</v>
      </c>
      <c r="I7" s="431" t="s">
        <v>98</v>
      </c>
      <c r="J7" s="89">
        <v>0</v>
      </c>
      <c r="K7" s="430" t="s">
        <v>96</v>
      </c>
      <c r="L7" s="90">
        <v>1</v>
      </c>
      <c r="M7" s="91"/>
      <c r="N7" s="92"/>
      <c r="O7" s="93"/>
      <c r="Q7" s="101"/>
      <c r="R7" s="101"/>
      <c r="S7" s="97"/>
      <c r="T7" s="97"/>
      <c r="U7" s="97"/>
      <c r="V7" s="97"/>
      <c r="W7" s="97"/>
      <c r="X7" s="97"/>
      <c r="Y7" s="104"/>
      <c r="Z7" s="104"/>
      <c r="AA7" s="104"/>
      <c r="AB7" s="104"/>
      <c r="AC7" s="104"/>
      <c r="AD7" s="104"/>
      <c r="AE7" s="104"/>
      <c r="AF7" s="104"/>
      <c r="AG7" s="104"/>
      <c r="AH7" s="104"/>
      <c r="AI7" s="104"/>
    </row>
    <row r="8" spans="1:37" ht="24" customHeight="1">
      <c r="A8" s="330">
        <v>269603</v>
      </c>
      <c r="B8" s="331" t="s">
        <v>221</v>
      </c>
      <c r="C8" s="88"/>
      <c r="D8" s="292">
        <v>5</v>
      </c>
      <c r="E8" s="293" t="s">
        <v>98</v>
      </c>
      <c r="F8" s="432" t="s">
        <v>222</v>
      </c>
      <c r="G8" s="433" t="s">
        <v>223</v>
      </c>
      <c r="H8" s="434" t="s">
        <v>98</v>
      </c>
      <c r="I8" s="434" t="s">
        <v>98</v>
      </c>
      <c r="J8" s="94">
        <v>0</v>
      </c>
      <c r="K8" s="433" t="s">
        <v>109</v>
      </c>
      <c r="L8" s="435">
        <v>0.11131147540983601</v>
      </c>
      <c r="M8" s="95">
        <v>1</v>
      </c>
      <c r="N8" s="96">
        <v>1.2490845559868966</v>
      </c>
      <c r="O8" s="432" t="s">
        <v>3135</v>
      </c>
      <c r="Q8" s="77" t="s">
        <v>1561</v>
      </c>
      <c r="R8" s="77"/>
      <c r="S8" s="339">
        <v>2</v>
      </c>
      <c r="T8" s="339">
        <v>3</v>
      </c>
      <c r="U8" s="339">
        <v>1</v>
      </c>
      <c r="V8" s="339">
        <v>1</v>
      </c>
      <c r="W8" s="339">
        <v>3</v>
      </c>
      <c r="X8" s="339">
        <v>4</v>
      </c>
      <c r="Y8" s="104">
        <v>2</v>
      </c>
      <c r="Z8" s="104">
        <v>1.05</v>
      </c>
      <c r="AA8" s="107">
        <v>1.2423359171267643</v>
      </c>
      <c r="AB8" s="107">
        <v>1.2490845559868966</v>
      </c>
      <c r="AC8" s="107" t="s">
        <v>3136</v>
      </c>
      <c r="AD8" s="108">
        <v>1.05</v>
      </c>
      <c r="AE8" s="108">
        <v>1.05</v>
      </c>
      <c r="AF8" s="108">
        <v>1</v>
      </c>
      <c r="AG8" s="108">
        <v>1</v>
      </c>
      <c r="AH8" s="108">
        <v>1.2</v>
      </c>
      <c r="AI8" s="108">
        <v>1.1000000000000001</v>
      </c>
      <c r="AK8" s="197">
        <v>0.11131147540983601</v>
      </c>
    </row>
    <row r="9" spans="1:37" ht="24" customHeight="1">
      <c r="A9" s="330">
        <v>77572</v>
      </c>
      <c r="B9" s="331" t="s">
        <v>529</v>
      </c>
      <c r="C9" s="88"/>
      <c r="D9" s="292">
        <v>5</v>
      </c>
      <c r="E9" s="293" t="s">
        <v>98</v>
      </c>
      <c r="F9" s="432" t="s">
        <v>687</v>
      </c>
      <c r="G9" s="433" t="s">
        <v>103</v>
      </c>
      <c r="H9" s="434" t="s">
        <v>98</v>
      </c>
      <c r="I9" s="434" t="s">
        <v>98</v>
      </c>
      <c r="J9" s="94">
        <v>0</v>
      </c>
      <c r="K9" s="433" t="s">
        <v>104</v>
      </c>
      <c r="L9" s="435">
        <v>6.4831475409836095E-2</v>
      </c>
      <c r="M9" s="95">
        <v>1</v>
      </c>
      <c r="N9" s="96">
        <v>2.0674560847849177</v>
      </c>
      <c r="O9" s="432" t="s">
        <v>3135</v>
      </c>
      <c r="Q9" s="77" t="s">
        <v>1561</v>
      </c>
      <c r="R9" s="77"/>
      <c r="S9" s="339">
        <v>2</v>
      </c>
      <c r="T9" s="339">
        <v>3</v>
      </c>
      <c r="U9" s="339">
        <v>1</v>
      </c>
      <c r="V9" s="339">
        <v>1</v>
      </c>
      <c r="W9" s="339">
        <v>3</v>
      </c>
      <c r="X9" s="339">
        <v>4</v>
      </c>
      <c r="Y9" s="104">
        <v>5</v>
      </c>
      <c r="Z9" s="104">
        <v>2</v>
      </c>
      <c r="AA9" s="107">
        <v>1.2423359171267643</v>
      </c>
      <c r="AB9" s="107">
        <v>2.0674560847849177</v>
      </c>
      <c r="AC9" s="107" t="s">
        <v>3136</v>
      </c>
      <c r="AD9" s="108">
        <v>1.05</v>
      </c>
      <c r="AE9" s="108">
        <v>1.05</v>
      </c>
      <c r="AF9" s="108">
        <v>1</v>
      </c>
      <c r="AG9" s="108">
        <v>1</v>
      </c>
      <c r="AH9" s="108">
        <v>1.2</v>
      </c>
      <c r="AI9" s="108">
        <v>1.1000000000000001</v>
      </c>
      <c r="AK9" s="197">
        <v>6.4831475409836095E-2</v>
      </c>
    </row>
    <row r="10" spans="1:37" ht="24" customHeight="1">
      <c r="A10" s="330">
        <v>269487</v>
      </c>
      <c r="B10" s="331" t="s">
        <v>529</v>
      </c>
      <c r="C10" s="88"/>
      <c r="D10" s="292">
        <v>5</v>
      </c>
      <c r="E10" s="293" t="s">
        <v>98</v>
      </c>
      <c r="F10" s="432" t="s">
        <v>1219</v>
      </c>
      <c r="G10" s="433" t="s">
        <v>103</v>
      </c>
      <c r="H10" s="434" t="s">
        <v>98</v>
      </c>
      <c r="I10" s="434" t="s">
        <v>98</v>
      </c>
      <c r="J10" s="94">
        <v>0</v>
      </c>
      <c r="K10" s="433" t="s">
        <v>96</v>
      </c>
      <c r="L10" s="435">
        <v>0.146902950819672</v>
      </c>
      <c r="M10" s="95">
        <v>1</v>
      </c>
      <c r="N10" s="96">
        <v>1.2490845559868966</v>
      </c>
      <c r="O10" s="432" t="s">
        <v>3135</v>
      </c>
      <c r="Q10" s="77" t="s">
        <v>1561</v>
      </c>
      <c r="R10" s="77"/>
      <c r="S10" s="339">
        <v>2</v>
      </c>
      <c r="T10" s="339">
        <v>3</v>
      </c>
      <c r="U10" s="339">
        <v>1</v>
      </c>
      <c r="V10" s="339">
        <v>1</v>
      </c>
      <c r="W10" s="339">
        <v>3</v>
      </c>
      <c r="X10" s="339">
        <v>4</v>
      </c>
      <c r="Y10" s="104">
        <v>6</v>
      </c>
      <c r="Z10" s="104">
        <v>1.05</v>
      </c>
      <c r="AA10" s="107">
        <v>1.2423359171267643</v>
      </c>
      <c r="AB10" s="107">
        <v>1.2490845559868966</v>
      </c>
      <c r="AC10" s="107" t="s">
        <v>3136</v>
      </c>
      <c r="AD10" s="108">
        <v>1.05</v>
      </c>
      <c r="AE10" s="108">
        <v>1.05</v>
      </c>
      <c r="AF10" s="108">
        <v>1</v>
      </c>
      <c r="AG10" s="108">
        <v>1</v>
      </c>
      <c r="AH10" s="108">
        <v>1.2</v>
      </c>
      <c r="AI10" s="108">
        <v>1.1000000000000001</v>
      </c>
      <c r="AK10" s="197">
        <v>0.146902950819672</v>
      </c>
    </row>
    <row r="11" spans="1:37" ht="24" customHeight="1">
      <c r="A11" s="330">
        <v>268985</v>
      </c>
      <c r="B11" s="331" t="s">
        <v>529</v>
      </c>
      <c r="C11" s="88"/>
      <c r="D11" s="292">
        <v>5</v>
      </c>
      <c r="E11" s="293" t="s">
        <v>98</v>
      </c>
      <c r="F11" s="432" t="s">
        <v>1299</v>
      </c>
      <c r="G11" s="433" t="s">
        <v>103</v>
      </c>
      <c r="H11" s="434" t="s">
        <v>98</v>
      </c>
      <c r="I11" s="434" t="s">
        <v>98</v>
      </c>
      <c r="J11" s="94">
        <v>0</v>
      </c>
      <c r="K11" s="433" t="s">
        <v>96</v>
      </c>
      <c r="L11" s="435">
        <v>2.56524590163934E-2</v>
      </c>
      <c r="M11" s="95">
        <v>1</v>
      </c>
      <c r="N11" s="96">
        <v>1.2490845559868966</v>
      </c>
      <c r="O11" s="432" t="s">
        <v>3135</v>
      </c>
      <c r="Q11" s="77" t="s">
        <v>1561</v>
      </c>
      <c r="R11" s="77"/>
      <c r="S11" s="339">
        <v>2</v>
      </c>
      <c r="T11" s="339">
        <v>3</v>
      </c>
      <c r="U11" s="339">
        <v>1</v>
      </c>
      <c r="V11" s="339">
        <v>1</v>
      </c>
      <c r="W11" s="339">
        <v>3</v>
      </c>
      <c r="X11" s="339">
        <v>4</v>
      </c>
      <c r="Y11" s="104">
        <v>6</v>
      </c>
      <c r="Z11" s="104">
        <v>1.05</v>
      </c>
      <c r="AA11" s="107">
        <v>1.2423359171267643</v>
      </c>
      <c r="AB11" s="107">
        <v>1.2490845559868966</v>
      </c>
      <c r="AC11" s="107" t="s">
        <v>3136</v>
      </c>
      <c r="AD11" s="108">
        <v>1.05</v>
      </c>
      <c r="AE11" s="108">
        <v>1.05</v>
      </c>
      <c r="AF11" s="108">
        <v>1</v>
      </c>
      <c r="AG11" s="108">
        <v>1</v>
      </c>
      <c r="AH11" s="108">
        <v>1.2</v>
      </c>
      <c r="AI11" s="108">
        <v>1.1000000000000001</v>
      </c>
      <c r="AK11" s="197">
        <v>2.56524590163934E-2</v>
      </c>
    </row>
    <row r="12" spans="1:37" ht="24" customHeight="1">
      <c r="A12" s="330">
        <v>264253</v>
      </c>
      <c r="B12" s="331" t="s">
        <v>529</v>
      </c>
      <c r="C12" s="88"/>
      <c r="D12" s="292">
        <v>5</v>
      </c>
      <c r="E12" s="293" t="s">
        <v>98</v>
      </c>
      <c r="F12" s="432" t="s">
        <v>1562</v>
      </c>
      <c r="G12" s="433" t="s">
        <v>93</v>
      </c>
      <c r="H12" s="434" t="s">
        <v>98</v>
      </c>
      <c r="I12" s="434" t="s">
        <v>98</v>
      </c>
      <c r="J12" s="94">
        <v>0</v>
      </c>
      <c r="K12" s="433" t="s">
        <v>115</v>
      </c>
      <c r="L12" s="435">
        <v>0.1</v>
      </c>
      <c r="M12" s="95">
        <v>1</v>
      </c>
      <c r="N12" s="96">
        <v>2.0949941301068096</v>
      </c>
      <c r="O12" s="432" t="s">
        <v>3137</v>
      </c>
      <c r="Q12" s="77" t="s">
        <v>3073</v>
      </c>
      <c r="R12" s="77" t="s">
        <v>1563</v>
      </c>
      <c r="S12" s="339">
        <v>4</v>
      </c>
      <c r="T12" s="339">
        <v>5</v>
      </c>
      <c r="U12" s="339" t="s">
        <v>106</v>
      </c>
      <c r="V12" s="339" t="s">
        <v>106</v>
      </c>
      <c r="W12" s="339" t="s">
        <v>106</v>
      </c>
      <c r="X12" s="339" t="s">
        <v>106</v>
      </c>
      <c r="Y12" s="104">
        <v>5</v>
      </c>
      <c r="Z12" s="104">
        <v>2</v>
      </c>
      <c r="AA12" s="107">
        <v>1.2941338353151037</v>
      </c>
      <c r="AB12" s="107">
        <v>2.0949941301068096</v>
      </c>
      <c r="AC12" s="107" t="s">
        <v>274</v>
      </c>
      <c r="AD12" s="108">
        <v>1.2</v>
      </c>
      <c r="AE12" s="108">
        <v>1.2</v>
      </c>
      <c r="AF12" s="108">
        <v>1</v>
      </c>
      <c r="AG12" s="108">
        <v>1</v>
      </c>
      <c r="AH12" s="108">
        <v>1</v>
      </c>
      <c r="AI12" s="108">
        <v>1</v>
      </c>
      <c r="AK12" s="197"/>
    </row>
    <row r="13" spans="1:37" ht="24" customHeight="1">
      <c r="A13" s="330">
        <v>269641</v>
      </c>
      <c r="B13" s="331" t="s">
        <v>529</v>
      </c>
      <c r="C13" s="88"/>
      <c r="D13" s="292">
        <v>5</v>
      </c>
      <c r="E13" s="293" t="s">
        <v>98</v>
      </c>
      <c r="F13" s="432" t="s">
        <v>240</v>
      </c>
      <c r="G13" s="433" t="s">
        <v>93</v>
      </c>
      <c r="H13" s="434" t="s">
        <v>98</v>
      </c>
      <c r="I13" s="434" t="s">
        <v>98</v>
      </c>
      <c r="J13" s="94">
        <v>0</v>
      </c>
      <c r="K13" s="433" t="s">
        <v>115</v>
      </c>
      <c r="L13" s="435">
        <v>0.4</v>
      </c>
      <c r="M13" s="95">
        <v>1</v>
      </c>
      <c r="N13" s="96">
        <v>2.0949941301068096</v>
      </c>
      <c r="O13" s="432" t="s">
        <v>3138</v>
      </c>
      <c r="Q13" s="77" t="s">
        <v>3075</v>
      </c>
      <c r="R13" s="77" t="s">
        <v>1563</v>
      </c>
      <c r="S13" s="339">
        <v>4</v>
      </c>
      <c r="T13" s="339">
        <v>5</v>
      </c>
      <c r="U13" s="339" t="s">
        <v>106</v>
      </c>
      <c r="V13" s="339" t="s">
        <v>106</v>
      </c>
      <c r="W13" s="339" t="s">
        <v>106</v>
      </c>
      <c r="X13" s="339" t="s">
        <v>106</v>
      </c>
      <c r="Y13" s="104">
        <v>5</v>
      </c>
      <c r="Z13" s="104">
        <v>2</v>
      </c>
      <c r="AA13" s="107">
        <v>1.2941338353151037</v>
      </c>
      <c r="AB13" s="107">
        <v>2.0949941301068096</v>
      </c>
      <c r="AC13" s="107" t="s">
        <v>274</v>
      </c>
      <c r="AD13" s="108">
        <v>1.2</v>
      </c>
      <c r="AE13" s="108">
        <v>1.2</v>
      </c>
      <c r="AF13" s="108">
        <v>1</v>
      </c>
      <c r="AG13" s="108">
        <v>1</v>
      </c>
      <c r="AH13" s="108">
        <v>1</v>
      </c>
      <c r="AI13" s="108">
        <v>1</v>
      </c>
      <c r="AK13" s="197"/>
    </row>
    <row r="14" spans="1:37">
      <c r="V14" s="378"/>
      <c r="W14" s="378"/>
      <c r="X14" s="378"/>
      <c r="Y14" s="378"/>
    </row>
  </sheetData>
  <mergeCells count="1">
    <mergeCell ref="S1:X1"/>
  </mergeCells>
  <conditionalFormatting sqref="D8:O13 Q8:X13">
    <cfRule type="expression" dxfId="141" priority="1">
      <formula>MOD(ROW(),2)=0</formula>
    </cfRule>
  </conditionalFormatting>
  <conditionalFormatting sqref="S11:X12">
    <cfRule type="expression" dxfId="140" priority="3">
      <formula>MOD(ROW(),2)=0</formula>
    </cfRule>
  </conditionalFormatting>
  <conditionalFormatting sqref="Y8:AI13">
    <cfRule type="expression" dxfId="139" priority="2">
      <formula>MOD(ROW(),2)=0</formula>
    </cfRule>
  </conditionalFormatting>
  <dataValidations xWindow="725" yWindow="769" count="29">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14:IP14" xr:uid="{00000000-0002-0000-3700-000000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13" xr:uid="{00000000-0002-0000-3700-000001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3" xr:uid="{00000000-0002-0000-3700-000002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3" xr:uid="{00000000-0002-0000-3700-000003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3" xr:uid="{00000000-0002-0000-3700-000004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3" xr:uid="{00000000-0002-0000-3700-000005000000}"/>
    <dataValidation allowBlank="1" showInputMessage="1" showErrorMessage="1" promptTitle="Do not change" prompt="This field is automatically updated from the names-list" sqref="Y8:Y13" xr:uid="{00000000-0002-0000-3700-000006000000}"/>
    <dataValidation allowBlank="1" showInputMessage="1" showErrorMessage="1" promptTitle="Do not change" prompt="This field is automatically calculated from your inputs." sqref="Z8:AI13" xr:uid="{00000000-0002-0000-3700-000007000000}"/>
    <dataValidation allowBlank="1" showInputMessage="1" showErrorMessage="1" prompt="Mean amount of elementary flow or intermediate product flow. Enter your values (or the respective equation) here." sqref="L8:L13" xr:uid="{00000000-0002-0000-3700-000008000000}"/>
    <dataValidation allowBlank="1" showInputMessage="1" showErrorMessage="1" prompt="always 1" sqref="L7" xr:uid="{00000000-0002-0000-3700-000009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700-00000A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700-00000B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S3 S8:S13" xr:uid="{00000000-0002-0000-3700-00000C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X3 X8:X13" xr:uid="{00000000-0002-0000-3700-00000D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W3 W8:W13" xr:uid="{00000000-0002-0000-3700-00000E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V3 V8:V13" xr:uid="{00000000-0002-0000-3700-00000F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U3 U8:U13" xr:uid="{00000000-0002-0000-3700-000010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T3 T8:T13" xr:uid="{00000000-0002-0000-3700-000011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3" xr:uid="{00000000-0002-0000-3700-00001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700-000013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3" xr:uid="{00000000-0002-0000-3700-000014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700-000015000000}"/>
    <dataValidation allowBlank="1" showInputMessage="1" showErrorMessage="1" promptTitle="Name" prompt="Name of the exchange (elementary flow or intermediate product flow) in English language. " sqref="F2:F3" xr:uid="{00000000-0002-0000-3700-000016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700-000017000000}"/>
    <dataValidation allowBlank="1" showInputMessage="1" showErrorMessage="1" promptTitle="Unit" prompt="Unit of the exchange (elementary flow or intermediate product flow)." sqref="F6 K2:K3" xr:uid="{00000000-0002-0000-3700-000018000000}"/>
    <dataValidation allowBlank="1" showInputMessage="1" showErrorMessage="1" prompt="This cell is automatically updated from the names List according to the index number in L1. It needs to be identical to the output product." sqref="L3:L6" xr:uid="{00000000-0002-0000-3700-000019000000}"/>
    <dataValidation allowBlank="1" showInputMessage="1" showErrorMessage="1" prompt="Do not change." sqref="Y3:AI4 AA7:AI7" xr:uid="{00000000-0002-0000-3700-00001A000000}"/>
    <dataValidation allowBlank="1" showInputMessage="1" showErrorMessage="1" promptTitle="Remarks" prompt="A general comment (data source, calculation procedure, ...) can be made about each individual exchange. The remarks are added to the GeneralComment-field." sqref="Q3:R3 Q8:R13" xr:uid="{00000000-0002-0000-3700-00001B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700-00001C000000}"/>
  </dataValidations>
  <printOptions horizontalCentered="1" verticalCentered="1"/>
  <pageMargins left="0.78740157480314965" right="0.78740157480314965" top="0.98425196850393704" bottom="0.98425196850393704" header="0.51181102362204722" footer="0.51181102362204722"/>
  <pageSetup paperSize="9" scale="38" orientation="landscape" r:id="rId1"/>
  <headerFooter alignWithMargins="0">
    <oddHeader>&amp;L&amp;C&amp;R</oddHeader>
    <oddFooter>&amp;L&amp;D&amp;C&amp;F&amp;RSeite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40">
    <tabColor rgb="FF9CD9F0"/>
    <pageSetUpPr fitToPage="1"/>
  </sheetPr>
  <dimension ref="A1:AK18"/>
  <sheetViews>
    <sheetView topLeftCell="A14" workbookViewId="0">
      <selection activeCell="A19" sqref="A19:XFD70"/>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 style="116" customWidth="1" collapsed="1"/>
    <col min="17" max="17" width="40.7109375" style="407" customWidth="1"/>
    <col min="18" max="18" width="30.7109375" style="407" customWidth="1"/>
    <col min="19" max="19" width="4.140625" style="407" hidden="1" customWidth="1" outlineLevel="1"/>
    <col min="20" max="20" width="4.42578125" style="407" hidden="1" customWidth="1" outlineLevel="1"/>
    <col min="21" max="21" width="4.28515625" style="407" hidden="1" customWidth="1" outlineLevel="1"/>
    <col min="22" max="22" width="4" style="407" hidden="1" customWidth="1" outlineLevel="1"/>
    <col min="23" max="23" width="3.7109375" style="407" hidden="1" customWidth="1" outlineLevel="1"/>
    <col min="24" max="24" width="4.28515625" style="407" hidden="1" customWidth="1" outlineLevel="1"/>
    <col min="25" max="25" width="3.42578125" style="407" hidden="1" customWidth="1" outlineLevel="1"/>
    <col min="26" max="26" width="4.7109375" style="378" hidden="1" customWidth="1" outlineLevel="1"/>
    <col min="27" max="28" width="5.42578125" style="378" hidden="1" customWidth="1" outlineLevel="1"/>
    <col min="29" max="29" width="14.85546875" style="378" hidden="1" customWidth="1" outlineLevel="1"/>
    <col min="30" max="35" width="4.42578125" style="378" hidden="1" customWidth="1" outlineLevel="1"/>
    <col min="36" max="36" width="11.42578125" style="378" customWidth="1" collapsed="1"/>
    <col min="37" max="37" width="11.42578125" style="378" customWidth="1"/>
    <col min="38" max="16384" width="11.42578125" style="378"/>
  </cols>
  <sheetData>
    <row r="1" spans="1:37">
      <c r="A1" s="77"/>
      <c r="B1" s="78"/>
      <c r="C1" s="79"/>
      <c r="D1" s="77"/>
      <c r="E1" s="77"/>
      <c r="F1" s="80" t="s">
        <v>65</v>
      </c>
      <c r="G1" s="77"/>
      <c r="H1" s="77"/>
      <c r="I1" s="77"/>
      <c r="J1" s="77"/>
      <c r="K1" s="77"/>
      <c r="L1" s="330">
        <v>259923</v>
      </c>
      <c r="M1" s="81"/>
      <c r="N1" s="81"/>
      <c r="O1" s="81"/>
      <c r="Q1" s="378"/>
      <c r="R1" s="378"/>
      <c r="S1" s="1586"/>
      <c r="T1" s="1581"/>
      <c r="U1" s="1581"/>
      <c r="V1" s="1581"/>
      <c r="W1" s="1581"/>
      <c r="X1" s="1581"/>
      <c r="Y1" s="406"/>
      <c r="Z1" s="406"/>
      <c r="AA1" s="406"/>
      <c r="AB1" s="406"/>
      <c r="AC1" s="406"/>
    </row>
    <row r="2" spans="1:37">
      <c r="A2" s="77"/>
      <c r="B2" s="82"/>
      <c r="C2" s="79" t="s">
        <v>67</v>
      </c>
      <c r="D2" s="82">
        <v>3503</v>
      </c>
      <c r="E2" s="82">
        <v>3504</v>
      </c>
      <c r="F2" s="82">
        <v>3702</v>
      </c>
      <c r="G2" s="82">
        <v>3703</v>
      </c>
      <c r="H2" s="82">
        <v>3506</v>
      </c>
      <c r="I2" s="82">
        <v>3507</v>
      </c>
      <c r="J2" s="82">
        <v>3508</v>
      </c>
      <c r="K2" s="82">
        <v>3706</v>
      </c>
      <c r="L2" s="82">
        <v>3707</v>
      </c>
      <c r="M2" s="419">
        <v>3708</v>
      </c>
      <c r="N2" s="419">
        <v>3709</v>
      </c>
      <c r="O2" s="420">
        <v>3792</v>
      </c>
      <c r="Q2" s="406"/>
      <c r="R2" s="406"/>
      <c r="S2" s="406"/>
      <c r="T2" s="406"/>
      <c r="U2" s="406"/>
      <c r="V2" s="406"/>
      <c r="W2" s="406"/>
      <c r="X2" s="406"/>
      <c r="Y2" s="406"/>
    </row>
    <row r="3" spans="1:37" ht="102" customHeight="1">
      <c r="A3" s="83" t="s">
        <v>68</v>
      </c>
      <c r="B3" s="84"/>
      <c r="C3" s="82">
        <v>401</v>
      </c>
      <c r="D3" s="85" t="s">
        <v>69</v>
      </c>
      <c r="E3" s="85" t="s">
        <v>70</v>
      </c>
      <c r="F3" s="86" t="s">
        <v>71</v>
      </c>
      <c r="G3" s="85" t="s">
        <v>72</v>
      </c>
      <c r="H3" s="85" t="s">
        <v>73</v>
      </c>
      <c r="I3" s="85" t="s">
        <v>74</v>
      </c>
      <c r="J3" s="85" t="s">
        <v>75</v>
      </c>
      <c r="K3" s="85" t="s">
        <v>76</v>
      </c>
      <c r="L3" s="87" t="s">
        <v>1564</v>
      </c>
      <c r="M3" s="422" t="s">
        <v>78</v>
      </c>
      <c r="N3" s="422" t="s">
        <v>79</v>
      </c>
      <c r="O3" s="423" t="s">
        <v>80</v>
      </c>
      <c r="Q3" s="106" t="s">
        <v>81</v>
      </c>
      <c r="R3" s="106" t="s">
        <v>253</v>
      </c>
      <c r="S3" s="98" t="s">
        <v>364</v>
      </c>
      <c r="T3" s="98" t="s">
        <v>365</v>
      </c>
      <c r="U3" s="98" t="s">
        <v>366</v>
      </c>
      <c r="V3" s="98" t="s">
        <v>367</v>
      </c>
      <c r="W3" s="98" t="s">
        <v>368</v>
      </c>
      <c r="X3" s="98" t="s">
        <v>369</v>
      </c>
      <c r="Y3" s="99" t="s">
        <v>88</v>
      </c>
      <c r="Z3" s="99" t="s">
        <v>370</v>
      </c>
      <c r="AA3" s="99" t="s">
        <v>90</v>
      </c>
      <c r="AB3" s="99" t="s">
        <v>91</v>
      </c>
      <c r="AC3" s="99" t="s">
        <v>371</v>
      </c>
      <c r="AD3" s="100" t="s">
        <v>364</v>
      </c>
      <c r="AE3" s="100" t="s">
        <v>365</v>
      </c>
      <c r="AF3" s="100" t="s">
        <v>366</v>
      </c>
      <c r="AG3" s="100" t="s">
        <v>367</v>
      </c>
      <c r="AH3" s="100" t="s">
        <v>368</v>
      </c>
      <c r="AI3" s="100" t="s">
        <v>369</v>
      </c>
      <c r="AK3" s="86" t="s">
        <v>1560</v>
      </c>
    </row>
    <row r="4" spans="1:37" ht="12" customHeight="1">
      <c r="A4" s="77"/>
      <c r="B4" s="84"/>
      <c r="C4" s="82">
        <v>662</v>
      </c>
      <c r="D4" s="86"/>
      <c r="E4" s="86"/>
      <c r="F4" s="86" t="s">
        <v>72</v>
      </c>
      <c r="G4" s="86"/>
      <c r="H4" s="86"/>
      <c r="I4" s="86"/>
      <c r="J4" s="86"/>
      <c r="K4" s="86"/>
      <c r="L4" s="87" t="s">
        <v>93</v>
      </c>
      <c r="M4" s="488"/>
      <c r="N4" s="488"/>
      <c r="O4" s="454"/>
      <c r="Q4" s="164"/>
      <c r="R4" s="164"/>
      <c r="S4" s="102" t="s">
        <v>94</v>
      </c>
      <c r="T4" s="97"/>
      <c r="U4" s="97"/>
      <c r="V4" s="97"/>
      <c r="W4" s="97"/>
      <c r="X4" s="97"/>
      <c r="Y4" s="103"/>
      <c r="Z4" s="103"/>
      <c r="AA4" s="103" t="s">
        <v>95</v>
      </c>
      <c r="AB4" s="103" t="s">
        <v>95</v>
      </c>
      <c r="AC4" s="104"/>
      <c r="AD4" s="105"/>
      <c r="AE4" s="105"/>
      <c r="AF4" s="105"/>
      <c r="AG4" s="105"/>
      <c r="AH4" s="105"/>
      <c r="AI4" s="105"/>
      <c r="AK4" s="406" t="s">
        <v>93</v>
      </c>
    </row>
    <row r="5" spans="1:37" ht="12" customHeight="1">
      <c r="A5" s="77"/>
      <c r="B5" s="84"/>
      <c r="C5" s="82">
        <v>493</v>
      </c>
      <c r="D5" s="86"/>
      <c r="E5" s="86"/>
      <c r="F5" s="86" t="s">
        <v>75</v>
      </c>
      <c r="G5" s="86"/>
      <c r="H5" s="86"/>
      <c r="I5" s="86"/>
      <c r="J5" s="86"/>
      <c r="K5" s="86"/>
      <c r="L5" s="87">
        <v>0</v>
      </c>
      <c r="M5" s="488"/>
      <c r="N5" s="488"/>
      <c r="O5" s="454"/>
      <c r="Q5" s="164"/>
      <c r="R5" s="164"/>
      <c r="S5" s="97"/>
      <c r="T5" s="97"/>
      <c r="U5" s="97"/>
      <c r="V5" s="97"/>
      <c r="W5" s="97"/>
      <c r="X5" s="97"/>
      <c r="Y5" s="104"/>
      <c r="Z5" s="104"/>
      <c r="AA5" s="104"/>
      <c r="AB5" s="104"/>
      <c r="AC5" s="104"/>
      <c r="AD5" s="105"/>
      <c r="AE5" s="105"/>
      <c r="AF5" s="105"/>
      <c r="AG5" s="105"/>
      <c r="AH5" s="105"/>
      <c r="AI5" s="105"/>
      <c r="AK5" s="406"/>
    </row>
    <row r="6" spans="1:37" ht="12" customHeight="1">
      <c r="A6" s="77"/>
      <c r="B6" s="84"/>
      <c r="C6" s="82">
        <v>403</v>
      </c>
      <c r="D6" s="86"/>
      <c r="E6" s="86"/>
      <c r="F6" s="86" t="s">
        <v>76</v>
      </c>
      <c r="G6" s="86"/>
      <c r="H6" s="86"/>
      <c r="I6" s="86"/>
      <c r="J6" s="86"/>
      <c r="K6" s="86"/>
      <c r="L6" s="87" t="s">
        <v>96</v>
      </c>
      <c r="M6" s="488"/>
      <c r="N6" s="488"/>
      <c r="O6" s="454"/>
      <c r="Q6" s="164"/>
      <c r="R6" s="164"/>
      <c r="S6" s="106"/>
      <c r="T6" s="106"/>
      <c r="U6" s="106"/>
      <c r="V6" s="106"/>
      <c r="W6" s="106"/>
      <c r="X6" s="106"/>
      <c r="Y6" s="104"/>
      <c r="Z6" s="104"/>
      <c r="AA6" s="428"/>
      <c r="AB6" s="428"/>
      <c r="AC6" s="107"/>
      <c r="AD6" s="105"/>
      <c r="AE6" s="105"/>
      <c r="AF6" s="105"/>
      <c r="AG6" s="105"/>
      <c r="AH6" s="105"/>
      <c r="AI6" s="105"/>
      <c r="AK6" s="406" t="s">
        <v>96</v>
      </c>
    </row>
    <row r="7" spans="1:37" ht="24" customHeight="1">
      <c r="A7" s="330">
        <v>259923</v>
      </c>
      <c r="B7" s="331" t="s">
        <v>97</v>
      </c>
      <c r="C7" s="228"/>
      <c r="D7" s="294" t="s">
        <v>98</v>
      </c>
      <c r="E7" s="294">
        <v>0</v>
      </c>
      <c r="F7" s="429" t="s">
        <v>1564</v>
      </c>
      <c r="G7" s="489" t="s">
        <v>93</v>
      </c>
      <c r="H7" s="490" t="s">
        <v>98</v>
      </c>
      <c r="I7" s="490" t="s">
        <v>98</v>
      </c>
      <c r="J7" s="229">
        <v>0</v>
      </c>
      <c r="K7" s="489" t="s">
        <v>96</v>
      </c>
      <c r="L7" s="230">
        <v>1</v>
      </c>
      <c r="M7" s="231"/>
      <c r="N7" s="232"/>
      <c r="O7" s="206"/>
      <c r="Q7" s="164"/>
      <c r="R7" s="164"/>
      <c r="S7" s="97"/>
      <c r="T7" s="97"/>
      <c r="U7" s="97"/>
      <c r="V7" s="97"/>
      <c r="W7" s="97"/>
      <c r="X7" s="97"/>
      <c r="Y7" s="104"/>
      <c r="Z7" s="104"/>
      <c r="AA7" s="104"/>
      <c r="AB7" s="104"/>
      <c r="AC7" s="104"/>
      <c r="AD7" s="104"/>
      <c r="AE7" s="104"/>
      <c r="AF7" s="104"/>
      <c r="AG7" s="104"/>
      <c r="AH7" s="104"/>
      <c r="AI7" s="104"/>
    </row>
    <row r="8" spans="1:37" ht="36" customHeight="1">
      <c r="A8" s="330">
        <v>269447</v>
      </c>
      <c r="B8" s="331" t="s">
        <v>221</v>
      </c>
      <c r="C8" s="228"/>
      <c r="D8" s="233">
        <v>5</v>
      </c>
      <c r="E8" s="341" t="s">
        <v>98</v>
      </c>
      <c r="F8" s="432" t="s">
        <v>228</v>
      </c>
      <c r="G8" s="491" t="s">
        <v>103</v>
      </c>
      <c r="H8" s="492" t="s">
        <v>98</v>
      </c>
      <c r="I8" s="492" t="s">
        <v>98</v>
      </c>
      <c r="J8" s="234">
        <v>0</v>
      </c>
      <c r="K8" s="491" t="s">
        <v>104</v>
      </c>
      <c r="L8" s="493">
        <v>0.662196721311475</v>
      </c>
      <c r="M8" s="235">
        <v>1</v>
      </c>
      <c r="N8" s="236">
        <v>1.2490845559868966</v>
      </c>
      <c r="O8" s="432" t="s">
        <v>3139</v>
      </c>
      <c r="Q8" s="216" t="s">
        <v>1565</v>
      </c>
      <c r="R8" s="216" t="s">
        <v>1566</v>
      </c>
      <c r="S8" s="339">
        <v>2</v>
      </c>
      <c r="T8" s="339">
        <v>3</v>
      </c>
      <c r="U8" s="339">
        <v>1</v>
      </c>
      <c r="V8" s="339">
        <v>1</v>
      </c>
      <c r="W8" s="339">
        <v>3</v>
      </c>
      <c r="X8" s="339">
        <v>4</v>
      </c>
      <c r="Y8" s="104">
        <v>1</v>
      </c>
      <c r="Z8" s="104">
        <v>1.05</v>
      </c>
      <c r="AA8" s="107">
        <v>1.2423359171267643</v>
      </c>
      <c r="AB8" s="107">
        <v>1.2490845559868966</v>
      </c>
      <c r="AC8" s="107" t="s">
        <v>3136</v>
      </c>
      <c r="AD8" s="108">
        <v>1.05</v>
      </c>
      <c r="AE8" s="108">
        <v>1.05</v>
      </c>
      <c r="AF8" s="108">
        <v>1</v>
      </c>
      <c r="AG8" s="108">
        <v>1</v>
      </c>
      <c r="AH8" s="108">
        <v>1.2</v>
      </c>
      <c r="AI8" s="108">
        <v>1.1000000000000001</v>
      </c>
      <c r="AK8" s="197">
        <v>0.662196721311475</v>
      </c>
    </row>
    <row r="9" spans="1:37" ht="36" customHeight="1">
      <c r="A9" s="330">
        <v>269583</v>
      </c>
      <c r="B9" s="331" t="s">
        <v>529</v>
      </c>
      <c r="C9" s="228"/>
      <c r="D9" s="233">
        <v>5</v>
      </c>
      <c r="E9" s="341" t="s">
        <v>98</v>
      </c>
      <c r="F9" s="432" t="s">
        <v>227</v>
      </c>
      <c r="G9" s="491" t="s">
        <v>93</v>
      </c>
      <c r="H9" s="492" t="s">
        <v>98</v>
      </c>
      <c r="I9" s="492" t="s">
        <v>98</v>
      </c>
      <c r="J9" s="234">
        <v>0</v>
      </c>
      <c r="K9" s="491" t="s">
        <v>104</v>
      </c>
      <c r="L9" s="493">
        <v>-0.52779727475409799</v>
      </c>
      <c r="M9" s="235">
        <v>1</v>
      </c>
      <c r="N9" s="236">
        <v>1.1358476947699978</v>
      </c>
      <c r="O9" s="432" t="s">
        <v>3140</v>
      </c>
      <c r="Q9" s="216" t="s">
        <v>1565</v>
      </c>
      <c r="R9" s="216" t="s">
        <v>1567</v>
      </c>
      <c r="S9" s="339">
        <v>2</v>
      </c>
      <c r="T9" s="339">
        <v>4</v>
      </c>
      <c r="U9" s="339">
        <v>1</v>
      </c>
      <c r="V9" s="339">
        <v>1</v>
      </c>
      <c r="W9" s="339">
        <v>1</v>
      </c>
      <c r="X9" s="339">
        <v>3</v>
      </c>
      <c r="Y9" s="104">
        <v>1</v>
      </c>
      <c r="Z9" s="104">
        <v>1.05</v>
      </c>
      <c r="AA9" s="107">
        <v>1.1248669232235737</v>
      </c>
      <c r="AB9" s="107">
        <v>1.1358476947699978</v>
      </c>
      <c r="AC9" s="107" t="s">
        <v>3071</v>
      </c>
      <c r="AD9" s="108">
        <v>1.05</v>
      </c>
      <c r="AE9" s="108">
        <v>1.1000000000000001</v>
      </c>
      <c r="AF9" s="108">
        <v>1</v>
      </c>
      <c r="AG9" s="108">
        <v>1</v>
      </c>
      <c r="AH9" s="108">
        <v>1</v>
      </c>
      <c r="AI9" s="108">
        <v>1.05</v>
      </c>
      <c r="AK9" s="197">
        <v>0.662196721311475</v>
      </c>
    </row>
    <row r="10" spans="1:37" ht="36" customHeight="1">
      <c r="A10" s="330">
        <v>268503</v>
      </c>
      <c r="B10" s="331" t="s">
        <v>529</v>
      </c>
      <c r="C10" s="228"/>
      <c r="D10" s="233">
        <v>5</v>
      </c>
      <c r="E10" s="341" t="s">
        <v>98</v>
      </c>
      <c r="F10" s="432" t="s">
        <v>393</v>
      </c>
      <c r="G10" s="491" t="s">
        <v>340</v>
      </c>
      <c r="H10" s="492" t="s">
        <v>98</v>
      </c>
      <c r="I10" s="492" t="s">
        <v>98</v>
      </c>
      <c r="J10" s="234">
        <v>0</v>
      </c>
      <c r="K10" s="491" t="s">
        <v>96</v>
      </c>
      <c r="L10" s="493">
        <v>-0.34447473442622928</v>
      </c>
      <c r="M10" s="235">
        <v>1</v>
      </c>
      <c r="N10" s="236">
        <v>1.1358476947699978</v>
      </c>
      <c r="O10" s="432" t="s">
        <v>3140</v>
      </c>
      <c r="Q10" s="216" t="s">
        <v>1565</v>
      </c>
      <c r="R10" s="216" t="s">
        <v>1567</v>
      </c>
      <c r="S10" s="339">
        <v>2</v>
      </c>
      <c r="T10" s="339">
        <v>4</v>
      </c>
      <c r="U10" s="339">
        <v>1</v>
      </c>
      <c r="V10" s="339">
        <v>1</v>
      </c>
      <c r="W10" s="339">
        <v>1</v>
      </c>
      <c r="X10" s="339">
        <v>3</v>
      </c>
      <c r="Y10" s="104">
        <v>3</v>
      </c>
      <c r="Z10" s="104">
        <v>1.05</v>
      </c>
      <c r="AA10" s="107">
        <v>1.1248669232235737</v>
      </c>
      <c r="AB10" s="107">
        <v>1.1358476947699978</v>
      </c>
      <c r="AC10" s="107" t="s">
        <v>3071</v>
      </c>
      <c r="AD10" s="108">
        <v>1.05</v>
      </c>
      <c r="AE10" s="108">
        <v>1.1000000000000001</v>
      </c>
      <c r="AF10" s="108">
        <v>1</v>
      </c>
      <c r="AG10" s="108">
        <v>1</v>
      </c>
      <c r="AH10" s="108">
        <v>1</v>
      </c>
      <c r="AI10" s="108">
        <v>1.05</v>
      </c>
      <c r="AK10" s="197">
        <v>0.662196721311475</v>
      </c>
    </row>
    <row r="11" spans="1:37" ht="36" customHeight="1">
      <c r="A11" s="330">
        <v>269205</v>
      </c>
      <c r="B11" s="331" t="s">
        <v>529</v>
      </c>
      <c r="C11" s="228"/>
      <c r="D11" s="233">
        <v>5</v>
      </c>
      <c r="E11" s="341" t="s">
        <v>98</v>
      </c>
      <c r="F11" s="432" t="s">
        <v>1568</v>
      </c>
      <c r="G11" s="491" t="s">
        <v>93</v>
      </c>
      <c r="H11" s="492" t="s">
        <v>98</v>
      </c>
      <c r="I11" s="492" t="s">
        <v>98</v>
      </c>
      <c r="J11" s="234">
        <v>0</v>
      </c>
      <c r="K11" s="491" t="s">
        <v>96</v>
      </c>
      <c r="L11" s="493">
        <v>-0.136478744262295</v>
      </c>
      <c r="M11" s="235">
        <v>1</v>
      </c>
      <c r="N11" s="236">
        <v>1.1358476947699978</v>
      </c>
      <c r="O11" s="432" t="s">
        <v>3140</v>
      </c>
      <c r="Q11" s="216" t="s">
        <v>1565</v>
      </c>
      <c r="R11" s="216" t="s">
        <v>1567</v>
      </c>
      <c r="S11" s="339">
        <v>2</v>
      </c>
      <c r="T11" s="339">
        <v>4</v>
      </c>
      <c r="U11" s="339">
        <v>1</v>
      </c>
      <c r="V11" s="339">
        <v>1</v>
      </c>
      <c r="W11" s="339">
        <v>1</v>
      </c>
      <c r="X11" s="339">
        <v>3</v>
      </c>
      <c r="Y11" s="104">
        <v>3</v>
      </c>
      <c r="Z11" s="104">
        <v>1.05</v>
      </c>
      <c r="AA11" s="107">
        <v>1.1248669232235737</v>
      </c>
      <c r="AB11" s="107">
        <v>1.1358476947699978</v>
      </c>
      <c r="AC11" s="107" t="s">
        <v>3071</v>
      </c>
      <c r="AD11" s="108">
        <v>1.05</v>
      </c>
      <c r="AE11" s="108">
        <v>1.1000000000000001</v>
      </c>
      <c r="AF11" s="108">
        <v>1</v>
      </c>
      <c r="AG11" s="108">
        <v>1</v>
      </c>
      <c r="AH11" s="108">
        <v>1</v>
      </c>
      <c r="AI11" s="108">
        <v>1.05</v>
      </c>
      <c r="AK11" s="197">
        <v>0.662196721311475</v>
      </c>
    </row>
    <row r="12" spans="1:37" ht="36" customHeight="1">
      <c r="A12" s="330">
        <v>269203</v>
      </c>
      <c r="B12" s="331" t="s">
        <v>529</v>
      </c>
      <c r="C12" s="228"/>
      <c r="D12" s="233">
        <v>5</v>
      </c>
      <c r="E12" s="341" t="s">
        <v>98</v>
      </c>
      <c r="F12" s="432" t="s">
        <v>1569</v>
      </c>
      <c r="G12" s="491" t="s">
        <v>103</v>
      </c>
      <c r="H12" s="492" t="s">
        <v>98</v>
      </c>
      <c r="I12" s="492" t="s">
        <v>98</v>
      </c>
      <c r="J12" s="234">
        <v>0</v>
      </c>
      <c r="K12" s="491" t="s">
        <v>96</v>
      </c>
      <c r="L12" s="493">
        <v>-0.23839081967213102</v>
      </c>
      <c r="M12" s="235">
        <v>1</v>
      </c>
      <c r="N12" s="236">
        <v>1.1358476947699978</v>
      </c>
      <c r="O12" s="432" t="s">
        <v>3140</v>
      </c>
      <c r="Q12" s="216" t="s">
        <v>1565</v>
      </c>
      <c r="R12" s="216" t="s">
        <v>1567</v>
      </c>
      <c r="S12" s="339">
        <v>2</v>
      </c>
      <c r="T12" s="339">
        <v>4</v>
      </c>
      <c r="U12" s="339">
        <v>1</v>
      </c>
      <c r="V12" s="339">
        <v>1</v>
      </c>
      <c r="W12" s="339">
        <v>1</v>
      </c>
      <c r="X12" s="339">
        <v>3</v>
      </c>
      <c r="Y12" s="104">
        <v>3</v>
      </c>
      <c r="Z12" s="104">
        <v>1.05</v>
      </c>
      <c r="AA12" s="107">
        <v>1.1248669232235737</v>
      </c>
      <c r="AB12" s="107">
        <v>1.1358476947699978</v>
      </c>
      <c r="AC12" s="107" t="s">
        <v>3071</v>
      </c>
      <c r="AD12" s="108">
        <v>1.05</v>
      </c>
      <c r="AE12" s="108">
        <v>1.1000000000000001</v>
      </c>
      <c r="AF12" s="108">
        <v>1</v>
      </c>
      <c r="AG12" s="108">
        <v>1</v>
      </c>
      <c r="AH12" s="108">
        <v>1</v>
      </c>
      <c r="AI12" s="108">
        <v>1.05</v>
      </c>
      <c r="AK12" s="197">
        <v>0.662196721311475</v>
      </c>
    </row>
    <row r="13" spans="1:37" ht="48" customHeight="1">
      <c r="A13" s="330">
        <v>160379</v>
      </c>
      <c r="B13" s="331" t="s">
        <v>529</v>
      </c>
      <c r="C13" s="228"/>
      <c r="D13" s="233">
        <v>5</v>
      </c>
      <c r="E13" s="341" t="s">
        <v>98</v>
      </c>
      <c r="F13" s="432" t="s">
        <v>1174</v>
      </c>
      <c r="G13" s="491" t="s">
        <v>93</v>
      </c>
      <c r="H13" s="492" t="s">
        <v>98</v>
      </c>
      <c r="I13" s="492" t="s">
        <v>98</v>
      </c>
      <c r="J13" s="234">
        <v>0</v>
      </c>
      <c r="K13" s="491" t="s">
        <v>96</v>
      </c>
      <c r="L13" s="493">
        <v>-2.4817363934426226E-2</v>
      </c>
      <c r="M13" s="235">
        <v>1</v>
      </c>
      <c r="N13" s="236">
        <v>1.1358476947699978</v>
      </c>
      <c r="O13" s="432" t="s">
        <v>3141</v>
      </c>
      <c r="Q13" s="216" t="s">
        <v>1570</v>
      </c>
      <c r="R13" s="216" t="s">
        <v>1571</v>
      </c>
      <c r="S13" s="339">
        <v>2</v>
      </c>
      <c r="T13" s="339">
        <v>4</v>
      </c>
      <c r="U13" s="339">
        <v>1</v>
      </c>
      <c r="V13" s="339">
        <v>1</v>
      </c>
      <c r="W13" s="339">
        <v>1</v>
      </c>
      <c r="X13" s="339">
        <v>3</v>
      </c>
      <c r="Y13" s="104">
        <v>3</v>
      </c>
      <c r="Z13" s="104">
        <v>1.05</v>
      </c>
      <c r="AA13" s="107">
        <v>1.1248669232235737</v>
      </c>
      <c r="AB13" s="107">
        <v>1.1358476947699978</v>
      </c>
      <c r="AC13" s="107" t="s">
        <v>3071</v>
      </c>
      <c r="AD13" s="108">
        <v>1.05</v>
      </c>
      <c r="AE13" s="108">
        <v>1.1000000000000001</v>
      </c>
      <c r="AF13" s="108">
        <v>1</v>
      </c>
      <c r="AG13" s="108">
        <v>1</v>
      </c>
      <c r="AH13" s="108">
        <v>1</v>
      </c>
      <c r="AI13" s="108">
        <v>1.05</v>
      </c>
      <c r="AK13" s="197">
        <v>4.4316721311475397E-2</v>
      </c>
    </row>
    <row r="14" spans="1:37">
      <c r="A14" s="330">
        <v>265165</v>
      </c>
      <c r="B14" s="331" t="s">
        <v>529</v>
      </c>
      <c r="C14" s="228"/>
      <c r="D14" s="233">
        <v>5</v>
      </c>
      <c r="E14" s="341" t="s">
        <v>98</v>
      </c>
      <c r="F14" s="432" t="s">
        <v>1572</v>
      </c>
      <c r="G14" s="491" t="s">
        <v>93</v>
      </c>
      <c r="H14" s="492" t="s">
        <v>98</v>
      </c>
      <c r="I14" s="492" t="s">
        <v>98</v>
      </c>
      <c r="J14" s="234">
        <v>0</v>
      </c>
      <c r="K14" s="491" t="s">
        <v>96</v>
      </c>
      <c r="L14" s="493">
        <v>2.4817363934426226E-2</v>
      </c>
      <c r="M14" s="235">
        <v>1</v>
      </c>
      <c r="N14" s="236">
        <v>1.1358476947699978</v>
      </c>
      <c r="O14" s="432" t="s">
        <v>3142</v>
      </c>
      <c r="Q14" s="216" t="s">
        <v>1573</v>
      </c>
      <c r="R14" s="216"/>
      <c r="S14" s="339">
        <v>2</v>
      </c>
      <c r="T14" s="339">
        <v>4</v>
      </c>
      <c r="U14" s="339">
        <v>1</v>
      </c>
      <c r="V14" s="339">
        <v>1</v>
      </c>
      <c r="W14" s="339">
        <v>1</v>
      </c>
      <c r="X14" s="339">
        <v>3</v>
      </c>
      <c r="Y14" s="104">
        <v>3</v>
      </c>
      <c r="Z14" s="104">
        <v>1.05</v>
      </c>
      <c r="AA14" s="107">
        <v>1.1248669232235737</v>
      </c>
      <c r="AB14" s="107">
        <v>1.1358476947699978</v>
      </c>
      <c r="AC14" s="107" t="s">
        <v>3071</v>
      </c>
      <c r="AD14" s="108">
        <v>1.05</v>
      </c>
      <c r="AE14" s="108">
        <v>1.1000000000000001</v>
      </c>
      <c r="AF14" s="108">
        <v>1</v>
      </c>
      <c r="AG14" s="108">
        <v>1</v>
      </c>
      <c r="AH14" s="108">
        <v>1</v>
      </c>
      <c r="AI14" s="108">
        <v>1.05</v>
      </c>
      <c r="AK14" s="197"/>
    </row>
    <row r="15" spans="1:37" ht="48" customHeight="1">
      <c r="A15" s="330">
        <v>267502</v>
      </c>
      <c r="B15" s="331" t="s">
        <v>529</v>
      </c>
      <c r="C15" s="228"/>
      <c r="D15" s="233">
        <v>5</v>
      </c>
      <c r="E15" s="341" t="s">
        <v>98</v>
      </c>
      <c r="F15" s="432" t="s">
        <v>910</v>
      </c>
      <c r="G15" s="491" t="s">
        <v>93</v>
      </c>
      <c r="H15" s="492" t="s">
        <v>98</v>
      </c>
      <c r="I15" s="492" t="s">
        <v>98</v>
      </c>
      <c r="J15" s="234">
        <v>0</v>
      </c>
      <c r="K15" s="491" t="s">
        <v>96</v>
      </c>
      <c r="L15" s="493">
        <v>-5.3358450229508372E-2</v>
      </c>
      <c r="M15" s="235">
        <v>1</v>
      </c>
      <c r="N15" s="236">
        <v>1.1358476947699978</v>
      </c>
      <c r="O15" s="432" t="s">
        <v>3143</v>
      </c>
      <c r="Q15" s="216" t="s">
        <v>1574</v>
      </c>
      <c r="R15" s="216" t="s">
        <v>1571</v>
      </c>
      <c r="S15" s="339">
        <v>2</v>
      </c>
      <c r="T15" s="339">
        <v>4</v>
      </c>
      <c r="U15" s="339">
        <v>1</v>
      </c>
      <c r="V15" s="339">
        <v>1</v>
      </c>
      <c r="W15" s="339">
        <v>1</v>
      </c>
      <c r="X15" s="339">
        <v>3</v>
      </c>
      <c r="Y15" s="104">
        <v>3</v>
      </c>
      <c r="Z15" s="104">
        <v>1.05</v>
      </c>
      <c r="AA15" s="107">
        <v>1.1248669232235737</v>
      </c>
      <c r="AB15" s="107">
        <v>1.1358476947699978</v>
      </c>
      <c r="AC15" s="107" t="s">
        <v>3071</v>
      </c>
      <c r="AD15" s="108">
        <v>1.05</v>
      </c>
      <c r="AE15" s="108">
        <v>1.1000000000000001</v>
      </c>
      <c r="AF15" s="108">
        <v>1</v>
      </c>
      <c r="AG15" s="108">
        <v>1</v>
      </c>
      <c r="AH15" s="108">
        <v>1</v>
      </c>
      <c r="AI15" s="108">
        <v>1.05</v>
      </c>
      <c r="AK15" s="197">
        <v>0.120931147540984</v>
      </c>
    </row>
    <row r="16" spans="1:37" ht="24" customHeight="1">
      <c r="A16" s="330">
        <v>263889</v>
      </c>
      <c r="B16" s="331" t="s">
        <v>529</v>
      </c>
      <c r="C16" s="228"/>
      <c r="D16" s="233">
        <v>5</v>
      </c>
      <c r="E16" s="341" t="s">
        <v>98</v>
      </c>
      <c r="F16" s="432" t="s">
        <v>1575</v>
      </c>
      <c r="G16" s="491" t="s">
        <v>93</v>
      </c>
      <c r="H16" s="492" t="s">
        <v>98</v>
      </c>
      <c r="I16" s="492" t="s">
        <v>98</v>
      </c>
      <c r="J16" s="234">
        <v>0</v>
      </c>
      <c r="K16" s="491" t="s">
        <v>96</v>
      </c>
      <c r="L16" s="493">
        <v>5.3358450229508372E-2</v>
      </c>
      <c r="M16" s="235">
        <v>1</v>
      </c>
      <c r="N16" s="236">
        <v>1.1358476947699978</v>
      </c>
      <c r="O16" s="432" t="s">
        <v>3144</v>
      </c>
      <c r="Q16" s="216" t="s">
        <v>1576</v>
      </c>
      <c r="R16" s="216"/>
      <c r="S16" s="339">
        <v>2</v>
      </c>
      <c r="T16" s="339">
        <v>4</v>
      </c>
      <c r="U16" s="339">
        <v>1</v>
      </c>
      <c r="V16" s="339">
        <v>1</v>
      </c>
      <c r="W16" s="339">
        <v>1</v>
      </c>
      <c r="X16" s="339">
        <v>3</v>
      </c>
      <c r="Y16" s="104">
        <v>3</v>
      </c>
      <c r="Z16" s="104">
        <v>1.05</v>
      </c>
      <c r="AA16" s="107">
        <v>1.1248669232235737</v>
      </c>
      <c r="AB16" s="107">
        <v>1.1358476947699978</v>
      </c>
      <c r="AC16" s="107" t="s">
        <v>3071</v>
      </c>
      <c r="AD16" s="108">
        <v>1.05</v>
      </c>
      <c r="AE16" s="108">
        <v>1.1000000000000001</v>
      </c>
      <c r="AF16" s="108">
        <v>1</v>
      </c>
      <c r="AG16" s="108">
        <v>1</v>
      </c>
      <c r="AH16" s="108">
        <v>1</v>
      </c>
      <c r="AI16" s="108">
        <v>1.05</v>
      </c>
      <c r="AK16" s="197"/>
    </row>
    <row r="17" spans="1:37" ht="48" customHeight="1">
      <c r="A17" s="330">
        <v>90295</v>
      </c>
      <c r="B17" s="331" t="s">
        <v>1790</v>
      </c>
      <c r="C17" s="228"/>
      <c r="D17" s="233" t="s">
        <v>98</v>
      </c>
      <c r="E17" s="341">
        <v>4</v>
      </c>
      <c r="F17" s="432" t="s">
        <v>259</v>
      </c>
      <c r="G17" s="491" t="s">
        <v>98</v>
      </c>
      <c r="H17" s="492" t="s">
        <v>247</v>
      </c>
      <c r="I17" s="492" t="s">
        <v>248</v>
      </c>
      <c r="J17" s="234" t="s">
        <v>98</v>
      </c>
      <c r="K17" s="491" t="s">
        <v>96</v>
      </c>
      <c r="L17" s="493">
        <v>-0.12366523770491795</v>
      </c>
      <c r="M17" s="235">
        <v>1</v>
      </c>
      <c r="N17" s="236">
        <v>1.1358476947699978</v>
      </c>
      <c r="O17" s="432" t="s">
        <v>3140</v>
      </c>
      <c r="Q17" s="216" t="s">
        <v>1565</v>
      </c>
      <c r="R17" s="216" t="s">
        <v>1567</v>
      </c>
      <c r="S17" s="339">
        <v>2</v>
      </c>
      <c r="T17" s="339">
        <v>4</v>
      </c>
      <c r="U17" s="339">
        <v>1</v>
      </c>
      <c r="V17" s="339">
        <v>1</v>
      </c>
      <c r="W17" s="339">
        <v>1</v>
      </c>
      <c r="X17" s="339">
        <v>3</v>
      </c>
      <c r="Y17" s="104">
        <v>14</v>
      </c>
      <c r="Z17" s="104">
        <v>1.05</v>
      </c>
      <c r="AA17" s="107">
        <v>1.1248669232235737</v>
      </c>
      <c r="AB17" s="107">
        <v>1.1358476947699978</v>
      </c>
      <c r="AC17" s="107" t="s">
        <v>3071</v>
      </c>
      <c r="AD17" s="108">
        <v>1.05</v>
      </c>
      <c r="AE17" s="108">
        <v>1.1000000000000001</v>
      </c>
      <c r="AF17" s="108">
        <v>1</v>
      </c>
      <c r="AG17" s="108">
        <v>1</v>
      </c>
      <c r="AH17" s="108">
        <v>1</v>
      </c>
      <c r="AI17" s="108">
        <v>1.05</v>
      </c>
      <c r="AK17" s="197">
        <v>0.662196721311475</v>
      </c>
    </row>
    <row r="18" spans="1:37">
      <c r="V18" s="378"/>
      <c r="W18" s="378"/>
      <c r="X18" s="378"/>
      <c r="Y18" s="378"/>
    </row>
  </sheetData>
  <mergeCells count="1">
    <mergeCell ref="S1:X1"/>
  </mergeCells>
  <conditionalFormatting sqref="B14:B17">
    <cfRule type="cellIs" dxfId="138" priority="17" stopIfTrue="1" operator="notEqual">
      <formula>""</formula>
    </cfRule>
  </conditionalFormatting>
  <conditionalFormatting sqref="D8:O17 Q8:X17">
    <cfRule type="expression" dxfId="137" priority="1">
      <formula>MOD(ROW(),2)=0</formula>
    </cfRule>
  </conditionalFormatting>
  <conditionalFormatting sqref="S11:X12">
    <cfRule type="expression" dxfId="136" priority="3">
      <formula>MOD(ROW(),2)=0</formula>
    </cfRule>
  </conditionalFormatting>
  <conditionalFormatting sqref="S14:X17">
    <cfRule type="cellIs" dxfId="135" priority="14" stopIfTrue="1" operator="notBetween">
      <formula>1</formula>
      <formula>5</formula>
    </cfRule>
  </conditionalFormatting>
  <conditionalFormatting sqref="Y8:AI17">
    <cfRule type="expression" dxfId="134" priority="2">
      <formula>MOD(ROW(),2)=0</formula>
    </cfRule>
  </conditionalFormatting>
  <conditionalFormatting sqref="AD14:AI17">
    <cfRule type="cellIs" dxfId="133" priority="16" stopIfTrue="1" operator="equal">
      <formula>0</formula>
    </cfRule>
  </conditionalFormatting>
  <dataValidations xWindow="1140" yWindow="609" count="29">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18:IJ18" xr:uid="{00000000-0002-0000-3800-000000000000}"/>
    <dataValidation allowBlank="1" showInputMessage="1" showErrorMessage="1" prompt="always 1" sqref="L7" xr:uid="{00000000-0002-0000-3800-000001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800-000002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800-000003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S3 S8:S17" xr:uid="{00000000-0002-0000-3800-000004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X3 X8:X17" xr:uid="{00000000-0002-0000-3800-00000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W3 W8:W17" xr:uid="{00000000-0002-0000-3800-000006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V3 V8:V17" xr:uid="{00000000-0002-0000-3800-000007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U3 U8:U17" xr:uid="{00000000-0002-0000-3800-000008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T3 T8:T17" xr:uid="{00000000-0002-0000-38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4 A17" xr:uid="{00000000-0002-0000-3800-00000A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800-00000B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7" xr:uid="{00000000-0002-0000-3800-00000C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800-00000D000000}"/>
    <dataValidation allowBlank="1" showInputMessage="1" showErrorMessage="1" promptTitle="Name" prompt="Name of the exchange (elementary flow or intermediate product flow) in English language. " sqref="F2:F3" xr:uid="{00000000-0002-0000-3800-00000E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800-00000F000000}"/>
    <dataValidation allowBlank="1" showInputMessage="1" showErrorMessage="1" promptTitle="Unit" prompt="Unit of the exchange (elementary flow or intermediate product flow)." sqref="F6 K2:K3" xr:uid="{00000000-0002-0000-3800-000010000000}"/>
    <dataValidation allowBlank="1" showInputMessage="1" showErrorMessage="1" prompt="This cell is automatically updated from the names List according to the index number in L1. It needs to be identical to the output product." sqref="L3:L6" xr:uid="{00000000-0002-0000-3800-000011000000}"/>
    <dataValidation allowBlank="1" showInputMessage="1" showErrorMessage="1" prompt="Do not change." sqref="Y3:AI4 AA7:AI7" xr:uid="{00000000-0002-0000-3800-000012000000}"/>
    <dataValidation allowBlank="1" showInputMessage="1" showErrorMessage="1" promptTitle="Remarks" prompt="A general comment (data source, calculation procedure, ...) can be made about each individual exchange. The remarks are added to the GeneralComment-field." sqref="Q3:R3 Q8:R17" xr:uid="{00000000-0002-0000-3800-000013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800-000014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17" xr:uid="{00000000-0002-0000-3800-000015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7" xr:uid="{00000000-0002-0000-3800-000016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7" xr:uid="{00000000-0002-0000-3800-000017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7" xr:uid="{00000000-0002-0000-3800-000018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7" xr:uid="{00000000-0002-0000-3800-000019000000}"/>
    <dataValidation allowBlank="1" showInputMessage="1" showErrorMessage="1" promptTitle="Do not change" prompt="This field is automatically updated from the names-list" sqref="Y8:Y17" xr:uid="{00000000-0002-0000-3800-00001A000000}"/>
    <dataValidation allowBlank="1" showInputMessage="1" showErrorMessage="1" promptTitle="Do not change" prompt="This field is automatically calculated from your inputs." sqref="Z8:AI17" xr:uid="{00000000-0002-0000-3800-00001B000000}"/>
    <dataValidation allowBlank="1" showInputMessage="1" showErrorMessage="1" prompt="Mean amount of elementary flow or intermediate product flow. Enter your values (or the respective equation) here." sqref="L8:L17" xr:uid="{00000000-0002-0000-3800-00001C000000}"/>
  </dataValidations>
  <printOptions horizontalCentered="1" verticalCentered="1"/>
  <pageMargins left="0.78740157480314965" right="0.78740157480314965" top="0.98425196850393704" bottom="0.98425196850393704" header="0.51181102362204722" footer="0.51181102362204722"/>
  <pageSetup paperSize="9" scale="41" orientation="landscape" r:id="rId1"/>
  <headerFooter alignWithMargins="0">
    <oddHeader>&amp;L&amp;C&amp;R</oddHeader>
    <oddFooter>&amp;L&amp;D&amp;C&amp;F&amp;RSeite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41">
    <tabColor rgb="FF9CD9F0"/>
    <pageSetUpPr fitToPage="1"/>
  </sheetPr>
  <dimension ref="A1:AY16"/>
  <sheetViews>
    <sheetView workbookViewId="0">
      <selection activeCell="A18" sqref="A18:XFD31"/>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0.85546875" style="116" customWidth="1" collapsed="1"/>
    <col min="29" max="29" width="40.7109375" style="407" customWidth="1"/>
    <col min="30" max="30" width="30.7109375" style="407" customWidth="1"/>
    <col min="31" max="31" width="4.140625" style="407" hidden="1" customWidth="1" outlineLevel="1"/>
    <col min="32" max="32" width="4.42578125" style="407" hidden="1" customWidth="1" outlineLevel="1"/>
    <col min="33" max="33" width="4.28515625" style="407" hidden="1" customWidth="1" outlineLevel="1"/>
    <col min="34" max="34" width="4" style="407" hidden="1" customWidth="1" outlineLevel="1"/>
    <col min="35" max="35" width="3.7109375" style="407" hidden="1" customWidth="1" outlineLevel="1"/>
    <col min="36" max="36" width="4.28515625" style="407" hidden="1" customWidth="1" outlineLevel="1"/>
    <col min="37" max="37" width="3.42578125" style="407" hidden="1" customWidth="1" outlineLevel="1"/>
    <col min="38" max="38" width="4.7109375" style="378" hidden="1" customWidth="1" outlineLevel="1"/>
    <col min="39" max="40" width="5.42578125" style="378" hidden="1" customWidth="1" outlineLevel="1"/>
    <col min="41" max="41" width="14.85546875" style="378" hidden="1" customWidth="1" outlineLevel="1"/>
    <col min="42" max="47" width="4.42578125" style="378" hidden="1" customWidth="1" outlineLevel="1"/>
    <col min="48" max="48" width="29.7109375" style="378" customWidth="1" collapsed="1"/>
    <col min="49" max="49" width="10.7109375" style="378" customWidth="1" collapsed="1"/>
    <col min="50" max="51" width="15.7109375" style="378" customWidth="1"/>
    <col min="52" max="53" width="11.42578125" style="378" customWidth="1"/>
    <col min="54" max="16384" width="11.42578125" style="378"/>
  </cols>
  <sheetData>
    <row r="1" spans="1:51">
      <c r="A1" s="77"/>
      <c r="B1" s="78"/>
      <c r="C1" s="79"/>
      <c r="D1" s="77"/>
      <c r="E1" s="77"/>
      <c r="F1" s="80" t="s">
        <v>65</v>
      </c>
      <c r="G1" s="77"/>
      <c r="H1" s="77"/>
      <c r="I1" s="77"/>
      <c r="J1" s="77"/>
      <c r="K1" s="77"/>
      <c r="L1" s="330">
        <v>259361</v>
      </c>
      <c r="M1" s="81"/>
      <c r="N1" s="81"/>
      <c r="O1" s="81"/>
      <c r="P1" s="330">
        <v>255621</v>
      </c>
      <c r="Q1" s="81"/>
      <c r="R1" s="81"/>
      <c r="S1" s="81"/>
      <c r="T1" s="330">
        <v>259343</v>
      </c>
      <c r="U1" s="81"/>
      <c r="V1" s="81"/>
      <c r="W1" s="81"/>
      <c r="X1" s="330">
        <v>267852</v>
      </c>
      <c r="Y1" s="81"/>
      <c r="Z1" s="81"/>
      <c r="AA1" s="81"/>
      <c r="AC1" s="378"/>
      <c r="AD1" s="378"/>
      <c r="AE1" s="1586"/>
      <c r="AF1" s="1581"/>
      <c r="AG1" s="1581"/>
      <c r="AH1" s="1581"/>
      <c r="AI1" s="1581"/>
      <c r="AJ1" s="1581"/>
      <c r="AK1" s="406"/>
      <c r="AL1" s="406"/>
      <c r="AM1" s="406"/>
      <c r="AN1" s="406"/>
      <c r="AO1" s="406"/>
      <c r="AX1" s="330">
        <v>0</v>
      </c>
    </row>
    <row r="2" spans="1:5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C2" s="406"/>
      <c r="AD2" s="406"/>
      <c r="AE2" s="406"/>
      <c r="AF2" s="406"/>
      <c r="AG2" s="406"/>
      <c r="AH2" s="406"/>
      <c r="AI2" s="406"/>
      <c r="AJ2" s="406"/>
      <c r="AK2" s="406"/>
      <c r="AX2" s="82">
        <v>3707</v>
      </c>
    </row>
    <row r="3" spans="1:51" ht="102" customHeight="1">
      <c r="A3" s="83" t="s">
        <v>68</v>
      </c>
      <c r="B3" s="84"/>
      <c r="C3" s="79">
        <v>401</v>
      </c>
      <c r="D3" s="85" t="s">
        <v>69</v>
      </c>
      <c r="E3" s="85" t="s">
        <v>70</v>
      </c>
      <c r="F3" s="86" t="s">
        <v>71</v>
      </c>
      <c r="G3" s="85" t="s">
        <v>72</v>
      </c>
      <c r="H3" s="85" t="s">
        <v>73</v>
      </c>
      <c r="I3" s="85" t="s">
        <v>74</v>
      </c>
      <c r="J3" s="85" t="s">
        <v>75</v>
      </c>
      <c r="K3" s="85" t="s">
        <v>76</v>
      </c>
      <c r="L3" s="87" t="s">
        <v>1578</v>
      </c>
      <c r="M3" s="422" t="s">
        <v>78</v>
      </c>
      <c r="N3" s="422" t="s">
        <v>79</v>
      </c>
      <c r="O3" s="423" t="s">
        <v>80</v>
      </c>
      <c r="P3" s="87" t="s">
        <v>1579</v>
      </c>
      <c r="Q3" s="422" t="s">
        <v>78</v>
      </c>
      <c r="R3" s="422" t="s">
        <v>79</v>
      </c>
      <c r="S3" s="423" t="s">
        <v>80</v>
      </c>
      <c r="T3" s="87" t="s">
        <v>1580</v>
      </c>
      <c r="U3" s="422" t="s">
        <v>78</v>
      </c>
      <c r="V3" s="422" t="s">
        <v>79</v>
      </c>
      <c r="W3" s="423" t="s">
        <v>80</v>
      </c>
      <c r="X3" s="87" t="s">
        <v>1581</v>
      </c>
      <c r="Y3" s="422" t="s">
        <v>78</v>
      </c>
      <c r="Z3" s="422" t="s">
        <v>79</v>
      </c>
      <c r="AA3" s="423" t="s">
        <v>80</v>
      </c>
      <c r="AC3" s="97" t="s">
        <v>81</v>
      </c>
      <c r="AD3" s="97" t="s">
        <v>253</v>
      </c>
      <c r="AE3" s="98" t="s">
        <v>364</v>
      </c>
      <c r="AF3" s="98" t="s">
        <v>365</v>
      </c>
      <c r="AG3" s="98" t="s">
        <v>366</v>
      </c>
      <c r="AH3" s="98" t="s">
        <v>367</v>
      </c>
      <c r="AI3" s="98" t="s">
        <v>368</v>
      </c>
      <c r="AJ3" s="98" t="s">
        <v>369</v>
      </c>
      <c r="AK3" s="99" t="s">
        <v>88</v>
      </c>
      <c r="AL3" s="99" t="s">
        <v>370</v>
      </c>
      <c r="AM3" s="99" t="s">
        <v>90</v>
      </c>
      <c r="AN3" s="99" t="s">
        <v>91</v>
      </c>
      <c r="AO3" s="99" t="s">
        <v>371</v>
      </c>
      <c r="AP3" s="100" t="s">
        <v>364</v>
      </c>
      <c r="AQ3" s="100" t="s">
        <v>365</v>
      </c>
      <c r="AR3" s="100" t="s">
        <v>366</v>
      </c>
      <c r="AS3" s="100" t="s">
        <v>367</v>
      </c>
      <c r="AT3" s="100" t="s">
        <v>368</v>
      </c>
      <c r="AU3" s="100" t="s">
        <v>369</v>
      </c>
      <c r="AX3" s="87" t="s">
        <v>1582</v>
      </c>
      <c r="AY3" s="86" t="s">
        <v>1560</v>
      </c>
    </row>
    <row r="4" spans="1:51" ht="12" customHeight="1">
      <c r="A4" s="77"/>
      <c r="B4" s="84"/>
      <c r="C4" s="79">
        <v>662</v>
      </c>
      <c r="D4" s="86"/>
      <c r="E4" s="86"/>
      <c r="F4" s="86" t="s">
        <v>72</v>
      </c>
      <c r="G4" s="86"/>
      <c r="H4" s="86"/>
      <c r="I4" s="86"/>
      <c r="J4" s="86"/>
      <c r="K4" s="86"/>
      <c r="L4" s="87" t="s">
        <v>93</v>
      </c>
      <c r="M4" s="425"/>
      <c r="N4" s="425"/>
      <c r="O4" s="426"/>
      <c r="P4" s="87" t="s">
        <v>93</v>
      </c>
      <c r="Q4" s="425"/>
      <c r="R4" s="425"/>
      <c r="S4" s="426"/>
      <c r="T4" s="87" t="s">
        <v>93</v>
      </c>
      <c r="U4" s="425"/>
      <c r="V4" s="425"/>
      <c r="W4" s="426"/>
      <c r="X4" s="87" t="s">
        <v>93</v>
      </c>
      <c r="Y4" s="425"/>
      <c r="Z4" s="425"/>
      <c r="AA4" s="426"/>
      <c r="AC4" s="101"/>
      <c r="AD4" s="101"/>
      <c r="AE4" s="102" t="s">
        <v>94</v>
      </c>
      <c r="AF4" s="97"/>
      <c r="AG4" s="97"/>
      <c r="AH4" s="97"/>
      <c r="AI4" s="97"/>
      <c r="AJ4" s="97"/>
      <c r="AK4" s="103"/>
      <c r="AL4" s="103"/>
      <c r="AM4" s="103" t="s">
        <v>95</v>
      </c>
      <c r="AN4" s="103" t="s">
        <v>95</v>
      </c>
      <c r="AO4" s="104"/>
      <c r="AP4" s="105"/>
      <c r="AQ4" s="105"/>
      <c r="AR4" s="105"/>
      <c r="AS4" s="105"/>
      <c r="AT4" s="105"/>
      <c r="AU4" s="105"/>
      <c r="AX4" s="87" t="s">
        <v>93</v>
      </c>
      <c r="AY4" s="406" t="s">
        <v>93</v>
      </c>
    </row>
    <row r="5" spans="1:51" ht="12"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C5" s="101"/>
      <c r="AD5" s="101"/>
      <c r="AE5" s="97"/>
      <c r="AF5" s="97"/>
      <c r="AG5" s="97"/>
      <c r="AH5" s="97"/>
      <c r="AI5" s="97"/>
      <c r="AJ5" s="97"/>
      <c r="AK5" s="104"/>
      <c r="AL5" s="104"/>
      <c r="AM5" s="104"/>
      <c r="AN5" s="104"/>
      <c r="AO5" s="104"/>
      <c r="AP5" s="105"/>
      <c r="AQ5" s="105"/>
      <c r="AR5" s="105"/>
      <c r="AS5" s="105"/>
      <c r="AT5" s="105"/>
      <c r="AU5" s="105"/>
      <c r="AX5" s="87">
        <v>0</v>
      </c>
      <c r="AY5" s="406"/>
    </row>
    <row r="6" spans="1:51" ht="12"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C6" s="101"/>
      <c r="AD6" s="101"/>
      <c r="AE6" s="106"/>
      <c r="AF6" s="106"/>
      <c r="AG6" s="106"/>
      <c r="AH6" s="106"/>
      <c r="AI6" s="106"/>
      <c r="AJ6" s="106"/>
      <c r="AK6" s="104"/>
      <c r="AL6" s="104"/>
      <c r="AM6" s="428"/>
      <c r="AN6" s="428"/>
      <c r="AO6" s="107"/>
      <c r="AP6" s="105"/>
      <c r="AQ6" s="105"/>
      <c r="AR6" s="105"/>
      <c r="AS6" s="105"/>
      <c r="AT6" s="105"/>
      <c r="AU6" s="105"/>
      <c r="AX6" s="87" t="s">
        <v>96</v>
      </c>
      <c r="AY6" s="406" t="s">
        <v>96</v>
      </c>
    </row>
    <row r="7" spans="1:51">
      <c r="A7" s="330">
        <v>259361</v>
      </c>
      <c r="B7" s="331" t="s">
        <v>97</v>
      </c>
      <c r="C7" s="88"/>
      <c r="D7" s="294" t="s">
        <v>98</v>
      </c>
      <c r="E7" s="295">
        <v>0</v>
      </c>
      <c r="F7" s="429" t="s">
        <v>1578</v>
      </c>
      <c r="G7" s="430" t="s">
        <v>93</v>
      </c>
      <c r="H7" s="431" t="s">
        <v>98</v>
      </c>
      <c r="I7" s="431" t="s">
        <v>98</v>
      </c>
      <c r="J7" s="89">
        <v>0</v>
      </c>
      <c r="K7" s="430" t="s">
        <v>96</v>
      </c>
      <c r="L7" s="90">
        <v>1</v>
      </c>
      <c r="M7" s="91"/>
      <c r="N7" s="92"/>
      <c r="O7" s="93"/>
      <c r="P7" s="90">
        <v>0</v>
      </c>
      <c r="Q7" s="91"/>
      <c r="R7" s="92"/>
      <c r="S7" s="93"/>
      <c r="T7" s="90">
        <v>0</v>
      </c>
      <c r="U7" s="91"/>
      <c r="V7" s="92"/>
      <c r="W7" s="93"/>
      <c r="X7" s="90">
        <v>0</v>
      </c>
      <c r="Y7" s="91"/>
      <c r="Z7" s="92"/>
      <c r="AA7" s="93"/>
      <c r="AC7" s="101"/>
      <c r="AD7" s="101"/>
      <c r="AE7" s="97"/>
      <c r="AF7" s="97"/>
      <c r="AG7" s="97"/>
      <c r="AH7" s="97"/>
      <c r="AI7" s="97"/>
      <c r="AJ7" s="97"/>
      <c r="AK7" s="104"/>
      <c r="AL7" s="104"/>
      <c r="AM7" s="104"/>
      <c r="AN7" s="104"/>
      <c r="AO7" s="104"/>
      <c r="AP7" s="104"/>
      <c r="AQ7" s="104"/>
      <c r="AR7" s="104"/>
      <c r="AS7" s="104"/>
      <c r="AT7" s="104"/>
      <c r="AU7" s="104"/>
      <c r="AX7" s="90">
        <v>1</v>
      </c>
      <c r="AY7" s="197">
        <v>1</v>
      </c>
    </row>
    <row r="8" spans="1:51" ht="24" customHeight="1">
      <c r="A8" s="330">
        <v>255621</v>
      </c>
      <c r="B8" s="331"/>
      <c r="C8" s="88"/>
      <c r="D8" s="294" t="s">
        <v>98</v>
      </c>
      <c r="E8" s="295">
        <v>0</v>
      </c>
      <c r="F8" s="429" t="s">
        <v>1579</v>
      </c>
      <c r="G8" s="430" t="s">
        <v>93</v>
      </c>
      <c r="H8" s="431" t="s">
        <v>98</v>
      </c>
      <c r="I8" s="431" t="s">
        <v>98</v>
      </c>
      <c r="J8" s="89">
        <v>0</v>
      </c>
      <c r="K8" s="430" t="s">
        <v>96</v>
      </c>
      <c r="L8" s="90">
        <v>0</v>
      </c>
      <c r="M8" s="91"/>
      <c r="N8" s="92"/>
      <c r="O8" s="93"/>
      <c r="P8" s="90">
        <v>1</v>
      </c>
      <c r="Q8" s="91"/>
      <c r="R8" s="92"/>
      <c r="S8" s="93"/>
      <c r="T8" s="90">
        <v>0</v>
      </c>
      <c r="U8" s="91"/>
      <c r="V8" s="92"/>
      <c r="W8" s="93"/>
      <c r="X8" s="90">
        <v>0</v>
      </c>
      <c r="Y8" s="91"/>
      <c r="Z8" s="92"/>
      <c r="AA8" s="93"/>
      <c r="AC8" s="101"/>
      <c r="AD8" s="101"/>
      <c r="AE8" s="97"/>
      <c r="AF8" s="97"/>
      <c r="AG8" s="97"/>
      <c r="AH8" s="97"/>
      <c r="AI8" s="97"/>
      <c r="AJ8" s="97"/>
      <c r="AK8" s="104"/>
      <c r="AL8" s="104"/>
      <c r="AM8" s="104"/>
      <c r="AN8" s="104"/>
      <c r="AO8" s="104"/>
      <c r="AP8" s="104"/>
      <c r="AQ8" s="104"/>
      <c r="AR8" s="104"/>
      <c r="AS8" s="104"/>
      <c r="AT8" s="104"/>
      <c r="AU8" s="104"/>
      <c r="AX8" s="90">
        <v>0.662196721311475</v>
      </c>
      <c r="AY8" s="197">
        <v>0.662196721311475</v>
      </c>
    </row>
    <row r="9" spans="1:51" ht="24" customHeight="1">
      <c r="A9" s="330">
        <v>259343</v>
      </c>
      <c r="B9" s="331"/>
      <c r="C9" s="88"/>
      <c r="D9" s="294" t="s">
        <v>98</v>
      </c>
      <c r="E9" s="295">
        <v>0</v>
      </c>
      <c r="F9" s="429" t="s">
        <v>1580</v>
      </c>
      <c r="G9" s="430" t="s">
        <v>93</v>
      </c>
      <c r="H9" s="431" t="s">
        <v>98</v>
      </c>
      <c r="I9" s="431" t="s">
        <v>98</v>
      </c>
      <c r="J9" s="89">
        <v>0</v>
      </c>
      <c r="K9" s="430" t="s">
        <v>96</v>
      </c>
      <c r="L9" s="90">
        <v>0</v>
      </c>
      <c r="M9" s="91"/>
      <c r="N9" s="92"/>
      <c r="O9" s="93"/>
      <c r="P9" s="90">
        <v>0</v>
      </c>
      <c r="Q9" s="91"/>
      <c r="R9" s="92"/>
      <c r="S9" s="93"/>
      <c r="T9" s="90">
        <v>1</v>
      </c>
      <c r="U9" s="91"/>
      <c r="V9" s="92"/>
      <c r="W9" s="93"/>
      <c r="X9" s="90">
        <v>0</v>
      </c>
      <c r="Y9" s="91"/>
      <c r="Z9" s="92"/>
      <c r="AA9" s="93"/>
      <c r="AC9" s="101"/>
      <c r="AD9" s="101"/>
      <c r="AE9" s="97"/>
      <c r="AF9" s="97"/>
      <c r="AG9" s="97"/>
      <c r="AH9" s="97"/>
      <c r="AI9" s="97"/>
      <c r="AJ9" s="97"/>
      <c r="AK9" s="104"/>
      <c r="AL9" s="104"/>
      <c r="AM9" s="104"/>
      <c r="AN9" s="104"/>
      <c r="AO9" s="104"/>
      <c r="AP9" s="104"/>
      <c r="AQ9" s="104"/>
      <c r="AR9" s="104"/>
      <c r="AS9" s="104"/>
      <c r="AT9" s="104"/>
      <c r="AU9" s="104"/>
      <c r="AX9" s="90">
        <v>0.120931147540984</v>
      </c>
      <c r="AY9" s="197">
        <v>0.120931147540984</v>
      </c>
    </row>
    <row r="10" spans="1:51" ht="24" customHeight="1">
      <c r="A10" s="330">
        <v>267852</v>
      </c>
      <c r="B10" s="331"/>
      <c r="C10" s="88"/>
      <c r="D10" s="294" t="s">
        <v>98</v>
      </c>
      <c r="E10" s="295">
        <v>0</v>
      </c>
      <c r="F10" s="429" t="s">
        <v>1581</v>
      </c>
      <c r="G10" s="430" t="s">
        <v>93</v>
      </c>
      <c r="H10" s="431" t="s">
        <v>98</v>
      </c>
      <c r="I10" s="431" t="s">
        <v>98</v>
      </c>
      <c r="J10" s="89">
        <v>0</v>
      </c>
      <c r="K10" s="430" t="s">
        <v>96</v>
      </c>
      <c r="L10" s="90">
        <v>0</v>
      </c>
      <c r="M10" s="91"/>
      <c r="N10" s="92"/>
      <c r="O10" s="93"/>
      <c r="P10" s="90">
        <v>0</v>
      </c>
      <c r="Q10" s="91"/>
      <c r="R10" s="92"/>
      <c r="S10" s="93"/>
      <c r="T10" s="90">
        <v>0</v>
      </c>
      <c r="U10" s="91"/>
      <c r="V10" s="92"/>
      <c r="W10" s="93"/>
      <c r="X10" s="90">
        <v>1</v>
      </c>
      <c r="Y10" s="91"/>
      <c r="Z10" s="92"/>
      <c r="AA10" s="93"/>
      <c r="AC10" s="101"/>
      <c r="AD10" s="101"/>
      <c r="AE10" s="97"/>
      <c r="AF10" s="97"/>
      <c r="AG10" s="97"/>
      <c r="AH10" s="97"/>
      <c r="AI10" s="97"/>
      <c r="AJ10" s="97"/>
      <c r="AK10" s="104"/>
      <c r="AL10" s="104"/>
      <c r="AM10" s="104"/>
      <c r="AN10" s="104"/>
      <c r="AO10" s="104"/>
      <c r="AP10" s="104"/>
      <c r="AQ10" s="104"/>
      <c r="AR10" s="104"/>
      <c r="AS10" s="104"/>
      <c r="AT10" s="104"/>
      <c r="AU10" s="104"/>
      <c r="AX10" s="90">
        <v>4.4316721311475397E-2</v>
      </c>
      <c r="AY10" s="197">
        <v>4.4316721311475397E-2</v>
      </c>
    </row>
    <row r="11" spans="1:51" ht="24" customHeight="1">
      <c r="A11" s="330">
        <v>269603</v>
      </c>
      <c r="B11" s="331" t="s">
        <v>221</v>
      </c>
      <c r="C11" s="88"/>
      <c r="D11" s="340">
        <v>5</v>
      </c>
      <c r="E11" s="341" t="s">
        <v>98</v>
      </c>
      <c r="F11" s="432" t="s">
        <v>222</v>
      </c>
      <c r="G11" s="433" t="s">
        <v>223</v>
      </c>
      <c r="H11" s="434" t="s">
        <v>98</v>
      </c>
      <c r="I11" s="434" t="s">
        <v>98</v>
      </c>
      <c r="J11" s="94">
        <v>0</v>
      </c>
      <c r="K11" s="433" t="s">
        <v>109</v>
      </c>
      <c r="L11" s="435">
        <v>5.5639286386856647E-2</v>
      </c>
      <c r="M11" s="95">
        <v>1</v>
      </c>
      <c r="N11" s="96" t="s">
        <v>3145</v>
      </c>
      <c r="O11" s="432" t="s">
        <v>3145</v>
      </c>
      <c r="P11" s="435">
        <v>4.0464935554077553E-3</v>
      </c>
      <c r="Q11" s="95">
        <v>1</v>
      </c>
      <c r="R11" s="96">
        <v>1.2490845559868966</v>
      </c>
      <c r="S11" s="432" t="s">
        <v>3145</v>
      </c>
      <c r="T11" s="435">
        <v>0.14162727443927142</v>
      </c>
      <c r="U11" s="95">
        <v>1</v>
      </c>
      <c r="V11" s="96">
        <v>1.2490845559868966</v>
      </c>
      <c r="W11" s="432" t="s">
        <v>3145</v>
      </c>
      <c r="X11" s="435">
        <v>0.80929871108155116</v>
      </c>
      <c r="Y11" s="95">
        <v>1</v>
      </c>
      <c r="Z11" s="96">
        <v>1.2490845559868966</v>
      </c>
      <c r="AA11" s="432" t="s">
        <v>3145</v>
      </c>
      <c r="AC11" s="77" t="s">
        <v>1583</v>
      </c>
      <c r="AD11" s="77"/>
      <c r="AE11" s="339">
        <v>2</v>
      </c>
      <c r="AF11" s="339">
        <v>3</v>
      </c>
      <c r="AG11" s="339">
        <v>1</v>
      </c>
      <c r="AH11" s="339">
        <v>1</v>
      </c>
      <c r="AI11" s="339">
        <v>3</v>
      </c>
      <c r="AJ11" s="339">
        <v>4</v>
      </c>
      <c r="AK11" s="104">
        <v>2</v>
      </c>
      <c r="AL11" s="104">
        <v>1.05</v>
      </c>
      <c r="AM11" s="107">
        <v>1.2423359171267643</v>
      </c>
      <c r="AN11" s="107">
        <v>1.2490845559868966</v>
      </c>
      <c r="AO11" s="107" t="s">
        <v>3136</v>
      </c>
      <c r="AP11" s="108">
        <v>1.05</v>
      </c>
      <c r="AQ11" s="108">
        <v>1.05</v>
      </c>
      <c r="AR11" s="108">
        <v>1</v>
      </c>
      <c r="AS11" s="108">
        <v>1</v>
      </c>
      <c r="AT11" s="108">
        <v>1.2</v>
      </c>
      <c r="AU11" s="108">
        <v>1.1000000000000001</v>
      </c>
      <c r="AX11" s="435">
        <v>0.11131147540983601</v>
      </c>
      <c r="AY11" s="197">
        <v>0.11131147540983601</v>
      </c>
    </row>
    <row r="12" spans="1:51" ht="24" customHeight="1">
      <c r="A12" s="330">
        <v>77572</v>
      </c>
      <c r="B12" s="331" t="s">
        <v>529</v>
      </c>
      <c r="C12" s="88"/>
      <c r="D12" s="340">
        <v>5</v>
      </c>
      <c r="E12" s="341" t="s">
        <v>98</v>
      </c>
      <c r="F12" s="432" t="s">
        <v>687</v>
      </c>
      <c r="G12" s="433" t="s">
        <v>103</v>
      </c>
      <c r="H12" s="434" t="s">
        <v>98</v>
      </c>
      <c r="I12" s="434" t="s">
        <v>98</v>
      </c>
      <c r="J12" s="94">
        <v>0</v>
      </c>
      <c r="K12" s="433" t="s">
        <v>104</v>
      </c>
      <c r="L12" s="435">
        <v>3.2406155914555222E-2</v>
      </c>
      <c r="M12" s="95">
        <v>1</v>
      </c>
      <c r="N12" s="96">
        <v>2.0674560847849177</v>
      </c>
      <c r="O12" s="432" t="s">
        <v>3145</v>
      </c>
      <c r="P12" s="435">
        <v>2.3568113392403792E-3</v>
      </c>
      <c r="Q12" s="95">
        <v>1</v>
      </c>
      <c r="R12" s="96">
        <v>2.0674560847849177</v>
      </c>
      <c r="S12" s="432" t="s">
        <v>3145</v>
      </c>
      <c r="T12" s="435">
        <v>8.2488396873413278E-2</v>
      </c>
      <c r="U12" s="95">
        <v>1</v>
      </c>
      <c r="V12" s="96">
        <v>2.0674560847849177</v>
      </c>
      <c r="W12" s="432" t="s">
        <v>3145</v>
      </c>
      <c r="X12" s="435">
        <v>0.47136226784807583</v>
      </c>
      <c r="Y12" s="95">
        <v>1</v>
      </c>
      <c r="Z12" s="96">
        <v>2.0674560847849177</v>
      </c>
      <c r="AA12" s="432" t="s">
        <v>3145</v>
      </c>
      <c r="AC12" s="77" t="s">
        <v>1583</v>
      </c>
      <c r="AD12" s="77"/>
      <c r="AE12" s="339">
        <v>2</v>
      </c>
      <c r="AF12" s="339">
        <v>3</v>
      </c>
      <c r="AG12" s="339">
        <v>1</v>
      </c>
      <c r="AH12" s="339">
        <v>1</v>
      </c>
      <c r="AI12" s="339">
        <v>3</v>
      </c>
      <c r="AJ12" s="339">
        <v>4</v>
      </c>
      <c r="AK12" s="104">
        <v>5</v>
      </c>
      <c r="AL12" s="104">
        <v>2</v>
      </c>
      <c r="AM12" s="107">
        <v>1.2423359171267643</v>
      </c>
      <c r="AN12" s="107">
        <v>2.0674560847849177</v>
      </c>
      <c r="AO12" s="107" t="s">
        <v>3136</v>
      </c>
      <c r="AP12" s="108">
        <v>1.05</v>
      </c>
      <c r="AQ12" s="108">
        <v>1.05</v>
      </c>
      <c r="AR12" s="108">
        <v>1</v>
      </c>
      <c r="AS12" s="108">
        <v>1</v>
      </c>
      <c r="AT12" s="108">
        <v>1.2</v>
      </c>
      <c r="AU12" s="108">
        <v>1.1000000000000001</v>
      </c>
      <c r="AX12" s="435">
        <v>6.4831475409836095E-2</v>
      </c>
      <c r="AY12" s="197">
        <v>6.4831475409836095E-2</v>
      </c>
    </row>
    <row r="13" spans="1:51" ht="24" customHeight="1">
      <c r="A13" s="330">
        <v>269487</v>
      </c>
      <c r="B13" s="331" t="s">
        <v>529</v>
      </c>
      <c r="C13" s="88"/>
      <c r="D13" s="340">
        <v>5</v>
      </c>
      <c r="E13" s="341" t="s">
        <v>98</v>
      </c>
      <c r="F13" s="432" t="s">
        <v>1219</v>
      </c>
      <c r="G13" s="433" t="s">
        <v>103</v>
      </c>
      <c r="H13" s="434" t="s">
        <v>98</v>
      </c>
      <c r="I13" s="434" t="s">
        <v>98</v>
      </c>
      <c r="J13" s="94">
        <v>0</v>
      </c>
      <c r="K13" s="433" t="s">
        <v>96</v>
      </c>
      <c r="L13" s="435">
        <v>7.3429763837339207E-2</v>
      </c>
      <c r="M13" s="95">
        <v>1</v>
      </c>
      <c r="N13" s="96">
        <v>1.2490845559868966</v>
      </c>
      <c r="O13" s="432" t="s">
        <v>3145</v>
      </c>
      <c r="P13" s="435">
        <v>5.3403464608973959E-3</v>
      </c>
      <c r="Q13" s="95">
        <v>1</v>
      </c>
      <c r="R13" s="96">
        <v>1.2490845559868966</v>
      </c>
      <c r="S13" s="432" t="s">
        <v>3145</v>
      </c>
      <c r="T13" s="435">
        <v>0.18691212613140884</v>
      </c>
      <c r="U13" s="95">
        <v>1</v>
      </c>
      <c r="V13" s="96">
        <v>1.2490845559868966</v>
      </c>
      <c r="W13" s="432" t="s">
        <v>3145</v>
      </c>
      <c r="X13" s="435">
        <v>1.0680692921794792</v>
      </c>
      <c r="Y13" s="95">
        <v>1</v>
      </c>
      <c r="Z13" s="96">
        <v>1.2490845559868966</v>
      </c>
      <c r="AA13" s="432" t="s">
        <v>3145</v>
      </c>
      <c r="AC13" s="77" t="s">
        <v>1583</v>
      </c>
      <c r="AD13" s="77"/>
      <c r="AE13" s="339">
        <v>2</v>
      </c>
      <c r="AF13" s="339">
        <v>3</v>
      </c>
      <c r="AG13" s="339">
        <v>1</v>
      </c>
      <c r="AH13" s="339">
        <v>1</v>
      </c>
      <c r="AI13" s="339">
        <v>3</v>
      </c>
      <c r="AJ13" s="339">
        <v>4</v>
      </c>
      <c r="AK13" s="104">
        <v>6</v>
      </c>
      <c r="AL13" s="104">
        <v>1.05</v>
      </c>
      <c r="AM13" s="107">
        <v>1.2423359171267643</v>
      </c>
      <c r="AN13" s="107">
        <v>1.2490845559868966</v>
      </c>
      <c r="AO13" s="107" t="s">
        <v>3136</v>
      </c>
      <c r="AP13" s="108">
        <v>1.05</v>
      </c>
      <c r="AQ13" s="108">
        <v>1.05</v>
      </c>
      <c r="AR13" s="108">
        <v>1</v>
      </c>
      <c r="AS13" s="108">
        <v>1</v>
      </c>
      <c r="AT13" s="108">
        <v>1.2</v>
      </c>
      <c r="AU13" s="108">
        <v>1.1000000000000001</v>
      </c>
      <c r="AX13" s="435">
        <v>0.146902950819672</v>
      </c>
      <c r="AY13" s="197">
        <v>0.146902950819672</v>
      </c>
    </row>
    <row r="14" spans="1:51" ht="24" customHeight="1">
      <c r="A14" s="330">
        <v>268985</v>
      </c>
      <c r="B14" s="331" t="s">
        <v>529</v>
      </c>
      <c r="C14" s="88"/>
      <c r="D14" s="340">
        <v>5</v>
      </c>
      <c r="E14" s="341" t="s">
        <v>98</v>
      </c>
      <c r="F14" s="432" t="s">
        <v>1299</v>
      </c>
      <c r="G14" s="433" t="s">
        <v>103</v>
      </c>
      <c r="H14" s="434" t="s">
        <v>98</v>
      </c>
      <c r="I14" s="434" t="s">
        <v>98</v>
      </c>
      <c r="J14" s="94">
        <v>0</v>
      </c>
      <c r="K14" s="433" t="s">
        <v>96</v>
      </c>
      <c r="L14" s="435">
        <v>1.2822438194131544E-2</v>
      </c>
      <c r="M14" s="95">
        <v>1</v>
      </c>
      <c r="N14" s="96">
        <v>1.2490845559868966</v>
      </c>
      <c r="O14" s="432" t="s">
        <v>3145</v>
      </c>
      <c r="P14" s="435">
        <v>9.3254095957320305E-4</v>
      </c>
      <c r="Q14" s="95">
        <v>1</v>
      </c>
      <c r="R14" s="96">
        <v>1.2490845559868966</v>
      </c>
      <c r="S14" s="432" t="s">
        <v>3145</v>
      </c>
      <c r="T14" s="435">
        <v>3.2638933585062105E-2</v>
      </c>
      <c r="U14" s="95">
        <v>1</v>
      </c>
      <c r="V14" s="96">
        <v>1.2490845559868966</v>
      </c>
      <c r="W14" s="432" t="s">
        <v>3145</v>
      </c>
      <c r="X14" s="435">
        <v>0.1865081919146406</v>
      </c>
      <c r="Y14" s="95">
        <v>1</v>
      </c>
      <c r="Z14" s="96">
        <v>1.2490845559868966</v>
      </c>
      <c r="AA14" s="432" t="s">
        <v>3145</v>
      </c>
      <c r="AC14" s="77" t="s">
        <v>1583</v>
      </c>
      <c r="AD14" s="77"/>
      <c r="AE14" s="339">
        <v>2</v>
      </c>
      <c r="AF14" s="339">
        <v>3</v>
      </c>
      <c r="AG14" s="339">
        <v>1</v>
      </c>
      <c r="AH14" s="339">
        <v>1</v>
      </c>
      <c r="AI14" s="339">
        <v>3</v>
      </c>
      <c r="AJ14" s="339">
        <v>4</v>
      </c>
      <c r="AK14" s="104">
        <v>6</v>
      </c>
      <c r="AL14" s="104">
        <v>1.05</v>
      </c>
      <c r="AM14" s="107">
        <v>1.2423359171267643</v>
      </c>
      <c r="AN14" s="107">
        <v>1.2490845559868966</v>
      </c>
      <c r="AO14" s="107" t="s">
        <v>3136</v>
      </c>
      <c r="AP14" s="108">
        <v>1.05</v>
      </c>
      <c r="AQ14" s="108">
        <v>1.05</v>
      </c>
      <c r="AR14" s="108">
        <v>1</v>
      </c>
      <c r="AS14" s="108">
        <v>1</v>
      </c>
      <c r="AT14" s="108">
        <v>1.2</v>
      </c>
      <c r="AU14" s="108">
        <v>1.1000000000000001</v>
      </c>
      <c r="AX14" s="435">
        <v>2.56524590163934E-2</v>
      </c>
      <c r="AY14" s="197">
        <v>2.56524590163934E-2</v>
      </c>
    </row>
    <row r="15" spans="1:51" ht="24" customHeight="1">
      <c r="A15" s="330">
        <v>264253</v>
      </c>
      <c r="B15" s="331" t="s">
        <v>529</v>
      </c>
      <c r="C15" s="88"/>
      <c r="D15" s="340">
        <v>5</v>
      </c>
      <c r="E15" s="341" t="s">
        <v>98</v>
      </c>
      <c r="F15" s="432" t="s">
        <v>1562</v>
      </c>
      <c r="G15" s="433" t="s">
        <v>93</v>
      </c>
      <c r="H15" s="434" t="s">
        <v>98</v>
      </c>
      <c r="I15" s="434" t="s">
        <v>98</v>
      </c>
      <c r="J15" s="94">
        <v>0</v>
      </c>
      <c r="K15" s="433" t="s">
        <v>115</v>
      </c>
      <c r="L15" s="435">
        <v>4.9985220465364619E-2</v>
      </c>
      <c r="M15" s="95">
        <v>1</v>
      </c>
      <c r="N15" s="96">
        <v>2.0949941301068096</v>
      </c>
      <c r="O15" s="432" t="s">
        <v>3146</v>
      </c>
      <c r="P15" s="435">
        <v>3.6352887611174269E-3</v>
      </c>
      <c r="Q15" s="95">
        <v>1</v>
      </c>
      <c r="R15" s="96">
        <v>2.0949941301068096</v>
      </c>
      <c r="S15" s="432" t="s">
        <v>3146</v>
      </c>
      <c r="T15" s="435">
        <v>0.12723510663910992</v>
      </c>
      <c r="U15" s="95">
        <v>1</v>
      </c>
      <c r="V15" s="96">
        <v>2.0949941301068096</v>
      </c>
      <c r="W15" s="432" t="s">
        <v>3146</v>
      </c>
      <c r="X15" s="435">
        <v>0.72705775222348523</v>
      </c>
      <c r="Y15" s="95">
        <v>1</v>
      </c>
      <c r="Z15" s="96">
        <v>2.0949941301068096</v>
      </c>
      <c r="AA15" s="432" t="s">
        <v>3146</v>
      </c>
      <c r="AC15" s="77" t="s">
        <v>3147</v>
      </c>
      <c r="AD15" s="77" t="s">
        <v>1563</v>
      </c>
      <c r="AE15" s="339">
        <v>4</v>
      </c>
      <c r="AF15" s="339">
        <v>5</v>
      </c>
      <c r="AG15" s="339" t="s">
        <v>106</v>
      </c>
      <c r="AH15" s="339" t="s">
        <v>106</v>
      </c>
      <c r="AI15" s="339" t="s">
        <v>106</v>
      </c>
      <c r="AJ15" s="339" t="s">
        <v>106</v>
      </c>
      <c r="AK15" s="104">
        <v>5</v>
      </c>
      <c r="AL15" s="104">
        <v>2</v>
      </c>
      <c r="AM15" s="107">
        <v>1.2941338353151037</v>
      </c>
      <c r="AN15" s="107">
        <v>2.0949941301068096</v>
      </c>
      <c r="AO15" s="107" t="s">
        <v>274</v>
      </c>
      <c r="AP15" s="108">
        <v>1.2</v>
      </c>
      <c r="AQ15" s="108">
        <v>1.2</v>
      </c>
      <c r="AR15" s="108">
        <v>1</v>
      </c>
      <c r="AS15" s="108">
        <v>1</v>
      </c>
      <c r="AT15" s="108">
        <v>1</v>
      </c>
      <c r="AU15" s="108">
        <v>1</v>
      </c>
      <c r="AX15" s="435">
        <v>0.1</v>
      </c>
      <c r="AY15" s="197"/>
    </row>
    <row r="16" spans="1:51" ht="24" customHeight="1">
      <c r="A16" s="330">
        <v>269641</v>
      </c>
      <c r="B16" s="331" t="s">
        <v>529</v>
      </c>
      <c r="C16" s="88"/>
      <c r="D16" s="340">
        <v>5</v>
      </c>
      <c r="E16" s="341" t="s">
        <v>98</v>
      </c>
      <c r="F16" s="432" t="s">
        <v>240</v>
      </c>
      <c r="G16" s="433" t="s">
        <v>93</v>
      </c>
      <c r="H16" s="434" t="s">
        <v>98</v>
      </c>
      <c r="I16" s="434" t="s">
        <v>98</v>
      </c>
      <c r="J16" s="94">
        <v>0</v>
      </c>
      <c r="K16" s="433" t="s">
        <v>115</v>
      </c>
      <c r="L16" s="435">
        <v>0.19994088186145847</v>
      </c>
      <c r="M16" s="95">
        <v>1</v>
      </c>
      <c r="N16" s="96">
        <v>2.0949941301068096</v>
      </c>
      <c r="O16" s="432" t="s">
        <v>3148</v>
      </c>
      <c r="P16" s="435">
        <v>1.4541155044469707E-2</v>
      </c>
      <c r="Q16" s="95">
        <v>1</v>
      </c>
      <c r="R16" s="96">
        <v>2.0949941301068096</v>
      </c>
      <c r="S16" s="432" t="s">
        <v>3148</v>
      </c>
      <c r="T16" s="435">
        <v>0.50894042655643967</v>
      </c>
      <c r="U16" s="95">
        <v>1</v>
      </c>
      <c r="V16" s="96">
        <v>2.0949941301068096</v>
      </c>
      <c r="W16" s="432" t="s">
        <v>3148</v>
      </c>
      <c r="X16" s="435">
        <v>2.9082310088939409</v>
      </c>
      <c r="Y16" s="95">
        <v>1</v>
      </c>
      <c r="Z16" s="96">
        <v>2.0949941301068096</v>
      </c>
      <c r="AA16" s="432" t="s">
        <v>3148</v>
      </c>
      <c r="AC16" s="77" t="s">
        <v>3149</v>
      </c>
      <c r="AD16" s="77" t="s">
        <v>1563</v>
      </c>
      <c r="AE16" s="339">
        <v>4</v>
      </c>
      <c r="AF16" s="339">
        <v>5</v>
      </c>
      <c r="AG16" s="339" t="s">
        <v>106</v>
      </c>
      <c r="AH16" s="339" t="s">
        <v>106</v>
      </c>
      <c r="AI16" s="339" t="s">
        <v>106</v>
      </c>
      <c r="AJ16" s="339" t="s">
        <v>106</v>
      </c>
      <c r="AK16" s="104">
        <v>5</v>
      </c>
      <c r="AL16" s="104">
        <v>2</v>
      </c>
      <c r="AM16" s="107">
        <v>1.2941338353151037</v>
      </c>
      <c r="AN16" s="107">
        <v>2.0949941301068096</v>
      </c>
      <c r="AO16" s="107" t="s">
        <v>274</v>
      </c>
      <c r="AP16" s="108">
        <v>1.2</v>
      </c>
      <c r="AQ16" s="108">
        <v>1.2</v>
      </c>
      <c r="AR16" s="108">
        <v>1</v>
      </c>
      <c r="AS16" s="108">
        <v>1</v>
      </c>
      <c r="AT16" s="108">
        <v>1</v>
      </c>
      <c r="AU16" s="108">
        <v>1</v>
      </c>
      <c r="AX16" s="435">
        <v>0.4</v>
      </c>
      <c r="AY16" s="197"/>
    </row>
  </sheetData>
  <mergeCells count="1">
    <mergeCell ref="AE1:AJ1"/>
  </mergeCells>
  <conditionalFormatting sqref="D11:AA16 AC11:AJ16">
    <cfRule type="expression" dxfId="132" priority="5">
      <formula>MOD(ROW(),2)=0</formula>
    </cfRule>
  </conditionalFormatting>
  <conditionalFormatting sqref="AE14:AJ15">
    <cfRule type="expression" dxfId="131" priority="7">
      <formula>MOD(ROW(),2)=0</formula>
    </cfRule>
  </conditionalFormatting>
  <conditionalFormatting sqref="AK11:AU16">
    <cfRule type="expression" dxfId="130" priority="1">
      <formula>MOD(ROW(),2)=0</formula>
    </cfRule>
  </conditionalFormatting>
  <conditionalFormatting sqref="AX11:AX16">
    <cfRule type="expression" dxfId="129" priority="2">
      <formula>MOD(ROW(),2)=0</formula>
    </cfRule>
  </conditionalFormatting>
  <dataValidations count="29">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17:JE17" xr:uid="{00000000-0002-0000-3900-000000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6" xr:uid="{00000000-0002-0000-3900-000001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6" xr:uid="{00000000-0002-0000-3900-000002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6 Q2:Q16 U2:U16 Y2:Y16" xr:uid="{00000000-0002-0000-3900-000003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6 R2:R16 V2:V16 Z2:Z16" xr:uid="{00000000-0002-0000-3900-000004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16 S1:S16 W1:W16 AA1:AB16" xr:uid="{00000000-0002-0000-3900-000005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D10" xr:uid="{00000000-0002-0000-3900-000006000000}"/>
    <dataValidation allowBlank="1" showInputMessage="1" showErrorMessage="1" promptTitle="Remarks" prompt="A general comment (data source, calculation procedure, ...) can be made about each individual exchange. The remarks are added to the GeneralComment-field." sqref="AC3:AD3 AC11:AD16" xr:uid="{00000000-0002-0000-3900-000007000000}"/>
    <dataValidation allowBlank="1" showInputMessage="1" showErrorMessage="1" prompt="Do not change." sqref="AK3:AU4 AM7:AU10" xr:uid="{00000000-0002-0000-3900-000008000000}"/>
    <dataValidation allowBlank="1" showInputMessage="1" showErrorMessage="1" prompt="This cell is automatically updated from the names List according to the index number in L1. It needs to be identical to the output product." sqref="L3:L6 P3:P6 T3:T6 X3:X6 AX3:AX6" xr:uid="{00000000-0002-0000-3900-000009000000}"/>
    <dataValidation allowBlank="1" showInputMessage="1" showErrorMessage="1" promptTitle="Unit" prompt="Unit of the exchange (elementary flow or intermediate product flow)." sqref="F6 K2:K3" xr:uid="{00000000-0002-0000-3900-00000A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900-00000B000000}"/>
    <dataValidation allowBlank="1" showInputMessage="1" showErrorMessage="1" promptTitle="Name" prompt="Name of the exchange (elementary flow or intermediate product flow) in English language. " sqref="F2:F3" xr:uid="{00000000-0002-0000-3900-00000C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900-00000D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11:D16" xr:uid="{00000000-0002-0000-3900-00000E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900-00000F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11:A16" xr:uid="{00000000-0002-0000-3900-000010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F3 AF11:AF16" xr:uid="{00000000-0002-0000-3900-000011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G3 AG11:AG16" xr:uid="{00000000-0002-0000-3900-00001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H3 AH11:AH16" xr:uid="{00000000-0002-0000-3900-000013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I3 AI11:AI16" xr:uid="{00000000-0002-0000-3900-000014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J3 AJ11:AJ16" xr:uid="{00000000-0002-0000-3900-000015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E3 AE11:AE16" xr:uid="{00000000-0002-0000-3900-000016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900-000017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900-000018000000}"/>
    <dataValidation allowBlank="1" showInputMessage="1" showErrorMessage="1" prompt="always 1" sqref="L7:L10 P7:P10 T7:T10 X7:X10 AX7:AX10" xr:uid="{00000000-0002-0000-3900-000019000000}"/>
    <dataValidation allowBlank="1" showInputMessage="1" showErrorMessage="1" prompt="Mean amount of elementary flow or intermediate product flow. Enter your values (or the respective equation) here." sqref="AX11:AX16 P11:P16 T11:T16 X11:X16 L11:L16" xr:uid="{00000000-0002-0000-3900-00001A000000}"/>
    <dataValidation allowBlank="1" showInputMessage="1" showErrorMessage="1" promptTitle="Do not change" prompt="This field is automatically calculated from your inputs." sqref="AL11:AU16" xr:uid="{00000000-0002-0000-3900-00001B000000}"/>
    <dataValidation allowBlank="1" showInputMessage="1" showErrorMessage="1" promptTitle="Do not change" prompt="This field is automatically updated from the names-list" sqref="AK11:AK16" xr:uid="{00000000-0002-0000-3900-00001C000000}"/>
  </dataValidations>
  <printOptions horizontalCentered="1" verticalCentered="1"/>
  <pageMargins left="0.78740157480314965" right="0.78740157480314965" top="0.98425196850393704" bottom="0.98425196850393704" header="0.51181102362204722" footer="0.51181102362204722"/>
  <pageSetup paperSize="9" scale="32" orientation="landscape" r:id="rId1"/>
  <headerFooter alignWithMargins="0">
    <oddHeader>&amp;L&amp;C&amp;R</oddHeader>
    <oddFooter>&amp;L&amp;D&amp;C&amp;F&amp;RSeite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Tabelle42">
    <tabColor rgb="FF9CD9F0"/>
    <pageSetUpPr fitToPage="1"/>
  </sheetPr>
  <dimension ref="A1:O20"/>
  <sheetViews>
    <sheetView workbookViewId="0">
      <selection activeCell="L18" sqref="L18"/>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customWidth="1" outlineLevel="1"/>
    <col min="15" max="15" width="50.7109375" style="116" customWidth="1" outlineLevel="1"/>
    <col min="16" max="16384" width="11.42578125" style="378"/>
  </cols>
  <sheetData>
    <row r="1" spans="1:15">
      <c r="A1" s="77"/>
      <c r="B1" s="78"/>
      <c r="C1" s="79"/>
      <c r="D1" s="77"/>
      <c r="E1" s="77"/>
      <c r="F1" s="80" t="s">
        <v>65</v>
      </c>
      <c r="G1" s="77"/>
      <c r="H1" s="77"/>
      <c r="I1" s="77"/>
      <c r="J1" s="77"/>
      <c r="K1" s="77"/>
      <c r="L1" s="330">
        <v>256514</v>
      </c>
      <c r="M1" s="81"/>
      <c r="N1" s="81"/>
      <c r="O1" s="81"/>
    </row>
    <row r="2" spans="1:15">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15" ht="102" customHeight="1">
      <c r="A3" s="83" t="s">
        <v>68</v>
      </c>
      <c r="B3" s="84"/>
      <c r="C3" s="79">
        <v>401</v>
      </c>
      <c r="D3" s="85" t="s">
        <v>69</v>
      </c>
      <c r="E3" s="85" t="s">
        <v>70</v>
      </c>
      <c r="F3" s="86" t="s">
        <v>71</v>
      </c>
      <c r="G3" s="85" t="s">
        <v>72</v>
      </c>
      <c r="H3" s="85" t="s">
        <v>73</v>
      </c>
      <c r="I3" s="85" t="s">
        <v>74</v>
      </c>
      <c r="J3" s="85" t="s">
        <v>75</v>
      </c>
      <c r="K3" s="85" t="s">
        <v>76</v>
      </c>
      <c r="L3" s="87" t="s">
        <v>1586</v>
      </c>
      <c r="M3" s="422" t="s">
        <v>78</v>
      </c>
      <c r="N3" s="422" t="s">
        <v>79</v>
      </c>
      <c r="O3" s="423" t="s">
        <v>80</v>
      </c>
    </row>
    <row r="4" spans="1:15" ht="12" customHeight="1">
      <c r="A4" s="77"/>
      <c r="B4" s="84"/>
      <c r="C4" s="79">
        <v>662</v>
      </c>
      <c r="D4" s="86"/>
      <c r="E4" s="86"/>
      <c r="F4" s="86" t="s">
        <v>72</v>
      </c>
      <c r="G4" s="86"/>
      <c r="H4" s="86"/>
      <c r="I4" s="86"/>
      <c r="J4" s="86"/>
      <c r="K4" s="86"/>
      <c r="L4" s="87" t="s">
        <v>340</v>
      </c>
      <c r="M4" s="425"/>
      <c r="N4" s="425"/>
      <c r="O4" s="426"/>
    </row>
    <row r="5" spans="1:15" ht="12" customHeight="1">
      <c r="A5" s="77"/>
      <c r="B5" s="84"/>
      <c r="C5" s="79">
        <v>493</v>
      </c>
      <c r="D5" s="86"/>
      <c r="E5" s="86"/>
      <c r="F5" s="86" t="s">
        <v>75</v>
      </c>
      <c r="G5" s="86"/>
      <c r="H5" s="86"/>
      <c r="I5" s="86"/>
      <c r="J5" s="86"/>
      <c r="K5" s="86"/>
      <c r="L5" s="87">
        <v>0</v>
      </c>
      <c r="M5" s="425"/>
      <c r="N5" s="425"/>
      <c r="O5" s="426"/>
    </row>
    <row r="6" spans="1:15" ht="12" customHeight="1">
      <c r="A6" s="77"/>
      <c r="B6" s="84"/>
      <c r="C6" s="79">
        <v>403</v>
      </c>
      <c r="D6" s="86"/>
      <c r="E6" s="86"/>
      <c r="F6" s="86" t="s">
        <v>76</v>
      </c>
      <c r="G6" s="86"/>
      <c r="H6" s="86"/>
      <c r="I6" s="86"/>
      <c r="J6" s="86"/>
      <c r="K6" s="86"/>
      <c r="L6" s="87" t="s">
        <v>96</v>
      </c>
      <c r="M6" s="425"/>
      <c r="N6" s="425"/>
      <c r="O6" s="426"/>
    </row>
    <row r="7" spans="1:15">
      <c r="A7" s="330">
        <v>256514</v>
      </c>
      <c r="B7" s="331" t="s">
        <v>97</v>
      </c>
      <c r="C7" s="88"/>
      <c r="D7" s="294" t="s">
        <v>98</v>
      </c>
      <c r="E7" s="295">
        <v>0</v>
      </c>
      <c r="F7" s="429" t="s">
        <v>1586</v>
      </c>
      <c r="G7" s="430" t="s">
        <v>340</v>
      </c>
      <c r="H7" s="431" t="s">
        <v>98</v>
      </c>
      <c r="I7" s="431" t="s">
        <v>98</v>
      </c>
      <c r="J7" s="89">
        <v>0</v>
      </c>
      <c r="K7" s="430" t="s">
        <v>96</v>
      </c>
      <c r="L7" s="90">
        <v>1</v>
      </c>
      <c r="M7" s="91"/>
      <c r="N7" s="92"/>
      <c r="O7" s="93"/>
    </row>
    <row r="8" spans="1:15">
      <c r="A8" s="330">
        <v>79235</v>
      </c>
      <c r="B8" s="331" t="s">
        <v>221</v>
      </c>
      <c r="C8" s="88"/>
      <c r="D8" s="340">
        <v>5</v>
      </c>
      <c r="E8" s="341" t="s">
        <v>98</v>
      </c>
      <c r="F8" s="432" t="s">
        <v>688</v>
      </c>
      <c r="G8" s="433" t="s">
        <v>340</v>
      </c>
      <c r="H8" s="434" t="s">
        <v>98</v>
      </c>
      <c r="I8" s="434" t="s">
        <v>98</v>
      </c>
      <c r="J8" s="94">
        <v>0</v>
      </c>
      <c r="K8" s="433" t="s">
        <v>109</v>
      </c>
      <c r="L8" s="435">
        <v>0.26502771240820167</v>
      </c>
      <c r="M8" s="95">
        <v>1</v>
      </c>
      <c r="N8" s="96">
        <v>1.1358476947699978</v>
      </c>
      <c r="O8" s="432" t="s">
        <v>3070</v>
      </c>
    </row>
    <row r="9" spans="1:15">
      <c r="A9" s="330">
        <v>268989</v>
      </c>
      <c r="B9" s="331" t="s">
        <v>529</v>
      </c>
      <c r="C9" s="88"/>
      <c r="D9" s="340">
        <v>5</v>
      </c>
      <c r="E9" s="341" t="s">
        <v>98</v>
      </c>
      <c r="F9" s="432" t="s">
        <v>1589</v>
      </c>
      <c r="G9" s="433" t="s">
        <v>103</v>
      </c>
      <c r="H9" s="434" t="s">
        <v>98</v>
      </c>
      <c r="I9" s="434" t="s">
        <v>98</v>
      </c>
      <c r="J9" s="94">
        <v>0</v>
      </c>
      <c r="K9" s="433" t="s">
        <v>96</v>
      </c>
      <c r="L9" s="435">
        <v>0.32812954869586897</v>
      </c>
      <c r="M9" s="95">
        <v>1</v>
      </c>
      <c r="N9" s="96">
        <v>1.1358476947699978</v>
      </c>
      <c r="O9" s="432" t="s">
        <v>3070</v>
      </c>
    </row>
    <row r="10" spans="1:15">
      <c r="A10" s="330">
        <v>269295</v>
      </c>
      <c r="B10" s="331" t="s">
        <v>529</v>
      </c>
      <c r="C10" s="88"/>
      <c r="D10" s="340">
        <v>5</v>
      </c>
      <c r="E10" s="341" t="s">
        <v>98</v>
      </c>
      <c r="F10" s="432" t="s">
        <v>239</v>
      </c>
      <c r="G10" s="433" t="s">
        <v>93</v>
      </c>
      <c r="H10" s="434" t="s">
        <v>98</v>
      </c>
      <c r="I10" s="434" t="s">
        <v>98</v>
      </c>
      <c r="J10" s="94">
        <v>0</v>
      </c>
      <c r="K10" s="433" t="s">
        <v>96</v>
      </c>
      <c r="L10" s="435">
        <v>5.0481469030133636E-3</v>
      </c>
      <c r="M10" s="95">
        <v>1</v>
      </c>
      <c r="N10" s="96">
        <v>1.1358476947699978</v>
      </c>
      <c r="O10" s="432" t="s">
        <v>3070</v>
      </c>
    </row>
    <row r="11" spans="1:15">
      <c r="A11" s="330">
        <v>269211</v>
      </c>
      <c r="B11" s="331" t="s">
        <v>529</v>
      </c>
      <c r="C11" s="88"/>
      <c r="D11" s="340">
        <v>5</v>
      </c>
      <c r="E11" s="341" t="s">
        <v>98</v>
      </c>
      <c r="F11" s="432" t="s">
        <v>838</v>
      </c>
      <c r="G11" s="433" t="s">
        <v>93</v>
      </c>
      <c r="H11" s="434" t="s">
        <v>98</v>
      </c>
      <c r="I11" s="434" t="s">
        <v>98</v>
      </c>
      <c r="J11" s="94">
        <v>0</v>
      </c>
      <c r="K11" s="433" t="s">
        <v>96</v>
      </c>
      <c r="L11" s="435">
        <v>3.4579806285641529E-2</v>
      </c>
      <c r="M11" s="95">
        <v>1</v>
      </c>
      <c r="N11" s="96">
        <v>1.1358476947699978</v>
      </c>
      <c r="O11" s="432" t="s">
        <v>3070</v>
      </c>
    </row>
    <row r="12" spans="1:15" ht="24" customHeight="1">
      <c r="A12" s="330">
        <v>269497</v>
      </c>
      <c r="B12" s="331" t="s">
        <v>529</v>
      </c>
      <c r="C12" s="88"/>
      <c r="D12" s="340">
        <v>5</v>
      </c>
      <c r="E12" s="341" t="s">
        <v>98</v>
      </c>
      <c r="F12" s="432" t="s">
        <v>468</v>
      </c>
      <c r="G12" s="433" t="s">
        <v>93</v>
      </c>
      <c r="H12" s="434" t="s">
        <v>98</v>
      </c>
      <c r="I12" s="434" t="s">
        <v>98</v>
      </c>
      <c r="J12" s="94">
        <v>0</v>
      </c>
      <c r="K12" s="433" t="s">
        <v>96</v>
      </c>
      <c r="L12" s="435">
        <v>6.3101836287667275E-3</v>
      </c>
      <c r="M12" s="95">
        <v>1</v>
      </c>
      <c r="N12" s="96">
        <v>1.1358476947699978</v>
      </c>
      <c r="O12" s="432" t="s">
        <v>3070</v>
      </c>
    </row>
    <row r="13" spans="1:15" ht="24" customHeight="1">
      <c r="A13" s="330">
        <v>264253</v>
      </c>
      <c r="B13" s="331" t="s">
        <v>529</v>
      </c>
      <c r="C13" s="88"/>
      <c r="D13" s="340">
        <v>5</v>
      </c>
      <c r="E13" s="341" t="s">
        <v>98</v>
      </c>
      <c r="F13" s="432" t="s">
        <v>1562</v>
      </c>
      <c r="G13" s="433" t="s">
        <v>93</v>
      </c>
      <c r="H13" s="434" t="s">
        <v>98</v>
      </c>
      <c r="I13" s="434" t="s">
        <v>98</v>
      </c>
      <c r="J13" s="94">
        <v>0</v>
      </c>
      <c r="K13" s="433" t="s">
        <v>115</v>
      </c>
      <c r="L13" s="435">
        <v>0.1</v>
      </c>
      <c r="M13" s="95">
        <v>1</v>
      </c>
      <c r="N13" s="96">
        <v>2.0949941301068096</v>
      </c>
      <c r="O13" s="432" t="s">
        <v>3072</v>
      </c>
    </row>
    <row r="14" spans="1:15" ht="24" customHeight="1">
      <c r="A14" s="330">
        <v>269641</v>
      </c>
      <c r="B14" s="331" t="s">
        <v>529</v>
      </c>
      <c r="C14" s="88"/>
      <c r="D14" s="340">
        <v>5</v>
      </c>
      <c r="E14" s="341" t="s">
        <v>98</v>
      </c>
      <c r="F14" s="432" t="s">
        <v>240</v>
      </c>
      <c r="G14" s="433" t="s">
        <v>93</v>
      </c>
      <c r="H14" s="434" t="s">
        <v>98</v>
      </c>
      <c r="I14" s="434" t="s">
        <v>98</v>
      </c>
      <c r="J14" s="94">
        <v>0</v>
      </c>
      <c r="K14" s="433" t="s">
        <v>115</v>
      </c>
      <c r="L14" s="435">
        <v>0.57847094376499619</v>
      </c>
      <c r="M14" s="95">
        <v>1</v>
      </c>
      <c r="N14" s="96">
        <v>2.0949941301068096</v>
      </c>
      <c r="O14" s="432" t="s">
        <v>3074</v>
      </c>
    </row>
    <row r="15" spans="1:15" ht="36" customHeight="1">
      <c r="A15" s="330">
        <v>268983</v>
      </c>
      <c r="B15" s="331" t="s">
        <v>529</v>
      </c>
      <c r="C15" s="88"/>
      <c r="D15" s="340">
        <v>5</v>
      </c>
      <c r="E15" s="341" t="s">
        <v>98</v>
      </c>
      <c r="F15" s="432" t="s">
        <v>1005</v>
      </c>
      <c r="G15" s="433" t="s">
        <v>103</v>
      </c>
      <c r="H15" s="434" t="s">
        <v>98</v>
      </c>
      <c r="I15" s="434" t="s">
        <v>98</v>
      </c>
      <c r="J15" s="94">
        <v>0</v>
      </c>
      <c r="K15" s="433" t="s">
        <v>119</v>
      </c>
      <c r="L15" s="435">
        <v>2.9026844692326873E-4</v>
      </c>
      <c r="M15" s="95">
        <v>1</v>
      </c>
      <c r="N15" s="96">
        <v>1.1358476947699978</v>
      </c>
      <c r="O15" s="432" t="s">
        <v>3070</v>
      </c>
    </row>
    <row r="16" spans="1:15" ht="36" customHeight="1">
      <c r="A16" s="330">
        <v>268985</v>
      </c>
      <c r="B16" s="331" t="s">
        <v>529</v>
      </c>
      <c r="C16" s="88"/>
      <c r="D16" s="340">
        <v>5</v>
      </c>
      <c r="E16" s="341" t="s">
        <v>98</v>
      </c>
      <c r="F16" s="432" t="s">
        <v>1299</v>
      </c>
      <c r="G16" s="433" t="s">
        <v>103</v>
      </c>
      <c r="H16" s="434" t="s">
        <v>98</v>
      </c>
      <c r="I16" s="434" t="s">
        <v>98</v>
      </c>
      <c r="J16" s="94">
        <v>0</v>
      </c>
      <c r="K16" s="433" t="s">
        <v>96</v>
      </c>
      <c r="L16" s="435">
        <v>3.7304222196643151E-2</v>
      </c>
      <c r="M16" s="95">
        <v>1</v>
      </c>
      <c r="N16" s="96">
        <v>1.1358476947699978</v>
      </c>
      <c r="O16" s="432" t="s">
        <v>3070</v>
      </c>
    </row>
    <row r="17" spans="1:15" ht="36" customHeight="1">
      <c r="A17" s="330">
        <v>269455</v>
      </c>
      <c r="B17" s="331" t="s">
        <v>529</v>
      </c>
      <c r="C17" s="88"/>
      <c r="D17" s="340">
        <v>5</v>
      </c>
      <c r="E17" s="341" t="s">
        <v>98</v>
      </c>
      <c r="F17" s="432" t="s">
        <v>1217</v>
      </c>
      <c r="G17" s="433" t="s">
        <v>103</v>
      </c>
      <c r="H17" s="434" t="s">
        <v>98</v>
      </c>
      <c r="I17" s="434" t="s">
        <v>98</v>
      </c>
      <c r="J17" s="94">
        <v>0</v>
      </c>
      <c r="K17" s="433" t="s">
        <v>96</v>
      </c>
      <c r="L17" s="435">
        <v>7.7828952784363163E-3</v>
      </c>
      <c r="M17" s="95">
        <v>1</v>
      </c>
      <c r="N17" s="96">
        <v>1.1358476947699978</v>
      </c>
      <c r="O17" s="432" t="s">
        <v>3070</v>
      </c>
    </row>
    <row r="18" spans="1:15" ht="48" customHeight="1">
      <c r="A18" s="330">
        <v>157803</v>
      </c>
      <c r="B18" s="331" t="s">
        <v>1790</v>
      </c>
      <c r="C18" s="88"/>
      <c r="D18" s="340" t="s">
        <v>98</v>
      </c>
      <c r="E18" s="341">
        <v>4</v>
      </c>
      <c r="F18" s="432" t="s">
        <v>352</v>
      </c>
      <c r="G18" s="433" t="s">
        <v>98</v>
      </c>
      <c r="H18" s="434" t="s">
        <v>247</v>
      </c>
      <c r="I18" s="434" t="s">
        <v>248</v>
      </c>
      <c r="J18" s="94" t="s">
        <v>98</v>
      </c>
      <c r="K18" s="433" t="s">
        <v>96</v>
      </c>
      <c r="L18" s="435">
        <v>3.5675254163595478E-10</v>
      </c>
      <c r="M18" s="95">
        <v>1</v>
      </c>
      <c r="N18" s="96">
        <v>5.021523473777969</v>
      </c>
      <c r="O18" s="432" t="s">
        <v>3070</v>
      </c>
    </row>
    <row r="19" spans="1:15" ht="48" customHeight="1">
      <c r="A19" s="330">
        <v>160297</v>
      </c>
      <c r="B19" s="331" t="s">
        <v>1537</v>
      </c>
      <c r="C19" s="88"/>
      <c r="D19" s="340" t="s">
        <v>98</v>
      </c>
      <c r="E19" s="341">
        <v>4</v>
      </c>
      <c r="F19" s="432" t="s">
        <v>352</v>
      </c>
      <c r="G19" s="433" t="s">
        <v>98</v>
      </c>
      <c r="H19" s="434" t="s">
        <v>344</v>
      </c>
      <c r="I19" s="434" t="s">
        <v>248</v>
      </c>
      <c r="J19" s="94" t="s">
        <v>98</v>
      </c>
      <c r="K19" s="433" t="s">
        <v>96</v>
      </c>
      <c r="L19" s="435">
        <v>5.4036598903263104E-9</v>
      </c>
      <c r="M19" s="95">
        <v>1</v>
      </c>
      <c r="N19" s="96">
        <v>3.0189088199182486</v>
      </c>
      <c r="O19" s="432" t="s">
        <v>3070</v>
      </c>
    </row>
    <row r="20" spans="1:15" s="407" customFormat="1">
      <c r="A20" s="378"/>
      <c r="B20" s="114"/>
      <c r="C20" s="115"/>
      <c r="D20" s="378"/>
      <c r="E20" s="378"/>
      <c r="F20" s="378"/>
      <c r="G20" s="378"/>
      <c r="H20" s="378"/>
      <c r="I20" s="378"/>
      <c r="J20" s="378"/>
      <c r="K20" s="378"/>
      <c r="L20" s="378"/>
      <c r="M20" s="378"/>
      <c r="N20" s="378"/>
      <c r="O20" s="378"/>
    </row>
  </sheetData>
  <conditionalFormatting sqref="D8:O19">
    <cfRule type="expression" dxfId="128" priority="7">
      <formula>MOD(ROW(),2)=0</formula>
    </cfRule>
  </conditionalFormatting>
  <dataValidations xWindow="1129" yWindow="577" count="19">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A00-000001000000}"/>
    <dataValidation allowBlank="1" showInputMessage="1" showErrorMessage="1" prompt="This cell is automatically updated from the names List according to the index number in L1. It needs to be identical to the output product." sqref="L3:L6" xr:uid="{00000000-0002-0000-3A00-000004000000}"/>
    <dataValidation allowBlank="1" showInputMessage="1" showErrorMessage="1" promptTitle="Unit" prompt="Unit of the exchange (elementary flow or intermediate product flow)." sqref="F6 K2:K3" xr:uid="{00000000-0002-0000-3A00-000005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A00-000006000000}"/>
    <dataValidation allowBlank="1" showInputMessage="1" showErrorMessage="1" promptTitle="Name" prompt="Name of the exchange (elementary flow or intermediate product flow) in English language. " sqref="F2:F3" xr:uid="{00000000-0002-0000-3A00-000007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A00-000008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9" xr:uid="{00000000-0002-0000-3A00-000009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A00-00000A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9" xr:uid="{00000000-0002-0000-3A00-00000B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A00-000012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A00-000013000000}"/>
    <dataValidation allowBlank="1" showInputMessage="1" showErrorMessage="1" prompt="always 1" sqref="L7" xr:uid="{00000000-0002-0000-3A00-000014000000}"/>
    <dataValidation allowBlank="1" showInputMessage="1" showErrorMessage="1" prompt="Mean amount of elementary flow or intermediate product flow. Enter your values (or the respective equation) here." sqref="L8:L19" xr:uid="{00000000-0002-0000-3A00-000015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9" xr:uid="{00000000-0002-0000-3A00-000018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9" xr:uid="{00000000-0002-0000-3A00-000019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9" xr:uid="{00000000-0002-0000-3A00-00001A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9" xr:uid="{00000000-0002-0000-3A00-00001B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19" xr:uid="{00000000-0002-0000-3A00-00001C000000}"/>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20:HR20" xr:uid="{00000000-0002-0000-3A00-000000000000}"/>
  </dataValidations>
  <printOptions horizontalCentered="1" verticalCentered="1"/>
  <pageMargins left="0.78740157480314965" right="0.78740157480314965" top="0.98425196850393704" bottom="0.98425196850393704" header="0.51181102362204722" footer="0.51181102362204722"/>
  <pageSetup paperSize="9" scale="38" orientation="landscape" r:id="rId1"/>
  <headerFooter alignWithMargins="0">
    <oddHeader>&amp;L&amp;C&amp;R</oddHeader>
    <oddFooter>&amp;L&amp;D&amp;C&amp;F&amp;RSeite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Tabelle43">
    <tabColor rgb="FF9CD9F0"/>
    <pageSetUpPr fitToPage="1"/>
  </sheetPr>
  <dimension ref="A1:P19"/>
  <sheetViews>
    <sheetView workbookViewId="0">
      <selection activeCell="L15" sqref="L15"/>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customWidth="1" outlineLevel="1"/>
    <col min="15" max="15" width="50.7109375" style="116" customWidth="1" outlineLevel="1"/>
    <col min="16" max="16" width="14.28515625" style="116" customWidth="1"/>
    <col min="17" max="16384" width="11.42578125" style="378"/>
  </cols>
  <sheetData>
    <row r="1" spans="1:15">
      <c r="A1" s="77"/>
      <c r="B1" s="78"/>
      <c r="C1" s="79"/>
      <c r="D1" s="77"/>
      <c r="E1" s="77"/>
      <c r="F1" s="80" t="s">
        <v>65</v>
      </c>
      <c r="G1" s="77"/>
      <c r="H1" s="77"/>
      <c r="I1" s="77"/>
      <c r="J1" s="77"/>
      <c r="K1" s="77"/>
      <c r="L1" s="330">
        <v>259983</v>
      </c>
      <c r="M1" s="81"/>
      <c r="N1" s="81"/>
      <c r="O1" s="81"/>
    </row>
    <row r="2" spans="1:15">
      <c r="A2" s="77"/>
      <c r="B2" s="82"/>
      <c r="C2" s="79" t="s">
        <v>67</v>
      </c>
      <c r="D2" s="82">
        <v>3503</v>
      </c>
      <c r="E2" s="82">
        <v>3504</v>
      </c>
      <c r="F2" s="82">
        <v>3702</v>
      </c>
      <c r="G2" s="82">
        <v>3703</v>
      </c>
      <c r="H2" s="82">
        <v>3506</v>
      </c>
      <c r="I2" s="82">
        <v>3507</v>
      </c>
      <c r="J2" s="82">
        <v>3508</v>
      </c>
      <c r="K2" s="82">
        <v>3706</v>
      </c>
      <c r="L2" s="82">
        <v>3707</v>
      </c>
      <c r="M2" s="419">
        <v>3708</v>
      </c>
      <c r="N2" s="419">
        <v>3709</v>
      </c>
      <c r="O2" s="420">
        <v>3792</v>
      </c>
    </row>
    <row r="3" spans="1:15" ht="102" customHeight="1">
      <c r="A3" s="83" t="s">
        <v>68</v>
      </c>
      <c r="B3" s="84"/>
      <c r="C3" s="79">
        <v>401</v>
      </c>
      <c r="D3" s="85" t="s">
        <v>69</v>
      </c>
      <c r="E3" s="85" t="s">
        <v>70</v>
      </c>
      <c r="F3" s="86" t="s">
        <v>71</v>
      </c>
      <c r="G3" s="85" t="s">
        <v>72</v>
      </c>
      <c r="H3" s="85" t="s">
        <v>73</v>
      </c>
      <c r="I3" s="85" t="s">
        <v>74</v>
      </c>
      <c r="J3" s="85" t="s">
        <v>75</v>
      </c>
      <c r="K3" s="85" t="s">
        <v>76</v>
      </c>
      <c r="L3" s="87" t="s">
        <v>1591</v>
      </c>
      <c r="M3" s="422" t="s">
        <v>78</v>
      </c>
      <c r="N3" s="422" t="s">
        <v>79</v>
      </c>
      <c r="O3" s="423" t="s">
        <v>80</v>
      </c>
    </row>
    <row r="4" spans="1:15" ht="12" customHeight="1">
      <c r="A4" s="77"/>
      <c r="B4" s="84"/>
      <c r="C4" s="79">
        <v>662</v>
      </c>
      <c r="D4" s="86"/>
      <c r="E4" s="86"/>
      <c r="F4" s="86" t="s">
        <v>72</v>
      </c>
      <c r="G4" s="86"/>
      <c r="H4" s="86"/>
      <c r="I4" s="86"/>
      <c r="J4" s="86"/>
      <c r="K4" s="86"/>
      <c r="L4" s="87" t="s">
        <v>340</v>
      </c>
      <c r="M4" s="425"/>
      <c r="N4" s="425"/>
      <c r="O4" s="426"/>
    </row>
    <row r="5" spans="1:15" ht="12" customHeight="1">
      <c r="A5" s="77"/>
      <c r="B5" s="84"/>
      <c r="C5" s="79">
        <v>493</v>
      </c>
      <c r="D5" s="86"/>
      <c r="E5" s="86"/>
      <c r="F5" s="86" t="s">
        <v>75</v>
      </c>
      <c r="G5" s="86"/>
      <c r="H5" s="86"/>
      <c r="I5" s="86"/>
      <c r="J5" s="86"/>
      <c r="K5" s="86"/>
      <c r="L5" s="87">
        <v>0</v>
      </c>
      <c r="M5" s="425"/>
      <c r="N5" s="425"/>
      <c r="O5" s="426"/>
    </row>
    <row r="6" spans="1:15" ht="12" customHeight="1">
      <c r="A6" s="77"/>
      <c r="B6" s="84"/>
      <c r="C6" s="79">
        <v>403</v>
      </c>
      <c r="D6" s="86"/>
      <c r="E6" s="86"/>
      <c r="F6" s="86" t="s">
        <v>76</v>
      </c>
      <c r="G6" s="86"/>
      <c r="H6" s="86"/>
      <c r="I6" s="86"/>
      <c r="J6" s="86"/>
      <c r="K6" s="86"/>
      <c r="L6" s="87" t="s">
        <v>96</v>
      </c>
      <c r="M6" s="425"/>
      <c r="N6" s="425"/>
      <c r="O6" s="426"/>
    </row>
    <row r="7" spans="1:15" ht="24" customHeight="1">
      <c r="A7" s="330">
        <v>259983</v>
      </c>
      <c r="B7" s="331" t="s">
        <v>97</v>
      </c>
      <c r="C7" s="88"/>
      <c r="D7" s="294" t="s">
        <v>98</v>
      </c>
      <c r="E7" s="295">
        <v>0</v>
      </c>
      <c r="F7" s="429" t="s">
        <v>1591</v>
      </c>
      <c r="G7" s="430" t="s">
        <v>340</v>
      </c>
      <c r="H7" s="431" t="s">
        <v>98</v>
      </c>
      <c r="I7" s="431" t="s">
        <v>98</v>
      </c>
      <c r="J7" s="89">
        <v>0</v>
      </c>
      <c r="K7" s="430" t="s">
        <v>96</v>
      </c>
      <c r="L7" s="90">
        <v>1</v>
      </c>
      <c r="M7" s="91"/>
      <c r="N7" s="92"/>
      <c r="O7" s="93"/>
    </row>
    <row r="8" spans="1:15" ht="24" customHeight="1">
      <c r="A8" s="330">
        <v>269447</v>
      </c>
      <c r="B8" s="331" t="s">
        <v>221</v>
      </c>
      <c r="C8" s="88"/>
      <c r="D8" s="340">
        <v>5</v>
      </c>
      <c r="E8" s="341" t="s">
        <v>98</v>
      </c>
      <c r="F8" s="432" t="s">
        <v>228</v>
      </c>
      <c r="G8" s="433" t="s">
        <v>103</v>
      </c>
      <c r="H8" s="434" t="s">
        <v>98</v>
      </c>
      <c r="I8" s="434" t="s">
        <v>98</v>
      </c>
      <c r="J8" s="94">
        <v>0</v>
      </c>
      <c r="K8" s="433" t="s">
        <v>104</v>
      </c>
      <c r="L8" s="435">
        <v>-1.1852536036550034</v>
      </c>
      <c r="M8" s="95">
        <v>1</v>
      </c>
      <c r="N8" s="96">
        <v>1.1358476947699978</v>
      </c>
      <c r="O8" s="432" t="s">
        <v>3076</v>
      </c>
    </row>
    <row r="9" spans="1:15" ht="24" customHeight="1">
      <c r="A9" s="330">
        <v>269583</v>
      </c>
      <c r="B9" s="331" t="s">
        <v>529</v>
      </c>
      <c r="C9" s="88"/>
      <c r="D9" s="340">
        <v>5</v>
      </c>
      <c r="E9" s="341" t="s">
        <v>98</v>
      </c>
      <c r="F9" s="432" t="s">
        <v>227</v>
      </c>
      <c r="G9" s="433" t="s">
        <v>93</v>
      </c>
      <c r="H9" s="434" t="s">
        <v>98</v>
      </c>
      <c r="I9" s="434" t="s">
        <v>98</v>
      </c>
      <c r="J9" s="94">
        <v>0</v>
      </c>
      <c r="K9" s="433" t="s">
        <v>104</v>
      </c>
      <c r="L9" s="435">
        <v>-0.7672957539450812</v>
      </c>
      <c r="M9" s="95">
        <v>1</v>
      </c>
      <c r="N9" s="96">
        <v>1.1358476947699978</v>
      </c>
      <c r="O9" s="432" t="s">
        <v>3076</v>
      </c>
    </row>
    <row r="10" spans="1:15" ht="24" customHeight="1">
      <c r="A10" s="330">
        <v>268503</v>
      </c>
      <c r="B10" s="331" t="s">
        <v>529</v>
      </c>
      <c r="C10" s="88"/>
      <c r="D10" s="340">
        <v>5</v>
      </c>
      <c r="E10" s="341" t="s">
        <v>98</v>
      </c>
      <c r="F10" s="432" t="s">
        <v>393</v>
      </c>
      <c r="G10" s="433" t="s">
        <v>340</v>
      </c>
      <c r="H10" s="434" t="s">
        <v>98</v>
      </c>
      <c r="I10" s="434" t="s">
        <v>98</v>
      </c>
      <c r="J10" s="94">
        <v>0</v>
      </c>
      <c r="K10" s="433" t="s">
        <v>96</v>
      </c>
      <c r="L10" s="435">
        <v>-0.50078697581329834</v>
      </c>
      <c r="M10" s="95">
        <v>1</v>
      </c>
      <c r="N10" s="96">
        <v>1.1358476947699978</v>
      </c>
      <c r="O10" s="432" t="s">
        <v>3076</v>
      </c>
    </row>
    <row r="11" spans="1:15" ht="24" customHeight="1">
      <c r="A11" s="330">
        <v>269205</v>
      </c>
      <c r="B11" s="331" t="s">
        <v>529</v>
      </c>
      <c r="C11" s="88"/>
      <c r="D11" s="340">
        <v>5</v>
      </c>
      <c r="E11" s="341" t="s">
        <v>98</v>
      </c>
      <c r="F11" s="432" t="s">
        <v>1568</v>
      </c>
      <c r="G11" s="433" t="s">
        <v>93</v>
      </c>
      <c r="H11" s="434" t="s">
        <v>98</v>
      </c>
      <c r="I11" s="434" t="s">
        <v>98</v>
      </c>
      <c r="J11" s="94">
        <v>0</v>
      </c>
      <c r="K11" s="433" t="s">
        <v>96</v>
      </c>
      <c r="L11" s="435">
        <v>-0.19840868072879814</v>
      </c>
      <c r="M11" s="95">
        <v>1</v>
      </c>
      <c r="N11" s="96">
        <v>1.1358476947699978</v>
      </c>
      <c r="O11" s="432" t="s">
        <v>3076</v>
      </c>
    </row>
    <row r="12" spans="1:15" ht="24" customHeight="1">
      <c r="A12" s="330">
        <v>269203</v>
      </c>
      <c r="B12" s="331" t="s">
        <v>529</v>
      </c>
      <c r="C12" s="88"/>
      <c r="D12" s="340">
        <v>5</v>
      </c>
      <c r="E12" s="341" t="s">
        <v>98</v>
      </c>
      <c r="F12" s="432" t="s">
        <v>1569</v>
      </c>
      <c r="G12" s="433" t="s">
        <v>103</v>
      </c>
      <c r="H12" s="434" t="s">
        <v>98</v>
      </c>
      <c r="I12" s="434" t="s">
        <v>98</v>
      </c>
      <c r="J12" s="94">
        <v>0</v>
      </c>
      <c r="K12" s="433" t="s">
        <v>96</v>
      </c>
      <c r="L12" s="435">
        <v>-0.34656538118567365</v>
      </c>
      <c r="M12" s="95">
        <v>1</v>
      </c>
      <c r="N12" s="96">
        <v>1.1358476947699978</v>
      </c>
      <c r="O12" s="432" t="s">
        <v>3076</v>
      </c>
    </row>
    <row r="13" spans="1:15" ht="48" customHeight="1">
      <c r="A13" s="330">
        <v>160379</v>
      </c>
      <c r="B13" s="331" t="s">
        <v>529</v>
      </c>
      <c r="C13" s="88"/>
      <c r="D13" s="340">
        <v>5</v>
      </c>
      <c r="E13" s="341" t="s">
        <v>98</v>
      </c>
      <c r="F13" s="432" t="s">
        <v>1174</v>
      </c>
      <c r="G13" s="433" t="s">
        <v>93</v>
      </c>
      <c r="H13" s="434" t="s">
        <v>98</v>
      </c>
      <c r="I13" s="434" t="s">
        <v>98</v>
      </c>
      <c r="J13" s="94">
        <v>0</v>
      </c>
      <c r="K13" s="433" t="s">
        <v>96</v>
      </c>
      <c r="L13" s="435">
        <v>-2.6765678731529106E-3</v>
      </c>
      <c r="M13" s="95">
        <v>1</v>
      </c>
      <c r="N13" s="96">
        <v>1.1358476947699978</v>
      </c>
      <c r="O13" s="432" t="s">
        <v>3078</v>
      </c>
    </row>
    <row r="14" spans="1:15" ht="36" customHeight="1">
      <c r="A14" s="330">
        <v>265165</v>
      </c>
      <c r="B14" s="331" t="s">
        <v>529</v>
      </c>
      <c r="C14" s="88"/>
      <c r="D14" s="340">
        <v>5</v>
      </c>
      <c r="E14" s="341" t="s">
        <v>98</v>
      </c>
      <c r="F14" s="432" t="s">
        <v>1572</v>
      </c>
      <c r="G14" s="433" t="s">
        <v>93</v>
      </c>
      <c r="H14" s="434" t="s">
        <v>98</v>
      </c>
      <c r="I14" s="434" t="s">
        <v>98</v>
      </c>
      <c r="J14" s="94">
        <v>0</v>
      </c>
      <c r="K14" s="433" t="s">
        <v>96</v>
      </c>
      <c r="L14" s="435">
        <v>2.6765678731529106E-3</v>
      </c>
      <c r="M14" s="95">
        <v>1</v>
      </c>
      <c r="N14" s="96">
        <v>1.1358476947699978</v>
      </c>
      <c r="O14" s="432" t="s">
        <v>3079</v>
      </c>
    </row>
    <row r="15" spans="1:15" ht="24" customHeight="1">
      <c r="A15" s="330">
        <v>259979</v>
      </c>
      <c r="B15" s="331" t="s">
        <v>529</v>
      </c>
      <c r="C15" s="88"/>
      <c r="D15" s="340">
        <v>5</v>
      </c>
      <c r="E15" s="341" t="s">
        <v>98</v>
      </c>
      <c r="F15" s="432" t="s">
        <v>1592</v>
      </c>
      <c r="G15" s="433" t="s">
        <v>154</v>
      </c>
      <c r="H15" s="434" t="s">
        <v>98</v>
      </c>
      <c r="I15" s="434" t="s">
        <v>98</v>
      </c>
      <c r="J15" s="94">
        <v>0</v>
      </c>
      <c r="K15" s="433" t="s">
        <v>96</v>
      </c>
      <c r="L15" s="435">
        <v>-1.7194294299960676E-3</v>
      </c>
      <c r="M15" s="95">
        <v>1</v>
      </c>
      <c r="N15" s="96">
        <v>1.1358476947699978</v>
      </c>
      <c r="O15" s="432" t="s">
        <v>3080</v>
      </c>
    </row>
    <row r="16" spans="1:15" ht="24" customHeight="1">
      <c r="A16" s="330">
        <v>259981</v>
      </c>
      <c r="B16" s="331" t="s">
        <v>529</v>
      </c>
      <c r="C16" s="88"/>
      <c r="D16" s="340">
        <v>5</v>
      </c>
      <c r="E16" s="341" t="s">
        <v>98</v>
      </c>
      <c r="F16" s="432" t="s">
        <v>1593</v>
      </c>
      <c r="G16" s="433" t="s">
        <v>154</v>
      </c>
      <c r="H16" s="434" t="s">
        <v>98</v>
      </c>
      <c r="I16" s="434" t="s">
        <v>98</v>
      </c>
      <c r="J16" s="94">
        <v>0</v>
      </c>
      <c r="K16" s="433" t="s">
        <v>96</v>
      </c>
      <c r="L16" s="435">
        <v>-1.9519501358318345E-3</v>
      </c>
      <c r="M16" s="95">
        <v>1</v>
      </c>
      <c r="N16" s="96">
        <v>1.1358476947699978</v>
      </c>
      <c r="O16" s="432" t="s">
        <v>3080</v>
      </c>
    </row>
    <row r="17" spans="1:15" ht="48" customHeight="1">
      <c r="A17" s="330">
        <v>90295</v>
      </c>
      <c r="B17" s="331" t="s">
        <v>1790</v>
      </c>
      <c r="C17" s="88"/>
      <c r="D17" s="340" t="s">
        <v>98</v>
      </c>
      <c r="E17" s="341">
        <v>4</v>
      </c>
      <c r="F17" s="432" t="s">
        <v>259</v>
      </c>
      <c r="G17" s="433" t="s">
        <v>98</v>
      </c>
      <c r="H17" s="434" t="s">
        <v>247</v>
      </c>
      <c r="I17" s="434" t="s">
        <v>248</v>
      </c>
      <c r="J17" s="94" t="s">
        <v>98</v>
      </c>
      <c r="K17" s="433" t="s">
        <v>96</v>
      </c>
      <c r="L17" s="435">
        <v>-0.17978079149006818</v>
      </c>
      <c r="M17" s="95">
        <v>1</v>
      </c>
      <c r="N17" s="96">
        <v>1.1358476947699978</v>
      </c>
      <c r="O17" s="432" t="s">
        <v>3076</v>
      </c>
    </row>
    <row r="19" spans="1:15">
      <c r="L19" s="487"/>
    </row>
  </sheetData>
  <conditionalFormatting sqref="D8:O17">
    <cfRule type="expression" dxfId="127" priority="6">
      <formula>MOD(ROW(),2)=0</formula>
    </cfRule>
  </conditionalFormatting>
  <dataValidations count="19">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17" xr:uid="{00000000-0002-0000-3B00-000001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7" xr:uid="{00000000-0002-0000-3B00-000002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7" xr:uid="{00000000-0002-0000-3B00-000003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7" xr:uid="{00000000-0002-0000-3B00-000004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7" xr:uid="{00000000-0002-0000-3B00-000005000000}"/>
    <dataValidation allowBlank="1" showInputMessage="1" showErrorMessage="1" prompt="Mean amount of elementary flow or intermediate product flow. Enter your values (or the respective equation) here." sqref="L8:L17" xr:uid="{00000000-0002-0000-3B00-000008000000}"/>
    <dataValidation allowBlank="1" showInputMessage="1" showErrorMessage="1" prompt="always 1" sqref="L7" xr:uid="{00000000-0002-0000-3B00-000009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B00-00000A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B00-00000B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A17" xr:uid="{00000000-0002-0000-3B00-00001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B00-000013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7" xr:uid="{00000000-0002-0000-3B00-000014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B00-000015000000}"/>
    <dataValidation allowBlank="1" showInputMessage="1" showErrorMessage="1" promptTitle="Name" prompt="Name of the exchange (elementary flow or intermediate product flow) in English language. " sqref="F2:F3" xr:uid="{00000000-0002-0000-3B00-000016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B00-000017000000}"/>
    <dataValidation allowBlank="1" showInputMessage="1" showErrorMessage="1" promptTitle="Unit" prompt="Unit of the exchange (elementary flow or intermediate product flow)." sqref="F6 K2:K3" xr:uid="{00000000-0002-0000-3B00-000018000000}"/>
    <dataValidation allowBlank="1" showInputMessage="1" showErrorMessage="1" prompt="This cell is automatically updated from the names List according to the index number in L1. It needs to be identical to the output product." sqref="L3:L6" xr:uid="{00000000-0002-0000-3B00-000019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xr:uid="{00000000-0002-0000-3B00-00001C000000}"/>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18:HS18" xr:uid="{00000000-0002-0000-3B00-000000000000}"/>
  </dataValidations>
  <printOptions horizontalCentered="1" verticalCentered="1"/>
  <pageMargins left="0.78740157480314965" right="0.78740157480314965" top="0.98425196850393704" bottom="0.98425196850393704" header="0.51181102362204722" footer="0.51181102362204722"/>
  <pageSetup paperSize="9" scale="43" orientation="landscape" r:id="rId1"/>
  <headerFooter alignWithMargins="0">
    <oddHeader>&amp;L&amp;C&amp;R</oddHeader>
    <oddFooter>&amp;L&amp;D&amp;C&amp;F&amp;RSeite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Tabelle44">
    <tabColor rgb="FF9CD9F0"/>
    <pageSetUpPr fitToPage="1"/>
  </sheetPr>
  <dimension ref="A1:BC24"/>
  <sheetViews>
    <sheetView workbookViewId="0">
      <selection activeCell="A25" sqref="A25:XFD40"/>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 style="116" customWidth="1" collapsed="1"/>
    <col min="33" max="34" width="30.7109375" style="407" customWidth="1"/>
    <col min="35" max="35" width="4.140625" style="407" hidden="1" customWidth="1" outlineLevel="1"/>
    <col min="36" max="36" width="4.42578125" style="407" hidden="1" customWidth="1" outlineLevel="1"/>
    <col min="37" max="37" width="4.28515625" style="407" hidden="1" customWidth="1" outlineLevel="1"/>
    <col min="38" max="38" width="4" style="407" hidden="1" customWidth="1" outlineLevel="1"/>
    <col min="39" max="39" width="3.7109375" style="407" hidden="1" customWidth="1" outlineLevel="1"/>
    <col min="40" max="40" width="4.28515625" style="407" hidden="1" customWidth="1" outlineLevel="1"/>
    <col min="41" max="41" width="3.42578125" style="407" hidden="1" customWidth="1" outlineLevel="1"/>
    <col min="42" max="42" width="4.7109375" style="378" hidden="1" customWidth="1" outlineLevel="1"/>
    <col min="43" max="44" width="5.42578125" style="378" hidden="1" customWidth="1" outlineLevel="1"/>
    <col min="45" max="45" width="18.7109375" style="378" hidden="1" customWidth="1" outlineLevel="1"/>
    <col min="46" max="46" width="4.42578125" style="378" hidden="1" customWidth="1" outlineLevel="1"/>
    <col min="47" max="47" width="4.28515625" style="378" hidden="1" customWidth="1" outlineLevel="1"/>
    <col min="48" max="50" width="4.42578125" style="378" hidden="1" customWidth="1" outlineLevel="1"/>
    <col min="51" max="51" width="4.28515625" style="378" hidden="1" customWidth="1" outlineLevel="1"/>
    <col min="52" max="52" width="40.7109375" style="378" customWidth="1" collapsed="1"/>
    <col min="53" max="53" width="10.7109375" style="378" customWidth="1" collapsed="1"/>
    <col min="54" max="55" width="15.7109375" style="378" customWidth="1"/>
    <col min="56" max="57" width="11.42578125" style="378" customWidth="1"/>
    <col min="58" max="16384" width="11.42578125" style="378"/>
  </cols>
  <sheetData>
    <row r="1" spans="1:55">
      <c r="A1" s="77"/>
      <c r="B1" s="78"/>
      <c r="C1" s="79"/>
      <c r="D1" s="77"/>
      <c r="E1" s="77"/>
      <c r="F1" s="80" t="s">
        <v>65</v>
      </c>
      <c r="G1" s="77"/>
      <c r="H1" s="77"/>
      <c r="I1" s="77"/>
      <c r="J1" s="77"/>
      <c r="K1" s="77"/>
      <c r="L1" s="330">
        <v>257244</v>
      </c>
      <c r="M1" s="81"/>
      <c r="N1" s="81"/>
      <c r="O1" s="81"/>
      <c r="P1" s="330">
        <v>255633</v>
      </c>
      <c r="Q1" s="81"/>
      <c r="R1" s="81"/>
      <c r="S1" s="81"/>
      <c r="T1" s="330">
        <v>267934</v>
      </c>
      <c r="U1" s="81"/>
      <c r="V1" s="81"/>
      <c r="W1" s="81"/>
      <c r="X1" s="330">
        <v>257958</v>
      </c>
      <c r="Y1" s="81"/>
      <c r="Z1" s="81"/>
      <c r="AA1" s="81"/>
      <c r="AB1" s="330">
        <v>268991</v>
      </c>
      <c r="AC1" s="81"/>
      <c r="AD1" s="81"/>
      <c r="AE1" s="81"/>
      <c r="AG1" s="378"/>
      <c r="AH1" s="378"/>
      <c r="AI1" s="1586"/>
      <c r="AJ1" s="1581"/>
      <c r="AK1" s="1581"/>
      <c r="AL1" s="1581"/>
      <c r="AM1" s="1581"/>
      <c r="AN1" s="1581"/>
      <c r="AO1" s="406"/>
      <c r="AP1" s="406"/>
      <c r="AQ1" s="406"/>
      <c r="AR1" s="406"/>
      <c r="AS1" s="406"/>
      <c r="BB1" s="330">
        <v>0</v>
      </c>
      <c r="BC1" s="378" t="s">
        <v>1584</v>
      </c>
    </row>
    <row r="2" spans="1:55">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G2" s="406"/>
      <c r="AH2" s="406"/>
      <c r="AI2" s="406"/>
      <c r="AJ2" s="406"/>
      <c r="AK2" s="406"/>
      <c r="AL2" s="406"/>
      <c r="AM2" s="406"/>
      <c r="AN2" s="406"/>
      <c r="AO2" s="406"/>
      <c r="BB2" s="82">
        <v>3707</v>
      </c>
      <c r="BC2" s="378" t="s">
        <v>1585</v>
      </c>
    </row>
    <row r="3" spans="1:55" ht="102" customHeight="1">
      <c r="A3" s="83" t="s">
        <v>68</v>
      </c>
      <c r="B3" s="84"/>
      <c r="C3" s="79">
        <v>401</v>
      </c>
      <c r="D3" s="85" t="s">
        <v>69</v>
      </c>
      <c r="E3" s="85" t="s">
        <v>70</v>
      </c>
      <c r="F3" s="86" t="s">
        <v>71</v>
      </c>
      <c r="G3" s="85" t="s">
        <v>72</v>
      </c>
      <c r="H3" s="85" t="s">
        <v>73</v>
      </c>
      <c r="I3" s="85" t="s">
        <v>74</v>
      </c>
      <c r="J3" s="85" t="s">
        <v>75</v>
      </c>
      <c r="K3" s="85" t="s">
        <v>76</v>
      </c>
      <c r="L3" s="87" t="s">
        <v>1594</v>
      </c>
      <c r="M3" s="422" t="s">
        <v>78</v>
      </c>
      <c r="N3" s="422" t="s">
        <v>79</v>
      </c>
      <c r="O3" s="423" t="s">
        <v>80</v>
      </c>
      <c r="P3" s="87" t="s">
        <v>1595</v>
      </c>
      <c r="Q3" s="422" t="s">
        <v>78</v>
      </c>
      <c r="R3" s="422" t="s">
        <v>79</v>
      </c>
      <c r="S3" s="423" t="s">
        <v>80</v>
      </c>
      <c r="T3" s="87" t="s">
        <v>1596</v>
      </c>
      <c r="U3" s="422" t="s">
        <v>78</v>
      </c>
      <c r="V3" s="422" t="s">
        <v>79</v>
      </c>
      <c r="W3" s="423" t="s">
        <v>80</v>
      </c>
      <c r="X3" s="87" t="s">
        <v>1597</v>
      </c>
      <c r="Y3" s="422" t="s">
        <v>78</v>
      </c>
      <c r="Z3" s="422" t="s">
        <v>79</v>
      </c>
      <c r="AA3" s="423" t="s">
        <v>80</v>
      </c>
      <c r="AB3" s="87" t="s">
        <v>1598</v>
      </c>
      <c r="AC3" s="422" t="s">
        <v>78</v>
      </c>
      <c r="AD3" s="422" t="s">
        <v>79</v>
      </c>
      <c r="AE3" s="423" t="s">
        <v>80</v>
      </c>
      <c r="AG3" s="97" t="s">
        <v>81</v>
      </c>
      <c r="AH3" s="97" t="s">
        <v>253</v>
      </c>
      <c r="AI3" s="98" t="s">
        <v>364</v>
      </c>
      <c r="AJ3" s="98" t="s">
        <v>365</v>
      </c>
      <c r="AK3" s="98" t="s">
        <v>366</v>
      </c>
      <c r="AL3" s="98" t="s">
        <v>367</v>
      </c>
      <c r="AM3" s="98" t="s">
        <v>368</v>
      </c>
      <c r="AN3" s="98" t="s">
        <v>369</v>
      </c>
      <c r="AO3" s="99" t="s">
        <v>88</v>
      </c>
      <c r="AP3" s="99" t="s">
        <v>370</v>
      </c>
      <c r="AQ3" s="99" t="s">
        <v>90</v>
      </c>
      <c r="AR3" s="99" t="s">
        <v>91</v>
      </c>
      <c r="AS3" s="99" t="s">
        <v>371</v>
      </c>
      <c r="AT3" s="100" t="s">
        <v>364</v>
      </c>
      <c r="AU3" s="100" t="s">
        <v>365</v>
      </c>
      <c r="AV3" s="100" t="s">
        <v>366</v>
      </c>
      <c r="AW3" s="100" t="s">
        <v>367</v>
      </c>
      <c r="AX3" s="100" t="s">
        <v>368</v>
      </c>
      <c r="AY3" s="100" t="s">
        <v>369</v>
      </c>
      <c r="BB3" s="87" t="s">
        <v>1599</v>
      </c>
      <c r="BC3" s="86" t="s">
        <v>1587</v>
      </c>
    </row>
    <row r="4" spans="1:55" ht="12" customHeight="1">
      <c r="A4" s="77"/>
      <c r="B4" s="84"/>
      <c r="C4" s="79">
        <v>662</v>
      </c>
      <c r="D4" s="86"/>
      <c r="E4" s="86"/>
      <c r="F4" s="86" t="s">
        <v>72</v>
      </c>
      <c r="G4" s="86"/>
      <c r="H4" s="86"/>
      <c r="I4" s="86"/>
      <c r="J4" s="86"/>
      <c r="K4" s="86"/>
      <c r="L4" s="87" t="s">
        <v>340</v>
      </c>
      <c r="M4" s="425"/>
      <c r="N4" s="425"/>
      <c r="O4" s="426"/>
      <c r="P4" s="87" t="s">
        <v>340</v>
      </c>
      <c r="Q4" s="425"/>
      <c r="R4" s="425"/>
      <c r="S4" s="426"/>
      <c r="T4" s="87" t="s">
        <v>340</v>
      </c>
      <c r="U4" s="425"/>
      <c r="V4" s="425"/>
      <c r="W4" s="426"/>
      <c r="X4" s="87" t="s">
        <v>340</v>
      </c>
      <c r="Y4" s="425"/>
      <c r="Z4" s="425"/>
      <c r="AA4" s="426"/>
      <c r="AB4" s="87" t="s">
        <v>340</v>
      </c>
      <c r="AC4" s="425"/>
      <c r="AD4" s="425"/>
      <c r="AE4" s="426"/>
      <c r="AG4" s="101"/>
      <c r="AH4" s="101"/>
      <c r="AI4" s="102" t="s">
        <v>94</v>
      </c>
      <c r="AJ4" s="97"/>
      <c r="AK4" s="97"/>
      <c r="AL4" s="97"/>
      <c r="AM4" s="97"/>
      <c r="AN4" s="97"/>
      <c r="AO4" s="103"/>
      <c r="AP4" s="103"/>
      <c r="AQ4" s="103" t="s">
        <v>95</v>
      </c>
      <c r="AR4" s="103" t="s">
        <v>95</v>
      </c>
      <c r="AS4" s="104"/>
      <c r="AT4" s="105"/>
      <c r="AU4" s="105"/>
      <c r="AV4" s="105"/>
      <c r="AW4" s="105"/>
      <c r="AX4" s="105"/>
      <c r="AY4" s="105"/>
      <c r="BB4" s="87" t="s">
        <v>93</v>
      </c>
      <c r="BC4" s="406" t="s">
        <v>93</v>
      </c>
    </row>
    <row r="5" spans="1:55" ht="12"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G5" s="101"/>
      <c r="AH5" s="101"/>
      <c r="AI5" s="97"/>
      <c r="AJ5" s="97"/>
      <c r="AK5" s="97"/>
      <c r="AL5" s="97"/>
      <c r="AM5" s="97"/>
      <c r="AN5" s="97"/>
      <c r="AO5" s="104"/>
      <c r="AP5" s="104"/>
      <c r="AQ5" s="104"/>
      <c r="AR5" s="104"/>
      <c r="AS5" s="104"/>
      <c r="AT5" s="105"/>
      <c r="AU5" s="105"/>
      <c r="AV5" s="105"/>
      <c r="AW5" s="105"/>
      <c r="AX5" s="105"/>
      <c r="AY5" s="105"/>
      <c r="BB5" s="87">
        <v>0</v>
      </c>
      <c r="BC5" s="406">
        <v>0</v>
      </c>
    </row>
    <row r="6" spans="1:55" ht="12" customHeight="1">
      <c r="A6" s="77"/>
      <c r="B6" s="84"/>
      <c r="C6" s="79">
        <v>403</v>
      </c>
      <c r="D6" s="86"/>
      <c r="E6" s="86"/>
      <c r="F6" s="86" t="s">
        <v>76</v>
      </c>
      <c r="G6" s="86"/>
      <c r="H6" s="86"/>
      <c r="I6" s="86"/>
      <c r="J6" s="86"/>
      <c r="K6" s="86"/>
      <c r="L6" s="87" t="s">
        <v>96</v>
      </c>
      <c r="M6" s="425"/>
      <c r="N6" s="425"/>
      <c r="O6" s="426"/>
      <c r="P6" s="87" t="s">
        <v>96</v>
      </c>
      <c r="Q6" s="425"/>
      <c r="R6" s="425"/>
      <c r="S6" s="426"/>
      <c r="T6" s="87" t="s">
        <v>96</v>
      </c>
      <c r="U6" s="425"/>
      <c r="V6" s="425"/>
      <c r="W6" s="426"/>
      <c r="X6" s="87" t="s">
        <v>96</v>
      </c>
      <c r="Y6" s="425"/>
      <c r="Z6" s="425"/>
      <c r="AA6" s="426"/>
      <c r="AB6" s="87" t="s">
        <v>96</v>
      </c>
      <c r="AC6" s="425"/>
      <c r="AD6" s="425"/>
      <c r="AE6" s="426"/>
      <c r="AG6" s="101"/>
      <c r="AH6" s="101"/>
      <c r="AI6" s="106"/>
      <c r="AJ6" s="106"/>
      <c r="AK6" s="106"/>
      <c r="AL6" s="106"/>
      <c r="AM6" s="106"/>
      <c r="AN6" s="106"/>
      <c r="AO6" s="104"/>
      <c r="AP6" s="104"/>
      <c r="AQ6" s="428"/>
      <c r="AR6" s="428"/>
      <c r="AS6" s="107"/>
      <c r="AT6" s="105"/>
      <c r="AU6" s="105"/>
      <c r="AV6" s="105"/>
      <c r="AW6" s="105"/>
      <c r="AX6" s="105"/>
      <c r="AY6" s="105"/>
      <c r="BB6" s="87" t="s">
        <v>96</v>
      </c>
      <c r="BC6" s="406" t="s">
        <v>679</v>
      </c>
    </row>
    <row r="7" spans="1:55">
      <c r="A7" s="330">
        <v>257244</v>
      </c>
      <c r="B7" s="331" t="s">
        <v>97</v>
      </c>
      <c r="C7" s="88"/>
      <c r="D7" s="294" t="s">
        <v>98</v>
      </c>
      <c r="E7" s="295">
        <v>0</v>
      </c>
      <c r="F7" s="429" t="s">
        <v>1594</v>
      </c>
      <c r="G7" s="430" t="s">
        <v>340</v>
      </c>
      <c r="H7" s="431" t="s">
        <v>98</v>
      </c>
      <c r="I7" s="431" t="s">
        <v>98</v>
      </c>
      <c r="J7" s="89">
        <v>0</v>
      </c>
      <c r="K7" s="430" t="s">
        <v>96</v>
      </c>
      <c r="L7" s="90">
        <v>1</v>
      </c>
      <c r="M7" s="91"/>
      <c r="N7" s="92"/>
      <c r="O7" s="93"/>
      <c r="P7" s="90">
        <v>0</v>
      </c>
      <c r="Q7" s="91"/>
      <c r="R7" s="92"/>
      <c r="S7" s="93"/>
      <c r="T7" s="90">
        <v>0</v>
      </c>
      <c r="U7" s="91"/>
      <c r="V7" s="92"/>
      <c r="W7" s="93"/>
      <c r="X7" s="90">
        <v>0</v>
      </c>
      <c r="Y7" s="91"/>
      <c r="Z7" s="92"/>
      <c r="AA7" s="93"/>
      <c r="AB7" s="90">
        <v>0</v>
      </c>
      <c r="AC7" s="91"/>
      <c r="AD7" s="92"/>
      <c r="AE7" s="93"/>
      <c r="AG7" s="101"/>
      <c r="AH7" s="101"/>
      <c r="AI7" s="97"/>
      <c r="AJ7" s="97"/>
      <c r="AK7" s="97"/>
      <c r="AL7" s="97"/>
      <c r="AM7" s="97"/>
      <c r="AN7" s="97"/>
      <c r="AO7" s="104"/>
      <c r="AP7" s="104"/>
      <c r="AQ7" s="104"/>
      <c r="AR7" s="104"/>
      <c r="AS7" s="104"/>
      <c r="AT7" s="104"/>
      <c r="AU7" s="104"/>
      <c r="AV7" s="104"/>
      <c r="AW7" s="104"/>
      <c r="AX7" s="104"/>
      <c r="AY7" s="104"/>
      <c r="BB7" s="90">
        <v>1.000000000000002</v>
      </c>
      <c r="BC7" s="197">
        <v>16.5077076666667</v>
      </c>
    </row>
    <row r="8" spans="1:55" ht="24" customHeight="1">
      <c r="A8" s="330">
        <v>255633</v>
      </c>
      <c r="B8" s="331"/>
      <c r="C8" s="88"/>
      <c r="D8" s="294" t="s">
        <v>98</v>
      </c>
      <c r="E8" s="295">
        <v>0</v>
      </c>
      <c r="F8" s="429" t="s">
        <v>1595</v>
      </c>
      <c r="G8" s="430" t="s">
        <v>340</v>
      </c>
      <c r="H8" s="431" t="s">
        <v>98</v>
      </c>
      <c r="I8" s="431" t="s">
        <v>98</v>
      </c>
      <c r="J8" s="89">
        <v>0</v>
      </c>
      <c r="K8" s="430" t="s">
        <v>96</v>
      </c>
      <c r="L8" s="90">
        <v>0</v>
      </c>
      <c r="M8" s="91"/>
      <c r="N8" s="92"/>
      <c r="O8" s="93"/>
      <c r="P8" s="90">
        <v>1</v>
      </c>
      <c r="Q8" s="91"/>
      <c r="R8" s="92"/>
      <c r="S8" s="93"/>
      <c r="T8" s="90">
        <v>0</v>
      </c>
      <c r="U8" s="91"/>
      <c r="V8" s="92"/>
      <c r="W8" s="93"/>
      <c r="X8" s="90">
        <v>0</v>
      </c>
      <c r="Y8" s="91"/>
      <c r="Z8" s="92"/>
      <c r="AA8" s="93"/>
      <c r="AB8" s="90">
        <v>0</v>
      </c>
      <c r="AC8" s="91"/>
      <c r="AD8" s="92"/>
      <c r="AE8" s="93"/>
      <c r="AG8" s="101"/>
      <c r="AH8" s="101"/>
      <c r="AI8" s="97"/>
      <c r="AJ8" s="97"/>
      <c r="AK8" s="97"/>
      <c r="AL8" s="97"/>
      <c r="AM8" s="97"/>
      <c r="AN8" s="97"/>
      <c r="AO8" s="104"/>
      <c r="AP8" s="104"/>
      <c r="AQ8" s="104"/>
      <c r="AR8" s="104"/>
      <c r="AS8" s="104"/>
      <c r="AT8" s="104"/>
      <c r="AU8" s="104"/>
      <c r="AV8" s="104"/>
      <c r="AW8" s="104"/>
      <c r="AX8" s="104"/>
      <c r="AY8" s="104"/>
      <c r="BB8" s="90">
        <v>0.96268161440465083</v>
      </c>
      <c r="BC8" s="197">
        <v>15.891666666666699</v>
      </c>
    </row>
    <row r="9" spans="1:55" ht="24" customHeight="1">
      <c r="A9" s="330">
        <v>267934</v>
      </c>
      <c r="B9" s="331"/>
      <c r="C9" s="88"/>
      <c r="D9" s="294" t="s">
        <v>98</v>
      </c>
      <c r="E9" s="295">
        <v>0</v>
      </c>
      <c r="F9" s="429" t="s">
        <v>1596</v>
      </c>
      <c r="G9" s="430" t="s">
        <v>340</v>
      </c>
      <c r="H9" s="431" t="s">
        <v>98</v>
      </c>
      <c r="I9" s="431" t="s">
        <v>98</v>
      </c>
      <c r="J9" s="89">
        <v>0</v>
      </c>
      <c r="K9" s="430" t="s">
        <v>96</v>
      </c>
      <c r="L9" s="90">
        <v>0</v>
      </c>
      <c r="M9" s="91"/>
      <c r="N9" s="92"/>
      <c r="O9" s="93"/>
      <c r="P9" s="90">
        <v>0</v>
      </c>
      <c r="Q9" s="91"/>
      <c r="R9" s="92"/>
      <c r="S9" s="93"/>
      <c r="T9" s="90">
        <v>1</v>
      </c>
      <c r="U9" s="91"/>
      <c r="V9" s="92"/>
      <c r="W9" s="93"/>
      <c r="X9" s="90">
        <v>0</v>
      </c>
      <c r="Y9" s="91"/>
      <c r="Z9" s="92"/>
      <c r="AA9" s="93"/>
      <c r="AB9" s="90">
        <v>0</v>
      </c>
      <c r="AC9" s="91"/>
      <c r="AD9" s="92"/>
      <c r="AE9" s="93"/>
      <c r="AG9" s="101"/>
      <c r="AH9" s="101"/>
      <c r="AI9" s="97"/>
      <c r="AJ9" s="97"/>
      <c r="AK9" s="97"/>
      <c r="AL9" s="97"/>
      <c r="AM9" s="97"/>
      <c r="AN9" s="97"/>
      <c r="AO9" s="104"/>
      <c r="AP9" s="104"/>
      <c r="AQ9" s="104"/>
      <c r="AR9" s="104"/>
      <c r="AS9" s="104"/>
      <c r="AT9" s="104"/>
      <c r="AU9" s="104"/>
      <c r="AV9" s="104"/>
      <c r="AW9" s="104"/>
      <c r="AX9" s="104"/>
      <c r="AY9" s="104"/>
      <c r="BB9" s="90">
        <v>4.779585487773054E-3</v>
      </c>
      <c r="BC9" s="197">
        <v>7.8899999999999998E-2</v>
      </c>
    </row>
    <row r="10" spans="1:55" ht="24" customHeight="1">
      <c r="A10" s="330">
        <v>257958</v>
      </c>
      <c r="B10" s="331"/>
      <c r="C10" s="88"/>
      <c r="D10" s="294" t="s">
        <v>98</v>
      </c>
      <c r="E10" s="295">
        <v>0</v>
      </c>
      <c r="F10" s="429" t="s">
        <v>1597</v>
      </c>
      <c r="G10" s="430" t="s">
        <v>340</v>
      </c>
      <c r="H10" s="431" t="s">
        <v>98</v>
      </c>
      <c r="I10" s="431" t="s">
        <v>98</v>
      </c>
      <c r="J10" s="89">
        <v>0</v>
      </c>
      <c r="K10" s="430" t="s">
        <v>96</v>
      </c>
      <c r="L10" s="90">
        <v>0</v>
      </c>
      <c r="M10" s="91"/>
      <c r="N10" s="92"/>
      <c r="O10" s="93"/>
      <c r="P10" s="90">
        <v>0</v>
      </c>
      <c r="Q10" s="91"/>
      <c r="R10" s="92"/>
      <c r="S10" s="93"/>
      <c r="T10" s="90">
        <v>0</v>
      </c>
      <c r="U10" s="91"/>
      <c r="V10" s="92"/>
      <c r="W10" s="93"/>
      <c r="X10" s="90">
        <v>1</v>
      </c>
      <c r="Y10" s="91"/>
      <c r="Z10" s="92"/>
      <c r="AA10" s="93"/>
      <c r="AB10" s="90">
        <v>0</v>
      </c>
      <c r="AC10" s="91"/>
      <c r="AD10" s="92"/>
      <c r="AE10" s="93"/>
      <c r="AG10" s="101"/>
      <c r="AH10" s="101"/>
      <c r="AI10" s="97"/>
      <c r="AJ10" s="97"/>
      <c r="AK10" s="97"/>
      <c r="AL10" s="97"/>
      <c r="AM10" s="97"/>
      <c r="AN10" s="97"/>
      <c r="AO10" s="104"/>
      <c r="AP10" s="104"/>
      <c r="AQ10" s="104"/>
      <c r="AR10" s="104"/>
      <c r="AS10" s="104"/>
      <c r="AT10" s="104"/>
      <c r="AU10" s="104"/>
      <c r="AV10" s="104"/>
      <c r="AW10" s="104"/>
      <c r="AX10" s="104"/>
      <c r="AY10" s="104"/>
      <c r="BB10" s="90">
        <v>1.7194294299960684E-3</v>
      </c>
      <c r="BC10" s="197">
        <v>2.83838383838384E-2</v>
      </c>
    </row>
    <row r="11" spans="1:55" ht="24" customHeight="1">
      <c r="A11" s="330">
        <v>268991</v>
      </c>
      <c r="B11" s="331"/>
      <c r="C11" s="88"/>
      <c r="D11" s="294" t="s">
        <v>98</v>
      </c>
      <c r="E11" s="295">
        <v>0</v>
      </c>
      <c r="F11" s="429" t="s">
        <v>1598</v>
      </c>
      <c r="G11" s="430" t="s">
        <v>340</v>
      </c>
      <c r="H11" s="431" t="s">
        <v>98</v>
      </c>
      <c r="I11" s="431" t="s">
        <v>98</v>
      </c>
      <c r="J11" s="89">
        <v>0</v>
      </c>
      <c r="K11" s="430" t="s">
        <v>96</v>
      </c>
      <c r="L11" s="90">
        <v>0</v>
      </c>
      <c r="M11" s="91"/>
      <c r="N11" s="92"/>
      <c r="O11" s="93"/>
      <c r="P11" s="90">
        <v>0</v>
      </c>
      <c r="Q11" s="91"/>
      <c r="R11" s="92"/>
      <c r="S11" s="93"/>
      <c r="T11" s="90">
        <v>0</v>
      </c>
      <c r="U11" s="91"/>
      <c r="V11" s="92"/>
      <c r="W11" s="93"/>
      <c r="X11" s="90">
        <v>0</v>
      </c>
      <c r="Y11" s="91"/>
      <c r="Z11" s="92"/>
      <c r="AA11" s="93"/>
      <c r="AB11" s="90">
        <v>1</v>
      </c>
      <c r="AC11" s="91"/>
      <c r="AD11" s="92"/>
      <c r="AE11" s="93"/>
      <c r="AG11" s="101"/>
      <c r="AH11" s="101"/>
      <c r="AI11" s="97"/>
      <c r="AJ11" s="97"/>
      <c r="AK11" s="97"/>
      <c r="AL11" s="97"/>
      <c r="AM11" s="97"/>
      <c r="AN11" s="97"/>
      <c r="AO11" s="104"/>
      <c r="AP11" s="104"/>
      <c r="AQ11" s="104"/>
      <c r="AR11" s="104"/>
      <c r="AS11" s="104"/>
      <c r="AT11" s="104"/>
      <c r="AU11" s="104"/>
      <c r="AV11" s="104"/>
      <c r="AW11" s="104"/>
      <c r="AX11" s="104"/>
      <c r="AY11" s="104"/>
      <c r="BB11" s="90">
        <v>1.9519501358318335E-3</v>
      </c>
      <c r="BC11" s="197">
        <v>3.2222222222222201E-2</v>
      </c>
    </row>
    <row r="12" spans="1:55">
      <c r="A12" s="330">
        <v>79235</v>
      </c>
      <c r="B12" s="331" t="s">
        <v>221</v>
      </c>
      <c r="C12" s="88"/>
      <c r="D12" s="340">
        <v>5</v>
      </c>
      <c r="E12" s="341" t="s">
        <v>98</v>
      </c>
      <c r="F12" s="432" t="s">
        <v>688</v>
      </c>
      <c r="G12" s="433" t="s">
        <v>340</v>
      </c>
      <c r="H12" s="434" t="s">
        <v>98</v>
      </c>
      <c r="I12" s="434" t="s">
        <v>98</v>
      </c>
      <c r="J12" s="94">
        <v>0</v>
      </c>
      <c r="K12" s="433" t="s">
        <v>109</v>
      </c>
      <c r="L12" s="435">
        <v>0.22446822493645974</v>
      </c>
      <c r="M12" s="95"/>
      <c r="N12" s="96"/>
      <c r="O12" s="432"/>
      <c r="P12" s="435">
        <v>1.5086498767805665E-2</v>
      </c>
      <c r="Q12" s="95"/>
      <c r="R12" s="96"/>
      <c r="S12" s="432"/>
      <c r="T12" s="435">
        <v>3.0172997535611326</v>
      </c>
      <c r="U12" s="95"/>
      <c r="V12" s="96"/>
      <c r="W12" s="432"/>
      <c r="X12" s="435">
        <v>6.9477296956999779E-2</v>
      </c>
      <c r="Y12" s="95"/>
      <c r="Z12" s="96"/>
      <c r="AA12" s="432"/>
      <c r="AB12" s="435">
        <v>5.889028027783791</v>
      </c>
      <c r="AC12" s="95">
        <v>1</v>
      </c>
      <c r="AD12" s="96">
        <v>1.1358476947699978</v>
      </c>
      <c r="AE12" s="432" t="s">
        <v>3081</v>
      </c>
      <c r="AG12" s="216"/>
      <c r="AH12" s="216" t="s">
        <v>1588</v>
      </c>
      <c r="AI12" s="339">
        <v>2</v>
      </c>
      <c r="AJ12" s="339">
        <v>4</v>
      </c>
      <c r="AK12" s="339">
        <v>1</v>
      </c>
      <c r="AL12" s="339">
        <v>1</v>
      </c>
      <c r="AM12" s="339">
        <v>1</v>
      </c>
      <c r="AN12" s="339">
        <v>3</v>
      </c>
      <c r="AO12" s="104">
        <v>3</v>
      </c>
      <c r="AP12" s="104">
        <v>1.05</v>
      </c>
      <c r="AQ12" s="107">
        <v>1.1248669232235737</v>
      </c>
      <c r="AR12" s="107">
        <v>1.1358476947699978</v>
      </c>
      <c r="AS12" s="107" t="s">
        <v>3077</v>
      </c>
      <c r="AT12" s="108">
        <v>1.05</v>
      </c>
      <c r="AU12" s="108">
        <v>1.1000000000000001</v>
      </c>
      <c r="AV12" s="108">
        <v>1</v>
      </c>
      <c r="AW12" s="108">
        <v>1</v>
      </c>
      <c r="AX12" s="108">
        <v>1</v>
      </c>
      <c r="AY12" s="108">
        <v>1.05</v>
      </c>
      <c r="BB12" s="435">
        <v>0.26502771240820167</v>
      </c>
      <c r="BC12" s="197">
        <v>4.375</v>
      </c>
    </row>
    <row r="13" spans="1:55">
      <c r="A13" s="330">
        <v>268989</v>
      </c>
      <c r="B13" s="331" t="s">
        <v>529</v>
      </c>
      <c r="C13" s="88"/>
      <c r="D13" s="340">
        <v>5</v>
      </c>
      <c r="E13" s="341" t="s">
        <v>98</v>
      </c>
      <c r="F13" s="432" t="s">
        <v>1589</v>
      </c>
      <c r="G13" s="433" t="s">
        <v>103</v>
      </c>
      <c r="H13" s="434" t="s">
        <v>98</v>
      </c>
      <c r="I13" s="434" t="s">
        <v>98</v>
      </c>
      <c r="J13" s="94">
        <v>0</v>
      </c>
      <c r="K13" s="433" t="s">
        <v>96</v>
      </c>
      <c r="L13" s="435">
        <v>0.27791304039752179</v>
      </c>
      <c r="M13" s="95"/>
      <c r="N13" s="96"/>
      <c r="O13" s="432"/>
      <c r="P13" s="435">
        <v>1.8678522283949884E-2</v>
      </c>
      <c r="Q13" s="95"/>
      <c r="R13" s="96"/>
      <c r="S13" s="432"/>
      <c r="T13" s="435">
        <v>3.7357044567899766</v>
      </c>
      <c r="U13" s="95"/>
      <c r="V13" s="96"/>
      <c r="W13" s="432"/>
      <c r="X13" s="435">
        <v>8.6019510518190262E-2</v>
      </c>
      <c r="Y13" s="95"/>
      <c r="Z13" s="96"/>
      <c r="AA13" s="432"/>
      <c r="AB13" s="435">
        <v>7.2911775582085081</v>
      </c>
      <c r="AC13" s="95">
        <v>1</v>
      </c>
      <c r="AD13" s="96">
        <v>1.1358476947699978</v>
      </c>
      <c r="AE13" s="432" t="s">
        <v>3081</v>
      </c>
      <c r="AG13" s="216"/>
      <c r="AH13" s="216" t="s">
        <v>1588</v>
      </c>
      <c r="AI13" s="339">
        <v>2</v>
      </c>
      <c r="AJ13" s="339">
        <v>4</v>
      </c>
      <c r="AK13" s="339">
        <v>1</v>
      </c>
      <c r="AL13" s="339">
        <v>1</v>
      </c>
      <c r="AM13" s="339">
        <v>1</v>
      </c>
      <c r="AN13" s="339">
        <v>3</v>
      </c>
      <c r="AO13" s="104">
        <v>3</v>
      </c>
      <c r="AP13" s="104">
        <v>1.05</v>
      </c>
      <c r="AQ13" s="107">
        <v>1.1248669232235737</v>
      </c>
      <c r="AR13" s="107">
        <v>1.1358476947699978</v>
      </c>
      <c r="AS13" s="107" t="s">
        <v>3077</v>
      </c>
      <c r="AT13" s="108">
        <v>1.05</v>
      </c>
      <c r="AU13" s="108">
        <v>1.1000000000000001</v>
      </c>
      <c r="AV13" s="108">
        <v>1</v>
      </c>
      <c r="AW13" s="108">
        <v>1</v>
      </c>
      <c r="AX13" s="108">
        <v>1</v>
      </c>
      <c r="AY13" s="108">
        <v>1.05</v>
      </c>
      <c r="BB13" s="435">
        <v>0.32812954869586897</v>
      </c>
      <c r="BC13" s="197">
        <v>5.4166666666666696</v>
      </c>
    </row>
    <row r="14" spans="1:55">
      <c r="A14" s="330">
        <v>269295</v>
      </c>
      <c r="B14" s="331" t="s">
        <v>529</v>
      </c>
      <c r="C14" s="88"/>
      <c r="D14" s="340">
        <v>5</v>
      </c>
      <c r="E14" s="341" t="s">
        <v>98</v>
      </c>
      <c r="F14" s="432" t="s">
        <v>239</v>
      </c>
      <c r="G14" s="433" t="s">
        <v>93</v>
      </c>
      <c r="H14" s="434" t="s">
        <v>98</v>
      </c>
      <c r="I14" s="434" t="s">
        <v>98</v>
      </c>
      <c r="J14" s="94">
        <v>0</v>
      </c>
      <c r="K14" s="433" t="s">
        <v>96</v>
      </c>
      <c r="L14" s="435">
        <v>4.2755852368849458E-3</v>
      </c>
      <c r="M14" s="95"/>
      <c r="N14" s="96"/>
      <c r="O14" s="432"/>
      <c r="P14" s="435">
        <v>2.8736188129153641E-4</v>
      </c>
      <c r="Q14" s="95"/>
      <c r="R14" s="96"/>
      <c r="S14" s="432"/>
      <c r="T14" s="435">
        <v>5.7472376258307277E-2</v>
      </c>
      <c r="U14" s="95"/>
      <c r="V14" s="96"/>
      <c r="W14" s="432"/>
      <c r="X14" s="435">
        <v>1.3233770848952336E-3</v>
      </c>
      <c r="Y14" s="95"/>
      <c r="Z14" s="96"/>
      <c r="AA14" s="432"/>
      <c r="AB14" s="435">
        <v>0.11217196243397692</v>
      </c>
      <c r="AC14" s="95">
        <v>1</v>
      </c>
      <c r="AD14" s="96">
        <v>1.1358476947699978</v>
      </c>
      <c r="AE14" s="432" t="s">
        <v>3081</v>
      </c>
      <c r="AG14" s="216"/>
      <c r="AH14" s="216" t="s">
        <v>1588</v>
      </c>
      <c r="AI14" s="339">
        <v>2</v>
      </c>
      <c r="AJ14" s="339">
        <v>4</v>
      </c>
      <c r="AK14" s="339">
        <v>1</v>
      </c>
      <c r="AL14" s="339">
        <v>1</v>
      </c>
      <c r="AM14" s="339">
        <v>1</v>
      </c>
      <c r="AN14" s="339">
        <v>3</v>
      </c>
      <c r="AO14" s="104">
        <v>3</v>
      </c>
      <c r="AP14" s="104">
        <v>1.05</v>
      </c>
      <c r="AQ14" s="107">
        <v>1.1248669232235737</v>
      </c>
      <c r="AR14" s="107">
        <v>1.1358476947699978</v>
      </c>
      <c r="AS14" s="107" t="s">
        <v>3077</v>
      </c>
      <c r="AT14" s="108">
        <v>1.05</v>
      </c>
      <c r="AU14" s="108">
        <v>1.1000000000000001</v>
      </c>
      <c r="AV14" s="108">
        <v>1</v>
      </c>
      <c r="AW14" s="108">
        <v>1</v>
      </c>
      <c r="AX14" s="108">
        <v>1</v>
      </c>
      <c r="AY14" s="108">
        <v>1.05</v>
      </c>
      <c r="BB14" s="435">
        <v>5.0481469030133636E-3</v>
      </c>
      <c r="BC14" s="197">
        <v>8.3333333333333301E-2</v>
      </c>
    </row>
    <row r="15" spans="1:55">
      <c r="A15" s="330">
        <v>269211</v>
      </c>
      <c r="B15" s="331" t="s">
        <v>529</v>
      </c>
      <c r="C15" s="88"/>
      <c r="D15" s="340">
        <v>5</v>
      </c>
      <c r="E15" s="341" t="s">
        <v>98</v>
      </c>
      <c r="F15" s="432" t="s">
        <v>838</v>
      </c>
      <c r="G15" s="433" t="s">
        <v>93</v>
      </c>
      <c r="H15" s="434" t="s">
        <v>98</v>
      </c>
      <c r="I15" s="434" t="s">
        <v>98</v>
      </c>
      <c r="J15" s="94">
        <v>0</v>
      </c>
      <c r="K15" s="433" t="s">
        <v>96</v>
      </c>
      <c r="L15" s="435">
        <v>2.928775887266187E-2</v>
      </c>
      <c r="M15" s="95"/>
      <c r="N15" s="96"/>
      <c r="O15" s="432"/>
      <c r="P15" s="435">
        <v>1.9684288868470233E-3</v>
      </c>
      <c r="Q15" s="95"/>
      <c r="R15" s="96"/>
      <c r="S15" s="432"/>
      <c r="T15" s="435">
        <v>0.39368577736940469</v>
      </c>
      <c r="U15" s="95"/>
      <c r="V15" s="96"/>
      <c r="W15" s="432"/>
      <c r="X15" s="435">
        <v>9.0651330315323457E-3</v>
      </c>
      <c r="Y15" s="95"/>
      <c r="Z15" s="96"/>
      <c r="AA15" s="432"/>
      <c r="AB15" s="435">
        <v>0.76837794267274162</v>
      </c>
      <c r="AC15" s="95">
        <v>1</v>
      </c>
      <c r="AD15" s="96">
        <v>1.1358476947699978</v>
      </c>
      <c r="AE15" s="432" t="s">
        <v>3081</v>
      </c>
      <c r="AG15" s="216"/>
      <c r="AH15" s="216" t="s">
        <v>1588</v>
      </c>
      <c r="AI15" s="339">
        <v>2</v>
      </c>
      <c r="AJ15" s="339">
        <v>4</v>
      </c>
      <c r="AK15" s="339">
        <v>1</v>
      </c>
      <c r="AL15" s="339">
        <v>1</v>
      </c>
      <c r="AM15" s="339">
        <v>1</v>
      </c>
      <c r="AN15" s="339">
        <v>3</v>
      </c>
      <c r="AO15" s="104">
        <v>3</v>
      </c>
      <c r="AP15" s="104">
        <v>1.05</v>
      </c>
      <c r="AQ15" s="107">
        <v>1.1248669232235737</v>
      </c>
      <c r="AR15" s="107">
        <v>1.1358476947699978</v>
      </c>
      <c r="AS15" s="107" t="s">
        <v>3077</v>
      </c>
      <c r="AT15" s="108">
        <v>1.05</v>
      </c>
      <c r="AU15" s="108">
        <v>1.1000000000000001</v>
      </c>
      <c r="AV15" s="108">
        <v>1</v>
      </c>
      <c r="AW15" s="108">
        <v>1</v>
      </c>
      <c r="AX15" s="108">
        <v>1</v>
      </c>
      <c r="AY15" s="108">
        <v>1.05</v>
      </c>
      <c r="BB15" s="435">
        <v>3.4579806285641529E-2</v>
      </c>
      <c r="BC15" s="197">
        <v>0.57083333333333297</v>
      </c>
    </row>
    <row r="16" spans="1:55" ht="24" customHeight="1">
      <c r="A16" s="330">
        <v>269497</v>
      </c>
      <c r="B16" s="331" t="s">
        <v>529</v>
      </c>
      <c r="C16" s="88"/>
      <c r="D16" s="340">
        <v>5</v>
      </c>
      <c r="E16" s="341" t="s">
        <v>98</v>
      </c>
      <c r="F16" s="432" t="s">
        <v>468</v>
      </c>
      <c r="G16" s="433" t="s">
        <v>93</v>
      </c>
      <c r="H16" s="434" t="s">
        <v>98</v>
      </c>
      <c r="I16" s="434" t="s">
        <v>98</v>
      </c>
      <c r="J16" s="94">
        <v>0</v>
      </c>
      <c r="K16" s="433" t="s">
        <v>96</v>
      </c>
      <c r="L16" s="435">
        <v>5.3444815461062027E-3</v>
      </c>
      <c r="M16" s="95"/>
      <c r="N16" s="96"/>
      <c r="O16" s="432"/>
      <c r="P16" s="435">
        <v>3.5920235161442175E-4</v>
      </c>
      <c r="Q16" s="95"/>
      <c r="R16" s="96"/>
      <c r="S16" s="432"/>
      <c r="T16" s="435">
        <v>7.1840470322884362E-2</v>
      </c>
      <c r="U16" s="95"/>
      <c r="V16" s="96"/>
      <c r="W16" s="432"/>
      <c r="X16" s="435">
        <v>1.6542213561190481E-3</v>
      </c>
      <c r="Y16" s="95"/>
      <c r="Z16" s="96"/>
      <c r="AA16" s="432"/>
      <c r="AB16" s="435">
        <v>0.14021495304247167</v>
      </c>
      <c r="AC16" s="95">
        <v>1</v>
      </c>
      <c r="AD16" s="96">
        <v>1.1358476947699978</v>
      </c>
      <c r="AE16" s="432" t="s">
        <v>3081</v>
      </c>
      <c r="AG16" s="216"/>
      <c r="AH16" s="216" t="s">
        <v>1588</v>
      </c>
      <c r="AI16" s="339">
        <v>2</v>
      </c>
      <c r="AJ16" s="339">
        <v>4</v>
      </c>
      <c r="AK16" s="339">
        <v>1</v>
      </c>
      <c r="AL16" s="339">
        <v>1</v>
      </c>
      <c r="AM16" s="339">
        <v>1</v>
      </c>
      <c r="AN16" s="339">
        <v>3</v>
      </c>
      <c r="AO16" s="104">
        <v>3</v>
      </c>
      <c r="AP16" s="104">
        <v>1.05</v>
      </c>
      <c r="AQ16" s="107">
        <v>1.1248669232235737</v>
      </c>
      <c r="AR16" s="107">
        <v>1.1358476947699978</v>
      </c>
      <c r="AS16" s="107" t="s">
        <v>3077</v>
      </c>
      <c r="AT16" s="108">
        <v>1.05</v>
      </c>
      <c r="AU16" s="108">
        <v>1.1000000000000001</v>
      </c>
      <c r="AV16" s="108">
        <v>1</v>
      </c>
      <c r="AW16" s="108">
        <v>1</v>
      </c>
      <c r="AX16" s="108">
        <v>1</v>
      </c>
      <c r="AY16" s="108">
        <v>1.05</v>
      </c>
      <c r="BB16" s="435">
        <v>6.3101836287667275E-3</v>
      </c>
      <c r="BC16" s="197">
        <v>0.104166666666667</v>
      </c>
    </row>
    <row r="17" spans="1:55" ht="24" customHeight="1">
      <c r="A17" s="330">
        <v>264253</v>
      </c>
      <c r="B17" s="331" t="s">
        <v>529</v>
      </c>
      <c r="C17" s="88"/>
      <c r="D17" s="340">
        <v>5</v>
      </c>
      <c r="E17" s="341" t="s">
        <v>98</v>
      </c>
      <c r="F17" s="432" t="s">
        <v>1562</v>
      </c>
      <c r="G17" s="433" t="s">
        <v>93</v>
      </c>
      <c r="H17" s="434" t="s">
        <v>98</v>
      </c>
      <c r="I17" s="434" t="s">
        <v>98</v>
      </c>
      <c r="J17" s="94">
        <v>0</v>
      </c>
      <c r="K17" s="433" t="s">
        <v>115</v>
      </c>
      <c r="L17" s="435">
        <v>8.4696133433294976E-2</v>
      </c>
      <c r="M17" s="95"/>
      <c r="N17" s="96"/>
      <c r="O17" s="432"/>
      <c r="P17" s="435">
        <v>5.6924231170848655E-3</v>
      </c>
      <c r="Q17" s="95"/>
      <c r="R17" s="96"/>
      <c r="S17" s="432"/>
      <c r="T17" s="435">
        <v>1.138484623416973</v>
      </c>
      <c r="U17" s="95"/>
      <c r="V17" s="96"/>
      <c r="W17" s="432"/>
      <c r="X17" s="435">
        <v>2.6215106460259253E-2</v>
      </c>
      <c r="Y17" s="95"/>
      <c r="Z17" s="96"/>
      <c r="AA17" s="432"/>
      <c r="AB17" s="435">
        <v>2.2220423571076888</v>
      </c>
      <c r="AC17" s="95">
        <v>1</v>
      </c>
      <c r="AD17" s="96">
        <v>2.0949941301068096</v>
      </c>
      <c r="AE17" s="432" t="s">
        <v>3082</v>
      </c>
      <c r="AG17" s="216" t="s">
        <v>3073</v>
      </c>
      <c r="AH17" s="216" t="s">
        <v>1590</v>
      </c>
      <c r="AI17" s="339">
        <v>4</v>
      </c>
      <c r="AJ17" s="339">
        <v>5</v>
      </c>
      <c r="AK17" s="339" t="s">
        <v>106</v>
      </c>
      <c r="AL17" s="339" t="s">
        <v>106</v>
      </c>
      <c r="AM17" s="339" t="s">
        <v>106</v>
      </c>
      <c r="AN17" s="339" t="s">
        <v>106</v>
      </c>
      <c r="AO17" s="104">
        <v>5</v>
      </c>
      <c r="AP17" s="104">
        <v>2</v>
      </c>
      <c r="AQ17" s="107">
        <v>1.2941338353151037</v>
      </c>
      <c r="AR17" s="107">
        <v>2.0949941301068096</v>
      </c>
      <c r="AS17" s="107" t="s">
        <v>3083</v>
      </c>
      <c r="AT17" s="108">
        <v>1.2</v>
      </c>
      <c r="AU17" s="108">
        <v>1.2</v>
      </c>
      <c r="AV17" s="108">
        <v>1</v>
      </c>
      <c r="AW17" s="108">
        <v>1</v>
      </c>
      <c r="AX17" s="108">
        <v>1</v>
      </c>
      <c r="AY17" s="108">
        <v>1</v>
      </c>
      <c r="BB17" s="435">
        <v>0.1</v>
      </c>
      <c r="BC17" s="197">
        <v>1.6507707666666669</v>
      </c>
    </row>
    <row r="18" spans="1:55" ht="24" customHeight="1">
      <c r="A18" s="330">
        <v>269641</v>
      </c>
      <c r="B18" s="331" t="s">
        <v>529</v>
      </c>
      <c r="C18" s="88"/>
      <c r="D18" s="340">
        <v>5</v>
      </c>
      <c r="E18" s="341" t="s">
        <v>98</v>
      </c>
      <c r="F18" s="432" t="s">
        <v>240</v>
      </c>
      <c r="G18" s="433" t="s">
        <v>93</v>
      </c>
      <c r="H18" s="434" t="s">
        <v>98</v>
      </c>
      <c r="I18" s="434" t="s">
        <v>98</v>
      </c>
      <c r="J18" s="94">
        <v>0</v>
      </c>
      <c r="K18" s="433" t="s">
        <v>115</v>
      </c>
      <c r="L18" s="435">
        <v>0.48994252240404185</v>
      </c>
      <c r="M18" s="95"/>
      <c r="N18" s="96"/>
      <c r="O18" s="432"/>
      <c r="P18" s="435">
        <v>3.292901372849763E-2</v>
      </c>
      <c r="Q18" s="95"/>
      <c r="R18" s="96"/>
      <c r="S18" s="432"/>
      <c r="T18" s="435">
        <v>6.5858027456995254</v>
      </c>
      <c r="U18" s="95"/>
      <c r="V18" s="96"/>
      <c r="W18" s="432"/>
      <c r="X18" s="435">
        <v>0.15164677374966015</v>
      </c>
      <c r="Y18" s="95"/>
      <c r="Z18" s="96"/>
      <c r="AA18" s="432"/>
      <c r="AB18" s="435">
        <v>12.853869394018814</v>
      </c>
      <c r="AC18" s="95">
        <v>1</v>
      </c>
      <c r="AD18" s="96">
        <v>2.0949941301068096</v>
      </c>
      <c r="AE18" s="432" t="s">
        <v>3084</v>
      </c>
      <c r="AG18" s="216" t="s">
        <v>3075</v>
      </c>
      <c r="AH18" s="216" t="s">
        <v>1590</v>
      </c>
      <c r="AI18" s="339">
        <v>4</v>
      </c>
      <c r="AJ18" s="339">
        <v>5</v>
      </c>
      <c r="AK18" s="339" t="s">
        <v>106</v>
      </c>
      <c r="AL18" s="339" t="s">
        <v>106</v>
      </c>
      <c r="AM18" s="339" t="s">
        <v>106</v>
      </c>
      <c r="AN18" s="339" t="s">
        <v>106</v>
      </c>
      <c r="AO18" s="104">
        <v>5</v>
      </c>
      <c r="AP18" s="104">
        <v>2</v>
      </c>
      <c r="AQ18" s="107">
        <v>1.2941338353151037</v>
      </c>
      <c r="AR18" s="107">
        <v>2.0949941301068096</v>
      </c>
      <c r="AS18" s="107" t="s">
        <v>3083</v>
      </c>
      <c r="AT18" s="108">
        <v>1.2</v>
      </c>
      <c r="AU18" s="108">
        <v>1.2</v>
      </c>
      <c r="AV18" s="108">
        <v>1</v>
      </c>
      <c r="AW18" s="108">
        <v>1</v>
      </c>
      <c r="AX18" s="108">
        <v>1</v>
      </c>
      <c r="AY18" s="108">
        <v>1</v>
      </c>
      <c r="BB18" s="435">
        <v>0.57847094376499619</v>
      </c>
      <c r="BC18" s="197">
        <v>9.5492292333333317</v>
      </c>
    </row>
    <row r="19" spans="1:55" ht="24" customHeight="1">
      <c r="A19" s="330">
        <v>268983</v>
      </c>
      <c r="B19" s="331" t="s">
        <v>529</v>
      </c>
      <c r="C19" s="88"/>
      <c r="D19" s="340">
        <v>5</v>
      </c>
      <c r="E19" s="341" t="s">
        <v>98</v>
      </c>
      <c r="F19" s="432" t="s">
        <v>1005</v>
      </c>
      <c r="G19" s="433" t="s">
        <v>103</v>
      </c>
      <c r="H19" s="434" t="s">
        <v>98</v>
      </c>
      <c r="I19" s="434" t="s">
        <v>98</v>
      </c>
      <c r="J19" s="94">
        <v>0</v>
      </c>
      <c r="K19" s="433" t="s">
        <v>119</v>
      </c>
      <c r="L19" s="435">
        <v>2.4584615112088466E-4</v>
      </c>
      <c r="M19" s="95"/>
      <c r="N19" s="96"/>
      <c r="O19" s="432"/>
      <c r="P19" s="435">
        <v>1.6523308174263358E-5</v>
      </c>
      <c r="Q19" s="95"/>
      <c r="R19" s="96"/>
      <c r="S19" s="432"/>
      <c r="T19" s="435">
        <v>3.3046616348526717E-3</v>
      </c>
      <c r="U19" s="95"/>
      <c r="V19" s="96"/>
      <c r="W19" s="432"/>
      <c r="X19" s="435">
        <v>7.6094182381476004E-5</v>
      </c>
      <c r="Y19" s="95"/>
      <c r="Z19" s="96"/>
      <c r="AA19" s="432"/>
      <c r="AB19" s="435">
        <v>6.4498878399536809E-3</v>
      </c>
      <c r="AC19" s="95">
        <v>1</v>
      </c>
      <c r="AD19" s="96">
        <v>1.1358476947699978</v>
      </c>
      <c r="AE19" s="432" t="s">
        <v>3081</v>
      </c>
      <c r="AG19" s="216"/>
      <c r="AH19" s="216" t="s">
        <v>1588</v>
      </c>
      <c r="AI19" s="339">
        <v>2</v>
      </c>
      <c r="AJ19" s="339">
        <v>4</v>
      </c>
      <c r="AK19" s="339">
        <v>1</v>
      </c>
      <c r="AL19" s="339">
        <v>1</v>
      </c>
      <c r="AM19" s="339">
        <v>1</v>
      </c>
      <c r="AN19" s="339">
        <v>3</v>
      </c>
      <c r="AO19" s="104">
        <v>6</v>
      </c>
      <c r="AP19" s="104">
        <v>1.05</v>
      </c>
      <c r="AQ19" s="107">
        <v>1.1248669232235737</v>
      </c>
      <c r="AR19" s="107">
        <v>1.1358476947699978</v>
      </c>
      <c r="AS19" s="107" t="s">
        <v>3077</v>
      </c>
      <c r="AT19" s="108">
        <v>1.05</v>
      </c>
      <c r="AU19" s="108">
        <v>1.1000000000000001</v>
      </c>
      <c r="AV19" s="108">
        <v>1</v>
      </c>
      <c r="AW19" s="108">
        <v>1</v>
      </c>
      <c r="AX19" s="108">
        <v>1</v>
      </c>
      <c r="AY19" s="108">
        <v>1.05</v>
      </c>
      <c r="BB19" s="435">
        <v>2.9026844692326873E-4</v>
      </c>
      <c r="BC19" s="197">
        <v>4.7916666666666698E-3</v>
      </c>
    </row>
    <row r="20" spans="1:55" ht="24" customHeight="1">
      <c r="A20" s="330">
        <v>268985</v>
      </c>
      <c r="B20" s="331" t="s">
        <v>529</v>
      </c>
      <c r="C20" s="88"/>
      <c r="D20" s="340">
        <v>5</v>
      </c>
      <c r="E20" s="341" t="s">
        <v>98</v>
      </c>
      <c r="F20" s="432" t="s">
        <v>1299</v>
      </c>
      <c r="G20" s="433" t="s">
        <v>103</v>
      </c>
      <c r="H20" s="434" t="s">
        <v>98</v>
      </c>
      <c r="I20" s="434" t="s">
        <v>98</v>
      </c>
      <c r="J20" s="94">
        <v>0</v>
      </c>
      <c r="K20" s="433" t="s">
        <v>96</v>
      </c>
      <c r="L20" s="435">
        <v>3.1595233807921723E-2</v>
      </c>
      <c r="M20" s="95"/>
      <c r="N20" s="96"/>
      <c r="O20" s="432"/>
      <c r="P20" s="435">
        <v>2.1235141679704183E-3</v>
      </c>
      <c r="Q20" s="95"/>
      <c r="R20" s="96"/>
      <c r="S20" s="432"/>
      <c r="T20" s="435">
        <v>0.42470283359408356</v>
      </c>
      <c r="U20" s="95"/>
      <c r="V20" s="96"/>
      <c r="W20" s="432"/>
      <c r="X20" s="435">
        <v>9.7793415630216644E-3</v>
      </c>
      <c r="Y20" s="95"/>
      <c r="Z20" s="96"/>
      <c r="AA20" s="432"/>
      <c r="AB20" s="435">
        <v>0.82891561819897908</v>
      </c>
      <c r="AC20" s="95">
        <v>1</v>
      </c>
      <c r="AD20" s="96">
        <v>1.1358476947699978</v>
      </c>
      <c r="AE20" s="432" t="s">
        <v>3081</v>
      </c>
      <c r="AG20" s="216"/>
      <c r="AH20" s="216" t="s">
        <v>1588</v>
      </c>
      <c r="AI20" s="339">
        <v>2</v>
      </c>
      <c r="AJ20" s="339">
        <v>4</v>
      </c>
      <c r="AK20" s="339">
        <v>1</v>
      </c>
      <c r="AL20" s="339">
        <v>1</v>
      </c>
      <c r="AM20" s="339">
        <v>1</v>
      </c>
      <c r="AN20" s="339">
        <v>3</v>
      </c>
      <c r="AO20" s="104">
        <v>6</v>
      </c>
      <c r="AP20" s="104">
        <v>1.05</v>
      </c>
      <c r="AQ20" s="107">
        <v>1.1248669232235737</v>
      </c>
      <c r="AR20" s="107">
        <v>1.1358476947699978</v>
      </c>
      <c r="AS20" s="107" t="s">
        <v>3077</v>
      </c>
      <c r="AT20" s="108">
        <v>1.05</v>
      </c>
      <c r="AU20" s="108">
        <v>1.1000000000000001</v>
      </c>
      <c r="AV20" s="108">
        <v>1</v>
      </c>
      <c r="AW20" s="108">
        <v>1</v>
      </c>
      <c r="AX20" s="108">
        <v>1</v>
      </c>
      <c r="AY20" s="108">
        <v>1.05</v>
      </c>
      <c r="BB20" s="435">
        <v>3.7304222196643151E-2</v>
      </c>
      <c r="BC20" s="197">
        <v>0.61580719475456303</v>
      </c>
    </row>
    <row r="21" spans="1:55" ht="24" customHeight="1">
      <c r="A21" s="330">
        <v>269455</v>
      </c>
      <c r="B21" s="331" t="s">
        <v>529</v>
      </c>
      <c r="C21" s="88"/>
      <c r="D21" s="340">
        <v>5</v>
      </c>
      <c r="E21" s="341" t="s">
        <v>98</v>
      </c>
      <c r="F21" s="432" t="s">
        <v>1217</v>
      </c>
      <c r="G21" s="433" t="s">
        <v>103</v>
      </c>
      <c r="H21" s="434" t="s">
        <v>98</v>
      </c>
      <c r="I21" s="434" t="s">
        <v>98</v>
      </c>
      <c r="J21" s="94">
        <v>0</v>
      </c>
      <c r="K21" s="433" t="s">
        <v>96</v>
      </c>
      <c r="L21" s="435">
        <v>6.5918113699980369E-3</v>
      </c>
      <c r="M21" s="95"/>
      <c r="N21" s="96"/>
      <c r="O21" s="432"/>
      <c r="P21" s="435">
        <v>4.430353300082153E-4</v>
      </c>
      <c r="Q21" s="95"/>
      <c r="R21" s="96"/>
      <c r="S21" s="432"/>
      <c r="T21" s="435">
        <v>8.8607066001643059E-2</v>
      </c>
      <c r="U21" s="95"/>
      <c r="V21" s="96"/>
      <c r="W21" s="432"/>
      <c r="X21" s="435">
        <v>2.0402942829325708E-3</v>
      </c>
      <c r="Y21" s="95"/>
      <c r="Z21" s="96"/>
      <c r="AA21" s="432"/>
      <c r="AB21" s="435">
        <v>0.17293922969618933</v>
      </c>
      <c r="AC21" s="95">
        <v>1</v>
      </c>
      <c r="AD21" s="96">
        <v>1.1358476947699978</v>
      </c>
      <c r="AE21" s="432" t="s">
        <v>3081</v>
      </c>
      <c r="AG21" s="216"/>
      <c r="AH21" s="216" t="s">
        <v>1588</v>
      </c>
      <c r="AI21" s="339">
        <v>2</v>
      </c>
      <c r="AJ21" s="339">
        <v>4</v>
      </c>
      <c r="AK21" s="339">
        <v>1</v>
      </c>
      <c r="AL21" s="339">
        <v>1</v>
      </c>
      <c r="AM21" s="339">
        <v>1</v>
      </c>
      <c r="AN21" s="339">
        <v>3</v>
      </c>
      <c r="AO21" s="104">
        <v>6</v>
      </c>
      <c r="AP21" s="104">
        <v>1.05</v>
      </c>
      <c r="AQ21" s="107">
        <v>1.1248669232235737</v>
      </c>
      <c r="AR21" s="107">
        <v>1.1358476947699978</v>
      </c>
      <c r="AS21" s="107" t="s">
        <v>3077</v>
      </c>
      <c r="AT21" s="108">
        <v>1.05</v>
      </c>
      <c r="AU21" s="108">
        <v>1.1000000000000001</v>
      </c>
      <c r="AV21" s="108">
        <v>1</v>
      </c>
      <c r="AW21" s="108">
        <v>1</v>
      </c>
      <c r="AX21" s="108">
        <v>1</v>
      </c>
      <c r="AY21" s="108">
        <v>1.05</v>
      </c>
      <c r="BB21" s="435">
        <v>7.7828952784363163E-3</v>
      </c>
      <c r="BC21" s="197">
        <v>0.128477760056707</v>
      </c>
    </row>
    <row r="22" spans="1:55" ht="48" customHeight="1">
      <c r="A22" s="330">
        <v>157803</v>
      </c>
      <c r="B22" s="331" t="s">
        <v>1790</v>
      </c>
      <c r="C22" s="88"/>
      <c r="D22" s="340" t="s">
        <v>98</v>
      </c>
      <c r="E22" s="341">
        <v>4</v>
      </c>
      <c r="F22" s="432" t="s">
        <v>352</v>
      </c>
      <c r="G22" s="433" t="s">
        <v>98</v>
      </c>
      <c r="H22" s="434" t="s">
        <v>247</v>
      </c>
      <c r="I22" s="434" t="s">
        <v>248</v>
      </c>
      <c r="J22" s="94" t="s">
        <v>98</v>
      </c>
      <c r="K22" s="433" t="s">
        <v>96</v>
      </c>
      <c r="L22" s="435">
        <v>3.0215560869065943E-10</v>
      </c>
      <c r="M22" s="95"/>
      <c r="N22" s="96"/>
      <c r="O22" s="432"/>
      <c r="P22" s="435">
        <v>2.0307864150872894E-11</v>
      </c>
      <c r="Q22" s="95"/>
      <c r="R22" s="96"/>
      <c r="S22" s="432"/>
      <c r="T22" s="435">
        <v>4.0615728301745798E-9</v>
      </c>
      <c r="U22" s="95"/>
      <c r="V22" s="96"/>
      <c r="W22" s="432"/>
      <c r="X22" s="435">
        <v>9.3523058589546252E-11</v>
      </c>
      <c r="Y22" s="95"/>
      <c r="Z22" s="96"/>
      <c r="AA22" s="432"/>
      <c r="AB22" s="435">
        <v>7.9271925852091576E-9</v>
      </c>
      <c r="AC22" s="95">
        <v>1</v>
      </c>
      <c r="AD22" s="96">
        <v>5.021523473777969</v>
      </c>
      <c r="AE22" s="432" t="s">
        <v>3085</v>
      </c>
      <c r="AG22" s="216"/>
      <c r="AH22" s="216" t="s">
        <v>1588</v>
      </c>
      <c r="AI22" s="339">
        <v>2</v>
      </c>
      <c r="AJ22" s="339">
        <v>4</v>
      </c>
      <c r="AK22" s="339">
        <v>1</v>
      </c>
      <c r="AL22" s="339">
        <v>1</v>
      </c>
      <c r="AM22" s="339">
        <v>1</v>
      </c>
      <c r="AN22" s="339">
        <v>3</v>
      </c>
      <c r="AO22" s="104">
        <v>22</v>
      </c>
      <c r="AP22" s="104">
        <v>5</v>
      </c>
      <c r="AQ22" s="107">
        <v>1.1248669232235737</v>
      </c>
      <c r="AR22" s="107">
        <v>5.021523473777969</v>
      </c>
      <c r="AS22" s="107" t="s">
        <v>3086</v>
      </c>
      <c r="AT22" s="108">
        <v>1.05</v>
      </c>
      <c r="AU22" s="108">
        <v>1.1000000000000001</v>
      </c>
      <c r="AV22" s="108">
        <v>1</v>
      </c>
      <c r="AW22" s="108">
        <v>1</v>
      </c>
      <c r="AX22" s="108">
        <v>1</v>
      </c>
      <c r="AY22" s="108">
        <v>1.05</v>
      </c>
      <c r="BB22" s="435">
        <v>3.5675254163595478E-10</v>
      </c>
      <c r="BC22" s="197">
        <v>5.8891666666666703E-9</v>
      </c>
    </row>
    <row r="23" spans="1:55" ht="48" customHeight="1">
      <c r="A23" s="330">
        <v>160297</v>
      </c>
      <c r="B23" s="331" t="s">
        <v>1537</v>
      </c>
      <c r="C23" s="88"/>
      <c r="D23" s="340" t="s">
        <v>98</v>
      </c>
      <c r="E23" s="341">
        <v>4</v>
      </c>
      <c r="F23" s="432" t="s">
        <v>352</v>
      </c>
      <c r="G23" s="433" t="s">
        <v>98</v>
      </c>
      <c r="H23" s="434" t="s">
        <v>344</v>
      </c>
      <c r="I23" s="434" t="s">
        <v>248</v>
      </c>
      <c r="J23" s="94" t="s">
        <v>98</v>
      </c>
      <c r="K23" s="433" t="s">
        <v>96</v>
      </c>
      <c r="L23" s="435">
        <v>4.5766909909922126E-9</v>
      </c>
      <c r="M23" s="95"/>
      <c r="N23" s="96"/>
      <c r="O23" s="432"/>
      <c r="P23" s="435">
        <v>3.0759918476557752E-10</v>
      </c>
      <c r="Q23" s="95"/>
      <c r="R23" s="96"/>
      <c r="S23" s="432"/>
      <c r="T23" s="435">
        <v>6.1519836953115511E-8</v>
      </c>
      <c r="U23" s="95"/>
      <c r="V23" s="96"/>
      <c r="W23" s="432"/>
      <c r="X23" s="435">
        <v>1.4165751929993705E-9</v>
      </c>
      <c r="Y23" s="95"/>
      <c r="Z23" s="96"/>
      <c r="AA23" s="432"/>
      <c r="AB23" s="435">
        <v>1.200716115970895E-7</v>
      </c>
      <c r="AC23" s="95">
        <v>1</v>
      </c>
      <c r="AD23" s="96">
        <v>3.0189088199182486</v>
      </c>
      <c r="AE23" s="432" t="s">
        <v>3087</v>
      </c>
      <c r="AG23" s="216"/>
      <c r="AH23" s="216" t="s">
        <v>1588</v>
      </c>
      <c r="AI23" s="339">
        <v>2</v>
      </c>
      <c r="AJ23" s="339">
        <v>4</v>
      </c>
      <c r="AK23" s="339">
        <v>1</v>
      </c>
      <c r="AL23" s="339">
        <v>1</v>
      </c>
      <c r="AM23" s="339">
        <v>1</v>
      </c>
      <c r="AN23" s="339">
        <v>3</v>
      </c>
      <c r="AO23" s="104">
        <v>34</v>
      </c>
      <c r="AP23" s="104">
        <v>3</v>
      </c>
      <c r="AQ23" s="107">
        <v>1.1248669232235737</v>
      </c>
      <c r="AR23" s="107">
        <v>3.0189088199182486</v>
      </c>
      <c r="AS23" s="107" t="s">
        <v>3088</v>
      </c>
      <c r="AT23" s="108">
        <v>1.05</v>
      </c>
      <c r="AU23" s="108">
        <v>1.1000000000000001</v>
      </c>
      <c r="AV23" s="108">
        <v>1</v>
      </c>
      <c r="AW23" s="108">
        <v>1</v>
      </c>
      <c r="AX23" s="108">
        <v>1</v>
      </c>
      <c r="AY23" s="108">
        <v>1.05</v>
      </c>
      <c r="BB23" s="435">
        <v>5.4036598903263104E-9</v>
      </c>
      <c r="BC23" s="197">
        <v>8.9202037799598807E-8</v>
      </c>
    </row>
    <row r="24" spans="1:55">
      <c r="AL24" s="378"/>
      <c r="AM24" s="378"/>
      <c r="AN24" s="378"/>
      <c r="AO24" s="378"/>
    </row>
  </sheetData>
  <mergeCells count="1">
    <mergeCell ref="AI1:AN1"/>
  </mergeCells>
  <conditionalFormatting sqref="D12:AE23 AG12:AN23">
    <cfRule type="expression" dxfId="126" priority="2">
      <formula>MOD(ROW(),2)=0</formula>
    </cfRule>
  </conditionalFormatting>
  <conditionalFormatting sqref="AO12:AY23">
    <cfRule type="expression" dxfId="125" priority="8">
      <formula>MOD(ROW(),2)=0</formula>
    </cfRule>
  </conditionalFormatting>
  <conditionalFormatting sqref="BB12:BB23">
    <cfRule type="expression" dxfId="124" priority="1">
      <formula>MOD(ROW(),2)=0</formula>
    </cfRule>
  </conditionalFormatting>
  <dataValidations xWindow="910" yWindow="599" count="29">
    <dataValidation allowBlank="1" showInputMessage="1" showErrorMessage="1" promptTitle="Empty Line" prompt="An empty line signalises the end of an Ecospold-Dataset. Processes below the first empty line are excluded when exporting to XML. You can use the space below e.g. for additional calculations or comments" sqref="A24:JG24" xr:uid="{00000000-0002-0000-3C00-000000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23 S1:S23 W1:W23 AA1:AA23 AE1:AF23" xr:uid="{00000000-0002-0000-3C00-000001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3 R2:R23 V2:V23 Z2:Z23 AD2:AD23" xr:uid="{00000000-0002-0000-3C00-000002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3 Q2:Q23 U2:U23 Y2:Y23 AC2:AC23" xr:uid="{00000000-0002-0000-3C00-000003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23" xr:uid="{00000000-0002-0000-3C00-000004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23" xr:uid="{00000000-0002-0000-3C00-000005000000}"/>
    <dataValidation allowBlank="1" showInputMessage="1" showErrorMessage="1" promptTitle="Do not change" prompt="This field is automatically updated from the names-list" sqref="AO12:AO23" xr:uid="{00000000-0002-0000-3C00-000006000000}"/>
    <dataValidation allowBlank="1" showInputMessage="1" showErrorMessage="1" promptTitle="Do not change" prompt="This field is automatically calculated from your inputs." sqref="AP12:AY23" xr:uid="{00000000-0002-0000-3C00-000007000000}"/>
    <dataValidation allowBlank="1" showInputMessage="1" showErrorMessage="1" prompt="Mean amount of elementary flow or intermediate product flow. Enter your values (or the respective equation) here." sqref="L12:L23 P12:P23 T12:T23 X12:X23 AB12:AB23 BB12:BB23" xr:uid="{00000000-0002-0000-3C00-000008000000}"/>
    <dataValidation allowBlank="1" showInputMessage="1" showErrorMessage="1" prompt="always 1" sqref="L7:L11 P7:P11 T7:T11 X7:X11 AB7:AB11 BB7:BB11" xr:uid="{00000000-0002-0000-3C00-000009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3C00-00000A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3C00-00000B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I3 AI12:AI23" xr:uid="{00000000-0002-0000-3C00-00000C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N3 AN12:AN23" xr:uid="{00000000-0002-0000-3C00-00000D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M3 AM12:AM23" xr:uid="{00000000-0002-0000-3C00-00000E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L3 AL12:AL23" xr:uid="{00000000-0002-0000-3C00-00000F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K3 AK12:AK23" xr:uid="{00000000-0002-0000-3C00-000010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J3 AJ12:AJ23" xr:uid="{00000000-0002-0000-3C00-000011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12:A23" xr:uid="{00000000-0002-0000-3C00-00001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3C00-000013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12:D23" xr:uid="{00000000-0002-0000-3C00-000014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00000000-0002-0000-3C00-000015000000}"/>
    <dataValidation allowBlank="1" showInputMessage="1" showErrorMessage="1" promptTitle="Name" prompt="Name of the exchange (elementary flow or intermediate product flow) in English language. " sqref="F2:F3" xr:uid="{00000000-0002-0000-3C00-000016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3C00-000017000000}"/>
    <dataValidation allowBlank="1" showInputMessage="1" showErrorMessage="1" promptTitle="Unit" prompt="Unit of the exchange (elementary flow or intermediate product flow)." sqref="F6 K2:K3" xr:uid="{00000000-0002-0000-3C00-000018000000}"/>
    <dataValidation allowBlank="1" showInputMessage="1" showErrorMessage="1" prompt="This cell is automatically updated from the names List according to the index number in L1. It needs to be identical to the output product." sqref="L3:L6 P3:P6 T3:T6 X3:X6 AB3:AB6 BB3:BB6" xr:uid="{00000000-0002-0000-3C00-000019000000}"/>
    <dataValidation allowBlank="1" showInputMessage="1" showErrorMessage="1" prompt="Do not change." sqref="AO3:AY4 AQ7:AY11" xr:uid="{00000000-0002-0000-3C00-00001A000000}"/>
    <dataValidation allowBlank="1" showInputMessage="1" showErrorMessage="1" promptTitle="Remarks" prompt="A general comment (data source, calculation procedure, ...) can be made about each individual exchange. The remarks are added to the GeneralComment-field." sqref="AG3:AH3 AG12:AH23" xr:uid="{00000000-0002-0000-3C00-00001B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D11" xr:uid="{00000000-0002-0000-3C00-00001C000000}"/>
  </dataValidations>
  <printOptions horizontalCentered="1" verticalCentered="1"/>
  <pageMargins left="0.78740157480314965" right="0.78740157480314965" top="0.98425196850393704" bottom="0.98425196850393704" header="0.51181102362204722" footer="0.51181102362204722"/>
  <pageSetup paperSize="9" scale="40" orientation="landscape" r:id="rId1"/>
  <headerFooter alignWithMargins="0">
    <oddHeader>&amp;L&amp;C&amp;R</oddHeader>
    <oddFooter>&amp;L&amp;D&amp;C&amp;F&amp;RSeite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85">
    <tabColor rgb="FF9CD9F0"/>
  </sheetPr>
  <dimension ref="A1:O61"/>
  <sheetViews>
    <sheetView showGridLines="0" topLeftCell="A27" workbookViewId="0">
      <selection activeCell="O14" sqref="O14"/>
    </sheetView>
  </sheetViews>
  <sheetFormatPr baseColWidth="10" defaultColWidth="11.42578125" defaultRowHeight="12.75" outlineLevelCol="1"/>
  <cols>
    <col min="1" max="1" width="8.28515625" style="392" customWidth="1"/>
    <col min="2" max="2" width="20.85546875" style="69" bestFit="1" customWidth="1"/>
    <col min="3" max="3" width="4.140625" style="70" hidden="1" customWidth="1" outlineLevel="1"/>
    <col min="4" max="5" width="5.140625" style="392" hidden="1" customWidth="1" outlineLevel="1"/>
    <col min="6" max="6" width="60" style="392" bestFit="1" customWidth="1" collapsed="1"/>
    <col min="7" max="7" width="5.140625" style="392" bestFit="1" customWidth="1"/>
    <col min="8" max="8" width="5.42578125" style="392" hidden="1" customWidth="1" outlineLevel="1"/>
    <col min="9" max="9" width="19.5703125" style="392" hidden="1" customWidth="1" outlineLevel="1"/>
    <col min="10" max="10" width="5.7109375" style="392" bestFit="1" customWidth="1" collapsed="1"/>
    <col min="11" max="11" width="5.140625" style="392" customWidth="1"/>
    <col min="12" max="12" width="14" style="392" customWidth="1"/>
    <col min="13" max="13" width="3.5703125" style="37" customWidth="1" outlineLevel="1"/>
    <col min="14" max="14" width="6.5703125" style="37" customWidth="1" outlineLevel="1"/>
    <col min="15" max="15" width="92.85546875" style="37" customWidth="1" outlineLevel="1"/>
    <col min="16" max="17" width="11.42578125" style="68" customWidth="1"/>
    <col min="18" max="16384" width="11.42578125" style="68"/>
  </cols>
  <sheetData>
    <row r="1" spans="1:15">
      <c r="A1" s="1026"/>
      <c r="B1" s="1027"/>
      <c r="C1" s="1028"/>
      <c r="D1" s="1026"/>
      <c r="E1" s="1026"/>
      <c r="F1" s="1031"/>
      <c r="G1" s="1026"/>
      <c r="H1" s="1026"/>
      <c r="I1" s="1026"/>
      <c r="J1" s="1026"/>
      <c r="K1" s="1026"/>
      <c r="L1" s="988">
        <v>269519</v>
      </c>
      <c r="M1" s="896"/>
      <c r="N1" s="896"/>
      <c r="O1" s="896"/>
    </row>
    <row r="2" spans="1:15">
      <c r="A2" s="1026"/>
      <c r="B2" s="1029"/>
      <c r="C2" s="1028" t="s">
        <v>67</v>
      </c>
      <c r="D2" s="1032">
        <v>3503</v>
      </c>
      <c r="E2" s="1032">
        <v>3504</v>
      </c>
      <c r="F2" s="1032">
        <v>3702</v>
      </c>
      <c r="G2" s="1032">
        <v>3703</v>
      </c>
      <c r="H2" s="1032">
        <v>3506</v>
      </c>
      <c r="I2" s="1032">
        <v>3507</v>
      </c>
      <c r="J2" s="1032">
        <v>3508</v>
      </c>
      <c r="K2" s="1032">
        <v>3706</v>
      </c>
      <c r="L2" s="1032">
        <v>3707</v>
      </c>
      <c r="M2" s="1033">
        <v>3708</v>
      </c>
      <c r="N2" s="1033">
        <v>3709</v>
      </c>
      <c r="O2" s="1034">
        <v>3792</v>
      </c>
    </row>
    <row r="3" spans="1:15" ht="79.5" customHeight="1">
      <c r="A3" s="1026"/>
      <c r="B3" s="1030" t="s">
        <v>135</v>
      </c>
      <c r="C3" s="1028">
        <v>401</v>
      </c>
      <c r="D3" s="1035" t="s">
        <v>136</v>
      </c>
      <c r="E3" s="1035" t="s">
        <v>137</v>
      </c>
      <c r="F3" s="1036" t="s">
        <v>71</v>
      </c>
      <c r="G3" s="1035" t="s">
        <v>72</v>
      </c>
      <c r="H3" s="1035" t="s">
        <v>73</v>
      </c>
      <c r="I3" s="1035" t="s">
        <v>138</v>
      </c>
      <c r="J3" s="1035" t="s">
        <v>139</v>
      </c>
      <c r="K3" s="1035" t="s">
        <v>76</v>
      </c>
      <c r="L3" s="1041" t="s">
        <v>118</v>
      </c>
      <c r="M3" s="1037" t="s">
        <v>140</v>
      </c>
      <c r="N3" s="1037" t="s">
        <v>79</v>
      </c>
      <c r="O3" s="1038" t="s">
        <v>80</v>
      </c>
    </row>
    <row r="4" spans="1:15">
      <c r="A4" s="1026"/>
      <c r="B4" s="1030"/>
      <c r="C4" s="1028">
        <v>662</v>
      </c>
      <c r="D4" s="1036"/>
      <c r="E4" s="1036"/>
      <c r="F4" s="1036" t="s">
        <v>72</v>
      </c>
      <c r="G4" s="1036"/>
      <c r="H4" s="1036"/>
      <c r="I4" s="1036"/>
      <c r="J4" s="1036"/>
      <c r="K4" s="1036"/>
      <c r="L4" s="1041" t="s">
        <v>103</v>
      </c>
      <c r="M4" s="1039"/>
      <c r="N4" s="1039"/>
      <c r="O4" s="1040"/>
    </row>
    <row r="5" spans="1:15">
      <c r="A5" s="1026"/>
      <c r="B5" s="1030"/>
      <c r="C5" s="1028">
        <v>493</v>
      </c>
      <c r="D5" s="1036"/>
      <c r="E5" s="1036"/>
      <c r="F5" s="1036" t="s">
        <v>75</v>
      </c>
      <c r="G5" s="1036"/>
      <c r="H5" s="1036"/>
      <c r="I5" s="1036"/>
      <c r="J5" s="1036"/>
      <c r="K5" s="1036"/>
      <c r="L5" s="1041">
        <v>0</v>
      </c>
      <c r="M5" s="1039"/>
      <c r="N5" s="1039"/>
      <c r="O5" s="1040"/>
    </row>
    <row r="6" spans="1:15">
      <c r="A6" s="1026"/>
      <c r="B6" s="1030"/>
      <c r="C6" s="1028">
        <v>403</v>
      </c>
      <c r="D6" s="1036"/>
      <c r="E6" s="1036"/>
      <c r="F6" s="1036" t="s">
        <v>76</v>
      </c>
      <c r="G6" s="1036"/>
      <c r="H6" s="1036"/>
      <c r="I6" s="1036"/>
      <c r="J6" s="1036"/>
      <c r="K6" s="1036"/>
      <c r="L6" s="1041" t="s">
        <v>119</v>
      </c>
      <c r="M6" s="1039"/>
      <c r="N6" s="1039"/>
      <c r="O6" s="1040"/>
    </row>
    <row r="7" spans="1:15">
      <c r="A7" s="988">
        <v>269519</v>
      </c>
      <c r="B7" s="1044" t="s">
        <v>141</v>
      </c>
      <c r="C7" s="1045"/>
      <c r="D7" s="1046"/>
      <c r="E7" s="1046">
        <v>0</v>
      </c>
      <c r="F7" s="1010" t="s">
        <v>118</v>
      </c>
      <c r="G7" s="811" t="s">
        <v>103</v>
      </c>
      <c r="H7" s="1011"/>
      <c r="I7" s="1011"/>
      <c r="J7" s="812">
        <v>0</v>
      </c>
      <c r="K7" s="811" t="s">
        <v>119</v>
      </c>
      <c r="L7" s="1047">
        <v>1</v>
      </c>
      <c r="M7" s="580"/>
      <c r="N7" s="581"/>
      <c r="O7" s="206"/>
    </row>
    <row r="8" spans="1:15" ht="21.75" customHeight="1">
      <c r="A8" s="1042"/>
      <c r="B8" s="1044" t="s">
        <v>142</v>
      </c>
      <c r="C8" s="1045"/>
      <c r="D8" s="1093">
        <v>5</v>
      </c>
      <c r="E8" s="1094"/>
      <c r="F8" s="1092" t="s">
        <v>143</v>
      </c>
      <c r="G8" s="814" t="s">
        <v>103</v>
      </c>
      <c r="H8" s="822"/>
      <c r="I8" s="822"/>
      <c r="J8" s="815">
        <v>1</v>
      </c>
      <c r="K8" s="814" t="s">
        <v>144</v>
      </c>
      <c r="L8" s="1095">
        <v>8.3291999999999995E-10</v>
      </c>
      <c r="M8" s="816">
        <v>1</v>
      </c>
      <c r="N8" s="817">
        <v>1.2078</v>
      </c>
      <c r="O8" s="1096" t="s">
        <v>145</v>
      </c>
    </row>
    <row r="9" spans="1:15" ht="21.75" customHeight="1">
      <c r="A9" s="1043"/>
      <c r="B9" s="1044"/>
      <c r="C9" s="1045"/>
      <c r="D9" s="1048">
        <v>5</v>
      </c>
      <c r="E9" s="1049"/>
      <c r="F9" s="1023" t="s">
        <v>146</v>
      </c>
      <c r="G9" s="818" t="s">
        <v>103</v>
      </c>
      <c r="H9" s="821"/>
      <c r="I9" s="821"/>
      <c r="J9" s="819">
        <v>1</v>
      </c>
      <c r="K9" s="818" t="s">
        <v>144</v>
      </c>
      <c r="L9" s="1050">
        <v>1.5613E-9</v>
      </c>
      <c r="M9" s="820">
        <v>1</v>
      </c>
      <c r="N9" s="813">
        <v>1.4438</v>
      </c>
      <c r="O9" s="1051" t="s">
        <v>145</v>
      </c>
    </row>
    <row r="10" spans="1:15" ht="21.75" customHeight="1">
      <c r="A10" s="1043"/>
      <c r="B10" s="1044"/>
      <c r="C10" s="1045"/>
      <c r="D10" s="1093">
        <v>5</v>
      </c>
      <c r="E10" s="1094"/>
      <c r="F10" s="1092" t="s">
        <v>147</v>
      </c>
      <c r="G10" s="814" t="s">
        <v>103</v>
      </c>
      <c r="H10" s="822"/>
      <c r="I10" s="822"/>
      <c r="J10" s="815">
        <v>1</v>
      </c>
      <c r="K10" s="814" t="s">
        <v>144</v>
      </c>
      <c r="L10" s="1095">
        <v>2.9312000000000002E-10</v>
      </c>
      <c r="M10" s="816">
        <v>1</v>
      </c>
      <c r="N10" s="817">
        <v>1.4495</v>
      </c>
      <c r="O10" s="1096" t="s">
        <v>145</v>
      </c>
    </row>
    <row r="11" spans="1:15" ht="21.75" customHeight="1">
      <c r="A11" s="1043"/>
      <c r="B11" s="1044"/>
      <c r="C11" s="1045"/>
      <c r="D11" s="1048">
        <v>5</v>
      </c>
      <c r="E11" s="1049"/>
      <c r="F11" s="1023" t="s">
        <v>148</v>
      </c>
      <c r="G11" s="818" t="s">
        <v>103</v>
      </c>
      <c r="H11" s="821"/>
      <c r="I11" s="821"/>
      <c r="J11" s="819">
        <v>0</v>
      </c>
      <c r="K11" s="818" t="s">
        <v>109</v>
      </c>
      <c r="L11" s="1050">
        <v>0.47899000000000003</v>
      </c>
      <c r="M11" s="820">
        <v>1</v>
      </c>
      <c r="N11" s="813">
        <v>3.8308</v>
      </c>
      <c r="O11" s="1051" t="s">
        <v>145</v>
      </c>
    </row>
    <row r="12" spans="1:15" ht="21.75" customHeight="1">
      <c r="A12" s="1043"/>
      <c r="B12" s="1044"/>
      <c r="C12" s="1045"/>
      <c r="D12" s="1093">
        <v>5</v>
      </c>
      <c r="E12" s="1094"/>
      <c r="F12" s="1092" t="s">
        <v>149</v>
      </c>
      <c r="G12" s="814" t="s">
        <v>103</v>
      </c>
      <c r="H12" s="822"/>
      <c r="I12" s="822"/>
      <c r="J12" s="815">
        <v>0</v>
      </c>
      <c r="K12" s="814" t="s">
        <v>104</v>
      </c>
      <c r="L12" s="1095">
        <v>2.7942</v>
      </c>
      <c r="M12" s="816">
        <v>1</v>
      </c>
      <c r="N12" s="817">
        <v>1.2153</v>
      </c>
      <c r="O12" s="1096" t="s">
        <v>145</v>
      </c>
    </row>
    <row r="13" spans="1:15" ht="21.75" customHeight="1">
      <c r="A13" s="1043"/>
      <c r="B13" s="1044"/>
      <c r="C13" s="1045"/>
      <c r="D13" s="1048">
        <v>5</v>
      </c>
      <c r="E13" s="1049"/>
      <c r="F13" s="1023" t="s">
        <v>150</v>
      </c>
      <c r="G13" s="818" t="s">
        <v>93</v>
      </c>
      <c r="H13" s="821"/>
      <c r="I13" s="821"/>
      <c r="J13" s="819">
        <v>0</v>
      </c>
      <c r="K13" s="818" t="s">
        <v>96</v>
      </c>
      <c r="L13" s="1050">
        <v>8.3127999999999996E-7</v>
      </c>
      <c r="M13" s="820">
        <v>1</v>
      </c>
      <c r="N13" s="813">
        <v>1.8849</v>
      </c>
      <c r="O13" s="1051" t="s">
        <v>145</v>
      </c>
    </row>
    <row r="14" spans="1:15" ht="21.75" customHeight="1">
      <c r="A14" s="1043"/>
      <c r="B14" s="1044"/>
      <c r="C14" s="1045"/>
      <c r="D14" s="1093">
        <v>5</v>
      </c>
      <c r="E14" s="1094"/>
      <c r="F14" s="1092" t="s">
        <v>151</v>
      </c>
      <c r="G14" s="814" t="s">
        <v>103</v>
      </c>
      <c r="H14" s="822"/>
      <c r="I14" s="822"/>
      <c r="J14" s="815">
        <v>0</v>
      </c>
      <c r="K14" s="814" t="s">
        <v>96</v>
      </c>
      <c r="L14" s="1095">
        <v>1.5071E-7</v>
      </c>
      <c r="M14" s="816">
        <v>1</v>
      </c>
      <c r="N14" s="817">
        <v>1.9048</v>
      </c>
      <c r="O14" s="1096" t="s">
        <v>145</v>
      </c>
    </row>
    <row r="15" spans="1:15" ht="21.75" customHeight="1">
      <c r="A15" s="1043"/>
      <c r="B15" s="1044"/>
      <c r="C15" s="1045"/>
      <c r="D15" s="1052">
        <v>5</v>
      </c>
      <c r="E15" s="1049"/>
      <c r="F15" s="1023" t="s">
        <v>152</v>
      </c>
      <c r="G15" s="818" t="s">
        <v>93</v>
      </c>
      <c r="H15" s="821"/>
      <c r="I15" s="821"/>
      <c r="J15" s="819">
        <v>0</v>
      </c>
      <c r="K15" s="818" t="s">
        <v>96</v>
      </c>
      <c r="L15" s="1050">
        <v>6.3192000000000003E-10</v>
      </c>
      <c r="M15" s="820">
        <v>1</v>
      </c>
      <c r="N15" s="813">
        <v>1.8873</v>
      </c>
      <c r="O15" s="1051" t="s">
        <v>145</v>
      </c>
    </row>
    <row r="16" spans="1:15" ht="21.75" customHeight="1">
      <c r="A16" s="1043"/>
      <c r="B16" s="1044"/>
      <c r="C16" s="1045"/>
      <c r="D16" s="1097">
        <v>5</v>
      </c>
      <c r="E16" s="1094"/>
      <c r="F16" s="1092" t="s">
        <v>153</v>
      </c>
      <c r="G16" s="814" t="s">
        <v>154</v>
      </c>
      <c r="H16" s="822"/>
      <c r="I16" s="822"/>
      <c r="J16" s="815">
        <v>0</v>
      </c>
      <c r="K16" s="814" t="s">
        <v>96</v>
      </c>
      <c r="L16" s="1095">
        <v>1.0532E-9</v>
      </c>
      <c r="M16" s="816">
        <v>1</v>
      </c>
      <c r="N16" s="817">
        <v>1.8873</v>
      </c>
      <c r="O16" s="1096" t="s">
        <v>145</v>
      </c>
    </row>
    <row r="17" spans="1:15" ht="21.75" customHeight="1">
      <c r="A17" s="1043"/>
      <c r="B17" s="1044"/>
      <c r="C17" s="1045"/>
      <c r="D17" s="1052">
        <v>5</v>
      </c>
      <c r="E17" s="1052"/>
      <c r="F17" s="1023" t="s">
        <v>155</v>
      </c>
      <c r="G17" s="818" t="s">
        <v>103</v>
      </c>
      <c r="H17" s="821"/>
      <c r="I17" s="821"/>
      <c r="J17" s="819">
        <v>0</v>
      </c>
      <c r="K17" s="818" t="s">
        <v>96</v>
      </c>
      <c r="L17" s="1050">
        <v>5.6279999999999997E-2</v>
      </c>
      <c r="M17" s="820">
        <v>1</v>
      </c>
      <c r="N17" s="813">
        <v>1.5179</v>
      </c>
      <c r="O17" s="1051" t="s">
        <v>145</v>
      </c>
    </row>
    <row r="18" spans="1:15" ht="21.75" customHeight="1">
      <c r="A18" s="1043"/>
      <c r="B18" s="1044"/>
      <c r="C18" s="1045"/>
      <c r="D18" s="1097">
        <v>5</v>
      </c>
      <c r="E18" s="1097"/>
      <c r="F18" s="1092" t="s">
        <v>117</v>
      </c>
      <c r="G18" s="814" t="s">
        <v>93</v>
      </c>
      <c r="H18" s="822"/>
      <c r="I18" s="822"/>
      <c r="J18" s="815">
        <v>0</v>
      </c>
      <c r="K18" s="814" t="s">
        <v>115</v>
      </c>
      <c r="L18" s="1095">
        <v>5.6699000000000003E-3</v>
      </c>
      <c r="M18" s="816">
        <v>1</v>
      </c>
      <c r="N18" s="817">
        <v>1.5129999999999999</v>
      </c>
      <c r="O18" s="1096" t="s">
        <v>156</v>
      </c>
    </row>
    <row r="19" spans="1:15" ht="21.75" customHeight="1">
      <c r="A19" s="1043"/>
      <c r="B19" s="1044"/>
      <c r="C19" s="1045"/>
      <c r="D19" s="1052">
        <v>5</v>
      </c>
      <c r="E19" s="1052"/>
      <c r="F19" s="1023" t="s">
        <v>157</v>
      </c>
      <c r="G19" s="818" t="s">
        <v>103</v>
      </c>
      <c r="H19" s="821"/>
      <c r="I19" s="821"/>
      <c r="J19" s="819">
        <v>0</v>
      </c>
      <c r="K19" s="818" t="s">
        <v>115</v>
      </c>
      <c r="L19" s="1050">
        <v>0.27706999999999998</v>
      </c>
      <c r="M19" s="820">
        <v>1</v>
      </c>
      <c r="N19" s="813">
        <v>1.0777000000000001</v>
      </c>
      <c r="O19" s="1051" t="s">
        <v>156</v>
      </c>
    </row>
    <row r="20" spans="1:15" ht="21.75" customHeight="1">
      <c r="A20" s="1043"/>
      <c r="B20" s="1044"/>
      <c r="C20" s="1045"/>
      <c r="D20" s="1097">
        <v>5</v>
      </c>
      <c r="E20" s="1097"/>
      <c r="F20" s="1092" t="s">
        <v>101</v>
      </c>
      <c r="G20" s="814" t="s">
        <v>103</v>
      </c>
      <c r="H20" s="822"/>
      <c r="I20" s="822"/>
      <c r="J20" s="815">
        <v>0</v>
      </c>
      <c r="K20" s="814" t="s">
        <v>96</v>
      </c>
      <c r="L20" s="1095">
        <v>1.6728999999999999E-5</v>
      </c>
      <c r="M20" s="816">
        <v>1</v>
      </c>
      <c r="N20" s="817">
        <v>2.5097999999999998</v>
      </c>
      <c r="O20" s="1096" t="s">
        <v>145</v>
      </c>
    </row>
    <row r="21" spans="1:15" ht="21.75" customHeight="1">
      <c r="A21" s="1043"/>
      <c r="B21" s="1044"/>
      <c r="C21" s="1045"/>
      <c r="D21" s="1052">
        <v>5</v>
      </c>
      <c r="E21" s="1052"/>
      <c r="F21" s="1023" t="s">
        <v>158</v>
      </c>
      <c r="G21" s="818" t="s">
        <v>103</v>
      </c>
      <c r="H21" s="821"/>
      <c r="I21" s="821"/>
      <c r="J21" s="819">
        <v>0</v>
      </c>
      <c r="K21" s="818" t="s">
        <v>104</v>
      </c>
      <c r="L21" s="1050">
        <v>1.6314000000000001E-3</v>
      </c>
      <c r="M21" s="820">
        <v>1</v>
      </c>
      <c r="N21" s="813">
        <v>2.5097999999999998</v>
      </c>
      <c r="O21" s="1051" t="s">
        <v>145</v>
      </c>
    </row>
    <row r="22" spans="1:15" ht="21.75" customHeight="1">
      <c r="A22" s="1043"/>
      <c r="B22" s="1044"/>
      <c r="C22" s="1045"/>
      <c r="D22" s="1097">
        <v>5</v>
      </c>
      <c r="E22" s="1097"/>
      <c r="F22" s="1092" t="s">
        <v>159</v>
      </c>
      <c r="G22" s="814" t="s">
        <v>93</v>
      </c>
      <c r="H22" s="822"/>
      <c r="I22" s="822"/>
      <c r="J22" s="815">
        <v>0</v>
      </c>
      <c r="K22" s="814" t="s">
        <v>96</v>
      </c>
      <c r="L22" s="1095">
        <v>4.7886000000000004E-7</v>
      </c>
      <c r="M22" s="816">
        <v>1</v>
      </c>
      <c r="N22" s="817">
        <v>4.3174000000000001</v>
      </c>
      <c r="O22" s="1096" t="s">
        <v>145</v>
      </c>
    </row>
    <row r="23" spans="1:15" ht="21.75" customHeight="1">
      <c r="A23" s="1043"/>
      <c r="B23" s="1044"/>
      <c r="C23" s="1045"/>
      <c r="D23" s="1052">
        <v>5</v>
      </c>
      <c r="E23" s="1052"/>
      <c r="F23" s="1023" t="s">
        <v>160</v>
      </c>
      <c r="G23" s="818" t="s">
        <v>93</v>
      </c>
      <c r="H23" s="821"/>
      <c r="I23" s="821"/>
      <c r="J23" s="819">
        <v>0</v>
      </c>
      <c r="K23" s="818" t="s">
        <v>96</v>
      </c>
      <c r="L23" s="1050">
        <v>9.7726999999999996E-9</v>
      </c>
      <c r="M23" s="820">
        <v>1</v>
      </c>
      <c r="N23" s="813">
        <v>4.3174000000000001</v>
      </c>
      <c r="O23" s="1051" t="s">
        <v>145</v>
      </c>
    </row>
    <row r="24" spans="1:15" ht="21.75" customHeight="1">
      <c r="A24" s="1043"/>
      <c r="B24" s="1044"/>
      <c r="C24" s="1045"/>
      <c r="D24" s="1097">
        <v>5</v>
      </c>
      <c r="E24" s="1097"/>
      <c r="F24" s="1092" t="s">
        <v>161</v>
      </c>
      <c r="G24" s="814" t="s">
        <v>103</v>
      </c>
      <c r="H24" s="822"/>
      <c r="I24" s="822"/>
      <c r="J24" s="815">
        <v>0</v>
      </c>
      <c r="K24" s="814" t="s">
        <v>109</v>
      </c>
      <c r="L24" s="1095">
        <v>0.70138999999999996</v>
      </c>
      <c r="M24" s="816">
        <v>1</v>
      </c>
      <c r="N24" s="817">
        <v>1.5343</v>
      </c>
      <c r="O24" s="1096" t="s">
        <v>162</v>
      </c>
    </row>
    <row r="25" spans="1:15" ht="21.75" customHeight="1">
      <c r="A25" s="1043"/>
      <c r="B25" s="1044"/>
      <c r="C25" s="1045"/>
      <c r="D25" s="1052">
        <v>5</v>
      </c>
      <c r="E25" s="1052"/>
      <c r="F25" s="1023" t="s">
        <v>163</v>
      </c>
      <c r="G25" s="818" t="s">
        <v>103</v>
      </c>
      <c r="H25" s="821"/>
      <c r="I25" s="821"/>
      <c r="J25" s="819">
        <v>0</v>
      </c>
      <c r="K25" s="818" t="s">
        <v>104</v>
      </c>
      <c r="L25" s="1050">
        <v>1.3965000000000001</v>
      </c>
      <c r="M25" s="820">
        <v>1</v>
      </c>
      <c r="N25" s="813">
        <v>1.609</v>
      </c>
      <c r="O25" s="1051" t="s">
        <v>162</v>
      </c>
    </row>
    <row r="26" spans="1:15" ht="21.75" customHeight="1">
      <c r="A26" s="1043"/>
      <c r="B26" s="1044"/>
      <c r="C26" s="1045"/>
      <c r="D26" s="1097">
        <v>5</v>
      </c>
      <c r="E26" s="1097"/>
      <c r="F26" s="1092" t="s">
        <v>164</v>
      </c>
      <c r="G26" s="814" t="s">
        <v>93</v>
      </c>
      <c r="H26" s="822"/>
      <c r="I26" s="822"/>
      <c r="J26" s="815">
        <v>0</v>
      </c>
      <c r="K26" s="814" t="s">
        <v>104</v>
      </c>
      <c r="L26" s="1095">
        <v>1.8845000000000001</v>
      </c>
      <c r="M26" s="816">
        <v>1</v>
      </c>
      <c r="N26" s="817">
        <v>1.609</v>
      </c>
      <c r="O26" s="1096" t="s">
        <v>162</v>
      </c>
    </row>
    <row r="27" spans="1:15" ht="21.75" customHeight="1">
      <c r="A27" s="1043"/>
      <c r="B27" s="1044"/>
      <c r="C27" s="1045"/>
      <c r="D27" s="1052">
        <v>5</v>
      </c>
      <c r="E27" s="1052"/>
      <c r="F27" s="1023" t="s">
        <v>165</v>
      </c>
      <c r="G27" s="818" t="s">
        <v>103</v>
      </c>
      <c r="H27" s="821"/>
      <c r="I27" s="821"/>
      <c r="J27" s="819">
        <v>0</v>
      </c>
      <c r="K27" s="818" t="s">
        <v>119</v>
      </c>
      <c r="L27" s="1050">
        <v>9.4024E-3</v>
      </c>
      <c r="M27" s="820">
        <v>1</v>
      </c>
      <c r="N27" s="813">
        <v>1.0802</v>
      </c>
      <c r="O27" s="1051" t="s">
        <v>166</v>
      </c>
    </row>
    <row r="28" spans="1:15" ht="21.75" customHeight="1">
      <c r="A28" s="1043"/>
      <c r="B28" s="1044"/>
      <c r="C28" s="1045"/>
      <c r="D28" s="1097">
        <v>5</v>
      </c>
      <c r="E28" s="1097"/>
      <c r="F28" s="1092" t="s">
        <v>167</v>
      </c>
      <c r="G28" s="814" t="s">
        <v>103</v>
      </c>
      <c r="H28" s="822"/>
      <c r="I28" s="822"/>
      <c r="J28" s="815">
        <v>1</v>
      </c>
      <c r="K28" s="814" t="s">
        <v>168</v>
      </c>
      <c r="L28" s="1095">
        <v>2.1782E-7</v>
      </c>
      <c r="M28" s="816">
        <v>1</v>
      </c>
      <c r="N28" s="817">
        <v>1</v>
      </c>
      <c r="O28" s="1096" t="s">
        <v>169</v>
      </c>
    </row>
    <row r="29" spans="1:15" ht="21.75" customHeight="1">
      <c r="A29" s="1043"/>
      <c r="B29" s="1044"/>
      <c r="C29" s="1045"/>
      <c r="D29" s="1052">
        <v>5</v>
      </c>
      <c r="E29" s="1052"/>
      <c r="F29" s="1023" t="s">
        <v>170</v>
      </c>
      <c r="G29" s="818" t="s">
        <v>103</v>
      </c>
      <c r="H29" s="821"/>
      <c r="I29" s="821"/>
      <c r="J29" s="819">
        <v>1</v>
      </c>
      <c r="K29" s="818" t="s">
        <v>144</v>
      </c>
      <c r="L29" s="1050">
        <v>5.6882000000000003E-9</v>
      </c>
      <c r="M29" s="820">
        <v>1</v>
      </c>
      <c r="N29" s="813">
        <v>1</v>
      </c>
      <c r="O29" s="1051" t="s">
        <v>169</v>
      </c>
    </row>
    <row r="30" spans="1:15" ht="21.75" customHeight="1">
      <c r="A30" s="1043"/>
      <c r="B30" s="1044"/>
      <c r="C30" s="1045"/>
      <c r="D30" s="1097">
        <v>5</v>
      </c>
      <c r="E30" s="1097"/>
      <c r="F30" s="1092" t="s">
        <v>171</v>
      </c>
      <c r="G30" s="814" t="s">
        <v>103</v>
      </c>
      <c r="H30" s="822"/>
      <c r="I30" s="822"/>
      <c r="J30" s="815">
        <v>0</v>
      </c>
      <c r="K30" s="814" t="s">
        <v>96</v>
      </c>
      <c r="L30" s="1095">
        <v>3.3317000000000001</v>
      </c>
      <c r="M30" s="816">
        <v>1</v>
      </c>
      <c r="N30" s="817">
        <v>1.2078</v>
      </c>
      <c r="O30" s="1096" t="s">
        <v>145</v>
      </c>
    </row>
    <row r="31" spans="1:15" ht="21.75" customHeight="1">
      <c r="A31" s="1043"/>
      <c r="B31" s="1044"/>
      <c r="C31" s="1045"/>
      <c r="D31" s="1052">
        <v>5</v>
      </c>
      <c r="E31" s="1052"/>
      <c r="F31" s="1023" t="s">
        <v>172</v>
      </c>
      <c r="G31" s="818" t="s">
        <v>103</v>
      </c>
      <c r="H31" s="821"/>
      <c r="I31" s="821"/>
      <c r="J31" s="819">
        <v>0</v>
      </c>
      <c r="K31" s="818" t="s">
        <v>96</v>
      </c>
      <c r="L31" s="1050">
        <v>0.87822</v>
      </c>
      <c r="M31" s="820">
        <v>1</v>
      </c>
      <c r="N31" s="813">
        <v>1.4438</v>
      </c>
      <c r="O31" s="1051" t="s">
        <v>145</v>
      </c>
    </row>
    <row r="32" spans="1:15" ht="21.75" customHeight="1">
      <c r="A32" s="1043"/>
      <c r="B32" s="1044"/>
      <c r="C32" s="1045"/>
      <c r="D32" s="1097">
        <v>5</v>
      </c>
      <c r="E32" s="1097"/>
      <c r="F32" s="1092" t="s">
        <v>173</v>
      </c>
      <c r="G32" s="814" t="s">
        <v>103</v>
      </c>
      <c r="H32" s="822"/>
      <c r="I32" s="822"/>
      <c r="J32" s="815">
        <v>0</v>
      </c>
      <c r="K32" s="814" t="s">
        <v>96</v>
      </c>
      <c r="L32" s="1095">
        <v>0.14069999999999999</v>
      </c>
      <c r="M32" s="816">
        <v>1</v>
      </c>
      <c r="N32" s="817">
        <v>1.4495</v>
      </c>
      <c r="O32" s="1096" t="s">
        <v>145</v>
      </c>
    </row>
    <row r="33" spans="1:15" ht="21.75" customHeight="1">
      <c r="A33" s="1043"/>
      <c r="B33" s="1044"/>
      <c r="C33" s="1045"/>
      <c r="D33" s="1052">
        <v>5</v>
      </c>
      <c r="E33" s="1052"/>
      <c r="F33" s="1023" t="s">
        <v>174</v>
      </c>
      <c r="G33" s="818" t="s">
        <v>103</v>
      </c>
      <c r="H33" s="821"/>
      <c r="I33" s="821"/>
      <c r="J33" s="819">
        <v>0</v>
      </c>
      <c r="K33" s="818" t="s">
        <v>96</v>
      </c>
      <c r="L33" s="1050">
        <v>0.14069999999999999</v>
      </c>
      <c r="M33" s="820">
        <v>1</v>
      </c>
      <c r="N33" s="813">
        <v>1.5179</v>
      </c>
      <c r="O33" s="1051" t="s">
        <v>145</v>
      </c>
    </row>
    <row r="34" spans="1:15" ht="21.75" customHeight="1">
      <c r="A34" s="1043"/>
      <c r="B34" s="1044"/>
      <c r="C34" s="1045"/>
      <c r="D34" s="1097">
        <v>5</v>
      </c>
      <c r="E34" s="1097"/>
      <c r="F34" s="1092" t="s">
        <v>175</v>
      </c>
      <c r="G34" s="814" t="s">
        <v>103</v>
      </c>
      <c r="H34" s="822"/>
      <c r="I34" s="822"/>
      <c r="J34" s="815">
        <v>0</v>
      </c>
      <c r="K34" s="814" t="s">
        <v>96</v>
      </c>
      <c r="L34" s="1095">
        <v>1.55E-2</v>
      </c>
      <c r="M34" s="816">
        <v>1</v>
      </c>
      <c r="N34" s="817">
        <v>1.07</v>
      </c>
      <c r="O34" s="1096" t="s">
        <v>162</v>
      </c>
    </row>
    <row r="35" spans="1:15" ht="21.75" customHeight="1">
      <c r="A35" s="1043"/>
      <c r="B35" s="1044"/>
      <c r="C35" s="1045"/>
      <c r="D35" s="1052">
        <v>5</v>
      </c>
      <c r="E35" s="1052"/>
      <c r="F35" s="1023" t="s">
        <v>176</v>
      </c>
      <c r="G35" s="818" t="s">
        <v>103</v>
      </c>
      <c r="H35" s="821"/>
      <c r="I35" s="821"/>
      <c r="J35" s="819">
        <v>0</v>
      </c>
      <c r="K35" s="818" t="s">
        <v>96</v>
      </c>
      <c r="L35" s="1050">
        <v>1.55E-2</v>
      </c>
      <c r="M35" s="820">
        <v>1</v>
      </c>
      <c r="N35" s="813">
        <v>1.07</v>
      </c>
      <c r="O35" s="1051" t="s">
        <v>162</v>
      </c>
    </row>
    <row r="36" spans="1:15" ht="21.75" customHeight="1">
      <c r="A36" s="1043"/>
      <c r="B36" s="1044" t="s">
        <v>177</v>
      </c>
      <c r="C36" s="1045"/>
      <c r="D36" s="1097"/>
      <c r="E36" s="1097">
        <v>4</v>
      </c>
      <c r="F36" s="1092" t="s">
        <v>178</v>
      </c>
      <c r="G36" s="814"/>
      <c r="H36" s="822" t="s">
        <v>122</v>
      </c>
      <c r="I36" s="822" t="s">
        <v>123</v>
      </c>
      <c r="J36" s="815"/>
      <c r="K36" s="814" t="s">
        <v>96</v>
      </c>
      <c r="L36" s="1095">
        <v>4.6544000000000002E-4</v>
      </c>
      <c r="M36" s="816">
        <v>1</v>
      </c>
      <c r="N36" s="817">
        <v>5.0655000000000001</v>
      </c>
      <c r="O36" s="1096" t="s">
        <v>179</v>
      </c>
    </row>
    <row r="37" spans="1:15" ht="21.75" customHeight="1">
      <c r="A37" s="1043"/>
      <c r="B37" s="1044"/>
      <c r="C37" s="1045"/>
      <c r="D37" s="1052"/>
      <c r="E37" s="1052">
        <v>4</v>
      </c>
      <c r="F37" s="1023" t="s">
        <v>180</v>
      </c>
      <c r="G37" s="818"/>
      <c r="H37" s="821" t="s">
        <v>122</v>
      </c>
      <c r="I37" s="821" t="s">
        <v>123</v>
      </c>
      <c r="J37" s="819"/>
      <c r="K37" s="818" t="s">
        <v>96</v>
      </c>
      <c r="L37" s="1050">
        <v>1.3327E-5</v>
      </c>
      <c r="M37" s="820">
        <v>1</v>
      </c>
      <c r="N37" s="813">
        <v>1.6307</v>
      </c>
      <c r="O37" s="1051" t="s">
        <v>179</v>
      </c>
    </row>
    <row r="38" spans="1:15" ht="21.75" customHeight="1">
      <c r="A38" s="1043"/>
      <c r="B38" s="1044"/>
      <c r="C38" s="1045"/>
      <c r="D38" s="1097"/>
      <c r="E38" s="1097">
        <v>4</v>
      </c>
      <c r="F38" s="1092" t="s">
        <v>181</v>
      </c>
      <c r="G38" s="814"/>
      <c r="H38" s="822" t="s">
        <v>122</v>
      </c>
      <c r="I38" s="822" t="s">
        <v>123</v>
      </c>
      <c r="J38" s="815"/>
      <c r="K38" s="814" t="s">
        <v>96</v>
      </c>
      <c r="L38" s="1095">
        <v>1.8589E-4</v>
      </c>
      <c r="M38" s="816">
        <v>1</v>
      </c>
      <c r="N38" s="817">
        <v>1.7327999999999999</v>
      </c>
      <c r="O38" s="1096" t="s">
        <v>182</v>
      </c>
    </row>
    <row r="39" spans="1:15" ht="21.75" customHeight="1">
      <c r="A39" s="1043"/>
      <c r="B39" s="1044"/>
      <c r="C39" s="1045"/>
      <c r="D39" s="1052"/>
      <c r="E39" s="1052">
        <v>4</v>
      </c>
      <c r="F39" s="1023" t="s">
        <v>127</v>
      </c>
      <c r="G39" s="818"/>
      <c r="H39" s="821" t="s">
        <v>122</v>
      </c>
      <c r="I39" s="821" t="s">
        <v>123</v>
      </c>
      <c r="J39" s="819"/>
      <c r="K39" s="818" t="s">
        <v>96</v>
      </c>
      <c r="L39" s="1050">
        <v>1.1136E-4</v>
      </c>
      <c r="M39" s="820">
        <v>1</v>
      </c>
      <c r="N39" s="813">
        <v>2.8666</v>
      </c>
      <c r="O39" s="1051" t="s">
        <v>183</v>
      </c>
    </row>
    <row r="40" spans="1:15" ht="21.75" customHeight="1">
      <c r="A40" s="1043"/>
      <c r="B40" s="1044"/>
      <c r="C40" s="1045"/>
      <c r="D40" s="1097"/>
      <c r="E40" s="1097">
        <v>4</v>
      </c>
      <c r="F40" s="1092" t="s">
        <v>184</v>
      </c>
      <c r="G40" s="814"/>
      <c r="H40" s="822" t="s">
        <v>122</v>
      </c>
      <c r="I40" s="822" t="s">
        <v>123</v>
      </c>
      <c r="J40" s="815"/>
      <c r="K40" s="814" t="s">
        <v>96</v>
      </c>
      <c r="L40" s="1095">
        <v>4.5840999999999997E-5</v>
      </c>
      <c r="M40" s="816">
        <v>1</v>
      </c>
      <c r="N40" s="817">
        <v>1.5502</v>
      </c>
      <c r="O40" s="1096" t="s">
        <v>185</v>
      </c>
    </row>
    <row r="41" spans="1:15" ht="21.75" customHeight="1">
      <c r="A41" s="1043"/>
      <c r="B41" s="1044"/>
      <c r="C41" s="1045"/>
      <c r="D41" s="1052"/>
      <c r="E41" s="1052">
        <v>4</v>
      </c>
      <c r="F41" s="1023" t="s">
        <v>186</v>
      </c>
      <c r="G41" s="818"/>
      <c r="H41" s="821" t="s">
        <v>122</v>
      </c>
      <c r="I41" s="821" t="s">
        <v>123</v>
      </c>
      <c r="J41" s="819"/>
      <c r="K41" s="818" t="s">
        <v>96</v>
      </c>
      <c r="L41" s="1050">
        <v>2.9843000000000001E-7</v>
      </c>
      <c r="M41" s="820">
        <v>1</v>
      </c>
      <c r="N41" s="813">
        <v>2.6320999999999999</v>
      </c>
      <c r="O41" s="1051" t="s">
        <v>179</v>
      </c>
    </row>
    <row r="42" spans="1:15" ht="21.75" customHeight="1">
      <c r="A42" s="1043"/>
      <c r="B42" s="1044"/>
      <c r="C42" s="1045"/>
      <c r="D42" s="1097"/>
      <c r="E42" s="1097">
        <v>4</v>
      </c>
      <c r="F42" s="1092" t="s">
        <v>187</v>
      </c>
      <c r="G42" s="814"/>
      <c r="H42" s="822" t="s">
        <v>122</v>
      </c>
      <c r="I42" s="822" t="s">
        <v>123</v>
      </c>
      <c r="J42" s="815"/>
      <c r="K42" s="814" t="s">
        <v>96</v>
      </c>
      <c r="L42" s="1095">
        <v>1.2263E-3</v>
      </c>
      <c r="M42" s="816">
        <v>1</v>
      </c>
      <c r="N42" s="817">
        <v>1.7349000000000001</v>
      </c>
      <c r="O42" s="1096" t="s">
        <v>182</v>
      </c>
    </row>
    <row r="43" spans="1:15" ht="21.75" customHeight="1">
      <c r="A43" s="1043"/>
      <c r="B43" s="1044"/>
      <c r="C43" s="1045"/>
      <c r="D43" s="1052"/>
      <c r="E43" s="1052">
        <v>4</v>
      </c>
      <c r="F43" s="1023" t="s">
        <v>121</v>
      </c>
      <c r="G43" s="818"/>
      <c r="H43" s="821" t="s">
        <v>122</v>
      </c>
      <c r="I43" s="821" t="s">
        <v>123</v>
      </c>
      <c r="J43" s="819"/>
      <c r="K43" s="818" t="s">
        <v>104</v>
      </c>
      <c r="L43" s="1050">
        <v>2.5253000000000001</v>
      </c>
      <c r="M43" s="820">
        <v>1</v>
      </c>
      <c r="N43" s="813">
        <v>1.5342</v>
      </c>
      <c r="O43" s="1051" t="s">
        <v>188</v>
      </c>
    </row>
    <row r="44" spans="1:15" ht="21.75" customHeight="1">
      <c r="A44" s="1043"/>
      <c r="B44" s="1044" t="s">
        <v>189</v>
      </c>
      <c r="C44" s="1045"/>
      <c r="D44" s="1097"/>
      <c r="E44" s="1097">
        <v>4</v>
      </c>
      <c r="F44" s="1092" t="s">
        <v>190</v>
      </c>
      <c r="G44" s="814"/>
      <c r="H44" s="822" t="s">
        <v>191</v>
      </c>
      <c r="I44" s="822" t="s">
        <v>192</v>
      </c>
      <c r="J44" s="815"/>
      <c r="K44" s="814" t="s">
        <v>96</v>
      </c>
      <c r="L44" s="1095">
        <v>4.2808999999999998E-3</v>
      </c>
      <c r="M44" s="816">
        <v>1</v>
      </c>
      <c r="N44" s="817">
        <v>1.5105999999999999</v>
      </c>
      <c r="O44" s="1096" t="s">
        <v>193</v>
      </c>
    </row>
    <row r="45" spans="1:15" ht="21.75" customHeight="1">
      <c r="A45" s="1043"/>
      <c r="B45" s="1044"/>
      <c r="C45" s="1045"/>
      <c r="D45" s="1052"/>
      <c r="E45" s="1052">
        <v>4</v>
      </c>
      <c r="F45" s="1023" t="s">
        <v>194</v>
      </c>
      <c r="G45" s="818"/>
      <c r="H45" s="821" t="s">
        <v>191</v>
      </c>
      <c r="I45" s="821" t="s">
        <v>192</v>
      </c>
      <c r="J45" s="819"/>
      <c r="K45" s="818" t="s">
        <v>96</v>
      </c>
      <c r="L45" s="1050">
        <v>2.9386000000000001E-4</v>
      </c>
      <c r="M45" s="820">
        <v>1</v>
      </c>
      <c r="N45" s="813">
        <v>1.595</v>
      </c>
      <c r="O45" s="1051" t="s">
        <v>193</v>
      </c>
    </row>
    <row r="46" spans="1:15" ht="21.75" customHeight="1">
      <c r="A46" s="1043"/>
      <c r="B46" s="1044"/>
      <c r="C46" s="1045"/>
      <c r="D46" s="1097"/>
      <c r="E46" s="1097">
        <v>4</v>
      </c>
      <c r="F46" s="1092" t="s">
        <v>195</v>
      </c>
      <c r="G46" s="814"/>
      <c r="H46" s="822" t="s">
        <v>191</v>
      </c>
      <c r="I46" s="822" t="s">
        <v>192</v>
      </c>
      <c r="J46" s="815"/>
      <c r="K46" s="814" t="s">
        <v>96</v>
      </c>
      <c r="L46" s="1095">
        <v>1.9434E-2</v>
      </c>
      <c r="M46" s="816">
        <v>1</v>
      </c>
      <c r="N46" s="817">
        <v>1.506</v>
      </c>
      <c r="O46" s="1096" t="s">
        <v>196</v>
      </c>
    </row>
    <row r="47" spans="1:15" ht="21.75" customHeight="1">
      <c r="A47" s="1043"/>
      <c r="B47" s="1044"/>
      <c r="C47" s="1045"/>
      <c r="D47" s="1052"/>
      <c r="E47" s="1052">
        <v>4</v>
      </c>
      <c r="F47" s="1023" t="s">
        <v>197</v>
      </c>
      <c r="G47" s="818"/>
      <c r="H47" s="821" t="s">
        <v>191</v>
      </c>
      <c r="I47" s="821" t="s">
        <v>192</v>
      </c>
      <c r="J47" s="819"/>
      <c r="K47" s="818" t="s">
        <v>96</v>
      </c>
      <c r="L47" s="1050">
        <v>3.52</v>
      </c>
      <c r="M47" s="820">
        <v>1</v>
      </c>
      <c r="N47" s="813">
        <v>1.4882</v>
      </c>
      <c r="O47" s="1051" t="s">
        <v>196</v>
      </c>
    </row>
    <row r="48" spans="1:15" ht="21.75" customHeight="1">
      <c r="A48" s="1043"/>
      <c r="B48" s="1044"/>
      <c r="C48" s="1045"/>
      <c r="D48" s="1097"/>
      <c r="E48" s="1097">
        <v>4</v>
      </c>
      <c r="F48" s="1092" t="s">
        <v>187</v>
      </c>
      <c r="G48" s="814"/>
      <c r="H48" s="822" t="s">
        <v>191</v>
      </c>
      <c r="I48" s="822" t="s">
        <v>192</v>
      </c>
      <c r="J48" s="815"/>
      <c r="K48" s="814" t="s">
        <v>96</v>
      </c>
      <c r="L48" s="1095">
        <v>12.728999999999999</v>
      </c>
      <c r="M48" s="816">
        <v>1</v>
      </c>
      <c r="N48" s="817">
        <v>1.4878</v>
      </c>
      <c r="O48" s="1096" t="s">
        <v>196</v>
      </c>
    </row>
    <row r="49" spans="1:15" ht="21.75" customHeight="1">
      <c r="A49" s="1043"/>
      <c r="B49" s="1044" t="s">
        <v>198</v>
      </c>
      <c r="C49" s="1045"/>
      <c r="D49" s="1052"/>
      <c r="E49" s="1052">
        <v>4</v>
      </c>
      <c r="F49" s="1023" t="s">
        <v>195</v>
      </c>
      <c r="G49" s="818"/>
      <c r="H49" s="821" t="s">
        <v>191</v>
      </c>
      <c r="I49" s="821" t="s">
        <v>199</v>
      </c>
      <c r="J49" s="819"/>
      <c r="K49" s="818" t="s">
        <v>96</v>
      </c>
      <c r="L49" s="1050">
        <v>1.1912E-5</v>
      </c>
      <c r="M49" s="820">
        <v>1</v>
      </c>
      <c r="N49" s="813">
        <v>1.7556</v>
      </c>
      <c r="O49" s="1051" t="s">
        <v>179</v>
      </c>
    </row>
    <row r="50" spans="1:15" ht="21.75" customHeight="1">
      <c r="A50" s="1043"/>
      <c r="B50" s="1044"/>
      <c r="C50" s="1045"/>
      <c r="D50" s="1097"/>
      <c r="E50" s="1097">
        <v>4</v>
      </c>
      <c r="F50" s="1092" t="s">
        <v>187</v>
      </c>
      <c r="G50" s="814"/>
      <c r="H50" s="822" t="s">
        <v>191</v>
      </c>
      <c r="I50" s="822" t="s">
        <v>199</v>
      </c>
      <c r="J50" s="815"/>
      <c r="K50" s="814" t="s">
        <v>96</v>
      </c>
      <c r="L50" s="1095">
        <v>0.64015999999999995</v>
      </c>
      <c r="M50" s="816">
        <v>1</v>
      </c>
      <c r="N50" s="817">
        <v>1.6416999999999999</v>
      </c>
      <c r="O50" s="1096" t="s">
        <v>179</v>
      </c>
    </row>
    <row r="51" spans="1:15" ht="21.75" customHeight="1">
      <c r="A51" s="1043"/>
      <c r="B51" s="1044" t="s">
        <v>200</v>
      </c>
      <c r="C51" s="1045"/>
      <c r="D51" s="1052"/>
      <c r="E51" s="1052">
        <v>4</v>
      </c>
      <c r="F51" s="1023" t="s">
        <v>187</v>
      </c>
      <c r="G51" s="818"/>
      <c r="H51" s="821" t="s">
        <v>201</v>
      </c>
      <c r="I51" s="821" t="s">
        <v>202</v>
      </c>
      <c r="J51" s="819"/>
      <c r="K51" s="818" t="s">
        <v>96</v>
      </c>
      <c r="L51" s="1050">
        <v>0.64856999999999998</v>
      </c>
      <c r="M51" s="820">
        <v>1</v>
      </c>
      <c r="N51" s="813">
        <v>1.6264000000000001</v>
      </c>
      <c r="O51" s="1051" t="s">
        <v>203</v>
      </c>
    </row>
    <row r="55" spans="1:15" ht="12.75" customHeight="1">
      <c r="F55" s="1582"/>
      <c r="G55" s="1583"/>
      <c r="H55" s="1583"/>
      <c r="I55" s="1583"/>
      <c r="J55" s="1583"/>
    </row>
    <row r="56" spans="1:15">
      <c r="F56" s="1583"/>
      <c r="G56" s="1583"/>
      <c r="H56" s="1583"/>
      <c r="I56" s="1583"/>
      <c r="J56" s="1583"/>
    </row>
    <row r="57" spans="1:15">
      <c r="F57" s="1583"/>
      <c r="G57" s="1583"/>
      <c r="H57" s="1583"/>
      <c r="I57" s="1583"/>
      <c r="J57" s="1583"/>
    </row>
    <row r="58" spans="1:15">
      <c r="F58" s="1583"/>
      <c r="G58" s="1583"/>
      <c r="H58" s="1583"/>
      <c r="I58" s="1583"/>
      <c r="J58" s="1583"/>
    </row>
    <row r="59" spans="1:15">
      <c r="F59" s="1583"/>
      <c r="G59" s="1583"/>
      <c r="H59" s="1583"/>
      <c r="I59" s="1583"/>
      <c r="J59" s="1583"/>
    </row>
    <row r="60" spans="1:15">
      <c r="F60" s="1583"/>
      <c r="G60" s="1583"/>
      <c r="H60" s="1583"/>
      <c r="I60" s="1583"/>
      <c r="J60" s="1583"/>
    </row>
    <row r="61" spans="1:15">
      <c r="F61" s="1583"/>
      <c r="G61" s="1583"/>
      <c r="H61" s="1583"/>
      <c r="I61" s="1583"/>
      <c r="J61" s="1583"/>
    </row>
  </sheetData>
  <mergeCells count="1">
    <mergeCell ref="F55:J61"/>
  </mergeCells>
  <conditionalFormatting sqref="A7">
    <cfRule type="cellIs" dxfId="371" priority="2" stopIfTrue="1" operator="equal">
      <formula>#REF!</formula>
    </cfRule>
  </conditionalFormatting>
  <conditionalFormatting sqref="B7:B51">
    <cfRule type="cellIs" dxfId="370" priority="4" stopIfTrue="1" operator="notEqual">
      <formula>""</formula>
    </cfRule>
  </conditionalFormatting>
  <conditionalFormatting sqref="L1">
    <cfRule type="cellIs" dxfId="369" priority="1" stopIfTrue="1" operator="equal">
      <formula>#REF!</formula>
    </cfRule>
  </conditionalFormatting>
  <dataValidations count="1">
    <dataValidation allowBlank="1" showInputMessage="1" showErrorMessage="1" promptTitle="IndexNumber" prompt="Index Number from the names list (sheet &quot;names&quot;). _x000a__x000a_For every newly defined process a description is needed. You can copy/paste the columns to duplicate the template and change the Indexnumber and description (no empty columns are allowed in between)._x000a_" sqref="A7 L1" xr:uid="{00000000-0002-0000-0500-000000000000}"/>
  </dataValidations>
  <printOptions headings="1"/>
  <pageMargins left="0" right="0" top="0.59055118110236227" bottom="0.59055118110236227" header="0.51181102362204722" footer="0.51181102362204722"/>
  <pageSetup paperSize="9" scale="71"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Tabelle30">
    <tabColor rgb="FF9CD9F0"/>
    <pageSetUpPr fitToPage="1"/>
  </sheetPr>
  <dimension ref="A1:AT42"/>
  <sheetViews>
    <sheetView topLeftCell="A8" workbookViewId="0">
      <selection activeCell="T32" sqref="T32"/>
    </sheetView>
  </sheetViews>
  <sheetFormatPr baseColWidth="10" defaultColWidth="11.42578125" defaultRowHeight="12.75"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8.7109375" style="277" hidden="1" customWidth="1" outlineLevel="1"/>
    <col min="9" max="9" width="20.7109375" style="277" hidden="1" customWidth="1" outlineLevel="1"/>
    <col min="10" max="10" width="4.7109375" style="277" customWidth="1" collapsed="1"/>
    <col min="11" max="11" width="8.7109375" style="277" customWidth="1"/>
    <col min="12" max="12" width="9.7109375" style="277" customWidth="1"/>
    <col min="13" max="13" width="7.85546875" style="120" hidden="1" customWidth="1" outlineLevel="1"/>
    <col min="14" max="14" width="5.7109375" style="120" hidden="1" customWidth="1" outlineLevel="1"/>
    <col min="15" max="15" width="40.7109375" style="109" hidden="1" customWidth="1" outlineLevel="1"/>
    <col min="16" max="16" width="9.7109375" style="277" customWidth="1" collapsed="1"/>
    <col min="17" max="18" width="5.7109375" style="120" hidden="1" customWidth="1" outlineLevel="1"/>
    <col min="19" max="19" width="40.7109375" style="109" hidden="1" customWidth="1" outlineLevel="1"/>
    <col min="20" max="20" width="9.7109375" style="277" customWidth="1" collapsed="1"/>
    <col min="21" max="22" width="5.7109375" style="120" hidden="1" customWidth="1" outlineLevel="1"/>
    <col min="23" max="23" width="40.7109375" style="109" hidden="1" customWidth="1" outlineLevel="1"/>
    <col min="24" max="24" width="9.7109375" style="277" customWidth="1" collapsed="1"/>
    <col min="25" max="26" width="5.7109375" style="120" hidden="1" customWidth="1" outlineLevel="1"/>
    <col min="27" max="27" width="40.7109375" style="109" hidden="1" customWidth="1" outlineLevel="1"/>
    <col min="28" max="28" width="9.7109375" style="277" customWidth="1" collapsed="1"/>
    <col min="29" max="30" width="5.7109375" style="120" hidden="1" customWidth="1" outlineLevel="1"/>
    <col min="31" max="31" width="40.7109375" style="109" hidden="1" customWidth="1" outlineLevel="1"/>
    <col min="32" max="32" width="9.7109375" style="277" customWidth="1" collapsed="1"/>
    <col min="33" max="34" width="5.7109375" style="120" hidden="1" customWidth="1" outlineLevel="1"/>
    <col min="35" max="35" width="40.7109375" style="109" hidden="1" customWidth="1" outlineLevel="1"/>
    <col min="36" max="36" width="4.7109375" style="179" customWidth="1" collapsed="1"/>
    <col min="37" max="38" width="7.85546875" style="395" customWidth="1"/>
    <col min="39" max="39" width="47.7109375" style="395" bestFit="1" customWidth="1"/>
    <col min="40" max="40" width="12.7109375" style="395" customWidth="1"/>
    <col min="41" max="46" width="4.7109375" style="277" customWidth="1"/>
    <col min="47" max="16384" width="11.42578125" style="196"/>
  </cols>
  <sheetData>
    <row r="1" spans="1:46" s="403" customFormat="1">
      <c r="A1" s="77"/>
      <c r="B1" s="78"/>
      <c r="C1" s="79"/>
      <c r="D1" s="77"/>
      <c r="E1" s="77"/>
      <c r="F1" s="80" t="s">
        <v>65</v>
      </c>
      <c r="G1" s="77"/>
      <c r="H1" s="77"/>
      <c r="I1" s="77"/>
      <c r="J1" s="77"/>
      <c r="K1" s="77"/>
      <c r="L1" s="330">
        <v>258205</v>
      </c>
      <c r="M1" s="81"/>
      <c r="N1" s="81"/>
      <c r="O1" s="81"/>
      <c r="P1" s="330">
        <v>258217</v>
      </c>
      <c r="Q1" s="81"/>
      <c r="R1" s="81"/>
      <c r="S1" s="81"/>
      <c r="T1" s="330">
        <v>262479</v>
      </c>
      <c r="U1" s="81"/>
      <c r="V1" s="81"/>
      <c r="W1" s="81"/>
      <c r="X1" s="330">
        <v>263621</v>
      </c>
      <c r="Y1" s="81"/>
      <c r="Z1" s="81"/>
      <c r="AA1" s="81"/>
      <c r="AB1" s="330">
        <v>263667</v>
      </c>
      <c r="AC1" s="81"/>
      <c r="AD1" s="81"/>
      <c r="AE1" s="81"/>
      <c r="AF1" s="330">
        <v>258307</v>
      </c>
      <c r="AG1" s="81"/>
      <c r="AH1" s="81"/>
      <c r="AI1" s="81"/>
      <c r="AJ1" s="179"/>
      <c r="AK1" s="406"/>
      <c r="AL1" s="406"/>
      <c r="AM1" s="406"/>
      <c r="AN1" s="406">
        <v>258205</v>
      </c>
      <c r="AO1" s="378"/>
      <c r="AP1" s="378"/>
      <c r="AQ1" s="378"/>
      <c r="AR1" s="378"/>
      <c r="AS1" s="378">
        <v>258217</v>
      </c>
      <c r="AT1" s="378"/>
    </row>
    <row r="2" spans="1:46" s="403" customFormat="1" ht="38.2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179"/>
      <c r="AK2" s="378">
        <v>3708</v>
      </c>
      <c r="AL2" s="378">
        <v>3709</v>
      </c>
      <c r="AM2" s="378">
        <v>3792</v>
      </c>
      <c r="AN2" s="378"/>
      <c r="AO2" s="378"/>
      <c r="AP2" s="378"/>
      <c r="AQ2" s="378"/>
      <c r="AR2" s="378"/>
      <c r="AS2" s="378"/>
      <c r="AT2" s="378"/>
    </row>
    <row r="3" spans="1:46" s="194" customFormat="1" ht="89.25" customHeight="1">
      <c r="A3" s="83" t="s">
        <v>68</v>
      </c>
      <c r="B3" s="84"/>
      <c r="C3" s="79">
        <v>401</v>
      </c>
      <c r="D3" s="85" t="s">
        <v>69</v>
      </c>
      <c r="E3" s="85" t="s">
        <v>70</v>
      </c>
      <c r="F3" s="86" t="s">
        <v>71</v>
      </c>
      <c r="G3" s="85" t="s">
        <v>72</v>
      </c>
      <c r="H3" s="85" t="s">
        <v>73</v>
      </c>
      <c r="I3" s="85" t="s">
        <v>74</v>
      </c>
      <c r="J3" s="85" t="s">
        <v>75</v>
      </c>
      <c r="K3" s="85" t="s">
        <v>76</v>
      </c>
      <c r="L3" s="87" t="s">
        <v>1600</v>
      </c>
      <c r="M3" s="422" t="s">
        <v>78</v>
      </c>
      <c r="N3" s="422" t="s">
        <v>79</v>
      </c>
      <c r="O3" s="423" t="s">
        <v>80</v>
      </c>
      <c r="P3" s="87" t="s">
        <v>1601</v>
      </c>
      <c r="Q3" s="422" t="s">
        <v>78</v>
      </c>
      <c r="R3" s="422" t="s">
        <v>79</v>
      </c>
      <c r="S3" s="423" t="s">
        <v>80</v>
      </c>
      <c r="T3" s="87" t="s">
        <v>1602</v>
      </c>
      <c r="U3" s="422" t="s">
        <v>78</v>
      </c>
      <c r="V3" s="422" t="s">
        <v>79</v>
      </c>
      <c r="W3" s="423" t="s">
        <v>80</v>
      </c>
      <c r="X3" s="87" t="s">
        <v>1603</v>
      </c>
      <c r="Y3" s="422" t="s">
        <v>78</v>
      </c>
      <c r="Z3" s="422" t="s">
        <v>79</v>
      </c>
      <c r="AA3" s="423" t="s">
        <v>80</v>
      </c>
      <c r="AB3" s="87" t="s">
        <v>1604</v>
      </c>
      <c r="AC3" s="422" t="s">
        <v>78</v>
      </c>
      <c r="AD3" s="422" t="s">
        <v>79</v>
      </c>
      <c r="AE3" s="423" t="s">
        <v>80</v>
      </c>
      <c r="AF3" s="87" t="s">
        <v>1605</v>
      </c>
      <c r="AG3" s="422" t="s">
        <v>78</v>
      </c>
      <c r="AH3" s="422" t="s">
        <v>79</v>
      </c>
      <c r="AI3" s="423" t="s">
        <v>80</v>
      </c>
      <c r="AJ3" s="179"/>
      <c r="AK3" s="98" t="s">
        <v>367</v>
      </c>
      <c r="AL3" s="98" t="s">
        <v>368</v>
      </c>
      <c r="AM3" s="98" t="s">
        <v>369</v>
      </c>
      <c r="AN3" s="99" t="s">
        <v>88</v>
      </c>
      <c r="AO3" s="99" t="s">
        <v>370</v>
      </c>
      <c r="AP3" s="99" t="s">
        <v>90</v>
      </c>
      <c r="AQ3" s="99" t="s">
        <v>91</v>
      </c>
      <c r="AR3" s="99" t="s">
        <v>371</v>
      </c>
      <c r="AS3" s="100" t="s">
        <v>364</v>
      </c>
      <c r="AT3" s="100" t="s">
        <v>365</v>
      </c>
    </row>
    <row r="4" spans="1:46" s="194" customFormat="1" ht="38.25" customHeight="1">
      <c r="A4" s="77"/>
      <c r="B4" s="84"/>
      <c r="C4" s="79">
        <v>662</v>
      </c>
      <c r="D4" s="86"/>
      <c r="E4" s="86"/>
      <c r="F4" s="86" t="s">
        <v>72</v>
      </c>
      <c r="G4" s="86"/>
      <c r="H4" s="86"/>
      <c r="I4" s="86"/>
      <c r="J4" s="86"/>
      <c r="K4" s="86"/>
      <c r="L4" s="87" t="s">
        <v>93</v>
      </c>
      <c r="M4" s="425"/>
      <c r="N4" s="425"/>
      <c r="O4" s="426"/>
      <c r="P4" s="87" t="s">
        <v>93</v>
      </c>
      <c r="Q4" s="425"/>
      <c r="R4" s="425"/>
      <c r="S4" s="426"/>
      <c r="T4" s="87" t="s">
        <v>93</v>
      </c>
      <c r="U4" s="425"/>
      <c r="V4" s="425"/>
      <c r="W4" s="426"/>
      <c r="X4" s="87" t="s">
        <v>93</v>
      </c>
      <c r="Y4" s="425"/>
      <c r="Z4" s="425"/>
      <c r="AA4" s="426"/>
      <c r="AB4" s="87" t="s">
        <v>93</v>
      </c>
      <c r="AC4" s="425"/>
      <c r="AD4" s="425"/>
      <c r="AE4" s="426"/>
      <c r="AF4" s="87" t="s">
        <v>93</v>
      </c>
      <c r="AG4" s="425"/>
      <c r="AH4" s="425"/>
      <c r="AI4" s="426"/>
      <c r="AJ4" s="179"/>
      <c r="AK4" s="103"/>
      <c r="AL4" s="103"/>
      <c r="AM4" s="103"/>
      <c r="AN4" s="104"/>
      <c r="AO4" s="105"/>
      <c r="AP4" s="105"/>
      <c r="AQ4" s="105"/>
      <c r="AR4" s="105"/>
      <c r="AS4" s="105"/>
      <c r="AT4" s="105"/>
    </row>
    <row r="5" spans="1:46" s="194" customForma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87">
        <v>1</v>
      </c>
      <c r="Y5" s="425"/>
      <c r="Z5" s="425"/>
      <c r="AA5" s="426"/>
      <c r="AB5" s="87">
        <v>1</v>
      </c>
      <c r="AC5" s="425"/>
      <c r="AD5" s="425"/>
      <c r="AE5" s="426"/>
      <c r="AF5" s="87">
        <v>1</v>
      </c>
      <c r="AG5" s="425"/>
      <c r="AH5" s="425"/>
      <c r="AI5" s="426"/>
      <c r="AJ5" s="179"/>
      <c r="AK5" s="104"/>
      <c r="AL5" s="104"/>
      <c r="AM5" s="104"/>
      <c r="AN5" s="104"/>
      <c r="AO5" s="105"/>
      <c r="AP5" s="105"/>
      <c r="AQ5" s="105"/>
      <c r="AR5" s="105"/>
      <c r="AS5" s="105"/>
      <c r="AT5" s="105"/>
    </row>
    <row r="6" spans="1:46" s="195" customFormat="1">
      <c r="A6" s="77"/>
      <c r="B6" s="84"/>
      <c r="C6" s="79">
        <v>403</v>
      </c>
      <c r="D6" s="86"/>
      <c r="E6" s="86"/>
      <c r="F6" s="86" t="s">
        <v>76</v>
      </c>
      <c r="G6" s="86"/>
      <c r="H6" s="86"/>
      <c r="I6" s="86"/>
      <c r="J6" s="86"/>
      <c r="K6" s="86"/>
      <c r="L6" s="87" t="s">
        <v>679</v>
      </c>
      <c r="M6" s="425"/>
      <c r="N6" s="425"/>
      <c r="O6" s="426"/>
      <c r="P6" s="87" t="s">
        <v>679</v>
      </c>
      <c r="Q6" s="425"/>
      <c r="R6" s="425"/>
      <c r="S6" s="426"/>
      <c r="T6" s="87" t="s">
        <v>679</v>
      </c>
      <c r="U6" s="425"/>
      <c r="V6" s="425"/>
      <c r="W6" s="426"/>
      <c r="X6" s="87" t="s">
        <v>679</v>
      </c>
      <c r="Y6" s="425"/>
      <c r="Z6" s="425"/>
      <c r="AA6" s="426"/>
      <c r="AB6" s="87" t="s">
        <v>679</v>
      </c>
      <c r="AC6" s="425"/>
      <c r="AD6" s="425"/>
      <c r="AE6" s="426"/>
      <c r="AF6" s="87" t="s">
        <v>679</v>
      </c>
      <c r="AG6" s="425"/>
      <c r="AH6" s="425"/>
      <c r="AI6" s="426"/>
      <c r="AJ6" s="179"/>
      <c r="AK6" s="104"/>
      <c r="AL6" s="428"/>
      <c r="AM6" s="428"/>
      <c r="AN6" s="107"/>
      <c r="AO6" s="105"/>
      <c r="AP6" s="105"/>
      <c r="AQ6" s="105"/>
      <c r="AR6" s="105"/>
      <c r="AS6" s="105"/>
      <c r="AT6" s="105"/>
    </row>
    <row r="7" spans="1:46" ht="24" customHeight="1">
      <c r="A7" s="330">
        <v>258205</v>
      </c>
      <c r="B7" s="331" t="s">
        <v>97</v>
      </c>
      <c r="C7" s="88"/>
      <c r="D7" s="294" t="s">
        <v>98</v>
      </c>
      <c r="E7" s="295">
        <v>0</v>
      </c>
      <c r="F7" s="429" t="s">
        <v>1600</v>
      </c>
      <c r="G7" s="430" t="s">
        <v>93</v>
      </c>
      <c r="H7" s="431" t="s">
        <v>98</v>
      </c>
      <c r="I7" s="431" t="s">
        <v>98</v>
      </c>
      <c r="J7" s="89">
        <v>1</v>
      </c>
      <c r="K7" s="430" t="s">
        <v>679</v>
      </c>
      <c r="L7" s="90">
        <v>1</v>
      </c>
      <c r="M7" s="91"/>
      <c r="N7" s="92"/>
      <c r="O7" s="93"/>
      <c r="P7" s="90">
        <v>0</v>
      </c>
      <c r="Q7" s="91"/>
      <c r="R7" s="92"/>
      <c r="S7" s="93"/>
      <c r="T7" s="90">
        <v>0</v>
      </c>
      <c r="U7" s="91"/>
      <c r="V7" s="92"/>
      <c r="W7" s="93"/>
      <c r="X7" s="90">
        <v>0</v>
      </c>
      <c r="Y7" s="91"/>
      <c r="Z7" s="92"/>
      <c r="AA7" s="93"/>
      <c r="AB7" s="90">
        <v>0</v>
      </c>
      <c r="AC7" s="91"/>
      <c r="AD7" s="92"/>
      <c r="AE7" s="93"/>
      <c r="AF7" s="90">
        <v>0</v>
      </c>
      <c r="AG7" s="91"/>
      <c r="AH7" s="92"/>
      <c r="AI7" s="93"/>
      <c r="AK7" s="104"/>
      <c r="AL7" s="104"/>
      <c r="AM7" s="104"/>
      <c r="AN7" s="104"/>
      <c r="AO7" s="104"/>
      <c r="AP7" s="104"/>
      <c r="AQ7" s="104"/>
      <c r="AR7" s="104"/>
      <c r="AS7" s="104"/>
      <c r="AT7" s="104"/>
    </row>
    <row r="8" spans="1:46" ht="24" customHeight="1">
      <c r="A8" s="330">
        <v>258217</v>
      </c>
      <c r="B8" s="331"/>
      <c r="C8" s="88"/>
      <c r="D8" s="294" t="s">
        <v>98</v>
      </c>
      <c r="E8" s="295">
        <v>0</v>
      </c>
      <c r="F8" s="429" t="s">
        <v>1601</v>
      </c>
      <c r="G8" s="430" t="s">
        <v>93</v>
      </c>
      <c r="H8" s="431" t="s">
        <v>98</v>
      </c>
      <c r="I8" s="431" t="s">
        <v>98</v>
      </c>
      <c r="J8" s="89">
        <v>1</v>
      </c>
      <c r="K8" s="430" t="s">
        <v>679</v>
      </c>
      <c r="L8" s="90">
        <v>0</v>
      </c>
      <c r="M8" s="91"/>
      <c r="N8" s="92"/>
      <c r="O8" s="93"/>
      <c r="P8" s="90">
        <v>1</v>
      </c>
      <c r="Q8" s="91"/>
      <c r="R8" s="92"/>
      <c r="S8" s="93"/>
      <c r="T8" s="90">
        <v>0</v>
      </c>
      <c r="U8" s="91"/>
      <c r="V8" s="92"/>
      <c r="W8" s="93"/>
      <c r="X8" s="90">
        <v>0</v>
      </c>
      <c r="Y8" s="91"/>
      <c r="Z8" s="92"/>
      <c r="AA8" s="93"/>
      <c r="AB8" s="90">
        <v>0</v>
      </c>
      <c r="AC8" s="91"/>
      <c r="AD8" s="92"/>
      <c r="AE8" s="93"/>
      <c r="AF8" s="90">
        <v>0</v>
      </c>
      <c r="AG8" s="91"/>
      <c r="AH8" s="92"/>
      <c r="AI8" s="93"/>
      <c r="AK8" s="104"/>
      <c r="AL8" s="104"/>
      <c r="AM8" s="104"/>
      <c r="AN8" s="104"/>
      <c r="AO8" s="104"/>
      <c r="AP8" s="104"/>
      <c r="AQ8" s="104"/>
      <c r="AR8" s="104"/>
      <c r="AS8" s="104"/>
      <c r="AT8" s="104"/>
    </row>
    <row r="9" spans="1:46">
      <c r="A9" s="330">
        <v>262479</v>
      </c>
      <c r="B9" s="331"/>
      <c r="C9" s="88"/>
      <c r="D9" s="294" t="s">
        <v>98</v>
      </c>
      <c r="E9" s="295">
        <v>0</v>
      </c>
      <c r="F9" s="429" t="s">
        <v>1602</v>
      </c>
      <c r="G9" s="430" t="s">
        <v>93</v>
      </c>
      <c r="H9" s="431" t="s">
        <v>98</v>
      </c>
      <c r="I9" s="431" t="s">
        <v>98</v>
      </c>
      <c r="J9" s="89">
        <v>1</v>
      </c>
      <c r="K9" s="430" t="s">
        <v>679</v>
      </c>
      <c r="L9" s="90">
        <v>0</v>
      </c>
      <c r="M9" s="91"/>
      <c r="N9" s="92"/>
      <c r="O9" s="93"/>
      <c r="P9" s="90">
        <v>0</v>
      </c>
      <c r="Q9" s="91"/>
      <c r="R9" s="92"/>
      <c r="S9" s="93"/>
      <c r="T9" s="90">
        <v>1</v>
      </c>
      <c r="U9" s="91"/>
      <c r="V9" s="92"/>
      <c r="W9" s="93"/>
      <c r="X9" s="90">
        <v>0</v>
      </c>
      <c r="Y9" s="91"/>
      <c r="Z9" s="92"/>
      <c r="AA9" s="93"/>
      <c r="AB9" s="90">
        <v>0</v>
      </c>
      <c r="AC9" s="91"/>
      <c r="AD9" s="92"/>
      <c r="AE9" s="93"/>
      <c r="AF9" s="90">
        <v>0</v>
      </c>
      <c r="AG9" s="91"/>
      <c r="AH9" s="92"/>
      <c r="AI9" s="93"/>
      <c r="AK9" s="104"/>
      <c r="AL9" s="104"/>
      <c r="AM9" s="104"/>
      <c r="AN9" s="104"/>
      <c r="AO9" s="104"/>
      <c r="AP9" s="104"/>
      <c r="AQ9" s="104"/>
      <c r="AR9" s="104"/>
      <c r="AS9" s="104"/>
      <c r="AT9" s="104"/>
    </row>
    <row r="10" spans="1:46" ht="24" customHeight="1">
      <c r="A10" s="330">
        <v>263621</v>
      </c>
      <c r="B10" s="331"/>
      <c r="C10" s="88"/>
      <c r="D10" s="294" t="s">
        <v>98</v>
      </c>
      <c r="E10" s="295">
        <v>0</v>
      </c>
      <c r="F10" s="429" t="s">
        <v>1603</v>
      </c>
      <c r="G10" s="430" t="s">
        <v>93</v>
      </c>
      <c r="H10" s="431" t="s">
        <v>98</v>
      </c>
      <c r="I10" s="431" t="s">
        <v>98</v>
      </c>
      <c r="J10" s="89">
        <v>1</v>
      </c>
      <c r="K10" s="430" t="s">
        <v>679</v>
      </c>
      <c r="L10" s="90">
        <v>0</v>
      </c>
      <c r="M10" s="91"/>
      <c r="N10" s="92"/>
      <c r="O10" s="93"/>
      <c r="P10" s="90">
        <v>0</v>
      </c>
      <c r="Q10" s="91"/>
      <c r="R10" s="92"/>
      <c r="S10" s="93"/>
      <c r="T10" s="90">
        <v>0</v>
      </c>
      <c r="U10" s="91"/>
      <c r="V10" s="92"/>
      <c r="W10" s="93"/>
      <c r="X10" s="90">
        <v>1</v>
      </c>
      <c r="Y10" s="91"/>
      <c r="Z10" s="92"/>
      <c r="AA10" s="93"/>
      <c r="AB10" s="90">
        <v>0</v>
      </c>
      <c r="AC10" s="91"/>
      <c r="AD10" s="92"/>
      <c r="AE10" s="93"/>
      <c r="AF10" s="90">
        <v>0</v>
      </c>
      <c r="AG10" s="91"/>
      <c r="AH10" s="92"/>
      <c r="AI10" s="93"/>
      <c r="AK10" s="104"/>
      <c r="AL10" s="104"/>
      <c r="AM10" s="104"/>
      <c r="AN10" s="104"/>
      <c r="AO10" s="104"/>
      <c r="AP10" s="104"/>
      <c r="AQ10" s="104"/>
      <c r="AR10" s="104"/>
      <c r="AS10" s="104"/>
      <c r="AT10" s="104"/>
    </row>
    <row r="11" spans="1:46" ht="24" customHeight="1">
      <c r="A11" s="330">
        <v>263667</v>
      </c>
      <c r="B11" s="331"/>
      <c r="C11" s="88"/>
      <c r="D11" s="294" t="s">
        <v>98</v>
      </c>
      <c r="E11" s="295">
        <v>0</v>
      </c>
      <c r="F11" s="429" t="s">
        <v>1604</v>
      </c>
      <c r="G11" s="430" t="s">
        <v>93</v>
      </c>
      <c r="H11" s="431" t="s">
        <v>98</v>
      </c>
      <c r="I11" s="431" t="s">
        <v>98</v>
      </c>
      <c r="J11" s="89">
        <v>1</v>
      </c>
      <c r="K11" s="430" t="s">
        <v>679</v>
      </c>
      <c r="L11" s="90">
        <v>0</v>
      </c>
      <c r="M11" s="91"/>
      <c r="N11" s="92"/>
      <c r="O11" s="93"/>
      <c r="P11" s="90">
        <v>0</v>
      </c>
      <c r="Q11" s="91"/>
      <c r="R11" s="92"/>
      <c r="S11" s="93"/>
      <c r="T11" s="90">
        <v>0</v>
      </c>
      <c r="U11" s="91"/>
      <c r="V11" s="92"/>
      <c r="W11" s="93"/>
      <c r="X11" s="90">
        <v>0</v>
      </c>
      <c r="Y11" s="91"/>
      <c r="Z11" s="92"/>
      <c r="AA11" s="93"/>
      <c r="AB11" s="90">
        <v>1</v>
      </c>
      <c r="AC11" s="91"/>
      <c r="AD11" s="92"/>
      <c r="AE11" s="93"/>
      <c r="AF11" s="90">
        <v>0</v>
      </c>
      <c r="AG11" s="91"/>
      <c r="AH11" s="92"/>
      <c r="AI11" s="93"/>
      <c r="AK11" s="104"/>
      <c r="AL11" s="104"/>
      <c r="AM11" s="104"/>
      <c r="AN11" s="104"/>
      <c r="AO11" s="104"/>
      <c r="AP11" s="104"/>
      <c r="AQ11" s="104"/>
      <c r="AR11" s="104"/>
      <c r="AS11" s="104"/>
      <c r="AT11" s="104"/>
    </row>
    <row r="12" spans="1:46" ht="24" customHeight="1">
      <c r="A12" s="330">
        <v>258307</v>
      </c>
      <c r="B12" s="331"/>
      <c r="C12" s="88"/>
      <c r="D12" s="294" t="s">
        <v>98</v>
      </c>
      <c r="E12" s="295">
        <v>0</v>
      </c>
      <c r="F12" s="429" t="s">
        <v>1605</v>
      </c>
      <c r="G12" s="430" t="s">
        <v>93</v>
      </c>
      <c r="H12" s="431" t="s">
        <v>98</v>
      </c>
      <c r="I12" s="431" t="s">
        <v>98</v>
      </c>
      <c r="J12" s="89">
        <v>1</v>
      </c>
      <c r="K12" s="430" t="s">
        <v>679</v>
      </c>
      <c r="L12" s="90">
        <v>0</v>
      </c>
      <c r="M12" s="91"/>
      <c r="N12" s="92"/>
      <c r="O12" s="93"/>
      <c r="P12" s="90">
        <v>0</v>
      </c>
      <c r="Q12" s="91"/>
      <c r="R12" s="92"/>
      <c r="S12" s="93"/>
      <c r="T12" s="90">
        <v>0</v>
      </c>
      <c r="U12" s="91"/>
      <c r="V12" s="92"/>
      <c r="W12" s="93"/>
      <c r="X12" s="90">
        <v>0</v>
      </c>
      <c r="Y12" s="91"/>
      <c r="Z12" s="92"/>
      <c r="AA12" s="93"/>
      <c r="AB12" s="90">
        <v>0</v>
      </c>
      <c r="AC12" s="91"/>
      <c r="AD12" s="92"/>
      <c r="AE12" s="93"/>
      <c r="AF12" s="90">
        <v>1</v>
      </c>
      <c r="AG12" s="91"/>
      <c r="AH12" s="92"/>
      <c r="AI12" s="93"/>
      <c r="AK12" s="104"/>
      <c r="AL12" s="104"/>
      <c r="AM12" s="104"/>
      <c r="AN12" s="104"/>
      <c r="AO12" s="104"/>
      <c r="AP12" s="104"/>
      <c r="AQ12" s="104"/>
      <c r="AR12" s="104"/>
      <c r="AS12" s="104"/>
      <c r="AT12" s="104"/>
    </row>
    <row r="13" spans="1:46" ht="24" customHeight="1">
      <c r="A13" s="330">
        <v>263643</v>
      </c>
      <c r="B13" s="331"/>
      <c r="C13" s="88"/>
      <c r="D13" s="294" t="s">
        <v>98</v>
      </c>
      <c r="E13" s="295">
        <v>0</v>
      </c>
      <c r="F13" s="429" t="s">
        <v>1606</v>
      </c>
      <c r="G13" s="430" t="s">
        <v>103</v>
      </c>
      <c r="H13" s="431" t="s">
        <v>98</v>
      </c>
      <c r="I13" s="431" t="s">
        <v>98</v>
      </c>
      <c r="J13" s="89">
        <v>1</v>
      </c>
      <c r="K13" s="430" t="s">
        <v>679</v>
      </c>
      <c r="L13" s="90">
        <v>0</v>
      </c>
      <c r="M13" s="91"/>
      <c r="N13" s="92"/>
      <c r="O13" s="93"/>
      <c r="P13" s="90">
        <v>0</v>
      </c>
      <c r="Q13" s="91"/>
      <c r="R13" s="92"/>
      <c r="S13" s="93"/>
      <c r="T13" s="90">
        <v>0</v>
      </c>
      <c r="U13" s="91"/>
      <c r="V13" s="92"/>
      <c r="W13" s="93"/>
      <c r="X13" s="90">
        <v>0</v>
      </c>
      <c r="Y13" s="91"/>
      <c r="Z13" s="92"/>
      <c r="AA13" s="93"/>
      <c r="AB13" s="90">
        <v>0</v>
      </c>
      <c r="AC13" s="91"/>
      <c r="AD13" s="92"/>
      <c r="AE13" s="93"/>
      <c r="AF13" s="90">
        <v>0</v>
      </c>
      <c r="AG13" s="91"/>
      <c r="AH13" s="92"/>
      <c r="AI13" s="93"/>
      <c r="AK13" s="104"/>
      <c r="AL13" s="104"/>
      <c r="AM13" s="104"/>
      <c r="AN13" s="104"/>
      <c r="AO13" s="104"/>
      <c r="AP13" s="104"/>
      <c r="AQ13" s="104"/>
      <c r="AR13" s="104"/>
      <c r="AS13" s="104"/>
      <c r="AT13" s="104"/>
    </row>
    <row r="14" spans="1:46" ht="24" customHeight="1">
      <c r="A14" s="330">
        <v>269439</v>
      </c>
      <c r="B14" s="331" t="s">
        <v>582</v>
      </c>
      <c r="C14" s="88"/>
      <c r="D14" s="340">
        <v>5</v>
      </c>
      <c r="E14" s="341" t="s">
        <v>98</v>
      </c>
      <c r="F14" s="432" t="s">
        <v>1607</v>
      </c>
      <c r="G14" s="433" t="s">
        <v>93</v>
      </c>
      <c r="H14" s="434" t="s">
        <v>98</v>
      </c>
      <c r="I14" s="434" t="s">
        <v>98</v>
      </c>
      <c r="J14" s="94">
        <v>0</v>
      </c>
      <c r="K14" s="433" t="s">
        <v>96</v>
      </c>
      <c r="L14" s="435">
        <v>2.6353053416582299</v>
      </c>
      <c r="M14" s="95">
        <v>1</v>
      </c>
      <c r="N14" s="96">
        <v>2.0482753016103601</v>
      </c>
      <c r="O14" s="432" t="s">
        <v>1608</v>
      </c>
      <c r="P14" s="435">
        <v>3.2716908498667499</v>
      </c>
      <c r="Q14" s="95">
        <v>1</v>
      </c>
      <c r="R14" s="96">
        <v>2.0482753016103601</v>
      </c>
      <c r="S14" s="432" t="s">
        <v>1608</v>
      </c>
      <c r="T14" s="435">
        <v>2.5192008318119101</v>
      </c>
      <c r="U14" s="95">
        <v>1</v>
      </c>
      <c r="V14" s="96">
        <v>2.0482753016103601</v>
      </c>
      <c r="W14" s="432" t="s">
        <v>1608</v>
      </c>
      <c r="X14" s="435">
        <v>2.8354714528079601</v>
      </c>
      <c r="Y14" s="95">
        <v>1</v>
      </c>
      <c r="Z14" s="96">
        <v>2.0482753016103601</v>
      </c>
      <c r="AA14" s="432" t="s">
        <v>1608</v>
      </c>
      <c r="AB14" s="435">
        <v>2.2481672145159202</v>
      </c>
      <c r="AC14" s="95">
        <v>1</v>
      </c>
      <c r="AD14" s="96">
        <v>2.0482753016103601</v>
      </c>
      <c r="AE14" s="432" t="s">
        <v>1608</v>
      </c>
      <c r="AF14" s="435">
        <v>3.9767038116284499</v>
      </c>
      <c r="AG14" s="95">
        <v>1</v>
      </c>
      <c r="AH14" s="96">
        <v>2.0482753016103601</v>
      </c>
      <c r="AI14" s="432" t="s">
        <v>1608</v>
      </c>
      <c r="AK14" s="104">
        <v>1</v>
      </c>
      <c r="AL14" s="107">
        <v>2.0482753016103601</v>
      </c>
      <c r="AM14" s="107" t="s">
        <v>1608</v>
      </c>
      <c r="AN14" s="107">
        <v>72</v>
      </c>
      <c r="AO14" s="108">
        <v>3.2727272727272698</v>
      </c>
      <c r="AP14" s="108" t="s">
        <v>14</v>
      </c>
      <c r="AQ14" s="108">
        <v>2.6353053416582299</v>
      </c>
      <c r="AR14" s="108">
        <v>2.9</v>
      </c>
      <c r="AS14" s="108">
        <v>75</v>
      </c>
      <c r="AT14" s="108">
        <v>3.4090909090909101</v>
      </c>
    </row>
    <row r="15" spans="1:46" ht="24" customHeight="1">
      <c r="A15" s="330">
        <v>268447</v>
      </c>
      <c r="B15" s="331"/>
      <c r="C15" s="88"/>
      <c r="D15" s="340">
        <v>5</v>
      </c>
      <c r="E15" s="341" t="s">
        <v>98</v>
      </c>
      <c r="F15" s="432" t="s">
        <v>1211</v>
      </c>
      <c r="G15" s="433" t="s">
        <v>93</v>
      </c>
      <c r="H15" s="434" t="s">
        <v>98</v>
      </c>
      <c r="I15" s="434" t="s">
        <v>98</v>
      </c>
      <c r="J15" s="94">
        <v>0</v>
      </c>
      <c r="K15" s="433" t="s">
        <v>96</v>
      </c>
      <c r="L15" s="435">
        <v>4.0261609386445199E-2</v>
      </c>
      <c r="M15" s="95">
        <v>1</v>
      </c>
      <c r="N15" s="96">
        <v>2.1801136974489799</v>
      </c>
      <c r="O15" s="432" t="s">
        <v>1609</v>
      </c>
      <c r="P15" s="435" t="s">
        <v>98</v>
      </c>
      <c r="Q15" s="95">
        <v>1</v>
      </c>
      <c r="R15" s="96">
        <v>2.1801136974489799</v>
      </c>
      <c r="S15" s="432" t="s">
        <v>1609</v>
      </c>
      <c r="T15" s="435">
        <v>1.82537379047264E-2</v>
      </c>
      <c r="U15" s="95">
        <v>1</v>
      </c>
      <c r="V15" s="96">
        <v>2.1801136974489799</v>
      </c>
      <c r="W15" s="432" t="s">
        <v>1609</v>
      </c>
      <c r="X15" s="435">
        <v>0.133317856935673</v>
      </c>
      <c r="Y15" s="95">
        <v>1</v>
      </c>
      <c r="Z15" s="96">
        <v>2.1801136974489799</v>
      </c>
      <c r="AA15" s="432" t="s">
        <v>1609</v>
      </c>
      <c r="AB15" s="435">
        <v>0.114292629565068</v>
      </c>
      <c r="AC15" s="95">
        <v>1</v>
      </c>
      <c r="AD15" s="96">
        <v>2.1801136974489799</v>
      </c>
      <c r="AE15" s="432" t="s">
        <v>1609</v>
      </c>
      <c r="AF15" s="435">
        <v>8.6363636363636406E-2</v>
      </c>
      <c r="AG15" s="95">
        <v>1</v>
      </c>
      <c r="AH15" s="96">
        <v>2.1801136974489799</v>
      </c>
      <c r="AI15" s="432" t="s">
        <v>1609</v>
      </c>
      <c r="AK15" s="104">
        <v>1</v>
      </c>
      <c r="AL15" s="107">
        <v>2.1801136974489799</v>
      </c>
      <c r="AM15" s="107" t="s">
        <v>1609</v>
      </c>
      <c r="AN15" s="107">
        <v>1.1000000000000001</v>
      </c>
      <c r="AO15" s="108">
        <v>0.05</v>
      </c>
      <c r="AP15" s="108"/>
      <c r="AQ15" s="108"/>
      <c r="AR15" s="108"/>
      <c r="AS15" s="108">
        <v>0</v>
      </c>
      <c r="AT15" s="108">
        <v>0</v>
      </c>
    </row>
    <row r="16" spans="1:46" ht="24" customHeight="1">
      <c r="A16" s="330">
        <v>269327</v>
      </c>
      <c r="B16" s="331"/>
      <c r="C16" s="88"/>
      <c r="D16" s="340">
        <v>5</v>
      </c>
      <c r="E16" s="341" t="s">
        <v>98</v>
      </c>
      <c r="F16" s="432" t="s">
        <v>492</v>
      </c>
      <c r="G16" s="433" t="s">
        <v>93</v>
      </c>
      <c r="H16" s="434" t="s">
        <v>98</v>
      </c>
      <c r="I16" s="434" t="s">
        <v>98</v>
      </c>
      <c r="J16" s="94">
        <v>0</v>
      </c>
      <c r="K16" s="433" t="s">
        <v>96</v>
      </c>
      <c r="L16" s="435">
        <v>7.32029261571731E-4</v>
      </c>
      <c r="M16" s="95">
        <v>1</v>
      </c>
      <c r="N16" s="96">
        <v>2.0482753016103601</v>
      </c>
      <c r="O16" s="432" t="s">
        <v>1610</v>
      </c>
      <c r="P16" s="435" t="s">
        <v>98</v>
      </c>
      <c r="Q16" s="95">
        <v>1</v>
      </c>
      <c r="R16" s="96">
        <v>2.0482753016103601</v>
      </c>
      <c r="S16" s="432" t="s">
        <v>1610</v>
      </c>
      <c r="T16" s="435">
        <v>1.9221186013676901</v>
      </c>
      <c r="U16" s="95">
        <v>1</v>
      </c>
      <c r="V16" s="96">
        <v>2.0482753016103601</v>
      </c>
      <c r="W16" s="432" t="s">
        <v>1610</v>
      </c>
      <c r="X16" s="435">
        <v>1.4033458624807601E-3</v>
      </c>
      <c r="Y16" s="95">
        <v>1</v>
      </c>
      <c r="Z16" s="96">
        <v>2.0482753016103601</v>
      </c>
      <c r="AA16" s="432" t="s">
        <v>1610</v>
      </c>
      <c r="AB16" s="435">
        <v>2.8183270253374401E-2</v>
      </c>
      <c r="AC16" s="95">
        <v>1</v>
      </c>
      <c r="AD16" s="96">
        <v>2.0482753016103601</v>
      </c>
      <c r="AE16" s="432" t="s">
        <v>1610</v>
      </c>
      <c r="AF16" s="435">
        <v>9.0909090909090898E-4</v>
      </c>
      <c r="AG16" s="95">
        <v>1</v>
      </c>
      <c r="AH16" s="96">
        <v>2.0482753016103601</v>
      </c>
      <c r="AI16" s="432" t="s">
        <v>1610</v>
      </c>
      <c r="AK16" s="104">
        <v>1</v>
      </c>
      <c r="AL16" s="107">
        <v>2.0482753016103601</v>
      </c>
      <c r="AM16" s="107" t="s">
        <v>1610</v>
      </c>
      <c r="AN16" s="107">
        <v>0.02</v>
      </c>
      <c r="AO16" s="108">
        <v>9.0909090909090898E-4</v>
      </c>
      <c r="AP16" s="108"/>
      <c r="AQ16" s="108"/>
      <c r="AR16" s="108"/>
      <c r="AS16" s="108">
        <v>0</v>
      </c>
      <c r="AT16" s="108">
        <v>0</v>
      </c>
    </row>
    <row r="17" spans="1:46">
      <c r="A17" s="330">
        <v>268267</v>
      </c>
      <c r="B17" s="331"/>
      <c r="C17" s="88"/>
      <c r="D17" s="340">
        <v>5</v>
      </c>
      <c r="E17" s="341" t="s">
        <v>98</v>
      </c>
      <c r="F17" s="432" t="s">
        <v>1611</v>
      </c>
      <c r="G17" s="433" t="s">
        <v>93</v>
      </c>
      <c r="H17" s="434" t="s">
        <v>98</v>
      </c>
      <c r="I17" s="434" t="s">
        <v>98</v>
      </c>
      <c r="J17" s="94">
        <v>0</v>
      </c>
      <c r="K17" s="433" t="s">
        <v>96</v>
      </c>
      <c r="L17" s="435">
        <v>3.66014630785866E-3</v>
      </c>
      <c r="M17" s="95">
        <v>1</v>
      </c>
      <c r="N17" s="96">
        <v>2.1801136974489799</v>
      </c>
      <c r="O17" s="432" t="s">
        <v>1609</v>
      </c>
      <c r="P17" s="435" t="s">
        <v>98</v>
      </c>
      <c r="Q17" s="95">
        <v>1</v>
      </c>
      <c r="R17" s="96">
        <v>2.1801136974489799</v>
      </c>
      <c r="S17" s="432" t="s">
        <v>1609</v>
      </c>
      <c r="T17" s="435">
        <v>8.2971535930574502E-3</v>
      </c>
      <c r="U17" s="95">
        <v>1</v>
      </c>
      <c r="V17" s="96">
        <v>2.1801136974489799</v>
      </c>
      <c r="W17" s="432" t="s">
        <v>1609</v>
      </c>
      <c r="X17" s="435">
        <v>7.01672931240382E-3</v>
      </c>
      <c r="Y17" s="95">
        <v>1</v>
      </c>
      <c r="Z17" s="96">
        <v>2.1801136974489799</v>
      </c>
      <c r="AA17" s="432" t="s">
        <v>1609</v>
      </c>
      <c r="AB17" s="435">
        <v>6.0154015560562098E-3</v>
      </c>
      <c r="AC17" s="95">
        <v>1</v>
      </c>
      <c r="AD17" s="96">
        <v>2.1801136974489799</v>
      </c>
      <c r="AE17" s="432" t="s">
        <v>1609</v>
      </c>
      <c r="AF17" s="435">
        <v>4.5454545454545496E-3</v>
      </c>
      <c r="AG17" s="95">
        <v>1</v>
      </c>
      <c r="AH17" s="96">
        <v>2.1801136974489799</v>
      </c>
      <c r="AI17" s="432" t="s">
        <v>1609</v>
      </c>
      <c r="AK17" s="104">
        <v>1</v>
      </c>
      <c r="AL17" s="107">
        <v>2.1801136974489799</v>
      </c>
      <c r="AM17" s="107" t="s">
        <v>1609</v>
      </c>
      <c r="AN17" s="107">
        <v>0.1</v>
      </c>
      <c r="AO17" s="108">
        <v>4.5454545454545496E-3</v>
      </c>
      <c r="AP17" s="108"/>
      <c r="AQ17" s="108"/>
      <c r="AR17" s="108"/>
      <c r="AS17" s="108">
        <v>0</v>
      </c>
      <c r="AT17" s="108">
        <v>0</v>
      </c>
    </row>
    <row r="18" spans="1:46">
      <c r="A18" s="330">
        <v>268271</v>
      </c>
      <c r="B18" s="331"/>
      <c r="C18" s="88"/>
      <c r="D18" s="340">
        <v>5</v>
      </c>
      <c r="E18" s="341" t="s">
        <v>98</v>
      </c>
      <c r="F18" s="432" t="s">
        <v>1612</v>
      </c>
      <c r="G18" s="433" t="s">
        <v>93</v>
      </c>
      <c r="H18" s="434" t="s">
        <v>98</v>
      </c>
      <c r="I18" s="434" t="s">
        <v>98</v>
      </c>
      <c r="J18" s="94">
        <v>0</v>
      </c>
      <c r="K18" s="433" t="s">
        <v>96</v>
      </c>
      <c r="L18" s="435" t="s">
        <v>98</v>
      </c>
      <c r="M18" s="95">
        <v>1</v>
      </c>
      <c r="N18" s="96">
        <v>2.0482753016103601</v>
      </c>
      <c r="O18" s="432" t="s">
        <v>1608</v>
      </c>
      <c r="P18" s="435" t="s">
        <v>98</v>
      </c>
      <c r="Q18" s="95">
        <v>1</v>
      </c>
      <c r="R18" s="96">
        <v>2.0482753016103601</v>
      </c>
      <c r="S18" s="432" t="s">
        <v>1608</v>
      </c>
      <c r="T18" s="435" t="s">
        <v>98</v>
      </c>
      <c r="U18" s="95">
        <v>1</v>
      </c>
      <c r="V18" s="96">
        <v>2.0482753016103601</v>
      </c>
      <c r="W18" s="432" t="s">
        <v>1608</v>
      </c>
      <c r="X18" s="435" t="s">
        <v>98</v>
      </c>
      <c r="Y18" s="95">
        <v>1</v>
      </c>
      <c r="Z18" s="96">
        <v>2.0482753016103601</v>
      </c>
      <c r="AA18" s="432" t="s">
        <v>1608</v>
      </c>
      <c r="AB18" s="435">
        <v>1.8380393643505102E-2</v>
      </c>
      <c r="AC18" s="95">
        <v>1</v>
      </c>
      <c r="AD18" s="96">
        <v>2.0482753016103601</v>
      </c>
      <c r="AE18" s="432" t="s">
        <v>1608</v>
      </c>
      <c r="AF18" s="435" t="s">
        <v>98</v>
      </c>
      <c r="AG18" s="95">
        <v>1</v>
      </c>
      <c r="AH18" s="96">
        <v>2.0482753016103601</v>
      </c>
      <c r="AI18" s="432" t="s">
        <v>1608</v>
      </c>
      <c r="AK18" s="104">
        <v>1</v>
      </c>
      <c r="AL18" s="107">
        <v>2.0482753016103601</v>
      </c>
      <c r="AM18" s="107" t="s">
        <v>1608</v>
      </c>
      <c r="AN18" s="107">
        <v>0</v>
      </c>
      <c r="AO18" s="108">
        <v>0</v>
      </c>
      <c r="AP18" s="108"/>
      <c r="AQ18" s="108"/>
      <c r="AR18" s="108"/>
      <c r="AS18" s="108">
        <v>0</v>
      </c>
      <c r="AT18" s="108">
        <v>0</v>
      </c>
    </row>
    <row r="19" spans="1:46">
      <c r="A19" s="330">
        <v>269443</v>
      </c>
      <c r="B19" s="331"/>
      <c r="C19" s="88"/>
      <c r="D19" s="340">
        <v>5</v>
      </c>
      <c r="E19" s="341" t="s">
        <v>98</v>
      </c>
      <c r="F19" s="432" t="s">
        <v>1613</v>
      </c>
      <c r="G19" s="433" t="s">
        <v>93</v>
      </c>
      <c r="H19" s="434" t="s">
        <v>98</v>
      </c>
      <c r="I19" s="434" t="s">
        <v>98</v>
      </c>
      <c r="J19" s="94">
        <v>0</v>
      </c>
      <c r="K19" s="433" t="s">
        <v>96</v>
      </c>
      <c r="L19" s="435" t="s">
        <v>98</v>
      </c>
      <c r="M19" s="95">
        <v>1</v>
      </c>
      <c r="N19" s="96">
        <v>2.0482753016103601</v>
      </c>
      <c r="O19" s="432" t="s">
        <v>1608</v>
      </c>
      <c r="P19" s="435" t="s">
        <v>98</v>
      </c>
      <c r="Q19" s="95">
        <v>1</v>
      </c>
      <c r="R19" s="96">
        <v>2.0482753016103601</v>
      </c>
      <c r="S19" s="432" t="s">
        <v>1608</v>
      </c>
      <c r="T19" s="435" t="s">
        <v>98</v>
      </c>
      <c r="U19" s="95">
        <v>1</v>
      </c>
      <c r="V19" s="96">
        <v>2.0482753016103601</v>
      </c>
      <c r="W19" s="432" t="s">
        <v>1608</v>
      </c>
      <c r="X19" s="435" t="s">
        <v>98</v>
      </c>
      <c r="Y19" s="95">
        <v>1</v>
      </c>
      <c r="Z19" s="96">
        <v>2.0482753016103601</v>
      </c>
      <c r="AA19" s="432" t="s">
        <v>1608</v>
      </c>
      <c r="AB19" s="435">
        <v>1.2439850417924201</v>
      </c>
      <c r="AC19" s="95">
        <v>1</v>
      </c>
      <c r="AD19" s="96">
        <v>2.0482753016103601</v>
      </c>
      <c r="AE19" s="432" t="s">
        <v>1608</v>
      </c>
      <c r="AF19" s="435" t="s">
        <v>98</v>
      </c>
      <c r="AG19" s="95">
        <v>1</v>
      </c>
      <c r="AH19" s="96">
        <v>2.0482753016103601</v>
      </c>
      <c r="AI19" s="432" t="s">
        <v>1608</v>
      </c>
      <c r="AK19" s="104">
        <v>1</v>
      </c>
      <c r="AL19" s="107">
        <v>2.0482753016103601</v>
      </c>
      <c r="AM19" s="107" t="s">
        <v>1608</v>
      </c>
      <c r="AN19" s="107">
        <v>0</v>
      </c>
      <c r="AO19" s="108">
        <v>0</v>
      </c>
      <c r="AP19" s="108"/>
      <c r="AQ19" s="108"/>
      <c r="AR19" s="108"/>
      <c r="AS19" s="108">
        <v>0</v>
      </c>
      <c r="AT19" s="108">
        <v>0</v>
      </c>
    </row>
    <row r="20" spans="1:46">
      <c r="A20" s="330">
        <v>160377</v>
      </c>
      <c r="B20" s="331"/>
      <c r="C20" s="88"/>
      <c r="D20" s="340">
        <v>5</v>
      </c>
      <c r="E20" s="341" t="s">
        <v>98</v>
      </c>
      <c r="F20" s="432" t="s">
        <v>819</v>
      </c>
      <c r="G20" s="433" t="s">
        <v>93</v>
      </c>
      <c r="H20" s="434" t="s">
        <v>98</v>
      </c>
      <c r="I20" s="434" t="s">
        <v>98</v>
      </c>
      <c r="J20" s="94">
        <v>0</v>
      </c>
      <c r="K20" s="433" t="s">
        <v>96</v>
      </c>
      <c r="L20" s="435">
        <v>1.7971318371586</v>
      </c>
      <c r="M20" s="95">
        <v>1</v>
      </c>
      <c r="N20" s="96">
        <v>2.0482753016103601</v>
      </c>
      <c r="O20" s="432" t="s">
        <v>1608</v>
      </c>
      <c r="P20" s="435" t="s">
        <v>98</v>
      </c>
      <c r="Q20" s="95">
        <v>1</v>
      </c>
      <c r="R20" s="96">
        <v>2.0482753016103601</v>
      </c>
      <c r="S20" s="432" t="s">
        <v>1608</v>
      </c>
      <c r="T20" s="435">
        <v>0.26678114519543999</v>
      </c>
      <c r="U20" s="95">
        <v>1</v>
      </c>
      <c r="V20" s="96">
        <v>2.0482753016103601</v>
      </c>
      <c r="W20" s="432" t="s">
        <v>1608</v>
      </c>
      <c r="X20" s="435">
        <v>1.4998815788541899</v>
      </c>
      <c r="Y20" s="95">
        <v>1</v>
      </c>
      <c r="Z20" s="96">
        <v>2.0482753016103601</v>
      </c>
      <c r="AA20" s="432" t="s">
        <v>1608</v>
      </c>
      <c r="AB20" s="435">
        <v>0.200468826671829</v>
      </c>
      <c r="AC20" s="95">
        <v>1</v>
      </c>
      <c r="AD20" s="96">
        <v>2.0482753016103601</v>
      </c>
      <c r="AE20" s="432" t="s">
        <v>1608</v>
      </c>
      <c r="AF20" s="435" t="s">
        <v>98</v>
      </c>
      <c r="AG20" s="95">
        <v>1</v>
      </c>
      <c r="AH20" s="96">
        <v>2.0482753016103601</v>
      </c>
      <c r="AI20" s="432" t="s">
        <v>1608</v>
      </c>
      <c r="AK20" s="104">
        <v>1</v>
      </c>
      <c r="AL20" s="107">
        <v>2.0482753016103601</v>
      </c>
      <c r="AM20" s="107" t="s">
        <v>1608</v>
      </c>
      <c r="AN20" s="107">
        <v>49.1</v>
      </c>
      <c r="AO20" s="108">
        <v>2.2318181818181801</v>
      </c>
      <c r="AP20" s="108" t="s">
        <v>1614</v>
      </c>
      <c r="AQ20" s="108">
        <v>1.7971318371586</v>
      </c>
      <c r="AR20" s="108">
        <v>1.1000000000000001</v>
      </c>
      <c r="AS20" s="108">
        <v>0</v>
      </c>
      <c r="AT20" s="108">
        <v>0</v>
      </c>
    </row>
    <row r="21" spans="1:46">
      <c r="A21" s="330">
        <v>160373</v>
      </c>
      <c r="B21" s="331"/>
      <c r="C21" s="88"/>
      <c r="D21" s="340">
        <v>5</v>
      </c>
      <c r="E21" s="341" t="s">
        <v>98</v>
      </c>
      <c r="F21" s="432" t="s">
        <v>1399</v>
      </c>
      <c r="G21" s="433" t="s">
        <v>93</v>
      </c>
      <c r="H21" s="434" t="s">
        <v>98</v>
      </c>
      <c r="I21" s="434" t="s">
        <v>98</v>
      </c>
      <c r="J21" s="94">
        <v>0</v>
      </c>
      <c r="K21" s="433" t="s">
        <v>96</v>
      </c>
      <c r="L21" s="435" t="s">
        <v>98</v>
      </c>
      <c r="M21" s="95">
        <v>1</v>
      </c>
      <c r="N21" s="96">
        <v>2.1017337433591399</v>
      </c>
      <c r="O21" s="432" t="s">
        <v>1615</v>
      </c>
      <c r="P21" s="435" t="s">
        <v>98</v>
      </c>
      <c r="Q21" s="95">
        <v>1</v>
      </c>
      <c r="R21" s="96">
        <v>2.1017337433591399</v>
      </c>
      <c r="S21" s="432" t="s">
        <v>1615</v>
      </c>
      <c r="T21" s="435" t="s">
        <v>98</v>
      </c>
      <c r="U21" s="95">
        <v>1</v>
      </c>
      <c r="V21" s="96">
        <v>2.1017337433591399</v>
      </c>
      <c r="W21" s="432" t="s">
        <v>1615</v>
      </c>
      <c r="X21" s="435" t="s">
        <v>98</v>
      </c>
      <c r="Y21" s="95">
        <v>1</v>
      </c>
      <c r="Z21" s="96">
        <v>2.1017337433591399</v>
      </c>
      <c r="AA21" s="432" t="s">
        <v>1615</v>
      </c>
      <c r="AB21" s="435" t="s">
        <v>98</v>
      </c>
      <c r="AC21" s="95">
        <v>1</v>
      </c>
      <c r="AD21" s="96">
        <v>2.1017337433591399</v>
      </c>
      <c r="AE21" s="432" t="s">
        <v>1615</v>
      </c>
      <c r="AF21" s="435">
        <v>0.24746678828397201</v>
      </c>
      <c r="AG21" s="95">
        <v>1</v>
      </c>
      <c r="AH21" s="96">
        <v>2.1017337433591399</v>
      </c>
      <c r="AI21" s="432" t="s">
        <v>1615</v>
      </c>
      <c r="AK21" s="104">
        <v>1</v>
      </c>
      <c r="AL21" s="107">
        <v>2.1017337433591399</v>
      </c>
      <c r="AM21" s="107" t="s">
        <v>1615</v>
      </c>
      <c r="AN21" s="107"/>
      <c r="AO21" s="108"/>
      <c r="AP21" s="108"/>
      <c r="AQ21" s="108"/>
      <c r="AR21" s="108"/>
      <c r="AS21" s="108"/>
      <c r="AT21" s="108"/>
    </row>
    <row r="22" spans="1:46">
      <c r="A22" s="330">
        <v>264931</v>
      </c>
      <c r="B22" s="331"/>
      <c r="C22" s="88"/>
      <c r="D22" s="340">
        <v>5</v>
      </c>
      <c r="E22" s="341" t="s">
        <v>98</v>
      </c>
      <c r="F22" s="432" t="s">
        <v>1616</v>
      </c>
      <c r="G22" s="433" t="s">
        <v>103</v>
      </c>
      <c r="H22" s="434" t="s">
        <v>98</v>
      </c>
      <c r="I22" s="434" t="s">
        <v>98</v>
      </c>
      <c r="J22" s="94">
        <v>0</v>
      </c>
      <c r="K22" s="433" t="s">
        <v>96</v>
      </c>
      <c r="L22" s="435" t="s">
        <v>98</v>
      </c>
      <c r="M22" s="95">
        <v>1</v>
      </c>
      <c r="N22" s="96">
        <v>2.1801136974489799</v>
      </c>
      <c r="O22" s="432" t="s">
        <v>1617</v>
      </c>
      <c r="P22" s="435" t="s">
        <v>98</v>
      </c>
      <c r="Q22" s="95">
        <v>1</v>
      </c>
      <c r="R22" s="96">
        <v>2.1801136974489799</v>
      </c>
      <c r="S22" s="432" t="s">
        <v>1617</v>
      </c>
      <c r="T22" s="435" t="s">
        <v>98</v>
      </c>
      <c r="U22" s="95">
        <v>1</v>
      </c>
      <c r="V22" s="96">
        <v>2.1801136974489799</v>
      </c>
      <c r="W22" s="432" t="s">
        <v>1617</v>
      </c>
      <c r="X22" s="435" t="s">
        <v>98</v>
      </c>
      <c r="Y22" s="95">
        <v>1</v>
      </c>
      <c r="Z22" s="96">
        <v>2.1801136974489799</v>
      </c>
      <c r="AA22" s="432" t="s">
        <v>1617</v>
      </c>
      <c r="AB22" s="435" t="s">
        <v>98</v>
      </c>
      <c r="AC22" s="95">
        <v>1</v>
      </c>
      <c r="AD22" s="96">
        <v>2.1801136974489799</v>
      </c>
      <c r="AE22" s="432" t="s">
        <v>1617</v>
      </c>
      <c r="AF22" s="435" t="s">
        <v>98</v>
      </c>
      <c r="AG22" s="95">
        <v>1</v>
      </c>
      <c r="AH22" s="96">
        <v>2.1801136974489799</v>
      </c>
      <c r="AI22" s="432" t="s">
        <v>1617</v>
      </c>
      <c r="AK22" s="104">
        <v>1</v>
      </c>
      <c r="AL22" s="107">
        <v>2.1801136974489799</v>
      </c>
      <c r="AM22" s="107" t="s">
        <v>1617</v>
      </c>
      <c r="AN22" s="107">
        <v>0</v>
      </c>
      <c r="AO22" s="108">
        <v>0</v>
      </c>
      <c r="AP22" s="108"/>
      <c r="AQ22" s="108"/>
      <c r="AR22" s="108"/>
      <c r="AS22" s="108">
        <v>0</v>
      </c>
      <c r="AT22" s="108">
        <v>0</v>
      </c>
    </row>
    <row r="23" spans="1:46">
      <c r="A23" s="330">
        <v>157719</v>
      </c>
      <c r="B23" s="331"/>
      <c r="C23" s="88"/>
      <c r="D23" s="340">
        <v>5</v>
      </c>
      <c r="E23" s="341" t="s">
        <v>98</v>
      </c>
      <c r="F23" s="432" t="s">
        <v>922</v>
      </c>
      <c r="G23" s="433" t="s">
        <v>93</v>
      </c>
      <c r="H23" s="434" t="s">
        <v>98</v>
      </c>
      <c r="I23" s="434" t="s">
        <v>98</v>
      </c>
      <c r="J23" s="94">
        <v>0</v>
      </c>
      <c r="K23" s="433" t="s">
        <v>96</v>
      </c>
      <c r="L23" s="435" t="s">
        <v>98</v>
      </c>
      <c r="M23" s="95">
        <v>1</v>
      </c>
      <c r="N23" s="96">
        <v>2.1017337433591399</v>
      </c>
      <c r="O23" s="432" t="s">
        <v>1615</v>
      </c>
      <c r="P23" s="435" t="s">
        <v>98</v>
      </c>
      <c r="Q23" s="95">
        <v>1</v>
      </c>
      <c r="R23" s="96">
        <v>2.1017337433591399</v>
      </c>
      <c r="S23" s="432" t="s">
        <v>1615</v>
      </c>
      <c r="T23" s="435" t="s">
        <v>98</v>
      </c>
      <c r="U23" s="95">
        <v>1</v>
      </c>
      <c r="V23" s="96">
        <v>2.1017337433591399</v>
      </c>
      <c r="W23" s="432" t="s">
        <v>1615</v>
      </c>
      <c r="X23" s="435" t="s">
        <v>98</v>
      </c>
      <c r="Y23" s="95">
        <v>1</v>
      </c>
      <c r="Z23" s="96">
        <v>2.1017337433591399</v>
      </c>
      <c r="AA23" s="432" t="s">
        <v>1615</v>
      </c>
      <c r="AB23" s="435" t="s">
        <v>98</v>
      </c>
      <c r="AC23" s="95">
        <v>1</v>
      </c>
      <c r="AD23" s="96">
        <v>2.1017337433591399</v>
      </c>
      <c r="AE23" s="432" t="s">
        <v>1615</v>
      </c>
      <c r="AF23" s="435">
        <v>7.2089528575863797</v>
      </c>
      <c r="AG23" s="95">
        <v>1</v>
      </c>
      <c r="AH23" s="96">
        <v>2.1017337433591399</v>
      </c>
      <c r="AI23" s="432" t="s">
        <v>1615</v>
      </c>
      <c r="AK23" s="104">
        <v>1</v>
      </c>
      <c r="AL23" s="107">
        <v>2.1017337433591399</v>
      </c>
      <c r="AM23" s="107" t="s">
        <v>1615</v>
      </c>
      <c r="AN23" s="107">
        <v>49.1</v>
      </c>
      <c r="AO23" s="108">
        <v>2.2318181818181801</v>
      </c>
      <c r="AP23" s="108" t="s">
        <v>1614</v>
      </c>
      <c r="AQ23" s="108" t="s">
        <v>98</v>
      </c>
      <c r="AR23" s="108">
        <v>1.1000000000000001</v>
      </c>
      <c r="AS23" s="108">
        <v>0</v>
      </c>
      <c r="AT23" s="108">
        <v>0</v>
      </c>
    </row>
    <row r="24" spans="1:46">
      <c r="A24" s="330">
        <v>269643</v>
      </c>
      <c r="B24" s="331"/>
      <c r="C24" s="88"/>
      <c r="D24" s="340">
        <v>5</v>
      </c>
      <c r="E24" s="341" t="s">
        <v>98</v>
      </c>
      <c r="F24" s="432" t="s">
        <v>702</v>
      </c>
      <c r="G24" s="433" t="s">
        <v>103</v>
      </c>
      <c r="H24" s="434" t="s">
        <v>98</v>
      </c>
      <c r="I24" s="434" t="s">
        <v>98</v>
      </c>
      <c r="J24" s="94">
        <v>0</v>
      </c>
      <c r="K24" s="433" t="s">
        <v>119</v>
      </c>
      <c r="L24" s="435" t="s">
        <v>98</v>
      </c>
      <c r="M24" s="95">
        <v>1</v>
      </c>
      <c r="N24" s="96">
        <v>2.1801136974489799</v>
      </c>
      <c r="O24" s="432" t="s">
        <v>1618</v>
      </c>
      <c r="P24" s="435" t="s">
        <v>98</v>
      </c>
      <c r="Q24" s="95">
        <v>1</v>
      </c>
      <c r="R24" s="96">
        <v>2.1801136974489799</v>
      </c>
      <c r="S24" s="432" t="s">
        <v>1618</v>
      </c>
      <c r="T24" s="435" t="s">
        <v>98</v>
      </c>
      <c r="U24" s="95">
        <v>1</v>
      </c>
      <c r="V24" s="96">
        <v>2.1801136974489799</v>
      </c>
      <c r="W24" s="432" t="s">
        <v>1618</v>
      </c>
      <c r="X24" s="435" t="s">
        <v>98</v>
      </c>
      <c r="Y24" s="95">
        <v>1</v>
      </c>
      <c r="Z24" s="96">
        <v>2.1801136974489799</v>
      </c>
      <c r="AA24" s="432" t="s">
        <v>1618</v>
      </c>
      <c r="AB24" s="435" t="s">
        <v>98</v>
      </c>
      <c r="AC24" s="95">
        <v>1</v>
      </c>
      <c r="AD24" s="96">
        <v>2.1801136974489799</v>
      </c>
      <c r="AE24" s="432" t="s">
        <v>1618</v>
      </c>
      <c r="AF24" s="435">
        <v>5.3746337756684602E-4</v>
      </c>
      <c r="AG24" s="95">
        <v>1</v>
      </c>
      <c r="AH24" s="96">
        <v>2.1801136974489799</v>
      </c>
      <c r="AI24" s="432" t="s">
        <v>1618</v>
      </c>
      <c r="AK24" s="104">
        <v>1</v>
      </c>
      <c r="AL24" s="107">
        <v>2.1801136974489799</v>
      </c>
      <c r="AM24" s="107" t="s">
        <v>1618</v>
      </c>
      <c r="AN24" s="107"/>
      <c r="AO24" s="108"/>
      <c r="AP24" s="108"/>
      <c r="AQ24" s="108"/>
      <c r="AR24" s="108"/>
      <c r="AS24" s="108"/>
      <c r="AT24" s="108"/>
    </row>
    <row r="25" spans="1:46">
      <c r="A25" s="330">
        <v>269355</v>
      </c>
      <c r="B25" s="331" t="s">
        <v>1619</v>
      </c>
      <c r="C25" s="88"/>
      <c r="D25" s="340">
        <v>5</v>
      </c>
      <c r="E25" s="341" t="s">
        <v>98</v>
      </c>
      <c r="F25" s="432" t="s">
        <v>1620</v>
      </c>
      <c r="G25" s="433" t="s">
        <v>93</v>
      </c>
      <c r="H25" s="434" t="s">
        <v>98</v>
      </c>
      <c r="I25" s="434" t="s">
        <v>98</v>
      </c>
      <c r="J25" s="94">
        <v>0</v>
      </c>
      <c r="K25" s="433" t="s">
        <v>96</v>
      </c>
      <c r="L25" s="435">
        <v>2.6353053416582299</v>
      </c>
      <c r="M25" s="95">
        <v>1</v>
      </c>
      <c r="N25" s="96">
        <v>2.1801136974489799</v>
      </c>
      <c r="O25" s="432" t="s">
        <v>1621</v>
      </c>
      <c r="P25" s="435">
        <v>3.2716908498667499</v>
      </c>
      <c r="Q25" s="95">
        <v>1</v>
      </c>
      <c r="R25" s="96">
        <v>2.1801136974489799</v>
      </c>
      <c r="S25" s="432" t="s">
        <v>1621</v>
      </c>
      <c r="T25" s="435">
        <v>2.5192008318119101</v>
      </c>
      <c r="U25" s="95">
        <v>1</v>
      </c>
      <c r="V25" s="96">
        <v>2.1801136974489799</v>
      </c>
      <c r="W25" s="432" t="s">
        <v>1621</v>
      </c>
      <c r="X25" s="435">
        <v>2.8354714528079601</v>
      </c>
      <c r="Y25" s="95">
        <v>1</v>
      </c>
      <c r="Z25" s="96">
        <v>2.1801136974489799</v>
      </c>
      <c r="AA25" s="432" t="s">
        <v>1621</v>
      </c>
      <c r="AB25" s="435">
        <v>2.2481672145159202</v>
      </c>
      <c r="AC25" s="95">
        <v>1</v>
      </c>
      <c r="AD25" s="96">
        <v>2.1801136974489799</v>
      </c>
      <c r="AE25" s="432" t="s">
        <v>1621</v>
      </c>
      <c r="AF25" s="435">
        <v>3.9767038116284499</v>
      </c>
      <c r="AG25" s="95">
        <v>1</v>
      </c>
      <c r="AH25" s="96">
        <v>2.1801136974489799</v>
      </c>
      <c r="AI25" s="432" t="s">
        <v>1621</v>
      </c>
      <c r="AK25" s="104">
        <v>1</v>
      </c>
      <c r="AL25" s="107">
        <v>2.1801136974489799</v>
      </c>
      <c r="AM25" s="107" t="s">
        <v>1621</v>
      </c>
      <c r="AN25" s="107">
        <v>72</v>
      </c>
      <c r="AO25" s="108">
        <v>3.2727272727272698</v>
      </c>
      <c r="AP25" s="108"/>
      <c r="AQ25" s="108"/>
      <c r="AR25" s="108"/>
      <c r="AS25" s="108">
        <v>75</v>
      </c>
      <c r="AT25" s="108">
        <v>3.4090909090909101</v>
      </c>
    </row>
    <row r="26" spans="1:46">
      <c r="A26" s="330">
        <v>269445</v>
      </c>
      <c r="B26" s="331"/>
      <c r="C26" s="88"/>
      <c r="D26" s="340">
        <v>5</v>
      </c>
      <c r="E26" s="341" t="s">
        <v>98</v>
      </c>
      <c r="F26" s="432" t="s">
        <v>682</v>
      </c>
      <c r="G26" s="433" t="s">
        <v>93</v>
      </c>
      <c r="H26" s="434" t="s">
        <v>98</v>
      </c>
      <c r="I26" s="434" t="s">
        <v>98</v>
      </c>
      <c r="J26" s="94">
        <v>0</v>
      </c>
      <c r="K26" s="433" t="s">
        <v>96</v>
      </c>
      <c r="L26" s="435">
        <v>0.10980438923576</v>
      </c>
      <c r="M26" s="95">
        <v>1</v>
      </c>
      <c r="N26" s="96">
        <v>2.1801136974489799</v>
      </c>
      <c r="O26" s="432" t="s">
        <v>1621</v>
      </c>
      <c r="P26" s="435" t="s">
        <v>98</v>
      </c>
      <c r="Q26" s="95">
        <v>1</v>
      </c>
      <c r="R26" s="96">
        <v>2.1801136974489799</v>
      </c>
      <c r="S26" s="432" t="s">
        <v>1621</v>
      </c>
      <c r="T26" s="435">
        <v>0.26678114519543999</v>
      </c>
      <c r="U26" s="95">
        <v>1</v>
      </c>
      <c r="V26" s="96">
        <v>2.1801136974489799</v>
      </c>
      <c r="W26" s="432" t="s">
        <v>1621</v>
      </c>
      <c r="X26" s="435">
        <v>1.4998815788541899</v>
      </c>
      <c r="Y26" s="95">
        <v>1</v>
      </c>
      <c r="Z26" s="96">
        <v>2.1801136974489799</v>
      </c>
      <c r="AA26" s="432" t="s">
        <v>1621</v>
      </c>
      <c r="AB26" s="435">
        <v>0</v>
      </c>
      <c r="AC26" s="95">
        <v>1</v>
      </c>
      <c r="AD26" s="96">
        <v>2.1801136974489799</v>
      </c>
      <c r="AE26" s="432" t="s">
        <v>1621</v>
      </c>
      <c r="AF26" s="435" t="s">
        <v>98</v>
      </c>
      <c r="AG26" s="95">
        <v>1</v>
      </c>
      <c r="AH26" s="96">
        <v>2.1801136974489799</v>
      </c>
      <c r="AI26" s="432" t="s">
        <v>1621</v>
      </c>
      <c r="AK26" s="104">
        <v>1</v>
      </c>
      <c r="AL26" s="107">
        <v>2.1801136974489799</v>
      </c>
      <c r="AM26" s="107" t="s">
        <v>1621</v>
      </c>
      <c r="AN26" s="107">
        <v>3</v>
      </c>
      <c r="AO26" s="108">
        <v>0.13636363636363599</v>
      </c>
      <c r="AP26" s="108"/>
      <c r="AQ26" s="108"/>
      <c r="AR26" s="108"/>
      <c r="AS26" s="108">
        <v>0</v>
      </c>
      <c r="AT26" s="108">
        <v>0</v>
      </c>
    </row>
    <row r="27" spans="1:46">
      <c r="A27" s="330">
        <v>267522</v>
      </c>
      <c r="B27" s="331"/>
      <c r="C27" s="88"/>
      <c r="D27" s="340">
        <v>5</v>
      </c>
      <c r="E27" s="341" t="s">
        <v>98</v>
      </c>
      <c r="F27" s="432" t="s">
        <v>1622</v>
      </c>
      <c r="G27" s="433" t="s">
        <v>93</v>
      </c>
      <c r="H27" s="434" t="s">
        <v>98</v>
      </c>
      <c r="I27" s="434" t="s">
        <v>98</v>
      </c>
      <c r="J27" s="94">
        <v>0</v>
      </c>
      <c r="K27" s="433" t="s">
        <v>96</v>
      </c>
      <c r="L27" s="435">
        <v>1.68732744792284</v>
      </c>
      <c r="M27" s="95">
        <v>1</v>
      </c>
      <c r="N27" s="96">
        <v>2.1801136974489799</v>
      </c>
      <c r="O27" s="432" t="s">
        <v>1623</v>
      </c>
      <c r="P27" s="435" t="s">
        <v>98</v>
      </c>
      <c r="Q27" s="95">
        <v>1</v>
      </c>
      <c r="R27" s="96">
        <v>2.1801136974489799</v>
      </c>
      <c r="S27" s="432" t="s">
        <v>1623</v>
      </c>
      <c r="T27" s="435" t="s">
        <v>98</v>
      </c>
      <c r="U27" s="95">
        <v>1</v>
      </c>
      <c r="V27" s="96">
        <v>2.1801136974489799</v>
      </c>
      <c r="W27" s="432" t="s">
        <v>1623</v>
      </c>
      <c r="X27" s="435" t="s">
        <v>98</v>
      </c>
      <c r="Y27" s="95">
        <v>1</v>
      </c>
      <c r="Z27" s="96">
        <v>2.1801136974489799</v>
      </c>
      <c r="AA27" s="432" t="s">
        <v>1623</v>
      </c>
      <c r="AB27" s="435">
        <v>0.200468826671829</v>
      </c>
      <c r="AC27" s="95">
        <v>1</v>
      </c>
      <c r="AD27" s="96">
        <v>2.1801136974489799</v>
      </c>
      <c r="AE27" s="432" t="s">
        <v>1623</v>
      </c>
      <c r="AF27" s="435">
        <v>6.1499871671060298</v>
      </c>
      <c r="AG27" s="95">
        <v>1</v>
      </c>
      <c r="AH27" s="96">
        <v>2.1801136974489799</v>
      </c>
      <c r="AI27" s="432" t="s">
        <v>1623</v>
      </c>
      <c r="AK27" s="104">
        <v>1</v>
      </c>
      <c r="AL27" s="107">
        <v>2.1801136974489799</v>
      </c>
      <c r="AM27" s="107" t="s">
        <v>1623</v>
      </c>
      <c r="AN27" s="107">
        <v>46.1</v>
      </c>
      <c r="AO27" s="108">
        <v>2.0954545454545501</v>
      </c>
      <c r="AP27" s="108"/>
      <c r="AQ27" s="108"/>
      <c r="AR27" s="108"/>
      <c r="AS27" s="108">
        <v>0</v>
      </c>
      <c r="AT27" s="108">
        <v>0</v>
      </c>
    </row>
    <row r="28" spans="1:46">
      <c r="A28" s="330">
        <v>267073</v>
      </c>
      <c r="B28" s="331"/>
      <c r="C28" s="88"/>
      <c r="D28" s="340">
        <v>5</v>
      </c>
      <c r="E28" s="341" t="s">
        <v>98</v>
      </c>
      <c r="F28" s="432" t="s">
        <v>635</v>
      </c>
      <c r="G28" s="433" t="s">
        <v>93</v>
      </c>
      <c r="H28" s="434" t="s">
        <v>98</v>
      </c>
      <c r="I28" s="434" t="s">
        <v>98</v>
      </c>
      <c r="J28" s="94">
        <v>0</v>
      </c>
      <c r="K28" s="433" t="s">
        <v>96</v>
      </c>
      <c r="L28" s="435" t="s">
        <v>98</v>
      </c>
      <c r="M28" s="95">
        <v>1</v>
      </c>
      <c r="N28" s="96">
        <v>2.1801136974489799</v>
      </c>
      <c r="O28" s="432" t="s">
        <v>1624</v>
      </c>
      <c r="P28" s="435" t="s">
        <v>98</v>
      </c>
      <c r="Q28" s="95">
        <v>1</v>
      </c>
      <c r="R28" s="96">
        <v>2.1801136974489799</v>
      </c>
      <c r="S28" s="432" t="s">
        <v>1624</v>
      </c>
      <c r="T28" s="435" t="s">
        <v>98</v>
      </c>
      <c r="U28" s="95">
        <v>1</v>
      </c>
      <c r="V28" s="96">
        <v>2.1801136974489799</v>
      </c>
      <c r="W28" s="432" t="s">
        <v>1624</v>
      </c>
      <c r="X28" s="435" t="s">
        <v>98</v>
      </c>
      <c r="Y28" s="95">
        <v>1</v>
      </c>
      <c r="Z28" s="96">
        <v>2.1801136974489799</v>
      </c>
      <c r="AA28" s="432" t="s">
        <v>1624</v>
      </c>
      <c r="AB28" s="435" t="s">
        <v>98</v>
      </c>
      <c r="AC28" s="95">
        <v>1</v>
      </c>
      <c r="AD28" s="96">
        <v>2.1801136974489799</v>
      </c>
      <c r="AE28" s="432" t="s">
        <v>1624</v>
      </c>
      <c r="AF28" s="435">
        <v>1.0589656904803499</v>
      </c>
      <c r="AG28" s="95">
        <v>1</v>
      </c>
      <c r="AH28" s="96">
        <v>2.1801136974489799</v>
      </c>
      <c r="AI28" s="432" t="s">
        <v>1624</v>
      </c>
      <c r="AK28" s="104">
        <v>1</v>
      </c>
      <c r="AL28" s="107">
        <v>2.1801136974489799</v>
      </c>
      <c r="AM28" s="107" t="s">
        <v>1624</v>
      </c>
      <c r="AN28" s="107"/>
      <c r="AO28" s="108"/>
      <c r="AP28" s="108"/>
      <c r="AQ28" s="108"/>
      <c r="AR28" s="108"/>
      <c r="AS28" s="108"/>
      <c r="AT28" s="108"/>
    </row>
    <row r="29" spans="1:46">
      <c r="A29" s="330">
        <v>268933</v>
      </c>
      <c r="B29" s="331"/>
      <c r="C29" s="88"/>
      <c r="D29" s="340">
        <v>5</v>
      </c>
      <c r="E29" s="341" t="s">
        <v>98</v>
      </c>
      <c r="F29" s="432" t="s">
        <v>683</v>
      </c>
      <c r="G29" s="433" t="s">
        <v>93</v>
      </c>
      <c r="H29" s="434" t="s">
        <v>98</v>
      </c>
      <c r="I29" s="434" t="s">
        <v>98</v>
      </c>
      <c r="J29" s="94">
        <v>0</v>
      </c>
      <c r="K29" s="433" t="s">
        <v>679</v>
      </c>
      <c r="L29" s="435" t="s">
        <v>98</v>
      </c>
      <c r="M29" s="95">
        <v>1</v>
      </c>
      <c r="N29" s="96">
        <v>2.1801136974489799</v>
      </c>
      <c r="O29" s="432" t="s">
        <v>1621</v>
      </c>
      <c r="P29" s="435" t="s">
        <v>98</v>
      </c>
      <c r="Q29" s="95">
        <v>1</v>
      </c>
      <c r="R29" s="96">
        <v>2.1801136974489799</v>
      </c>
      <c r="S29" s="432" t="s">
        <v>1621</v>
      </c>
      <c r="T29" s="435" t="s">
        <v>98</v>
      </c>
      <c r="U29" s="95">
        <v>1</v>
      </c>
      <c r="V29" s="96">
        <v>2.1801136974489799</v>
      </c>
      <c r="W29" s="432" t="s">
        <v>1621</v>
      </c>
      <c r="X29" s="435" t="s">
        <v>98</v>
      </c>
      <c r="Y29" s="95">
        <v>1</v>
      </c>
      <c r="Z29" s="96">
        <v>2.1801136974489799</v>
      </c>
      <c r="AA29" s="432" t="s">
        <v>1621</v>
      </c>
      <c r="AB29" s="435" t="s">
        <v>98</v>
      </c>
      <c r="AC29" s="95">
        <v>1</v>
      </c>
      <c r="AD29" s="96">
        <v>2.1801136974489799</v>
      </c>
      <c r="AE29" s="432" t="s">
        <v>1621</v>
      </c>
      <c r="AF29" s="435">
        <v>0.156488223081578</v>
      </c>
      <c r="AG29" s="95">
        <v>1</v>
      </c>
      <c r="AH29" s="96">
        <v>2.1801136974489799</v>
      </c>
      <c r="AI29" s="432" t="s">
        <v>1621</v>
      </c>
      <c r="AK29" s="104">
        <v>1</v>
      </c>
      <c r="AL29" s="107">
        <v>2.1801136974489799</v>
      </c>
      <c r="AM29" s="107" t="s">
        <v>1621</v>
      </c>
      <c r="AN29" s="107"/>
      <c r="AO29" s="108"/>
      <c r="AP29" s="108"/>
      <c r="AQ29" s="108"/>
      <c r="AR29" s="108"/>
      <c r="AS29" s="108"/>
      <c r="AT29" s="108"/>
    </row>
    <row r="30" spans="1:46">
      <c r="A30" s="330">
        <v>269453</v>
      </c>
      <c r="B30" s="331"/>
      <c r="C30" s="88"/>
      <c r="D30" s="340">
        <v>5</v>
      </c>
      <c r="E30" s="341" t="s">
        <v>98</v>
      </c>
      <c r="F30" s="432" t="s">
        <v>1625</v>
      </c>
      <c r="G30" s="433" t="s">
        <v>93</v>
      </c>
      <c r="H30" s="434" t="s">
        <v>98</v>
      </c>
      <c r="I30" s="434" t="s">
        <v>98</v>
      </c>
      <c r="J30" s="94">
        <v>0</v>
      </c>
      <c r="K30" s="433" t="s">
        <v>679</v>
      </c>
      <c r="L30" s="435" t="s">
        <v>98</v>
      </c>
      <c r="M30" s="95">
        <v>1</v>
      </c>
      <c r="N30" s="96">
        <v>2.1801136974489799</v>
      </c>
      <c r="O30" s="432" t="s">
        <v>1626</v>
      </c>
      <c r="P30" s="435" t="s">
        <v>98</v>
      </c>
      <c r="Q30" s="95">
        <v>1</v>
      </c>
      <c r="R30" s="96">
        <v>2.1801136974489799</v>
      </c>
      <c r="S30" s="432" t="s">
        <v>1626</v>
      </c>
      <c r="T30" s="435" t="s">
        <v>98</v>
      </c>
      <c r="U30" s="95">
        <v>1</v>
      </c>
      <c r="V30" s="96">
        <v>2.1801136974489799</v>
      </c>
      <c r="W30" s="432" t="s">
        <v>1626</v>
      </c>
      <c r="X30" s="435" t="s">
        <v>98</v>
      </c>
      <c r="Y30" s="95">
        <v>1</v>
      </c>
      <c r="Z30" s="96">
        <v>2.1801136974489799</v>
      </c>
      <c r="AA30" s="432" t="s">
        <v>1626</v>
      </c>
      <c r="AB30" s="435" t="s">
        <v>98</v>
      </c>
      <c r="AC30" s="95">
        <v>1</v>
      </c>
      <c r="AD30" s="96">
        <v>2.1801136974489799</v>
      </c>
      <c r="AE30" s="432" t="s">
        <v>1626</v>
      </c>
      <c r="AF30" s="435">
        <v>0.109171720668077</v>
      </c>
      <c r="AG30" s="95">
        <v>1</v>
      </c>
      <c r="AH30" s="96">
        <v>2.1801136974489799</v>
      </c>
      <c r="AI30" s="432" t="s">
        <v>1626</v>
      </c>
      <c r="AK30" s="104">
        <v>1</v>
      </c>
      <c r="AL30" s="107">
        <v>2.1801136974489799</v>
      </c>
      <c r="AM30" s="107" t="s">
        <v>1626</v>
      </c>
      <c r="AN30" s="107"/>
      <c r="AO30" s="108"/>
      <c r="AP30" s="108"/>
      <c r="AQ30" s="108"/>
      <c r="AR30" s="108"/>
      <c r="AS30" s="108"/>
      <c r="AT30" s="108"/>
    </row>
    <row r="31" spans="1:46">
      <c r="A31" s="330">
        <v>269641</v>
      </c>
      <c r="B31" s="331" t="s">
        <v>322</v>
      </c>
      <c r="C31" s="88"/>
      <c r="D31" s="340">
        <v>5</v>
      </c>
      <c r="E31" s="341" t="s">
        <v>98</v>
      </c>
      <c r="F31" s="432" t="s">
        <v>240</v>
      </c>
      <c r="G31" s="433" t="s">
        <v>93</v>
      </c>
      <c r="H31" s="434" t="s">
        <v>98</v>
      </c>
      <c r="I31" s="434" t="s">
        <v>98</v>
      </c>
      <c r="J31" s="94">
        <v>0</v>
      </c>
      <c r="K31" s="433" t="s">
        <v>115</v>
      </c>
      <c r="L31" s="435">
        <v>0.22430108603819399</v>
      </c>
      <c r="M31" s="95">
        <v>1</v>
      </c>
      <c r="N31" s="96">
        <v>2.1418997227527798</v>
      </c>
      <c r="O31" s="432" t="s">
        <v>1627</v>
      </c>
      <c r="P31" s="435">
        <v>0.16358454249333801</v>
      </c>
      <c r="Q31" s="95">
        <v>1</v>
      </c>
      <c r="R31" s="96">
        <v>2.1418997227527798</v>
      </c>
      <c r="S31" s="432" t="s">
        <v>1627</v>
      </c>
      <c r="T31" s="435">
        <v>0.25621926842229598</v>
      </c>
      <c r="U31" s="95">
        <v>1</v>
      </c>
      <c r="V31" s="96">
        <v>2.1418997227527798</v>
      </c>
      <c r="W31" s="432" t="s">
        <v>1627</v>
      </c>
      <c r="X31" s="435">
        <v>0.22527192750974101</v>
      </c>
      <c r="Y31" s="95">
        <v>1</v>
      </c>
      <c r="Z31" s="96">
        <v>2.1418997227527798</v>
      </c>
      <c r="AA31" s="432" t="s">
        <v>1627</v>
      </c>
      <c r="AB31" s="435">
        <v>0.20708320626801299</v>
      </c>
      <c r="AC31" s="95">
        <v>1</v>
      </c>
      <c r="AD31" s="96">
        <v>2.1418997227527798</v>
      </c>
      <c r="AE31" s="432" t="s">
        <v>1627</v>
      </c>
      <c r="AF31" s="435">
        <v>0.216717620904712</v>
      </c>
      <c r="AG31" s="95">
        <v>1</v>
      </c>
      <c r="AH31" s="96">
        <v>2.1418997227527798</v>
      </c>
      <c r="AI31" s="432" t="s">
        <v>1627</v>
      </c>
      <c r="AK31" s="104">
        <v>1</v>
      </c>
      <c r="AL31" s="107">
        <v>2.1418997227527798</v>
      </c>
      <c r="AM31" s="107" t="s">
        <v>1627</v>
      </c>
      <c r="AN31" s="107">
        <v>6.1281999999999996</v>
      </c>
      <c r="AO31" s="108">
        <v>0.278554545454545</v>
      </c>
      <c r="AP31" s="108"/>
      <c r="AQ31" s="108"/>
      <c r="AR31" s="108"/>
      <c r="AS31" s="108">
        <v>3.75</v>
      </c>
      <c r="AT31" s="108">
        <v>0.170454545454545</v>
      </c>
    </row>
    <row r="32" spans="1:46" ht="24" customHeight="1">
      <c r="A32" s="330">
        <v>160371</v>
      </c>
      <c r="B32" s="331"/>
      <c r="C32" s="88"/>
      <c r="D32" s="340">
        <v>5</v>
      </c>
      <c r="E32" s="341" t="s">
        <v>98</v>
      </c>
      <c r="F32" s="432" t="s">
        <v>242</v>
      </c>
      <c r="G32" s="433" t="s">
        <v>93</v>
      </c>
      <c r="H32" s="434" t="s">
        <v>98</v>
      </c>
      <c r="I32" s="434" t="s">
        <v>98</v>
      </c>
      <c r="J32" s="94">
        <v>0</v>
      </c>
      <c r="K32" s="433" t="s">
        <v>115</v>
      </c>
      <c r="L32" s="435">
        <v>1.6142709276179801</v>
      </c>
      <c r="M32" s="95">
        <v>1</v>
      </c>
      <c r="N32" s="96">
        <v>2.1418997227527798</v>
      </c>
      <c r="O32" s="432" t="s">
        <v>1628</v>
      </c>
      <c r="P32" s="435">
        <v>0.65433816997335004</v>
      </c>
      <c r="Q32" s="95">
        <v>1</v>
      </c>
      <c r="R32" s="96">
        <v>2.1418997227527798</v>
      </c>
      <c r="S32" s="432" t="s">
        <v>1628</v>
      </c>
      <c r="T32" s="435">
        <v>1.0536427520527401</v>
      </c>
      <c r="U32" s="95">
        <v>1</v>
      </c>
      <c r="V32" s="96">
        <v>2.1418997227527798</v>
      </c>
      <c r="W32" s="432" t="s">
        <v>1628</v>
      </c>
      <c r="X32" s="435">
        <v>1.49537082429622</v>
      </c>
      <c r="Y32" s="95">
        <v>1</v>
      </c>
      <c r="Z32" s="96">
        <v>2.1418997227527798</v>
      </c>
      <c r="AA32" s="432" t="s">
        <v>1628</v>
      </c>
      <c r="AB32" s="435">
        <v>0.85208608626836602</v>
      </c>
      <c r="AC32" s="95">
        <v>1</v>
      </c>
      <c r="AD32" s="96">
        <v>2.1418997227527798</v>
      </c>
      <c r="AE32" s="432" t="s">
        <v>1628</v>
      </c>
      <c r="AF32" s="435">
        <v>5.13907611324115</v>
      </c>
      <c r="AG32" s="95">
        <v>1</v>
      </c>
      <c r="AH32" s="96">
        <v>2.1418997227527798</v>
      </c>
      <c r="AI32" s="432" t="s">
        <v>1628</v>
      </c>
      <c r="AK32" s="104">
        <v>1</v>
      </c>
      <c r="AL32" s="107">
        <v>2.1418997227527798</v>
      </c>
      <c r="AM32" s="107" t="s">
        <v>1628</v>
      </c>
      <c r="AN32" s="107">
        <v>44.103999999999999</v>
      </c>
      <c r="AO32" s="108">
        <v>2.00472727272727</v>
      </c>
      <c r="AP32" s="108"/>
      <c r="AQ32" s="108"/>
      <c r="AR32" s="108"/>
      <c r="AS32" s="108">
        <v>15</v>
      </c>
      <c r="AT32" s="108">
        <v>0.68181818181818199</v>
      </c>
    </row>
    <row r="33" spans="1:46" ht="24" customHeight="1">
      <c r="A33" s="330">
        <v>266197</v>
      </c>
      <c r="B33" s="331"/>
      <c r="C33" s="88"/>
      <c r="D33" s="340">
        <v>5</v>
      </c>
      <c r="E33" s="341" t="s">
        <v>98</v>
      </c>
      <c r="F33" s="432" t="s">
        <v>1629</v>
      </c>
      <c r="G33" s="433" t="s">
        <v>93</v>
      </c>
      <c r="H33" s="434" t="s">
        <v>98</v>
      </c>
      <c r="I33" s="434" t="s">
        <v>98</v>
      </c>
      <c r="J33" s="94">
        <v>0</v>
      </c>
      <c r="K33" s="433" t="s">
        <v>115</v>
      </c>
      <c r="L33" s="435">
        <v>0.44368293543862602</v>
      </c>
      <c r="M33" s="95">
        <v>1</v>
      </c>
      <c r="N33" s="96">
        <v>2.1801136974489799</v>
      </c>
      <c r="O33" s="432" t="s">
        <v>1630</v>
      </c>
      <c r="P33" s="435">
        <v>0.32716908498667502</v>
      </c>
      <c r="Q33" s="95">
        <v>1</v>
      </c>
      <c r="R33" s="96">
        <v>2.1801136974489799</v>
      </c>
      <c r="S33" s="432" t="s">
        <v>1630</v>
      </c>
      <c r="T33" s="435">
        <v>0.471639773196809</v>
      </c>
      <c r="U33" s="95">
        <v>1</v>
      </c>
      <c r="V33" s="96">
        <v>2.1801136974489799</v>
      </c>
      <c r="W33" s="432" t="s">
        <v>1630</v>
      </c>
      <c r="X33" s="435">
        <v>0.434377310683704</v>
      </c>
      <c r="Y33" s="95">
        <v>1</v>
      </c>
      <c r="Z33" s="96">
        <v>2.1801136974489799</v>
      </c>
      <c r="AA33" s="432" t="s">
        <v>1630</v>
      </c>
      <c r="AB33" s="435">
        <v>0.37452001484331099</v>
      </c>
      <c r="AC33" s="95">
        <v>1</v>
      </c>
      <c r="AD33" s="96">
        <v>2.1801136974489799</v>
      </c>
      <c r="AE33" s="432" t="s">
        <v>1630</v>
      </c>
      <c r="AF33" s="435">
        <v>1.1438578002953299</v>
      </c>
      <c r="AG33" s="95">
        <v>1</v>
      </c>
      <c r="AH33" s="96">
        <v>2.1801136974489799</v>
      </c>
      <c r="AI33" s="432" t="s">
        <v>1630</v>
      </c>
      <c r="AK33" s="104">
        <v>1</v>
      </c>
      <c r="AL33" s="107">
        <v>2.1801136974489799</v>
      </c>
      <c r="AM33" s="107" t="s">
        <v>1630</v>
      </c>
      <c r="AN33" s="107">
        <v>12.231999999999999</v>
      </c>
      <c r="AO33" s="108">
        <v>0.55600000000000005</v>
      </c>
      <c r="AP33" s="108"/>
      <c r="AQ33" s="108"/>
      <c r="AR33" s="108"/>
      <c r="AS33" s="108">
        <v>7.5</v>
      </c>
      <c r="AT33" s="108">
        <v>0.34090909090909099</v>
      </c>
    </row>
    <row r="34" spans="1:46" ht="24" customHeight="1">
      <c r="A34" s="330">
        <v>268549</v>
      </c>
      <c r="B34" s="331" t="s">
        <v>511</v>
      </c>
      <c r="C34" s="88"/>
      <c r="D34" s="340">
        <v>5</v>
      </c>
      <c r="E34" s="341" t="s">
        <v>98</v>
      </c>
      <c r="F34" s="432" t="s">
        <v>1631</v>
      </c>
      <c r="G34" s="433" t="s">
        <v>103</v>
      </c>
      <c r="H34" s="434" t="s">
        <v>98</v>
      </c>
      <c r="I34" s="434" t="s">
        <v>98</v>
      </c>
      <c r="J34" s="94">
        <v>0</v>
      </c>
      <c r="K34" s="433" t="s">
        <v>96</v>
      </c>
      <c r="L34" s="435">
        <v>4.0261609386445199E-2</v>
      </c>
      <c r="M34" s="95">
        <v>1</v>
      </c>
      <c r="N34" s="96">
        <v>2.1801136974489799</v>
      </c>
      <c r="O34" s="432" t="s">
        <v>1632</v>
      </c>
      <c r="P34" s="435" t="s">
        <v>98</v>
      </c>
      <c r="Q34" s="95">
        <v>1</v>
      </c>
      <c r="R34" s="96">
        <v>2.1801136974489799</v>
      </c>
      <c r="S34" s="432" t="s">
        <v>1632</v>
      </c>
      <c r="T34" s="435">
        <v>1.82537379047264E-2</v>
      </c>
      <c r="U34" s="95">
        <v>1</v>
      </c>
      <c r="V34" s="96">
        <v>2.1801136974489799</v>
      </c>
      <c r="W34" s="432" t="s">
        <v>1632</v>
      </c>
      <c r="X34" s="435">
        <v>0.133317856935673</v>
      </c>
      <c r="Y34" s="95">
        <v>1</v>
      </c>
      <c r="Z34" s="96">
        <v>2.1801136974489799</v>
      </c>
      <c r="AA34" s="432" t="s">
        <v>1632</v>
      </c>
      <c r="AB34" s="435">
        <v>0.114292629565068</v>
      </c>
      <c r="AC34" s="95">
        <v>1</v>
      </c>
      <c r="AD34" s="96">
        <v>2.1801136974489799</v>
      </c>
      <c r="AE34" s="432" t="s">
        <v>1632</v>
      </c>
      <c r="AF34" s="435">
        <v>8.6363636363636406E-2</v>
      </c>
      <c r="AG34" s="95">
        <v>1</v>
      </c>
      <c r="AH34" s="96">
        <v>2.1801136974489799</v>
      </c>
      <c r="AI34" s="432" t="s">
        <v>1632</v>
      </c>
      <c r="AK34" s="104">
        <v>1</v>
      </c>
      <c r="AL34" s="107">
        <v>2.1801136974489799</v>
      </c>
      <c r="AM34" s="107" t="s">
        <v>1632</v>
      </c>
      <c r="AN34" s="107">
        <v>1.1000000000000001</v>
      </c>
      <c r="AO34" s="108">
        <v>0.05</v>
      </c>
      <c r="AP34" s="108"/>
      <c r="AQ34" s="108"/>
      <c r="AR34" s="108"/>
      <c r="AS34" s="108">
        <v>0</v>
      </c>
      <c r="AT34" s="108">
        <v>0</v>
      </c>
    </row>
    <row r="35" spans="1:46" ht="24" customHeight="1">
      <c r="A35" s="330">
        <v>268905</v>
      </c>
      <c r="B35" s="331"/>
      <c r="C35" s="88"/>
      <c r="D35" s="340">
        <v>5</v>
      </c>
      <c r="E35" s="341" t="s">
        <v>98</v>
      </c>
      <c r="F35" s="432" t="s">
        <v>1633</v>
      </c>
      <c r="G35" s="433" t="s">
        <v>103</v>
      </c>
      <c r="H35" s="434" t="s">
        <v>98</v>
      </c>
      <c r="I35" s="434" t="s">
        <v>98</v>
      </c>
      <c r="J35" s="94">
        <v>0</v>
      </c>
      <c r="K35" s="433" t="s">
        <v>96</v>
      </c>
      <c r="L35" s="435">
        <v>7.32029261571731E-4</v>
      </c>
      <c r="M35" s="95">
        <v>1</v>
      </c>
      <c r="N35" s="96">
        <v>2.1801136974489799</v>
      </c>
      <c r="O35" s="432" t="s">
        <v>1634</v>
      </c>
      <c r="P35" s="435" t="s">
        <v>98</v>
      </c>
      <c r="Q35" s="95">
        <v>1</v>
      </c>
      <c r="R35" s="96">
        <v>2.1801136974489799</v>
      </c>
      <c r="S35" s="432" t="s">
        <v>1634</v>
      </c>
      <c r="T35" s="435">
        <v>1.9221186013676901</v>
      </c>
      <c r="U35" s="95">
        <v>1</v>
      </c>
      <c r="V35" s="96">
        <v>2.1801136974489799</v>
      </c>
      <c r="W35" s="432" t="s">
        <v>1634</v>
      </c>
      <c r="X35" s="435">
        <v>1.4033458624807601E-3</v>
      </c>
      <c r="Y35" s="95">
        <v>1</v>
      </c>
      <c r="Z35" s="96">
        <v>2.1801136974489799</v>
      </c>
      <c r="AA35" s="432" t="s">
        <v>1634</v>
      </c>
      <c r="AB35" s="435">
        <v>1.2905487056892999</v>
      </c>
      <c r="AC35" s="95">
        <v>1</v>
      </c>
      <c r="AD35" s="96">
        <v>2.1801136974489799</v>
      </c>
      <c r="AE35" s="432" t="s">
        <v>1634</v>
      </c>
      <c r="AF35" s="435">
        <v>9.0909090909090898E-4</v>
      </c>
      <c r="AG35" s="95">
        <v>1</v>
      </c>
      <c r="AH35" s="96">
        <v>2.1801136974489799</v>
      </c>
      <c r="AI35" s="432" t="s">
        <v>1634</v>
      </c>
      <c r="AK35" s="104">
        <v>1</v>
      </c>
      <c r="AL35" s="107">
        <v>2.1801136974489799</v>
      </c>
      <c r="AM35" s="107" t="s">
        <v>1634</v>
      </c>
      <c r="AN35" s="107">
        <v>0.02</v>
      </c>
      <c r="AO35" s="108">
        <v>9.0909090909090898E-4</v>
      </c>
      <c r="AP35" s="108"/>
      <c r="AQ35" s="108"/>
      <c r="AR35" s="108"/>
      <c r="AS35" s="108">
        <v>0</v>
      </c>
      <c r="AT35" s="108">
        <v>0</v>
      </c>
    </row>
    <row r="36" spans="1:46" ht="24" customHeight="1">
      <c r="A36" s="330">
        <v>268931</v>
      </c>
      <c r="B36" s="331"/>
      <c r="C36" s="88"/>
      <c r="D36" s="340">
        <v>5</v>
      </c>
      <c r="E36" s="341" t="s">
        <v>98</v>
      </c>
      <c r="F36" s="432" t="s">
        <v>1635</v>
      </c>
      <c r="G36" s="433" t="s">
        <v>103</v>
      </c>
      <c r="H36" s="434" t="s">
        <v>98</v>
      </c>
      <c r="I36" s="434" t="s">
        <v>98</v>
      </c>
      <c r="J36" s="94">
        <v>0</v>
      </c>
      <c r="K36" s="433" t="s">
        <v>96</v>
      </c>
      <c r="L36" s="435">
        <v>3.66014630785866E-3</v>
      </c>
      <c r="M36" s="95">
        <v>1</v>
      </c>
      <c r="N36" s="96">
        <v>2.1801136974489799</v>
      </c>
      <c r="O36" s="432" t="s">
        <v>1634</v>
      </c>
      <c r="P36" s="435" t="s">
        <v>98</v>
      </c>
      <c r="Q36" s="95">
        <v>1</v>
      </c>
      <c r="R36" s="96">
        <v>2.1801136974489799</v>
      </c>
      <c r="S36" s="432" t="s">
        <v>1634</v>
      </c>
      <c r="T36" s="435">
        <v>8.2971535930574502E-3</v>
      </c>
      <c r="U36" s="95">
        <v>1</v>
      </c>
      <c r="V36" s="96">
        <v>2.1801136974489799</v>
      </c>
      <c r="W36" s="432" t="s">
        <v>1634</v>
      </c>
      <c r="X36" s="435">
        <v>7.01672931240382E-3</v>
      </c>
      <c r="Y36" s="95">
        <v>1</v>
      </c>
      <c r="Z36" s="96">
        <v>2.1801136974489799</v>
      </c>
      <c r="AA36" s="432" t="s">
        <v>1634</v>
      </c>
      <c r="AB36" s="435">
        <v>6.0154015560562098E-3</v>
      </c>
      <c r="AC36" s="95">
        <v>1</v>
      </c>
      <c r="AD36" s="96">
        <v>2.1801136974489799</v>
      </c>
      <c r="AE36" s="432" t="s">
        <v>1634</v>
      </c>
      <c r="AF36" s="435">
        <v>4.5454545454545496E-3</v>
      </c>
      <c r="AG36" s="95">
        <v>1</v>
      </c>
      <c r="AH36" s="96">
        <v>2.1801136974489799</v>
      </c>
      <c r="AI36" s="432" t="s">
        <v>1634</v>
      </c>
      <c r="AK36" s="104">
        <v>1</v>
      </c>
      <c r="AL36" s="107">
        <v>2.1801136974489799</v>
      </c>
      <c r="AM36" s="107" t="s">
        <v>1634</v>
      </c>
      <c r="AN36" s="107">
        <v>0.1</v>
      </c>
      <c r="AO36" s="108">
        <v>4.5454545454545496E-3</v>
      </c>
      <c r="AP36" s="108"/>
      <c r="AQ36" s="108"/>
      <c r="AR36" s="108"/>
      <c r="AS36" s="108">
        <v>0</v>
      </c>
      <c r="AT36" s="108">
        <v>0</v>
      </c>
    </row>
    <row r="37" spans="1:46" ht="21" customHeight="1">
      <c r="A37" s="330">
        <v>1381</v>
      </c>
      <c r="B37" s="331" t="s">
        <v>218</v>
      </c>
      <c r="C37" s="88"/>
      <c r="D37" s="340">
        <v>4</v>
      </c>
      <c r="E37" s="341" t="s">
        <v>98</v>
      </c>
      <c r="F37" s="432" t="s">
        <v>768</v>
      </c>
      <c r="G37" s="433" t="s">
        <v>98</v>
      </c>
      <c r="H37" s="434" t="s">
        <v>218</v>
      </c>
      <c r="I37" s="434" t="s">
        <v>764</v>
      </c>
      <c r="J37" s="94" t="s">
        <v>98</v>
      </c>
      <c r="K37" s="433" t="s">
        <v>679</v>
      </c>
      <c r="L37" s="435" t="s">
        <v>98</v>
      </c>
      <c r="M37" s="95">
        <v>1</v>
      </c>
      <c r="N37" s="96">
        <v>2.1801136974489799</v>
      </c>
      <c r="O37" s="432" t="s">
        <v>1636</v>
      </c>
      <c r="P37" s="435" t="s">
        <v>98</v>
      </c>
      <c r="Q37" s="95">
        <v>1</v>
      </c>
      <c r="R37" s="96">
        <v>2.1801136974489799</v>
      </c>
      <c r="S37" s="432" t="s">
        <v>1636</v>
      </c>
      <c r="T37" s="435" t="s">
        <v>98</v>
      </c>
      <c r="U37" s="95">
        <v>1</v>
      </c>
      <c r="V37" s="96">
        <v>2.1801136974489799</v>
      </c>
      <c r="W37" s="432" t="s">
        <v>1636</v>
      </c>
      <c r="X37" s="435" t="s">
        <v>98</v>
      </c>
      <c r="Y37" s="95">
        <v>1</v>
      </c>
      <c r="Z37" s="96">
        <v>2.1801136974489799</v>
      </c>
      <c r="AA37" s="432" t="s">
        <v>1636</v>
      </c>
      <c r="AB37" s="435" t="s">
        <v>98</v>
      </c>
      <c r="AC37" s="95">
        <v>1</v>
      </c>
      <c r="AD37" s="96">
        <v>2.1801136974489799</v>
      </c>
      <c r="AE37" s="432" t="s">
        <v>1636</v>
      </c>
      <c r="AF37" s="435">
        <v>4.7186592439970099</v>
      </c>
      <c r="AG37" s="95">
        <v>1</v>
      </c>
      <c r="AH37" s="96">
        <v>2.1801136974489799</v>
      </c>
      <c r="AI37" s="432" t="s">
        <v>1636</v>
      </c>
      <c r="AK37" s="104">
        <v>1</v>
      </c>
      <c r="AL37" s="107">
        <v>2.1801136974489799</v>
      </c>
      <c r="AM37" s="107" t="s">
        <v>1636</v>
      </c>
      <c r="AN37" s="107"/>
      <c r="AO37" s="108"/>
      <c r="AP37" s="108"/>
      <c r="AQ37" s="108"/>
      <c r="AR37" s="108"/>
      <c r="AS37" s="108"/>
      <c r="AT37" s="108"/>
    </row>
    <row r="38" spans="1:46">
      <c r="A38" s="330">
        <v>20910</v>
      </c>
      <c r="B38" s="331"/>
      <c r="C38" s="88"/>
      <c r="D38" s="340">
        <v>4</v>
      </c>
      <c r="E38" s="341" t="s">
        <v>98</v>
      </c>
      <c r="F38" s="432" t="s">
        <v>770</v>
      </c>
      <c r="G38" s="433" t="s">
        <v>98</v>
      </c>
      <c r="H38" s="434" t="s">
        <v>218</v>
      </c>
      <c r="I38" s="434" t="s">
        <v>764</v>
      </c>
      <c r="J38" s="94" t="s">
        <v>98</v>
      </c>
      <c r="K38" s="433" t="s">
        <v>679</v>
      </c>
      <c r="L38" s="435" t="s">
        <v>98</v>
      </c>
      <c r="M38" s="95">
        <v>1</v>
      </c>
      <c r="N38" s="96">
        <v>2.1470246222548202</v>
      </c>
      <c r="O38" s="432" t="s">
        <v>1637</v>
      </c>
      <c r="P38" s="435" t="s">
        <v>98</v>
      </c>
      <c r="Q38" s="95">
        <v>1</v>
      </c>
      <c r="R38" s="96">
        <v>2.1470246222548202</v>
      </c>
      <c r="S38" s="432" t="s">
        <v>1637</v>
      </c>
      <c r="T38" s="435" t="s">
        <v>98</v>
      </c>
      <c r="U38" s="95">
        <v>1</v>
      </c>
      <c r="V38" s="96">
        <v>2.1470246222548202</v>
      </c>
      <c r="W38" s="432" t="s">
        <v>1637</v>
      </c>
      <c r="X38" s="435" t="s">
        <v>98</v>
      </c>
      <c r="Y38" s="95">
        <v>1</v>
      </c>
      <c r="Z38" s="96">
        <v>2.1470246222548202</v>
      </c>
      <c r="AA38" s="432" t="s">
        <v>1637</v>
      </c>
      <c r="AB38" s="435" t="s">
        <v>98</v>
      </c>
      <c r="AC38" s="95">
        <v>1</v>
      </c>
      <c r="AD38" s="96">
        <v>2.1470246222548202</v>
      </c>
      <c r="AE38" s="432" t="s">
        <v>1637</v>
      </c>
      <c r="AF38" s="435">
        <v>1.5</v>
      </c>
      <c r="AG38" s="95">
        <v>1</v>
      </c>
      <c r="AH38" s="96">
        <v>2.1470246222548202</v>
      </c>
      <c r="AI38" s="432" t="s">
        <v>1637</v>
      </c>
      <c r="AK38" s="104">
        <v>1</v>
      </c>
      <c r="AL38" s="107">
        <v>2.1470246222548202</v>
      </c>
      <c r="AM38" s="107" t="s">
        <v>1637</v>
      </c>
      <c r="AN38" s="107"/>
      <c r="AO38" s="108"/>
      <c r="AP38" s="108"/>
      <c r="AQ38" s="108"/>
      <c r="AR38" s="108"/>
      <c r="AS38" s="108"/>
      <c r="AT38" s="108"/>
    </row>
    <row r="39" spans="1:46" ht="20.25" customHeight="1">
      <c r="A39" s="330">
        <v>21292</v>
      </c>
      <c r="B39" s="331"/>
      <c r="C39" s="88"/>
      <c r="D39" s="340">
        <v>4</v>
      </c>
      <c r="E39" s="341" t="s">
        <v>98</v>
      </c>
      <c r="F39" s="432" t="s">
        <v>771</v>
      </c>
      <c r="G39" s="433" t="s">
        <v>98</v>
      </c>
      <c r="H39" s="434" t="s">
        <v>218</v>
      </c>
      <c r="I39" s="434" t="s">
        <v>764</v>
      </c>
      <c r="J39" s="94" t="s">
        <v>98</v>
      </c>
      <c r="K39" s="433" t="s">
        <v>679</v>
      </c>
      <c r="L39" s="435" t="s">
        <v>98</v>
      </c>
      <c r="M39" s="95">
        <v>1</v>
      </c>
      <c r="N39" s="96">
        <v>2.1597758485616101</v>
      </c>
      <c r="O39" s="432" t="s">
        <v>1638</v>
      </c>
      <c r="P39" s="435" t="s">
        <v>98</v>
      </c>
      <c r="Q39" s="95">
        <v>1</v>
      </c>
      <c r="R39" s="96">
        <v>2.1597758485616101</v>
      </c>
      <c r="S39" s="432" t="s">
        <v>1638</v>
      </c>
      <c r="T39" s="435" t="s">
        <v>98</v>
      </c>
      <c r="U39" s="95">
        <v>1</v>
      </c>
      <c r="V39" s="96">
        <v>2.1597758485616101</v>
      </c>
      <c r="W39" s="432" t="s">
        <v>1638</v>
      </c>
      <c r="X39" s="435" t="s">
        <v>98</v>
      </c>
      <c r="Y39" s="95">
        <v>1</v>
      </c>
      <c r="Z39" s="96">
        <v>2.1597758485616101</v>
      </c>
      <c r="AA39" s="432" t="s">
        <v>1638</v>
      </c>
      <c r="AB39" s="435" t="s">
        <v>98</v>
      </c>
      <c r="AC39" s="95">
        <v>1</v>
      </c>
      <c r="AD39" s="96">
        <v>2.1597758485616101</v>
      </c>
      <c r="AE39" s="432" t="s">
        <v>1638</v>
      </c>
      <c r="AF39" s="435">
        <v>3.2186592439970099</v>
      </c>
      <c r="AG39" s="95">
        <v>1</v>
      </c>
      <c r="AH39" s="96">
        <v>2.1597758485616101</v>
      </c>
      <c r="AI39" s="432" t="s">
        <v>1638</v>
      </c>
      <c r="AK39" s="104">
        <v>1</v>
      </c>
      <c r="AL39" s="107">
        <v>2.1597758485616101</v>
      </c>
      <c r="AM39" s="107" t="s">
        <v>1638</v>
      </c>
      <c r="AN39" s="107"/>
      <c r="AO39" s="108"/>
      <c r="AP39" s="108"/>
      <c r="AQ39" s="108"/>
      <c r="AR39" s="108"/>
      <c r="AS39" s="108"/>
      <c r="AT39" s="108"/>
    </row>
    <row r="40" spans="1:46">
      <c r="A40" s="330">
        <v>116809</v>
      </c>
      <c r="B40" s="331"/>
      <c r="C40" s="88"/>
      <c r="D40" s="340">
        <v>4</v>
      </c>
      <c r="E40" s="341" t="s">
        <v>98</v>
      </c>
      <c r="F40" s="432" t="s">
        <v>929</v>
      </c>
      <c r="G40" s="433" t="s">
        <v>98</v>
      </c>
      <c r="H40" s="434" t="s">
        <v>218</v>
      </c>
      <c r="I40" s="434" t="s">
        <v>764</v>
      </c>
      <c r="J40" s="94" t="s">
        <v>98</v>
      </c>
      <c r="K40" s="433" t="s">
        <v>725</v>
      </c>
      <c r="L40" s="435" t="s">
        <v>98</v>
      </c>
      <c r="M40" s="95">
        <v>1</v>
      </c>
      <c r="N40" s="96">
        <v>2.1597758485616101</v>
      </c>
      <c r="O40" s="432" t="s">
        <v>1639</v>
      </c>
      <c r="P40" s="435" t="s">
        <v>98</v>
      </c>
      <c r="Q40" s="95">
        <v>1</v>
      </c>
      <c r="R40" s="96">
        <v>2.1597758485616101</v>
      </c>
      <c r="S40" s="432" t="s">
        <v>1639</v>
      </c>
      <c r="T40" s="435" t="s">
        <v>98</v>
      </c>
      <c r="U40" s="95">
        <v>1</v>
      </c>
      <c r="V40" s="96">
        <v>2.1597758485616101</v>
      </c>
      <c r="W40" s="432" t="s">
        <v>1639</v>
      </c>
      <c r="X40" s="435" t="s">
        <v>98</v>
      </c>
      <c r="Y40" s="95">
        <v>1</v>
      </c>
      <c r="Z40" s="96">
        <v>2.1597758485616101</v>
      </c>
      <c r="AA40" s="432" t="s">
        <v>1639</v>
      </c>
      <c r="AB40" s="435" t="s">
        <v>98</v>
      </c>
      <c r="AC40" s="95">
        <v>1</v>
      </c>
      <c r="AD40" s="96">
        <v>2.1597758485616101</v>
      </c>
      <c r="AE40" s="432" t="s">
        <v>1639</v>
      </c>
      <c r="AF40" s="435">
        <v>45</v>
      </c>
      <c r="AG40" s="95">
        <v>1</v>
      </c>
      <c r="AH40" s="96">
        <v>2.1597758485616101</v>
      </c>
      <c r="AI40" s="432" t="s">
        <v>1639</v>
      </c>
      <c r="AK40" s="104">
        <v>1</v>
      </c>
      <c r="AL40" s="107">
        <v>2.1597758485616101</v>
      </c>
      <c r="AM40" s="107" t="s">
        <v>1639</v>
      </c>
      <c r="AN40" s="107"/>
      <c r="AO40" s="108"/>
      <c r="AP40" s="108"/>
      <c r="AQ40" s="108"/>
      <c r="AR40" s="108"/>
      <c r="AS40" s="108"/>
      <c r="AT40" s="108"/>
    </row>
    <row r="41" spans="1:46">
      <c r="A41" s="330">
        <v>113531</v>
      </c>
      <c r="B41" s="331"/>
      <c r="C41" s="88"/>
      <c r="D41" s="340">
        <v>4</v>
      </c>
      <c r="E41" s="341" t="s">
        <v>98</v>
      </c>
      <c r="F41" s="432" t="s">
        <v>766</v>
      </c>
      <c r="G41" s="433" t="s">
        <v>98</v>
      </c>
      <c r="H41" s="434" t="s">
        <v>218</v>
      </c>
      <c r="I41" s="434" t="s">
        <v>764</v>
      </c>
      <c r="J41" s="94" t="s">
        <v>98</v>
      </c>
      <c r="K41" s="433" t="s">
        <v>725</v>
      </c>
      <c r="L41" s="435" t="s">
        <v>98</v>
      </c>
      <c r="M41" s="95">
        <v>1</v>
      </c>
      <c r="N41" s="96">
        <v>2.1597758485616101</v>
      </c>
      <c r="O41" s="432" t="s">
        <v>1639</v>
      </c>
      <c r="P41" s="435" t="s">
        <v>98</v>
      </c>
      <c r="Q41" s="95">
        <v>1</v>
      </c>
      <c r="R41" s="96">
        <v>2.1597758485616101</v>
      </c>
      <c r="S41" s="432" t="s">
        <v>1639</v>
      </c>
      <c r="T41" s="435" t="s">
        <v>98</v>
      </c>
      <c r="U41" s="95">
        <v>1</v>
      </c>
      <c r="V41" s="96">
        <v>2.1597758485616101</v>
      </c>
      <c r="W41" s="432" t="s">
        <v>1639</v>
      </c>
      <c r="X41" s="435" t="s">
        <v>98</v>
      </c>
      <c r="Y41" s="95">
        <v>1</v>
      </c>
      <c r="Z41" s="96">
        <v>2.1597758485616101</v>
      </c>
      <c r="AA41" s="432" t="s">
        <v>1639</v>
      </c>
      <c r="AB41" s="435" t="s">
        <v>98</v>
      </c>
      <c r="AC41" s="95">
        <v>1</v>
      </c>
      <c r="AD41" s="96">
        <v>2.1597758485616101</v>
      </c>
      <c r="AE41" s="432" t="s">
        <v>1639</v>
      </c>
      <c r="AF41" s="435">
        <v>96.559777319910296</v>
      </c>
      <c r="AG41" s="95">
        <v>1</v>
      </c>
      <c r="AH41" s="96">
        <v>2.1597758485616101</v>
      </c>
      <c r="AI41" s="432" t="s">
        <v>1639</v>
      </c>
      <c r="AK41" s="104">
        <v>1</v>
      </c>
      <c r="AL41" s="107">
        <v>2.1597758485616101</v>
      </c>
      <c r="AM41" s="107" t="s">
        <v>1639</v>
      </c>
      <c r="AN41" s="107"/>
      <c r="AO41" s="108"/>
      <c r="AP41" s="108"/>
      <c r="AQ41" s="108"/>
      <c r="AR41" s="108"/>
      <c r="AS41" s="108"/>
      <c r="AT41" s="108"/>
    </row>
    <row r="42" spans="1:46">
      <c r="A42" s="330"/>
      <c r="B42" s="331"/>
      <c r="C42" s="88"/>
      <c r="D42" s="340"/>
      <c r="E42" s="341"/>
      <c r="F42" s="432"/>
      <c r="G42" s="433"/>
      <c r="H42" s="434"/>
      <c r="I42" s="434"/>
      <c r="J42" s="94"/>
      <c r="K42" s="433"/>
      <c r="L42" s="435"/>
      <c r="M42" s="95"/>
      <c r="N42" s="96"/>
      <c r="O42" s="432"/>
      <c r="P42" s="435"/>
      <c r="Q42" s="95"/>
      <c r="R42" s="96"/>
      <c r="S42" s="432"/>
      <c r="T42" s="435"/>
      <c r="U42" s="95"/>
      <c r="V42" s="96"/>
      <c r="W42" s="432"/>
      <c r="X42" s="435"/>
      <c r="Y42" s="95"/>
      <c r="Z42" s="96"/>
      <c r="AA42" s="432"/>
      <c r="AB42" s="435"/>
      <c r="AC42" s="95"/>
      <c r="AD42" s="96"/>
      <c r="AE42" s="432"/>
      <c r="AF42" s="435"/>
      <c r="AG42" s="95"/>
      <c r="AH42" s="96"/>
      <c r="AI42" s="432"/>
      <c r="AK42" s="104"/>
      <c r="AL42" s="107"/>
      <c r="AM42" s="107"/>
      <c r="AN42" s="107"/>
      <c r="AO42" s="108"/>
      <c r="AP42" s="108" t="s">
        <v>1640</v>
      </c>
      <c r="AQ42" s="108"/>
      <c r="AR42" s="108"/>
      <c r="AS42" s="108"/>
      <c r="AT42" s="108"/>
    </row>
  </sheetData>
  <conditionalFormatting sqref="D14:L42">
    <cfRule type="expression" dxfId="123" priority="72">
      <formula>MOD(ROW(),2)=0</formula>
    </cfRule>
  </conditionalFormatting>
  <conditionalFormatting sqref="M24:M34 O24:O34 N24:N42 M36:M42 O36:O42">
    <cfRule type="expression" dxfId="122" priority="77">
      <formula>MOD(ROW(),2)=0</formula>
    </cfRule>
  </conditionalFormatting>
  <conditionalFormatting sqref="M14:O23">
    <cfRule type="expression" dxfId="121" priority="68">
      <formula>MOD(ROW(),2)=0</formula>
    </cfRule>
  </conditionalFormatting>
  <conditionalFormatting sqref="M35:O39">
    <cfRule type="expression" dxfId="120" priority="74">
      <formula>MOD(ROW(),2)=0</formula>
    </cfRule>
  </conditionalFormatting>
  <conditionalFormatting sqref="P14:P42">
    <cfRule type="expression" dxfId="119" priority="4">
      <formula>MOD(ROW(),2)=0</formula>
    </cfRule>
  </conditionalFormatting>
  <conditionalFormatting sqref="Q24:Q34 S24:S34 R24:R42 Q36:Q42 S36:S42">
    <cfRule type="expression" dxfId="118" priority="82">
      <formula>MOD(ROW(),2)=0</formula>
    </cfRule>
  </conditionalFormatting>
  <conditionalFormatting sqref="Q14:S23">
    <cfRule type="expression" dxfId="117" priority="69">
      <formula>MOD(ROW(),2)=0</formula>
    </cfRule>
  </conditionalFormatting>
  <conditionalFormatting sqref="Q35:S39">
    <cfRule type="expression" dxfId="116" priority="79">
      <formula>MOD(ROW(),2)=0</formula>
    </cfRule>
  </conditionalFormatting>
  <conditionalFormatting sqref="T14:T42">
    <cfRule type="expression" dxfId="115" priority="2">
      <formula>MOD(ROW(),2)=0</formula>
    </cfRule>
  </conditionalFormatting>
  <conditionalFormatting sqref="U24:U34 W24:W34 V24:V42 U36:U42 W36:W42">
    <cfRule type="expression" dxfId="114" priority="29">
      <formula>MOD(ROW(),2)=0</formula>
    </cfRule>
  </conditionalFormatting>
  <conditionalFormatting sqref="U14:W23">
    <cfRule type="expression" dxfId="113" priority="27">
      <formula>MOD(ROW(),2)=0</formula>
    </cfRule>
  </conditionalFormatting>
  <conditionalFormatting sqref="U35:W39">
    <cfRule type="expression" dxfId="112" priority="28">
      <formula>MOD(ROW(),2)=0</formula>
    </cfRule>
  </conditionalFormatting>
  <conditionalFormatting sqref="X14:X42">
    <cfRule type="expression" dxfId="111" priority="1">
      <formula>MOD(ROW(),2)=0</formula>
    </cfRule>
  </conditionalFormatting>
  <conditionalFormatting sqref="Y24:Y34 AA24:AA34 Z24:Z42 Y36:Y42 AA36:AA42">
    <cfRule type="expression" dxfId="110" priority="25">
      <formula>MOD(ROW(),2)=0</formula>
    </cfRule>
  </conditionalFormatting>
  <conditionalFormatting sqref="Y14:AA23">
    <cfRule type="expression" dxfId="109" priority="23">
      <formula>MOD(ROW(),2)=0</formula>
    </cfRule>
  </conditionalFormatting>
  <conditionalFormatting sqref="Y35:AA39">
    <cfRule type="expression" dxfId="108" priority="24">
      <formula>MOD(ROW(),2)=0</formula>
    </cfRule>
  </conditionalFormatting>
  <conditionalFormatting sqref="AB14:AB42">
    <cfRule type="expression" dxfId="107" priority="22">
      <formula>MOD(ROW(),2)=0</formula>
    </cfRule>
  </conditionalFormatting>
  <conditionalFormatting sqref="AC24:AC34 AE24:AE34 AD24:AD42 AC36:AC42 AE36:AE42">
    <cfRule type="expression" dxfId="106" priority="21">
      <formula>MOD(ROW(),2)=0</formula>
    </cfRule>
  </conditionalFormatting>
  <conditionalFormatting sqref="AC14:AE23">
    <cfRule type="expression" dxfId="105" priority="19">
      <formula>MOD(ROW(),2)=0</formula>
    </cfRule>
  </conditionalFormatting>
  <conditionalFormatting sqref="AC35:AE39">
    <cfRule type="expression" dxfId="104" priority="20">
      <formula>MOD(ROW(),2)=0</formula>
    </cfRule>
  </conditionalFormatting>
  <conditionalFormatting sqref="AF14:AF42">
    <cfRule type="expression" dxfId="103" priority="18">
      <formula>MOD(ROW(),2)=0</formula>
    </cfRule>
  </conditionalFormatting>
  <conditionalFormatting sqref="AG24:AG34 AI24:AI34 AH24:AH42 AG36:AG42 AI36:AI42">
    <cfRule type="expression" dxfId="102" priority="17">
      <formula>MOD(ROW(),2)=0</formula>
    </cfRule>
  </conditionalFormatting>
  <conditionalFormatting sqref="AG14:AI23">
    <cfRule type="expression" dxfId="101" priority="15">
      <formula>MOD(ROW(),2)=0</formula>
    </cfRule>
  </conditionalFormatting>
  <conditionalFormatting sqref="AG35:AI39">
    <cfRule type="expression" dxfId="100" priority="16">
      <formula>MOD(ROW(),2)=0</formula>
    </cfRule>
  </conditionalFormatting>
  <conditionalFormatting sqref="AK14:AT42">
    <cfRule type="expression" dxfId="99" priority="71">
      <formula>MOD(ROW(),2)=0</formula>
    </cfRule>
  </conditionalFormatting>
  <dataValidations disablePrompts="1" xWindow="97" yWindow="324" count="6">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37:F41" xr:uid="{00000000-0002-0000-3D00-000001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38:A41" xr:uid="{00000000-0002-0000-3D00-000002000000}"/>
    <dataValidation allowBlank="1" showInputMessage="1" showErrorMessage="1" prompt="Do not change." sqref="AN3:AT3" xr:uid="{00000000-0002-0000-3D00-000004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3D00-000007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3D00-000008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3D00-000009000000}"/>
  </dataValidations>
  <printOptions horizontalCentered="1" verticalCentered="1"/>
  <pageMargins left="0.78740157480314965" right="0.78740157480314965" top="0.98425196850393704" bottom="0.98425196850393704" header="0.51181102362204722" footer="0.51181102362204722"/>
  <pageSetup paperSize="9" scale="1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1A2F1-8811-4FB7-94D6-FD3A82C4AA31}">
  <sheetPr codeName="Sheet8">
    <tabColor rgb="FF9CD9F0"/>
    <pageSetUpPr fitToPage="1"/>
  </sheetPr>
  <dimension ref="A1:BF172"/>
  <sheetViews>
    <sheetView topLeftCell="A23" workbookViewId="0">
      <selection activeCell="A45" sqref="A45:XFD45"/>
    </sheetView>
  </sheetViews>
  <sheetFormatPr baseColWidth="10" defaultColWidth="11.42578125" defaultRowHeight="12.75" outlineLevelRow="1" outlineLevelCol="1"/>
  <cols>
    <col min="1" max="1" width="12.7109375" style="277" customWidth="1"/>
    <col min="2" max="2" width="12.7109375" style="124" customWidth="1"/>
    <col min="3" max="3" width="4.7109375" style="125" hidden="1" customWidth="1" outlineLevel="1"/>
    <col min="4" max="5" width="4.7109375" style="277" hidden="1" customWidth="1" outlineLevel="1"/>
    <col min="6" max="6" width="40.7109375" style="126" customWidth="1" collapsed="1"/>
    <col min="7" max="7" width="8.7109375" style="277" customWidth="1"/>
    <col min="8" max="8" width="9" style="277" hidden="1" customWidth="1" outlineLevel="1"/>
    <col min="9" max="9" width="5" style="277" hidden="1" customWidth="1" outlineLevel="1"/>
    <col min="10" max="10" width="4.7109375" style="277" customWidth="1" collapsed="1"/>
    <col min="11" max="11" width="8.7109375" style="277" customWidth="1"/>
    <col min="12" max="12" width="13.85546875" style="277" customWidth="1"/>
    <col min="13" max="14" width="5.7109375" style="120" hidden="1" customWidth="1" outlineLevel="1"/>
    <col min="15" max="15" width="40.7109375" style="109" hidden="1" customWidth="1" outlineLevel="1"/>
    <col min="16" max="16" width="15.28515625" style="277" customWidth="1" collapsed="1"/>
    <col min="17" max="18" width="6.7109375" style="120" hidden="1" customWidth="1" outlineLevel="1"/>
    <col min="19" max="19" width="44" style="109" hidden="1" customWidth="1" outlineLevel="1"/>
    <col min="20" max="20" width="4.7109375" style="179" customWidth="1" collapsed="1"/>
    <col min="21" max="21" width="56.7109375" style="196" customWidth="1"/>
    <col min="22" max="28" width="3.28515625" style="196" hidden="1" customWidth="1" outlineLevel="1"/>
    <col min="29" max="29" width="5.7109375" style="196" hidden="1" customWidth="1" outlineLevel="1"/>
    <col min="30" max="31" width="7" style="196" hidden="1" customWidth="1" outlineLevel="1"/>
    <col min="32" max="32" width="18.85546875" style="196" hidden="1" customWidth="1" outlineLevel="1"/>
    <col min="33" max="36" width="5.140625" style="196" hidden="1" customWidth="1" outlineLevel="1"/>
    <col min="37" max="37" width="4.5703125" style="196" hidden="1" customWidth="1" outlineLevel="1"/>
    <col min="38" max="38" width="5.140625" style="196" hidden="1" customWidth="1" outlineLevel="1"/>
    <col min="39" max="39" width="11.42578125" style="196" collapsed="1"/>
    <col min="40" max="40" width="63.140625" style="196" customWidth="1"/>
    <col min="41" max="47" width="3.28515625" style="196" hidden="1" customWidth="1" outlineLevel="1"/>
    <col min="48" max="48" width="4.5703125" style="196" hidden="1" customWidth="1" outlineLevel="1"/>
    <col min="49" max="50" width="7" style="196" hidden="1" customWidth="1" outlineLevel="1"/>
    <col min="51" max="51" width="20.5703125" style="196" hidden="1" customWidth="1" outlineLevel="1"/>
    <col min="52" max="52" width="5" style="196" hidden="1" customWidth="1" outlineLevel="1"/>
    <col min="53" max="57" width="4.5703125" style="196" hidden="1" customWidth="1" outlineLevel="1"/>
    <col min="58" max="58" width="11.42578125" style="196" collapsed="1"/>
    <col min="59" max="16384" width="11.42578125" style="196"/>
  </cols>
  <sheetData>
    <row r="1" spans="1:57" s="403" customFormat="1">
      <c r="A1" s="77"/>
      <c r="B1" s="78"/>
      <c r="C1" s="79"/>
      <c r="D1" s="77"/>
      <c r="E1" s="77"/>
      <c r="F1" s="80" t="s">
        <v>65</v>
      </c>
      <c r="G1" s="77"/>
      <c r="H1" s="77"/>
      <c r="I1" s="77"/>
      <c r="J1" s="77"/>
      <c r="K1" s="77"/>
      <c r="L1" s="330" t="str">
        <f>A7</f>
        <v>Z-PV-239</v>
      </c>
      <c r="M1" s="81"/>
      <c r="N1" s="81"/>
      <c r="O1" s="81"/>
      <c r="P1" s="330" t="str">
        <f>A8</f>
        <v>Z-PV-249</v>
      </c>
      <c r="Q1" s="81"/>
      <c r="R1" s="81"/>
      <c r="S1" s="81"/>
      <c r="T1" s="179"/>
      <c r="U1" s="403" t="s">
        <v>1641</v>
      </c>
      <c r="AN1" s="403" t="s">
        <v>1642</v>
      </c>
    </row>
    <row r="2" spans="1:57" s="403" customFormat="1" ht="64.5"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179"/>
      <c r="U2" s="727" t="s">
        <v>81</v>
      </c>
      <c r="V2" s="729" t="s">
        <v>82</v>
      </c>
      <c r="W2" s="729" t="s">
        <v>83</v>
      </c>
      <c r="X2" s="729" t="s">
        <v>84</v>
      </c>
      <c r="Y2" s="729" t="s">
        <v>85</v>
      </c>
      <c r="Z2" s="729" t="s">
        <v>86</v>
      </c>
      <c r="AA2" s="729" t="s">
        <v>87</v>
      </c>
      <c r="AB2" s="730" t="s">
        <v>88</v>
      </c>
      <c r="AC2" s="730" t="s">
        <v>89</v>
      </c>
      <c r="AD2" s="730" t="s">
        <v>90</v>
      </c>
      <c r="AE2" s="730" t="s">
        <v>91</v>
      </c>
      <c r="AF2" s="730" t="s">
        <v>92</v>
      </c>
      <c r="AG2" s="730" t="s">
        <v>82</v>
      </c>
      <c r="AH2" s="730" t="s">
        <v>83</v>
      </c>
      <c r="AI2" s="730" t="s">
        <v>84</v>
      </c>
      <c r="AJ2" s="730" t="s">
        <v>85</v>
      </c>
      <c r="AK2" s="730" t="s">
        <v>86</v>
      </c>
      <c r="AL2" s="730" t="s">
        <v>87</v>
      </c>
      <c r="AN2" s="727" t="s">
        <v>81</v>
      </c>
      <c r="AO2" s="729" t="s">
        <v>82</v>
      </c>
      <c r="AP2" s="729" t="s">
        <v>83</v>
      </c>
      <c r="AQ2" s="729" t="s">
        <v>84</v>
      </c>
      <c r="AR2" s="729" t="s">
        <v>85</v>
      </c>
      <c r="AS2" s="729" t="s">
        <v>86</v>
      </c>
      <c r="AT2" s="729" t="s">
        <v>87</v>
      </c>
      <c r="AU2" s="730" t="s">
        <v>88</v>
      </c>
      <c r="AV2" s="730" t="s">
        <v>89</v>
      </c>
      <c r="AW2" s="730" t="s">
        <v>90</v>
      </c>
      <c r="AX2" s="730" t="s">
        <v>91</v>
      </c>
      <c r="AY2" s="730" t="s">
        <v>92</v>
      </c>
      <c r="AZ2" s="730" t="s">
        <v>82</v>
      </c>
      <c r="BA2" s="730" t="s">
        <v>83</v>
      </c>
      <c r="BB2" s="730" t="s">
        <v>84</v>
      </c>
      <c r="BC2" s="730" t="s">
        <v>85</v>
      </c>
      <c r="BD2" s="730" t="s">
        <v>86</v>
      </c>
      <c r="BE2" s="730" t="s">
        <v>87</v>
      </c>
    </row>
    <row r="3" spans="1:57" s="194" customFormat="1" ht="94.5">
      <c r="A3" s="83" t="s">
        <v>68</v>
      </c>
      <c r="B3" s="84"/>
      <c r="C3" s="79">
        <v>401</v>
      </c>
      <c r="D3" s="85" t="s">
        <v>69</v>
      </c>
      <c r="E3" s="85" t="s">
        <v>70</v>
      </c>
      <c r="F3" s="86" t="s">
        <v>71</v>
      </c>
      <c r="G3" s="85" t="s">
        <v>72</v>
      </c>
      <c r="H3" s="85" t="s">
        <v>73</v>
      </c>
      <c r="I3" s="85" t="s">
        <v>74</v>
      </c>
      <c r="J3" s="85" t="s">
        <v>75</v>
      </c>
      <c r="K3" s="85" t="s">
        <v>76</v>
      </c>
      <c r="L3" s="87" t="s">
        <v>1643</v>
      </c>
      <c r="M3" s="422" t="s">
        <v>78</v>
      </c>
      <c r="N3" s="422" t="s">
        <v>79</v>
      </c>
      <c r="O3" s="423" t="s">
        <v>80</v>
      </c>
      <c r="P3" s="87" t="s">
        <v>1644</v>
      </c>
      <c r="Q3" s="422" t="s">
        <v>78</v>
      </c>
      <c r="R3" s="422" t="s">
        <v>79</v>
      </c>
      <c r="S3" s="423" t="s">
        <v>80</v>
      </c>
      <c r="T3" s="179"/>
      <c r="U3" s="727"/>
      <c r="V3" s="727"/>
      <c r="W3" s="727"/>
      <c r="X3" s="727"/>
      <c r="Y3" s="727"/>
      <c r="Z3" s="727"/>
      <c r="AA3" s="727"/>
      <c r="AB3" s="718"/>
      <c r="AC3" s="718"/>
      <c r="AD3" s="718" t="s">
        <v>95</v>
      </c>
      <c r="AE3" s="718" t="s">
        <v>95</v>
      </c>
      <c r="AF3" s="718"/>
      <c r="AG3" s="718"/>
      <c r="AH3" s="718"/>
      <c r="AI3" s="718"/>
      <c r="AJ3" s="718"/>
      <c r="AK3" s="718"/>
      <c r="AL3" s="718"/>
      <c r="AN3" s="727"/>
      <c r="AO3" s="727"/>
      <c r="AP3" s="727"/>
      <c r="AQ3" s="727"/>
      <c r="AR3" s="727"/>
      <c r="AS3" s="727"/>
      <c r="AT3" s="727"/>
      <c r="AU3" s="718"/>
      <c r="AV3" s="718"/>
      <c r="AW3" s="718" t="s">
        <v>95</v>
      </c>
      <c r="AX3" s="718" t="s">
        <v>95</v>
      </c>
      <c r="AY3" s="718"/>
      <c r="AZ3" s="718"/>
      <c r="BA3" s="718"/>
      <c r="BB3" s="718"/>
      <c r="BC3" s="718"/>
      <c r="BD3" s="718"/>
      <c r="BE3" s="718"/>
    </row>
    <row r="4" spans="1:57" s="194" customFormat="1">
      <c r="A4" s="77"/>
      <c r="B4" s="84"/>
      <c r="C4" s="79">
        <v>662</v>
      </c>
      <c r="D4" s="86"/>
      <c r="E4" s="86"/>
      <c r="F4" s="86" t="s">
        <v>72</v>
      </c>
      <c r="G4" s="86"/>
      <c r="H4" s="86"/>
      <c r="I4" s="86"/>
      <c r="J4" s="86"/>
      <c r="K4" s="86"/>
      <c r="L4" s="87" t="s">
        <v>93</v>
      </c>
      <c r="M4" s="425"/>
      <c r="N4" s="425"/>
      <c r="O4" s="426"/>
      <c r="P4" s="87" t="s">
        <v>93</v>
      </c>
      <c r="Q4" s="425"/>
      <c r="R4" s="425"/>
      <c r="S4" s="426"/>
      <c r="T4" s="179"/>
      <c r="U4" s="727"/>
      <c r="V4" s="727"/>
      <c r="W4" s="727"/>
      <c r="X4" s="727"/>
      <c r="Y4" s="727"/>
      <c r="Z4" s="727"/>
      <c r="AA4" s="727"/>
      <c r="AB4" s="718"/>
      <c r="AC4" s="718"/>
      <c r="AD4" s="718"/>
      <c r="AE4" s="718"/>
      <c r="AF4" s="718"/>
      <c r="AG4" s="718"/>
      <c r="AH4" s="718"/>
      <c r="AI4" s="718"/>
      <c r="AJ4" s="718"/>
      <c r="AK4" s="718"/>
      <c r="AL4" s="718"/>
      <c r="AN4" s="727"/>
      <c r="AO4" s="727"/>
      <c r="AP4" s="727"/>
      <c r="AQ4" s="727"/>
      <c r="AR4" s="727"/>
      <c r="AS4" s="727"/>
      <c r="AT4" s="727"/>
      <c r="AU4" s="718"/>
      <c r="AV4" s="718"/>
      <c r="AW4" s="718"/>
      <c r="AX4" s="718"/>
      <c r="AY4" s="718"/>
      <c r="AZ4" s="718"/>
      <c r="BA4" s="718"/>
      <c r="BB4" s="718"/>
      <c r="BC4" s="718"/>
      <c r="BD4" s="718"/>
      <c r="BE4" s="718"/>
    </row>
    <row r="5" spans="1:57" s="194" customFormat="1">
      <c r="A5" s="77"/>
      <c r="B5" s="84"/>
      <c r="C5" s="79">
        <v>493</v>
      </c>
      <c r="D5" s="86"/>
      <c r="E5" s="86"/>
      <c r="F5" s="86" t="s">
        <v>75</v>
      </c>
      <c r="G5" s="86"/>
      <c r="H5" s="86"/>
      <c r="I5" s="86"/>
      <c r="J5" s="86"/>
      <c r="K5" s="86"/>
      <c r="L5" s="87">
        <v>1</v>
      </c>
      <c r="M5" s="425"/>
      <c r="N5" s="425"/>
      <c r="O5" s="426"/>
      <c r="P5" s="87">
        <v>1</v>
      </c>
      <c r="Q5" s="425"/>
      <c r="R5" s="425"/>
      <c r="S5" s="426"/>
      <c r="T5" s="179"/>
      <c r="U5" s="727"/>
      <c r="V5" s="727"/>
      <c r="W5" s="727"/>
      <c r="X5" s="727"/>
      <c r="Y5" s="727"/>
      <c r="Z5" s="727"/>
      <c r="AA5" s="727"/>
      <c r="AB5" s="718"/>
      <c r="AC5" s="718"/>
      <c r="AD5" s="718"/>
      <c r="AE5" s="718"/>
      <c r="AF5" s="718"/>
      <c r="AG5" s="718"/>
      <c r="AH5" s="718"/>
      <c r="AI5" s="718"/>
      <c r="AJ5" s="718"/>
      <c r="AK5" s="718"/>
      <c r="AL5" s="718"/>
      <c r="AN5" s="727"/>
      <c r="AO5" s="727"/>
      <c r="AP5" s="727"/>
      <c r="AQ5" s="727"/>
      <c r="AR5" s="727"/>
      <c r="AS5" s="727"/>
      <c r="AT5" s="727"/>
      <c r="AU5" s="718"/>
      <c r="AV5" s="718"/>
      <c r="AW5" s="718"/>
      <c r="AX5" s="718"/>
      <c r="AY5" s="718"/>
      <c r="AZ5" s="718"/>
      <c r="BA5" s="718"/>
      <c r="BB5" s="718"/>
      <c r="BC5" s="718"/>
      <c r="BD5" s="718"/>
      <c r="BE5" s="718"/>
    </row>
    <row r="6" spans="1:57" s="194" customFormat="1">
      <c r="A6" s="77"/>
      <c r="B6" s="84"/>
      <c r="C6" s="79">
        <v>403</v>
      </c>
      <c r="D6" s="86"/>
      <c r="E6" s="86"/>
      <c r="F6" s="86" t="s">
        <v>76</v>
      </c>
      <c r="G6" s="86"/>
      <c r="H6" s="86"/>
      <c r="I6" s="86"/>
      <c r="J6" s="86"/>
      <c r="K6" s="86"/>
      <c r="L6" s="87" t="s">
        <v>679</v>
      </c>
      <c r="M6" s="425"/>
      <c r="N6" s="425"/>
      <c r="O6" s="426"/>
      <c r="P6" s="87" t="s">
        <v>679</v>
      </c>
      <c r="Q6" s="425"/>
      <c r="R6" s="425"/>
      <c r="S6" s="426"/>
      <c r="T6" s="179"/>
      <c r="U6" s="727"/>
      <c r="V6" s="727"/>
      <c r="W6" s="727"/>
      <c r="X6" s="727"/>
      <c r="Y6" s="727"/>
      <c r="Z6" s="727"/>
      <c r="AA6" s="727"/>
      <c r="AB6" s="718"/>
      <c r="AC6" s="718"/>
      <c r="AD6" s="718"/>
      <c r="AE6" s="718"/>
      <c r="AF6" s="718"/>
      <c r="AG6" s="718"/>
      <c r="AH6" s="718"/>
      <c r="AI6" s="718"/>
      <c r="AJ6" s="718"/>
      <c r="AK6" s="718"/>
      <c r="AL6" s="718"/>
      <c r="AN6" s="727"/>
      <c r="AO6" s="727"/>
      <c r="AP6" s="727"/>
      <c r="AQ6" s="727"/>
      <c r="AR6" s="727"/>
      <c r="AS6" s="727"/>
      <c r="AT6" s="727"/>
      <c r="AU6" s="718"/>
      <c r="AV6" s="718"/>
      <c r="AW6" s="718"/>
      <c r="AX6" s="718"/>
      <c r="AY6" s="718"/>
      <c r="AZ6" s="718"/>
      <c r="BA6" s="718"/>
      <c r="BB6" s="718"/>
      <c r="BC6" s="718"/>
      <c r="BD6" s="718"/>
      <c r="BE6" s="718"/>
    </row>
    <row r="7" spans="1:57" ht="24">
      <c r="A7" s="330" t="s">
        <v>1645</v>
      </c>
      <c r="B7" s="331"/>
      <c r="C7" s="88"/>
      <c r="D7" s="294" t="s">
        <v>98</v>
      </c>
      <c r="E7" s="295">
        <v>0</v>
      </c>
      <c r="F7" s="429" t="s">
        <v>1643</v>
      </c>
      <c r="G7" s="430" t="s">
        <v>93</v>
      </c>
      <c r="H7" s="431" t="s">
        <v>98</v>
      </c>
      <c r="I7" s="431" t="s">
        <v>98</v>
      </c>
      <c r="J7" s="89">
        <v>1</v>
      </c>
      <c r="K7" s="430" t="s">
        <v>679</v>
      </c>
      <c r="L7" s="90">
        <v>1</v>
      </c>
      <c r="M7" s="91"/>
      <c r="N7" s="92"/>
      <c r="O7" s="93"/>
      <c r="P7" s="90">
        <v>0</v>
      </c>
      <c r="Q7" s="91"/>
      <c r="R7" s="92"/>
      <c r="S7" s="93"/>
      <c r="U7" s="728"/>
      <c r="V7" s="728"/>
      <c r="W7" s="728"/>
      <c r="X7" s="728"/>
      <c r="Y7" s="728"/>
      <c r="Z7" s="728"/>
      <c r="AA7" s="728"/>
      <c r="AB7" s="719"/>
      <c r="AC7" s="719"/>
      <c r="AD7" s="719"/>
      <c r="AE7" s="719"/>
      <c r="AF7" s="719"/>
      <c r="AG7" s="719"/>
      <c r="AH7" s="719"/>
      <c r="AI7" s="719"/>
      <c r="AJ7" s="719"/>
      <c r="AK7" s="719"/>
      <c r="AL7" s="719"/>
      <c r="AN7" s="728"/>
      <c r="AO7" s="728"/>
      <c r="AP7" s="728"/>
      <c r="AQ7" s="728"/>
      <c r="AR7" s="728"/>
      <c r="AS7" s="728"/>
      <c r="AT7" s="728"/>
      <c r="AU7" s="719"/>
      <c r="AV7" s="719"/>
      <c r="AW7" s="719"/>
      <c r="AX7" s="719"/>
      <c r="AY7" s="719"/>
      <c r="AZ7" s="719"/>
      <c r="BA7" s="719"/>
      <c r="BB7" s="719"/>
      <c r="BC7" s="719"/>
      <c r="BD7" s="719"/>
      <c r="BE7" s="719"/>
    </row>
    <row r="8" spans="1:57" ht="24">
      <c r="A8" s="330" t="s">
        <v>1646</v>
      </c>
      <c r="B8" s="331"/>
      <c r="C8" s="88"/>
      <c r="D8" s="294" t="s">
        <v>98</v>
      </c>
      <c r="E8" s="295">
        <v>0</v>
      </c>
      <c r="F8" s="429" t="s">
        <v>1644</v>
      </c>
      <c r="G8" s="430" t="s">
        <v>93</v>
      </c>
      <c r="H8" s="431" t="s">
        <v>98</v>
      </c>
      <c r="I8" s="431" t="s">
        <v>98</v>
      </c>
      <c r="J8" s="89">
        <v>1</v>
      </c>
      <c r="K8" s="430" t="s">
        <v>679</v>
      </c>
      <c r="L8" s="90">
        <v>0</v>
      </c>
      <c r="M8" s="91"/>
      <c r="N8" s="92"/>
      <c r="O8" s="93"/>
      <c r="P8" s="90">
        <v>1</v>
      </c>
      <c r="Q8" s="91"/>
      <c r="R8" s="92"/>
      <c r="S8" s="93"/>
      <c r="U8" s="728"/>
      <c r="V8" s="728"/>
      <c r="W8" s="728"/>
      <c r="X8" s="728"/>
      <c r="Y8" s="728"/>
      <c r="Z8" s="728"/>
      <c r="AA8" s="728"/>
      <c r="AB8" s="719"/>
      <c r="AC8" s="719"/>
      <c r="AD8" s="719"/>
      <c r="AE8" s="719"/>
      <c r="AF8" s="719"/>
      <c r="AG8" s="719"/>
      <c r="AH8" s="719"/>
      <c r="AI8" s="719"/>
      <c r="AJ8" s="719"/>
      <c r="AK8" s="719"/>
      <c r="AL8" s="719"/>
      <c r="AN8" s="728"/>
      <c r="AO8" s="728"/>
      <c r="AP8" s="728"/>
      <c r="AQ8" s="728"/>
      <c r="AR8" s="728"/>
      <c r="AS8" s="728"/>
      <c r="AT8" s="728"/>
      <c r="AU8" s="719"/>
      <c r="AV8" s="719"/>
      <c r="AW8" s="719"/>
      <c r="AX8" s="719"/>
      <c r="AY8" s="719"/>
      <c r="AZ8" s="719"/>
      <c r="BA8" s="719"/>
      <c r="BB8" s="719"/>
      <c r="BC8" s="719"/>
      <c r="BD8" s="719"/>
      <c r="BE8" s="719"/>
    </row>
    <row r="9" spans="1:57" ht="102.75" customHeight="1">
      <c r="A9" s="330">
        <v>269603</v>
      </c>
      <c r="B9" s="331" t="s">
        <v>1647</v>
      </c>
      <c r="C9" s="88"/>
      <c r="D9" s="340">
        <v>5</v>
      </c>
      <c r="E9" s="341"/>
      <c r="F9" s="432" t="s">
        <v>222</v>
      </c>
      <c r="G9" s="433" t="s">
        <v>223</v>
      </c>
      <c r="H9" s="434" t="s">
        <v>98</v>
      </c>
      <c r="I9" s="434" t="s">
        <v>98</v>
      </c>
      <c r="J9" s="94">
        <v>0</v>
      </c>
      <c r="K9" s="433" t="s">
        <v>109</v>
      </c>
      <c r="L9" s="435" t="s">
        <v>98</v>
      </c>
      <c r="M9" s="95">
        <f>1</f>
        <v>1</v>
      </c>
      <c r="N9" s="96">
        <f t="shared" ref="N9:N37" si="0">$AE$10</f>
        <v>2.1112106491146307</v>
      </c>
      <c r="O9" s="432" t="str">
        <f t="shared" ref="O9:O37" si="1">$AF9&amp;"; "&amp;$U9</f>
        <v xml:space="preserve">( na, na, na, na, na, na); </v>
      </c>
      <c r="P9" s="435">
        <v>0.37264799491529299</v>
      </c>
      <c r="Q9" s="95">
        <f>1</f>
        <v>1</v>
      </c>
      <c r="R9" s="96">
        <f t="shared" ref="R9:R37" si="2">$AE$10</f>
        <v>2.1112106491146307</v>
      </c>
      <c r="S9" s="432" t="str">
        <f t="shared" ref="S9:S37" si="3">$AY9&amp;"; "&amp;$AN9</f>
        <v xml:space="preserve">(2,2,1,1,3,2); Electricity use in manufacturing of steel parts (0.373 kWh/m2). 
The electricity use of the electric tracker motor during 30 years (total: 3.2255 kWh/m2) needs to be included in the modelling of the installation (PV plant) dataset.
Electricity required for assembly and disassembly of the system needs to be included in the modeling of the installation (PV plant) dataset. </v>
      </c>
      <c r="U9" s="733"/>
      <c r="V9" s="731" t="s">
        <v>1648</v>
      </c>
      <c r="W9" s="731" t="s">
        <v>1648</v>
      </c>
      <c r="X9" s="731" t="s">
        <v>1648</v>
      </c>
      <c r="Y9" s="731" t="s">
        <v>1648</v>
      </c>
      <c r="Z9" s="731" t="s">
        <v>1648</v>
      </c>
      <c r="AA9" s="731" t="s">
        <v>1648</v>
      </c>
      <c r="AB9" s="719">
        <v>2</v>
      </c>
      <c r="AC9" s="720">
        <v>2</v>
      </c>
      <c r="AD9" s="720">
        <f t="shared" ref="AD9:AD37" si="4">EXP(SQRT((LN(AG9)^2)+(LN(AH9)^2)+(LN(AI9)^2)+(LN(AJ9)^2)+(LN(AK9)^2)+(LN(AL9)^2)))</f>
        <v>1</v>
      </c>
      <c r="AE9" s="720">
        <f t="shared" ref="AE9:AE37" si="5">EXP(SQRT((LN(AG9)^2)+(LN(AH9)^2)+(LN(AI9)^2)+(LN(AJ9)^2)+(LN(AK9)^2)+(LN(AL9)^2)+LN(AC9)^2))</f>
        <v>2</v>
      </c>
      <c r="AF9" s="732" t="str">
        <f t="shared" ref="AF9:AF37" si="6">CONCATENATE("(",V9,",",W9,",",X9,",",Y9,",",Z9,",",AA9,")")</f>
        <v>( na, na, na, na, na, na)</v>
      </c>
      <c r="AG9" s="108">
        <v>1</v>
      </c>
      <c r="AH9" s="108">
        <v>1</v>
      </c>
      <c r="AI9" s="108">
        <v>1</v>
      </c>
      <c r="AJ9" s="108">
        <v>1</v>
      </c>
      <c r="AK9" s="108">
        <v>1</v>
      </c>
      <c r="AL9" s="108">
        <v>1</v>
      </c>
      <c r="AN9" s="733" t="s">
        <v>1649</v>
      </c>
      <c r="AO9" s="731">
        <v>2</v>
      </c>
      <c r="AP9" s="731">
        <v>2</v>
      </c>
      <c r="AQ9" s="731">
        <v>1</v>
      </c>
      <c r="AR9" s="731">
        <v>1</v>
      </c>
      <c r="AS9" s="731">
        <v>3</v>
      </c>
      <c r="AT9" s="731">
        <v>2</v>
      </c>
      <c r="AU9" s="719">
        <v>2</v>
      </c>
      <c r="AV9" s="720">
        <v>2</v>
      </c>
      <c r="AW9" s="720">
        <f t="shared" ref="AW9:AW37" si="7">EXP(SQRT((LN(AZ9)^2)+(LN(BA9)^2)+(LN(BB9)^2)+(LN(BC9)^2)+(LN(BD9)^2)+(LN(BE9)^2)))</f>
        <v>1.2102214383667471</v>
      </c>
      <c r="AX9" s="720">
        <f t="shared" ref="AX9:AX37" si="8">EXP(SQRT((LN(AZ9)^2)+(LN(BA9)^2)+(LN(BB9)^2)+(LN(BC9)^2)+(LN(BD9)^2)+(LN(BE9)^2)+LN(AV9)^2))</f>
        <v>2.0522341264309905</v>
      </c>
      <c r="AY9" s="732" t="str">
        <f t="shared" ref="AY9:AY37" si="9">CONCATENATE("(",AO9,",",AP9,",",AQ9,",",AR9,",",AS9,",",AT9,")")</f>
        <v>(2,2,1,1,3,2)</v>
      </c>
      <c r="AZ9" s="720">
        <v>1.05</v>
      </c>
      <c r="BA9" s="720">
        <v>1.02</v>
      </c>
      <c r="BB9" s="720">
        <v>1</v>
      </c>
      <c r="BC9" s="720">
        <v>1</v>
      </c>
      <c r="BD9" s="720">
        <v>1.2</v>
      </c>
      <c r="BE9" s="720">
        <v>1.02</v>
      </c>
    </row>
    <row r="10" spans="1:57" ht="24">
      <c r="A10" s="330">
        <v>269439</v>
      </c>
      <c r="B10" s="331" t="s">
        <v>582</v>
      </c>
      <c r="C10" s="88"/>
      <c r="D10" s="340">
        <v>5</v>
      </c>
      <c r="E10" s="341" t="s">
        <v>98</v>
      </c>
      <c r="F10" s="432" t="s">
        <v>1607</v>
      </c>
      <c r="G10" s="433" t="s">
        <v>93</v>
      </c>
      <c r="H10" s="434" t="s">
        <v>98</v>
      </c>
      <c r="I10" s="434" t="s">
        <v>98</v>
      </c>
      <c r="J10" s="94">
        <v>0</v>
      </c>
      <c r="K10" s="433" t="s">
        <v>96</v>
      </c>
      <c r="L10" s="435">
        <v>0.28493621632731198</v>
      </c>
      <c r="M10" s="95">
        <f>1</f>
        <v>1</v>
      </c>
      <c r="N10" s="96">
        <f t="shared" si="0"/>
        <v>2.1112106491146307</v>
      </c>
      <c r="O10" s="432" t="str">
        <f t="shared" si="1"/>
        <v>(4,3,1,1,3,4); based on datasheets, assembly manuals, own calculations</v>
      </c>
      <c r="P10" s="435" t="s">
        <v>98</v>
      </c>
      <c r="Q10" s="95">
        <f>1</f>
        <v>1</v>
      </c>
      <c r="R10" s="96">
        <f t="shared" si="2"/>
        <v>2.1112106491146307</v>
      </c>
      <c r="S10" s="432" t="str">
        <f t="shared" si="3"/>
        <v xml:space="preserve">( na, na, na, na, na, na); </v>
      </c>
      <c r="U10" s="733" t="s">
        <v>1650</v>
      </c>
      <c r="V10" s="731">
        <v>4</v>
      </c>
      <c r="W10" s="731">
        <v>3</v>
      </c>
      <c r="X10" s="731">
        <v>1</v>
      </c>
      <c r="Y10" s="731">
        <v>1</v>
      </c>
      <c r="Z10" s="731">
        <v>3</v>
      </c>
      <c r="AA10" s="731">
        <v>4</v>
      </c>
      <c r="AB10" s="719">
        <v>3</v>
      </c>
      <c r="AC10" s="720">
        <v>2</v>
      </c>
      <c r="AD10" s="720">
        <f t="shared" si="4"/>
        <v>1.3220579299510793</v>
      </c>
      <c r="AE10" s="720">
        <f t="shared" si="5"/>
        <v>2.1112106491146307</v>
      </c>
      <c r="AF10" s="732" t="str">
        <f t="shared" si="6"/>
        <v>(4,3,1,1,3,4)</v>
      </c>
      <c r="AG10" s="108">
        <v>1.2</v>
      </c>
      <c r="AH10" s="108">
        <v>1.05</v>
      </c>
      <c r="AI10" s="108">
        <v>1</v>
      </c>
      <c r="AJ10" s="108">
        <v>1</v>
      </c>
      <c r="AK10" s="108">
        <v>1.2</v>
      </c>
      <c r="AL10" s="108">
        <v>1.1000000000000001</v>
      </c>
      <c r="AN10" s="733"/>
      <c r="AO10" s="731" t="s">
        <v>1648</v>
      </c>
      <c r="AP10" s="731" t="s">
        <v>1648</v>
      </c>
      <c r="AQ10" s="731" t="s">
        <v>1648</v>
      </c>
      <c r="AR10" s="731" t="s">
        <v>1648</v>
      </c>
      <c r="AS10" s="731" t="s">
        <v>1648</v>
      </c>
      <c r="AT10" s="731" t="s">
        <v>1648</v>
      </c>
      <c r="AU10" s="719">
        <v>3</v>
      </c>
      <c r="AV10" s="720">
        <v>2</v>
      </c>
      <c r="AW10" s="720">
        <f t="shared" si="7"/>
        <v>1</v>
      </c>
      <c r="AX10" s="720">
        <f t="shared" si="8"/>
        <v>2</v>
      </c>
      <c r="AY10" s="732" t="str">
        <f t="shared" si="9"/>
        <v>( na, na, na, na, na, na)</v>
      </c>
      <c r="AZ10" s="720">
        <v>1</v>
      </c>
      <c r="BA10" s="720">
        <v>1</v>
      </c>
      <c r="BB10" s="720">
        <v>1</v>
      </c>
      <c r="BC10" s="720">
        <v>1</v>
      </c>
      <c r="BD10" s="720">
        <v>1</v>
      </c>
      <c r="BE10" s="720">
        <v>1</v>
      </c>
    </row>
    <row r="11" spans="1:57" ht="24">
      <c r="A11" s="330">
        <v>268943</v>
      </c>
      <c r="B11" s="331"/>
      <c r="C11" s="88"/>
      <c r="D11" s="340">
        <v>5</v>
      </c>
      <c r="E11" s="341" t="s">
        <v>98</v>
      </c>
      <c r="F11" s="432" t="s">
        <v>1185</v>
      </c>
      <c r="G11" s="433" t="s">
        <v>93</v>
      </c>
      <c r="H11" s="434" t="s">
        <v>98</v>
      </c>
      <c r="I11" s="434" t="s">
        <v>98</v>
      </c>
      <c r="J11" s="94">
        <v>0</v>
      </c>
      <c r="K11" s="433" t="s">
        <v>96</v>
      </c>
      <c r="L11" s="435">
        <v>5.3383834440714198E-3</v>
      </c>
      <c r="M11" s="95">
        <f>1</f>
        <v>1</v>
      </c>
      <c r="N11" s="96">
        <f t="shared" si="0"/>
        <v>2.1112106491146307</v>
      </c>
      <c r="O11" s="432" t="str">
        <f t="shared" si="1"/>
        <v>(3,4,1,1,3,4); based on datasheets, assembly manuals, own calculations</v>
      </c>
      <c r="P11" s="435" t="s">
        <v>98</v>
      </c>
      <c r="Q11" s="95">
        <f>1</f>
        <v>1</v>
      </c>
      <c r="R11" s="96">
        <f t="shared" si="2"/>
        <v>2.1112106491146307</v>
      </c>
      <c r="S11" s="432" t="str">
        <f t="shared" si="3"/>
        <v xml:space="preserve">( na, na, na, na, na, na); </v>
      </c>
      <c r="U11" s="733" t="s">
        <v>1650</v>
      </c>
      <c r="V11" s="731">
        <v>3</v>
      </c>
      <c r="W11" s="731">
        <v>4</v>
      </c>
      <c r="X11" s="731">
        <v>1</v>
      </c>
      <c r="Y11" s="731">
        <v>1</v>
      </c>
      <c r="Z11" s="731">
        <v>3</v>
      </c>
      <c r="AA11" s="731">
        <v>4</v>
      </c>
      <c r="AB11" s="719">
        <v>3</v>
      </c>
      <c r="AC11" s="720">
        <f t="shared" ref="AC11:AC26" si="10">AC$10</f>
        <v>2</v>
      </c>
      <c r="AD11" s="720">
        <f t="shared" si="4"/>
        <v>1.2788404103505406</v>
      </c>
      <c r="AE11" s="720">
        <f t="shared" si="5"/>
        <v>2.0865051432908035</v>
      </c>
      <c r="AF11" s="732" t="str">
        <f t="shared" si="6"/>
        <v>(3,4,1,1,3,4)</v>
      </c>
      <c r="AG11" s="108">
        <v>1.1000000000000001</v>
      </c>
      <c r="AH11" s="108">
        <v>1.1000000000000001</v>
      </c>
      <c r="AI11" s="108">
        <v>1</v>
      </c>
      <c r="AJ11" s="108">
        <v>1</v>
      </c>
      <c r="AK11" s="108">
        <v>1.2</v>
      </c>
      <c r="AL11" s="108">
        <v>1.1000000000000001</v>
      </c>
      <c r="AN11" s="733"/>
      <c r="AO11" s="731" t="s">
        <v>1648</v>
      </c>
      <c r="AP11" s="731" t="s">
        <v>1648</v>
      </c>
      <c r="AQ11" s="731" t="s">
        <v>1648</v>
      </c>
      <c r="AR11" s="731" t="s">
        <v>1648</v>
      </c>
      <c r="AS11" s="731" t="s">
        <v>1648</v>
      </c>
      <c r="AT11" s="731" t="s">
        <v>1648</v>
      </c>
      <c r="AU11" s="719">
        <v>3</v>
      </c>
      <c r="AV11" s="720">
        <f t="shared" ref="AV11:AV26" si="11">AV$10</f>
        <v>2</v>
      </c>
      <c r="AW11" s="720">
        <f t="shared" si="7"/>
        <v>1</v>
      </c>
      <c r="AX11" s="720">
        <f t="shared" si="8"/>
        <v>2</v>
      </c>
      <c r="AY11" s="732" t="str">
        <f t="shared" si="9"/>
        <v>( na, na, na, na, na, na)</v>
      </c>
      <c r="AZ11" s="720">
        <v>1</v>
      </c>
      <c r="BA11" s="720">
        <v>1</v>
      </c>
      <c r="BB11" s="720">
        <v>1</v>
      </c>
      <c r="BC11" s="720">
        <v>1</v>
      </c>
      <c r="BD11" s="720">
        <v>1</v>
      </c>
      <c r="BE11" s="720">
        <v>1</v>
      </c>
    </row>
    <row r="12" spans="1:57" ht="24">
      <c r="A12" s="330">
        <v>160377</v>
      </c>
      <c r="B12" s="331"/>
      <c r="C12" s="88"/>
      <c r="D12" s="340">
        <v>5</v>
      </c>
      <c r="E12" s="341" t="s">
        <v>98</v>
      </c>
      <c r="F12" s="432" t="s">
        <v>819</v>
      </c>
      <c r="G12" s="433" t="s">
        <v>93</v>
      </c>
      <c r="H12" s="434" t="s">
        <v>98</v>
      </c>
      <c r="I12" s="434" t="s">
        <v>98</v>
      </c>
      <c r="J12" s="94">
        <v>0</v>
      </c>
      <c r="K12" s="433" t="s">
        <v>96</v>
      </c>
      <c r="L12" s="435">
        <v>9.2354404303508204</v>
      </c>
      <c r="M12" s="95">
        <f>1</f>
        <v>1</v>
      </c>
      <c r="N12" s="96">
        <f t="shared" si="0"/>
        <v>2.1112106491146307</v>
      </c>
      <c r="O12" s="432" t="str">
        <f t="shared" si="1"/>
        <v>(3,3,1,1,1,4); based on datasheets, assembly manuals, own calculations</v>
      </c>
      <c r="P12" s="435">
        <v>6.56605767040746</v>
      </c>
      <c r="Q12" s="95">
        <f>1</f>
        <v>1</v>
      </c>
      <c r="R12" s="96">
        <f t="shared" si="2"/>
        <v>2.1112106491146307</v>
      </c>
      <c r="S12" s="432" t="str">
        <f t="shared" si="3"/>
        <v>(2,2,1,2,2,2); Primary data from 1-axis tracker systems installed in Italy.</v>
      </c>
      <c r="U12" s="733" t="s">
        <v>1650</v>
      </c>
      <c r="V12" s="731">
        <v>3</v>
      </c>
      <c r="W12" s="731">
        <v>3</v>
      </c>
      <c r="X12" s="731">
        <v>1</v>
      </c>
      <c r="Y12" s="731">
        <v>1</v>
      </c>
      <c r="Z12" s="731">
        <v>1</v>
      </c>
      <c r="AA12" s="731">
        <v>4</v>
      </c>
      <c r="AB12" s="719">
        <v>3</v>
      </c>
      <c r="AC12" s="720">
        <f t="shared" si="10"/>
        <v>2</v>
      </c>
      <c r="AD12" s="720">
        <f t="shared" si="4"/>
        <v>1.1541309337887979</v>
      </c>
      <c r="AE12" s="720">
        <f t="shared" si="5"/>
        <v>2.0295510948727422</v>
      </c>
      <c r="AF12" s="732" t="str">
        <f t="shared" si="6"/>
        <v>(3,3,1,1,1,4)</v>
      </c>
      <c r="AG12" s="108">
        <v>1.1000000000000001</v>
      </c>
      <c r="AH12" s="108">
        <v>1.05</v>
      </c>
      <c r="AI12" s="108">
        <v>1</v>
      </c>
      <c r="AJ12" s="108">
        <v>1</v>
      </c>
      <c r="AK12" s="108">
        <v>1</v>
      </c>
      <c r="AL12" s="108">
        <v>1.1000000000000001</v>
      </c>
      <c r="AN12" s="733" t="s">
        <v>1651</v>
      </c>
      <c r="AO12" s="731">
        <v>2</v>
      </c>
      <c r="AP12" s="731">
        <v>2</v>
      </c>
      <c r="AQ12" s="731">
        <v>1</v>
      </c>
      <c r="AR12" s="731">
        <v>2</v>
      </c>
      <c r="AS12" s="731">
        <v>2</v>
      </c>
      <c r="AT12" s="731">
        <v>2</v>
      </c>
      <c r="AU12" s="719">
        <v>3</v>
      </c>
      <c r="AV12" s="720">
        <f t="shared" si="11"/>
        <v>2</v>
      </c>
      <c r="AW12" s="720" t="e">
        <f t="shared" si="7"/>
        <v>#NUM!</v>
      </c>
      <c r="AX12" s="720" t="e">
        <f t="shared" si="8"/>
        <v>#NUM!</v>
      </c>
      <c r="AY12" s="732" t="str">
        <f t="shared" si="9"/>
        <v>(2,2,1,2,2,2)</v>
      </c>
      <c r="AZ12" s="720">
        <v>1.05</v>
      </c>
      <c r="BA12" s="720">
        <v>1.02</v>
      </c>
      <c r="BB12" s="720">
        <v>1</v>
      </c>
      <c r="BC12" s="720">
        <v>1.01</v>
      </c>
      <c r="BD12" s="720">
        <v>0</v>
      </c>
      <c r="BE12" s="720">
        <v>1.02</v>
      </c>
    </row>
    <row r="13" spans="1:57" ht="24">
      <c r="A13" s="330">
        <v>269441</v>
      </c>
      <c r="B13" s="331"/>
      <c r="C13" s="88"/>
      <c r="D13" s="340">
        <v>5</v>
      </c>
      <c r="E13" s="341" t="s">
        <v>98</v>
      </c>
      <c r="F13" s="432" t="s">
        <v>1652</v>
      </c>
      <c r="G13" s="433" t="s">
        <v>93</v>
      </c>
      <c r="H13" s="434" t="s">
        <v>98</v>
      </c>
      <c r="I13" s="434" t="s">
        <v>98</v>
      </c>
      <c r="J13" s="94">
        <v>0</v>
      </c>
      <c r="K13" s="433" t="s">
        <v>96</v>
      </c>
      <c r="L13" s="435" t="s">
        <v>98</v>
      </c>
      <c r="M13" s="95">
        <f>1</f>
        <v>1</v>
      </c>
      <c r="N13" s="96">
        <f t="shared" si="0"/>
        <v>2.1112106491146307</v>
      </c>
      <c r="O13" s="432" t="str">
        <f t="shared" si="1"/>
        <v xml:space="preserve">( na, na, na, na, na, na); </v>
      </c>
      <c r="P13" s="435">
        <v>0.83473150861025502</v>
      </c>
      <c r="Q13" s="95">
        <f>1</f>
        <v>1</v>
      </c>
      <c r="R13" s="96">
        <f t="shared" si="2"/>
        <v>2.1112106491146307</v>
      </c>
      <c r="S13" s="432" t="str">
        <f t="shared" si="3"/>
        <v>(3,2,1,2,3,2); Primary data from 1-axis tracker systems installed in Italy.</v>
      </c>
      <c r="U13" s="733"/>
      <c r="V13" s="731" t="s">
        <v>1648</v>
      </c>
      <c r="W13" s="731" t="s">
        <v>1648</v>
      </c>
      <c r="X13" s="731" t="s">
        <v>1648</v>
      </c>
      <c r="Y13" s="731" t="s">
        <v>1648</v>
      </c>
      <c r="Z13" s="731" t="s">
        <v>1648</v>
      </c>
      <c r="AA13" s="731" t="s">
        <v>1648</v>
      </c>
      <c r="AB13" s="719">
        <v>3</v>
      </c>
      <c r="AC13" s="720">
        <f t="shared" si="10"/>
        <v>2</v>
      </c>
      <c r="AD13" s="720">
        <f t="shared" si="4"/>
        <v>1</v>
      </c>
      <c r="AE13" s="720">
        <f t="shared" si="5"/>
        <v>2</v>
      </c>
      <c r="AF13" s="732" t="str">
        <f t="shared" si="6"/>
        <v>( na, na, na, na, na, na)</v>
      </c>
      <c r="AG13" s="108">
        <v>1</v>
      </c>
      <c r="AH13" s="108">
        <v>1</v>
      </c>
      <c r="AI13" s="108">
        <v>1</v>
      </c>
      <c r="AJ13" s="108">
        <v>1</v>
      </c>
      <c r="AK13" s="108">
        <v>1</v>
      </c>
      <c r="AL13" s="108">
        <v>1</v>
      </c>
      <c r="AN13" s="733" t="s">
        <v>1651</v>
      </c>
      <c r="AO13" s="731">
        <v>3</v>
      </c>
      <c r="AP13" s="731">
        <v>2</v>
      </c>
      <c r="AQ13" s="731">
        <v>1</v>
      </c>
      <c r="AR13" s="731">
        <v>2</v>
      </c>
      <c r="AS13" s="731">
        <v>3</v>
      </c>
      <c r="AT13" s="731">
        <v>2</v>
      </c>
      <c r="AU13" s="719">
        <v>3</v>
      </c>
      <c r="AV13" s="720">
        <f t="shared" si="11"/>
        <v>2</v>
      </c>
      <c r="AW13" s="720">
        <f t="shared" si="7"/>
        <v>1.2310488011355714</v>
      </c>
      <c r="AX13" s="720">
        <f t="shared" si="8"/>
        <v>2.0619344369698154</v>
      </c>
      <c r="AY13" s="732" t="str">
        <f t="shared" si="9"/>
        <v>(3,2,1,2,3,2)</v>
      </c>
      <c r="AZ13" s="720">
        <v>1.1000000000000001</v>
      </c>
      <c r="BA13" s="720">
        <v>1.02</v>
      </c>
      <c r="BB13" s="720">
        <v>1</v>
      </c>
      <c r="BC13" s="720">
        <v>1.01</v>
      </c>
      <c r="BD13" s="720">
        <v>1.2</v>
      </c>
      <c r="BE13" s="720">
        <v>1.02</v>
      </c>
    </row>
    <row r="14" spans="1:57" ht="24">
      <c r="A14" s="330">
        <v>160373</v>
      </c>
      <c r="B14" s="331"/>
      <c r="C14" s="88"/>
      <c r="D14" s="340">
        <v>5</v>
      </c>
      <c r="E14" s="341" t="s">
        <v>98</v>
      </c>
      <c r="F14" s="432" t="s">
        <v>1399</v>
      </c>
      <c r="G14" s="433" t="s">
        <v>93</v>
      </c>
      <c r="H14" s="434" t="s">
        <v>98</v>
      </c>
      <c r="I14" s="434" t="s">
        <v>98</v>
      </c>
      <c r="J14" s="94">
        <v>0</v>
      </c>
      <c r="K14" s="433" t="s">
        <v>96</v>
      </c>
      <c r="L14" s="435">
        <v>0.20434145516473401</v>
      </c>
      <c r="M14" s="95">
        <f>1</f>
        <v>1</v>
      </c>
      <c r="N14" s="96">
        <f t="shared" si="0"/>
        <v>2.1112106491146307</v>
      </c>
      <c r="O14" s="432" t="str">
        <f t="shared" si="1"/>
        <v>(2,2,1,1,1,2); based on datasheets, assembly manuals, own calculations</v>
      </c>
      <c r="P14" s="435" t="s">
        <v>98</v>
      </c>
      <c r="Q14" s="95">
        <f>1</f>
        <v>1</v>
      </c>
      <c r="R14" s="96">
        <f t="shared" si="2"/>
        <v>2.1112106491146307</v>
      </c>
      <c r="S14" s="432" t="str">
        <f t="shared" si="3"/>
        <v xml:space="preserve">( na, na, na, na, na, na); </v>
      </c>
      <c r="U14" s="733" t="s">
        <v>1650</v>
      </c>
      <c r="V14" s="731">
        <v>2</v>
      </c>
      <c r="W14" s="731">
        <v>2</v>
      </c>
      <c r="X14" s="731">
        <v>1</v>
      </c>
      <c r="Y14" s="731">
        <v>1</v>
      </c>
      <c r="Z14" s="731">
        <v>1</v>
      </c>
      <c r="AA14" s="731">
        <v>2</v>
      </c>
      <c r="AB14" s="719">
        <v>3</v>
      </c>
      <c r="AC14" s="720">
        <f t="shared" si="10"/>
        <v>2</v>
      </c>
      <c r="AD14" s="720">
        <f t="shared" si="4"/>
        <v>1.0578687518568433</v>
      </c>
      <c r="AE14" s="720">
        <f t="shared" si="5"/>
        <v>2.0045634997668218</v>
      </c>
      <c r="AF14" s="732" t="str">
        <f t="shared" si="6"/>
        <v>(2,2,1,1,1,2)</v>
      </c>
      <c r="AG14" s="108">
        <v>1.05</v>
      </c>
      <c r="AH14" s="108">
        <v>1.02</v>
      </c>
      <c r="AI14" s="108">
        <v>1</v>
      </c>
      <c r="AJ14" s="108">
        <v>1</v>
      </c>
      <c r="AK14" s="108">
        <v>1</v>
      </c>
      <c r="AL14" s="108">
        <v>1.02</v>
      </c>
      <c r="AN14" s="733"/>
      <c r="AO14" s="731" t="s">
        <v>1648</v>
      </c>
      <c r="AP14" s="731" t="s">
        <v>1648</v>
      </c>
      <c r="AQ14" s="731" t="s">
        <v>1648</v>
      </c>
      <c r="AR14" s="731" t="s">
        <v>1648</v>
      </c>
      <c r="AS14" s="731" t="s">
        <v>1648</v>
      </c>
      <c r="AT14" s="731" t="s">
        <v>1648</v>
      </c>
      <c r="AU14" s="719">
        <v>3</v>
      </c>
      <c r="AV14" s="720">
        <f t="shared" si="11"/>
        <v>2</v>
      </c>
      <c r="AW14" s="720">
        <f t="shared" si="7"/>
        <v>1</v>
      </c>
      <c r="AX14" s="720">
        <f t="shared" si="8"/>
        <v>2</v>
      </c>
      <c r="AY14" s="732" t="str">
        <f t="shared" si="9"/>
        <v>( na, na, na, na, na, na)</v>
      </c>
      <c r="AZ14" s="720">
        <v>1</v>
      </c>
      <c r="BA14" s="720">
        <v>1</v>
      </c>
      <c r="BB14" s="720">
        <v>1</v>
      </c>
      <c r="BC14" s="720">
        <v>1</v>
      </c>
      <c r="BD14" s="720">
        <v>1</v>
      </c>
      <c r="BE14" s="720">
        <v>1</v>
      </c>
    </row>
    <row r="15" spans="1:57" ht="24">
      <c r="A15" s="330">
        <v>267940</v>
      </c>
      <c r="B15" s="331"/>
      <c r="C15" s="88"/>
      <c r="D15" s="340">
        <v>5</v>
      </c>
      <c r="E15" s="341" t="s">
        <v>98</v>
      </c>
      <c r="F15" s="432" t="s">
        <v>1653</v>
      </c>
      <c r="G15" s="433" t="s">
        <v>93</v>
      </c>
      <c r="H15" s="434" t="s">
        <v>98</v>
      </c>
      <c r="I15" s="434" t="s">
        <v>98</v>
      </c>
      <c r="J15" s="94">
        <v>0</v>
      </c>
      <c r="K15" s="433" t="s">
        <v>96</v>
      </c>
      <c r="L15" s="435" t="s">
        <v>98</v>
      </c>
      <c r="M15" s="95">
        <f>1</f>
        <v>1</v>
      </c>
      <c r="N15" s="96">
        <f t="shared" si="0"/>
        <v>2.1112106491146307</v>
      </c>
      <c r="O15" s="432" t="str">
        <f t="shared" si="1"/>
        <v xml:space="preserve">( na, na, na, na, na, na); </v>
      </c>
      <c r="P15" s="435">
        <v>3.18576770853084E-2</v>
      </c>
      <c r="Q15" s="95">
        <f>1</f>
        <v>1</v>
      </c>
      <c r="R15" s="96">
        <f t="shared" si="2"/>
        <v>2.1112106491146307</v>
      </c>
      <c r="S15" s="432" t="str">
        <f t="shared" si="3"/>
        <v>(3,2,1,2,4,2); Primary data from 1-axis tracker systems installed in Italy.</v>
      </c>
      <c r="U15" s="733"/>
      <c r="V15" s="731" t="s">
        <v>1648</v>
      </c>
      <c r="W15" s="731" t="s">
        <v>1648</v>
      </c>
      <c r="X15" s="731" t="s">
        <v>1648</v>
      </c>
      <c r="Y15" s="731" t="s">
        <v>1648</v>
      </c>
      <c r="Z15" s="731" t="s">
        <v>1648</v>
      </c>
      <c r="AA15" s="731" t="s">
        <v>1648</v>
      </c>
      <c r="AB15" s="719">
        <v>3</v>
      </c>
      <c r="AC15" s="720">
        <f t="shared" si="10"/>
        <v>2</v>
      </c>
      <c r="AD15" s="720">
        <f t="shared" si="4"/>
        <v>1</v>
      </c>
      <c r="AE15" s="720">
        <f t="shared" si="5"/>
        <v>2</v>
      </c>
      <c r="AF15" s="732" t="str">
        <f t="shared" si="6"/>
        <v>( na, na, na, na, na, na)</v>
      </c>
      <c r="AG15" s="108">
        <v>1</v>
      </c>
      <c r="AH15" s="108">
        <v>1</v>
      </c>
      <c r="AI15" s="108">
        <v>1</v>
      </c>
      <c r="AJ15" s="108">
        <v>1</v>
      </c>
      <c r="AK15" s="108">
        <v>1</v>
      </c>
      <c r="AL15" s="108">
        <v>1</v>
      </c>
      <c r="AN15" s="733" t="s">
        <v>1651</v>
      </c>
      <c r="AO15" s="731">
        <v>3</v>
      </c>
      <c r="AP15" s="731">
        <v>2</v>
      </c>
      <c r="AQ15" s="731">
        <v>1</v>
      </c>
      <c r="AR15" s="731">
        <v>2</v>
      </c>
      <c r="AS15" s="731">
        <v>4</v>
      </c>
      <c r="AT15" s="731">
        <v>2</v>
      </c>
      <c r="AU15" s="719">
        <v>3</v>
      </c>
      <c r="AV15" s="720">
        <f t="shared" si="11"/>
        <v>2</v>
      </c>
      <c r="AW15" s="720">
        <f t="shared" si="7"/>
        <v>1.5182759989551502</v>
      </c>
      <c r="AX15" s="720">
        <f t="shared" si="8"/>
        <v>2.2461348825453964</v>
      </c>
      <c r="AY15" s="732" t="str">
        <f t="shared" si="9"/>
        <v>(3,2,1,2,4,2)</v>
      </c>
      <c r="AZ15" s="720">
        <v>1.1000000000000001</v>
      </c>
      <c r="BA15" s="720">
        <v>1.02</v>
      </c>
      <c r="BB15" s="720">
        <v>1</v>
      </c>
      <c r="BC15" s="720">
        <v>1.01</v>
      </c>
      <c r="BD15" s="720">
        <v>1.5</v>
      </c>
      <c r="BE15" s="720">
        <v>1.02</v>
      </c>
    </row>
    <row r="16" spans="1:57" ht="24">
      <c r="A16" s="330">
        <v>268447</v>
      </c>
      <c r="B16" s="331"/>
      <c r="C16" s="88"/>
      <c r="D16" s="340">
        <v>5</v>
      </c>
      <c r="E16" s="341" t="s">
        <v>98</v>
      </c>
      <c r="F16" s="432" t="s">
        <v>1211</v>
      </c>
      <c r="G16" s="433" t="s">
        <v>93</v>
      </c>
      <c r="H16" s="434" t="s">
        <v>98</v>
      </c>
      <c r="I16" s="434" t="s">
        <v>98</v>
      </c>
      <c r="J16" s="94">
        <v>0</v>
      </c>
      <c r="K16" s="433" t="s">
        <v>96</v>
      </c>
      <c r="L16" s="435">
        <f>5/(27*2)</f>
        <v>9.2592592592592587E-2</v>
      </c>
      <c r="M16" s="95">
        <f>1</f>
        <v>1</v>
      </c>
      <c r="N16" s="96">
        <f t="shared" si="0"/>
        <v>2.1112106491146307</v>
      </c>
      <c r="O16" s="432" t="str">
        <f t="shared" si="1"/>
        <v>(2,2,2,2,3,5); estimated</v>
      </c>
      <c r="P16" s="435">
        <f>L16</f>
        <v>9.2592592592592587E-2</v>
      </c>
      <c r="Q16" s="95">
        <f>1</f>
        <v>1</v>
      </c>
      <c r="R16" s="96">
        <f t="shared" si="2"/>
        <v>2.1112106491146307</v>
      </c>
      <c r="S16" s="432" t="str">
        <f t="shared" si="3"/>
        <v>(2,1,1,1,1,1); estimated value</v>
      </c>
      <c r="U16" s="733" t="s">
        <v>1654</v>
      </c>
      <c r="V16" s="731">
        <v>2</v>
      </c>
      <c r="W16" s="731">
        <v>2</v>
      </c>
      <c r="X16" s="731">
        <v>2</v>
      </c>
      <c r="Y16" s="731">
        <v>2</v>
      </c>
      <c r="Z16" s="731">
        <v>3</v>
      </c>
      <c r="AA16" s="731">
        <v>5</v>
      </c>
      <c r="AB16" s="719">
        <v>3</v>
      </c>
      <c r="AC16" s="720">
        <f t="shared" si="10"/>
        <v>2</v>
      </c>
      <c r="AD16" s="720">
        <f t="shared" si="4"/>
        <v>1.3034375080988778</v>
      </c>
      <c r="AE16" s="720">
        <f t="shared" si="5"/>
        <v>2.1002966874814577</v>
      </c>
      <c r="AF16" s="732" t="str">
        <f t="shared" si="6"/>
        <v>(2,2,2,2,3,5)</v>
      </c>
      <c r="AG16" s="108">
        <v>1.05</v>
      </c>
      <c r="AH16" s="108">
        <v>1.02</v>
      </c>
      <c r="AI16" s="108">
        <v>1.03</v>
      </c>
      <c r="AJ16" s="108">
        <v>1.01</v>
      </c>
      <c r="AK16" s="108">
        <v>1.2</v>
      </c>
      <c r="AL16" s="108">
        <v>1.2</v>
      </c>
      <c r="AN16" s="733" t="s">
        <v>1655</v>
      </c>
      <c r="AO16" s="731">
        <v>2</v>
      </c>
      <c r="AP16" s="731">
        <v>1</v>
      </c>
      <c r="AQ16" s="731">
        <v>1</v>
      </c>
      <c r="AR16" s="731">
        <v>1</v>
      </c>
      <c r="AS16" s="731">
        <v>1</v>
      </c>
      <c r="AT16" s="731">
        <v>1</v>
      </c>
      <c r="AU16" s="719">
        <v>3</v>
      </c>
      <c r="AV16" s="720">
        <f t="shared" si="11"/>
        <v>2</v>
      </c>
      <c r="AW16" s="720">
        <f t="shared" si="7"/>
        <v>1.05</v>
      </c>
      <c r="AX16" s="720">
        <f t="shared" si="8"/>
        <v>2.0034330064319432</v>
      </c>
      <c r="AY16" s="732" t="str">
        <f t="shared" si="9"/>
        <v>(2,1,1,1,1,1)</v>
      </c>
      <c r="AZ16" s="720">
        <v>1.05</v>
      </c>
      <c r="BA16" s="720">
        <v>1</v>
      </c>
      <c r="BB16" s="720">
        <v>1</v>
      </c>
      <c r="BC16" s="720">
        <v>1</v>
      </c>
      <c r="BD16" s="720">
        <v>1</v>
      </c>
      <c r="BE16" s="720">
        <v>1</v>
      </c>
    </row>
    <row r="17" spans="1:57" ht="24">
      <c r="A17" s="330">
        <v>269429</v>
      </c>
      <c r="B17" s="331"/>
      <c r="C17" s="88"/>
      <c r="D17" s="340">
        <v>5</v>
      </c>
      <c r="E17" s="341" t="s">
        <v>98</v>
      </c>
      <c r="F17" s="432" t="s">
        <v>1656</v>
      </c>
      <c r="G17" s="433" t="s">
        <v>93</v>
      </c>
      <c r="H17" s="434" t="s">
        <v>98</v>
      </c>
      <c r="I17" s="434" t="s">
        <v>98</v>
      </c>
      <c r="J17" s="94">
        <v>0</v>
      </c>
      <c r="K17" s="433" t="s">
        <v>96</v>
      </c>
      <c r="L17" s="435" t="s">
        <v>98</v>
      </c>
      <c r="M17" s="95">
        <f>1</f>
        <v>1</v>
      </c>
      <c r="N17" s="96">
        <f t="shared" si="0"/>
        <v>2.1112106491146307</v>
      </c>
      <c r="O17" s="432" t="str">
        <f t="shared" si="1"/>
        <v xml:space="preserve">( na, na, na, na, na, na); </v>
      </c>
      <c r="P17" s="435">
        <v>3.7309517250919101E-4</v>
      </c>
      <c r="Q17" s="95">
        <f>1</f>
        <v>1</v>
      </c>
      <c r="R17" s="96">
        <f t="shared" si="2"/>
        <v>2.1112106491146307</v>
      </c>
      <c r="S17" s="432" t="str">
        <f t="shared" si="3"/>
        <v>(3,2,1,2,2,2); Primary data from 1-axis tracker systems installed in Italy.</v>
      </c>
      <c r="U17" s="733"/>
      <c r="V17" s="731" t="s">
        <v>1648</v>
      </c>
      <c r="W17" s="731" t="s">
        <v>1648</v>
      </c>
      <c r="X17" s="731" t="s">
        <v>1648</v>
      </c>
      <c r="Y17" s="731" t="s">
        <v>1648</v>
      </c>
      <c r="Z17" s="731" t="s">
        <v>1648</v>
      </c>
      <c r="AA17" s="731" t="s">
        <v>1648</v>
      </c>
      <c r="AB17" s="719">
        <v>2</v>
      </c>
      <c r="AC17" s="720">
        <f t="shared" si="10"/>
        <v>2</v>
      </c>
      <c r="AD17" s="720">
        <f t="shared" si="4"/>
        <v>1</v>
      </c>
      <c r="AE17" s="720">
        <f t="shared" si="5"/>
        <v>2</v>
      </c>
      <c r="AF17" s="732" t="str">
        <f t="shared" si="6"/>
        <v>( na, na, na, na, na, na)</v>
      </c>
      <c r="AG17" s="108">
        <v>1</v>
      </c>
      <c r="AH17" s="108">
        <v>1</v>
      </c>
      <c r="AI17" s="108">
        <v>1</v>
      </c>
      <c r="AJ17" s="108">
        <v>1</v>
      </c>
      <c r="AK17" s="108">
        <v>1</v>
      </c>
      <c r="AL17" s="108">
        <v>1</v>
      </c>
      <c r="AN17" s="733" t="s">
        <v>1651</v>
      </c>
      <c r="AO17" s="731">
        <v>3</v>
      </c>
      <c r="AP17" s="731">
        <v>2</v>
      </c>
      <c r="AQ17" s="731">
        <v>1</v>
      </c>
      <c r="AR17" s="731">
        <v>2</v>
      </c>
      <c r="AS17" s="731">
        <v>2</v>
      </c>
      <c r="AT17" s="731">
        <v>2</v>
      </c>
      <c r="AU17" s="719">
        <v>2</v>
      </c>
      <c r="AV17" s="720">
        <f t="shared" si="11"/>
        <v>2</v>
      </c>
      <c r="AW17" s="720" t="e">
        <f t="shared" si="7"/>
        <v>#NUM!</v>
      </c>
      <c r="AX17" s="720" t="e">
        <f t="shared" si="8"/>
        <v>#NUM!</v>
      </c>
      <c r="AY17" s="732" t="str">
        <f t="shared" si="9"/>
        <v>(3,2,1,2,2,2)</v>
      </c>
      <c r="AZ17" s="720">
        <v>1.1000000000000001</v>
      </c>
      <c r="BA17" s="720">
        <v>1.02</v>
      </c>
      <c r="BB17" s="720">
        <v>1</v>
      </c>
      <c r="BC17" s="720">
        <v>1.01</v>
      </c>
      <c r="BD17" s="720">
        <v>0</v>
      </c>
      <c r="BE17" s="720">
        <v>1.02</v>
      </c>
    </row>
    <row r="18" spans="1:57" ht="24">
      <c r="A18" s="330">
        <v>160379</v>
      </c>
      <c r="B18" s="331"/>
      <c r="C18" s="88"/>
      <c r="D18" s="340">
        <v>5</v>
      </c>
      <c r="E18" s="341" t="s">
        <v>98</v>
      </c>
      <c r="F18" s="432" t="s">
        <v>1174</v>
      </c>
      <c r="G18" s="433" t="s">
        <v>93</v>
      </c>
      <c r="H18" s="434" t="s">
        <v>98</v>
      </c>
      <c r="I18" s="434" t="s">
        <v>98</v>
      </c>
      <c r="J18" s="94">
        <v>0</v>
      </c>
      <c r="K18" s="433" t="s">
        <v>96</v>
      </c>
      <c r="L18" s="435" t="s">
        <v>98</v>
      </c>
      <c r="M18" s="95">
        <f>1</f>
        <v>1</v>
      </c>
      <c r="N18" s="96">
        <f t="shared" si="0"/>
        <v>2.1112106491146307</v>
      </c>
      <c r="O18" s="432" t="str">
        <f t="shared" si="1"/>
        <v xml:space="preserve">( na, na, na, na, na, na); </v>
      </c>
      <c r="P18" s="435">
        <v>2.1522693950229599E-2</v>
      </c>
      <c r="Q18" s="95">
        <f>1</f>
        <v>1</v>
      </c>
      <c r="R18" s="96">
        <f t="shared" si="2"/>
        <v>2.1112106491146307</v>
      </c>
      <c r="S18" s="432" t="str">
        <f t="shared" si="3"/>
        <v>(2,2,1,1,1,2); Primary data from 1-axis tracker systems installed in Italy.</v>
      </c>
      <c r="U18" s="733"/>
      <c r="V18" s="731" t="s">
        <v>1648</v>
      </c>
      <c r="W18" s="731" t="s">
        <v>1648</v>
      </c>
      <c r="X18" s="731" t="s">
        <v>1648</v>
      </c>
      <c r="Y18" s="731" t="s">
        <v>1648</v>
      </c>
      <c r="Z18" s="731" t="s">
        <v>1648</v>
      </c>
      <c r="AA18" s="731" t="s">
        <v>1648</v>
      </c>
      <c r="AB18" s="719">
        <v>3</v>
      </c>
      <c r="AC18" s="720">
        <f t="shared" si="10"/>
        <v>2</v>
      </c>
      <c r="AD18" s="720">
        <f t="shared" si="4"/>
        <v>1</v>
      </c>
      <c r="AE18" s="720">
        <f t="shared" si="5"/>
        <v>2</v>
      </c>
      <c r="AF18" s="732" t="str">
        <f t="shared" si="6"/>
        <v>( na, na, na, na, na, na)</v>
      </c>
      <c r="AG18" s="108">
        <v>1</v>
      </c>
      <c r="AH18" s="108">
        <v>1</v>
      </c>
      <c r="AI18" s="108">
        <v>1</v>
      </c>
      <c r="AJ18" s="108">
        <v>1</v>
      </c>
      <c r="AK18" s="108">
        <v>1</v>
      </c>
      <c r="AL18" s="108">
        <v>1</v>
      </c>
      <c r="AN18" s="733" t="s">
        <v>1651</v>
      </c>
      <c r="AO18" s="731">
        <v>2</v>
      </c>
      <c r="AP18" s="731">
        <v>2</v>
      </c>
      <c r="AQ18" s="731">
        <v>1</v>
      </c>
      <c r="AR18" s="731">
        <v>1</v>
      </c>
      <c r="AS18" s="731">
        <v>1</v>
      </c>
      <c r="AT18" s="731">
        <v>2</v>
      </c>
      <c r="AU18" s="719">
        <v>3</v>
      </c>
      <c r="AV18" s="720">
        <f t="shared" si="11"/>
        <v>2</v>
      </c>
      <c r="AW18" s="720">
        <f t="shared" si="7"/>
        <v>1.0578687518568433</v>
      </c>
      <c r="AX18" s="720">
        <f t="shared" si="8"/>
        <v>2.0045634997668218</v>
      </c>
      <c r="AY18" s="732" t="str">
        <f t="shared" si="9"/>
        <v>(2,2,1,1,1,2)</v>
      </c>
      <c r="AZ18" s="720">
        <v>1.05</v>
      </c>
      <c r="BA18" s="720">
        <v>1.02</v>
      </c>
      <c r="BB18" s="720">
        <v>1</v>
      </c>
      <c r="BC18" s="720">
        <v>1</v>
      </c>
      <c r="BD18" s="720">
        <v>1</v>
      </c>
      <c r="BE18" s="720">
        <v>1.02</v>
      </c>
    </row>
    <row r="19" spans="1:57" ht="24">
      <c r="A19" s="330">
        <v>265423</v>
      </c>
      <c r="B19" s="331"/>
      <c r="C19" s="88"/>
      <c r="D19" s="340">
        <v>5</v>
      </c>
      <c r="E19" s="341" t="s">
        <v>98</v>
      </c>
      <c r="F19" s="432" t="s">
        <v>1657</v>
      </c>
      <c r="G19" s="433" t="s">
        <v>93</v>
      </c>
      <c r="H19" s="434" t="s">
        <v>98</v>
      </c>
      <c r="I19" s="434" t="s">
        <v>98</v>
      </c>
      <c r="J19" s="94">
        <v>0</v>
      </c>
      <c r="K19" s="433" t="s">
        <v>96</v>
      </c>
      <c r="L19" s="435" t="s">
        <v>98</v>
      </c>
      <c r="M19" s="95">
        <f>1</f>
        <v>1</v>
      </c>
      <c r="N19" s="96">
        <f t="shared" si="0"/>
        <v>2.1112106491146307</v>
      </c>
      <c r="O19" s="432" t="str">
        <f t="shared" si="1"/>
        <v xml:space="preserve">( na, na, na, na, na, na); </v>
      </c>
      <c r="P19" s="435">
        <v>6.0532576735020703E-3</v>
      </c>
      <c r="Q19" s="95">
        <f>1</f>
        <v>1</v>
      </c>
      <c r="R19" s="96">
        <f t="shared" si="2"/>
        <v>2.1112106491146307</v>
      </c>
      <c r="S19" s="432" t="str">
        <f t="shared" si="3"/>
        <v>(2,2,1,1,3,2); Primary data from 1-axis tracker systems installed in Italy.</v>
      </c>
      <c r="U19" s="733"/>
      <c r="V19" s="731" t="s">
        <v>1648</v>
      </c>
      <c r="W19" s="731" t="s">
        <v>1648</v>
      </c>
      <c r="X19" s="731" t="s">
        <v>1648</v>
      </c>
      <c r="Y19" s="731" t="s">
        <v>1648</v>
      </c>
      <c r="Z19" s="731" t="s">
        <v>1648</v>
      </c>
      <c r="AA19" s="731" t="s">
        <v>1648</v>
      </c>
      <c r="AB19" s="719">
        <v>3</v>
      </c>
      <c r="AC19" s="720">
        <f t="shared" si="10"/>
        <v>2</v>
      </c>
      <c r="AD19" s="720">
        <f t="shared" si="4"/>
        <v>1</v>
      </c>
      <c r="AE19" s="720">
        <f t="shared" si="5"/>
        <v>2</v>
      </c>
      <c r="AF19" s="732" t="str">
        <f t="shared" si="6"/>
        <v>( na, na, na, na, na, na)</v>
      </c>
      <c r="AG19" s="108">
        <v>1</v>
      </c>
      <c r="AH19" s="108">
        <v>1</v>
      </c>
      <c r="AI19" s="108">
        <v>1</v>
      </c>
      <c r="AJ19" s="108">
        <v>1</v>
      </c>
      <c r="AK19" s="108">
        <v>1</v>
      </c>
      <c r="AL19" s="108">
        <v>1</v>
      </c>
      <c r="AN19" s="733" t="s">
        <v>1651</v>
      </c>
      <c r="AO19" s="731">
        <v>2</v>
      </c>
      <c r="AP19" s="731">
        <v>2</v>
      </c>
      <c r="AQ19" s="731">
        <v>1</v>
      </c>
      <c r="AR19" s="731">
        <v>1</v>
      </c>
      <c r="AS19" s="731">
        <v>3</v>
      </c>
      <c r="AT19" s="731">
        <v>2</v>
      </c>
      <c r="AU19" s="719">
        <v>3</v>
      </c>
      <c r="AV19" s="720">
        <f t="shared" si="11"/>
        <v>2</v>
      </c>
      <c r="AW19" s="720">
        <f t="shared" si="7"/>
        <v>1.2102214383667471</v>
      </c>
      <c r="AX19" s="720">
        <f t="shared" si="8"/>
        <v>2.0522341264309905</v>
      </c>
      <c r="AY19" s="732" t="str">
        <f t="shared" si="9"/>
        <v>(2,2,1,1,3,2)</v>
      </c>
      <c r="AZ19" s="720">
        <v>1.05</v>
      </c>
      <c r="BA19" s="720">
        <v>1.02</v>
      </c>
      <c r="BB19" s="720">
        <v>1</v>
      </c>
      <c r="BC19" s="720">
        <v>1</v>
      </c>
      <c r="BD19" s="720">
        <v>1.2</v>
      </c>
      <c r="BE19" s="720">
        <v>1.02</v>
      </c>
    </row>
    <row r="20" spans="1:57" ht="24">
      <c r="A20" s="330">
        <v>269355</v>
      </c>
      <c r="B20" s="331" t="s">
        <v>1619</v>
      </c>
      <c r="C20" s="88"/>
      <c r="D20" s="340">
        <v>5</v>
      </c>
      <c r="E20" s="341" t="s">
        <v>98</v>
      </c>
      <c r="F20" s="432" t="s">
        <v>1620</v>
      </c>
      <c r="G20" s="433" t="s">
        <v>93</v>
      </c>
      <c r="H20" s="434" t="s">
        <v>98</v>
      </c>
      <c r="I20" s="434" t="s">
        <v>98</v>
      </c>
      <c r="J20" s="94">
        <v>0</v>
      </c>
      <c r="K20" s="433" t="s">
        <v>96</v>
      </c>
      <c r="L20" s="435">
        <v>0</v>
      </c>
      <c r="M20" s="95">
        <f>1</f>
        <v>1</v>
      </c>
      <c r="N20" s="96">
        <f t="shared" si="0"/>
        <v>2.1112106491146307</v>
      </c>
      <c r="O20" s="432" t="str">
        <f t="shared" si="1"/>
        <v>(4,3,1,1,3,4); based on datasheets, assembly manuals, own calculations</v>
      </c>
      <c r="P20" s="435" t="s">
        <v>98</v>
      </c>
      <c r="Q20" s="95">
        <f>1</f>
        <v>1</v>
      </c>
      <c r="R20" s="96">
        <f t="shared" si="2"/>
        <v>2.1112106491146307</v>
      </c>
      <c r="S20" s="432" t="str">
        <f t="shared" si="3"/>
        <v xml:space="preserve">( na, na, na, na, na, na); </v>
      </c>
      <c r="U20" s="733" t="s">
        <v>1650</v>
      </c>
      <c r="V20" s="731">
        <v>4</v>
      </c>
      <c r="W20" s="731">
        <v>3</v>
      </c>
      <c r="X20" s="731">
        <v>1</v>
      </c>
      <c r="Y20" s="731">
        <v>1</v>
      </c>
      <c r="Z20" s="731">
        <v>3</v>
      </c>
      <c r="AA20" s="731">
        <v>4</v>
      </c>
      <c r="AB20" s="719">
        <v>3</v>
      </c>
      <c r="AC20" s="720">
        <f t="shared" si="10"/>
        <v>2</v>
      </c>
      <c r="AD20" s="720">
        <f t="shared" si="4"/>
        <v>1.3220579299510793</v>
      </c>
      <c r="AE20" s="720">
        <f t="shared" si="5"/>
        <v>2.1112106491146307</v>
      </c>
      <c r="AF20" s="732" t="str">
        <f t="shared" si="6"/>
        <v>(4,3,1,1,3,4)</v>
      </c>
      <c r="AG20" s="108">
        <v>1.2</v>
      </c>
      <c r="AH20" s="108">
        <v>1.05</v>
      </c>
      <c r="AI20" s="108">
        <v>1</v>
      </c>
      <c r="AJ20" s="108">
        <v>1</v>
      </c>
      <c r="AK20" s="108">
        <v>1.2</v>
      </c>
      <c r="AL20" s="108">
        <v>1.1000000000000001</v>
      </c>
      <c r="AN20" s="733"/>
      <c r="AO20" s="731" t="s">
        <v>1648</v>
      </c>
      <c r="AP20" s="731" t="s">
        <v>1648</v>
      </c>
      <c r="AQ20" s="731" t="s">
        <v>1648</v>
      </c>
      <c r="AR20" s="731" t="s">
        <v>1648</v>
      </c>
      <c r="AS20" s="731" t="s">
        <v>1648</v>
      </c>
      <c r="AT20" s="731" t="s">
        <v>1648</v>
      </c>
      <c r="AU20" s="719">
        <v>3</v>
      </c>
      <c r="AV20" s="720">
        <f t="shared" si="11"/>
        <v>2</v>
      </c>
      <c r="AW20" s="720">
        <f t="shared" si="7"/>
        <v>1</v>
      </c>
      <c r="AX20" s="720">
        <f t="shared" si="8"/>
        <v>2</v>
      </c>
      <c r="AY20" s="732" t="str">
        <f t="shared" si="9"/>
        <v>( na, na, na, na, na, na)</v>
      </c>
      <c r="AZ20" s="720">
        <v>1</v>
      </c>
      <c r="BA20" s="720">
        <v>1</v>
      </c>
      <c r="BB20" s="720">
        <v>1</v>
      </c>
      <c r="BC20" s="720">
        <v>1</v>
      </c>
      <c r="BD20" s="720">
        <v>1</v>
      </c>
      <c r="BE20" s="720">
        <v>1</v>
      </c>
    </row>
    <row r="21" spans="1:57" ht="24">
      <c r="A21" s="330">
        <v>269423</v>
      </c>
      <c r="B21" s="331"/>
      <c r="C21" s="88"/>
      <c r="D21" s="340">
        <v>5</v>
      </c>
      <c r="E21" s="341" t="s">
        <v>98</v>
      </c>
      <c r="F21" s="432" t="s">
        <v>681</v>
      </c>
      <c r="G21" s="433" t="s">
        <v>93</v>
      </c>
      <c r="H21" s="434" t="s">
        <v>98</v>
      </c>
      <c r="I21" s="434" t="s">
        <v>98</v>
      </c>
      <c r="J21" s="94">
        <v>0</v>
      </c>
      <c r="K21" s="433" t="s">
        <v>96</v>
      </c>
      <c r="L21" s="435">
        <f>L10</f>
        <v>0.28493621632731198</v>
      </c>
      <c r="M21" s="95">
        <f>1</f>
        <v>1</v>
      </c>
      <c r="N21" s="96">
        <f t="shared" si="0"/>
        <v>2.1112106491146307</v>
      </c>
      <c r="O21" s="432" t="str">
        <f t="shared" si="1"/>
        <v>(2,2,2,2,3,5); based on datasheets, assembly manuals, own calculations</v>
      </c>
      <c r="P21" s="435" t="s">
        <v>98</v>
      </c>
      <c r="Q21" s="95">
        <f>1</f>
        <v>1</v>
      </c>
      <c r="R21" s="96">
        <f t="shared" si="2"/>
        <v>2.1112106491146307</v>
      </c>
      <c r="S21" s="432" t="str">
        <f t="shared" si="3"/>
        <v xml:space="preserve">( na, na, na, na, na, na); </v>
      </c>
      <c r="U21" s="733" t="s">
        <v>1650</v>
      </c>
      <c r="V21" s="731">
        <v>2</v>
      </c>
      <c r="W21" s="731">
        <v>2</v>
      </c>
      <c r="X21" s="731">
        <v>2</v>
      </c>
      <c r="Y21" s="731">
        <v>2</v>
      </c>
      <c r="Z21" s="731">
        <v>3</v>
      </c>
      <c r="AA21" s="731">
        <v>5</v>
      </c>
      <c r="AB21" s="719">
        <v>3</v>
      </c>
      <c r="AC21" s="720">
        <f t="shared" si="10"/>
        <v>2</v>
      </c>
      <c r="AD21" s="720">
        <f t="shared" si="4"/>
        <v>1.3034375080988778</v>
      </c>
      <c r="AE21" s="720">
        <f t="shared" si="5"/>
        <v>2.1002966874814577</v>
      </c>
      <c r="AF21" s="732" t="str">
        <f t="shared" si="6"/>
        <v>(2,2,2,2,3,5)</v>
      </c>
      <c r="AG21" s="108">
        <v>1.05</v>
      </c>
      <c r="AH21" s="108">
        <v>1.02</v>
      </c>
      <c r="AI21" s="108">
        <v>1.03</v>
      </c>
      <c r="AJ21" s="108">
        <v>1.01</v>
      </c>
      <c r="AK21" s="108">
        <v>1.2</v>
      </c>
      <c r="AL21" s="108">
        <v>1.2</v>
      </c>
      <c r="AN21" s="733"/>
      <c r="AO21" s="731" t="s">
        <v>1648</v>
      </c>
      <c r="AP21" s="731" t="s">
        <v>1648</v>
      </c>
      <c r="AQ21" s="731" t="s">
        <v>1648</v>
      </c>
      <c r="AR21" s="731" t="s">
        <v>1648</v>
      </c>
      <c r="AS21" s="731" t="s">
        <v>1648</v>
      </c>
      <c r="AT21" s="731" t="s">
        <v>1648</v>
      </c>
      <c r="AU21" s="719">
        <v>3</v>
      </c>
      <c r="AV21" s="720">
        <f t="shared" si="11"/>
        <v>2</v>
      </c>
      <c r="AW21" s="720">
        <f t="shared" si="7"/>
        <v>1</v>
      </c>
      <c r="AX21" s="720">
        <f t="shared" si="8"/>
        <v>2</v>
      </c>
      <c r="AY21" s="732" t="str">
        <f t="shared" si="9"/>
        <v>( na, na, na, na, na, na)</v>
      </c>
      <c r="AZ21" s="720">
        <v>1</v>
      </c>
      <c r="BA21" s="720">
        <v>1</v>
      </c>
      <c r="BB21" s="720">
        <v>1</v>
      </c>
      <c r="BC21" s="720">
        <v>1</v>
      </c>
      <c r="BD21" s="720">
        <v>1</v>
      </c>
      <c r="BE21" s="720">
        <v>1</v>
      </c>
    </row>
    <row r="22" spans="1:57" ht="24">
      <c r="A22" s="330">
        <v>267522</v>
      </c>
      <c r="B22" s="331"/>
      <c r="C22" s="88"/>
      <c r="D22" s="340">
        <v>5</v>
      </c>
      <c r="E22" s="341" t="s">
        <v>98</v>
      </c>
      <c r="F22" s="432" t="s">
        <v>1622</v>
      </c>
      <c r="G22" s="433" t="s">
        <v>93</v>
      </c>
      <c r="H22" s="434" t="s">
        <v>98</v>
      </c>
      <c r="I22" s="434" t="s">
        <v>98</v>
      </c>
      <c r="J22" s="94">
        <v>0</v>
      </c>
      <c r="K22" s="433" t="s">
        <v>96</v>
      </c>
      <c r="L22" s="435">
        <f>L12</f>
        <v>9.2354404303508204</v>
      </c>
      <c r="M22" s="95">
        <f>1</f>
        <v>1</v>
      </c>
      <c r="N22" s="96">
        <f t="shared" si="0"/>
        <v>2.1112106491146307</v>
      </c>
      <c r="O22" s="432" t="str">
        <f t="shared" si="1"/>
        <v>(3,3,1,1,3,4); based on datasheets, assembly manuals, own calculations</v>
      </c>
      <c r="P22" s="435" t="s">
        <v>98</v>
      </c>
      <c r="Q22" s="95">
        <f>1</f>
        <v>1</v>
      </c>
      <c r="R22" s="96">
        <f t="shared" si="2"/>
        <v>2.1112106491146307</v>
      </c>
      <c r="S22" s="432" t="str">
        <f t="shared" si="3"/>
        <v xml:space="preserve">( na, na, na, na, na, na); </v>
      </c>
      <c r="U22" s="733" t="s">
        <v>1650</v>
      </c>
      <c r="V22" s="731">
        <v>3</v>
      </c>
      <c r="W22" s="731">
        <v>3</v>
      </c>
      <c r="X22" s="731">
        <v>1</v>
      </c>
      <c r="Y22" s="731">
        <v>1</v>
      </c>
      <c r="Z22" s="731">
        <v>3</v>
      </c>
      <c r="AA22" s="731">
        <v>4</v>
      </c>
      <c r="AB22" s="719">
        <v>3</v>
      </c>
      <c r="AC22" s="720">
        <f t="shared" si="10"/>
        <v>2</v>
      </c>
      <c r="AD22" s="720">
        <f t="shared" si="4"/>
        <v>1.2610264677735246</v>
      </c>
      <c r="AE22" s="720">
        <f t="shared" si="5"/>
        <v>2.076988654206315</v>
      </c>
      <c r="AF22" s="732" t="str">
        <f t="shared" si="6"/>
        <v>(3,3,1,1,3,4)</v>
      </c>
      <c r="AG22" s="108">
        <v>1.1000000000000001</v>
      </c>
      <c r="AH22" s="108">
        <v>1.05</v>
      </c>
      <c r="AI22" s="108">
        <v>1</v>
      </c>
      <c r="AJ22" s="108">
        <v>1</v>
      </c>
      <c r="AK22" s="108">
        <v>1.2</v>
      </c>
      <c r="AL22" s="108">
        <v>1.1000000000000001</v>
      </c>
      <c r="AN22" s="733"/>
      <c r="AO22" s="731" t="s">
        <v>1648</v>
      </c>
      <c r="AP22" s="731" t="s">
        <v>1648</v>
      </c>
      <c r="AQ22" s="731" t="s">
        <v>1648</v>
      </c>
      <c r="AR22" s="731" t="s">
        <v>1648</v>
      </c>
      <c r="AS22" s="731" t="s">
        <v>1648</v>
      </c>
      <c r="AT22" s="731" t="s">
        <v>1648</v>
      </c>
      <c r="AU22" s="719">
        <v>3</v>
      </c>
      <c r="AV22" s="720">
        <f t="shared" si="11"/>
        <v>2</v>
      </c>
      <c r="AW22" s="720">
        <f t="shared" si="7"/>
        <v>1</v>
      </c>
      <c r="AX22" s="720">
        <f t="shared" si="8"/>
        <v>2</v>
      </c>
      <c r="AY22" s="732" t="str">
        <f t="shared" si="9"/>
        <v>( na, na, na, na, na, na)</v>
      </c>
      <c r="AZ22" s="720">
        <v>1</v>
      </c>
      <c r="BA22" s="720">
        <v>1</v>
      </c>
      <c r="BB22" s="720">
        <v>1</v>
      </c>
      <c r="BC22" s="720">
        <v>1</v>
      </c>
      <c r="BD22" s="720">
        <v>1</v>
      </c>
      <c r="BE22" s="720">
        <v>1</v>
      </c>
    </row>
    <row r="23" spans="1:57" ht="24">
      <c r="A23" s="330">
        <v>267073</v>
      </c>
      <c r="B23" s="331"/>
      <c r="C23" s="88"/>
      <c r="D23" s="340">
        <v>5</v>
      </c>
      <c r="E23" s="341" t="s">
        <v>98</v>
      </c>
      <c r="F23" s="432" t="s">
        <v>635</v>
      </c>
      <c r="G23" s="433" t="s">
        <v>93</v>
      </c>
      <c r="H23" s="434" t="s">
        <v>98</v>
      </c>
      <c r="I23" s="434" t="s">
        <v>98</v>
      </c>
      <c r="J23" s="94">
        <v>0</v>
      </c>
      <c r="K23" s="433" t="s">
        <v>96</v>
      </c>
      <c r="L23" s="435">
        <f>L14</f>
        <v>0.20434145516473401</v>
      </c>
      <c r="M23" s="95">
        <f>1</f>
        <v>1</v>
      </c>
      <c r="N23" s="96">
        <f t="shared" si="0"/>
        <v>2.1112106491146307</v>
      </c>
      <c r="O23" s="432" t="str">
        <f t="shared" si="1"/>
        <v>(2,2,1,1,3,2); based on datasheets, assembly manuals, own calculations</v>
      </c>
      <c r="P23" s="435" t="s">
        <v>98</v>
      </c>
      <c r="Q23" s="95">
        <f>1</f>
        <v>1</v>
      </c>
      <c r="R23" s="96">
        <f t="shared" si="2"/>
        <v>2.1112106491146307</v>
      </c>
      <c r="S23" s="432" t="str">
        <f t="shared" si="3"/>
        <v xml:space="preserve">( na, na, na, na, na, na); </v>
      </c>
      <c r="U23" s="733" t="s">
        <v>1650</v>
      </c>
      <c r="V23" s="731">
        <v>2</v>
      </c>
      <c r="W23" s="731">
        <v>2</v>
      </c>
      <c r="X23" s="731">
        <v>1</v>
      </c>
      <c r="Y23" s="731">
        <v>1</v>
      </c>
      <c r="Z23" s="731">
        <v>3</v>
      </c>
      <c r="AA23" s="731">
        <v>2</v>
      </c>
      <c r="AB23" s="719">
        <v>3</v>
      </c>
      <c r="AC23" s="720">
        <f t="shared" si="10"/>
        <v>2</v>
      </c>
      <c r="AD23" s="720">
        <f t="shared" si="4"/>
        <v>1.2102214383667471</v>
      </c>
      <c r="AE23" s="720">
        <f t="shared" si="5"/>
        <v>2.0522341264309905</v>
      </c>
      <c r="AF23" s="732" t="str">
        <f t="shared" si="6"/>
        <v>(2,2,1,1,3,2)</v>
      </c>
      <c r="AG23" s="108">
        <v>1.05</v>
      </c>
      <c r="AH23" s="108">
        <v>1.02</v>
      </c>
      <c r="AI23" s="108">
        <v>1</v>
      </c>
      <c r="AJ23" s="108">
        <v>1</v>
      </c>
      <c r="AK23" s="108">
        <v>1.2</v>
      </c>
      <c r="AL23" s="108">
        <v>1.02</v>
      </c>
      <c r="AN23" s="733"/>
      <c r="AO23" s="731" t="s">
        <v>1648</v>
      </c>
      <c r="AP23" s="731" t="s">
        <v>1648</v>
      </c>
      <c r="AQ23" s="731" t="s">
        <v>1648</v>
      </c>
      <c r="AR23" s="731" t="s">
        <v>1648</v>
      </c>
      <c r="AS23" s="731" t="s">
        <v>1648</v>
      </c>
      <c r="AT23" s="731" t="s">
        <v>1648</v>
      </c>
      <c r="AU23" s="719">
        <v>3</v>
      </c>
      <c r="AV23" s="720">
        <f t="shared" si="11"/>
        <v>2</v>
      </c>
      <c r="AW23" s="720">
        <f t="shared" si="7"/>
        <v>1</v>
      </c>
      <c r="AX23" s="720">
        <f t="shared" si="8"/>
        <v>2</v>
      </c>
      <c r="AY23" s="732" t="str">
        <f t="shared" si="9"/>
        <v>( na, na, na, na, na, na)</v>
      </c>
      <c r="AZ23" s="720">
        <v>1</v>
      </c>
      <c r="BA23" s="720">
        <v>1</v>
      </c>
      <c r="BB23" s="720">
        <v>1</v>
      </c>
      <c r="BC23" s="720">
        <v>1</v>
      </c>
      <c r="BD23" s="720">
        <v>1</v>
      </c>
      <c r="BE23" s="720">
        <v>1</v>
      </c>
    </row>
    <row r="24" spans="1:57" ht="24">
      <c r="A24" s="330">
        <v>269435</v>
      </c>
      <c r="B24" s="331"/>
      <c r="C24" s="88"/>
      <c r="D24" s="340">
        <v>5</v>
      </c>
      <c r="E24" s="341" t="s">
        <v>98</v>
      </c>
      <c r="F24" s="432" t="s">
        <v>1194</v>
      </c>
      <c r="G24" s="433" t="s">
        <v>93</v>
      </c>
      <c r="H24" s="434" t="s">
        <v>98</v>
      </c>
      <c r="I24" s="434" t="s">
        <v>98</v>
      </c>
      <c r="J24" s="94">
        <v>0</v>
      </c>
      <c r="K24" s="433" t="s">
        <v>96</v>
      </c>
      <c r="L24" s="435" t="str">
        <f>L15</f>
        <v>-</v>
      </c>
      <c r="M24" s="95">
        <f>1</f>
        <v>1</v>
      </c>
      <c r="N24" s="96">
        <f t="shared" si="0"/>
        <v>2.1112106491146307</v>
      </c>
      <c r="O24" s="432" t="str">
        <f t="shared" si="1"/>
        <v>(2,2,1,1,3,2); based on datasheets, assembly manuals, own calculations</v>
      </c>
      <c r="P24" s="435">
        <f>P18</f>
        <v>2.1522693950229599E-2</v>
      </c>
      <c r="Q24" s="95">
        <f>1</f>
        <v>1</v>
      </c>
      <c r="R24" s="96">
        <f t="shared" si="2"/>
        <v>2.1112106491146307</v>
      </c>
      <c r="S24" s="432" t="str">
        <f t="shared" si="3"/>
        <v>(2,2,1,2,2,2); Primary data from 1-axis tracker systems installed in Italy.</v>
      </c>
      <c r="U24" s="733" t="s">
        <v>1650</v>
      </c>
      <c r="V24" s="731">
        <v>2</v>
      </c>
      <c r="W24" s="731">
        <v>2</v>
      </c>
      <c r="X24" s="731">
        <v>1</v>
      </c>
      <c r="Y24" s="731">
        <v>1</v>
      </c>
      <c r="Z24" s="731">
        <v>3</v>
      </c>
      <c r="AA24" s="731">
        <v>2</v>
      </c>
      <c r="AB24" s="719">
        <v>3</v>
      </c>
      <c r="AC24" s="720">
        <f t="shared" si="10"/>
        <v>2</v>
      </c>
      <c r="AD24" s="720">
        <f t="shared" si="4"/>
        <v>1.2102214383667471</v>
      </c>
      <c r="AE24" s="720">
        <f t="shared" si="5"/>
        <v>2.0522341264309905</v>
      </c>
      <c r="AF24" s="732" t="str">
        <f t="shared" si="6"/>
        <v>(2,2,1,1,3,2)</v>
      </c>
      <c r="AG24" s="108">
        <v>1.05</v>
      </c>
      <c r="AH24" s="108">
        <v>1.02</v>
      </c>
      <c r="AI24" s="108">
        <v>1</v>
      </c>
      <c r="AJ24" s="108">
        <v>1</v>
      </c>
      <c r="AK24" s="108">
        <v>1.2</v>
      </c>
      <c r="AL24" s="108">
        <v>1.02</v>
      </c>
      <c r="AN24" s="733" t="s">
        <v>1651</v>
      </c>
      <c r="AO24" s="731">
        <v>2</v>
      </c>
      <c r="AP24" s="731">
        <v>2</v>
      </c>
      <c r="AQ24" s="731">
        <v>1</v>
      </c>
      <c r="AR24" s="731">
        <v>2</v>
      </c>
      <c r="AS24" s="731">
        <v>2</v>
      </c>
      <c r="AT24" s="731">
        <v>2</v>
      </c>
      <c r="AU24" s="719">
        <v>3</v>
      </c>
      <c r="AV24" s="720">
        <f t="shared" si="11"/>
        <v>2</v>
      </c>
      <c r="AW24" s="720" t="e">
        <f t="shared" si="7"/>
        <v>#NUM!</v>
      </c>
      <c r="AX24" s="720" t="e">
        <f t="shared" si="8"/>
        <v>#NUM!</v>
      </c>
      <c r="AY24" s="732" t="str">
        <f t="shared" si="9"/>
        <v>(2,2,1,2,2,2)</v>
      </c>
      <c r="AZ24" s="720">
        <v>1.05</v>
      </c>
      <c r="BA24" s="720">
        <v>1.02</v>
      </c>
      <c r="BB24" s="720">
        <v>1</v>
      </c>
      <c r="BC24" s="720">
        <v>1.01</v>
      </c>
      <c r="BD24" s="720">
        <v>0</v>
      </c>
      <c r="BE24" s="720">
        <v>1.02</v>
      </c>
    </row>
    <row r="25" spans="1:57" ht="24">
      <c r="A25" s="330">
        <v>268933</v>
      </c>
      <c r="B25" s="331"/>
      <c r="C25" s="88"/>
      <c r="D25" s="340">
        <v>5</v>
      </c>
      <c r="E25" s="341" t="s">
        <v>98</v>
      </c>
      <c r="F25" s="432" t="s">
        <v>683</v>
      </c>
      <c r="G25" s="433" t="s">
        <v>93</v>
      </c>
      <c r="H25" s="434" t="s">
        <v>98</v>
      </c>
      <c r="I25" s="434" t="s">
        <v>98</v>
      </c>
      <c r="J25" s="94">
        <v>0</v>
      </c>
      <c r="K25" s="433" t="s">
        <v>679</v>
      </c>
      <c r="L25" s="435">
        <v>0.51404183913537804</v>
      </c>
      <c r="M25" s="95">
        <f>1</f>
        <v>1</v>
      </c>
      <c r="N25" s="96">
        <f t="shared" si="0"/>
        <v>2.1112106491146307</v>
      </c>
      <c r="O25" s="432" t="str">
        <f t="shared" si="1"/>
        <v>(3,2,1,1,3,3); based on datasheets, assembly manuals, own calculations</v>
      </c>
      <c r="P25" s="435">
        <v>0.10647085569008399</v>
      </c>
      <c r="Q25" s="95">
        <f>1</f>
        <v>1</v>
      </c>
      <c r="R25" s="96">
        <f t="shared" si="2"/>
        <v>2.1112106491146307</v>
      </c>
      <c r="S25" s="432" t="str">
        <f t="shared" si="3"/>
        <v>(2,2,1,1,2,2); Primary data from 1-axis tracker systems installed in Italy.</v>
      </c>
      <c r="U25" s="733" t="s">
        <v>1650</v>
      </c>
      <c r="V25" s="731">
        <v>3</v>
      </c>
      <c r="W25" s="731">
        <v>2</v>
      </c>
      <c r="X25" s="731">
        <v>1</v>
      </c>
      <c r="Y25" s="731">
        <v>1</v>
      </c>
      <c r="Z25" s="731">
        <v>3</v>
      </c>
      <c r="AA25" s="731">
        <v>3</v>
      </c>
      <c r="AB25" s="719">
        <v>3</v>
      </c>
      <c r="AC25" s="720">
        <f t="shared" si="10"/>
        <v>2</v>
      </c>
      <c r="AD25" s="720">
        <f t="shared" si="4"/>
        <v>1.2365959919080913</v>
      </c>
      <c r="AE25" s="720">
        <f t="shared" si="5"/>
        <v>2.0646254680556719</v>
      </c>
      <c r="AF25" s="732" t="str">
        <f t="shared" si="6"/>
        <v>(3,2,1,1,3,3)</v>
      </c>
      <c r="AG25" s="108">
        <v>1.1000000000000001</v>
      </c>
      <c r="AH25" s="108">
        <v>1.02</v>
      </c>
      <c r="AI25" s="108">
        <v>1</v>
      </c>
      <c r="AJ25" s="108">
        <v>1</v>
      </c>
      <c r="AK25" s="108">
        <v>1.2</v>
      </c>
      <c r="AL25" s="108">
        <v>1.05</v>
      </c>
      <c r="AN25" s="733" t="s">
        <v>1651</v>
      </c>
      <c r="AO25" s="731">
        <v>2</v>
      </c>
      <c r="AP25" s="731">
        <v>2</v>
      </c>
      <c r="AQ25" s="731">
        <v>1</v>
      </c>
      <c r="AR25" s="731">
        <v>1</v>
      </c>
      <c r="AS25" s="731">
        <v>2</v>
      </c>
      <c r="AT25" s="731">
        <v>2</v>
      </c>
      <c r="AU25" s="719">
        <v>3</v>
      </c>
      <c r="AV25" s="720">
        <f t="shared" si="11"/>
        <v>2</v>
      </c>
      <c r="AW25" s="720" t="e">
        <f t="shared" si="7"/>
        <v>#NUM!</v>
      </c>
      <c r="AX25" s="720" t="e">
        <f t="shared" si="8"/>
        <v>#NUM!</v>
      </c>
      <c r="AY25" s="732" t="str">
        <f t="shared" si="9"/>
        <v>(2,2,1,1,2,2)</v>
      </c>
      <c r="AZ25" s="720">
        <v>1.05</v>
      </c>
      <c r="BA25" s="720">
        <v>1.02</v>
      </c>
      <c r="BB25" s="720">
        <v>1</v>
      </c>
      <c r="BC25" s="720">
        <v>1</v>
      </c>
      <c r="BD25" s="720">
        <v>0</v>
      </c>
      <c r="BE25" s="720">
        <v>1.02</v>
      </c>
    </row>
    <row r="26" spans="1:57" ht="24">
      <c r="A26" s="330">
        <v>267816</v>
      </c>
      <c r="B26" s="331"/>
      <c r="C26" s="88"/>
      <c r="D26" s="340">
        <v>5</v>
      </c>
      <c r="E26" s="341" t="s">
        <v>98</v>
      </c>
      <c r="F26" s="432" t="s">
        <v>1658</v>
      </c>
      <c r="G26" s="433" t="s">
        <v>93</v>
      </c>
      <c r="H26" s="434" t="s">
        <v>98</v>
      </c>
      <c r="I26" s="434" t="s">
        <v>98</v>
      </c>
      <c r="J26" s="94">
        <v>0</v>
      </c>
      <c r="K26" s="433" t="s">
        <v>96</v>
      </c>
      <c r="L26" s="435" t="s">
        <v>98</v>
      </c>
      <c r="M26" s="95">
        <f>1</f>
        <v>1</v>
      </c>
      <c r="N26" s="96">
        <f t="shared" si="0"/>
        <v>2.1112106491146307</v>
      </c>
      <c r="O26" s="432" t="str">
        <f t="shared" si="1"/>
        <v xml:space="preserve">( na, na, na, na, na, na); </v>
      </c>
      <c r="P26" s="435">
        <f>P19</f>
        <v>6.0532576735020703E-3</v>
      </c>
      <c r="Q26" s="95">
        <f>1</f>
        <v>1</v>
      </c>
      <c r="R26" s="96">
        <f t="shared" si="2"/>
        <v>2.1112106491146307</v>
      </c>
      <c r="S26" s="432" t="str">
        <f t="shared" si="3"/>
        <v>(3,2,1,2,3,2); Primary data from 1-axis tracker systems installed in Italy.</v>
      </c>
      <c r="U26" s="733"/>
      <c r="V26" s="731" t="s">
        <v>1648</v>
      </c>
      <c r="W26" s="731" t="s">
        <v>1648</v>
      </c>
      <c r="X26" s="731" t="s">
        <v>1648</v>
      </c>
      <c r="Y26" s="731" t="s">
        <v>1648</v>
      </c>
      <c r="Z26" s="731" t="s">
        <v>1648</v>
      </c>
      <c r="AA26" s="731" t="s">
        <v>1648</v>
      </c>
      <c r="AB26" s="719">
        <v>3</v>
      </c>
      <c r="AC26" s="720">
        <f t="shared" si="10"/>
        <v>2</v>
      </c>
      <c r="AD26" s="720">
        <f t="shared" si="4"/>
        <v>1</v>
      </c>
      <c r="AE26" s="720">
        <f t="shared" si="5"/>
        <v>2</v>
      </c>
      <c r="AF26" s="732" t="str">
        <f t="shared" si="6"/>
        <v>( na, na, na, na, na, na)</v>
      </c>
      <c r="AG26" s="108">
        <v>1</v>
      </c>
      <c r="AH26" s="108">
        <v>1</v>
      </c>
      <c r="AI26" s="108">
        <v>1</v>
      </c>
      <c r="AJ26" s="108">
        <v>1</v>
      </c>
      <c r="AK26" s="108">
        <v>1</v>
      </c>
      <c r="AL26" s="108">
        <v>1</v>
      </c>
      <c r="AN26" s="733" t="s">
        <v>1651</v>
      </c>
      <c r="AO26" s="731">
        <v>3</v>
      </c>
      <c r="AP26" s="731">
        <v>2</v>
      </c>
      <c r="AQ26" s="731">
        <v>1</v>
      </c>
      <c r="AR26" s="731">
        <v>2</v>
      </c>
      <c r="AS26" s="731">
        <v>3</v>
      </c>
      <c r="AT26" s="731">
        <v>2</v>
      </c>
      <c r="AU26" s="719">
        <v>3</v>
      </c>
      <c r="AV26" s="720">
        <f t="shared" si="11"/>
        <v>2</v>
      </c>
      <c r="AW26" s="720">
        <f t="shared" si="7"/>
        <v>1.2310488011355714</v>
      </c>
      <c r="AX26" s="720">
        <f t="shared" si="8"/>
        <v>2.0619344369698154</v>
      </c>
      <c r="AY26" s="732" t="str">
        <f t="shared" si="9"/>
        <v>(3,2,1,2,3,2)</v>
      </c>
      <c r="AZ26" s="720">
        <v>1.1000000000000001</v>
      </c>
      <c r="BA26" s="720">
        <v>1.02</v>
      </c>
      <c r="BB26" s="720">
        <v>1</v>
      </c>
      <c r="BC26" s="720">
        <v>1.01</v>
      </c>
      <c r="BD26" s="720">
        <v>1.2</v>
      </c>
      <c r="BE26" s="720">
        <v>1.02</v>
      </c>
    </row>
    <row r="27" spans="1:57">
      <c r="A27" s="330">
        <v>269641</v>
      </c>
      <c r="B27" s="331" t="s">
        <v>322</v>
      </c>
      <c r="C27" s="88"/>
      <c r="D27" s="340">
        <v>5</v>
      </c>
      <c r="E27" s="341" t="s">
        <v>98</v>
      </c>
      <c r="F27" s="432" t="s">
        <v>240</v>
      </c>
      <c r="G27" s="433" t="s">
        <v>93</v>
      </c>
      <c r="H27" s="434" t="s">
        <v>98</v>
      </c>
      <c r="I27" s="434" t="s">
        <v>98</v>
      </c>
      <c r="J27" s="94">
        <v>0</v>
      </c>
      <c r="K27" s="433" t="s">
        <v>115</v>
      </c>
      <c r="L27" s="435">
        <f>0.2*L39</f>
        <v>1.9460112970573875</v>
      </c>
      <c r="M27" s="95">
        <f>1</f>
        <v>1</v>
      </c>
      <c r="N27" s="96">
        <f t="shared" si="0"/>
        <v>2.1112106491146307</v>
      </c>
      <c r="O27" s="432" t="str">
        <f t="shared" si="1"/>
        <v>(2,2,2,2,3,5); Standard distance 50 km</v>
      </c>
      <c r="P27" s="435">
        <v>4.1587516232546697</v>
      </c>
      <c r="Q27" s="95">
        <f>1</f>
        <v>1</v>
      </c>
      <c r="R27" s="96">
        <f t="shared" si="2"/>
        <v>2.1112106491146307</v>
      </c>
      <c r="S27" s="432" t="str">
        <f t="shared" si="3"/>
        <v>(2,2,1,2,3,2); estimated value</v>
      </c>
      <c r="U27" s="733" t="s">
        <v>1659</v>
      </c>
      <c r="V27" s="731">
        <v>2</v>
      </c>
      <c r="W27" s="731">
        <v>2</v>
      </c>
      <c r="X27" s="731">
        <v>2</v>
      </c>
      <c r="Y27" s="731">
        <v>2</v>
      </c>
      <c r="Z27" s="731">
        <v>3</v>
      </c>
      <c r="AA27" s="731">
        <v>5</v>
      </c>
      <c r="AB27" s="719">
        <v>5</v>
      </c>
      <c r="AC27" s="720">
        <v>2</v>
      </c>
      <c r="AD27" s="720">
        <f t="shared" si="4"/>
        <v>1.3034375080988778</v>
      </c>
      <c r="AE27" s="720">
        <f t="shared" si="5"/>
        <v>2.1002966874814577</v>
      </c>
      <c r="AF27" s="732" t="str">
        <f t="shared" si="6"/>
        <v>(2,2,2,2,3,5)</v>
      </c>
      <c r="AG27" s="108">
        <v>1.05</v>
      </c>
      <c r="AH27" s="108">
        <v>1.02</v>
      </c>
      <c r="AI27" s="108">
        <v>1.03</v>
      </c>
      <c r="AJ27" s="108">
        <v>1.01</v>
      </c>
      <c r="AK27" s="108">
        <v>1.2</v>
      </c>
      <c r="AL27" s="108">
        <v>1.2</v>
      </c>
      <c r="AN27" s="733" t="s">
        <v>1655</v>
      </c>
      <c r="AO27" s="731">
        <v>2</v>
      </c>
      <c r="AP27" s="731">
        <v>2</v>
      </c>
      <c r="AQ27" s="731">
        <v>1</v>
      </c>
      <c r="AR27" s="731">
        <v>2</v>
      </c>
      <c r="AS27" s="731">
        <v>3</v>
      </c>
      <c r="AT27" s="731">
        <v>2</v>
      </c>
      <c r="AU27" s="719">
        <v>5</v>
      </c>
      <c r="AV27" s="720">
        <v>2</v>
      </c>
      <c r="AW27" s="720">
        <f t="shared" si="7"/>
        <v>1.2105352616935292</v>
      </c>
      <c r="AX27" s="720">
        <f t="shared" si="8"/>
        <v>2.0523754387731303</v>
      </c>
      <c r="AY27" s="732" t="str">
        <f t="shared" si="9"/>
        <v>(2,2,1,2,3,2)</v>
      </c>
      <c r="AZ27" s="720">
        <v>1.05</v>
      </c>
      <c r="BA27" s="720">
        <v>1.02</v>
      </c>
      <c r="BB27" s="720">
        <v>1</v>
      </c>
      <c r="BC27" s="720">
        <v>1.01</v>
      </c>
      <c r="BD27" s="720">
        <v>1.2</v>
      </c>
      <c r="BE27" s="720">
        <v>1.02</v>
      </c>
    </row>
    <row r="28" spans="1:57">
      <c r="A28" s="330">
        <v>160371</v>
      </c>
      <c r="B28" s="331"/>
      <c r="C28" s="88"/>
      <c r="D28" s="340">
        <v>5</v>
      </c>
      <c r="E28" s="341" t="s">
        <v>98</v>
      </c>
      <c r="F28" s="432" t="s">
        <v>242</v>
      </c>
      <c r="G28" s="433" t="s">
        <v>93</v>
      </c>
      <c r="H28" s="434" t="s">
        <v>98</v>
      </c>
      <c r="I28" s="434" t="s">
        <v>98</v>
      </c>
      <c r="J28" s="94">
        <v>0</v>
      </c>
      <c r="K28" s="433" t="s">
        <v>115</v>
      </c>
      <c r="L28" s="435">
        <f>0.6*L39</f>
        <v>5.8380338911721621</v>
      </c>
      <c r="M28" s="95">
        <f>1</f>
        <v>1</v>
      </c>
      <c r="N28" s="96">
        <f t="shared" si="0"/>
        <v>2.1112106491146307</v>
      </c>
      <c r="O28" s="432" t="str">
        <f t="shared" si="1"/>
        <v>(2,2,2,2,3,5); Standard distance 600 km</v>
      </c>
      <c r="P28" s="435" t="s">
        <v>98</v>
      </c>
      <c r="Q28" s="95">
        <f>1</f>
        <v>1</v>
      </c>
      <c r="R28" s="96">
        <f t="shared" si="2"/>
        <v>2.1112106491146307</v>
      </c>
      <c r="S28" s="432" t="str">
        <f t="shared" si="3"/>
        <v xml:space="preserve">( na, na, na, na, na, na); </v>
      </c>
      <c r="U28" s="733" t="s">
        <v>1660</v>
      </c>
      <c r="V28" s="731">
        <v>2</v>
      </c>
      <c r="W28" s="731">
        <v>2</v>
      </c>
      <c r="X28" s="731">
        <v>2</v>
      </c>
      <c r="Y28" s="731">
        <v>2</v>
      </c>
      <c r="Z28" s="731">
        <v>3</v>
      </c>
      <c r="AA28" s="731">
        <v>5</v>
      </c>
      <c r="AB28" s="719">
        <v>5</v>
      </c>
      <c r="AC28" s="720">
        <v>2</v>
      </c>
      <c r="AD28" s="720">
        <f t="shared" si="4"/>
        <v>1.3034375080988778</v>
      </c>
      <c r="AE28" s="720">
        <f t="shared" si="5"/>
        <v>2.1002966874814577</v>
      </c>
      <c r="AF28" s="732" t="str">
        <f t="shared" si="6"/>
        <v>(2,2,2,2,3,5)</v>
      </c>
      <c r="AG28" s="108">
        <v>1.05</v>
      </c>
      <c r="AH28" s="108">
        <v>1.02</v>
      </c>
      <c r="AI28" s="108">
        <v>1.03</v>
      </c>
      <c r="AJ28" s="108">
        <v>1.01</v>
      </c>
      <c r="AK28" s="108">
        <v>1.2</v>
      </c>
      <c r="AL28" s="108">
        <v>1.2</v>
      </c>
      <c r="AN28" s="733"/>
      <c r="AO28" s="731" t="s">
        <v>1648</v>
      </c>
      <c r="AP28" s="731" t="s">
        <v>1648</v>
      </c>
      <c r="AQ28" s="731" t="s">
        <v>1648</v>
      </c>
      <c r="AR28" s="731" t="s">
        <v>1648</v>
      </c>
      <c r="AS28" s="731" t="s">
        <v>1648</v>
      </c>
      <c r="AT28" s="731" t="s">
        <v>1648</v>
      </c>
      <c r="AU28" s="719">
        <v>5</v>
      </c>
      <c r="AV28" s="720">
        <v>2</v>
      </c>
      <c r="AW28" s="720">
        <f t="shared" si="7"/>
        <v>1</v>
      </c>
      <c r="AX28" s="720">
        <f t="shared" si="8"/>
        <v>2</v>
      </c>
      <c r="AY28" s="732" t="str">
        <f t="shared" si="9"/>
        <v>( na, na, na, na, na, na)</v>
      </c>
      <c r="AZ28" s="720">
        <v>1</v>
      </c>
      <c r="BA28" s="720">
        <v>1</v>
      </c>
      <c r="BB28" s="720">
        <v>1</v>
      </c>
      <c r="BC28" s="720">
        <v>1</v>
      </c>
      <c r="BD28" s="720">
        <v>1</v>
      </c>
      <c r="BE28" s="720">
        <v>1</v>
      </c>
    </row>
    <row r="29" spans="1:57" ht="24">
      <c r="A29" s="330">
        <v>266197</v>
      </c>
      <c r="B29" s="331"/>
      <c r="C29" s="88"/>
      <c r="D29" s="340">
        <v>5</v>
      </c>
      <c r="E29" s="341" t="s">
        <v>98</v>
      </c>
      <c r="F29" s="432" t="s">
        <v>1629</v>
      </c>
      <c r="G29" s="433" t="s">
        <v>93</v>
      </c>
      <c r="H29" s="434" t="s">
        <v>98</v>
      </c>
      <c r="I29" s="434" t="s">
        <v>98</v>
      </c>
      <c r="J29" s="94">
        <v>0</v>
      </c>
      <c r="K29" s="433" t="s">
        <v>115</v>
      </c>
      <c r="L29" s="435">
        <f>0.1*L39</f>
        <v>0.97300564852869376</v>
      </c>
      <c r="M29" s="95">
        <f>1</f>
        <v>1</v>
      </c>
      <c r="N29" s="96">
        <f t="shared" si="0"/>
        <v>2.1112106491146307</v>
      </c>
      <c r="O29" s="432" t="str">
        <f t="shared" si="1"/>
        <v>(2,2,2,2,3,5); 100 km to construction place</v>
      </c>
      <c r="P29" s="435">
        <f>0.1*P39</f>
        <v>0.74326468561030234</v>
      </c>
      <c r="Q29" s="95">
        <f>1</f>
        <v>1</v>
      </c>
      <c r="R29" s="96">
        <f t="shared" si="2"/>
        <v>2.1112106491146307</v>
      </c>
      <c r="S29" s="432" t="str">
        <f t="shared" si="3"/>
        <v>(2,1,1,1,1,1); 100 km to construction site.</v>
      </c>
      <c r="U29" s="733" t="s">
        <v>1661</v>
      </c>
      <c r="V29" s="731">
        <v>2</v>
      </c>
      <c r="W29" s="731">
        <v>2</v>
      </c>
      <c r="X29" s="731">
        <v>2</v>
      </c>
      <c r="Y29" s="731">
        <v>2</v>
      </c>
      <c r="Z29" s="731">
        <v>3</v>
      </c>
      <c r="AA29" s="731">
        <v>5</v>
      </c>
      <c r="AB29" s="719">
        <v>5</v>
      </c>
      <c r="AC29" s="720">
        <v>2</v>
      </c>
      <c r="AD29" s="720">
        <f t="shared" si="4"/>
        <v>1.3034375080988778</v>
      </c>
      <c r="AE29" s="720">
        <f t="shared" si="5"/>
        <v>2.1002966874814577</v>
      </c>
      <c r="AF29" s="732" t="str">
        <f t="shared" si="6"/>
        <v>(2,2,2,2,3,5)</v>
      </c>
      <c r="AG29" s="108">
        <v>1.05</v>
      </c>
      <c r="AH29" s="108">
        <v>1.02</v>
      </c>
      <c r="AI29" s="108">
        <v>1.03</v>
      </c>
      <c r="AJ29" s="108">
        <v>1.01</v>
      </c>
      <c r="AK29" s="108">
        <v>1.2</v>
      </c>
      <c r="AL29" s="108">
        <v>1.2</v>
      </c>
      <c r="AN29" s="733" t="s">
        <v>1662</v>
      </c>
      <c r="AO29" s="731">
        <v>2</v>
      </c>
      <c r="AP29" s="731">
        <v>1</v>
      </c>
      <c r="AQ29" s="731">
        <v>1</v>
      </c>
      <c r="AR29" s="731">
        <v>1</v>
      </c>
      <c r="AS29" s="731">
        <v>1</v>
      </c>
      <c r="AT29" s="731">
        <v>1</v>
      </c>
      <c r="AU29" s="719">
        <v>5</v>
      </c>
      <c r="AV29" s="720">
        <v>2</v>
      </c>
      <c r="AW29" s="720">
        <f t="shared" si="7"/>
        <v>1.05</v>
      </c>
      <c r="AX29" s="720">
        <f t="shared" si="8"/>
        <v>2.0034330064319432</v>
      </c>
      <c r="AY29" s="732" t="str">
        <f t="shared" si="9"/>
        <v>(2,1,1,1,1,1)</v>
      </c>
      <c r="AZ29" s="720">
        <v>1.05</v>
      </c>
      <c r="BA29" s="720">
        <v>1</v>
      </c>
      <c r="BB29" s="720">
        <v>1</v>
      </c>
      <c r="BC29" s="720">
        <v>1</v>
      </c>
      <c r="BD29" s="720">
        <v>1</v>
      </c>
      <c r="BE29" s="720">
        <v>1</v>
      </c>
    </row>
    <row r="30" spans="1:57" ht="24">
      <c r="A30" s="330">
        <v>261895</v>
      </c>
      <c r="B30" s="331"/>
      <c r="C30" s="88"/>
      <c r="D30" s="340">
        <v>5</v>
      </c>
      <c r="E30" s="341" t="s">
        <v>98</v>
      </c>
      <c r="F30" s="432" t="s">
        <v>694</v>
      </c>
      <c r="G30" s="433" t="s">
        <v>245</v>
      </c>
      <c r="H30" s="434" t="s">
        <v>98</v>
      </c>
      <c r="I30" s="434" t="s">
        <v>98</v>
      </c>
      <c r="J30" s="94">
        <v>0</v>
      </c>
      <c r="K30" s="433" t="s">
        <v>115</v>
      </c>
      <c r="L30" s="435" t="s">
        <v>98</v>
      </c>
      <c r="M30" s="95">
        <f>1</f>
        <v>1</v>
      </c>
      <c r="N30" s="96">
        <f t="shared" si="0"/>
        <v>2.1112106491146307</v>
      </c>
      <c r="O30" s="432" t="str">
        <f t="shared" si="1"/>
        <v xml:space="preserve">( na, na, na, na, na, na); </v>
      </c>
      <c r="P30" s="435">
        <v>1.2670031827119999E-2</v>
      </c>
      <c r="Q30" s="95">
        <f>1</f>
        <v>1</v>
      </c>
      <c r="R30" s="96">
        <f t="shared" si="2"/>
        <v>2.1112106491146307</v>
      </c>
      <c r="S30" s="432" t="str">
        <f t="shared" si="3"/>
        <v xml:space="preserve">(3,2,1,2,2,2); Imported electrical and electronical components. </v>
      </c>
      <c r="U30" s="733"/>
      <c r="V30" s="731" t="s">
        <v>1648</v>
      </c>
      <c r="W30" s="731" t="s">
        <v>1648</v>
      </c>
      <c r="X30" s="731" t="s">
        <v>1648</v>
      </c>
      <c r="Y30" s="731" t="s">
        <v>1648</v>
      </c>
      <c r="Z30" s="731" t="s">
        <v>1648</v>
      </c>
      <c r="AA30" s="731" t="s">
        <v>1648</v>
      </c>
      <c r="AB30" s="719">
        <v>5</v>
      </c>
      <c r="AC30" s="720">
        <v>2</v>
      </c>
      <c r="AD30" s="720">
        <f t="shared" si="4"/>
        <v>1</v>
      </c>
      <c r="AE30" s="720">
        <f t="shared" si="5"/>
        <v>2</v>
      </c>
      <c r="AF30" s="732" t="str">
        <f t="shared" si="6"/>
        <v>( na, na, na, na, na, na)</v>
      </c>
      <c r="AG30" s="108">
        <v>1</v>
      </c>
      <c r="AH30" s="108">
        <v>1</v>
      </c>
      <c r="AI30" s="108">
        <v>1</v>
      </c>
      <c r="AJ30" s="108">
        <v>1</v>
      </c>
      <c r="AK30" s="108">
        <v>1</v>
      </c>
      <c r="AL30" s="108">
        <v>1</v>
      </c>
      <c r="AN30" s="733" t="s">
        <v>1663</v>
      </c>
      <c r="AO30" s="731">
        <v>3</v>
      </c>
      <c r="AP30" s="731">
        <v>2</v>
      </c>
      <c r="AQ30" s="731">
        <v>1</v>
      </c>
      <c r="AR30" s="731">
        <v>2</v>
      </c>
      <c r="AS30" s="731">
        <v>2</v>
      </c>
      <c r="AT30" s="731">
        <v>2</v>
      </c>
      <c r="AU30" s="719">
        <v>5</v>
      </c>
      <c r="AV30" s="720">
        <v>2</v>
      </c>
      <c r="AW30" s="720" t="e">
        <f t="shared" si="7"/>
        <v>#NUM!</v>
      </c>
      <c r="AX30" s="720" t="e">
        <f t="shared" si="8"/>
        <v>#NUM!</v>
      </c>
      <c r="AY30" s="732" t="str">
        <f t="shared" si="9"/>
        <v>(3,2,1,2,2,2)</v>
      </c>
      <c r="AZ30" s="720">
        <v>1.1000000000000001</v>
      </c>
      <c r="BA30" s="720">
        <v>1.02</v>
      </c>
      <c r="BB30" s="720">
        <v>1</v>
      </c>
      <c r="BC30" s="720">
        <v>1.01</v>
      </c>
      <c r="BD30" s="720">
        <v>0</v>
      </c>
      <c r="BE30" s="720">
        <v>1.02</v>
      </c>
    </row>
    <row r="31" spans="1:57" ht="24">
      <c r="A31" s="330">
        <v>268549</v>
      </c>
      <c r="B31" s="331" t="s">
        <v>511</v>
      </c>
      <c r="C31" s="88"/>
      <c r="D31" s="340">
        <v>5</v>
      </c>
      <c r="E31" s="341" t="s">
        <v>98</v>
      </c>
      <c r="F31" s="432" t="s">
        <v>1631</v>
      </c>
      <c r="G31" s="433" t="s">
        <v>103</v>
      </c>
      <c r="H31" s="434" t="s">
        <v>98</v>
      </c>
      <c r="I31" s="434" t="s">
        <v>98</v>
      </c>
      <c r="J31" s="94">
        <v>0</v>
      </c>
      <c r="K31" s="433" t="s">
        <v>96</v>
      </c>
      <c r="L31" s="435">
        <f>L16</f>
        <v>9.2592592592592587E-2</v>
      </c>
      <c r="M31" s="95">
        <f>1</f>
        <v>1</v>
      </c>
      <c r="N31" s="96">
        <f t="shared" si="0"/>
        <v>2.1112106491146307</v>
      </c>
      <c r="O31" s="432" t="str">
        <f t="shared" si="1"/>
        <v xml:space="preserve">(2,2,2,2,3,5); </v>
      </c>
      <c r="P31" s="435">
        <f>P16</f>
        <v>9.2592592592592587E-2</v>
      </c>
      <c r="Q31" s="95">
        <f>1</f>
        <v>1</v>
      </c>
      <c r="R31" s="96">
        <f t="shared" si="2"/>
        <v>2.1112106491146307</v>
      </c>
      <c r="S31" s="432" t="str">
        <f t="shared" si="3"/>
        <v xml:space="preserve">(2,2,2,2,3,5); </v>
      </c>
      <c r="U31" s="733"/>
      <c r="V31" s="731">
        <v>2</v>
      </c>
      <c r="W31" s="731">
        <v>2</v>
      </c>
      <c r="X31" s="731">
        <v>2</v>
      </c>
      <c r="Y31" s="731">
        <v>2</v>
      </c>
      <c r="Z31" s="731">
        <v>3</v>
      </c>
      <c r="AA31" s="731">
        <v>5</v>
      </c>
      <c r="AB31" s="719">
        <v>6</v>
      </c>
      <c r="AC31" s="720">
        <f t="shared" ref="AC31:AC37" si="12">AC$10</f>
        <v>2</v>
      </c>
      <c r="AD31" s="720">
        <f t="shared" si="4"/>
        <v>1.3034375080988778</v>
      </c>
      <c r="AE31" s="720">
        <f t="shared" si="5"/>
        <v>2.1002966874814577</v>
      </c>
      <c r="AF31" s="732" t="str">
        <f t="shared" si="6"/>
        <v>(2,2,2,2,3,5)</v>
      </c>
      <c r="AG31" s="108">
        <v>1.05</v>
      </c>
      <c r="AH31" s="108">
        <v>1.02</v>
      </c>
      <c r="AI31" s="108">
        <v>1.03</v>
      </c>
      <c r="AJ31" s="108">
        <v>1.01</v>
      </c>
      <c r="AK31" s="108">
        <v>1.2</v>
      </c>
      <c r="AL31" s="108">
        <v>1.2</v>
      </c>
      <c r="AN31" s="733"/>
      <c r="AO31" s="731">
        <v>2</v>
      </c>
      <c r="AP31" s="731">
        <v>2</v>
      </c>
      <c r="AQ31" s="731">
        <v>2</v>
      </c>
      <c r="AR31" s="731">
        <v>2</v>
      </c>
      <c r="AS31" s="731">
        <v>3</v>
      </c>
      <c r="AT31" s="731">
        <v>5</v>
      </c>
      <c r="AU31" s="719">
        <v>6</v>
      </c>
      <c r="AV31" s="720">
        <f t="shared" ref="AV31:AV37" si="13">AV$10</f>
        <v>2</v>
      </c>
      <c r="AW31" s="720">
        <f t="shared" si="7"/>
        <v>1.3034375080988778</v>
      </c>
      <c r="AX31" s="720">
        <f t="shared" si="8"/>
        <v>2.1002966874814577</v>
      </c>
      <c r="AY31" s="732" t="str">
        <f t="shared" si="9"/>
        <v>(2,2,2,2,3,5)</v>
      </c>
      <c r="AZ31" s="720">
        <v>1.05</v>
      </c>
      <c r="BA31" s="720">
        <v>1.02</v>
      </c>
      <c r="BB31" s="720">
        <v>1.03</v>
      </c>
      <c r="BC31" s="720">
        <v>1.01</v>
      </c>
      <c r="BD31" s="720">
        <v>1.2</v>
      </c>
      <c r="BE31" s="720">
        <v>1.2</v>
      </c>
    </row>
    <row r="32" spans="1:57" ht="24">
      <c r="A32" s="330">
        <v>268905</v>
      </c>
      <c r="B32" s="331"/>
      <c r="C32" s="88"/>
      <c r="D32" s="340">
        <v>5</v>
      </c>
      <c r="E32" s="341" t="s">
        <v>98</v>
      </c>
      <c r="F32" s="432" t="s">
        <v>1633</v>
      </c>
      <c r="G32" s="433" t="s">
        <v>103</v>
      </c>
      <c r="H32" s="434" t="s">
        <v>98</v>
      </c>
      <c r="I32" s="434" t="s">
        <v>98</v>
      </c>
      <c r="J32" s="94">
        <v>0</v>
      </c>
      <c r="K32" s="433" t="s">
        <v>96</v>
      </c>
      <c r="L32" s="435">
        <f>L11</f>
        <v>5.3383834440714198E-3</v>
      </c>
      <c r="M32" s="95">
        <f>1</f>
        <v>1</v>
      </c>
      <c r="N32" s="96">
        <f t="shared" si="0"/>
        <v>2.1112106491146307</v>
      </c>
      <c r="O32" s="432" t="str">
        <f t="shared" si="1"/>
        <v>(2,2,2,2,3,5); Disposal of plastic parts at end of life</v>
      </c>
      <c r="P32" s="435" t="str">
        <f>P11</f>
        <v>-</v>
      </c>
      <c r="Q32" s="95">
        <f>1</f>
        <v>1</v>
      </c>
      <c r="R32" s="96">
        <f t="shared" si="2"/>
        <v>2.1112106491146307</v>
      </c>
      <c r="S32" s="432" t="str">
        <f t="shared" si="3"/>
        <v xml:space="preserve">( na, na, na, na, na, na); </v>
      </c>
      <c r="U32" s="733" t="s">
        <v>1664</v>
      </c>
      <c r="V32" s="731">
        <v>2</v>
      </c>
      <c r="W32" s="731">
        <v>2</v>
      </c>
      <c r="X32" s="731">
        <v>2</v>
      </c>
      <c r="Y32" s="731">
        <v>2</v>
      </c>
      <c r="Z32" s="731">
        <v>3</v>
      </c>
      <c r="AA32" s="731">
        <v>5</v>
      </c>
      <c r="AB32" s="719">
        <v>6</v>
      </c>
      <c r="AC32" s="720">
        <f t="shared" si="12"/>
        <v>2</v>
      </c>
      <c r="AD32" s="720">
        <f t="shared" si="4"/>
        <v>1.3034375080988778</v>
      </c>
      <c r="AE32" s="720">
        <f t="shared" si="5"/>
        <v>2.1002966874814577</v>
      </c>
      <c r="AF32" s="732" t="str">
        <f t="shared" si="6"/>
        <v>(2,2,2,2,3,5)</v>
      </c>
      <c r="AG32" s="108">
        <v>1.05</v>
      </c>
      <c r="AH32" s="108">
        <v>1.02</v>
      </c>
      <c r="AI32" s="108">
        <v>1.03</v>
      </c>
      <c r="AJ32" s="108">
        <v>1.01</v>
      </c>
      <c r="AK32" s="108">
        <v>1.2</v>
      </c>
      <c r="AL32" s="108">
        <v>1.2</v>
      </c>
      <c r="AN32" s="733"/>
      <c r="AO32" s="731" t="s">
        <v>1648</v>
      </c>
      <c r="AP32" s="731" t="s">
        <v>1648</v>
      </c>
      <c r="AQ32" s="731" t="s">
        <v>1648</v>
      </c>
      <c r="AR32" s="731" t="s">
        <v>1648</v>
      </c>
      <c r="AS32" s="731" t="s">
        <v>1648</v>
      </c>
      <c r="AT32" s="731" t="s">
        <v>1648</v>
      </c>
      <c r="AU32" s="719">
        <v>6</v>
      </c>
      <c r="AV32" s="720">
        <f t="shared" si="13"/>
        <v>2</v>
      </c>
      <c r="AW32" s="720">
        <f t="shared" si="7"/>
        <v>1</v>
      </c>
      <c r="AX32" s="720">
        <f t="shared" si="8"/>
        <v>2</v>
      </c>
      <c r="AY32" s="732" t="str">
        <f t="shared" si="9"/>
        <v>( na, na, na, na, na, na)</v>
      </c>
      <c r="AZ32" s="720">
        <v>1</v>
      </c>
      <c r="BA32" s="720">
        <v>1</v>
      </c>
      <c r="BB32" s="720">
        <v>1</v>
      </c>
      <c r="BC32" s="720">
        <v>1</v>
      </c>
      <c r="BD32" s="720">
        <v>1</v>
      </c>
      <c r="BE32" s="720">
        <v>1</v>
      </c>
    </row>
    <row r="33" spans="1:57" ht="48">
      <c r="A33" s="330">
        <v>1381</v>
      </c>
      <c r="B33" s="331" t="s">
        <v>218</v>
      </c>
      <c r="C33" s="88"/>
      <c r="D33" s="340">
        <v>4</v>
      </c>
      <c r="E33" s="341" t="s">
        <v>98</v>
      </c>
      <c r="F33" s="432" t="s">
        <v>768</v>
      </c>
      <c r="G33" s="433" t="s">
        <v>98</v>
      </c>
      <c r="H33" s="434" t="s">
        <v>218</v>
      </c>
      <c r="I33" s="434" t="s">
        <v>764</v>
      </c>
      <c r="J33" s="94" t="s">
        <v>98</v>
      </c>
      <c r="K33" s="433" t="s">
        <v>679</v>
      </c>
      <c r="L33" s="435">
        <f>2+0.25</f>
        <v>2.25</v>
      </c>
      <c r="M33" s="95">
        <f>1</f>
        <v>1</v>
      </c>
      <c r="N33" s="96">
        <f t="shared" si="0"/>
        <v>2.1112106491146307</v>
      </c>
      <c r="O33" s="432" t="str">
        <f t="shared" si="1"/>
        <v>(3,2,1,2,1,1); Literature and own estimations; land use of PV system: 2 m2/m2 of module. Additional land use for buildings and roads: 0.25 m2/m2 of module</v>
      </c>
      <c r="P33" s="435">
        <f>2+0.25</f>
        <v>2.25</v>
      </c>
      <c r="Q33" s="95">
        <f>1</f>
        <v>1</v>
      </c>
      <c r="R33" s="96">
        <f t="shared" si="2"/>
        <v>2.1112106491146307</v>
      </c>
      <c r="S33" s="432" t="str">
        <f t="shared" si="3"/>
        <v>(3,2,1,2,1,1); Literature and own estimations; land use of PV system: 2 m2/m2 of module. Additional land use for buildings and roads: 0.25 m2/m2 of module</v>
      </c>
      <c r="U33" s="733" t="s">
        <v>1665</v>
      </c>
      <c r="V33" s="731">
        <v>3</v>
      </c>
      <c r="W33" s="731">
        <v>2</v>
      </c>
      <c r="X33" s="731">
        <v>1</v>
      </c>
      <c r="Y33" s="731">
        <v>2</v>
      </c>
      <c r="Z33" s="731">
        <v>1</v>
      </c>
      <c r="AA33" s="731">
        <v>1</v>
      </c>
      <c r="AB33" s="719">
        <v>47</v>
      </c>
      <c r="AC33" s="720">
        <f t="shared" si="12"/>
        <v>2</v>
      </c>
      <c r="AD33" s="720">
        <f t="shared" si="4"/>
        <v>1.1028005144067503</v>
      </c>
      <c r="AE33" s="720">
        <f t="shared" si="5"/>
        <v>2.0137932663238884</v>
      </c>
      <c r="AF33" s="732" t="str">
        <f t="shared" si="6"/>
        <v>(3,2,1,2,1,1)</v>
      </c>
      <c r="AG33" s="108">
        <v>1.1000000000000001</v>
      </c>
      <c r="AH33" s="108">
        <v>1.02</v>
      </c>
      <c r="AI33" s="108">
        <v>1</v>
      </c>
      <c r="AJ33" s="108">
        <v>1.01</v>
      </c>
      <c r="AK33" s="108">
        <v>1</v>
      </c>
      <c r="AL33" s="108">
        <v>1</v>
      </c>
      <c r="AN33" s="733" t="s">
        <v>1665</v>
      </c>
      <c r="AO33" s="731">
        <v>3</v>
      </c>
      <c r="AP33" s="731">
        <v>2</v>
      </c>
      <c r="AQ33" s="731">
        <v>1</v>
      </c>
      <c r="AR33" s="731">
        <v>2</v>
      </c>
      <c r="AS33" s="731">
        <v>1</v>
      </c>
      <c r="AT33" s="731">
        <v>1</v>
      </c>
      <c r="AU33" s="719">
        <v>47</v>
      </c>
      <c r="AV33" s="720">
        <f t="shared" si="13"/>
        <v>2</v>
      </c>
      <c r="AW33" s="720">
        <f t="shared" si="7"/>
        <v>1.1028005144067503</v>
      </c>
      <c r="AX33" s="720">
        <f t="shared" si="8"/>
        <v>2.0137932663238884</v>
      </c>
      <c r="AY33" s="732" t="str">
        <f t="shared" si="9"/>
        <v>(3,2,1,2,1,1)</v>
      </c>
      <c r="AZ33" s="720">
        <v>1.1000000000000001</v>
      </c>
      <c r="BA33" s="720">
        <v>1.02</v>
      </c>
      <c r="BB33" s="720">
        <v>1</v>
      </c>
      <c r="BC33" s="720">
        <v>1.01</v>
      </c>
      <c r="BD33" s="720">
        <v>1</v>
      </c>
      <c r="BE33" s="720">
        <v>1</v>
      </c>
    </row>
    <row r="34" spans="1:57" ht="48">
      <c r="A34" s="330">
        <v>20910</v>
      </c>
      <c r="B34" s="331"/>
      <c r="C34" s="88"/>
      <c r="D34" s="340">
        <v>4</v>
      </c>
      <c r="E34" s="341" t="s">
        <v>98</v>
      </c>
      <c r="F34" s="432" t="s">
        <v>770</v>
      </c>
      <c r="G34" s="433" t="s">
        <v>98</v>
      </c>
      <c r="H34" s="434" t="s">
        <v>218</v>
      </c>
      <c r="I34" s="434" t="s">
        <v>764</v>
      </c>
      <c r="J34" s="94" t="s">
        <v>98</v>
      </c>
      <c r="K34" s="433" t="s">
        <v>679</v>
      </c>
      <c r="L34" s="435">
        <f>0.25</f>
        <v>0.25</v>
      </c>
      <c r="M34" s="95">
        <f>1</f>
        <v>1</v>
      </c>
      <c r="N34" s="96">
        <f t="shared" si="0"/>
        <v>2.1112106491146307</v>
      </c>
      <c r="O34" s="432" t="str">
        <f t="shared" si="1"/>
        <v>(3,3,1,2,3,3); Literature and own estimations; land use of PV system: 2 m2/m2 of module. Additional land use for buildings and roads: 0.25 m2/m2 of module</v>
      </c>
      <c r="P34" s="435">
        <f>0.25</f>
        <v>0.25</v>
      </c>
      <c r="Q34" s="95">
        <f>1</f>
        <v>1</v>
      </c>
      <c r="R34" s="96">
        <f t="shared" si="2"/>
        <v>2.1112106491146307</v>
      </c>
      <c r="S34" s="432" t="str">
        <f t="shared" si="3"/>
        <v>(3,3,1,2,3,3); Literature and own estimations; land use of PV system: 2 m2/m2 of module. Additional land use for buildings and roads: 0.25 m2/m2 of module</v>
      </c>
      <c r="U34" s="733" t="s">
        <v>1665</v>
      </c>
      <c r="V34" s="731">
        <v>3</v>
      </c>
      <c r="W34" s="731">
        <v>3</v>
      </c>
      <c r="X34" s="731">
        <v>1</v>
      </c>
      <c r="Y34" s="731">
        <v>2</v>
      </c>
      <c r="Z34" s="731">
        <v>3</v>
      </c>
      <c r="AA34" s="731">
        <v>3</v>
      </c>
      <c r="AB34" s="719">
        <v>8</v>
      </c>
      <c r="AC34" s="720">
        <f t="shared" si="12"/>
        <v>2</v>
      </c>
      <c r="AD34" s="720">
        <f t="shared" si="4"/>
        <v>1.2426192251897756</v>
      </c>
      <c r="AE34" s="720">
        <f t="shared" si="5"/>
        <v>2.067596996926429</v>
      </c>
      <c r="AF34" s="732" t="str">
        <f t="shared" si="6"/>
        <v>(3,3,1,2,3,3)</v>
      </c>
      <c r="AG34" s="108">
        <v>1.1000000000000001</v>
      </c>
      <c r="AH34" s="108">
        <v>1.05</v>
      </c>
      <c r="AI34" s="108">
        <v>1</v>
      </c>
      <c r="AJ34" s="108">
        <v>1.01</v>
      </c>
      <c r="AK34" s="108">
        <v>1.2</v>
      </c>
      <c r="AL34" s="108">
        <v>1.05</v>
      </c>
      <c r="AN34" s="733" t="s">
        <v>1665</v>
      </c>
      <c r="AO34" s="731">
        <v>3</v>
      </c>
      <c r="AP34" s="731">
        <v>3</v>
      </c>
      <c r="AQ34" s="731">
        <v>1</v>
      </c>
      <c r="AR34" s="731">
        <v>2</v>
      </c>
      <c r="AS34" s="731">
        <v>3</v>
      </c>
      <c r="AT34" s="731">
        <v>3</v>
      </c>
      <c r="AU34" s="719">
        <v>8</v>
      </c>
      <c r="AV34" s="720">
        <f t="shared" si="13"/>
        <v>2</v>
      </c>
      <c r="AW34" s="720">
        <f t="shared" si="7"/>
        <v>1.2426192251897756</v>
      </c>
      <c r="AX34" s="720">
        <f t="shared" si="8"/>
        <v>2.067596996926429</v>
      </c>
      <c r="AY34" s="732" t="str">
        <f t="shared" si="9"/>
        <v>(3,3,1,2,3,3)</v>
      </c>
      <c r="AZ34" s="720">
        <v>1.1000000000000001</v>
      </c>
      <c r="BA34" s="720">
        <v>1.05</v>
      </c>
      <c r="BB34" s="720">
        <v>1</v>
      </c>
      <c r="BC34" s="720">
        <v>1.01</v>
      </c>
      <c r="BD34" s="720">
        <v>1.2</v>
      </c>
      <c r="BE34" s="720">
        <v>1.05</v>
      </c>
    </row>
    <row r="35" spans="1:57" ht="48">
      <c r="A35" s="330">
        <v>21292</v>
      </c>
      <c r="B35" s="331"/>
      <c r="C35" s="88"/>
      <c r="D35" s="340">
        <v>4</v>
      </c>
      <c r="E35" s="341" t="s">
        <v>98</v>
      </c>
      <c r="F35" s="432" t="s">
        <v>771</v>
      </c>
      <c r="G35" s="433" t="s">
        <v>98</v>
      </c>
      <c r="H35" s="434" t="s">
        <v>218</v>
      </c>
      <c r="I35" s="434" t="s">
        <v>764</v>
      </c>
      <c r="J35" s="94" t="s">
        <v>98</v>
      </c>
      <c r="K35" s="433" t="s">
        <v>679</v>
      </c>
      <c r="L35" s="435">
        <f>2</f>
        <v>2</v>
      </c>
      <c r="M35" s="95">
        <f>1</f>
        <v>1</v>
      </c>
      <c r="N35" s="96">
        <f t="shared" si="0"/>
        <v>2.1112106491146307</v>
      </c>
      <c r="O35" s="432" t="str">
        <f t="shared" si="1"/>
        <v>(2,2,1,2,1,1); Literature and own estimations; land use of PV system: 2 m2/m2 of module. Additional land use for buildings and roads: 0.25 m2/m2 of module</v>
      </c>
      <c r="P35" s="435">
        <f>2</f>
        <v>2</v>
      </c>
      <c r="Q35" s="95">
        <f>1</f>
        <v>1</v>
      </c>
      <c r="R35" s="96">
        <f t="shared" si="2"/>
        <v>2.1112106491146307</v>
      </c>
      <c r="S35" s="432" t="str">
        <f t="shared" si="3"/>
        <v>(2,2,1,2,1,1); Literature and own estimations; land use of PV system: 2 m2/m2 of module. Additional land use for buildings and roads: 0.25 m2/m2 of module</v>
      </c>
      <c r="U35" s="733" t="s">
        <v>1665</v>
      </c>
      <c r="V35" s="731">
        <v>2</v>
      </c>
      <c r="W35" s="731">
        <v>2</v>
      </c>
      <c r="X35" s="731">
        <v>1</v>
      </c>
      <c r="Y35" s="731">
        <v>2</v>
      </c>
      <c r="Z35" s="731">
        <v>1</v>
      </c>
      <c r="AA35" s="731">
        <v>1</v>
      </c>
      <c r="AB35" s="719">
        <v>8</v>
      </c>
      <c r="AC35" s="720">
        <f t="shared" si="12"/>
        <v>2</v>
      </c>
      <c r="AD35" s="720">
        <f t="shared" si="4"/>
        <v>1.0550494334557461</v>
      </c>
      <c r="AE35" s="720">
        <f t="shared" si="5"/>
        <v>2.0041410001038451</v>
      </c>
      <c r="AF35" s="732" t="str">
        <f t="shared" si="6"/>
        <v>(2,2,1,2,1,1)</v>
      </c>
      <c r="AG35" s="108">
        <v>1.05</v>
      </c>
      <c r="AH35" s="108">
        <v>1.02</v>
      </c>
      <c r="AI35" s="108">
        <v>1</v>
      </c>
      <c r="AJ35" s="108">
        <v>1.01</v>
      </c>
      <c r="AK35" s="108">
        <v>1</v>
      </c>
      <c r="AL35" s="108">
        <v>1</v>
      </c>
      <c r="AN35" s="733" t="s">
        <v>1665</v>
      </c>
      <c r="AO35" s="731">
        <v>2</v>
      </c>
      <c r="AP35" s="731">
        <v>2</v>
      </c>
      <c r="AQ35" s="731">
        <v>1</v>
      </c>
      <c r="AR35" s="731">
        <v>2</v>
      </c>
      <c r="AS35" s="731">
        <v>1</v>
      </c>
      <c r="AT35" s="731">
        <v>1</v>
      </c>
      <c r="AU35" s="719">
        <v>8</v>
      </c>
      <c r="AV35" s="720">
        <f t="shared" si="13"/>
        <v>2</v>
      </c>
      <c r="AW35" s="720">
        <f t="shared" si="7"/>
        <v>1.0550494334557461</v>
      </c>
      <c r="AX35" s="720">
        <f t="shared" si="8"/>
        <v>2.0041410001038451</v>
      </c>
      <c r="AY35" s="732" t="str">
        <f t="shared" si="9"/>
        <v>(2,2,1,2,1,1)</v>
      </c>
      <c r="AZ35" s="720">
        <v>1.05</v>
      </c>
      <c r="BA35" s="720">
        <v>1.02</v>
      </c>
      <c r="BB35" s="720">
        <v>1</v>
      </c>
      <c r="BC35" s="720">
        <v>1.01</v>
      </c>
      <c r="BD35" s="720">
        <v>1</v>
      </c>
      <c r="BE35" s="720">
        <v>1</v>
      </c>
    </row>
    <row r="36" spans="1:57" ht="48">
      <c r="A36" s="330">
        <v>116809</v>
      </c>
      <c r="B36" s="331"/>
      <c r="C36" s="88"/>
      <c r="D36" s="340">
        <v>4</v>
      </c>
      <c r="E36" s="341" t="s">
        <v>98</v>
      </c>
      <c r="F36" s="432" t="s">
        <v>929</v>
      </c>
      <c r="G36" s="433" t="s">
        <v>98</v>
      </c>
      <c r="H36" s="434" t="s">
        <v>218</v>
      </c>
      <c r="I36" s="434" t="s">
        <v>764</v>
      </c>
      <c r="J36" s="94" t="s">
        <v>98</v>
      </c>
      <c r="K36" s="433" t="s">
        <v>725</v>
      </c>
      <c r="L36" s="435">
        <f>L34*30</f>
        <v>7.5</v>
      </c>
      <c r="M36" s="95">
        <f>1</f>
        <v>1</v>
      </c>
      <c r="N36" s="96">
        <f t="shared" si="0"/>
        <v>2.1112106491146307</v>
      </c>
      <c r="O36" s="432" t="str">
        <f t="shared" si="1"/>
        <v>(3,2,1,2,1,1); Literature and own estimations; land use of PV system: 2 m2/m2 of module. Additional land use for buildings and roads: 0.25 m2/m2 of module</v>
      </c>
      <c r="P36" s="435">
        <f>P34*30</f>
        <v>7.5</v>
      </c>
      <c r="Q36" s="95">
        <f>1</f>
        <v>1</v>
      </c>
      <c r="R36" s="96">
        <f t="shared" si="2"/>
        <v>2.1112106491146307</v>
      </c>
      <c r="S36" s="432" t="str">
        <f t="shared" si="3"/>
        <v>(3,2,1,2,1,1); Literature and own estimations; land use of PV system: 2 m2/m2 of module. Additional land use for buildings and roads: 0.25 m2/m2 of module</v>
      </c>
      <c r="U36" s="733" t="s">
        <v>1665</v>
      </c>
      <c r="V36" s="731">
        <v>3</v>
      </c>
      <c r="W36" s="731">
        <v>2</v>
      </c>
      <c r="X36" s="731">
        <v>1</v>
      </c>
      <c r="Y36" s="731">
        <v>2</v>
      </c>
      <c r="Z36" s="731">
        <v>1</v>
      </c>
      <c r="AA36" s="731">
        <v>1</v>
      </c>
      <c r="AB36" s="719">
        <v>7</v>
      </c>
      <c r="AC36" s="720">
        <f t="shared" si="12"/>
        <v>2</v>
      </c>
      <c r="AD36" s="720">
        <f t="shared" si="4"/>
        <v>1.1028005144067503</v>
      </c>
      <c r="AE36" s="720">
        <f t="shared" si="5"/>
        <v>2.0137932663238884</v>
      </c>
      <c r="AF36" s="732" t="str">
        <f t="shared" si="6"/>
        <v>(3,2,1,2,1,1)</v>
      </c>
      <c r="AG36" s="108">
        <v>1.1000000000000001</v>
      </c>
      <c r="AH36" s="108">
        <v>1.02</v>
      </c>
      <c r="AI36" s="108">
        <v>1</v>
      </c>
      <c r="AJ36" s="108">
        <v>1.01</v>
      </c>
      <c r="AK36" s="108">
        <v>1</v>
      </c>
      <c r="AL36" s="108">
        <v>1</v>
      </c>
      <c r="AN36" s="733" t="s">
        <v>1665</v>
      </c>
      <c r="AO36" s="731">
        <v>3</v>
      </c>
      <c r="AP36" s="731">
        <v>2</v>
      </c>
      <c r="AQ36" s="731">
        <v>1</v>
      </c>
      <c r="AR36" s="731">
        <v>2</v>
      </c>
      <c r="AS36" s="731">
        <v>1</v>
      </c>
      <c r="AT36" s="731">
        <v>1</v>
      </c>
      <c r="AU36" s="719">
        <v>7</v>
      </c>
      <c r="AV36" s="720">
        <f t="shared" si="13"/>
        <v>2</v>
      </c>
      <c r="AW36" s="720">
        <f t="shared" si="7"/>
        <v>1.1028005144067503</v>
      </c>
      <c r="AX36" s="720">
        <f t="shared" si="8"/>
        <v>2.0137932663238884</v>
      </c>
      <c r="AY36" s="732" t="str">
        <f t="shared" si="9"/>
        <v>(3,2,1,2,1,1)</v>
      </c>
      <c r="AZ36" s="720">
        <v>1.1000000000000001</v>
      </c>
      <c r="BA36" s="720">
        <v>1.02</v>
      </c>
      <c r="BB36" s="720">
        <v>1</v>
      </c>
      <c r="BC36" s="720">
        <v>1.01</v>
      </c>
      <c r="BD36" s="720">
        <v>1</v>
      </c>
      <c r="BE36" s="720">
        <v>1</v>
      </c>
    </row>
    <row r="37" spans="1:57" ht="48">
      <c r="A37" s="330">
        <v>113531</v>
      </c>
      <c r="B37" s="331"/>
      <c r="C37" s="88"/>
      <c r="D37" s="340">
        <v>4</v>
      </c>
      <c r="E37" s="341" t="s">
        <v>98</v>
      </c>
      <c r="F37" s="432" t="s">
        <v>766</v>
      </c>
      <c r="G37" s="433" t="s">
        <v>98</v>
      </c>
      <c r="H37" s="434" t="s">
        <v>218</v>
      </c>
      <c r="I37" s="434" t="s">
        <v>764</v>
      </c>
      <c r="J37" s="94" t="s">
        <v>98</v>
      </c>
      <c r="K37" s="433" t="s">
        <v>725</v>
      </c>
      <c r="L37" s="435">
        <f>L35*30</f>
        <v>60</v>
      </c>
      <c r="M37" s="95">
        <f>1</f>
        <v>1</v>
      </c>
      <c r="N37" s="96">
        <f t="shared" si="0"/>
        <v>2.1112106491146307</v>
      </c>
      <c r="O37" s="432" t="str">
        <f t="shared" si="1"/>
        <v>(3,2,1,2,1,1); Literature and own estimations; land use of PV system: 2 m2/m2 of module. Additional land use for buildings and roads: 0.25 m2/m2 of module</v>
      </c>
      <c r="P37" s="435">
        <f>P35*30</f>
        <v>60</v>
      </c>
      <c r="Q37" s="95">
        <f>1</f>
        <v>1</v>
      </c>
      <c r="R37" s="96">
        <f t="shared" si="2"/>
        <v>2.1112106491146307</v>
      </c>
      <c r="S37" s="432" t="str">
        <f t="shared" si="3"/>
        <v>(3,2,1,2,1,1); Literature and own estimations; land use of PV system: 2 m2/m2 of module. Additional land use for buildings and roads: 0.25 m2/m2 of module</v>
      </c>
      <c r="U37" s="733" t="s">
        <v>1665</v>
      </c>
      <c r="V37" s="731">
        <v>3</v>
      </c>
      <c r="W37" s="731">
        <v>2</v>
      </c>
      <c r="X37" s="731">
        <v>1</v>
      </c>
      <c r="Y37" s="731">
        <v>2</v>
      </c>
      <c r="Z37" s="731">
        <v>1</v>
      </c>
      <c r="AA37" s="731">
        <v>1</v>
      </c>
      <c r="AB37" s="719">
        <v>7</v>
      </c>
      <c r="AC37" s="720">
        <f t="shared" si="12"/>
        <v>2</v>
      </c>
      <c r="AD37" s="720">
        <f t="shared" si="4"/>
        <v>1.1028005144067503</v>
      </c>
      <c r="AE37" s="720">
        <f t="shared" si="5"/>
        <v>2.0137932663238884</v>
      </c>
      <c r="AF37" s="732" t="str">
        <f t="shared" si="6"/>
        <v>(3,2,1,2,1,1)</v>
      </c>
      <c r="AG37" s="108">
        <v>1.1000000000000001</v>
      </c>
      <c r="AH37" s="108">
        <v>1.02</v>
      </c>
      <c r="AI37" s="108">
        <v>1</v>
      </c>
      <c r="AJ37" s="108">
        <v>1.01</v>
      </c>
      <c r="AK37" s="108">
        <v>1</v>
      </c>
      <c r="AL37" s="108">
        <v>1</v>
      </c>
      <c r="AN37" s="733" t="s">
        <v>1665</v>
      </c>
      <c r="AO37" s="731">
        <v>3</v>
      </c>
      <c r="AP37" s="731">
        <v>2</v>
      </c>
      <c r="AQ37" s="731">
        <v>1</v>
      </c>
      <c r="AR37" s="731">
        <v>2</v>
      </c>
      <c r="AS37" s="731">
        <v>1</v>
      </c>
      <c r="AT37" s="731">
        <v>1</v>
      </c>
      <c r="AU37" s="719">
        <v>7</v>
      </c>
      <c r="AV37" s="720">
        <f t="shared" si="13"/>
        <v>2</v>
      </c>
      <c r="AW37" s="720">
        <f t="shared" si="7"/>
        <v>1.1028005144067503</v>
      </c>
      <c r="AX37" s="720">
        <f t="shared" si="8"/>
        <v>2.0137932663238884</v>
      </c>
      <c r="AY37" s="732" t="str">
        <f t="shared" si="9"/>
        <v>(3,2,1,2,1,1)</v>
      </c>
      <c r="AZ37" s="720">
        <v>1.1000000000000001</v>
      </c>
      <c r="BA37" s="720">
        <v>1.02</v>
      </c>
      <c r="BB37" s="720">
        <v>1</v>
      </c>
      <c r="BC37" s="720">
        <v>1.01</v>
      </c>
      <c r="BD37" s="720">
        <v>1</v>
      </c>
      <c r="BE37" s="720">
        <v>1</v>
      </c>
    </row>
    <row r="38" spans="1:57">
      <c r="A38" s="330"/>
      <c r="B38" s="331"/>
      <c r="C38" s="88"/>
      <c r="D38" s="340"/>
      <c r="E38" s="341"/>
      <c r="F38" s="432"/>
      <c r="G38" s="433"/>
      <c r="H38" s="434"/>
      <c r="I38" s="434"/>
      <c r="J38" s="94"/>
      <c r="K38" s="433"/>
      <c r="L38" s="435"/>
      <c r="M38" s="95"/>
      <c r="N38" s="96"/>
      <c r="O38" s="432"/>
      <c r="P38" s="435" t="s">
        <v>98</v>
      </c>
      <c r="Q38" s="95"/>
      <c r="R38" s="96"/>
      <c r="S38" s="432"/>
      <c r="U38" s="733"/>
      <c r="V38" s="731"/>
      <c r="W38" s="731"/>
      <c r="X38" s="731"/>
      <c r="Y38" s="731"/>
      <c r="Z38" s="731"/>
      <c r="AA38" s="731"/>
      <c r="AB38" s="719"/>
      <c r="AC38" s="720"/>
      <c r="AD38" s="720"/>
      <c r="AE38" s="720"/>
      <c r="AF38" s="732"/>
      <c r="AG38" s="108"/>
      <c r="AH38" s="108"/>
      <c r="AI38" s="108"/>
      <c r="AJ38" s="108"/>
      <c r="AK38" s="108"/>
      <c r="AL38" s="108"/>
      <c r="AN38" s="733"/>
      <c r="AO38" s="731"/>
      <c r="AP38" s="731"/>
      <c r="AQ38" s="731"/>
      <c r="AR38" s="731"/>
      <c r="AS38" s="731"/>
      <c r="AT38" s="731"/>
      <c r="AU38" s="719"/>
      <c r="AV38" s="720"/>
      <c r="AW38" s="720"/>
      <c r="AX38" s="720"/>
      <c r="AY38" s="732"/>
      <c r="AZ38" s="720"/>
      <c r="BA38" s="720"/>
      <c r="BB38" s="720"/>
      <c r="BC38" s="720"/>
      <c r="BD38" s="720"/>
      <c r="BE38" s="720"/>
    </row>
    <row r="39" spans="1:57">
      <c r="B39" s="277" t="s">
        <v>1666</v>
      </c>
      <c r="C39" s="277"/>
      <c r="F39" s="277" t="s">
        <v>1667</v>
      </c>
      <c r="K39" s="277" t="s">
        <v>96</v>
      </c>
      <c r="L39" s="135">
        <f>SUM(L10:L15)</f>
        <v>9.7300564852869371</v>
      </c>
      <c r="M39" s="277"/>
      <c r="N39" s="277"/>
      <c r="O39" s="277" t="s">
        <v>1668</v>
      </c>
      <c r="P39" s="135">
        <f>SUM(P10:P15)</f>
        <v>7.4326468561030232</v>
      </c>
      <c r="Q39" s="277"/>
      <c r="R39" s="277"/>
      <c r="S39" s="277" t="s">
        <v>1668</v>
      </c>
    </row>
    <row r="40" spans="1:57">
      <c r="B40" s="277"/>
      <c r="C40" s="277"/>
      <c r="F40" s="277" t="s">
        <v>1669</v>
      </c>
      <c r="K40" s="277" t="s">
        <v>96</v>
      </c>
      <c r="L40" s="135">
        <f>SUM(L10:L15)</f>
        <v>9.7300564852869371</v>
      </c>
      <c r="M40" s="277"/>
      <c r="N40" s="277"/>
      <c r="O40" s="277" t="str">
        <f>O39</f>
        <v>Sum from the inventory</v>
      </c>
      <c r="P40" s="135">
        <f>SUM(P10:P15)</f>
        <v>7.4326468561030232</v>
      </c>
      <c r="Q40" s="277"/>
      <c r="R40" s="277"/>
      <c r="S40" s="277" t="str">
        <f>S39</f>
        <v>Sum from the inventory</v>
      </c>
    </row>
    <row r="41" spans="1:57">
      <c r="B41" s="277"/>
      <c r="C41" s="277"/>
      <c r="F41" s="277"/>
      <c r="M41" s="277"/>
      <c r="N41" s="277"/>
      <c r="O41" s="277"/>
      <c r="Q41" s="277"/>
      <c r="R41" s="277"/>
      <c r="S41" s="277"/>
    </row>
    <row r="42" spans="1:57">
      <c r="B42" s="277"/>
      <c r="C42" s="277"/>
      <c r="F42" s="277"/>
      <c r="M42" s="277"/>
      <c r="N42" s="277"/>
      <c r="O42" s="277"/>
      <c r="Q42" s="277"/>
      <c r="R42" s="277"/>
      <c r="S42" s="277"/>
    </row>
    <row r="43" spans="1:57">
      <c r="B43" s="277"/>
      <c r="C43" s="277"/>
      <c r="F43" s="277"/>
      <c r="M43" s="277"/>
      <c r="N43" s="277"/>
      <c r="O43" s="277"/>
      <c r="Q43" s="277"/>
      <c r="R43" s="277"/>
      <c r="S43" s="277"/>
    </row>
    <row r="44" spans="1:57">
      <c r="B44" s="277"/>
      <c r="C44" s="277"/>
      <c r="F44" s="277"/>
      <c r="M44" s="277"/>
      <c r="N44" s="277"/>
      <c r="O44" s="277"/>
      <c r="Q44" s="277"/>
      <c r="R44" s="277"/>
      <c r="S44" s="277"/>
    </row>
    <row r="60" outlineLevel="1"/>
    <row r="61" outlineLevel="1"/>
    <row r="62" outlineLevel="1"/>
    <row r="63" outlineLevel="1"/>
    <row r="64" outlineLevel="1"/>
    <row r="65" outlineLevel="1"/>
    <row r="66" outlineLevel="1"/>
    <row r="67" outlineLevel="1"/>
    <row r="68" outlineLevel="1"/>
    <row r="69" outlineLevel="1"/>
    <row r="70" outlineLevel="1"/>
    <row r="71" outlineLevel="1"/>
    <row r="72" outlineLevel="1"/>
    <row r="73" outlineLevel="1"/>
    <row r="74" outlineLevel="1"/>
    <row r="75" outlineLevel="1"/>
    <row r="76" outlineLevel="1"/>
    <row r="77" outlineLevel="1"/>
    <row r="78" outlineLevel="1"/>
    <row r="79" outlineLevel="1"/>
    <row r="80"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170" spans="6:6" s="395" customFormat="1" ht="12">
      <c r="F170" s="126" t="s">
        <v>1671</v>
      </c>
    </row>
    <row r="171" spans="6:6" s="395" customFormat="1" ht="12">
      <c r="F171" s="126" t="s">
        <v>1672</v>
      </c>
    </row>
    <row r="172" spans="6:6" s="395" customFormat="1" ht="12">
      <c r="F172" s="126" t="s">
        <v>1673</v>
      </c>
    </row>
  </sheetData>
  <conditionalFormatting sqref="D9:S38 U9:AA38">
    <cfRule type="expression" dxfId="98" priority="5">
      <formula>MOD(ROW(),2)=0</formula>
    </cfRule>
  </conditionalFormatting>
  <conditionalFormatting sqref="AB9:AL38">
    <cfRule type="expression" dxfId="97" priority="1">
      <formula>MOD(ROW(),2)=0</formula>
    </cfRule>
  </conditionalFormatting>
  <conditionalFormatting sqref="AN9:AT38">
    <cfRule type="expression" dxfId="96" priority="3">
      <formula>MOD(ROW(),2)=0</formula>
    </cfRule>
  </conditionalFormatting>
  <conditionalFormatting sqref="AU9:BE38">
    <cfRule type="expression" dxfId="95" priority="2">
      <formula>MOD(ROW(),2)=0</formula>
    </cfRule>
  </conditionalFormatting>
  <dataValidations count="4">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34:A37" xr:uid="{964C0AD1-501A-49A6-A576-52F566F7B5A1}"/>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33:I37 K33:K37" xr:uid="{5B9CDC09-8CD3-4B50-BC1B-C028F856B34A}"/>
    <dataValidation allowBlank="1" showInputMessage="1" showErrorMessage="1" promptTitle="Do not change" prompt="This field is automatically updated from the names-list" sqref="AB51:AB52 V7:V8 AU51:AU52 AO7:AO8 AB9:AB37 AU9:AU37" xr:uid="{6296500B-8199-4AED-93F4-E116E9B6A6FC}"/>
    <dataValidation allowBlank="1" showInputMessage="1" showErrorMessage="1" promptTitle="Do not change" prompt="This field is automatically calculated from your inputs." sqref="AG9:AL38" xr:uid="{0A8D6FFC-65BB-4BB4-8991-DCB5A8A5CB31}"/>
  </dataValidations>
  <printOptions horizontalCentered="1" verticalCentered="1"/>
  <pageMargins left="0.78740157480314965" right="0.78740157480314965" top="0.98425196850393704" bottom="0.98425196850393704" header="0.51181102362204722" footer="0.51181102362204722"/>
  <pageSetup paperSize="9" scale="18"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32">
    <tabColor rgb="FF9CD9F0"/>
  </sheetPr>
  <dimension ref="A1:AI28"/>
  <sheetViews>
    <sheetView showGridLines="0" workbookViewId="0">
      <selection activeCell="O39" sqref="O39"/>
    </sheetView>
  </sheetViews>
  <sheetFormatPr baseColWidth="10" defaultColWidth="11.42578125" defaultRowHeight="12"/>
  <cols>
    <col min="1" max="1" width="7" style="299" customWidth="1"/>
    <col min="2" max="2" width="14.28515625" style="15" customWidth="1"/>
    <col min="3" max="3" width="15.140625" style="16" bestFit="1" customWidth="1"/>
    <col min="4" max="5" width="5.42578125" style="299" bestFit="1" customWidth="1"/>
    <col min="6" max="6" width="61.28515625" style="1" bestFit="1" customWidth="1"/>
    <col min="7" max="7" width="6" style="299" customWidth="1"/>
    <col min="8" max="8" width="5.7109375" style="299" hidden="1" customWidth="1"/>
    <col min="9" max="9" width="19.42578125" style="299" hidden="1" customWidth="1"/>
    <col min="10" max="10" width="4.140625" style="299" bestFit="1" customWidth="1"/>
    <col min="11" max="11" width="5.140625" style="299" customWidth="1"/>
    <col min="12" max="12" width="16.28515625" style="299" bestFit="1" customWidth="1"/>
    <col min="13" max="13" width="9.28515625" style="299" hidden="1" customWidth="1"/>
    <col min="14" max="14" width="5.42578125" style="308" bestFit="1" customWidth="1"/>
    <col min="15" max="15" width="7.7109375" style="308" bestFit="1" customWidth="1"/>
    <col min="16" max="16" width="53.85546875" style="308" bestFit="1" customWidth="1"/>
    <col min="17" max="17" width="4.42578125" style="179" customWidth="1"/>
    <col min="18" max="18" width="43.42578125" style="8" bestFit="1" customWidth="1"/>
    <col min="19" max="19" width="20.28515625" style="5" bestFit="1" customWidth="1"/>
    <col min="20" max="20" width="7.5703125" style="3" bestFit="1" customWidth="1"/>
    <col min="21" max="21" width="5.5703125" style="3" bestFit="1" customWidth="1"/>
    <col min="22" max="22" width="4.42578125" style="3" bestFit="1" customWidth="1"/>
    <col min="23" max="24" width="7.5703125" style="3" bestFit="1" customWidth="1"/>
    <col min="25" max="25" width="5.28515625" style="3" bestFit="1" customWidth="1"/>
    <col min="26" max="26" width="6.42578125" style="3" bestFit="1" customWidth="1"/>
    <col min="27" max="27" width="8.140625" style="3" bestFit="1" customWidth="1"/>
    <col min="28" max="28" width="7.5703125" style="3" bestFit="1" customWidth="1"/>
    <col min="29" max="29" width="14.42578125" style="3" bestFit="1" customWidth="1"/>
    <col min="30" max="30" width="4.42578125" style="299" bestFit="1" customWidth="1"/>
    <col min="31" max="32" width="7.5703125" style="299" bestFit="1" customWidth="1"/>
    <col min="33" max="33" width="4.28515625" style="299" bestFit="1" customWidth="1"/>
    <col min="34" max="34" width="4.85546875" style="299" bestFit="1" customWidth="1"/>
    <col min="35" max="35" width="7.5703125" style="299" bestFit="1" customWidth="1"/>
    <col min="36" max="37" width="11.42578125" style="299" customWidth="1"/>
    <col min="38" max="16384" width="11.42578125" style="299"/>
  </cols>
  <sheetData>
    <row r="1" spans="1:35">
      <c r="A1" s="77"/>
      <c r="B1" s="78"/>
      <c r="C1" s="79"/>
      <c r="D1" s="77"/>
      <c r="E1" s="77"/>
      <c r="F1" s="80" t="s">
        <v>65</v>
      </c>
      <c r="G1" s="77"/>
      <c r="H1" s="77"/>
      <c r="I1" s="77"/>
      <c r="J1" s="77"/>
      <c r="K1" s="77"/>
      <c r="L1" s="330">
        <v>261084</v>
      </c>
      <c r="M1" s="81"/>
      <c r="N1" s="81"/>
      <c r="O1" s="81"/>
      <c r="P1" s="330"/>
      <c r="Q1" s="81"/>
      <c r="R1" s="81"/>
      <c r="S1" s="81"/>
      <c r="T1" s="330"/>
      <c r="U1" s="81"/>
      <c r="V1" s="81"/>
      <c r="W1" s="81"/>
      <c r="X1" s="330"/>
      <c r="Y1" s="81"/>
      <c r="Z1" s="81"/>
      <c r="AA1" s="81"/>
      <c r="AB1" s="330"/>
      <c r="AC1" s="81"/>
      <c r="AD1" s="81"/>
      <c r="AE1" s="227"/>
      <c r="AF1" s="330"/>
      <c r="AG1" s="81"/>
      <c r="AH1" s="81"/>
      <c r="AI1" s="81"/>
    </row>
    <row r="2" spans="1:35" ht="36" customHeight="1">
      <c r="A2" s="77"/>
      <c r="B2" s="82"/>
      <c r="C2" s="79" t="s">
        <v>67</v>
      </c>
      <c r="D2" s="82">
        <v>3503</v>
      </c>
      <c r="E2" s="82">
        <v>3504</v>
      </c>
      <c r="F2" s="82">
        <v>3702</v>
      </c>
      <c r="G2" s="82">
        <v>3703</v>
      </c>
      <c r="H2" s="82">
        <v>3506</v>
      </c>
      <c r="I2" s="82">
        <v>3507</v>
      </c>
      <c r="J2" s="82">
        <v>3508</v>
      </c>
      <c r="K2" s="82">
        <v>3706</v>
      </c>
      <c r="L2" s="82">
        <v>3707</v>
      </c>
      <c r="M2" s="419"/>
      <c r="N2" s="419">
        <v>3708</v>
      </c>
      <c r="O2" s="420">
        <v>3709</v>
      </c>
      <c r="P2" s="82">
        <v>3792</v>
      </c>
      <c r="Q2" s="419"/>
      <c r="R2" s="419" t="s">
        <v>81</v>
      </c>
      <c r="S2" s="823" t="s">
        <v>82</v>
      </c>
      <c r="T2" s="824" t="s">
        <v>83</v>
      </c>
      <c r="U2" s="809" t="s">
        <v>84</v>
      </c>
      <c r="V2" s="809" t="s">
        <v>85</v>
      </c>
      <c r="W2" s="823" t="s">
        <v>86</v>
      </c>
      <c r="X2" s="824" t="s">
        <v>87</v>
      </c>
      <c r="Y2" s="826" t="s">
        <v>88</v>
      </c>
      <c r="Z2" s="826" t="s">
        <v>89</v>
      </c>
      <c r="AA2" s="827" t="s">
        <v>90</v>
      </c>
      <c r="AB2" s="828" t="s">
        <v>91</v>
      </c>
      <c r="AC2" s="419" t="s">
        <v>92</v>
      </c>
      <c r="AD2" s="419" t="s">
        <v>82</v>
      </c>
      <c r="AE2" s="420" t="s">
        <v>83</v>
      </c>
      <c r="AF2" s="82" t="s">
        <v>84</v>
      </c>
      <c r="AG2" s="419" t="s">
        <v>85</v>
      </c>
      <c r="AH2" s="419" t="s">
        <v>86</v>
      </c>
      <c r="AI2" s="420" t="s">
        <v>87</v>
      </c>
    </row>
    <row r="3" spans="1:35" ht="39.75" customHeight="1">
      <c r="A3" s="791" t="s">
        <v>68</v>
      </c>
      <c r="B3" s="793"/>
      <c r="C3" s="792">
        <v>401</v>
      </c>
      <c r="D3" s="43" t="s">
        <v>69</v>
      </c>
      <c r="E3" s="43" t="s">
        <v>70</v>
      </c>
      <c r="F3" s="49" t="s">
        <v>71</v>
      </c>
      <c r="G3" s="43" t="s">
        <v>72</v>
      </c>
      <c r="H3" s="43" t="s">
        <v>73</v>
      </c>
      <c r="I3" s="43" t="s">
        <v>74</v>
      </c>
      <c r="J3" s="43" t="s">
        <v>75</v>
      </c>
      <c r="K3" s="43" t="s">
        <v>76</v>
      </c>
      <c r="L3" s="796" t="s">
        <v>1674</v>
      </c>
      <c r="M3" s="830"/>
      <c r="N3" s="797" t="s">
        <v>78</v>
      </c>
      <c r="O3" s="797" t="s">
        <v>79</v>
      </c>
      <c r="P3" s="798" t="s">
        <v>80</v>
      </c>
      <c r="Q3" s="831"/>
      <c r="R3" s="803"/>
      <c r="S3" s="799"/>
      <c r="T3" s="825"/>
      <c r="U3" s="825"/>
      <c r="V3" s="825"/>
      <c r="W3" s="825"/>
      <c r="X3" s="825"/>
      <c r="Y3" s="829"/>
      <c r="Z3" s="829"/>
      <c r="AA3" s="829" t="s">
        <v>95</v>
      </c>
      <c r="AB3" s="829" t="s">
        <v>95</v>
      </c>
      <c r="AC3" s="849"/>
      <c r="AD3" s="850"/>
      <c r="AE3" s="850"/>
      <c r="AF3" s="850"/>
      <c r="AG3" s="850"/>
      <c r="AH3" s="850"/>
      <c r="AI3" s="850"/>
    </row>
    <row r="4" spans="1:35" ht="12.75" customHeight="1">
      <c r="A4" s="791"/>
      <c r="B4" s="793"/>
      <c r="C4" s="792">
        <v>662</v>
      </c>
      <c r="D4" s="49"/>
      <c r="E4" s="49"/>
      <c r="F4" s="49" t="s">
        <v>72</v>
      </c>
      <c r="G4" s="49"/>
      <c r="H4" s="49"/>
      <c r="I4" s="49"/>
      <c r="J4" s="49"/>
      <c r="K4" s="49"/>
      <c r="L4" s="796" t="s">
        <v>103</v>
      </c>
      <c r="M4" s="830"/>
      <c r="N4" s="832"/>
      <c r="O4" s="832"/>
      <c r="P4" s="833"/>
      <c r="Q4" s="831"/>
      <c r="R4" s="803"/>
      <c r="S4" s="800" t="s">
        <v>94</v>
      </c>
      <c r="T4" s="848"/>
      <c r="U4" s="848"/>
      <c r="V4" s="848"/>
      <c r="W4" s="848"/>
      <c r="X4" s="848"/>
      <c r="Y4" s="849"/>
      <c r="Z4" s="849"/>
      <c r="AA4" s="851"/>
      <c r="AB4" s="851"/>
      <c r="AC4" s="851"/>
      <c r="AD4" s="850"/>
      <c r="AE4" s="850"/>
      <c r="AF4" s="850"/>
      <c r="AG4" s="850"/>
      <c r="AH4" s="850"/>
      <c r="AI4" s="850"/>
    </row>
    <row r="5" spans="1:35">
      <c r="A5" s="791"/>
      <c r="B5" s="793"/>
      <c r="C5" s="792">
        <v>493</v>
      </c>
      <c r="D5" s="49"/>
      <c r="E5" s="49"/>
      <c r="F5" s="49" t="s">
        <v>75</v>
      </c>
      <c r="G5" s="49"/>
      <c r="H5" s="49"/>
      <c r="I5" s="49"/>
      <c r="J5" s="49"/>
      <c r="K5" s="49"/>
      <c r="L5" s="796">
        <v>1</v>
      </c>
      <c r="M5" s="830"/>
      <c r="N5" s="832"/>
      <c r="O5" s="832"/>
      <c r="P5" s="833"/>
      <c r="Q5" s="831"/>
      <c r="R5" s="803"/>
      <c r="S5" s="801"/>
      <c r="T5" s="848"/>
      <c r="U5" s="848"/>
      <c r="V5" s="848"/>
      <c r="W5" s="848"/>
      <c r="X5" s="848"/>
      <c r="Y5" s="849"/>
      <c r="Z5" s="849"/>
      <c r="AA5" s="849"/>
      <c r="AB5" s="849"/>
      <c r="AC5" s="849"/>
      <c r="AD5" s="850"/>
      <c r="AE5" s="850"/>
      <c r="AF5" s="850"/>
      <c r="AG5" s="850"/>
      <c r="AH5" s="850"/>
      <c r="AI5" s="850"/>
    </row>
    <row r="6" spans="1:35" ht="12.75" customHeight="1">
      <c r="A6" s="77"/>
      <c r="B6" s="84"/>
      <c r="C6" s="79">
        <v>403</v>
      </c>
      <c r="D6" s="86"/>
      <c r="E6" s="86"/>
      <c r="F6" s="86" t="s">
        <v>76</v>
      </c>
      <c r="G6" s="86"/>
      <c r="H6" s="86"/>
      <c r="I6" s="86"/>
      <c r="J6" s="86"/>
      <c r="K6" s="86"/>
      <c r="L6" s="834" t="s">
        <v>144</v>
      </c>
      <c r="M6" s="835"/>
      <c r="N6" s="835"/>
      <c r="O6" s="836"/>
      <c r="P6" s="834"/>
      <c r="Q6" s="835"/>
      <c r="R6" s="835"/>
      <c r="S6" s="836"/>
      <c r="T6" s="106"/>
      <c r="U6" s="835"/>
      <c r="V6" s="835"/>
      <c r="W6" s="836"/>
      <c r="X6" s="106"/>
      <c r="Y6" s="864"/>
      <c r="Z6" s="864"/>
      <c r="AA6" s="865"/>
      <c r="AB6" s="866"/>
      <c r="AC6" s="864"/>
      <c r="AD6" s="864"/>
      <c r="AE6" s="867"/>
      <c r="AF6" s="866"/>
      <c r="AG6" s="864"/>
      <c r="AH6" s="864"/>
      <c r="AI6" s="865"/>
    </row>
    <row r="7" spans="1:35">
      <c r="A7" s="330">
        <v>261084</v>
      </c>
      <c r="B7" s="216" t="s">
        <v>97</v>
      </c>
      <c r="C7" s="165"/>
      <c r="D7" s="535" t="s">
        <v>98</v>
      </c>
      <c r="E7" s="536">
        <v>0</v>
      </c>
      <c r="F7" s="537" t="s">
        <v>1674</v>
      </c>
      <c r="G7" s="430" t="s">
        <v>103</v>
      </c>
      <c r="H7" s="539" t="s">
        <v>98</v>
      </c>
      <c r="I7" s="539" t="s">
        <v>98</v>
      </c>
      <c r="J7" s="540">
        <v>1</v>
      </c>
      <c r="K7" s="430" t="s">
        <v>144</v>
      </c>
      <c r="L7" s="532">
        <v>1</v>
      </c>
      <c r="M7" s="854"/>
      <c r="N7" s="855"/>
      <c r="O7" s="852"/>
      <c r="P7" s="532"/>
      <c r="Q7" s="854"/>
      <c r="R7" s="855"/>
      <c r="S7" s="852">
        <v>1</v>
      </c>
      <c r="T7" s="853">
        <v>1</v>
      </c>
      <c r="U7" s="854">
        <v>1</v>
      </c>
      <c r="V7" s="855">
        <v>1</v>
      </c>
      <c r="W7" s="852">
        <v>1</v>
      </c>
      <c r="X7" s="853">
        <v>1</v>
      </c>
      <c r="Y7" s="856">
        <v>45</v>
      </c>
      <c r="Z7" s="857">
        <v>1</v>
      </c>
      <c r="AA7" s="858">
        <v>1</v>
      </c>
      <c r="AB7" s="859">
        <v>1</v>
      </c>
      <c r="AC7" s="860" t="s">
        <v>3089</v>
      </c>
      <c r="AD7" s="861">
        <v>1</v>
      </c>
      <c r="AE7" s="862">
        <v>1</v>
      </c>
      <c r="AF7" s="859">
        <v>1</v>
      </c>
      <c r="AG7" s="860">
        <v>1</v>
      </c>
      <c r="AH7" s="861">
        <v>1</v>
      </c>
      <c r="AI7" s="863">
        <v>1</v>
      </c>
    </row>
    <row r="8" spans="1:35" ht="12.75" customHeight="1">
      <c r="A8" s="330">
        <v>160379</v>
      </c>
      <c r="B8" s="216" t="s">
        <v>582</v>
      </c>
      <c r="C8" s="334"/>
      <c r="D8" s="515">
        <v>5</v>
      </c>
      <c r="E8" s="343" t="s">
        <v>98</v>
      </c>
      <c r="F8" s="437" t="s">
        <v>1174</v>
      </c>
      <c r="G8" s="438" t="s">
        <v>93</v>
      </c>
      <c r="H8" s="455" t="s">
        <v>98</v>
      </c>
      <c r="I8" s="455" t="s">
        <v>98</v>
      </c>
      <c r="J8" s="336">
        <v>0</v>
      </c>
      <c r="K8" s="438" t="s">
        <v>96</v>
      </c>
      <c r="L8" s="440">
        <v>14.700000000000001</v>
      </c>
      <c r="M8" s="336"/>
      <c r="N8" s="337">
        <v>1</v>
      </c>
      <c r="O8" s="455">
        <v>1.2423359171267643</v>
      </c>
      <c r="P8" s="440" t="s">
        <v>3090</v>
      </c>
      <c r="Q8" s="336"/>
      <c r="R8" s="337" t="s">
        <v>1675</v>
      </c>
      <c r="S8" s="837">
        <v>2</v>
      </c>
      <c r="T8" s="838">
        <v>1</v>
      </c>
      <c r="U8" s="839">
        <v>3</v>
      </c>
      <c r="V8" s="839">
        <v>1</v>
      </c>
      <c r="W8" s="837">
        <v>1</v>
      </c>
      <c r="X8" s="838">
        <v>5</v>
      </c>
      <c r="Y8" s="840">
        <v>3</v>
      </c>
      <c r="Z8" s="841">
        <v>1.05</v>
      </c>
      <c r="AA8" s="842">
        <v>1.2354522921220721</v>
      </c>
      <c r="AB8" s="843">
        <v>1.2423359171267643</v>
      </c>
      <c r="AC8" s="844" t="s">
        <v>3091</v>
      </c>
      <c r="AD8" s="845">
        <v>1.05</v>
      </c>
      <c r="AE8" s="846">
        <v>1</v>
      </c>
      <c r="AF8" s="843">
        <v>1.1000000000000001</v>
      </c>
      <c r="AG8" s="845">
        <v>1</v>
      </c>
      <c r="AH8" s="845">
        <v>1</v>
      </c>
      <c r="AI8" s="847">
        <v>1.2</v>
      </c>
    </row>
    <row r="9" spans="1:35" ht="12.75" customHeight="1">
      <c r="A9" s="330">
        <v>269435</v>
      </c>
      <c r="B9" s="216"/>
      <c r="C9" s="334"/>
      <c r="D9" s="515">
        <v>5</v>
      </c>
      <c r="E9" s="343" t="s">
        <v>98</v>
      </c>
      <c r="F9" s="437" t="s">
        <v>1194</v>
      </c>
      <c r="G9" s="438" t="s">
        <v>93</v>
      </c>
      <c r="H9" s="455" t="s">
        <v>98</v>
      </c>
      <c r="I9" s="455" t="s">
        <v>98</v>
      </c>
      <c r="J9" s="336">
        <v>0</v>
      </c>
      <c r="K9" s="438" t="s">
        <v>96</v>
      </c>
      <c r="L9" s="440">
        <v>14.700000000000001</v>
      </c>
      <c r="M9" s="336"/>
      <c r="N9" s="337">
        <v>1</v>
      </c>
      <c r="O9" s="455">
        <v>1.2423359171267643</v>
      </c>
      <c r="P9" s="440" t="s">
        <v>3092</v>
      </c>
      <c r="Q9" s="336"/>
      <c r="R9" s="337" t="s">
        <v>1401</v>
      </c>
      <c r="S9" s="837">
        <v>2</v>
      </c>
      <c r="T9" s="838">
        <v>1</v>
      </c>
      <c r="U9" s="839">
        <v>3</v>
      </c>
      <c r="V9" s="839">
        <v>1</v>
      </c>
      <c r="W9" s="837">
        <v>1</v>
      </c>
      <c r="X9" s="838">
        <v>5</v>
      </c>
      <c r="Y9" s="840">
        <v>3</v>
      </c>
      <c r="Z9" s="841">
        <v>1.05</v>
      </c>
      <c r="AA9" s="842">
        <v>1.2354522921220721</v>
      </c>
      <c r="AB9" s="843">
        <v>1.2423359171267643</v>
      </c>
      <c r="AC9" s="844" t="s">
        <v>3091</v>
      </c>
      <c r="AD9" s="845">
        <v>1.05</v>
      </c>
      <c r="AE9" s="846">
        <v>1</v>
      </c>
      <c r="AF9" s="843">
        <v>1.1000000000000001</v>
      </c>
      <c r="AG9" s="845">
        <v>1</v>
      </c>
      <c r="AH9" s="845">
        <v>1</v>
      </c>
      <c r="AI9" s="847">
        <v>1.2</v>
      </c>
    </row>
    <row r="10" spans="1:35" ht="12.75" customHeight="1">
      <c r="A10" s="330">
        <v>267362</v>
      </c>
      <c r="B10" s="216"/>
      <c r="C10" s="334"/>
      <c r="D10" s="515">
        <v>5</v>
      </c>
      <c r="E10" s="343" t="s">
        <v>98</v>
      </c>
      <c r="F10" s="437" t="s">
        <v>1676</v>
      </c>
      <c r="G10" s="438" t="s">
        <v>103</v>
      </c>
      <c r="H10" s="455" t="s">
        <v>98</v>
      </c>
      <c r="I10" s="455" t="s">
        <v>98</v>
      </c>
      <c r="J10" s="336">
        <v>0</v>
      </c>
      <c r="K10" s="438" t="s">
        <v>96</v>
      </c>
      <c r="L10" s="440">
        <v>0.02</v>
      </c>
      <c r="M10" s="336"/>
      <c r="N10" s="337">
        <v>1</v>
      </c>
      <c r="O10" s="455">
        <v>1.2423359171267643</v>
      </c>
      <c r="P10" s="440" t="s">
        <v>3093</v>
      </c>
      <c r="Q10" s="336"/>
      <c r="R10" s="337" t="s">
        <v>253</v>
      </c>
      <c r="S10" s="837">
        <v>2</v>
      </c>
      <c r="T10" s="838">
        <v>1</v>
      </c>
      <c r="U10" s="839">
        <v>3</v>
      </c>
      <c r="V10" s="839">
        <v>1</v>
      </c>
      <c r="W10" s="837">
        <v>1</v>
      </c>
      <c r="X10" s="838">
        <v>5</v>
      </c>
      <c r="Y10" s="840">
        <v>3</v>
      </c>
      <c r="Z10" s="841">
        <v>1.05</v>
      </c>
      <c r="AA10" s="842">
        <v>1.2354522921220721</v>
      </c>
      <c r="AB10" s="843">
        <v>1.2423359171267643</v>
      </c>
      <c r="AC10" s="844" t="s">
        <v>3091</v>
      </c>
      <c r="AD10" s="845">
        <v>1.05</v>
      </c>
      <c r="AE10" s="846">
        <v>1</v>
      </c>
      <c r="AF10" s="843">
        <v>1.1000000000000001</v>
      </c>
      <c r="AG10" s="845">
        <v>1</v>
      </c>
      <c r="AH10" s="845">
        <v>1</v>
      </c>
      <c r="AI10" s="847">
        <v>1.2</v>
      </c>
    </row>
    <row r="11" spans="1:35" ht="12.75" customHeight="1">
      <c r="A11" s="330">
        <v>78250</v>
      </c>
      <c r="B11" s="216"/>
      <c r="C11" s="334"/>
      <c r="D11" s="515">
        <v>5</v>
      </c>
      <c r="E11" s="343" t="s">
        <v>98</v>
      </c>
      <c r="F11" s="437" t="s">
        <v>238</v>
      </c>
      <c r="G11" s="438" t="s">
        <v>93</v>
      </c>
      <c r="H11" s="455" t="s">
        <v>98</v>
      </c>
      <c r="I11" s="455" t="s">
        <v>98</v>
      </c>
      <c r="J11" s="336">
        <v>0</v>
      </c>
      <c r="K11" s="438" t="s">
        <v>96</v>
      </c>
      <c r="L11" s="440">
        <v>0.04</v>
      </c>
      <c r="M11" s="336"/>
      <c r="N11" s="337">
        <v>1</v>
      </c>
      <c r="O11" s="455">
        <v>1.2423359171267643</v>
      </c>
      <c r="P11" s="440" t="s">
        <v>3093</v>
      </c>
      <c r="Q11" s="336"/>
      <c r="R11" s="337" t="s">
        <v>253</v>
      </c>
      <c r="S11" s="837">
        <v>2</v>
      </c>
      <c r="T11" s="838">
        <v>1</v>
      </c>
      <c r="U11" s="839">
        <v>3</v>
      </c>
      <c r="V11" s="839">
        <v>1</v>
      </c>
      <c r="W11" s="837">
        <v>1</v>
      </c>
      <c r="X11" s="838">
        <v>5</v>
      </c>
      <c r="Y11" s="840">
        <v>3</v>
      </c>
      <c r="Z11" s="841">
        <v>1.05</v>
      </c>
      <c r="AA11" s="842">
        <v>1.2354522921220721</v>
      </c>
      <c r="AB11" s="843">
        <v>1.2423359171267643</v>
      </c>
      <c r="AC11" s="844" t="s">
        <v>3091</v>
      </c>
      <c r="AD11" s="845">
        <v>1.05</v>
      </c>
      <c r="AE11" s="846">
        <v>1</v>
      </c>
      <c r="AF11" s="843">
        <v>1.1000000000000001</v>
      </c>
      <c r="AG11" s="845">
        <v>1</v>
      </c>
      <c r="AH11" s="845">
        <v>1</v>
      </c>
      <c r="AI11" s="847">
        <v>1.2</v>
      </c>
    </row>
    <row r="12" spans="1:35" ht="12.75" customHeight="1">
      <c r="A12" s="330">
        <v>160377</v>
      </c>
      <c r="B12" s="216"/>
      <c r="C12" s="334"/>
      <c r="D12" s="515">
        <v>5</v>
      </c>
      <c r="E12" s="343" t="s">
        <v>98</v>
      </c>
      <c r="F12" s="437" t="s">
        <v>819</v>
      </c>
      <c r="G12" s="438" t="s">
        <v>93</v>
      </c>
      <c r="H12" s="455" t="s">
        <v>98</v>
      </c>
      <c r="I12" s="455" t="s">
        <v>98</v>
      </c>
      <c r="J12" s="336">
        <v>0</v>
      </c>
      <c r="K12" s="438" t="s">
        <v>96</v>
      </c>
      <c r="L12" s="440">
        <v>0.86</v>
      </c>
      <c r="M12" s="336"/>
      <c r="N12" s="337">
        <v>1</v>
      </c>
      <c r="O12" s="455">
        <v>1.2423359171267643</v>
      </c>
      <c r="P12" s="440" t="s">
        <v>3090</v>
      </c>
      <c r="Q12" s="336"/>
      <c r="R12" s="337" t="s">
        <v>1675</v>
      </c>
      <c r="S12" s="837">
        <v>2</v>
      </c>
      <c r="T12" s="838">
        <v>1</v>
      </c>
      <c r="U12" s="839">
        <v>3</v>
      </c>
      <c r="V12" s="839">
        <v>1</v>
      </c>
      <c r="W12" s="837">
        <v>1</v>
      </c>
      <c r="X12" s="838">
        <v>5</v>
      </c>
      <c r="Y12" s="840">
        <v>3</v>
      </c>
      <c r="Z12" s="841">
        <v>1.05</v>
      </c>
      <c r="AA12" s="842">
        <v>1.2354522921220721</v>
      </c>
      <c r="AB12" s="843">
        <v>1.2423359171267643</v>
      </c>
      <c r="AC12" s="844" t="s">
        <v>3091</v>
      </c>
      <c r="AD12" s="845">
        <v>1.05</v>
      </c>
      <c r="AE12" s="846">
        <v>1</v>
      </c>
      <c r="AF12" s="843">
        <v>1.1000000000000001</v>
      </c>
      <c r="AG12" s="845">
        <v>1</v>
      </c>
      <c r="AH12" s="845">
        <v>1</v>
      </c>
      <c r="AI12" s="847">
        <v>1.2</v>
      </c>
    </row>
    <row r="13" spans="1:35" ht="12.75" customHeight="1">
      <c r="A13" s="330">
        <v>267352</v>
      </c>
      <c r="B13" s="216"/>
      <c r="C13" s="334"/>
      <c r="D13" s="515">
        <v>5</v>
      </c>
      <c r="E13" s="343" t="s">
        <v>98</v>
      </c>
      <c r="F13" s="437" t="s">
        <v>1677</v>
      </c>
      <c r="G13" s="438" t="s">
        <v>93</v>
      </c>
      <c r="H13" s="455" t="s">
        <v>98</v>
      </c>
      <c r="I13" s="455" t="s">
        <v>98</v>
      </c>
      <c r="J13" s="336">
        <v>0</v>
      </c>
      <c r="K13" s="438" t="s">
        <v>96</v>
      </c>
      <c r="L13" s="440">
        <v>0.23</v>
      </c>
      <c r="M13" s="336"/>
      <c r="N13" s="337">
        <v>1</v>
      </c>
      <c r="O13" s="455">
        <v>1.2423359171267643</v>
      </c>
      <c r="P13" s="440" t="s">
        <v>3093</v>
      </c>
      <c r="Q13" s="336"/>
      <c r="R13" s="337" t="s">
        <v>253</v>
      </c>
      <c r="S13" s="837">
        <v>2</v>
      </c>
      <c r="T13" s="838">
        <v>1</v>
      </c>
      <c r="U13" s="839">
        <v>3</v>
      </c>
      <c r="V13" s="839">
        <v>1</v>
      </c>
      <c r="W13" s="837">
        <v>1</v>
      </c>
      <c r="X13" s="838">
        <v>5</v>
      </c>
      <c r="Y13" s="840">
        <v>3</v>
      </c>
      <c r="Z13" s="841">
        <v>1.05</v>
      </c>
      <c r="AA13" s="842">
        <v>1.2354522921220721</v>
      </c>
      <c r="AB13" s="843">
        <v>1.2423359171267643</v>
      </c>
      <c r="AC13" s="844" t="s">
        <v>3091</v>
      </c>
      <c r="AD13" s="845">
        <v>1.05</v>
      </c>
      <c r="AE13" s="846">
        <v>1</v>
      </c>
      <c r="AF13" s="843">
        <v>1.1000000000000001</v>
      </c>
      <c r="AG13" s="845">
        <v>1</v>
      </c>
      <c r="AH13" s="845">
        <v>1</v>
      </c>
      <c r="AI13" s="847">
        <v>1.2</v>
      </c>
    </row>
    <row r="14" spans="1:35" ht="12.75" customHeight="1">
      <c r="A14" s="330">
        <v>269327</v>
      </c>
      <c r="B14" s="216"/>
      <c r="C14" s="334"/>
      <c r="D14" s="515">
        <v>5</v>
      </c>
      <c r="E14" s="343" t="s">
        <v>98</v>
      </c>
      <c r="F14" s="437" t="s">
        <v>492</v>
      </c>
      <c r="G14" s="438" t="s">
        <v>93</v>
      </c>
      <c r="H14" s="455" t="s">
        <v>98</v>
      </c>
      <c r="I14" s="455" t="s">
        <v>98</v>
      </c>
      <c r="J14" s="336">
        <v>0</v>
      </c>
      <c r="K14" s="438" t="s">
        <v>96</v>
      </c>
      <c r="L14" s="440">
        <v>14.43</v>
      </c>
      <c r="M14" s="336"/>
      <c r="N14" s="337">
        <v>1</v>
      </c>
      <c r="O14" s="455">
        <v>1.2423359171267643</v>
      </c>
      <c r="P14" s="440" t="s">
        <v>3094</v>
      </c>
      <c r="Q14" s="336"/>
      <c r="R14" s="337" t="s">
        <v>1678</v>
      </c>
      <c r="S14" s="837">
        <v>2</v>
      </c>
      <c r="T14" s="838">
        <v>1</v>
      </c>
      <c r="U14" s="839">
        <v>3</v>
      </c>
      <c r="V14" s="839">
        <v>1</v>
      </c>
      <c r="W14" s="837">
        <v>1</v>
      </c>
      <c r="X14" s="838">
        <v>5</v>
      </c>
      <c r="Y14" s="840">
        <v>3</v>
      </c>
      <c r="Z14" s="841">
        <v>1.05</v>
      </c>
      <c r="AA14" s="842">
        <v>1.2354522921220721</v>
      </c>
      <c r="AB14" s="843">
        <v>1.2423359171267643</v>
      </c>
      <c r="AC14" s="844" t="s">
        <v>3091</v>
      </c>
      <c r="AD14" s="845">
        <v>1.05</v>
      </c>
      <c r="AE14" s="846">
        <v>1</v>
      </c>
      <c r="AF14" s="843">
        <v>1.1000000000000001</v>
      </c>
      <c r="AG14" s="845">
        <v>1</v>
      </c>
      <c r="AH14" s="845">
        <v>1</v>
      </c>
      <c r="AI14" s="847">
        <v>1.2</v>
      </c>
    </row>
    <row r="15" spans="1:35" ht="12.75" customHeight="1">
      <c r="A15" s="330">
        <v>268941</v>
      </c>
      <c r="B15" s="216"/>
      <c r="C15" s="334"/>
      <c r="D15" s="515">
        <v>5</v>
      </c>
      <c r="E15" s="343" t="s">
        <v>98</v>
      </c>
      <c r="F15" s="437" t="s">
        <v>1679</v>
      </c>
      <c r="G15" s="438" t="s">
        <v>93</v>
      </c>
      <c r="H15" s="455" t="s">
        <v>98</v>
      </c>
      <c r="I15" s="455" t="s">
        <v>98</v>
      </c>
      <c r="J15" s="336">
        <v>0</v>
      </c>
      <c r="K15" s="438" t="s">
        <v>96</v>
      </c>
      <c r="L15" s="440">
        <v>2.13</v>
      </c>
      <c r="M15" s="336"/>
      <c r="N15" s="337">
        <v>1</v>
      </c>
      <c r="O15" s="455">
        <v>1.2423359171267643</v>
      </c>
      <c r="P15" s="440" t="s">
        <v>3093</v>
      </c>
      <c r="Q15" s="336"/>
      <c r="R15" s="337" t="s">
        <v>253</v>
      </c>
      <c r="S15" s="837">
        <v>2</v>
      </c>
      <c r="T15" s="838">
        <v>1</v>
      </c>
      <c r="U15" s="839">
        <v>3</v>
      </c>
      <c r="V15" s="839">
        <v>1</v>
      </c>
      <c r="W15" s="837">
        <v>1</v>
      </c>
      <c r="X15" s="838">
        <v>5</v>
      </c>
      <c r="Y15" s="840">
        <v>3</v>
      </c>
      <c r="Z15" s="841">
        <v>1.05</v>
      </c>
      <c r="AA15" s="842">
        <v>1.2354522921220721</v>
      </c>
      <c r="AB15" s="843">
        <v>1.2423359171267643</v>
      </c>
      <c r="AC15" s="844" t="s">
        <v>3091</v>
      </c>
      <c r="AD15" s="845">
        <v>1.05</v>
      </c>
      <c r="AE15" s="846">
        <v>1</v>
      </c>
      <c r="AF15" s="843">
        <v>1.1000000000000001</v>
      </c>
      <c r="AG15" s="845">
        <v>1</v>
      </c>
      <c r="AH15" s="845">
        <v>1</v>
      </c>
      <c r="AI15" s="847">
        <v>1.2</v>
      </c>
    </row>
    <row r="16" spans="1:35" ht="12.75" customHeight="1">
      <c r="A16" s="330">
        <v>264977</v>
      </c>
      <c r="B16" s="216"/>
      <c r="C16" s="334"/>
      <c r="D16" s="515">
        <v>5</v>
      </c>
      <c r="E16" s="343" t="s">
        <v>98</v>
      </c>
      <c r="F16" s="437" t="s">
        <v>1680</v>
      </c>
      <c r="G16" s="438" t="s">
        <v>93</v>
      </c>
      <c r="H16" s="455" t="s">
        <v>98</v>
      </c>
      <c r="I16" s="455" t="s">
        <v>98</v>
      </c>
      <c r="J16" s="336">
        <v>0</v>
      </c>
      <c r="K16" s="438" t="s">
        <v>96</v>
      </c>
      <c r="L16" s="440">
        <v>0.2</v>
      </c>
      <c r="M16" s="336"/>
      <c r="N16" s="337">
        <v>1</v>
      </c>
      <c r="O16" s="455">
        <v>1.2423359171267643</v>
      </c>
      <c r="P16" s="440" t="s">
        <v>3093</v>
      </c>
      <c r="Q16" s="336"/>
      <c r="R16" s="337" t="s">
        <v>253</v>
      </c>
      <c r="S16" s="837">
        <v>2</v>
      </c>
      <c r="T16" s="838">
        <v>1</v>
      </c>
      <c r="U16" s="839">
        <v>3</v>
      </c>
      <c r="V16" s="839">
        <v>1</v>
      </c>
      <c r="W16" s="837">
        <v>1</v>
      </c>
      <c r="X16" s="838">
        <v>5</v>
      </c>
      <c r="Y16" s="840">
        <v>3</v>
      </c>
      <c r="Z16" s="841">
        <v>1.05</v>
      </c>
      <c r="AA16" s="842">
        <v>1.2354522921220721</v>
      </c>
      <c r="AB16" s="843">
        <v>1.2423359171267643</v>
      </c>
      <c r="AC16" s="844" t="s">
        <v>3091</v>
      </c>
      <c r="AD16" s="845">
        <v>1.05</v>
      </c>
      <c r="AE16" s="846">
        <v>1</v>
      </c>
      <c r="AF16" s="843">
        <v>1.1000000000000001</v>
      </c>
      <c r="AG16" s="845">
        <v>1</v>
      </c>
      <c r="AH16" s="845">
        <v>1</v>
      </c>
      <c r="AI16" s="847">
        <v>1.2</v>
      </c>
    </row>
    <row r="17" spans="1:35" ht="12.75" customHeight="1">
      <c r="A17" s="330">
        <v>268383</v>
      </c>
      <c r="B17" s="216"/>
      <c r="C17" s="334"/>
      <c r="D17" s="515">
        <v>5</v>
      </c>
      <c r="E17" s="343" t="s">
        <v>98</v>
      </c>
      <c r="F17" s="437" t="s">
        <v>824</v>
      </c>
      <c r="G17" s="438" t="s">
        <v>93</v>
      </c>
      <c r="H17" s="455" t="s">
        <v>98</v>
      </c>
      <c r="I17" s="455" t="s">
        <v>98</v>
      </c>
      <c r="J17" s="336">
        <v>0</v>
      </c>
      <c r="K17" s="438" t="s">
        <v>96</v>
      </c>
      <c r="L17" s="440">
        <v>2E-3</v>
      </c>
      <c r="M17" s="336"/>
      <c r="N17" s="337">
        <v>1</v>
      </c>
      <c r="O17" s="455">
        <v>1.2423359171267643</v>
      </c>
      <c r="P17" s="440" t="s">
        <v>3093</v>
      </c>
      <c r="Q17" s="336"/>
      <c r="R17" s="337" t="s">
        <v>253</v>
      </c>
      <c r="S17" s="837">
        <v>2</v>
      </c>
      <c r="T17" s="838">
        <v>1</v>
      </c>
      <c r="U17" s="839">
        <v>3</v>
      </c>
      <c r="V17" s="839">
        <v>1</v>
      </c>
      <c r="W17" s="837">
        <v>1</v>
      </c>
      <c r="X17" s="838">
        <v>5</v>
      </c>
      <c r="Y17" s="840">
        <v>3</v>
      </c>
      <c r="Z17" s="841">
        <v>1.05</v>
      </c>
      <c r="AA17" s="842">
        <v>1.2354522921220721</v>
      </c>
      <c r="AB17" s="843">
        <v>1.2423359171267643</v>
      </c>
      <c r="AC17" s="844" t="s">
        <v>3091</v>
      </c>
      <c r="AD17" s="845">
        <v>1.05</v>
      </c>
      <c r="AE17" s="846">
        <v>1</v>
      </c>
      <c r="AF17" s="843">
        <v>1.1000000000000001</v>
      </c>
      <c r="AG17" s="845">
        <v>1</v>
      </c>
      <c r="AH17" s="845">
        <v>1</v>
      </c>
      <c r="AI17" s="847">
        <v>1.2</v>
      </c>
    </row>
    <row r="18" spans="1:35" ht="12.75" customHeight="1">
      <c r="A18" s="330">
        <v>265629</v>
      </c>
      <c r="B18" s="216" t="s">
        <v>322</v>
      </c>
      <c r="C18" s="334"/>
      <c r="D18" s="515">
        <v>5</v>
      </c>
      <c r="E18" s="343" t="s">
        <v>98</v>
      </c>
      <c r="F18" s="437" t="s">
        <v>1681</v>
      </c>
      <c r="G18" s="438" t="s">
        <v>103</v>
      </c>
      <c r="H18" s="455" t="s">
        <v>98</v>
      </c>
      <c r="I18" s="455" t="s">
        <v>98</v>
      </c>
      <c r="J18" s="336">
        <v>0</v>
      </c>
      <c r="K18" s="438" t="s">
        <v>115</v>
      </c>
      <c r="L18" s="440">
        <v>2.8387200000000008</v>
      </c>
      <c r="M18" s="336"/>
      <c r="N18" s="337">
        <v>1</v>
      </c>
      <c r="O18" s="455">
        <v>2.0949941301068096</v>
      </c>
      <c r="P18" s="440" t="s">
        <v>3095</v>
      </c>
      <c r="Q18" s="336"/>
      <c r="R18" s="337" t="s">
        <v>1682</v>
      </c>
      <c r="S18" s="837">
        <v>4</v>
      </c>
      <c r="T18" s="838">
        <v>5</v>
      </c>
      <c r="U18" s="839" t="s">
        <v>106</v>
      </c>
      <c r="V18" s="839" t="s">
        <v>106</v>
      </c>
      <c r="W18" s="837" t="s">
        <v>106</v>
      </c>
      <c r="X18" s="838" t="s">
        <v>106</v>
      </c>
      <c r="Y18" s="840">
        <v>5</v>
      </c>
      <c r="Z18" s="841">
        <v>2</v>
      </c>
      <c r="AA18" s="842">
        <v>1.2941338353151037</v>
      </c>
      <c r="AB18" s="843">
        <v>2.0949941301068096</v>
      </c>
      <c r="AC18" s="844" t="s">
        <v>274</v>
      </c>
      <c r="AD18" s="845">
        <v>1.2</v>
      </c>
      <c r="AE18" s="846">
        <v>1.2</v>
      </c>
      <c r="AF18" s="843">
        <v>1</v>
      </c>
      <c r="AG18" s="845">
        <v>1</v>
      </c>
      <c r="AH18" s="845">
        <v>1</v>
      </c>
      <c r="AI18" s="847">
        <v>1</v>
      </c>
    </row>
    <row r="19" spans="1:35" ht="12.75" customHeight="1">
      <c r="A19" s="330">
        <v>265337</v>
      </c>
      <c r="B19" s="216"/>
      <c r="C19" s="334"/>
      <c r="D19" s="515">
        <v>5</v>
      </c>
      <c r="E19" s="343" t="s">
        <v>98</v>
      </c>
      <c r="F19" s="437" t="s">
        <v>1683</v>
      </c>
      <c r="G19" s="438" t="s">
        <v>103</v>
      </c>
      <c r="H19" s="455" t="s">
        <v>98</v>
      </c>
      <c r="I19" s="455" t="s">
        <v>98</v>
      </c>
      <c r="J19" s="336">
        <v>0</v>
      </c>
      <c r="K19" s="438" t="s">
        <v>115</v>
      </c>
      <c r="L19" s="440">
        <v>21.590399999999999</v>
      </c>
      <c r="M19" s="336"/>
      <c r="N19" s="337">
        <v>1</v>
      </c>
      <c r="O19" s="455">
        <v>2.0949941301068096</v>
      </c>
      <c r="P19" s="440" t="s">
        <v>3096</v>
      </c>
      <c r="Q19" s="336"/>
      <c r="R19" s="337" t="s">
        <v>1684</v>
      </c>
      <c r="S19" s="837">
        <v>4</v>
      </c>
      <c r="T19" s="838">
        <v>5</v>
      </c>
      <c r="U19" s="839" t="s">
        <v>106</v>
      </c>
      <c r="V19" s="839" t="s">
        <v>106</v>
      </c>
      <c r="W19" s="837" t="s">
        <v>106</v>
      </c>
      <c r="X19" s="838" t="s">
        <v>106</v>
      </c>
      <c r="Y19" s="840">
        <v>5</v>
      </c>
      <c r="Z19" s="841">
        <v>2</v>
      </c>
      <c r="AA19" s="842">
        <v>1.2941338353151037</v>
      </c>
      <c r="AB19" s="843">
        <v>2.0949941301068096</v>
      </c>
      <c r="AC19" s="844" t="s">
        <v>274</v>
      </c>
      <c r="AD19" s="845">
        <v>1.2</v>
      </c>
      <c r="AE19" s="846">
        <v>1.2</v>
      </c>
      <c r="AF19" s="843">
        <v>1</v>
      </c>
      <c r="AG19" s="845">
        <v>1</v>
      </c>
      <c r="AH19" s="845">
        <v>1</v>
      </c>
      <c r="AI19" s="847">
        <v>1</v>
      </c>
    </row>
    <row r="20" spans="1:35" ht="24" customHeight="1">
      <c r="A20" s="330">
        <v>267626</v>
      </c>
      <c r="B20" s="216" t="s">
        <v>511</v>
      </c>
      <c r="C20" s="334" t="s">
        <v>1685</v>
      </c>
      <c r="D20" s="515">
        <v>5</v>
      </c>
      <c r="E20" s="343" t="s">
        <v>98</v>
      </c>
      <c r="F20" s="437" t="s">
        <v>1686</v>
      </c>
      <c r="G20" s="438" t="s">
        <v>103</v>
      </c>
      <c r="H20" s="455" t="s">
        <v>98</v>
      </c>
      <c r="I20" s="455" t="s">
        <v>98</v>
      </c>
      <c r="J20" s="336">
        <v>0</v>
      </c>
      <c r="K20" s="438" t="s">
        <v>96</v>
      </c>
      <c r="L20" s="440">
        <v>16.991999999999997</v>
      </c>
      <c r="M20" s="336"/>
      <c r="N20" s="337">
        <v>1</v>
      </c>
      <c r="O20" s="455">
        <v>1.2423359171267643</v>
      </c>
      <c r="P20" s="440" t="s">
        <v>3097</v>
      </c>
      <c r="Q20" s="336"/>
      <c r="R20" s="337" t="s">
        <v>251</v>
      </c>
      <c r="S20" s="837">
        <v>2</v>
      </c>
      <c r="T20" s="838">
        <v>1</v>
      </c>
      <c r="U20" s="839">
        <v>3</v>
      </c>
      <c r="V20" s="839">
        <v>1</v>
      </c>
      <c r="W20" s="837">
        <v>1</v>
      </c>
      <c r="X20" s="838">
        <v>5</v>
      </c>
      <c r="Y20" s="840">
        <v>6</v>
      </c>
      <c r="Z20" s="841">
        <v>1.05</v>
      </c>
      <c r="AA20" s="842">
        <v>1.2354522921220721</v>
      </c>
      <c r="AB20" s="843">
        <v>1.2423359171267643</v>
      </c>
      <c r="AC20" s="844" t="s">
        <v>3091</v>
      </c>
      <c r="AD20" s="845">
        <v>1.05</v>
      </c>
      <c r="AE20" s="846">
        <v>1</v>
      </c>
      <c r="AF20" s="843">
        <v>1.1000000000000001</v>
      </c>
      <c r="AG20" s="845">
        <v>1</v>
      </c>
      <c r="AH20" s="845">
        <v>1</v>
      </c>
      <c r="AI20" s="847">
        <v>1.2</v>
      </c>
    </row>
    <row r="21" spans="1:35" ht="12.75" customHeight="1">
      <c r="A21" s="330">
        <v>262889</v>
      </c>
      <c r="B21" s="216"/>
      <c r="C21" s="334" t="s">
        <v>1685</v>
      </c>
      <c r="D21" s="515">
        <v>5</v>
      </c>
      <c r="E21" s="343" t="s">
        <v>98</v>
      </c>
      <c r="F21" s="437" t="s">
        <v>1687</v>
      </c>
      <c r="G21" s="438" t="s">
        <v>103</v>
      </c>
      <c r="H21" s="455" t="s">
        <v>98</v>
      </c>
      <c r="I21" s="455" t="s">
        <v>98</v>
      </c>
      <c r="J21" s="336">
        <v>0</v>
      </c>
      <c r="K21" s="438" t="s">
        <v>96</v>
      </c>
      <c r="L21" s="440">
        <v>0.06</v>
      </c>
      <c r="M21" s="336"/>
      <c r="N21" s="337">
        <v>1</v>
      </c>
      <c r="O21" s="455">
        <v>1.2423359171267643</v>
      </c>
      <c r="P21" s="440" t="s">
        <v>3097</v>
      </c>
      <c r="Q21" s="336"/>
      <c r="R21" s="337" t="s">
        <v>251</v>
      </c>
      <c r="S21" s="837">
        <v>2</v>
      </c>
      <c r="T21" s="838">
        <v>1</v>
      </c>
      <c r="U21" s="839">
        <v>3</v>
      </c>
      <c r="V21" s="839">
        <v>1</v>
      </c>
      <c r="W21" s="837">
        <v>1</v>
      </c>
      <c r="X21" s="838">
        <v>5</v>
      </c>
      <c r="Y21" s="840">
        <v>6</v>
      </c>
      <c r="Z21" s="841">
        <v>1.05</v>
      </c>
      <c r="AA21" s="842">
        <v>1.2354522921220721</v>
      </c>
      <c r="AB21" s="843">
        <v>1.2423359171267643</v>
      </c>
      <c r="AC21" s="844" t="s">
        <v>3091</v>
      </c>
      <c r="AD21" s="845">
        <v>1.05</v>
      </c>
      <c r="AE21" s="846">
        <v>1</v>
      </c>
      <c r="AF21" s="843">
        <v>1.1000000000000001</v>
      </c>
      <c r="AG21" s="845">
        <v>1</v>
      </c>
      <c r="AH21" s="845">
        <v>1</v>
      </c>
      <c r="AI21" s="847">
        <v>1.2</v>
      </c>
    </row>
    <row r="22" spans="1:35">
      <c r="A22" s="405"/>
      <c r="B22" s="52"/>
      <c r="C22" s="53"/>
      <c r="D22" s="405"/>
      <c r="E22" s="405"/>
      <c r="F22" s="54"/>
      <c r="G22" s="405"/>
      <c r="H22" s="405"/>
      <c r="I22" s="405"/>
      <c r="J22" s="405"/>
      <c r="K22" s="405"/>
      <c r="L22" s="405"/>
      <c r="M22" s="405"/>
      <c r="N22" s="804"/>
      <c r="O22" s="804"/>
      <c r="P22" s="804"/>
      <c r="Q22" s="171"/>
      <c r="R22" s="802"/>
      <c r="S22" s="805"/>
    </row>
    <row r="23" spans="1:35">
      <c r="A23" s="405"/>
      <c r="B23" s="42"/>
      <c r="C23" s="50"/>
      <c r="D23" s="302"/>
      <c r="E23" s="51"/>
      <c r="F23" s="768" t="s">
        <v>915</v>
      </c>
      <c r="G23" s="767"/>
      <c r="H23" s="806"/>
      <c r="I23" s="806"/>
      <c r="J23" s="807"/>
      <c r="K23" s="767" t="s">
        <v>96</v>
      </c>
      <c r="L23" s="808">
        <v>32.612000000000009</v>
      </c>
      <c r="M23" s="405"/>
      <c r="N23" s="804"/>
      <c r="O23" s="804"/>
      <c r="P23" s="804"/>
      <c r="Q23" s="171"/>
      <c r="R23" s="802"/>
      <c r="S23" s="805"/>
    </row>
    <row r="28" spans="1:35">
      <c r="B28" s="33"/>
      <c r="C28" s="34"/>
      <c r="D28" s="17"/>
    </row>
  </sheetData>
  <conditionalFormatting sqref="D8:AI21">
    <cfRule type="expression" dxfId="94" priority="1">
      <formula>MOD(ROW(),2)=0</formula>
    </cfRule>
  </conditionalFormatting>
  <dataValidations xWindow="547" yWindow="314" count="1">
    <dataValidation allowBlank="1" showInputMessage="1" showErrorMessage="1" promptTitle="Do not change" prompt="This field is automatically updated from the names-list" sqref="Y8:Y17 Y18:Y21" xr:uid="{00000000-0002-0000-4000-000000000000}"/>
  </dataValidations>
  <pageMargins left="0.78740157499999996" right="0.78740157499999996" top="0.984251969" bottom="0.984251969" header="0.4921259845" footer="0.492125984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33AE-1D97-466A-BA45-D26CC46721A0}">
  <sheetPr codeName="Sheet10">
    <tabColor rgb="FF9CD9F0"/>
  </sheetPr>
  <dimension ref="A1:AH22"/>
  <sheetViews>
    <sheetView workbookViewId="0">
      <selection activeCell="L14" sqref="L14"/>
    </sheetView>
  </sheetViews>
  <sheetFormatPr baseColWidth="10" defaultColWidth="11.42578125" defaultRowHeight="12" outlineLevelCol="1"/>
  <cols>
    <col min="1" max="1" width="14.42578125" style="225" customWidth="1"/>
    <col min="2" max="2" width="17.42578125" style="778" customWidth="1"/>
    <col min="3" max="3" width="7" style="779" customWidth="1" outlineLevel="1"/>
    <col min="4" max="5" width="3.140625" style="225" customWidth="1" outlineLevel="1"/>
    <col min="6" max="6" width="33.7109375" style="780" customWidth="1"/>
    <col min="7" max="7" width="7.28515625" style="225" customWidth="1"/>
    <col min="8" max="9" width="3.140625" style="225" customWidth="1" outlineLevel="1"/>
    <col min="10" max="11" width="7.28515625" style="225" customWidth="1"/>
    <col min="12" max="12" width="15.7109375" style="225" customWidth="1"/>
    <col min="13" max="13" width="5" style="120" customWidth="1" outlineLevel="1"/>
    <col min="14" max="14" width="9" style="120" customWidth="1" outlineLevel="1"/>
    <col min="15" max="15" width="53.85546875" style="120" customWidth="1" outlineLevel="1"/>
    <col min="16" max="16" width="5.140625" style="120" customWidth="1"/>
    <col min="17" max="17" width="42.28515625" style="226" customWidth="1"/>
    <col min="18" max="18" width="4" style="782" customWidth="1" outlineLevel="1"/>
    <col min="19" max="23" width="4" style="777" customWidth="1" outlineLevel="1"/>
    <col min="24" max="24" width="3.28515625" style="777" customWidth="1" outlineLevel="1"/>
    <col min="25" max="25" width="4.5703125" style="777" customWidth="1" outlineLevel="1"/>
    <col min="26" max="27" width="5" style="777" customWidth="1" outlineLevel="1"/>
    <col min="28" max="28" width="15" style="777" customWidth="1" outlineLevel="1"/>
    <col min="29" max="34" width="4.42578125" style="225" customWidth="1" outlineLevel="1"/>
    <col min="35" max="36" width="11.42578125" style="225" customWidth="1"/>
    <col min="37" max="16384" width="11.42578125" style="225"/>
  </cols>
  <sheetData>
    <row r="1" spans="1:34">
      <c r="A1" s="736"/>
      <c r="B1" s="734"/>
      <c r="C1" s="735"/>
      <c r="D1" s="736"/>
      <c r="E1" s="736"/>
      <c r="F1" s="737" t="s">
        <v>65</v>
      </c>
      <c r="G1" s="736"/>
      <c r="H1" s="736"/>
      <c r="I1" s="736"/>
      <c r="J1" s="736"/>
      <c r="K1" s="736"/>
      <c r="L1" s="330" t="s">
        <v>1688</v>
      </c>
      <c r="M1" s="695"/>
      <c r="N1" s="694"/>
      <c r="O1" s="739"/>
      <c r="P1" s="109"/>
      <c r="Q1" s="217"/>
      <c r="R1" s="218"/>
      <c r="S1" s="219"/>
      <c r="T1" s="219"/>
      <c r="U1" s="219"/>
      <c r="V1" s="219"/>
      <c r="W1" s="219"/>
      <c r="X1" s="220"/>
      <c r="Y1" s="220"/>
      <c r="Z1" s="220"/>
      <c r="AA1" s="220"/>
      <c r="AB1" s="220"/>
      <c r="AC1" s="221"/>
      <c r="AD1" s="221"/>
      <c r="AE1" s="221"/>
      <c r="AF1" s="221"/>
      <c r="AG1" s="221"/>
      <c r="AH1" s="221"/>
    </row>
    <row r="2" spans="1:34" ht="79.5" customHeight="1">
      <c r="A2" s="83"/>
      <c r="B2" s="84"/>
      <c r="C2" s="79" t="s">
        <v>67</v>
      </c>
      <c r="D2" s="738">
        <v>3503</v>
      </c>
      <c r="E2" s="738">
        <v>3504</v>
      </c>
      <c r="F2" s="80">
        <v>3702</v>
      </c>
      <c r="G2" s="738">
        <v>3703</v>
      </c>
      <c r="H2" s="738">
        <v>3506</v>
      </c>
      <c r="I2" s="738">
        <v>3507</v>
      </c>
      <c r="J2" s="738">
        <v>3508</v>
      </c>
      <c r="K2" s="738">
        <v>3706</v>
      </c>
      <c r="L2" s="740">
        <v>3707</v>
      </c>
      <c r="M2" s="741">
        <v>3708</v>
      </c>
      <c r="N2" s="741">
        <v>3709</v>
      </c>
      <c r="O2" s="742">
        <v>3792</v>
      </c>
      <c r="P2" s="788"/>
      <c r="Q2" s="727" t="s">
        <v>81</v>
      </c>
      <c r="R2" s="729" t="s">
        <v>82</v>
      </c>
      <c r="S2" s="729" t="s">
        <v>83</v>
      </c>
      <c r="T2" s="729" t="s">
        <v>84</v>
      </c>
      <c r="U2" s="729" t="s">
        <v>85</v>
      </c>
      <c r="V2" s="729" t="s">
        <v>86</v>
      </c>
      <c r="W2" s="729" t="s">
        <v>87</v>
      </c>
      <c r="X2" s="730" t="s">
        <v>88</v>
      </c>
      <c r="Y2" s="730" t="s">
        <v>89</v>
      </c>
      <c r="Z2" s="730" t="s">
        <v>90</v>
      </c>
      <c r="AA2" s="730" t="s">
        <v>91</v>
      </c>
      <c r="AB2" s="730" t="s">
        <v>92</v>
      </c>
      <c r="AC2" s="730" t="s">
        <v>82</v>
      </c>
      <c r="AD2" s="730" t="s">
        <v>83</v>
      </c>
      <c r="AE2" s="730" t="s">
        <v>84</v>
      </c>
      <c r="AF2" s="730" t="s">
        <v>85</v>
      </c>
      <c r="AG2" s="730" t="s">
        <v>86</v>
      </c>
      <c r="AH2" s="730" t="s">
        <v>87</v>
      </c>
    </row>
    <row r="3" spans="1:34" ht="105" customHeight="1">
      <c r="A3" s="77" t="s">
        <v>68</v>
      </c>
      <c r="B3" s="84"/>
      <c r="C3" s="79">
        <v>401</v>
      </c>
      <c r="D3" s="85" t="s">
        <v>69</v>
      </c>
      <c r="E3" s="85" t="s">
        <v>70</v>
      </c>
      <c r="F3" s="85" t="s">
        <v>71</v>
      </c>
      <c r="G3" s="85" t="s">
        <v>72</v>
      </c>
      <c r="H3" s="85" t="s">
        <v>73</v>
      </c>
      <c r="I3" s="85" t="s">
        <v>74</v>
      </c>
      <c r="J3" s="85" t="s">
        <v>75</v>
      </c>
      <c r="K3" s="85" t="s">
        <v>76</v>
      </c>
      <c r="L3" s="87" t="s">
        <v>1689</v>
      </c>
      <c r="M3" s="422" t="s">
        <v>78</v>
      </c>
      <c r="N3" s="422" t="s">
        <v>79</v>
      </c>
      <c r="O3" s="423" t="s">
        <v>80</v>
      </c>
      <c r="P3" s="789"/>
      <c r="Q3" s="727"/>
      <c r="R3" s="743" t="s">
        <v>94</v>
      </c>
      <c r="S3" s="727"/>
      <c r="T3" s="727"/>
      <c r="U3" s="727"/>
      <c r="V3" s="727"/>
      <c r="W3" s="727"/>
      <c r="X3" s="718"/>
      <c r="Y3" s="718"/>
      <c r="Z3" s="718" t="s">
        <v>95</v>
      </c>
      <c r="AA3" s="718" t="s">
        <v>95</v>
      </c>
      <c r="AB3" s="718"/>
      <c r="AC3" s="718"/>
      <c r="AD3" s="718"/>
      <c r="AE3" s="718"/>
      <c r="AF3" s="718"/>
      <c r="AG3" s="718"/>
      <c r="AH3" s="718"/>
    </row>
    <row r="4" spans="1:34" ht="12" customHeight="1">
      <c r="A4" s="77"/>
      <c r="B4" s="84"/>
      <c r="C4" s="79">
        <v>662</v>
      </c>
      <c r="D4" s="86"/>
      <c r="E4" s="86"/>
      <c r="F4" s="86" t="s">
        <v>72</v>
      </c>
      <c r="G4" s="86"/>
      <c r="H4" s="86"/>
      <c r="I4" s="86"/>
      <c r="J4" s="86"/>
      <c r="K4" s="86"/>
      <c r="L4" s="87" t="s">
        <v>93</v>
      </c>
      <c r="M4" s="425"/>
      <c r="N4" s="425"/>
      <c r="O4" s="426"/>
      <c r="P4" s="789"/>
      <c r="Q4" s="727"/>
      <c r="R4" s="727"/>
      <c r="S4" s="727"/>
      <c r="T4" s="727"/>
      <c r="U4" s="727"/>
      <c r="V4" s="727"/>
      <c r="W4" s="727"/>
      <c r="X4" s="718"/>
      <c r="Y4" s="718"/>
      <c r="Z4" s="718"/>
      <c r="AA4" s="718"/>
      <c r="AB4" s="718"/>
      <c r="AC4" s="718"/>
      <c r="AD4" s="718"/>
      <c r="AE4" s="718"/>
      <c r="AF4" s="718"/>
      <c r="AG4" s="718"/>
      <c r="AH4" s="718"/>
    </row>
    <row r="5" spans="1:34" ht="12.75" hidden="1">
      <c r="A5" s="77"/>
      <c r="B5" s="84"/>
      <c r="C5" s="79">
        <v>493</v>
      </c>
      <c r="D5" s="86"/>
      <c r="E5" s="86"/>
      <c r="F5" s="86" t="s">
        <v>75</v>
      </c>
      <c r="G5" s="86"/>
      <c r="H5" s="86"/>
      <c r="I5" s="86"/>
      <c r="J5" s="86"/>
      <c r="K5" s="86"/>
      <c r="L5" s="87">
        <v>1</v>
      </c>
      <c r="M5" s="425"/>
      <c r="N5" s="425"/>
      <c r="O5" s="426"/>
      <c r="P5" s="789"/>
      <c r="Q5" s="727"/>
      <c r="R5" s="727"/>
      <c r="S5" s="727"/>
      <c r="T5" s="727"/>
      <c r="U5" s="727"/>
      <c r="V5" s="727"/>
      <c r="W5" s="727"/>
      <c r="X5" s="718"/>
      <c r="Y5" s="718"/>
      <c r="Z5" s="718"/>
      <c r="AA5" s="718"/>
      <c r="AB5" s="718"/>
      <c r="AC5" s="718"/>
      <c r="AD5" s="718"/>
      <c r="AE5" s="718"/>
      <c r="AF5" s="718"/>
      <c r="AG5" s="718"/>
      <c r="AH5" s="718"/>
    </row>
    <row r="6" spans="1:34" ht="12.75" hidden="1">
      <c r="A6" s="330"/>
      <c r="B6" s="331"/>
      <c r="C6" s="79">
        <v>403</v>
      </c>
      <c r="D6" s="294"/>
      <c r="E6" s="295"/>
      <c r="F6" s="429" t="s">
        <v>76</v>
      </c>
      <c r="G6" s="430"/>
      <c r="H6" s="431"/>
      <c r="I6" s="431"/>
      <c r="J6" s="89"/>
      <c r="K6" s="430"/>
      <c r="L6" s="90" t="s">
        <v>679</v>
      </c>
      <c r="M6" s="425"/>
      <c r="N6" s="425"/>
      <c r="O6" s="426"/>
      <c r="P6" s="789"/>
      <c r="Q6" s="727"/>
      <c r="R6" s="727"/>
      <c r="S6" s="727"/>
      <c r="T6" s="727"/>
      <c r="U6" s="727"/>
      <c r="V6" s="727"/>
      <c r="W6" s="727"/>
      <c r="X6" s="718"/>
      <c r="Y6" s="718"/>
      <c r="Z6" s="718"/>
      <c r="AA6" s="718"/>
      <c r="AB6" s="718"/>
      <c r="AC6" s="718"/>
      <c r="AD6" s="718"/>
      <c r="AE6" s="718"/>
      <c r="AF6" s="718"/>
      <c r="AG6" s="718"/>
      <c r="AH6" s="718"/>
    </row>
    <row r="7" spans="1:34" ht="47.25" customHeight="1">
      <c r="A7" s="330" t="s">
        <v>1688</v>
      </c>
      <c r="B7" s="331"/>
      <c r="C7" s="88"/>
      <c r="D7" s="294" t="s">
        <v>98</v>
      </c>
      <c r="E7" s="295">
        <v>1</v>
      </c>
      <c r="F7" s="429" t="s">
        <v>1689</v>
      </c>
      <c r="G7" s="430" t="s">
        <v>93</v>
      </c>
      <c r="H7" s="431" t="s">
        <v>98</v>
      </c>
      <c r="I7" s="431" t="s">
        <v>98</v>
      </c>
      <c r="J7" s="89">
        <v>1</v>
      </c>
      <c r="K7" s="430" t="s">
        <v>679</v>
      </c>
      <c r="L7" s="90">
        <v>1</v>
      </c>
      <c r="M7" s="91"/>
      <c r="N7" s="92"/>
      <c r="O7" s="93"/>
      <c r="P7" s="790"/>
      <c r="Q7" s="728"/>
      <c r="R7" s="728"/>
      <c r="S7" s="728"/>
      <c r="T7" s="728"/>
      <c r="U7" s="728"/>
      <c r="V7" s="728"/>
      <c r="W7" s="728"/>
      <c r="X7" s="719"/>
      <c r="Y7" s="719"/>
      <c r="Z7" s="719"/>
      <c r="AA7" s="719"/>
      <c r="AB7" s="719"/>
      <c r="AC7" s="719"/>
      <c r="AD7" s="719"/>
      <c r="AE7" s="719"/>
      <c r="AF7" s="719"/>
      <c r="AG7" s="719"/>
      <c r="AH7" s="719"/>
    </row>
    <row r="8" spans="1:34" ht="51">
      <c r="A8" s="330">
        <v>160379</v>
      </c>
      <c r="B8" s="331" t="s">
        <v>221</v>
      </c>
      <c r="C8" s="88"/>
      <c r="D8" s="340">
        <v>5</v>
      </c>
      <c r="E8" s="341" t="s">
        <v>98</v>
      </c>
      <c r="F8" s="432" t="s">
        <v>1174</v>
      </c>
      <c r="G8" s="433" t="s">
        <v>93</v>
      </c>
      <c r="H8" s="434" t="s">
        <v>98</v>
      </c>
      <c r="I8" s="434" t="s">
        <v>98</v>
      </c>
      <c r="J8" s="94">
        <v>0</v>
      </c>
      <c r="K8" s="433" t="s">
        <v>96</v>
      </c>
      <c r="L8" s="435">
        <f>23748.5/44437.9573218234</f>
        <v>0.53441925397271028</v>
      </c>
      <c r="M8" s="95">
        <v>1</v>
      </c>
      <c r="N8" s="96">
        <f t="shared" ref="N8:N19" si="0">EXP(SQRT((LN($AA8)^2)+(LN($AA$8)^2)))</f>
        <v>1.3309795497281629</v>
      </c>
      <c r="O8" s="432" t="str">
        <f t="shared" ref="O8:O19" si="1">$AB8&amp;"; "&amp;$Q8</f>
        <v>(2,2,2,1,2,3); Cu conductor DC+AC = 23748 kg / 44438 m². Based on manufacturer datasheets (see X-Process Z-PV-238 for length/quantity assumptions). Transformer Cu in Z-PV-276.</v>
      </c>
      <c r="P8" s="498"/>
      <c r="Q8" s="733" t="s">
        <v>1690</v>
      </c>
      <c r="R8" s="744">
        <v>2</v>
      </c>
      <c r="S8" s="744">
        <v>2</v>
      </c>
      <c r="T8" s="744">
        <v>2</v>
      </c>
      <c r="U8" s="744">
        <v>1</v>
      </c>
      <c r="V8" s="744">
        <v>2</v>
      </c>
      <c r="W8" s="744">
        <v>3</v>
      </c>
      <c r="X8" s="732">
        <v>3</v>
      </c>
      <c r="Y8" s="745">
        <v>1.05</v>
      </c>
      <c r="Z8" s="745">
        <f t="shared" ref="Z8:Z19" si="2">EXP(SQRT((LN(AC8)^2)+(LN(AD8)^2)+(LN(AE8)^2)+(LN(AF8)^2)+(LN(AG8)^2)+(LN(AH8)^2)))</f>
        <v>1.2167665867084276</v>
      </c>
      <c r="AA8" s="745">
        <f t="shared" ref="AA8:AA19" si="3">EXP(SQRT((LN(AC8)^2)+(LN(AD8)^2)+(LN(AE8)^2)+(LN(AF8)^2)+(LN(AG8)^2)+(LN(AH8)^2)+LN(Y8)^2))</f>
        <v>1.2240592121708656</v>
      </c>
      <c r="AB8" s="732" t="str">
        <f t="shared" ref="AB8:AB19" si="4">CONCATENATE("(",R8,",",S8,",",T8,",",U8,",",V8,",",W8,")")</f>
        <v>(2,2,2,1,2,3)</v>
      </c>
      <c r="AC8" s="107">
        <v>1.05</v>
      </c>
      <c r="AD8" s="107">
        <v>1.02</v>
      </c>
      <c r="AE8" s="107">
        <v>1</v>
      </c>
      <c r="AF8" s="107">
        <v>1.01</v>
      </c>
      <c r="AG8" s="107">
        <v>1.2</v>
      </c>
      <c r="AH8" s="107">
        <v>1.05</v>
      </c>
    </row>
    <row r="9" spans="1:34" ht="38.25">
      <c r="A9" s="330">
        <v>265893</v>
      </c>
      <c r="B9" s="331"/>
      <c r="C9" s="88"/>
      <c r="D9" s="340">
        <v>5</v>
      </c>
      <c r="E9" s="341" t="s">
        <v>98</v>
      </c>
      <c r="F9" s="432" t="s">
        <v>1691</v>
      </c>
      <c r="G9" s="433" t="s">
        <v>93</v>
      </c>
      <c r="H9" s="434" t="s">
        <v>98</v>
      </c>
      <c r="I9" s="434" t="s">
        <v>98</v>
      </c>
      <c r="J9" s="94">
        <v>0</v>
      </c>
      <c r="K9" s="433" t="s">
        <v>96</v>
      </c>
      <c r="L9" s="435">
        <v>0.1120664514</v>
      </c>
      <c r="M9" s="95">
        <v>1</v>
      </c>
      <c r="N9" s="96">
        <f t="shared" si="0"/>
        <v>1.3316614081618681</v>
      </c>
      <c r="O9" s="432" t="str">
        <f t="shared" si="1"/>
        <v>(2,2,2,1,3,3); DC insulation+sheath (XLPO) = 0.1121 kg/m²; proxy LLDPE. Based on manufacturer datasheets.</v>
      </c>
      <c r="P9" s="498"/>
      <c r="Q9" s="733" t="s">
        <v>1692</v>
      </c>
      <c r="R9" s="744">
        <v>2</v>
      </c>
      <c r="S9" s="744">
        <v>2</v>
      </c>
      <c r="T9" s="744">
        <v>2</v>
      </c>
      <c r="U9" s="744">
        <v>1</v>
      </c>
      <c r="V9" s="744">
        <v>3</v>
      </c>
      <c r="W9" s="744">
        <v>3</v>
      </c>
      <c r="X9" s="732">
        <v>3</v>
      </c>
      <c r="Y9" s="745">
        <v>1.05</v>
      </c>
      <c r="Z9" s="745">
        <f t="shared" si="2"/>
        <v>1.2176741773196758</v>
      </c>
      <c r="AA9" s="745">
        <f t="shared" si="3"/>
        <v>1.224945344177701</v>
      </c>
      <c r="AB9" s="732" t="str">
        <f t="shared" si="4"/>
        <v>(2,2,2,1,3,3)</v>
      </c>
      <c r="AC9" s="107">
        <v>1.05</v>
      </c>
      <c r="AD9" s="107">
        <v>1.02</v>
      </c>
      <c r="AE9" s="107">
        <v>1</v>
      </c>
      <c r="AF9" s="107">
        <v>1.02</v>
      </c>
      <c r="AG9" s="107">
        <v>1.2</v>
      </c>
      <c r="AH9" s="107">
        <v>1.05</v>
      </c>
    </row>
    <row r="10" spans="1:34" ht="38.25">
      <c r="A10" s="330">
        <v>269443</v>
      </c>
      <c r="B10" s="331"/>
      <c r="C10" s="88"/>
      <c r="D10" s="340">
        <v>5</v>
      </c>
      <c r="E10" s="341" t="s">
        <v>98</v>
      </c>
      <c r="F10" s="432" t="s">
        <v>1613</v>
      </c>
      <c r="G10" s="433" t="s">
        <v>93</v>
      </c>
      <c r="H10" s="434" t="s">
        <v>98</v>
      </c>
      <c r="I10" s="434" t="s">
        <v>98</v>
      </c>
      <c r="J10" s="94">
        <v>0</v>
      </c>
      <c r="K10" s="433" t="s">
        <v>96</v>
      </c>
      <c r="L10" s="435">
        <v>1.6742457799999999E-2</v>
      </c>
      <c r="M10" s="95">
        <v>1</v>
      </c>
      <c r="N10" s="96">
        <f t="shared" si="0"/>
        <v>1.3316614081618681</v>
      </c>
      <c r="O10" s="432" t="str">
        <f t="shared" si="1"/>
        <v>(2,2,2,1,3,3); AC insulation (EPR) = 0.01674 kg/m²; proxy EPDM {RER} (incl. compounding). Based on manufacturer datasheets.</v>
      </c>
      <c r="P10" s="498"/>
      <c r="Q10" s="733" t="s">
        <v>1693</v>
      </c>
      <c r="R10" s="744">
        <v>2</v>
      </c>
      <c r="S10" s="744">
        <v>2</v>
      </c>
      <c r="T10" s="744">
        <v>2</v>
      </c>
      <c r="U10" s="744">
        <v>1</v>
      </c>
      <c r="V10" s="744">
        <v>3</v>
      </c>
      <c r="W10" s="744">
        <v>3</v>
      </c>
      <c r="X10" s="732">
        <v>3</v>
      </c>
      <c r="Y10" s="745">
        <v>1.05</v>
      </c>
      <c r="Z10" s="745">
        <f t="shared" si="2"/>
        <v>1.2176741773196758</v>
      </c>
      <c r="AA10" s="745">
        <f t="shared" si="3"/>
        <v>1.224945344177701</v>
      </c>
      <c r="AB10" s="732" t="str">
        <f t="shared" si="4"/>
        <v>(2,2,2,1,3,3)</v>
      </c>
      <c r="AC10" s="107">
        <v>1.05</v>
      </c>
      <c r="AD10" s="107">
        <v>1.02</v>
      </c>
      <c r="AE10" s="107">
        <v>1</v>
      </c>
      <c r="AF10" s="107">
        <v>1.02</v>
      </c>
      <c r="AG10" s="107">
        <v>1.2</v>
      </c>
      <c r="AH10" s="107">
        <v>1.05</v>
      </c>
    </row>
    <row r="11" spans="1:34" ht="38.25">
      <c r="A11" s="330">
        <v>265893</v>
      </c>
      <c r="B11" s="331"/>
      <c r="C11" s="88"/>
      <c r="D11" s="340">
        <v>5</v>
      </c>
      <c r="E11" s="341" t="s">
        <v>98</v>
      </c>
      <c r="F11" s="432" t="s">
        <v>1691</v>
      </c>
      <c r="G11" s="433" t="s">
        <v>93</v>
      </c>
      <c r="H11" s="434" t="s">
        <v>98</v>
      </c>
      <c r="I11" s="434" t="s">
        <v>98</v>
      </c>
      <c r="J11" s="94">
        <v>0</v>
      </c>
      <c r="K11" s="433" t="s">
        <v>96</v>
      </c>
      <c r="L11" s="435">
        <v>1.9735397200000001E-2</v>
      </c>
      <c r="M11" s="95">
        <v>1</v>
      </c>
      <c r="N11" s="96">
        <f t="shared" si="0"/>
        <v>1.3316614081618681</v>
      </c>
      <c r="O11" s="432" t="str">
        <f t="shared" si="1"/>
        <v>(2,2,2,1,3,3); AC outer sheath (halogen-free TPO) = 0.01966 kg/m²; proxy LLDPE. Based on manufacturer datasheets.</v>
      </c>
      <c r="P11" s="498"/>
      <c r="Q11" s="733" t="s">
        <v>1694</v>
      </c>
      <c r="R11" s="744">
        <v>2</v>
      </c>
      <c r="S11" s="744">
        <v>2</v>
      </c>
      <c r="T11" s="744">
        <v>2</v>
      </c>
      <c r="U11" s="744">
        <v>1</v>
      </c>
      <c r="V11" s="744">
        <v>3</v>
      </c>
      <c r="W11" s="744">
        <v>3</v>
      </c>
      <c r="X11" s="732">
        <v>3</v>
      </c>
      <c r="Y11" s="745">
        <v>1.05</v>
      </c>
      <c r="Z11" s="745">
        <f t="shared" si="2"/>
        <v>1.2176741773196758</v>
      </c>
      <c r="AA11" s="745">
        <f t="shared" si="3"/>
        <v>1.224945344177701</v>
      </c>
      <c r="AB11" s="732" t="str">
        <f t="shared" si="4"/>
        <v>(2,2,2,1,3,3)</v>
      </c>
      <c r="AC11" s="107">
        <v>1.05</v>
      </c>
      <c r="AD11" s="107">
        <v>1.02</v>
      </c>
      <c r="AE11" s="107">
        <v>1</v>
      </c>
      <c r="AF11" s="107">
        <v>1.02</v>
      </c>
      <c r="AG11" s="107">
        <v>1.2</v>
      </c>
      <c r="AH11" s="107">
        <v>1.05</v>
      </c>
    </row>
    <row r="12" spans="1:34" ht="25.5">
      <c r="A12" s="330" t="s">
        <v>1695</v>
      </c>
      <c r="B12" s="331"/>
      <c r="C12" s="88"/>
      <c r="D12" s="340">
        <v>5</v>
      </c>
      <c r="E12" s="341" t="s">
        <v>98</v>
      </c>
      <c r="F12" s="432" t="s">
        <v>1696</v>
      </c>
      <c r="G12" s="433" t="s">
        <v>93</v>
      </c>
      <c r="H12" s="434" t="s">
        <v>98</v>
      </c>
      <c r="I12" s="434" t="s">
        <v>98</v>
      </c>
      <c r="J12" s="94">
        <v>1</v>
      </c>
      <c r="K12" s="433" t="s">
        <v>144</v>
      </c>
      <c r="L12" s="435">
        <f>4/44437.9573218234</f>
        <v>9.0013138340983262E-5</v>
      </c>
      <c r="M12" s="95">
        <v>1</v>
      </c>
      <c r="N12" s="96">
        <f t="shared" si="0"/>
        <v>3.1052951627822947</v>
      </c>
      <c r="O12" s="432" t="str">
        <f t="shared" si="1"/>
        <v xml:space="preserve">(2,2,2,1,2,3); Transformer, oil-immersed, 2500 kVA, 20/0.4 kV; 4 units / 44438 m2 = 9.0013e-05 p/m2. </v>
      </c>
      <c r="P12" s="498"/>
      <c r="Q12" s="733" t="s">
        <v>1697</v>
      </c>
      <c r="R12" s="744">
        <v>2</v>
      </c>
      <c r="S12" s="744">
        <v>2</v>
      </c>
      <c r="T12" s="744">
        <v>2</v>
      </c>
      <c r="U12" s="744">
        <v>1</v>
      </c>
      <c r="V12" s="744">
        <v>2</v>
      </c>
      <c r="W12" s="744">
        <v>3</v>
      </c>
      <c r="X12" s="732">
        <v>9</v>
      </c>
      <c r="Y12" s="745">
        <v>3</v>
      </c>
      <c r="Z12" s="745">
        <f t="shared" si="2"/>
        <v>1.2092902742898253</v>
      </c>
      <c r="AA12" s="745">
        <f t="shared" si="3"/>
        <v>3.0493449244702204</v>
      </c>
      <c r="AB12" s="732" t="str">
        <f t="shared" si="4"/>
        <v>(2,2,2,1,2,3)</v>
      </c>
      <c r="AC12" s="107">
        <v>1.05</v>
      </c>
      <c r="AD12" s="107">
        <v>1.02</v>
      </c>
      <c r="AE12" s="107">
        <v>1</v>
      </c>
      <c r="AF12" s="107">
        <v>1.01</v>
      </c>
      <c r="AG12" s="107">
        <v>1.2</v>
      </c>
      <c r="AH12" s="107">
        <v>1</v>
      </c>
    </row>
    <row r="13" spans="1:34" ht="38.25">
      <c r="A13" s="330">
        <v>268467</v>
      </c>
      <c r="B13" s="331"/>
      <c r="C13" s="88"/>
      <c r="D13" s="340">
        <v>5</v>
      </c>
      <c r="E13" s="341" t="s">
        <v>98</v>
      </c>
      <c r="F13" s="432" t="s">
        <v>1698</v>
      </c>
      <c r="G13" s="433" t="s">
        <v>103</v>
      </c>
      <c r="H13" s="434" t="s">
        <v>98</v>
      </c>
      <c r="I13" s="434" t="s">
        <v>98</v>
      </c>
      <c r="J13" s="94">
        <v>1</v>
      </c>
      <c r="K13" s="433" t="s">
        <v>679</v>
      </c>
      <c r="L13" s="435">
        <v>9.0013210000000003E-4</v>
      </c>
      <c r="M13" s="95">
        <v>1</v>
      </c>
      <c r="N13" s="96">
        <f t="shared" si="0"/>
        <v>3.1160818408446787</v>
      </c>
      <c r="O13" s="432" t="str">
        <f t="shared" si="1"/>
        <v>(3,3,2,2,3,3); Trafo station buildings (4 × 10 m2 = 40 m2 / 44438 m2 = 9.0013e-04 m2/m2); proxy: building, hall, steel construction {CH}.</v>
      </c>
      <c r="P13" s="498"/>
      <c r="Q13" s="733" t="s">
        <v>1699</v>
      </c>
      <c r="R13" s="744">
        <v>3</v>
      </c>
      <c r="S13" s="744">
        <v>3</v>
      </c>
      <c r="T13" s="744">
        <v>2</v>
      </c>
      <c r="U13" s="744">
        <v>2</v>
      </c>
      <c r="V13" s="744">
        <v>3</v>
      </c>
      <c r="W13" s="744">
        <v>3</v>
      </c>
      <c r="X13" s="732">
        <v>9</v>
      </c>
      <c r="Y13" s="745">
        <v>3</v>
      </c>
      <c r="Z13" s="745">
        <f t="shared" si="2"/>
        <v>1.2333347747725536</v>
      </c>
      <c r="AA13" s="745">
        <f t="shared" si="3"/>
        <v>3.0601097525680894</v>
      </c>
      <c r="AB13" s="732" t="str">
        <f t="shared" si="4"/>
        <v>(3,3,2,2,3,3)</v>
      </c>
      <c r="AC13" s="107">
        <v>1.1000000000000001</v>
      </c>
      <c r="AD13" s="107">
        <v>1.02</v>
      </c>
      <c r="AE13" s="107">
        <v>1.03</v>
      </c>
      <c r="AF13" s="107">
        <v>1.02</v>
      </c>
      <c r="AG13" s="107">
        <v>1.2</v>
      </c>
      <c r="AH13" s="107">
        <v>1</v>
      </c>
    </row>
    <row r="14" spans="1:34" ht="51">
      <c r="A14" s="330">
        <v>266053</v>
      </c>
      <c r="B14" s="331"/>
      <c r="C14" s="88"/>
      <c r="D14" s="340">
        <v>5</v>
      </c>
      <c r="E14" s="341" t="s">
        <v>98</v>
      </c>
      <c r="F14" s="432" t="s">
        <v>1700</v>
      </c>
      <c r="G14" s="433" t="s">
        <v>93</v>
      </c>
      <c r="H14" s="434" t="s">
        <v>98</v>
      </c>
      <c r="I14" s="434" t="s">
        <v>98</v>
      </c>
      <c r="J14" s="94">
        <v>0</v>
      </c>
      <c r="K14" s="433" t="s">
        <v>96</v>
      </c>
      <c r="L14" s="435">
        <v>7.3626309999999995E-4</v>
      </c>
      <c r="M14" s="95">
        <v>1</v>
      </c>
      <c r="N14" s="96">
        <f t="shared" si="0"/>
        <v>1.346139263860364</v>
      </c>
      <c r="O14" s="432" t="str">
        <f t="shared" si="1"/>
        <v>(2,3,2,1,1,3); Cable ties PA66 UV-stabilised (OBO 565 7.6×200; 20 per table × 570 tables = 11400 pcs × 0.00287 kg/pc = 32.7 kg / 44438 m2 = 7.3586e-04 kg/m2).</v>
      </c>
      <c r="P14" s="498"/>
      <c r="Q14" s="733" t="s">
        <v>1701</v>
      </c>
      <c r="R14" s="744">
        <v>2</v>
      </c>
      <c r="S14" s="744">
        <v>3</v>
      </c>
      <c r="T14" s="744">
        <v>2</v>
      </c>
      <c r="U14" s="744">
        <v>1</v>
      </c>
      <c r="V14" s="744">
        <v>1</v>
      </c>
      <c r="W14" s="744">
        <v>3</v>
      </c>
      <c r="X14" s="732">
        <v>3</v>
      </c>
      <c r="Y14" s="745">
        <v>1.05</v>
      </c>
      <c r="Z14" s="745">
        <f t="shared" si="2"/>
        <v>1.2365959919080913</v>
      </c>
      <c r="AA14" s="745">
        <f t="shared" si="3"/>
        <v>1.2434566510799234</v>
      </c>
      <c r="AB14" s="732" t="str">
        <f t="shared" si="4"/>
        <v>(2,3,2,1,1,3)</v>
      </c>
      <c r="AC14" s="107">
        <v>1.1000000000000001</v>
      </c>
      <c r="AD14" s="107">
        <v>1.02</v>
      </c>
      <c r="AE14" s="107">
        <v>1</v>
      </c>
      <c r="AF14" s="107">
        <v>1</v>
      </c>
      <c r="AG14" s="107">
        <v>1.2</v>
      </c>
      <c r="AH14" s="107">
        <v>1.05</v>
      </c>
    </row>
    <row r="15" spans="1:34" ht="38.25">
      <c r="A15" s="330">
        <v>269435</v>
      </c>
      <c r="B15" s="331"/>
      <c r="C15" s="88"/>
      <c r="D15" s="340">
        <v>5</v>
      </c>
      <c r="E15" s="341" t="s">
        <v>98</v>
      </c>
      <c r="F15" s="432" t="s">
        <v>1194</v>
      </c>
      <c r="G15" s="433" t="s">
        <v>93</v>
      </c>
      <c r="H15" s="434" t="s">
        <v>98</v>
      </c>
      <c r="I15" s="434" t="s">
        <v>98</v>
      </c>
      <c r="J15" s="94">
        <v>0</v>
      </c>
      <c r="K15" s="433" t="s">
        <v>96</v>
      </c>
      <c r="L15" s="435">
        <f>23748.5/44437.9573218234</f>
        <v>0.53441925397271028</v>
      </c>
      <c r="M15" s="95">
        <v>1</v>
      </c>
      <c r="N15" s="96">
        <f t="shared" si="0"/>
        <v>1.3309795497281629</v>
      </c>
      <c r="O15" s="432" t="str">
        <f t="shared" si="1"/>
        <v>(2,2,2,1,2,3); Wire drawing Cu = 0.5344 kg/m² (same total as Cu conductor). Based on manufacturer datasheets.</v>
      </c>
      <c r="P15" s="498"/>
      <c r="Q15" s="733" t="s">
        <v>1702</v>
      </c>
      <c r="R15" s="744">
        <v>2</v>
      </c>
      <c r="S15" s="744">
        <v>2</v>
      </c>
      <c r="T15" s="744">
        <v>2</v>
      </c>
      <c r="U15" s="744">
        <v>1</v>
      </c>
      <c r="V15" s="744">
        <v>2</v>
      </c>
      <c r="W15" s="744">
        <v>3</v>
      </c>
      <c r="X15" s="732">
        <v>3</v>
      </c>
      <c r="Y15" s="745">
        <v>1.05</v>
      </c>
      <c r="Z15" s="745">
        <f t="shared" si="2"/>
        <v>1.2167665867084276</v>
      </c>
      <c r="AA15" s="745">
        <f t="shared" si="3"/>
        <v>1.2240592121708656</v>
      </c>
      <c r="AB15" s="732" t="str">
        <f t="shared" si="4"/>
        <v>(2,2,2,1,2,3)</v>
      </c>
      <c r="AC15" s="107">
        <v>1.05</v>
      </c>
      <c r="AD15" s="107">
        <v>1.02</v>
      </c>
      <c r="AE15" s="107">
        <v>1</v>
      </c>
      <c r="AF15" s="107">
        <v>1.01</v>
      </c>
      <c r="AG15" s="107">
        <v>1.2</v>
      </c>
      <c r="AH15" s="107">
        <v>1.05</v>
      </c>
    </row>
    <row r="16" spans="1:34" ht="38.25">
      <c r="A16" s="330">
        <v>267816</v>
      </c>
      <c r="B16" s="331"/>
      <c r="C16" s="88"/>
      <c r="D16" s="340">
        <v>5</v>
      </c>
      <c r="E16" s="341" t="s">
        <v>98</v>
      </c>
      <c r="F16" s="432" t="s">
        <v>1658</v>
      </c>
      <c r="G16" s="433" t="s">
        <v>93</v>
      </c>
      <c r="H16" s="434" t="s">
        <v>98</v>
      </c>
      <c r="I16" s="434" t="s">
        <v>98</v>
      </c>
      <c r="J16" s="94">
        <v>0</v>
      </c>
      <c r="K16" s="433" t="s">
        <v>96</v>
      </c>
      <c r="L16" s="435">
        <v>0.14854430630000001</v>
      </c>
      <c r="M16" s="95">
        <v>1</v>
      </c>
      <c r="N16" s="96">
        <f t="shared" si="0"/>
        <v>1.3316614081618681</v>
      </c>
      <c r="O16" s="432" t="str">
        <f t="shared" si="1"/>
        <v>(2,2,2,1,3,3); Cable extrusion (DC + AC insulation + AC sheath) = 0.1485 kg/m². Based on manufacturer datasheets.</v>
      </c>
      <c r="P16" s="498"/>
      <c r="Q16" s="733" t="s">
        <v>1703</v>
      </c>
      <c r="R16" s="744">
        <v>2</v>
      </c>
      <c r="S16" s="744">
        <v>2</v>
      </c>
      <c r="T16" s="744">
        <v>2</v>
      </c>
      <c r="U16" s="744">
        <v>1</v>
      </c>
      <c r="V16" s="744">
        <v>3</v>
      </c>
      <c r="W16" s="744">
        <v>3</v>
      </c>
      <c r="X16" s="732">
        <v>3</v>
      </c>
      <c r="Y16" s="745">
        <v>1.05</v>
      </c>
      <c r="Z16" s="745">
        <f t="shared" si="2"/>
        <v>1.2176741773196758</v>
      </c>
      <c r="AA16" s="745">
        <f t="shared" si="3"/>
        <v>1.224945344177701</v>
      </c>
      <c r="AB16" s="732" t="str">
        <f t="shared" si="4"/>
        <v>(2,2,2,1,3,3)</v>
      </c>
      <c r="AC16" s="107">
        <v>1.05</v>
      </c>
      <c r="AD16" s="107">
        <v>1.02</v>
      </c>
      <c r="AE16" s="107">
        <v>1</v>
      </c>
      <c r="AF16" s="107">
        <v>1.02</v>
      </c>
      <c r="AG16" s="107">
        <v>1.2</v>
      </c>
      <c r="AH16" s="107">
        <v>1.05</v>
      </c>
    </row>
    <row r="17" spans="1:34" ht="24">
      <c r="A17" s="330">
        <v>269641</v>
      </c>
      <c r="B17" s="331"/>
      <c r="C17" s="88"/>
      <c r="D17" s="340">
        <v>5</v>
      </c>
      <c r="E17" s="341" t="s">
        <v>98</v>
      </c>
      <c r="F17" s="432" t="s">
        <v>240</v>
      </c>
      <c r="G17" s="433" t="s">
        <v>93</v>
      </c>
      <c r="H17" s="434" t="s">
        <v>98</v>
      </c>
      <c r="I17" s="434" t="s">
        <v>98</v>
      </c>
      <c r="J17" s="94">
        <v>0</v>
      </c>
      <c r="K17" s="433" t="s">
        <v>115</v>
      </c>
      <c r="L17" s="435">
        <f>600/1000*SUM(L8:L16)</f>
        <v>0.82059211739025695</v>
      </c>
      <c r="M17" s="95">
        <v>1</v>
      </c>
      <c r="N17" s="96">
        <f t="shared" si="0"/>
        <v>2.3347875574992081</v>
      </c>
      <c r="O17" s="432" t="str">
        <f t="shared" si="1"/>
        <v>(4,5,na,na,na,na); Standard distance 60km incl. disposal</v>
      </c>
      <c r="P17" s="498"/>
      <c r="Q17" s="733" t="s">
        <v>1682</v>
      </c>
      <c r="R17" s="744">
        <v>4</v>
      </c>
      <c r="S17" s="744">
        <v>5</v>
      </c>
      <c r="T17" s="744" t="s">
        <v>106</v>
      </c>
      <c r="U17" s="744" t="s">
        <v>106</v>
      </c>
      <c r="V17" s="744" t="s">
        <v>106</v>
      </c>
      <c r="W17" s="744" t="s">
        <v>106</v>
      </c>
      <c r="X17" s="732">
        <v>5</v>
      </c>
      <c r="Y17" s="745">
        <v>2</v>
      </c>
      <c r="Z17" s="745">
        <f t="shared" si="2"/>
        <v>1.5598204153209623</v>
      </c>
      <c r="AA17" s="745">
        <f t="shared" si="3"/>
        <v>2.2783828565357878</v>
      </c>
      <c r="AB17" s="732" t="str">
        <f t="shared" si="4"/>
        <v>(4,5,na,na,na,na)</v>
      </c>
      <c r="AC17" s="107">
        <v>1.5</v>
      </c>
      <c r="AD17" s="107">
        <v>1</v>
      </c>
      <c r="AE17" s="107">
        <v>1</v>
      </c>
      <c r="AF17" s="107">
        <v>1</v>
      </c>
      <c r="AG17" s="107">
        <v>1</v>
      </c>
      <c r="AH17" s="107">
        <v>1.2</v>
      </c>
    </row>
    <row r="18" spans="1:34" ht="12.75">
      <c r="A18" s="330">
        <v>160371</v>
      </c>
      <c r="B18" s="331"/>
      <c r="C18" s="88"/>
      <c r="D18" s="340">
        <v>5</v>
      </c>
      <c r="E18" s="341" t="s">
        <v>98</v>
      </c>
      <c r="F18" s="432" t="s">
        <v>242</v>
      </c>
      <c r="G18" s="433" t="s">
        <v>93</v>
      </c>
      <c r="H18" s="434" t="s">
        <v>98</v>
      </c>
      <c r="I18" s="434" t="s">
        <v>98</v>
      </c>
      <c r="J18" s="94">
        <v>0</v>
      </c>
      <c r="K18" s="433" t="s">
        <v>115</v>
      </c>
      <c r="L18" s="435">
        <f>0.6*SUM(L8:L13)+0.2*SUM(L14:L16)</f>
        <v>0.54711218804117279</v>
      </c>
      <c r="M18" s="95">
        <v>1</v>
      </c>
      <c r="N18" s="96">
        <f t="shared" si="0"/>
        <v>2.3347875574992081</v>
      </c>
      <c r="O18" s="432" t="str">
        <f t="shared" si="1"/>
        <v>(4,5,na,na,na,na); Standard distances 200km (metals 600km)</v>
      </c>
      <c r="P18" s="498"/>
      <c r="Q18" s="733" t="s">
        <v>1684</v>
      </c>
      <c r="R18" s="744">
        <v>4</v>
      </c>
      <c r="S18" s="744">
        <v>5</v>
      </c>
      <c r="T18" s="744" t="s">
        <v>106</v>
      </c>
      <c r="U18" s="744" t="s">
        <v>106</v>
      </c>
      <c r="V18" s="744" t="s">
        <v>106</v>
      </c>
      <c r="W18" s="744" t="s">
        <v>106</v>
      </c>
      <c r="X18" s="732">
        <v>5</v>
      </c>
      <c r="Y18" s="745">
        <v>2</v>
      </c>
      <c r="Z18" s="745">
        <f t="shared" si="2"/>
        <v>1.5598204153209623</v>
      </c>
      <c r="AA18" s="745">
        <f t="shared" si="3"/>
        <v>2.2783828565357878</v>
      </c>
      <c r="AB18" s="732" t="str">
        <f t="shared" si="4"/>
        <v>(4,5,na,na,na,na)</v>
      </c>
      <c r="AC18" s="107">
        <v>1.5</v>
      </c>
      <c r="AD18" s="107">
        <v>1</v>
      </c>
      <c r="AE18" s="107">
        <v>1</v>
      </c>
      <c r="AF18" s="107">
        <v>1</v>
      </c>
      <c r="AG18" s="107">
        <v>1</v>
      </c>
      <c r="AH18" s="107">
        <v>1.2</v>
      </c>
    </row>
    <row r="19" spans="1:34" ht="12.75">
      <c r="A19" s="330">
        <v>264971</v>
      </c>
      <c r="B19" s="331"/>
      <c r="C19" s="88"/>
      <c r="D19" s="340">
        <v>5</v>
      </c>
      <c r="E19" s="341" t="s">
        <v>98</v>
      </c>
      <c r="F19" s="432" t="s">
        <v>1704</v>
      </c>
      <c r="G19" s="433" t="s">
        <v>154</v>
      </c>
      <c r="H19" s="434" t="s">
        <v>98</v>
      </c>
      <c r="I19" s="434" t="s">
        <v>98</v>
      </c>
      <c r="J19" s="94">
        <v>0</v>
      </c>
      <c r="K19" s="433" t="s">
        <v>96</v>
      </c>
      <c r="L19" s="435">
        <f>SUM(L8:L10)</f>
        <v>0.66322816317271038</v>
      </c>
      <c r="M19" s="95">
        <v>1</v>
      </c>
      <c r="N19" s="96">
        <f t="shared" si="0"/>
        <v>1.6083513984761497</v>
      </c>
      <c r="O19" s="432" t="str">
        <f t="shared" si="1"/>
        <v xml:space="preserve">(2,3,1,3,1,4); </v>
      </c>
      <c r="P19" s="498"/>
      <c r="Q19" s="733"/>
      <c r="R19" s="744">
        <v>2</v>
      </c>
      <c r="S19" s="744">
        <v>3</v>
      </c>
      <c r="T19" s="744">
        <v>1</v>
      </c>
      <c r="U19" s="744">
        <v>3</v>
      </c>
      <c r="V19" s="744">
        <v>1</v>
      </c>
      <c r="W19" s="744">
        <v>4</v>
      </c>
      <c r="X19" s="732">
        <v>6</v>
      </c>
      <c r="Y19" s="745">
        <v>1.05</v>
      </c>
      <c r="Z19" s="745">
        <f t="shared" si="2"/>
        <v>1.5330851228906999</v>
      </c>
      <c r="AA19" s="745">
        <f t="shared" si="3"/>
        <v>1.5373477798642379</v>
      </c>
      <c r="AB19" s="732" t="str">
        <f t="shared" si="4"/>
        <v>(2,3,1,3,1,4)</v>
      </c>
      <c r="AC19" s="107">
        <v>1.1000000000000001</v>
      </c>
      <c r="AD19" s="107">
        <v>1</v>
      </c>
      <c r="AE19" s="107">
        <v>1.1000000000000001</v>
      </c>
      <c r="AF19" s="107">
        <v>1</v>
      </c>
      <c r="AG19" s="107">
        <v>1.5</v>
      </c>
      <c r="AH19" s="107">
        <v>1</v>
      </c>
    </row>
    <row r="20" spans="1:34">
      <c r="P20" s="498"/>
    </row>
    <row r="21" spans="1:34">
      <c r="B21" s="780"/>
      <c r="C21" s="786"/>
      <c r="D21" s="222"/>
      <c r="E21" s="785"/>
      <c r="F21" s="444" t="s">
        <v>915</v>
      </c>
      <c r="G21" s="445"/>
      <c r="H21" s="446"/>
      <c r="I21" s="446"/>
      <c r="J21" s="143"/>
      <c r="K21" s="445" t="s">
        <v>96</v>
      </c>
      <c r="L21" s="787">
        <v>2.5696889776726599</v>
      </c>
      <c r="P21" s="787"/>
    </row>
    <row r="22" spans="1:34">
      <c r="F22" s="444" t="s">
        <v>1705</v>
      </c>
      <c r="G22" s="445"/>
      <c r="H22" s="446"/>
      <c r="I22" s="446"/>
      <c r="J22" s="143"/>
      <c r="K22" s="445" t="s">
        <v>96</v>
      </c>
      <c r="L22" s="787">
        <f>SUM(L8:L11,L14:L16)</f>
        <v>1.3666633837454205</v>
      </c>
    </row>
  </sheetData>
  <phoneticPr fontId="31" type="noConversion"/>
  <conditionalFormatting sqref="D8:O19">
    <cfRule type="expression" dxfId="93" priority="4">
      <formula>MOD(ROW(),2)=0</formula>
    </cfRule>
  </conditionalFormatting>
  <conditionalFormatting sqref="Q8:W19">
    <cfRule type="expression" dxfId="92" priority="3">
      <formula>MOD(ROW(),2)=0</formula>
    </cfRule>
  </conditionalFormatting>
  <conditionalFormatting sqref="X8:AH19">
    <cfRule type="expression" dxfId="91" priority="1">
      <formula>MOD(ROW(),2)=0</formula>
    </cfRule>
  </conditionalFormatting>
  <dataValidations disablePrompts="1" count="1">
    <dataValidation allowBlank="1" showInputMessage="1" showErrorMessage="1" promptTitle="Do not change" prompt="This field is automatically updated from the names-list" sqref="X8:X19" xr:uid="{A5D94438-6E70-46F8-80F7-71401C0BE2B5}"/>
  </dataValidations>
  <pageMargins left="0.78740157499999996" right="0.78740157499999996" top="0.984251969" bottom="0.984251969" header="0.4921259845" footer="0.4921259845"/>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46">
    <tabColor rgb="FF9CD9F0"/>
  </sheetPr>
  <dimension ref="A1:AF101"/>
  <sheetViews>
    <sheetView topLeftCell="A81" zoomScaleNormal="100" workbookViewId="0">
      <selection activeCell="A102" sqref="A102:XFD108"/>
    </sheetView>
  </sheetViews>
  <sheetFormatPr baseColWidth="10" defaultColWidth="11.42578125" defaultRowHeight="12" outlineLevelCol="1"/>
  <cols>
    <col min="1" max="1" width="11.28515625" style="378" customWidth="1"/>
    <col min="2" max="2" width="12.7109375" style="114" customWidth="1"/>
    <col min="3" max="3" width="4" style="115" hidden="1" customWidth="1" outlineLevel="1"/>
    <col min="4" max="5" width="5" style="378" hidden="1" customWidth="1" outlineLevel="1"/>
    <col min="6" max="6" width="47.7109375" style="378" customWidth="1" collapsed="1"/>
    <col min="7" max="7" width="8.5703125" style="378" bestFit="1" customWidth="1"/>
    <col min="8" max="8" width="13.7109375" style="378" hidden="1" customWidth="1" outlineLevel="1"/>
    <col min="9" max="9" width="15.7109375" style="378" hidden="1" customWidth="1" outlineLevel="1"/>
    <col min="10" max="10" width="5.42578125" style="378" bestFit="1" customWidth="1" collapsed="1"/>
    <col min="11" max="11" width="5" style="378" bestFit="1" customWidth="1"/>
    <col min="12" max="12" width="11.28515625" style="378" customWidth="1"/>
    <col min="13" max="14" width="5.7109375" style="1167" hidden="1" customWidth="1" outlineLevel="1"/>
    <col min="15" max="15" width="50.7109375" style="1167" hidden="1" customWidth="1" outlineLevel="1"/>
    <col min="16" max="16" width="10.42578125" style="378" customWidth="1" collapsed="1"/>
    <col min="17" max="18" width="5.7109375" style="1167" hidden="1" customWidth="1" outlineLevel="1"/>
    <col min="19" max="19" width="50.7109375" style="1167" hidden="1" customWidth="1" outlineLevel="1"/>
    <col min="20" max="20" width="10.85546875" style="378" customWidth="1" collapsed="1"/>
    <col min="21" max="22" width="5.7109375" style="1167" hidden="1" customWidth="1" outlineLevel="1"/>
    <col min="23" max="23" width="50.7109375" style="1167" hidden="1" customWidth="1" outlineLevel="1"/>
    <col min="24" max="24" width="10.140625" style="378" customWidth="1" collapsed="1"/>
    <col min="25" max="26" width="5.7109375" style="1167" hidden="1" customWidth="1" outlineLevel="1"/>
    <col min="27" max="27" width="38.140625" style="1167" hidden="1" customWidth="1" outlineLevel="1"/>
    <col min="28" max="28" width="12.7109375" style="378" customWidth="1" collapsed="1"/>
    <col min="29" max="30" width="5.7109375" style="1167" hidden="1" customWidth="1" outlineLevel="1"/>
    <col min="31" max="31" width="50.7109375" style="1167" hidden="1" customWidth="1" outlineLevel="1"/>
    <col min="32" max="32" width="16.5703125" style="1167" customWidth="1" collapsed="1"/>
    <col min="33" max="16384" width="11.42578125" style="378"/>
  </cols>
  <sheetData>
    <row r="1" spans="1:32" ht="12" customHeight="1">
      <c r="A1" s="77"/>
      <c r="B1" s="78"/>
      <c r="C1" s="79"/>
      <c r="D1" s="77"/>
      <c r="E1" s="77"/>
      <c r="F1" s="80" t="s">
        <v>65</v>
      </c>
      <c r="G1" s="77"/>
      <c r="H1" s="77"/>
      <c r="I1" s="77"/>
      <c r="J1" s="77"/>
      <c r="K1" s="77"/>
      <c r="L1" s="330" t="s">
        <v>1706</v>
      </c>
      <c r="M1" s="1166"/>
      <c r="N1" s="1166"/>
      <c r="O1" s="1166"/>
      <c r="P1" s="330" t="s">
        <v>1707</v>
      </c>
      <c r="Q1" s="1166"/>
      <c r="R1" s="1166"/>
      <c r="S1" s="1166"/>
      <c r="T1" s="330" t="s">
        <v>1708</v>
      </c>
      <c r="U1" s="1166"/>
      <c r="V1" s="1166"/>
      <c r="W1" s="1166"/>
      <c r="X1" s="330" t="s">
        <v>1709</v>
      </c>
      <c r="Y1" s="1166"/>
      <c r="Z1" s="1166"/>
      <c r="AA1" s="1166"/>
      <c r="AB1" s="172"/>
      <c r="AC1" s="1166"/>
      <c r="AD1" s="1166"/>
      <c r="AE1" s="1166"/>
    </row>
    <row r="2" spans="1:32" ht="12" customHeight="1">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746"/>
      <c r="AC2" s="419">
        <v>3708</v>
      </c>
      <c r="AD2" s="419">
        <v>3709</v>
      </c>
      <c r="AE2" s="420">
        <v>3792</v>
      </c>
      <c r="AF2" s="495"/>
    </row>
    <row r="3" spans="1:32" ht="86.25" customHeight="1">
      <c r="A3" s="83" t="s">
        <v>68</v>
      </c>
      <c r="B3" s="84"/>
      <c r="C3" s="79">
        <v>401</v>
      </c>
      <c r="D3" s="85" t="s">
        <v>69</v>
      </c>
      <c r="E3" s="85" t="s">
        <v>70</v>
      </c>
      <c r="F3" s="86" t="s">
        <v>71</v>
      </c>
      <c r="G3" s="85" t="s">
        <v>72</v>
      </c>
      <c r="H3" s="85" t="s">
        <v>73</v>
      </c>
      <c r="I3" s="85" t="s">
        <v>74</v>
      </c>
      <c r="J3" s="85" t="s">
        <v>75</v>
      </c>
      <c r="K3" s="85" t="s">
        <v>76</v>
      </c>
      <c r="L3" s="87" t="s">
        <v>1710</v>
      </c>
      <c r="M3" s="422" t="s">
        <v>78</v>
      </c>
      <c r="N3" s="422" t="s">
        <v>79</v>
      </c>
      <c r="O3" s="423" t="s">
        <v>80</v>
      </c>
      <c r="P3" s="87" t="s">
        <v>1711</v>
      </c>
      <c r="Q3" s="422" t="s">
        <v>78</v>
      </c>
      <c r="R3" s="422" t="s">
        <v>79</v>
      </c>
      <c r="S3" s="423" t="s">
        <v>80</v>
      </c>
      <c r="T3" s="87" t="s">
        <v>1712</v>
      </c>
      <c r="U3" s="422" t="s">
        <v>78</v>
      </c>
      <c r="V3" s="422" t="s">
        <v>79</v>
      </c>
      <c r="W3" s="423" t="s">
        <v>80</v>
      </c>
      <c r="X3" s="87" t="s">
        <v>1713</v>
      </c>
      <c r="Y3" s="422" t="s">
        <v>78</v>
      </c>
      <c r="Z3" s="422" t="s">
        <v>79</v>
      </c>
      <c r="AA3" s="423" t="s">
        <v>80</v>
      </c>
      <c r="AB3" s="747"/>
      <c r="AC3" s="422" t="s">
        <v>78</v>
      </c>
      <c r="AD3" s="422" t="s">
        <v>79</v>
      </c>
      <c r="AE3" s="423" t="s">
        <v>80</v>
      </c>
      <c r="AF3" s="423"/>
    </row>
    <row r="4" spans="1:32" ht="13.5" customHeight="1">
      <c r="A4" s="77"/>
      <c r="B4" s="84"/>
      <c r="C4" s="79">
        <v>662</v>
      </c>
      <c r="D4" s="86"/>
      <c r="E4" s="86"/>
      <c r="F4" s="86" t="s">
        <v>72</v>
      </c>
      <c r="G4" s="86"/>
      <c r="H4" s="86"/>
      <c r="I4" s="86"/>
      <c r="J4" s="86"/>
      <c r="K4" s="86"/>
      <c r="L4" s="87" t="s">
        <v>93</v>
      </c>
      <c r="M4" s="425"/>
      <c r="N4" s="425"/>
      <c r="O4" s="426"/>
      <c r="P4" s="87" t="s">
        <v>93</v>
      </c>
      <c r="Q4" s="425"/>
      <c r="R4" s="425"/>
      <c r="S4" s="426"/>
      <c r="T4" s="87" t="s">
        <v>154</v>
      </c>
      <c r="U4" s="425"/>
      <c r="V4" s="425"/>
      <c r="W4" s="426"/>
      <c r="X4" s="87" t="s">
        <v>154</v>
      </c>
      <c r="Y4" s="425"/>
      <c r="Z4" s="425"/>
      <c r="AA4" s="426"/>
      <c r="AB4" s="747"/>
      <c r="AC4" s="425"/>
      <c r="AD4" s="425"/>
      <c r="AE4" s="426"/>
      <c r="AF4" s="426"/>
    </row>
    <row r="5" spans="1:32" ht="12" customHeight="1">
      <c r="A5" s="77"/>
      <c r="B5" s="84"/>
      <c r="C5" s="79">
        <v>493</v>
      </c>
      <c r="D5" s="86"/>
      <c r="E5" s="86"/>
      <c r="F5" s="86" t="s">
        <v>75</v>
      </c>
      <c r="G5" s="86"/>
      <c r="H5" s="86"/>
      <c r="I5" s="86"/>
      <c r="J5" s="86"/>
      <c r="K5" s="86"/>
      <c r="L5" s="87">
        <v>1</v>
      </c>
      <c r="M5" s="425"/>
      <c r="N5" s="425"/>
      <c r="O5" s="426"/>
      <c r="P5" s="87">
        <v>1</v>
      </c>
      <c r="Q5" s="425"/>
      <c r="R5" s="425"/>
      <c r="S5" s="426"/>
      <c r="T5" s="87">
        <v>1</v>
      </c>
      <c r="U5" s="425"/>
      <c r="V5" s="425"/>
      <c r="W5" s="426"/>
      <c r="X5" s="87">
        <v>1</v>
      </c>
      <c r="Y5" s="425"/>
      <c r="Z5" s="425"/>
      <c r="AA5" s="426"/>
      <c r="AB5" s="747"/>
      <c r="AC5" s="425"/>
      <c r="AD5" s="425"/>
      <c r="AE5" s="426"/>
      <c r="AF5" s="426"/>
    </row>
    <row r="6" spans="1:32" ht="12" customHeight="1">
      <c r="A6" s="77"/>
      <c r="B6" s="84"/>
      <c r="C6" s="79">
        <v>403</v>
      </c>
      <c r="D6" s="86"/>
      <c r="E6" s="86"/>
      <c r="F6" s="86" t="s">
        <v>76</v>
      </c>
      <c r="G6" s="86"/>
      <c r="H6" s="86"/>
      <c r="I6" s="86"/>
      <c r="J6" s="86"/>
      <c r="K6" s="86"/>
      <c r="L6" s="87" t="s">
        <v>144</v>
      </c>
      <c r="M6" s="425"/>
      <c r="N6" s="425"/>
      <c r="O6" s="426"/>
      <c r="P6" s="87" t="s">
        <v>144</v>
      </c>
      <c r="Q6" s="425"/>
      <c r="R6" s="425"/>
      <c r="S6" s="426"/>
      <c r="T6" s="87" t="s">
        <v>144</v>
      </c>
      <c r="U6" s="425"/>
      <c r="V6" s="425"/>
      <c r="W6" s="426"/>
      <c r="X6" s="87" t="s">
        <v>144</v>
      </c>
      <c r="Y6" s="425"/>
      <c r="Z6" s="425"/>
      <c r="AA6" s="426"/>
      <c r="AB6" s="747"/>
      <c r="AC6" s="425"/>
      <c r="AD6" s="425"/>
      <c r="AE6" s="426"/>
      <c r="AF6" s="426"/>
    </row>
    <row r="7" spans="1:32">
      <c r="A7" s="330" t="s">
        <v>1706</v>
      </c>
      <c r="B7" s="331" t="s">
        <v>97</v>
      </c>
      <c r="C7" s="88"/>
      <c r="D7" s="294" t="s">
        <v>98</v>
      </c>
      <c r="E7" s="295">
        <v>0</v>
      </c>
      <c r="F7" s="429" t="s">
        <v>1710</v>
      </c>
      <c r="G7" s="430" t="s">
        <v>93</v>
      </c>
      <c r="H7" s="431" t="s">
        <v>98</v>
      </c>
      <c r="I7" s="431" t="s">
        <v>98</v>
      </c>
      <c r="J7" s="89">
        <v>1</v>
      </c>
      <c r="K7" s="430" t="s">
        <v>144</v>
      </c>
      <c r="L7" s="90">
        <v>1</v>
      </c>
      <c r="M7" s="91"/>
      <c r="N7" s="92"/>
      <c r="O7" s="93"/>
      <c r="P7" s="90">
        <v>0</v>
      </c>
      <c r="Q7" s="91"/>
      <c r="R7" s="92"/>
      <c r="S7" s="93"/>
      <c r="T7" s="90">
        <v>0</v>
      </c>
      <c r="U7" s="91"/>
      <c r="V7" s="92"/>
      <c r="W7" s="93"/>
      <c r="X7" s="90">
        <v>0</v>
      </c>
      <c r="Y7" s="91"/>
      <c r="Z7" s="92"/>
      <c r="AA7" s="93"/>
      <c r="AB7" s="748"/>
      <c r="AC7" s="91"/>
      <c r="AD7" s="92"/>
      <c r="AE7" s="93"/>
      <c r="AF7" s="93"/>
    </row>
    <row r="8" spans="1:32">
      <c r="A8" s="330" t="s">
        <v>1707</v>
      </c>
      <c r="B8" s="331"/>
      <c r="C8" s="88"/>
      <c r="D8" s="294" t="s">
        <v>98</v>
      </c>
      <c r="E8" s="295">
        <v>0</v>
      </c>
      <c r="F8" s="429" t="s">
        <v>1711</v>
      </c>
      <c r="G8" s="430" t="s">
        <v>93</v>
      </c>
      <c r="H8" s="431" t="s">
        <v>98</v>
      </c>
      <c r="I8" s="431" t="s">
        <v>98</v>
      </c>
      <c r="J8" s="89">
        <v>1</v>
      </c>
      <c r="K8" s="430" t="s">
        <v>144</v>
      </c>
      <c r="L8" s="90">
        <v>0</v>
      </c>
      <c r="M8" s="91"/>
      <c r="N8" s="92"/>
      <c r="O8" s="93"/>
      <c r="P8" s="90">
        <v>1</v>
      </c>
      <c r="Q8" s="91"/>
      <c r="R8" s="92"/>
      <c r="S8" s="93"/>
      <c r="T8" s="90">
        <v>0</v>
      </c>
      <c r="U8" s="91"/>
      <c r="V8" s="92"/>
      <c r="W8" s="93"/>
      <c r="X8" s="90">
        <v>0</v>
      </c>
      <c r="Y8" s="91"/>
      <c r="Z8" s="92"/>
      <c r="AA8" s="93"/>
      <c r="AB8" s="748"/>
      <c r="AC8" s="91"/>
      <c r="AD8" s="92"/>
      <c r="AE8" s="93"/>
      <c r="AF8" s="93"/>
    </row>
    <row r="9" spans="1:32">
      <c r="A9" s="330" t="s">
        <v>1708</v>
      </c>
      <c r="B9" s="331"/>
      <c r="C9" s="88"/>
      <c r="D9" s="294" t="s">
        <v>98</v>
      </c>
      <c r="E9" s="295">
        <v>0</v>
      </c>
      <c r="F9" s="429" t="s">
        <v>1712</v>
      </c>
      <c r="G9" s="430" t="s">
        <v>154</v>
      </c>
      <c r="H9" s="431" t="s">
        <v>98</v>
      </c>
      <c r="I9" s="431" t="s">
        <v>98</v>
      </c>
      <c r="J9" s="89">
        <v>1</v>
      </c>
      <c r="K9" s="430" t="s">
        <v>144</v>
      </c>
      <c r="L9" s="90">
        <v>0</v>
      </c>
      <c r="M9" s="91"/>
      <c r="N9" s="92"/>
      <c r="O9" s="93"/>
      <c r="P9" s="90">
        <v>0</v>
      </c>
      <c r="Q9" s="91"/>
      <c r="R9" s="92"/>
      <c r="S9" s="93"/>
      <c r="T9" s="90">
        <v>1</v>
      </c>
      <c r="U9" s="91"/>
      <c r="V9" s="92"/>
      <c r="W9" s="93"/>
      <c r="X9" s="90">
        <v>0</v>
      </c>
      <c r="Y9" s="91"/>
      <c r="Z9" s="92"/>
      <c r="AA9" s="93"/>
      <c r="AB9" s="748"/>
      <c r="AC9" s="91"/>
      <c r="AD9" s="92"/>
      <c r="AE9" s="93"/>
      <c r="AF9" s="93"/>
    </row>
    <row r="10" spans="1:32">
      <c r="A10" s="330" t="s">
        <v>1709</v>
      </c>
      <c r="B10" s="331"/>
      <c r="C10" s="88"/>
      <c r="D10" s="294" t="s">
        <v>98</v>
      </c>
      <c r="E10" s="295">
        <v>0</v>
      </c>
      <c r="F10" s="429" t="s">
        <v>1713</v>
      </c>
      <c r="G10" s="430" t="s">
        <v>154</v>
      </c>
      <c r="H10" s="431" t="s">
        <v>98</v>
      </c>
      <c r="I10" s="431" t="s">
        <v>98</v>
      </c>
      <c r="J10" s="89">
        <v>1</v>
      </c>
      <c r="K10" s="430" t="s">
        <v>144</v>
      </c>
      <c r="L10" s="90">
        <v>0</v>
      </c>
      <c r="M10" s="91"/>
      <c r="N10" s="92"/>
      <c r="O10" s="93"/>
      <c r="P10" s="90">
        <v>0</v>
      </c>
      <c r="Q10" s="91"/>
      <c r="R10" s="92"/>
      <c r="S10" s="93"/>
      <c r="T10" s="90">
        <v>0</v>
      </c>
      <c r="U10" s="91"/>
      <c r="V10" s="92"/>
      <c r="W10" s="93"/>
      <c r="X10" s="90">
        <v>1</v>
      </c>
      <c r="Y10" s="91"/>
      <c r="Z10" s="92"/>
      <c r="AA10" s="93"/>
      <c r="AB10" s="748"/>
      <c r="AC10" s="91"/>
      <c r="AD10" s="92"/>
      <c r="AE10" s="93"/>
      <c r="AF10" s="93"/>
    </row>
    <row r="11" spans="1:32" ht="24">
      <c r="A11" s="330">
        <v>75842</v>
      </c>
      <c r="B11" s="331" t="s">
        <v>1647</v>
      </c>
      <c r="C11" s="88"/>
      <c r="D11" s="340">
        <v>5</v>
      </c>
      <c r="E11" s="341" t="s">
        <v>98</v>
      </c>
      <c r="F11" s="432" t="s">
        <v>1714</v>
      </c>
      <c r="G11" s="433" t="s">
        <v>154</v>
      </c>
      <c r="H11" s="434" t="s">
        <v>98</v>
      </c>
      <c r="I11" s="434" t="s">
        <v>98</v>
      </c>
      <c r="J11" s="94">
        <v>0</v>
      </c>
      <c r="K11" s="433" t="s">
        <v>109</v>
      </c>
      <c r="L11" s="440">
        <v>0</v>
      </c>
      <c r="M11" s="95">
        <v>1</v>
      </c>
      <c r="N11" s="96">
        <v>1.05</v>
      </c>
      <c r="O11" s="437" t="s">
        <v>1715</v>
      </c>
      <c r="P11" s="440">
        <v>0</v>
      </c>
      <c r="Q11" s="95">
        <v>1</v>
      </c>
      <c r="R11" s="96">
        <v>1.05</v>
      </c>
      <c r="S11" s="437" t="s">
        <v>1715</v>
      </c>
      <c r="T11" s="440">
        <v>14.5</v>
      </c>
      <c r="U11" s="95">
        <v>1</v>
      </c>
      <c r="V11" s="96">
        <v>1.05</v>
      </c>
      <c r="W11" s="432" t="s">
        <v>1716</v>
      </c>
      <c r="X11" s="440">
        <v>93.238</v>
      </c>
      <c r="Y11" s="95">
        <v>1</v>
      </c>
      <c r="Z11" s="96">
        <v>1.05</v>
      </c>
      <c r="AA11" s="432" t="s">
        <v>1716</v>
      </c>
      <c r="AB11" s="462"/>
      <c r="AC11" s="336">
        <v>1</v>
      </c>
      <c r="AD11" s="337">
        <v>1.05</v>
      </c>
      <c r="AE11" s="437" t="s">
        <v>1715</v>
      </c>
      <c r="AF11" s="206"/>
    </row>
    <row r="12" spans="1:32" ht="24">
      <c r="A12" s="333">
        <v>269603</v>
      </c>
      <c r="B12" s="216"/>
      <c r="C12" s="165"/>
      <c r="D12" s="515">
        <v>5</v>
      </c>
      <c r="E12" s="343" t="s">
        <v>98</v>
      </c>
      <c r="F12" s="437" t="s">
        <v>222</v>
      </c>
      <c r="G12" s="438" t="s">
        <v>223</v>
      </c>
      <c r="H12" s="455" t="s">
        <v>98</v>
      </c>
      <c r="I12" s="455" t="s">
        <v>98</v>
      </c>
      <c r="J12" s="336">
        <v>0</v>
      </c>
      <c r="K12" s="438" t="s">
        <v>109</v>
      </c>
      <c r="L12" s="440">
        <v>12.665475789091964</v>
      </c>
      <c r="M12" s="336">
        <v>1</v>
      </c>
      <c r="N12" s="337">
        <v>1.3341182123822604</v>
      </c>
      <c r="O12" s="437" t="s">
        <v>1717</v>
      </c>
      <c r="P12" s="440">
        <v>11.588873887340441</v>
      </c>
      <c r="Q12" s="336">
        <v>1</v>
      </c>
      <c r="R12" s="337">
        <v>1.3341182123822604</v>
      </c>
      <c r="S12" s="437" t="s">
        <v>1717</v>
      </c>
      <c r="T12" s="440">
        <v>0</v>
      </c>
      <c r="U12" s="336">
        <v>1</v>
      </c>
      <c r="V12" s="337">
        <v>1.3341182123822604</v>
      </c>
      <c r="W12" s="437"/>
      <c r="X12" s="440">
        <v>0</v>
      </c>
      <c r="Y12" s="336">
        <v>1</v>
      </c>
      <c r="Z12" s="337">
        <v>1.3341182123822604</v>
      </c>
      <c r="AA12" s="432" t="s">
        <v>1715</v>
      </c>
      <c r="AB12" s="749"/>
      <c r="AC12" s="336">
        <v>1</v>
      </c>
      <c r="AD12" s="337">
        <v>1.3341182123822604</v>
      </c>
      <c r="AE12" s="437" t="s">
        <v>1718</v>
      </c>
      <c r="AF12" s="517"/>
    </row>
    <row r="13" spans="1:32" ht="24">
      <c r="A13" s="330">
        <v>78450</v>
      </c>
      <c r="B13" s="331" t="s">
        <v>1719</v>
      </c>
      <c r="C13" s="88"/>
      <c r="D13" s="340">
        <v>5</v>
      </c>
      <c r="E13" s="341" t="s">
        <v>98</v>
      </c>
      <c r="F13" s="432" t="s">
        <v>1720</v>
      </c>
      <c r="G13" s="433" t="s">
        <v>93</v>
      </c>
      <c r="H13" s="434" t="s">
        <v>98</v>
      </c>
      <c r="I13" s="434" t="s">
        <v>98</v>
      </c>
      <c r="J13" s="94">
        <v>0</v>
      </c>
      <c r="K13" s="433" t="s">
        <v>96</v>
      </c>
      <c r="L13" s="440">
        <v>9.7790999999999997</v>
      </c>
      <c r="M13" s="95">
        <v>1</v>
      </c>
      <c r="N13" s="96">
        <v>1.3341182123822604</v>
      </c>
      <c r="O13" s="437" t="s">
        <v>1721</v>
      </c>
      <c r="P13" s="440">
        <v>0</v>
      </c>
      <c r="Q13" s="95">
        <v>1</v>
      </c>
      <c r="R13" s="96">
        <v>1.3341182123822604</v>
      </c>
      <c r="S13" s="437" t="s">
        <v>1721</v>
      </c>
      <c r="T13" s="440">
        <v>11.244398934794388</v>
      </c>
      <c r="U13" s="95">
        <v>1</v>
      </c>
      <c r="V13" s="96">
        <v>1.3341182123822604</v>
      </c>
      <c r="W13" s="432" t="s">
        <v>1722</v>
      </c>
      <c r="X13" s="440">
        <v>40.75925826989571</v>
      </c>
      <c r="Y13" s="95">
        <v>1</v>
      </c>
      <c r="Z13" s="96">
        <v>1.3341182123822604</v>
      </c>
      <c r="AA13" s="432" t="s">
        <v>1722</v>
      </c>
      <c r="AB13" s="462"/>
      <c r="AC13" s="336">
        <v>1</v>
      </c>
      <c r="AD13" s="337">
        <v>1.3341182123822604</v>
      </c>
      <c r="AE13" s="437" t="s">
        <v>1723</v>
      </c>
      <c r="AF13" s="206"/>
    </row>
    <row r="14" spans="1:32" ht="24">
      <c r="A14" s="330">
        <v>269439</v>
      </c>
      <c r="B14" s="331"/>
      <c r="C14" s="88"/>
      <c r="D14" s="340">
        <v>5</v>
      </c>
      <c r="E14" s="341" t="s">
        <v>98</v>
      </c>
      <c r="F14" s="432" t="s">
        <v>1607</v>
      </c>
      <c r="G14" s="433" t="s">
        <v>93</v>
      </c>
      <c r="H14" s="434" t="s">
        <v>98</v>
      </c>
      <c r="I14" s="434" t="s">
        <v>98</v>
      </c>
      <c r="J14" s="94">
        <v>0</v>
      </c>
      <c r="K14" s="433" t="s">
        <v>96</v>
      </c>
      <c r="L14" s="440">
        <v>0</v>
      </c>
      <c r="M14" s="95">
        <v>1</v>
      </c>
      <c r="N14" s="96">
        <v>1.05</v>
      </c>
      <c r="O14" s="437" t="s">
        <v>1721</v>
      </c>
      <c r="P14" s="440">
        <v>1.254</v>
      </c>
      <c r="Q14" s="95">
        <v>1</v>
      </c>
      <c r="R14" s="96">
        <v>1.05</v>
      </c>
      <c r="S14" s="437" t="s">
        <v>1721</v>
      </c>
      <c r="T14" s="440">
        <v>0.16133268036878903</v>
      </c>
      <c r="U14" s="95">
        <v>1</v>
      </c>
      <c r="V14" s="96">
        <v>1.05</v>
      </c>
      <c r="W14" s="432" t="s">
        <v>1722</v>
      </c>
      <c r="X14" s="440">
        <v>0.5848067490898079</v>
      </c>
      <c r="Y14" s="95">
        <v>1</v>
      </c>
      <c r="Z14" s="96">
        <v>1.05</v>
      </c>
      <c r="AA14" s="432" t="s">
        <v>1722</v>
      </c>
      <c r="AB14" s="462"/>
      <c r="AC14" s="336">
        <v>1</v>
      </c>
      <c r="AD14" s="337">
        <v>1.05</v>
      </c>
      <c r="AE14" s="437" t="s">
        <v>1715</v>
      </c>
      <c r="AF14" s="206"/>
    </row>
    <row r="15" spans="1:32" ht="24">
      <c r="A15" s="333">
        <v>269089</v>
      </c>
      <c r="B15" s="216"/>
      <c r="C15" s="165"/>
      <c r="D15" s="515">
        <v>5</v>
      </c>
      <c r="E15" s="343" t="s">
        <v>98</v>
      </c>
      <c r="F15" s="437" t="s">
        <v>675</v>
      </c>
      <c r="G15" s="438" t="s">
        <v>93</v>
      </c>
      <c r="H15" s="455" t="s">
        <v>98</v>
      </c>
      <c r="I15" s="455" t="s">
        <v>98</v>
      </c>
      <c r="J15" s="336">
        <v>0</v>
      </c>
      <c r="K15" s="438" t="s">
        <v>96</v>
      </c>
      <c r="L15" s="440">
        <v>0</v>
      </c>
      <c r="M15" s="336">
        <v>1</v>
      </c>
      <c r="N15" s="337">
        <v>1.3643195182095749</v>
      </c>
      <c r="O15" s="437" t="s">
        <v>1721</v>
      </c>
      <c r="P15" s="440">
        <v>2.5350000000000001</v>
      </c>
      <c r="Q15" s="336">
        <v>1</v>
      </c>
      <c r="R15" s="337">
        <v>1.3643195182095749</v>
      </c>
      <c r="S15" s="437" t="s">
        <v>1721</v>
      </c>
      <c r="T15" s="440">
        <v>0</v>
      </c>
      <c r="U15" s="336">
        <v>1</v>
      </c>
      <c r="V15" s="337">
        <v>1.3643195182095749</v>
      </c>
      <c r="W15" s="437"/>
      <c r="X15" s="440">
        <v>0</v>
      </c>
      <c r="Y15" s="336">
        <v>1</v>
      </c>
      <c r="Z15" s="337">
        <v>1.3643195182095749</v>
      </c>
      <c r="AA15" s="432" t="s">
        <v>1715</v>
      </c>
      <c r="AB15" s="749"/>
      <c r="AC15" s="336">
        <v>1</v>
      </c>
      <c r="AD15" s="337">
        <v>1.3643195182095749</v>
      </c>
      <c r="AE15" s="437" t="s">
        <v>1724</v>
      </c>
      <c r="AF15" s="517"/>
    </row>
    <row r="16" spans="1:32" ht="24">
      <c r="A16" s="333">
        <v>267362</v>
      </c>
      <c r="B16" s="216"/>
      <c r="C16" s="165"/>
      <c r="D16" s="515">
        <v>5</v>
      </c>
      <c r="E16" s="343" t="s">
        <v>98</v>
      </c>
      <c r="F16" s="437" t="s">
        <v>1676</v>
      </c>
      <c r="G16" s="438" t="s">
        <v>103</v>
      </c>
      <c r="H16" s="455" t="s">
        <v>98</v>
      </c>
      <c r="I16" s="455" t="s">
        <v>98</v>
      </c>
      <c r="J16" s="336">
        <v>0</v>
      </c>
      <c r="K16" s="438" t="s">
        <v>96</v>
      </c>
      <c r="L16" s="440">
        <v>0</v>
      </c>
      <c r="M16" s="336">
        <v>1</v>
      </c>
      <c r="N16" s="337">
        <v>1.05</v>
      </c>
      <c r="O16" s="437" t="s">
        <v>1715</v>
      </c>
      <c r="P16" s="440">
        <v>0</v>
      </c>
      <c r="Q16" s="336">
        <v>1</v>
      </c>
      <c r="R16" s="337">
        <v>1.05</v>
      </c>
      <c r="S16" s="437" t="s">
        <v>1715</v>
      </c>
      <c r="T16" s="440">
        <v>1.2673344530900394E-2</v>
      </c>
      <c r="U16" s="336">
        <v>1</v>
      </c>
      <c r="V16" s="337">
        <v>1.05</v>
      </c>
      <c r="W16" s="437" t="s">
        <v>1722</v>
      </c>
      <c r="X16" s="440">
        <v>7.7663744462448156E-2</v>
      </c>
      <c r="Y16" s="336">
        <v>1</v>
      </c>
      <c r="Z16" s="337">
        <v>1.05</v>
      </c>
      <c r="AA16" s="432" t="s">
        <v>1722</v>
      </c>
      <c r="AB16" s="749"/>
      <c r="AC16" s="336">
        <v>1</v>
      </c>
      <c r="AD16" s="337">
        <v>1.05</v>
      </c>
      <c r="AE16" s="437" t="s">
        <v>1715</v>
      </c>
      <c r="AF16" s="517"/>
    </row>
    <row r="17" spans="1:32" ht="24">
      <c r="A17" s="333">
        <v>266451</v>
      </c>
      <c r="B17" s="216"/>
      <c r="C17" s="165"/>
      <c r="D17" s="515">
        <v>5</v>
      </c>
      <c r="E17" s="343" t="s">
        <v>98</v>
      </c>
      <c r="F17" s="437" t="s">
        <v>906</v>
      </c>
      <c r="G17" s="438" t="s">
        <v>93</v>
      </c>
      <c r="H17" s="455" t="s">
        <v>98</v>
      </c>
      <c r="I17" s="455" t="s">
        <v>98</v>
      </c>
      <c r="J17" s="336">
        <v>0</v>
      </c>
      <c r="K17" s="438" t="s">
        <v>96</v>
      </c>
      <c r="L17" s="440">
        <v>0</v>
      </c>
      <c r="M17" s="336">
        <v>1</v>
      </c>
      <c r="N17" s="337">
        <v>1.05</v>
      </c>
      <c r="O17" s="437" t="s">
        <v>1715</v>
      </c>
      <c r="P17" s="440">
        <v>0</v>
      </c>
      <c r="Q17" s="336">
        <v>1</v>
      </c>
      <c r="R17" s="337">
        <v>1.05</v>
      </c>
      <c r="S17" s="437" t="s">
        <v>1715</v>
      </c>
      <c r="T17" s="440">
        <v>2.5274069267861103E-4</v>
      </c>
      <c r="U17" s="336">
        <v>1</v>
      </c>
      <c r="V17" s="337">
        <v>1.05</v>
      </c>
      <c r="W17" s="437" t="s">
        <v>1722</v>
      </c>
      <c r="X17" s="440">
        <v>1.9639107795101835E-3</v>
      </c>
      <c r="Y17" s="336">
        <v>1</v>
      </c>
      <c r="Z17" s="337">
        <v>1.05</v>
      </c>
      <c r="AA17" s="432" t="s">
        <v>1722</v>
      </c>
      <c r="AB17" s="749"/>
      <c r="AC17" s="336">
        <v>1</v>
      </c>
      <c r="AD17" s="337">
        <v>1.05</v>
      </c>
      <c r="AE17" s="437" t="s">
        <v>1715</v>
      </c>
      <c r="AF17" s="517"/>
    </row>
    <row r="18" spans="1:32" ht="24">
      <c r="A18" s="333">
        <v>78250</v>
      </c>
      <c r="B18" s="216"/>
      <c r="C18" s="165"/>
      <c r="D18" s="515">
        <v>5</v>
      </c>
      <c r="E18" s="343" t="s">
        <v>98</v>
      </c>
      <c r="F18" s="437" t="s">
        <v>238</v>
      </c>
      <c r="G18" s="438" t="s">
        <v>93</v>
      </c>
      <c r="H18" s="455" t="s">
        <v>98</v>
      </c>
      <c r="I18" s="455" t="s">
        <v>98</v>
      </c>
      <c r="J18" s="336">
        <v>0</v>
      </c>
      <c r="K18" s="438" t="s">
        <v>96</v>
      </c>
      <c r="L18" s="440">
        <v>0</v>
      </c>
      <c r="M18" s="336">
        <v>1</v>
      </c>
      <c r="N18" s="337">
        <v>1.05</v>
      </c>
      <c r="O18" s="437" t="s">
        <v>1715</v>
      </c>
      <c r="P18" s="440">
        <v>0</v>
      </c>
      <c r="Q18" s="336">
        <v>1</v>
      </c>
      <c r="R18" s="337">
        <v>1.05</v>
      </c>
      <c r="S18" s="437" t="s">
        <v>1715</v>
      </c>
      <c r="T18" s="440">
        <v>1.4934677294645198E-4</v>
      </c>
      <c r="U18" s="336">
        <v>1</v>
      </c>
      <c r="V18" s="337">
        <v>1.05</v>
      </c>
      <c r="W18" s="437" t="s">
        <v>1722</v>
      </c>
      <c r="X18" s="440">
        <v>1.1604927333469268E-3</v>
      </c>
      <c r="Y18" s="336">
        <v>1</v>
      </c>
      <c r="Z18" s="337">
        <v>1.05</v>
      </c>
      <c r="AA18" s="432" t="s">
        <v>1722</v>
      </c>
      <c r="AB18" s="749"/>
      <c r="AC18" s="336">
        <v>1</v>
      </c>
      <c r="AD18" s="337">
        <v>1.05</v>
      </c>
      <c r="AE18" s="437" t="s">
        <v>1715</v>
      </c>
      <c r="AF18" s="517"/>
    </row>
    <row r="19" spans="1:32" ht="24">
      <c r="A19" s="333">
        <v>160379</v>
      </c>
      <c r="B19" s="216"/>
      <c r="C19" s="165"/>
      <c r="D19" s="515">
        <v>5</v>
      </c>
      <c r="E19" s="343" t="s">
        <v>98</v>
      </c>
      <c r="F19" s="437" t="s">
        <v>1174</v>
      </c>
      <c r="G19" s="438" t="s">
        <v>93</v>
      </c>
      <c r="H19" s="455" t="s">
        <v>98</v>
      </c>
      <c r="I19" s="455" t="s">
        <v>98</v>
      </c>
      <c r="J19" s="336">
        <v>0</v>
      </c>
      <c r="K19" s="438" t="s">
        <v>96</v>
      </c>
      <c r="L19" s="440">
        <v>2.1211799999999998</v>
      </c>
      <c r="M19" s="336">
        <v>1</v>
      </c>
      <c r="N19" s="337">
        <v>1.3341182123822604</v>
      </c>
      <c r="O19" s="437" t="s">
        <v>1721</v>
      </c>
      <c r="P19" s="440">
        <v>1.5360400000000001</v>
      </c>
      <c r="Q19" s="336">
        <v>1</v>
      </c>
      <c r="R19" s="337">
        <v>1.3341182123822604</v>
      </c>
      <c r="S19" s="437" t="s">
        <v>1721</v>
      </c>
      <c r="T19" s="440">
        <v>0.20184102672068371</v>
      </c>
      <c r="U19" s="336">
        <v>1</v>
      </c>
      <c r="V19" s="337">
        <v>1.3341182123822604</v>
      </c>
      <c r="W19" s="437" t="s">
        <v>1722</v>
      </c>
      <c r="X19" s="440">
        <v>11.826927689193127</v>
      </c>
      <c r="Y19" s="336">
        <v>1</v>
      </c>
      <c r="Z19" s="337">
        <v>1.3341182123822604</v>
      </c>
      <c r="AA19" s="432" t="s">
        <v>1722</v>
      </c>
      <c r="AB19" s="749"/>
      <c r="AC19" s="336">
        <v>1</v>
      </c>
      <c r="AD19" s="337">
        <v>1.3341182123822604</v>
      </c>
      <c r="AE19" s="437" t="s">
        <v>1723</v>
      </c>
      <c r="AF19" s="517"/>
    </row>
    <row r="20" spans="1:32" ht="24">
      <c r="A20" s="333">
        <v>265423</v>
      </c>
      <c r="B20" s="216"/>
      <c r="C20" s="165"/>
      <c r="D20" s="515">
        <v>5</v>
      </c>
      <c r="E20" s="343" t="s">
        <v>98</v>
      </c>
      <c r="F20" s="437" t="s">
        <v>1657</v>
      </c>
      <c r="G20" s="438" t="s">
        <v>93</v>
      </c>
      <c r="H20" s="455" t="s">
        <v>98</v>
      </c>
      <c r="I20" s="455" t="s">
        <v>98</v>
      </c>
      <c r="J20" s="336">
        <v>0</v>
      </c>
      <c r="K20" s="438" t="s">
        <v>96</v>
      </c>
      <c r="L20" s="440">
        <v>0</v>
      </c>
      <c r="M20" s="336">
        <v>1</v>
      </c>
      <c r="N20" s="337">
        <v>1.05</v>
      </c>
      <c r="O20" s="437" t="s">
        <v>1715</v>
      </c>
      <c r="P20" s="440">
        <v>0</v>
      </c>
      <c r="Q20" s="336">
        <v>1</v>
      </c>
      <c r="R20" s="337">
        <v>1.05</v>
      </c>
      <c r="S20" s="437" t="s">
        <v>1715</v>
      </c>
      <c r="T20" s="440">
        <v>2.983549349122696E-2</v>
      </c>
      <c r="U20" s="336">
        <v>1</v>
      </c>
      <c r="V20" s="337">
        <v>1.05</v>
      </c>
      <c r="W20" s="437" t="s">
        <v>1722</v>
      </c>
      <c r="X20" s="440">
        <v>1.2088923383023604</v>
      </c>
      <c r="Y20" s="336">
        <v>1</v>
      </c>
      <c r="Z20" s="337">
        <v>1.05</v>
      </c>
      <c r="AA20" s="432" t="s">
        <v>1722</v>
      </c>
      <c r="AB20" s="749"/>
      <c r="AC20" s="336">
        <v>1</v>
      </c>
      <c r="AD20" s="337">
        <v>1.05</v>
      </c>
      <c r="AE20" s="437" t="s">
        <v>1715</v>
      </c>
      <c r="AF20" s="517"/>
    </row>
    <row r="21" spans="1:32" ht="24">
      <c r="A21" s="333">
        <v>268014</v>
      </c>
      <c r="B21" s="216"/>
      <c r="C21" s="165"/>
      <c r="D21" s="515">
        <v>5</v>
      </c>
      <c r="E21" s="343" t="s">
        <v>98</v>
      </c>
      <c r="F21" s="437" t="s">
        <v>1725</v>
      </c>
      <c r="G21" s="438" t="s">
        <v>93</v>
      </c>
      <c r="H21" s="455" t="s">
        <v>98</v>
      </c>
      <c r="I21" s="455" t="s">
        <v>98</v>
      </c>
      <c r="J21" s="336">
        <v>0</v>
      </c>
      <c r="K21" s="438" t="s">
        <v>96</v>
      </c>
      <c r="L21" s="440">
        <v>0</v>
      </c>
      <c r="M21" s="336">
        <v>1</v>
      </c>
      <c r="N21" s="337">
        <v>1.05</v>
      </c>
      <c r="O21" s="437" t="s">
        <v>1715</v>
      </c>
      <c r="P21" s="440">
        <v>0</v>
      </c>
      <c r="Q21" s="336">
        <v>1</v>
      </c>
      <c r="R21" s="337">
        <v>1.05</v>
      </c>
      <c r="S21" s="437" t="s">
        <v>1715</v>
      </c>
      <c r="T21" s="440">
        <v>3.3284556192501098E-2</v>
      </c>
      <c r="U21" s="336">
        <v>1</v>
      </c>
      <c r="V21" s="337">
        <v>1.05</v>
      </c>
      <c r="W21" s="437" t="s">
        <v>1722</v>
      </c>
      <c r="X21" s="440">
        <v>1.0126759918535559</v>
      </c>
      <c r="Y21" s="336">
        <v>1</v>
      </c>
      <c r="Z21" s="337">
        <v>1.05</v>
      </c>
      <c r="AA21" s="432" t="s">
        <v>1722</v>
      </c>
      <c r="AB21" s="749"/>
      <c r="AC21" s="336">
        <v>1</v>
      </c>
      <c r="AD21" s="337">
        <v>1.05</v>
      </c>
      <c r="AE21" s="437" t="s">
        <v>1715</v>
      </c>
      <c r="AF21" s="517"/>
    </row>
    <row r="22" spans="1:32" ht="36">
      <c r="A22" s="330">
        <v>160377</v>
      </c>
      <c r="B22" s="331"/>
      <c r="C22" s="88"/>
      <c r="D22" s="340">
        <v>5</v>
      </c>
      <c r="E22" s="341" t="s">
        <v>98</v>
      </c>
      <c r="F22" s="432" t="s">
        <v>819</v>
      </c>
      <c r="G22" s="433" t="s">
        <v>93</v>
      </c>
      <c r="H22" s="434" t="s">
        <v>98</v>
      </c>
      <c r="I22" s="434" t="s">
        <v>98</v>
      </c>
      <c r="J22" s="94">
        <v>0</v>
      </c>
      <c r="K22" s="433" t="s">
        <v>96</v>
      </c>
      <c r="L22" s="440">
        <v>0.18568999999999999</v>
      </c>
      <c r="M22" s="95">
        <v>1</v>
      </c>
      <c r="N22" s="96">
        <v>1.3341182123822604</v>
      </c>
      <c r="O22" s="437" t="s">
        <v>1721</v>
      </c>
      <c r="P22" s="440">
        <v>4.0190000000000001</v>
      </c>
      <c r="Q22" s="95">
        <v>1</v>
      </c>
      <c r="R22" s="96">
        <v>1.3341182123822604</v>
      </c>
      <c r="S22" s="437" t="s">
        <v>1721</v>
      </c>
      <c r="T22" s="440">
        <v>1.1056825393196743</v>
      </c>
      <c r="U22" s="95">
        <v>1</v>
      </c>
      <c r="V22" s="96">
        <v>1.3341182123822604</v>
      </c>
      <c r="W22" s="432" t="s">
        <v>1722</v>
      </c>
      <c r="X22" s="440">
        <v>8.1432807155227902</v>
      </c>
      <c r="Y22" s="95">
        <v>1</v>
      </c>
      <c r="Z22" s="96">
        <v>1.3341182123822604</v>
      </c>
      <c r="AA22" s="432" t="s">
        <v>1722</v>
      </c>
      <c r="AB22" s="749"/>
      <c r="AC22" s="336">
        <v>1</v>
      </c>
      <c r="AD22" s="337">
        <v>1.3341182123822604</v>
      </c>
      <c r="AE22" s="437" t="s">
        <v>1726</v>
      </c>
      <c r="AF22" s="206"/>
    </row>
    <row r="23" spans="1:32" ht="24">
      <c r="A23" s="333">
        <v>160373</v>
      </c>
      <c r="B23" s="216"/>
      <c r="C23" s="165"/>
      <c r="D23" s="515">
        <v>5</v>
      </c>
      <c r="E23" s="343" t="s">
        <v>98</v>
      </c>
      <c r="F23" s="437" t="s">
        <v>1399</v>
      </c>
      <c r="G23" s="438" t="s">
        <v>93</v>
      </c>
      <c r="H23" s="455" t="s">
        <v>98</v>
      </c>
      <c r="I23" s="455" t="s">
        <v>98</v>
      </c>
      <c r="J23" s="336">
        <v>0</v>
      </c>
      <c r="K23" s="438" t="s">
        <v>96</v>
      </c>
      <c r="L23" s="440">
        <v>0</v>
      </c>
      <c r="M23" s="336">
        <v>1</v>
      </c>
      <c r="N23" s="337">
        <v>1.05</v>
      </c>
      <c r="O23" s="437" t="s">
        <v>1721</v>
      </c>
      <c r="P23" s="440">
        <v>0.24199999999999999</v>
      </c>
      <c r="Q23" s="336">
        <v>1</v>
      </c>
      <c r="R23" s="337">
        <v>1.05</v>
      </c>
      <c r="S23" s="437" t="s">
        <v>1721</v>
      </c>
      <c r="T23" s="440">
        <v>9.6402528766610984E-2</v>
      </c>
      <c r="U23" s="336">
        <v>1</v>
      </c>
      <c r="V23" s="337">
        <v>1.05</v>
      </c>
      <c r="W23" s="437" t="s">
        <v>1722</v>
      </c>
      <c r="X23" s="440">
        <v>0.51268600536663078</v>
      </c>
      <c r="Y23" s="336">
        <v>1</v>
      </c>
      <c r="Z23" s="337">
        <v>1.05</v>
      </c>
      <c r="AA23" s="432" t="s">
        <v>1722</v>
      </c>
      <c r="AB23" s="749"/>
      <c r="AC23" s="336">
        <v>1</v>
      </c>
      <c r="AD23" s="337">
        <v>1.05</v>
      </c>
      <c r="AE23" s="437" t="s">
        <v>1715</v>
      </c>
      <c r="AF23" s="517"/>
    </row>
    <row r="24" spans="1:32" ht="24">
      <c r="A24" s="333">
        <v>265187</v>
      </c>
      <c r="B24" s="216"/>
      <c r="C24" s="165"/>
      <c r="D24" s="515">
        <v>5</v>
      </c>
      <c r="E24" s="343" t="s">
        <v>98</v>
      </c>
      <c r="F24" s="437" t="s">
        <v>828</v>
      </c>
      <c r="G24" s="438" t="s">
        <v>93</v>
      </c>
      <c r="H24" s="455" t="s">
        <v>98</v>
      </c>
      <c r="I24" s="455" t="s">
        <v>98</v>
      </c>
      <c r="J24" s="336">
        <v>0</v>
      </c>
      <c r="K24" s="438" t="s">
        <v>96</v>
      </c>
      <c r="L24" s="440">
        <v>0</v>
      </c>
      <c r="M24" s="336">
        <v>1</v>
      </c>
      <c r="N24" s="337">
        <v>1.05</v>
      </c>
      <c r="O24" s="437" t="s">
        <v>1721</v>
      </c>
      <c r="P24" s="440">
        <v>1.2327000000000001</v>
      </c>
      <c r="Q24" s="336">
        <v>1</v>
      </c>
      <c r="R24" s="337">
        <v>1.05</v>
      </c>
      <c r="S24" s="437" t="s">
        <v>1721</v>
      </c>
      <c r="T24" s="440">
        <v>0</v>
      </c>
      <c r="U24" s="336">
        <v>1</v>
      </c>
      <c r="V24" s="337">
        <v>1.05</v>
      </c>
      <c r="W24" s="437" t="s">
        <v>1715</v>
      </c>
      <c r="X24" s="440">
        <v>0</v>
      </c>
      <c r="Y24" s="336">
        <v>1</v>
      </c>
      <c r="Z24" s="337">
        <v>1.05</v>
      </c>
      <c r="AA24" s="432" t="s">
        <v>1715</v>
      </c>
      <c r="AB24" s="749"/>
      <c r="AC24" s="336">
        <v>1</v>
      </c>
      <c r="AD24" s="337">
        <v>1.05</v>
      </c>
      <c r="AE24" s="437" t="s">
        <v>1715</v>
      </c>
      <c r="AF24" s="517"/>
    </row>
    <row r="25" spans="1:32" ht="24">
      <c r="A25" s="330">
        <v>268943</v>
      </c>
      <c r="B25" s="331"/>
      <c r="C25" s="88"/>
      <c r="D25" s="340">
        <v>5</v>
      </c>
      <c r="E25" s="341" t="s">
        <v>98</v>
      </c>
      <c r="F25" s="432" t="s">
        <v>1185</v>
      </c>
      <c r="G25" s="433" t="s">
        <v>93</v>
      </c>
      <c r="H25" s="434" t="s">
        <v>98</v>
      </c>
      <c r="I25" s="434" t="s">
        <v>98</v>
      </c>
      <c r="J25" s="94">
        <v>0</v>
      </c>
      <c r="K25" s="433" t="s">
        <v>96</v>
      </c>
      <c r="L25" s="440">
        <v>0</v>
      </c>
      <c r="M25" s="95">
        <v>1</v>
      </c>
      <c r="N25" s="96">
        <v>1.6114678805222609</v>
      </c>
      <c r="O25" s="437" t="s">
        <v>1715</v>
      </c>
      <c r="P25" s="440">
        <v>0</v>
      </c>
      <c r="Q25" s="95">
        <v>1</v>
      </c>
      <c r="R25" s="96">
        <v>1.6114678805222609</v>
      </c>
      <c r="S25" s="437" t="s">
        <v>1715</v>
      </c>
      <c r="T25" s="440">
        <v>0.30873290675075737</v>
      </c>
      <c r="U25" s="95">
        <v>1</v>
      </c>
      <c r="V25" s="96">
        <v>1.6114678805222609</v>
      </c>
      <c r="W25" s="432" t="s">
        <v>1722</v>
      </c>
      <c r="X25" s="440">
        <v>0.45207058379907145</v>
      </c>
      <c r="Y25" s="95">
        <v>1</v>
      </c>
      <c r="Z25" s="96">
        <v>1.6114678805222609</v>
      </c>
      <c r="AA25" s="432" t="s">
        <v>1722</v>
      </c>
      <c r="AB25" s="462"/>
      <c r="AC25" s="336">
        <v>1</v>
      </c>
      <c r="AD25" s="337">
        <v>1.6114678805222609</v>
      </c>
      <c r="AE25" s="437" t="s">
        <v>1727</v>
      </c>
      <c r="AF25" s="206"/>
    </row>
    <row r="26" spans="1:32" ht="24">
      <c r="A26" s="333">
        <v>267356</v>
      </c>
      <c r="B26" s="216"/>
      <c r="C26" s="165"/>
      <c r="D26" s="515">
        <v>5</v>
      </c>
      <c r="E26" s="343" t="s">
        <v>98</v>
      </c>
      <c r="F26" s="437" t="s">
        <v>1728</v>
      </c>
      <c r="G26" s="438" t="s">
        <v>93</v>
      </c>
      <c r="H26" s="455" t="s">
        <v>98</v>
      </c>
      <c r="I26" s="455" t="s">
        <v>98</v>
      </c>
      <c r="J26" s="336">
        <v>0</v>
      </c>
      <c r="K26" s="438" t="s">
        <v>96</v>
      </c>
      <c r="L26" s="440">
        <v>0</v>
      </c>
      <c r="M26" s="336">
        <v>1</v>
      </c>
      <c r="N26" s="337">
        <v>1.05</v>
      </c>
      <c r="O26" s="437" t="s">
        <v>1715</v>
      </c>
      <c r="P26" s="440">
        <v>0</v>
      </c>
      <c r="Q26" s="336">
        <v>1</v>
      </c>
      <c r="R26" s="337">
        <v>1.05</v>
      </c>
      <c r="S26" s="437" t="s">
        <v>1715</v>
      </c>
      <c r="T26" s="440">
        <v>0.52996580762452761</v>
      </c>
      <c r="U26" s="336">
        <v>1</v>
      </c>
      <c r="V26" s="337">
        <v>1.05</v>
      </c>
      <c r="W26" s="437" t="s">
        <v>1722</v>
      </c>
      <c r="X26" s="440">
        <v>1.1592852017128388</v>
      </c>
      <c r="Y26" s="336">
        <v>1</v>
      </c>
      <c r="Z26" s="337">
        <v>1.05</v>
      </c>
      <c r="AA26" s="432" t="s">
        <v>1722</v>
      </c>
      <c r="AB26" s="749"/>
      <c r="AC26" s="336">
        <v>1</v>
      </c>
      <c r="AD26" s="337">
        <v>1.05</v>
      </c>
      <c r="AE26" s="437" t="s">
        <v>1715</v>
      </c>
      <c r="AF26" s="517"/>
    </row>
    <row r="27" spans="1:32" ht="24">
      <c r="A27" s="333">
        <v>269327</v>
      </c>
      <c r="B27" s="216"/>
      <c r="C27" s="165"/>
      <c r="D27" s="515">
        <v>5</v>
      </c>
      <c r="E27" s="343" t="s">
        <v>98</v>
      </c>
      <c r="F27" s="437" t="s">
        <v>492</v>
      </c>
      <c r="G27" s="438" t="s">
        <v>93</v>
      </c>
      <c r="H27" s="455" t="s">
        <v>98</v>
      </c>
      <c r="I27" s="455" t="s">
        <v>98</v>
      </c>
      <c r="J27" s="336">
        <v>0</v>
      </c>
      <c r="K27" s="438" t="s">
        <v>96</v>
      </c>
      <c r="L27" s="440">
        <v>0.18150000000000002</v>
      </c>
      <c r="M27" s="336">
        <v>1</v>
      </c>
      <c r="N27" s="337">
        <v>1.05</v>
      </c>
      <c r="O27" s="437" t="s">
        <v>1721</v>
      </c>
      <c r="P27" s="440">
        <v>0</v>
      </c>
      <c r="Q27" s="336">
        <v>1</v>
      </c>
      <c r="R27" s="337">
        <v>1.05</v>
      </c>
      <c r="S27" s="437" t="s">
        <v>1721</v>
      </c>
      <c r="T27" s="440">
        <v>0</v>
      </c>
      <c r="U27" s="336">
        <v>1</v>
      </c>
      <c r="V27" s="337">
        <v>1.05</v>
      </c>
      <c r="W27" s="437" t="s">
        <v>1715</v>
      </c>
      <c r="X27" s="440">
        <v>0</v>
      </c>
      <c r="Y27" s="336">
        <v>1</v>
      </c>
      <c r="Z27" s="337">
        <v>1.05</v>
      </c>
      <c r="AA27" s="432" t="s">
        <v>1715</v>
      </c>
      <c r="AB27" s="749"/>
      <c r="AC27" s="336">
        <v>1</v>
      </c>
      <c r="AD27" s="337">
        <v>1.05</v>
      </c>
      <c r="AE27" s="437" t="s">
        <v>1715</v>
      </c>
      <c r="AF27" s="517"/>
    </row>
    <row r="28" spans="1:32" ht="24">
      <c r="A28" s="333">
        <v>269087</v>
      </c>
      <c r="B28" s="216"/>
      <c r="C28" s="165"/>
      <c r="D28" s="515">
        <v>5</v>
      </c>
      <c r="E28" s="343" t="s">
        <v>98</v>
      </c>
      <c r="F28" s="437" t="s">
        <v>1285</v>
      </c>
      <c r="G28" s="438" t="s">
        <v>93</v>
      </c>
      <c r="H28" s="455" t="s">
        <v>98</v>
      </c>
      <c r="I28" s="455" t="s">
        <v>98</v>
      </c>
      <c r="J28" s="336">
        <v>0</v>
      </c>
      <c r="K28" s="438" t="s">
        <v>96</v>
      </c>
      <c r="L28" s="440">
        <v>0</v>
      </c>
      <c r="M28" s="336">
        <v>1</v>
      </c>
      <c r="N28" s="337">
        <v>1.05</v>
      </c>
      <c r="O28" s="437" t="s">
        <v>1715</v>
      </c>
      <c r="P28" s="440">
        <v>0</v>
      </c>
      <c r="Q28" s="336">
        <v>1</v>
      </c>
      <c r="R28" s="337">
        <v>1.05</v>
      </c>
      <c r="S28" s="437" t="s">
        <v>1715</v>
      </c>
      <c r="T28" s="440">
        <v>1.0709725695745664</v>
      </c>
      <c r="U28" s="336">
        <v>1</v>
      </c>
      <c r="V28" s="337">
        <v>1.05</v>
      </c>
      <c r="W28" s="437" t="s">
        <v>1722</v>
      </c>
      <c r="X28" s="440">
        <v>2.3427221784613619</v>
      </c>
      <c r="Y28" s="336">
        <v>1</v>
      </c>
      <c r="Z28" s="337">
        <v>1.05</v>
      </c>
      <c r="AA28" s="432" t="s">
        <v>1722</v>
      </c>
      <c r="AB28" s="749"/>
      <c r="AC28" s="336">
        <v>1</v>
      </c>
      <c r="AD28" s="337">
        <v>1.05</v>
      </c>
      <c r="AE28" s="437" t="s">
        <v>1715</v>
      </c>
      <c r="AF28" s="517"/>
    </row>
    <row r="29" spans="1:32" ht="24">
      <c r="A29" s="333">
        <v>268369</v>
      </c>
      <c r="B29" s="216"/>
      <c r="C29" s="165"/>
      <c r="D29" s="515">
        <v>5</v>
      </c>
      <c r="E29" s="343" t="s">
        <v>98</v>
      </c>
      <c r="F29" s="437" t="s">
        <v>1729</v>
      </c>
      <c r="G29" s="438" t="s">
        <v>93</v>
      </c>
      <c r="H29" s="455" t="s">
        <v>98</v>
      </c>
      <c r="I29" s="455" t="s">
        <v>98</v>
      </c>
      <c r="J29" s="336">
        <v>0</v>
      </c>
      <c r="K29" s="438" t="s">
        <v>96</v>
      </c>
      <c r="L29" s="440">
        <v>3.0562</v>
      </c>
      <c r="M29" s="336">
        <v>1</v>
      </c>
      <c r="N29" s="337">
        <v>1.05</v>
      </c>
      <c r="O29" s="437" t="s">
        <v>1721</v>
      </c>
      <c r="P29" s="440">
        <v>0</v>
      </c>
      <c r="Q29" s="336">
        <v>1</v>
      </c>
      <c r="R29" s="337">
        <v>1.05</v>
      </c>
      <c r="S29" s="437" t="s">
        <v>1721</v>
      </c>
      <c r="T29" s="440">
        <v>0</v>
      </c>
      <c r="U29" s="336">
        <v>1</v>
      </c>
      <c r="V29" s="337">
        <v>1.05</v>
      </c>
      <c r="W29" s="437" t="s">
        <v>1715</v>
      </c>
      <c r="X29" s="440">
        <v>0</v>
      </c>
      <c r="Y29" s="336">
        <v>1</v>
      </c>
      <c r="Z29" s="337">
        <v>1.05</v>
      </c>
      <c r="AA29" s="432" t="s">
        <v>1715</v>
      </c>
      <c r="AB29" s="749"/>
      <c r="AC29" s="336">
        <v>1</v>
      </c>
      <c r="AD29" s="337">
        <v>1.05</v>
      </c>
      <c r="AE29" s="437" t="s">
        <v>1715</v>
      </c>
      <c r="AF29" s="517"/>
    </row>
    <row r="30" spans="1:32" ht="24">
      <c r="A30" s="330">
        <v>264977</v>
      </c>
      <c r="B30" s="331"/>
      <c r="C30" s="88"/>
      <c r="D30" s="340">
        <v>5</v>
      </c>
      <c r="E30" s="341" t="s">
        <v>98</v>
      </c>
      <c r="F30" s="432" t="s">
        <v>1680</v>
      </c>
      <c r="G30" s="433" t="s">
        <v>93</v>
      </c>
      <c r="H30" s="434" t="s">
        <v>98</v>
      </c>
      <c r="I30" s="434" t="s">
        <v>98</v>
      </c>
      <c r="J30" s="94">
        <v>0</v>
      </c>
      <c r="K30" s="433" t="s">
        <v>96</v>
      </c>
      <c r="L30" s="440">
        <v>0</v>
      </c>
      <c r="M30" s="95">
        <v>1</v>
      </c>
      <c r="N30" s="96">
        <v>1.3643195182095749</v>
      </c>
      <c r="O30" s="437" t="s">
        <v>1721</v>
      </c>
      <c r="P30" s="440">
        <v>0.498</v>
      </c>
      <c r="Q30" s="95">
        <v>1</v>
      </c>
      <c r="R30" s="96">
        <v>1.3643195182095749</v>
      </c>
      <c r="S30" s="437" t="s">
        <v>1721</v>
      </c>
      <c r="T30" s="440">
        <v>9.2744016334292356E-2</v>
      </c>
      <c r="U30" s="95">
        <v>1</v>
      </c>
      <c r="V30" s="96">
        <v>1.3643195182095749</v>
      </c>
      <c r="W30" s="432" t="s">
        <v>1722</v>
      </c>
      <c r="X30" s="440">
        <v>0.47456320697942073</v>
      </c>
      <c r="Y30" s="95">
        <v>1</v>
      </c>
      <c r="Z30" s="96">
        <v>1.3643195182095749</v>
      </c>
      <c r="AA30" s="432" t="s">
        <v>1722</v>
      </c>
      <c r="AB30" s="462"/>
      <c r="AC30" s="336">
        <v>1</v>
      </c>
      <c r="AD30" s="337">
        <v>1.3643195182095749</v>
      </c>
      <c r="AE30" s="437" t="s">
        <v>1724</v>
      </c>
      <c r="AF30" s="206"/>
    </row>
    <row r="31" spans="1:32" ht="24">
      <c r="A31" s="333">
        <v>595892</v>
      </c>
      <c r="B31" s="216"/>
      <c r="C31" s="165"/>
      <c r="D31" s="515">
        <v>5</v>
      </c>
      <c r="E31" s="343" t="s">
        <v>98</v>
      </c>
      <c r="F31" s="437" t="s">
        <v>1730</v>
      </c>
      <c r="G31" s="438" t="s">
        <v>154</v>
      </c>
      <c r="H31" s="455" t="s">
        <v>98</v>
      </c>
      <c r="I31" s="455" t="s">
        <v>98</v>
      </c>
      <c r="J31" s="336">
        <v>0</v>
      </c>
      <c r="K31" s="438" t="s">
        <v>144</v>
      </c>
      <c r="L31" s="440">
        <v>0</v>
      </c>
      <c r="M31" s="336">
        <v>1</v>
      </c>
      <c r="N31" s="337">
        <v>1.05</v>
      </c>
      <c r="O31" s="437" t="s">
        <v>1715</v>
      </c>
      <c r="P31" s="440">
        <v>0</v>
      </c>
      <c r="Q31" s="336">
        <v>1</v>
      </c>
      <c r="R31" s="337">
        <v>1.05</v>
      </c>
      <c r="S31" s="437" t="s">
        <v>1715</v>
      </c>
      <c r="T31" s="440">
        <v>3.5887904710999716E-2</v>
      </c>
      <c r="U31" s="336">
        <v>1</v>
      </c>
      <c r="V31" s="337">
        <v>1.05</v>
      </c>
      <c r="W31" s="437" t="s">
        <v>1722</v>
      </c>
      <c r="X31" s="440">
        <v>0.15798736418837175</v>
      </c>
      <c r="Y31" s="336">
        <v>1</v>
      </c>
      <c r="Z31" s="337">
        <v>1.05</v>
      </c>
      <c r="AA31" s="432" t="s">
        <v>1722</v>
      </c>
      <c r="AB31" s="749"/>
      <c r="AC31" s="336">
        <v>1</v>
      </c>
      <c r="AD31" s="337">
        <v>1.05</v>
      </c>
      <c r="AE31" s="437" t="s">
        <v>1715</v>
      </c>
      <c r="AF31" s="517"/>
    </row>
    <row r="32" spans="1:32" ht="24">
      <c r="A32" s="333">
        <v>595879</v>
      </c>
      <c r="B32" s="216"/>
      <c r="C32" s="165"/>
      <c r="D32" s="515">
        <v>5</v>
      </c>
      <c r="E32" s="343" t="s">
        <v>98</v>
      </c>
      <c r="F32" s="437" t="s">
        <v>1731</v>
      </c>
      <c r="G32" s="438" t="s">
        <v>154</v>
      </c>
      <c r="H32" s="455" t="s">
        <v>98</v>
      </c>
      <c r="I32" s="455" t="s">
        <v>98</v>
      </c>
      <c r="J32" s="336">
        <v>0</v>
      </c>
      <c r="K32" s="438" t="s">
        <v>96</v>
      </c>
      <c r="L32" s="440">
        <v>4.02E-2</v>
      </c>
      <c r="M32" s="336">
        <v>1</v>
      </c>
      <c r="N32" s="337">
        <v>1.05</v>
      </c>
      <c r="O32" s="437" t="s">
        <v>1721</v>
      </c>
      <c r="P32" s="440">
        <v>7.3999999999999996E-2</v>
      </c>
      <c r="Q32" s="336">
        <v>1</v>
      </c>
      <c r="R32" s="337">
        <v>1.05</v>
      </c>
      <c r="S32" s="437" t="s">
        <v>1721</v>
      </c>
      <c r="T32" s="440">
        <v>0</v>
      </c>
      <c r="U32" s="336">
        <v>1</v>
      </c>
      <c r="V32" s="337">
        <v>1.05</v>
      </c>
      <c r="W32" s="437" t="s">
        <v>1715</v>
      </c>
      <c r="X32" s="440">
        <v>0</v>
      </c>
      <c r="Y32" s="336">
        <v>1</v>
      </c>
      <c r="Z32" s="337">
        <v>1.05</v>
      </c>
      <c r="AA32" s="432" t="s">
        <v>1715</v>
      </c>
      <c r="AB32" s="749"/>
      <c r="AC32" s="336">
        <v>1</v>
      </c>
      <c r="AD32" s="337">
        <v>1.05</v>
      </c>
      <c r="AE32" s="437" t="s">
        <v>1715</v>
      </c>
      <c r="AF32" s="517"/>
    </row>
    <row r="33" spans="1:32" ht="24">
      <c r="A33" s="333">
        <v>267358</v>
      </c>
      <c r="B33" s="216"/>
      <c r="C33" s="165"/>
      <c r="D33" s="515">
        <v>5</v>
      </c>
      <c r="E33" s="343" t="s">
        <v>98</v>
      </c>
      <c r="F33" s="437" t="s">
        <v>1732</v>
      </c>
      <c r="G33" s="438" t="s">
        <v>154</v>
      </c>
      <c r="H33" s="455" t="s">
        <v>98</v>
      </c>
      <c r="I33" s="455" t="s">
        <v>98</v>
      </c>
      <c r="J33" s="336">
        <v>0</v>
      </c>
      <c r="K33" s="438" t="s">
        <v>96</v>
      </c>
      <c r="L33" s="440">
        <v>5.6350000000000004E-2</v>
      </c>
      <c r="M33" s="336">
        <v>1</v>
      </c>
      <c r="N33" s="337">
        <v>1.05</v>
      </c>
      <c r="O33" s="437" t="s">
        <v>1721</v>
      </c>
      <c r="P33" s="440">
        <v>0.14199999999999999</v>
      </c>
      <c r="Q33" s="336">
        <v>1</v>
      </c>
      <c r="R33" s="337">
        <v>1.05</v>
      </c>
      <c r="S33" s="437" t="s">
        <v>1721</v>
      </c>
      <c r="T33" s="440">
        <v>0</v>
      </c>
      <c r="U33" s="336">
        <v>1</v>
      </c>
      <c r="V33" s="337">
        <v>1.05</v>
      </c>
      <c r="W33" s="437" t="s">
        <v>1715</v>
      </c>
      <c r="X33" s="440">
        <v>0</v>
      </c>
      <c r="Y33" s="336">
        <v>1</v>
      </c>
      <c r="Z33" s="337">
        <v>1.05</v>
      </c>
      <c r="AA33" s="432" t="s">
        <v>1715</v>
      </c>
      <c r="AB33" s="749"/>
      <c r="AC33" s="336">
        <v>1</v>
      </c>
      <c r="AD33" s="337">
        <v>1.05</v>
      </c>
      <c r="AE33" s="437" t="s">
        <v>1715</v>
      </c>
      <c r="AF33" s="517"/>
    </row>
    <row r="34" spans="1:32" ht="24">
      <c r="A34" s="333">
        <v>267672</v>
      </c>
      <c r="B34" s="216"/>
      <c r="C34" s="165"/>
      <c r="D34" s="515">
        <v>5</v>
      </c>
      <c r="E34" s="343" t="s">
        <v>98</v>
      </c>
      <c r="F34" s="437" t="s">
        <v>1733</v>
      </c>
      <c r="G34" s="438" t="s">
        <v>154</v>
      </c>
      <c r="H34" s="455" t="s">
        <v>98</v>
      </c>
      <c r="I34" s="455" t="s">
        <v>98</v>
      </c>
      <c r="J34" s="336">
        <v>0</v>
      </c>
      <c r="K34" s="438" t="s">
        <v>96</v>
      </c>
      <c r="L34" s="440">
        <v>0</v>
      </c>
      <c r="M34" s="336">
        <v>1</v>
      </c>
      <c r="N34" s="337">
        <v>1.05</v>
      </c>
      <c r="O34" s="437" t="s">
        <v>1721</v>
      </c>
      <c r="P34" s="440">
        <v>0.33499999999999996</v>
      </c>
      <c r="Q34" s="336">
        <v>1</v>
      </c>
      <c r="R34" s="337">
        <v>1.05</v>
      </c>
      <c r="S34" s="437" t="s">
        <v>1721</v>
      </c>
      <c r="T34" s="440">
        <v>1.1280263168979746E-2</v>
      </c>
      <c r="U34" s="336">
        <v>1</v>
      </c>
      <c r="V34" s="337">
        <v>1.05</v>
      </c>
      <c r="W34" s="437" t="s">
        <v>1722</v>
      </c>
      <c r="X34" s="440">
        <v>2.6596926837016008</v>
      </c>
      <c r="Y34" s="336">
        <v>1</v>
      </c>
      <c r="Z34" s="337">
        <v>1.05</v>
      </c>
      <c r="AA34" s="432" t="s">
        <v>1722</v>
      </c>
      <c r="AB34" s="749"/>
      <c r="AC34" s="336">
        <v>1</v>
      </c>
      <c r="AD34" s="337">
        <v>1.05</v>
      </c>
      <c r="AE34" s="437" t="s">
        <v>1715</v>
      </c>
      <c r="AF34" s="517"/>
    </row>
    <row r="35" spans="1:32" ht="24">
      <c r="A35" s="333">
        <v>264445</v>
      </c>
      <c r="B35" s="216"/>
      <c r="C35" s="165"/>
      <c r="D35" s="515">
        <v>5</v>
      </c>
      <c r="E35" s="343" t="s">
        <v>98</v>
      </c>
      <c r="F35" s="437" t="s">
        <v>1734</v>
      </c>
      <c r="G35" s="438" t="s">
        <v>154</v>
      </c>
      <c r="H35" s="455" t="s">
        <v>98</v>
      </c>
      <c r="I35" s="455" t="s">
        <v>98</v>
      </c>
      <c r="J35" s="336">
        <v>0</v>
      </c>
      <c r="K35" s="438" t="s">
        <v>739</v>
      </c>
      <c r="L35" s="440">
        <v>0</v>
      </c>
      <c r="M35" s="336">
        <v>1</v>
      </c>
      <c r="N35" s="337">
        <v>1.05</v>
      </c>
      <c r="O35" s="437" t="s">
        <v>1721</v>
      </c>
      <c r="P35" s="440">
        <v>0.13557692307692307</v>
      </c>
      <c r="Q35" s="336">
        <v>1</v>
      </c>
      <c r="R35" s="337">
        <v>1.05</v>
      </c>
      <c r="S35" s="437" t="s">
        <v>1721</v>
      </c>
      <c r="T35" s="440">
        <v>0</v>
      </c>
      <c r="U35" s="336">
        <v>1</v>
      </c>
      <c r="V35" s="337">
        <v>1.05</v>
      </c>
      <c r="W35" s="437"/>
      <c r="X35" s="440">
        <v>0</v>
      </c>
      <c r="Y35" s="336">
        <v>1</v>
      </c>
      <c r="Z35" s="337">
        <v>1.05</v>
      </c>
      <c r="AA35" s="432" t="s">
        <v>1715</v>
      </c>
      <c r="AB35" s="749"/>
      <c r="AC35" s="336">
        <v>1</v>
      </c>
      <c r="AD35" s="337">
        <v>1.05</v>
      </c>
      <c r="AE35" s="437" t="s">
        <v>1735</v>
      </c>
      <c r="AF35" s="517"/>
    </row>
    <row r="36" spans="1:32" ht="24">
      <c r="A36" s="333">
        <v>264985</v>
      </c>
      <c r="B36" s="331"/>
      <c r="C36" s="88"/>
      <c r="D36" s="340">
        <v>5</v>
      </c>
      <c r="E36" s="341" t="s">
        <v>98</v>
      </c>
      <c r="F36" s="432" t="s">
        <v>1736</v>
      </c>
      <c r="G36" s="433" t="s">
        <v>154</v>
      </c>
      <c r="H36" s="434" t="s">
        <v>98</v>
      </c>
      <c r="I36" s="434" t="s">
        <v>98</v>
      </c>
      <c r="J36" s="94">
        <v>0</v>
      </c>
      <c r="K36" s="433" t="s">
        <v>739</v>
      </c>
      <c r="L36" s="440">
        <v>3.21</v>
      </c>
      <c r="M36" s="95">
        <v>1</v>
      </c>
      <c r="N36" s="96">
        <v>1.3643195182095749</v>
      </c>
      <c r="O36" s="437" t="s">
        <v>1721</v>
      </c>
      <c r="P36" s="440">
        <v>0</v>
      </c>
      <c r="Q36" s="95">
        <v>1</v>
      </c>
      <c r="R36" s="96">
        <v>1.3643195182095749</v>
      </c>
      <c r="S36" s="437" t="s">
        <v>1721</v>
      </c>
      <c r="T36" s="440">
        <v>0</v>
      </c>
      <c r="U36" s="95">
        <v>1</v>
      </c>
      <c r="V36" s="96">
        <v>1.3643195182095749</v>
      </c>
      <c r="W36" s="432"/>
      <c r="X36" s="440">
        <v>0</v>
      </c>
      <c r="Y36" s="95">
        <v>1</v>
      </c>
      <c r="Z36" s="96">
        <v>1.3643195182095749</v>
      </c>
      <c r="AA36" s="432" t="s">
        <v>1715</v>
      </c>
      <c r="AB36" s="462"/>
      <c r="AC36" s="336">
        <v>1</v>
      </c>
      <c r="AD36" s="337">
        <v>1.3643195182095749</v>
      </c>
      <c r="AE36" s="437" t="s">
        <v>1724</v>
      </c>
      <c r="AF36" s="206"/>
    </row>
    <row r="37" spans="1:32" ht="24">
      <c r="A37" s="330">
        <v>259561</v>
      </c>
      <c r="B37" s="331" t="s">
        <v>1737</v>
      </c>
      <c r="C37" s="88"/>
      <c r="D37" s="340">
        <v>5</v>
      </c>
      <c r="E37" s="341" t="s">
        <v>98</v>
      </c>
      <c r="F37" s="432" t="s">
        <v>1738</v>
      </c>
      <c r="G37" s="433" t="s">
        <v>154</v>
      </c>
      <c r="H37" s="434" t="s">
        <v>98</v>
      </c>
      <c r="I37" s="434" t="s">
        <v>98</v>
      </c>
      <c r="J37" s="94">
        <v>0</v>
      </c>
      <c r="K37" s="433" t="s">
        <v>679</v>
      </c>
      <c r="L37" s="440">
        <v>0.34555999999999998</v>
      </c>
      <c r="M37" s="95">
        <v>1</v>
      </c>
      <c r="N37" s="96">
        <v>1.3341182123822604</v>
      </c>
      <c r="O37" s="437" t="s">
        <v>1721</v>
      </c>
      <c r="P37" s="440">
        <v>0.1226993865030675</v>
      </c>
      <c r="Q37" s="95">
        <v>1</v>
      </c>
      <c r="R37" s="96">
        <v>1.3341182123822604</v>
      </c>
      <c r="S37" s="437" t="s">
        <v>1721</v>
      </c>
      <c r="T37" s="440">
        <v>0.23335033856712845</v>
      </c>
      <c r="U37" s="95">
        <v>1</v>
      </c>
      <c r="V37" s="96">
        <v>1.3341182123822604</v>
      </c>
      <c r="W37" s="432" t="s">
        <v>1722</v>
      </c>
      <c r="X37" s="440">
        <v>0.69440894400933806</v>
      </c>
      <c r="Y37" s="95">
        <v>1</v>
      </c>
      <c r="Z37" s="96">
        <v>1.3341182123822604</v>
      </c>
      <c r="AA37" s="432" t="s">
        <v>1722</v>
      </c>
      <c r="AB37" s="462"/>
      <c r="AC37" s="336">
        <v>1</v>
      </c>
      <c r="AD37" s="337">
        <v>1.3341182123822604</v>
      </c>
      <c r="AE37" s="437" t="s">
        <v>1723</v>
      </c>
      <c r="AF37" s="206"/>
    </row>
    <row r="38" spans="1:32" ht="24">
      <c r="A38" s="330">
        <v>269093</v>
      </c>
      <c r="B38" s="331"/>
      <c r="C38" s="88"/>
      <c r="D38" s="340">
        <v>5</v>
      </c>
      <c r="E38" s="341" t="s">
        <v>98</v>
      </c>
      <c r="F38" s="432" t="s">
        <v>1180</v>
      </c>
      <c r="G38" s="433" t="s">
        <v>93</v>
      </c>
      <c r="H38" s="434" t="s">
        <v>98</v>
      </c>
      <c r="I38" s="434" t="s">
        <v>98</v>
      </c>
      <c r="J38" s="94">
        <v>0</v>
      </c>
      <c r="K38" s="433" t="s">
        <v>96</v>
      </c>
      <c r="L38" s="440">
        <v>0</v>
      </c>
      <c r="M38" s="95">
        <v>1</v>
      </c>
      <c r="N38" s="96">
        <v>1.3341182123822604</v>
      </c>
      <c r="O38" s="437" t="s">
        <v>1715</v>
      </c>
      <c r="P38" s="440">
        <v>0</v>
      </c>
      <c r="Q38" s="95">
        <v>1</v>
      </c>
      <c r="R38" s="96">
        <v>1.3341182123822604</v>
      </c>
      <c r="S38" s="437" t="s">
        <v>1715</v>
      </c>
      <c r="T38" s="440">
        <v>0</v>
      </c>
      <c r="U38" s="95">
        <v>1</v>
      </c>
      <c r="V38" s="96">
        <v>1.3341182123822604</v>
      </c>
      <c r="W38" s="432"/>
      <c r="X38" s="440">
        <v>0</v>
      </c>
      <c r="Y38" s="95">
        <v>1</v>
      </c>
      <c r="Z38" s="96">
        <v>1.3341182123822604</v>
      </c>
      <c r="AA38" s="432" t="s">
        <v>1715</v>
      </c>
      <c r="AB38" s="462"/>
      <c r="AC38" s="336">
        <v>1</v>
      </c>
      <c r="AD38" s="337">
        <v>1.3341182123822604</v>
      </c>
      <c r="AE38" s="437" t="s">
        <v>1723</v>
      </c>
      <c r="AF38" s="206"/>
    </row>
    <row r="39" spans="1:32" ht="24">
      <c r="A39" s="330">
        <v>260496</v>
      </c>
      <c r="B39" s="331"/>
      <c r="C39" s="88"/>
      <c r="D39" s="340">
        <v>5</v>
      </c>
      <c r="E39" s="341" t="s">
        <v>98</v>
      </c>
      <c r="F39" s="432" t="s">
        <v>1739</v>
      </c>
      <c r="G39" s="433" t="s">
        <v>154</v>
      </c>
      <c r="H39" s="434" t="s">
        <v>98</v>
      </c>
      <c r="I39" s="434" t="s">
        <v>98</v>
      </c>
      <c r="J39" s="94">
        <v>0</v>
      </c>
      <c r="K39" s="433" t="s">
        <v>96</v>
      </c>
      <c r="L39" s="440">
        <v>0.1057</v>
      </c>
      <c r="M39" s="95">
        <v>1</v>
      </c>
      <c r="N39" s="96">
        <v>1.3341182123822604</v>
      </c>
      <c r="O39" s="437" t="s">
        <v>1721</v>
      </c>
      <c r="P39" s="440">
        <v>0</v>
      </c>
      <c r="Q39" s="95">
        <v>1</v>
      </c>
      <c r="R39" s="96">
        <v>1.3341182123822604</v>
      </c>
      <c r="S39" s="437" t="s">
        <v>1721</v>
      </c>
      <c r="T39" s="440">
        <v>1.1309640039787117E-2</v>
      </c>
      <c r="U39" s="95">
        <v>1</v>
      </c>
      <c r="V39" s="96">
        <v>1.3341182123822604</v>
      </c>
      <c r="W39" s="432" t="s">
        <v>1722</v>
      </c>
      <c r="X39" s="440">
        <v>4.6840722052131776</v>
      </c>
      <c r="Y39" s="95">
        <v>1</v>
      </c>
      <c r="Z39" s="96">
        <v>1.3341182123822604</v>
      </c>
      <c r="AA39" s="432" t="s">
        <v>1722</v>
      </c>
      <c r="AB39" s="462"/>
      <c r="AC39" s="336">
        <v>1</v>
      </c>
      <c r="AD39" s="337">
        <v>1.3341182123822604</v>
      </c>
      <c r="AE39" s="437" t="s">
        <v>1723</v>
      </c>
      <c r="AF39" s="206"/>
    </row>
    <row r="40" spans="1:32" ht="24">
      <c r="A40" s="330">
        <v>262761</v>
      </c>
      <c r="B40" s="331"/>
      <c r="C40" s="88"/>
      <c r="D40" s="340">
        <v>5</v>
      </c>
      <c r="E40" s="341" t="s">
        <v>98</v>
      </c>
      <c r="F40" s="432" t="s">
        <v>1740</v>
      </c>
      <c r="G40" s="433" t="s">
        <v>154</v>
      </c>
      <c r="H40" s="434" t="s">
        <v>98</v>
      </c>
      <c r="I40" s="434" t="s">
        <v>98</v>
      </c>
      <c r="J40" s="94">
        <v>0</v>
      </c>
      <c r="K40" s="433" t="s">
        <v>96</v>
      </c>
      <c r="L40" s="440">
        <v>0.25120999999999999</v>
      </c>
      <c r="M40" s="95">
        <v>1</v>
      </c>
      <c r="N40" s="96">
        <v>1.3341182123822604</v>
      </c>
      <c r="O40" s="437" t="s">
        <v>1721</v>
      </c>
      <c r="P40" s="440">
        <v>0.51215999999999995</v>
      </c>
      <c r="Q40" s="95">
        <v>1</v>
      </c>
      <c r="R40" s="96">
        <v>1.3341182123822604</v>
      </c>
      <c r="S40" s="437" t="s">
        <v>1721</v>
      </c>
      <c r="T40" s="440">
        <v>3.0371383558214418</v>
      </c>
      <c r="U40" s="95">
        <v>1</v>
      </c>
      <c r="V40" s="96">
        <v>1.3341182123822604</v>
      </c>
      <c r="W40" s="432" t="s">
        <v>1722</v>
      </c>
      <c r="X40" s="440">
        <v>0.33890650349134999</v>
      </c>
      <c r="Y40" s="95">
        <v>1</v>
      </c>
      <c r="Z40" s="96">
        <v>1.3341182123822604</v>
      </c>
      <c r="AA40" s="432" t="s">
        <v>1722</v>
      </c>
      <c r="AB40" s="462"/>
      <c r="AC40" s="336">
        <v>1</v>
      </c>
      <c r="AD40" s="337">
        <v>1.3341182123822604</v>
      </c>
      <c r="AE40" s="437" t="s">
        <v>1723</v>
      </c>
      <c r="AF40" s="206"/>
    </row>
    <row r="41" spans="1:32" ht="24">
      <c r="A41" s="333">
        <v>262411</v>
      </c>
      <c r="B41" s="216"/>
      <c r="C41" s="165"/>
      <c r="D41" s="515">
        <v>5</v>
      </c>
      <c r="E41" s="343" t="s">
        <v>98</v>
      </c>
      <c r="F41" s="437" t="s">
        <v>1741</v>
      </c>
      <c r="G41" s="438" t="s">
        <v>154</v>
      </c>
      <c r="H41" s="455" t="s">
        <v>98</v>
      </c>
      <c r="I41" s="455" t="s">
        <v>98</v>
      </c>
      <c r="J41" s="336">
        <v>0</v>
      </c>
      <c r="K41" s="438" t="s">
        <v>96</v>
      </c>
      <c r="L41" s="440">
        <v>0</v>
      </c>
      <c r="M41" s="336">
        <v>1</v>
      </c>
      <c r="N41" s="337">
        <v>1.05</v>
      </c>
      <c r="O41" s="437" t="s">
        <v>1715</v>
      </c>
      <c r="P41" s="440">
        <v>0</v>
      </c>
      <c r="Q41" s="336">
        <v>1</v>
      </c>
      <c r="R41" s="337">
        <v>1.05</v>
      </c>
      <c r="S41" s="437" t="s">
        <v>1715</v>
      </c>
      <c r="T41" s="440">
        <v>1.5607303254906221E-2</v>
      </c>
      <c r="U41" s="336">
        <v>1</v>
      </c>
      <c r="V41" s="337">
        <v>1.05</v>
      </c>
      <c r="W41" s="437" t="s">
        <v>1722</v>
      </c>
      <c r="X41" s="440">
        <v>1.3102055547346003E-2</v>
      </c>
      <c r="Y41" s="336">
        <v>1</v>
      </c>
      <c r="Z41" s="337">
        <v>1.05</v>
      </c>
      <c r="AA41" s="432" t="s">
        <v>1722</v>
      </c>
      <c r="AB41" s="749"/>
      <c r="AC41" s="336">
        <v>1</v>
      </c>
      <c r="AD41" s="337">
        <v>1.05</v>
      </c>
      <c r="AE41" s="437" t="s">
        <v>1715</v>
      </c>
      <c r="AF41" s="517"/>
    </row>
    <row r="42" spans="1:32" ht="24">
      <c r="A42" s="330">
        <v>262427</v>
      </c>
      <c r="B42" s="331"/>
      <c r="C42" s="88"/>
      <c r="D42" s="340">
        <v>5</v>
      </c>
      <c r="E42" s="341" t="s">
        <v>98</v>
      </c>
      <c r="F42" s="432" t="s">
        <v>1742</v>
      </c>
      <c r="G42" s="433" t="s">
        <v>154</v>
      </c>
      <c r="H42" s="434" t="s">
        <v>98</v>
      </c>
      <c r="I42" s="434" t="s">
        <v>98</v>
      </c>
      <c r="J42" s="94">
        <v>0</v>
      </c>
      <c r="K42" s="433" t="s">
        <v>96</v>
      </c>
      <c r="L42" s="440">
        <v>0</v>
      </c>
      <c r="M42" s="95">
        <v>1</v>
      </c>
      <c r="N42" s="96">
        <v>1.3341182123822604</v>
      </c>
      <c r="O42" s="437" t="s">
        <v>1715</v>
      </c>
      <c r="P42" s="440">
        <v>0</v>
      </c>
      <c r="Q42" s="95">
        <v>1</v>
      </c>
      <c r="R42" s="96">
        <v>1.3341182123822604</v>
      </c>
      <c r="S42" s="437" t="s">
        <v>1715</v>
      </c>
      <c r="T42" s="440">
        <v>0</v>
      </c>
      <c r="U42" s="95">
        <v>1</v>
      </c>
      <c r="V42" s="96">
        <v>1.3341182123822604</v>
      </c>
      <c r="W42" s="432"/>
      <c r="X42" s="440">
        <v>0</v>
      </c>
      <c r="Y42" s="95">
        <v>1</v>
      </c>
      <c r="Z42" s="96">
        <v>1.3341182123822604</v>
      </c>
      <c r="AA42" s="432" t="s">
        <v>1715</v>
      </c>
      <c r="AB42" s="462"/>
      <c r="AC42" s="336">
        <v>1</v>
      </c>
      <c r="AD42" s="337">
        <v>1.3341182123822604</v>
      </c>
      <c r="AE42" s="437" t="s">
        <v>1723</v>
      </c>
      <c r="AF42" s="206"/>
    </row>
    <row r="43" spans="1:32" ht="24">
      <c r="A43" s="330">
        <v>264827</v>
      </c>
      <c r="B43" s="331"/>
      <c r="C43" s="88"/>
      <c r="D43" s="340">
        <v>5</v>
      </c>
      <c r="E43" s="341" t="s">
        <v>98</v>
      </c>
      <c r="F43" s="432" t="s">
        <v>1743</v>
      </c>
      <c r="G43" s="433" t="s">
        <v>154</v>
      </c>
      <c r="H43" s="434" t="s">
        <v>98</v>
      </c>
      <c r="I43" s="434" t="s">
        <v>98</v>
      </c>
      <c r="J43" s="94">
        <v>0</v>
      </c>
      <c r="K43" s="433" t="s">
        <v>96</v>
      </c>
      <c r="L43" s="440">
        <v>2.2870000000000001E-2</v>
      </c>
      <c r="M43" s="95">
        <v>1</v>
      </c>
      <c r="N43" s="96">
        <v>1.3341182123822604</v>
      </c>
      <c r="O43" s="437" t="s">
        <v>1721</v>
      </c>
      <c r="P43" s="440">
        <v>2.4E-2</v>
      </c>
      <c r="Q43" s="95">
        <v>1</v>
      </c>
      <c r="R43" s="96">
        <v>1.3341182123822604</v>
      </c>
      <c r="S43" s="437" t="s">
        <v>1721</v>
      </c>
      <c r="T43" s="440">
        <v>5.8034632141806937E-2</v>
      </c>
      <c r="U43" s="95">
        <v>1</v>
      </c>
      <c r="V43" s="96">
        <v>1.3341182123822604</v>
      </c>
      <c r="W43" s="432" t="s">
        <v>1722</v>
      </c>
      <c r="X43" s="440">
        <v>4.0383500568177418E-2</v>
      </c>
      <c r="Y43" s="95">
        <v>1</v>
      </c>
      <c r="Z43" s="96">
        <v>1.3341182123822604</v>
      </c>
      <c r="AA43" s="432" t="s">
        <v>1722</v>
      </c>
      <c r="AB43" s="462"/>
      <c r="AC43" s="336">
        <v>1</v>
      </c>
      <c r="AD43" s="337">
        <v>1.3341182123822604</v>
      </c>
      <c r="AE43" s="437" t="s">
        <v>1723</v>
      </c>
      <c r="AF43" s="206"/>
    </row>
    <row r="44" spans="1:32" ht="24">
      <c r="A44" s="330">
        <v>264675</v>
      </c>
      <c r="B44" s="331"/>
      <c r="C44" s="88"/>
      <c r="D44" s="340">
        <v>5</v>
      </c>
      <c r="E44" s="341" t="s">
        <v>98</v>
      </c>
      <c r="F44" s="432" t="s">
        <v>1744</v>
      </c>
      <c r="G44" s="433" t="s">
        <v>154</v>
      </c>
      <c r="H44" s="434" t="s">
        <v>98</v>
      </c>
      <c r="I44" s="434" t="s">
        <v>98</v>
      </c>
      <c r="J44" s="94">
        <v>0</v>
      </c>
      <c r="K44" s="433" t="s">
        <v>96</v>
      </c>
      <c r="L44" s="440">
        <v>0</v>
      </c>
      <c r="M44" s="95">
        <v>1</v>
      </c>
      <c r="N44" s="96">
        <v>1.3341182123822604</v>
      </c>
      <c r="O44" s="437" t="s">
        <v>1715</v>
      </c>
      <c r="P44" s="440">
        <v>0</v>
      </c>
      <c r="Q44" s="95">
        <v>1</v>
      </c>
      <c r="R44" s="96">
        <v>1.3341182123822604</v>
      </c>
      <c r="S44" s="437" t="s">
        <v>1715</v>
      </c>
      <c r="T44" s="440">
        <v>5.8620840547279733E-4</v>
      </c>
      <c r="U44" s="95">
        <v>1</v>
      </c>
      <c r="V44" s="96">
        <v>1.3341182123822604</v>
      </c>
      <c r="W44" s="432" t="s">
        <v>1722</v>
      </c>
      <c r="X44" s="440">
        <v>4.0791414715330722E-4</v>
      </c>
      <c r="Y44" s="95">
        <v>1</v>
      </c>
      <c r="Z44" s="96">
        <v>1.3341182123822604</v>
      </c>
      <c r="AA44" s="432" t="s">
        <v>1722</v>
      </c>
      <c r="AB44" s="462"/>
      <c r="AC44" s="336">
        <v>1</v>
      </c>
      <c r="AD44" s="337">
        <v>1.3341182123822604</v>
      </c>
      <c r="AE44" s="437" t="s">
        <v>1723</v>
      </c>
      <c r="AF44" s="206"/>
    </row>
    <row r="45" spans="1:32" ht="24">
      <c r="A45" s="333">
        <v>266821</v>
      </c>
      <c r="B45" s="216"/>
      <c r="C45" s="165"/>
      <c r="D45" s="515">
        <v>5</v>
      </c>
      <c r="E45" s="343" t="s">
        <v>98</v>
      </c>
      <c r="F45" s="437" t="s">
        <v>1745</v>
      </c>
      <c r="G45" s="438" t="s">
        <v>93</v>
      </c>
      <c r="H45" s="455" t="s">
        <v>98</v>
      </c>
      <c r="I45" s="455" t="s">
        <v>98</v>
      </c>
      <c r="J45" s="336">
        <v>1</v>
      </c>
      <c r="K45" s="438" t="s">
        <v>96</v>
      </c>
      <c r="L45" s="440">
        <v>4.0680000000000001E-2</v>
      </c>
      <c r="M45" s="336">
        <v>1</v>
      </c>
      <c r="N45" s="337">
        <v>3.0000000000000004</v>
      </c>
      <c r="O45" s="437" t="s">
        <v>1746</v>
      </c>
      <c r="P45" s="440">
        <v>0</v>
      </c>
      <c r="Q45" s="336">
        <v>1</v>
      </c>
      <c r="R45" s="337">
        <v>3.0000000000000004</v>
      </c>
      <c r="S45" s="437" t="s">
        <v>1746</v>
      </c>
      <c r="T45" s="440">
        <v>0</v>
      </c>
      <c r="U45" s="336">
        <v>1</v>
      </c>
      <c r="V45" s="337">
        <v>3.0000000000000004</v>
      </c>
      <c r="W45" s="437"/>
      <c r="X45" s="440">
        <v>0</v>
      </c>
      <c r="Y45" s="336">
        <v>1</v>
      </c>
      <c r="Z45" s="337">
        <v>3.0000000000000004</v>
      </c>
      <c r="AA45" s="432" t="s">
        <v>1747</v>
      </c>
      <c r="AB45" s="749"/>
      <c r="AC45" s="336">
        <v>1</v>
      </c>
      <c r="AD45" s="337">
        <v>3.0000000000000004</v>
      </c>
      <c r="AE45" s="437" t="s">
        <v>1747</v>
      </c>
      <c r="AF45" s="517"/>
    </row>
    <row r="46" spans="1:32" ht="24">
      <c r="A46" s="330">
        <v>262917</v>
      </c>
      <c r="B46" s="331"/>
      <c r="C46" s="88"/>
      <c r="D46" s="340">
        <v>5</v>
      </c>
      <c r="E46" s="341" t="s">
        <v>98</v>
      </c>
      <c r="F46" s="432" t="s">
        <v>1748</v>
      </c>
      <c r="G46" s="433" t="s">
        <v>154</v>
      </c>
      <c r="H46" s="434" t="s">
        <v>98</v>
      </c>
      <c r="I46" s="434" t="s">
        <v>98</v>
      </c>
      <c r="J46" s="94">
        <v>0</v>
      </c>
      <c r="K46" s="433" t="s">
        <v>96</v>
      </c>
      <c r="L46" s="440">
        <v>0</v>
      </c>
      <c r="M46" s="95">
        <v>1</v>
      </c>
      <c r="N46" s="96">
        <v>1.3341182123822604</v>
      </c>
      <c r="O46" s="437" t="s">
        <v>1715</v>
      </c>
      <c r="P46" s="440">
        <v>0</v>
      </c>
      <c r="Q46" s="95">
        <v>1</v>
      </c>
      <c r="R46" s="96">
        <v>1.3341182123822604</v>
      </c>
      <c r="S46" s="437" t="s">
        <v>1715</v>
      </c>
      <c r="T46" s="440">
        <v>3.2530096219703475E-3</v>
      </c>
      <c r="U46" s="95">
        <v>1</v>
      </c>
      <c r="V46" s="96">
        <v>1.3341182123822604</v>
      </c>
      <c r="W46" s="432" t="s">
        <v>1722</v>
      </c>
      <c r="X46" s="440">
        <v>2.6169266635342275E-4</v>
      </c>
      <c r="Y46" s="95">
        <v>1</v>
      </c>
      <c r="Z46" s="96">
        <v>1.3341182123822604</v>
      </c>
      <c r="AA46" s="432" t="s">
        <v>1722</v>
      </c>
      <c r="AB46" s="462"/>
      <c r="AC46" s="336">
        <v>1</v>
      </c>
      <c r="AD46" s="337">
        <v>1.3341182123822604</v>
      </c>
      <c r="AE46" s="437" t="s">
        <v>1723</v>
      </c>
      <c r="AF46" s="206"/>
    </row>
    <row r="47" spans="1:32" ht="24">
      <c r="A47" s="330">
        <v>259661</v>
      </c>
      <c r="B47" s="331"/>
      <c r="C47" s="88"/>
      <c r="D47" s="340">
        <v>5</v>
      </c>
      <c r="E47" s="341" t="s">
        <v>98</v>
      </c>
      <c r="F47" s="432" t="s">
        <v>1749</v>
      </c>
      <c r="G47" s="433" t="s">
        <v>154</v>
      </c>
      <c r="H47" s="434" t="s">
        <v>98</v>
      </c>
      <c r="I47" s="434" t="s">
        <v>98</v>
      </c>
      <c r="J47" s="94">
        <v>0</v>
      </c>
      <c r="K47" s="433" t="s">
        <v>96</v>
      </c>
      <c r="L47" s="440">
        <v>0</v>
      </c>
      <c r="M47" s="95">
        <v>1</v>
      </c>
      <c r="N47" s="96">
        <v>1.3341182123822604</v>
      </c>
      <c r="O47" s="437" t="s">
        <v>1715</v>
      </c>
      <c r="P47" s="440">
        <v>0</v>
      </c>
      <c r="Q47" s="95">
        <v>1</v>
      </c>
      <c r="R47" s="96">
        <v>1.3341182123822604</v>
      </c>
      <c r="S47" s="437" t="s">
        <v>1715</v>
      </c>
      <c r="T47" s="440">
        <v>4.5658007757371048E-3</v>
      </c>
      <c r="U47" s="95">
        <v>1</v>
      </c>
      <c r="V47" s="96">
        <v>1.3341182123822604</v>
      </c>
      <c r="W47" s="432" t="s">
        <v>1722</v>
      </c>
      <c r="X47" s="440">
        <v>2.1314714272358804E-2</v>
      </c>
      <c r="Y47" s="95">
        <v>1</v>
      </c>
      <c r="Z47" s="96">
        <v>1.3341182123822604</v>
      </c>
      <c r="AA47" s="432" t="s">
        <v>1722</v>
      </c>
      <c r="AB47" s="462"/>
      <c r="AC47" s="336">
        <v>1</v>
      </c>
      <c r="AD47" s="337">
        <v>1.3341182123822604</v>
      </c>
      <c r="AE47" s="437" t="s">
        <v>1723</v>
      </c>
      <c r="AF47" s="206"/>
    </row>
    <row r="48" spans="1:32" ht="24">
      <c r="A48" s="330">
        <v>264235</v>
      </c>
      <c r="B48" s="331"/>
      <c r="C48" s="88"/>
      <c r="D48" s="340">
        <v>5</v>
      </c>
      <c r="E48" s="341" t="s">
        <v>98</v>
      </c>
      <c r="F48" s="432" t="s">
        <v>1750</v>
      </c>
      <c r="G48" s="433" t="s">
        <v>154</v>
      </c>
      <c r="H48" s="434" t="s">
        <v>98</v>
      </c>
      <c r="I48" s="434" t="s">
        <v>98</v>
      </c>
      <c r="J48" s="94">
        <v>0</v>
      </c>
      <c r="K48" s="433" t="s">
        <v>96</v>
      </c>
      <c r="L48" s="440">
        <v>0</v>
      </c>
      <c r="M48" s="95">
        <v>1</v>
      </c>
      <c r="N48" s="96">
        <v>1.3341182123822604</v>
      </c>
      <c r="O48" s="437" t="s">
        <v>1715</v>
      </c>
      <c r="P48" s="440">
        <v>0</v>
      </c>
      <c r="Q48" s="95">
        <v>1</v>
      </c>
      <c r="R48" s="96">
        <v>1.3341182123822604</v>
      </c>
      <c r="S48" s="437" t="s">
        <v>1715</v>
      </c>
      <c r="T48" s="440">
        <v>1.0473521492730276E-3</v>
      </c>
      <c r="U48" s="95">
        <v>1</v>
      </c>
      <c r="V48" s="96">
        <v>1.3341182123822604</v>
      </c>
      <c r="W48" s="432" t="s">
        <v>1722</v>
      </c>
      <c r="X48" s="440">
        <v>4.8893968223332031E-3</v>
      </c>
      <c r="Y48" s="95">
        <v>1</v>
      </c>
      <c r="Z48" s="96">
        <v>1.3341182123822604</v>
      </c>
      <c r="AA48" s="432" t="s">
        <v>1722</v>
      </c>
      <c r="AB48" s="462"/>
      <c r="AC48" s="336">
        <v>1</v>
      </c>
      <c r="AD48" s="337">
        <v>1.3341182123822604</v>
      </c>
      <c r="AE48" s="437" t="s">
        <v>1723</v>
      </c>
      <c r="AF48" s="206"/>
    </row>
    <row r="49" spans="1:32" ht="24">
      <c r="A49" s="330">
        <v>263925</v>
      </c>
      <c r="B49" s="331"/>
      <c r="C49" s="88"/>
      <c r="D49" s="340">
        <v>5</v>
      </c>
      <c r="E49" s="341" t="s">
        <v>98</v>
      </c>
      <c r="F49" s="432" t="s">
        <v>1751</v>
      </c>
      <c r="G49" s="433" t="s">
        <v>154</v>
      </c>
      <c r="H49" s="434" t="s">
        <v>98</v>
      </c>
      <c r="I49" s="434" t="s">
        <v>98</v>
      </c>
      <c r="J49" s="94">
        <v>0</v>
      </c>
      <c r="K49" s="433" t="s">
        <v>96</v>
      </c>
      <c r="L49" s="440">
        <v>0.27310000000000001</v>
      </c>
      <c r="M49" s="95">
        <v>1</v>
      </c>
      <c r="N49" s="96">
        <v>1.3341182123822604</v>
      </c>
      <c r="O49" s="437" t="s">
        <v>1721</v>
      </c>
      <c r="P49" s="440">
        <v>1.0254399999999999</v>
      </c>
      <c r="Q49" s="95">
        <v>1</v>
      </c>
      <c r="R49" s="96">
        <v>1.3341182123822604</v>
      </c>
      <c r="S49" s="437" t="s">
        <v>1721</v>
      </c>
      <c r="T49" s="440">
        <v>0.31937082877841105</v>
      </c>
      <c r="U49" s="95">
        <v>1</v>
      </c>
      <c r="V49" s="96">
        <v>1.3341182123822604</v>
      </c>
      <c r="W49" s="432" t="s">
        <v>1722</v>
      </c>
      <c r="X49" s="440">
        <v>1.892585651801701</v>
      </c>
      <c r="Y49" s="95">
        <v>1</v>
      </c>
      <c r="Z49" s="96">
        <v>1.3341182123822604</v>
      </c>
      <c r="AA49" s="432" t="s">
        <v>1722</v>
      </c>
      <c r="AB49" s="462"/>
      <c r="AC49" s="336">
        <v>1</v>
      </c>
      <c r="AD49" s="337">
        <v>1.3341182123822604</v>
      </c>
      <c r="AE49" s="437" t="s">
        <v>1723</v>
      </c>
      <c r="AF49" s="206"/>
    </row>
    <row r="50" spans="1:32" ht="24">
      <c r="A50" s="330">
        <v>263913</v>
      </c>
      <c r="B50" s="331"/>
      <c r="C50" s="88"/>
      <c r="D50" s="340">
        <v>5</v>
      </c>
      <c r="E50" s="341" t="s">
        <v>98</v>
      </c>
      <c r="F50" s="432" t="s">
        <v>1752</v>
      </c>
      <c r="G50" s="433" t="s">
        <v>154</v>
      </c>
      <c r="H50" s="434" t="s">
        <v>98</v>
      </c>
      <c r="I50" s="434" t="s">
        <v>98</v>
      </c>
      <c r="J50" s="94">
        <v>0</v>
      </c>
      <c r="K50" s="433" t="s">
        <v>96</v>
      </c>
      <c r="L50" s="440">
        <v>0.79615999999999998</v>
      </c>
      <c r="M50" s="95">
        <v>1</v>
      </c>
      <c r="N50" s="96">
        <v>1.3341182123822604</v>
      </c>
      <c r="O50" s="437" t="s">
        <v>1721</v>
      </c>
      <c r="P50" s="440">
        <v>2.1600000000000001E-2</v>
      </c>
      <c r="Q50" s="95">
        <v>1</v>
      </c>
      <c r="R50" s="96">
        <v>1.3341182123822604</v>
      </c>
      <c r="S50" s="437" t="s">
        <v>1721</v>
      </c>
      <c r="T50" s="440">
        <v>0.11192036168877074</v>
      </c>
      <c r="U50" s="95">
        <v>1</v>
      </c>
      <c r="V50" s="96">
        <v>1.3341182123822604</v>
      </c>
      <c r="W50" s="432" t="s">
        <v>1722</v>
      </c>
      <c r="X50" s="440">
        <v>0.66323800294105917</v>
      </c>
      <c r="Y50" s="95">
        <v>1</v>
      </c>
      <c r="Z50" s="96">
        <v>1.3341182123822604</v>
      </c>
      <c r="AA50" s="432" t="s">
        <v>1722</v>
      </c>
      <c r="AB50" s="462"/>
      <c r="AC50" s="336">
        <v>1</v>
      </c>
      <c r="AD50" s="337">
        <v>1.3341182123822604</v>
      </c>
      <c r="AE50" s="437" t="s">
        <v>1723</v>
      </c>
      <c r="AF50" s="206"/>
    </row>
    <row r="51" spans="1:32" ht="24">
      <c r="A51" s="330">
        <v>263921</v>
      </c>
      <c r="B51" s="331"/>
      <c r="C51" s="88"/>
      <c r="D51" s="340">
        <v>5</v>
      </c>
      <c r="E51" s="341" t="s">
        <v>98</v>
      </c>
      <c r="F51" s="432" t="s">
        <v>1753</v>
      </c>
      <c r="G51" s="433" t="s">
        <v>154</v>
      </c>
      <c r="H51" s="434" t="s">
        <v>98</v>
      </c>
      <c r="I51" s="434" t="s">
        <v>98</v>
      </c>
      <c r="J51" s="94">
        <v>0</v>
      </c>
      <c r="K51" s="433" t="s">
        <v>96</v>
      </c>
      <c r="L51" s="440">
        <v>6.6679999999999989E-2</v>
      </c>
      <c r="M51" s="95">
        <v>1</v>
      </c>
      <c r="N51" s="96">
        <v>1.3341182123822604</v>
      </c>
      <c r="O51" s="437" t="s">
        <v>1721</v>
      </c>
      <c r="P51" s="440">
        <v>4.1399999999999996E-3</v>
      </c>
      <c r="Q51" s="95">
        <v>1</v>
      </c>
      <c r="R51" s="96">
        <v>1.3341182123822604</v>
      </c>
      <c r="S51" s="437" t="s">
        <v>1721</v>
      </c>
      <c r="T51" s="440">
        <v>2.9232930291843116E-3</v>
      </c>
      <c r="U51" s="95">
        <v>1</v>
      </c>
      <c r="V51" s="96">
        <v>1.3341182123822604</v>
      </c>
      <c r="W51" s="432" t="s">
        <v>1722</v>
      </c>
      <c r="X51" s="440">
        <v>1.7323380673833641E-2</v>
      </c>
      <c r="Y51" s="95">
        <v>1</v>
      </c>
      <c r="Z51" s="96">
        <v>1.3341182123822604</v>
      </c>
      <c r="AA51" s="432" t="s">
        <v>1722</v>
      </c>
      <c r="AB51" s="462"/>
      <c r="AC51" s="336">
        <v>1</v>
      </c>
      <c r="AD51" s="337">
        <v>1.3341182123822604</v>
      </c>
      <c r="AE51" s="437" t="s">
        <v>1723</v>
      </c>
      <c r="AF51" s="206"/>
    </row>
    <row r="52" spans="1:32" ht="24">
      <c r="A52" s="330">
        <v>263937</v>
      </c>
      <c r="B52" s="331"/>
      <c r="C52" s="88"/>
      <c r="D52" s="340">
        <v>5</v>
      </c>
      <c r="E52" s="341" t="s">
        <v>98</v>
      </c>
      <c r="F52" s="432" t="s">
        <v>1754</v>
      </c>
      <c r="G52" s="433" t="s">
        <v>154</v>
      </c>
      <c r="H52" s="434" t="s">
        <v>98</v>
      </c>
      <c r="I52" s="434" t="s">
        <v>98</v>
      </c>
      <c r="J52" s="94">
        <v>0</v>
      </c>
      <c r="K52" s="433" t="s">
        <v>96</v>
      </c>
      <c r="L52" s="440">
        <v>0</v>
      </c>
      <c r="M52" s="95">
        <v>1</v>
      </c>
      <c r="N52" s="96">
        <v>1.3341182123822604</v>
      </c>
      <c r="O52" s="437" t="s">
        <v>1715</v>
      </c>
      <c r="P52" s="440">
        <v>0</v>
      </c>
      <c r="Q52" s="95">
        <v>1</v>
      </c>
      <c r="R52" s="96">
        <v>1.3341182123822604</v>
      </c>
      <c r="S52" s="437" t="s">
        <v>1715</v>
      </c>
      <c r="T52" s="440">
        <v>0.12515614616201631</v>
      </c>
      <c r="U52" s="95">
        <v>1</v>
      </c>
      <c r="V52" s="96">
        <v>1.3341182123822604</v>
      </c>
      <c r="W52" s="432" t="s">
        <v>1722</v>
      </c>
      <c r="X52" s="440">
        <v>0.7416730180619443</v>
      </c>
      <c r="Y52" s="95">
        <v>1</v>
      </c>
      <c r="Z52" s="96">
        <v>1.3341182123822604</v>
      </c>
      <c r="AA52" s="432" t="s">
        <v>1722</v>
      </c>
      <c r="AB52" s="462"/>
      <c r="AC52" s="336">
        <v>1</v>
      </c>
      <c r="AD52" s="337">
        <v>1.3341182123822604</v>
      </c>
      <c r="AE52" s="437" t="s">
        <v>1723</v>
      </c>
      <c r="AF52" s="206"/>
    </row>
    <row r="53" spans="1:32" ht="24">
      <c r="A53" s="333">
        <v>260492</v>
      </c>
      <c r="B53" s="216"/>
      <c r="C53" s="165"/>
      <c r="D53" s="515">
        <v>5</v>
      </c>
      <c r="E53" s="343" t="s">
        <v>98</v>
      </c>
      <c r="F53" s="437" t="s">
        <v>1755</v>
      </c>
      <c r="G53" s="438" t="s">
        <v>154</v>
      </c>
      <c r="H53" s="455" t="s">
        <v>98</v>
      </c>
      <c r="I53" s="455" t="s">
        <v>98</v>
      </c>
      <c r="J53" s="336">
        <v>0</v>
      </c>
      <c r="K53" s="438" t="s">
        <v>96</v>
      </c>
      <c r="L53" s="440">
        <v>4.5200000000000006E-3</v>
      </c>
      <c r="M53" s="336">
        <v>1</v>
      </c>
      <c r="N53" s="337">
        <v>1.05</v>
      </c>
      <c r="O53" s="437" t="s">
        <v>1721</v>
      </c>
      <c r="P53" s="440">
        <v>0</v>
      </c>
      <c r="Q53" s="336">
        <v>1</v>
      </c>
      <c r="R53" s="337">
        <v>1.05</v>
      </c>
      <c r="S53" s="437" t="s">
        <v>1721</v>
      </c>
      <c r="T53" s="440">
        <v>0</v>
      </c>
      <c r="U53" s="336">
        <v>1</v>
      </c>
      <c r="V53" s="337">
        <v>1.05</v>
      </c>
      <c r="W53" s="437"/>
      <c r="X53" s="440">
        <v>0</v>
      </c>
      <c r="Y53" s="336">
        <v>1</v>
      </c>
      <c r="Z53" s="337">
        <v>1.05</v>
      </c>
      <c r="AA53" s="432" t="s">
        <v>1715</v>
      </c>
      <c r="AB53" s="749"/>
      <c r="AC53" s="336">
        <v>1</v>
      </c>
      <c r="AD53" s="337">
        <v>1.05</v>
      </c>
      <c r="AE53" s="437" t="s">
        <v>1715</v>
      </c>
      <c r="AF53" s="517"/>
    </row>
    <row r="54" spans="1:32" ht="24">
      <c r="A54" s="330">
        <v>258859</v>
      </c>
      <c r="B54" s="331"/>
      <c r="C54" s="88"/>
      <c r="D54" s="340">
        <v>5</v>
      </c>
      <c r="E54" s="341" t="s">
        <v>98</v>
      </c>
      <c r="F54" s="432" t="s">
        <v>1756</v>
      </c>
      <c r="G54" s="433" t="s">
        <v>154</v>
      </c>
      <c r="H54" s="434" t="s">
        <v>98</v>
      </c>
      <c r="I54" s="434" t="s">
        <v>98</v>
      </c>
      <c r="J54" s="94">
        <v>0</v>
      </c>
      <c r="K54" s="433" t="s">
        <v>96</v>
      </c>
      <c r="L54" s="440">
        <v>4.2819999999999997E-2</v>
      </c>
      <c r="M54" s="95">
        <v>1</v>
      </c>
      <c r="N54" s="96">
        <v>1.3341182123822604</v>
      </c>
      <c r="O54" s="437" t="s">
        <v>1721</v>
      </c>
      <c r="P54" s="440">
        <v>0</v>
      </c>
      <c r="Q54" s="95">
        <v>1</v>
      </c>
      <c r="R54" s="96">
        <v>1.3341182123822604</v>
      </c>
      <c r="S54" s="437" t="s">
        <v>1721</v>
      </c>
      <c r="T54" s="440">
        <v>6.6161565175428427E-2</v>
      </c>
      <c r="U54" s="95">
        <v>1</v>
      </c>
      <c r="V54" s="96">
        <v>1.3341182123822604</v>
      </c>
      <c r="W54" s="432" t="s">
        <v>1722</v>
      </c>
      <c r="X54" s="440">
        <v>0.40577784937981104</v>
      </c>
      <c r="Y54" s="95">
        <v>1</v>
      </c>
      <c r="Z54" s="96">
        <v>1.3341182123822604</v>
      </c>
      <c r="AA54" s="432" t="s">
        <v>1722</v>
      </c>
      <c r="AB54" s="462"/>
      <c r="AC54" s="336">
        <v>1</v>
      </c>
      <c r="AD54" s="337">
        <v>1.3341182123822604</v>
      </c>
      <c r="AE54" s="437" t="s">
        <v>1723</v>
      </c>
      <c r="AF54" s="206"/>
    </row>
    <row r="55" spans="1:32" ht="24">
      <c r="A55" s="330">
        <v>266815</v>
      </c>
      <c r="B55" s="331"/>
      <c r="C55" s="88"/>
      <c r="D55" s="340">
        <v>5</v>
      </c>
      <c r="E55" s="341" t="s">
        <v>98</v>
      </c>
      <c r="F55" s="432" t="s">
        <v>1757</v>
      </c>
      <c r="G55" s="433" t="s">
        <v>154</v>
      </c>
      <c r="H55" s="434" t="s">
        <v>98</v>
      </c>
      <c r="I55" s="434" t="s">
        <v>98</v>
      </c>
      <c r="J55" s="94">
        <v>0</v>
      </c>
      <c r="K55" s="433" t="s">
        <v>96</v>
      </c>
      <c r="L55" s="440">
        <v>1.3439999999999999E-2</v>
      </c>
      <c r="M55" s="95">
        <v>1</v>
      </c>
      <c r="N55" s="96">
        <v>1.3341182123822604</v>
      </c>
      <c r="O55" s="437" t="s">
        <v>1721</v>
      </c>
      <c r="P55" s="440">
        <v>0</v>
      </c>
      <c r="Q55" s="95">
        <v>1</v>
      </c>
      <c r="R55" s="96">
        <v>1.3341182123822604</v>
      </c>
      <c r="S55" s="437" t="s">
        <v>1721</v>
      </c>
      <c r="T55" s="440">
        <v>1.9503005683832769E-2</v>
      </c>
      <c r="U55" s="95">
        <v>1</v>
      </c>
      <c r="V55" s="96">
        <v>1.3341182123822604</v>
      </c>
      <c r="W55" s="432" t="s">
        <v>1722</v>
      </c>
      <c r="X55" s="440">
        <v>0.1196145780687638</v>
      </c>
      <c r="Y55" s="95">
        <v>1</v>
      </c>
      <c r="Z55" s="96">
        <v>1.3341182123822604</v>
      </c>
      <c r="AA55" s="432" t="s">
        <v>1722</v>
      </c>
      <c r="AB55" s="462"/>
      <c r="AC55" s="336">
        <v>1</v>
      </c>
      <c r="AD55" s="337">
        <v>1.3341182123822604</v>
      </c>
      <c r="AE55" s="437" t="s">
        <v>1723</v>
      </c>
      <c r="AF55" s="206"/>
    </row>
    <row r="56" spans="1:32" ht="24">
      <c r="A56" s="333">
        <v>264989</v>
      </c>
      <c r="B56" s="331"/>
      <c r="C56" s="88"/>
      <c r="D56" s="340">
        <v>5</v>
      </c>
      <c r="E56" s="341" t="s">
        <v>98</v>
      </c>
      <c r="F56" s="432" t="s">
        <v>1758</v>
      </c>
      <c r="G56" s="433" t="s">
        <v>154</v>
      </c>
      <c r="H56" s="434" t="s">
        <v>98</v>
      </c>
      <c r="I56" s="434" t="s">
        <v>98</v>
      </c>
      <c r="J56" s="94">
        <v>0</v>
      </c>
      <c r="K56" s="433" t="s">
        <v>96</v>
      </c>
      <c r="L56" s="440">
        <v>1.1136899999999998</v>
      </c>
      <c r="M56" s="95">
        <v>1</v>
      </c>
      <c r="N56" s="96">
        <v>1.3341182123822604</v>
      </c>
      <c r="O56" s="437" t="s">
        <v>1721</v>
      </c>
      <c r="P56" s="440">
        <v>4.2062600000000003</v>
      </c>
      <c r="Q56" s="95">
        <v>1</v>
      </c>
      <c r="R56" s="96">
        <v>1.3341182123822604</v>
      </c>
      <c r="S56" s="437" t="s">
        <v>1721</v>
      </c>
      <c r="T56" s="440">
        <v>0</v>
      </c>
      <c r="U56" s="95">
        <v>1</v>
      </c>
      <c r="V56" s="96">
        <v>1.3341182123822604</v>
      </c>
      <c r="W56" s="432" t="s">
        <v>1722</v>
      </c>
      <c r="X56" s="440">
        <v>11.922870548084862</v>
      </c>
      <c r="Y56" s="95">
        <v>1</v>
      </c>
      <c r="Z56" s="96">
        <v>1.3341182123822604</v>
      </c>
      <c r="AA56" s="432" t="s">
        <v>1722</v>
      </c>
      <c r="AB56" s="462"/>
      <c r="AC56" s="336">
        <v>1</v>
      </c>
      <c r="AD56" s="337">
        <v>1.3341182123822604</v>
      </c>
      <c r="AE56" s="437" t="s">
        <v>1723</v>
      </c>
      <c r="AF56" s="206"/>
    </row>
    <row r="57" spans="1:32" ht="24">
      <c r="A57" s="330">
        <v>262951</v>
      </c>
      <c r="B57" s="331"/>
      <c r="C57" s="88"/>
      <c r="D57" s="340">
        <v>5</v>
      </c>
      <c r="E57" s="341" t="s">
        <v>98</v>
      </c>
      <c r="F57" s="432" t="s">
        <v>1759</v>
      </c>
      <c r="G57" s="433" t="s">
        <v>154</v>
      </c>
      <c r="H57" s="434" t="s">
        <v>98</v>
      </c>
      <c r="I57" s="434" t="s">
        <v>98</v>
      </c>
      <c r="J57" s="94">
        <v>0</v>
      </c>
      <c r="K57" s="433" t="s">
        <v>96</v>
      </c>
      <c r="L57" s="440">
        <v>0.20932000000000001</v>
      </c>
      <c r="M57" s="95">
        <v>1</v>
      </c>
      <c r="N57" s="96">
        <v>1.3341182123822604</v>
      </c>
      <c r="O57" s="437" t="s">
        <v>1721</v>
      </c>
      <c r="P57" s="440">
        <v>0</v>
      </c>
      <c r="Q57" s="95">
        <v>1</v>
      </c>
      <c r="R57" s="96">
        <v>1.3341182123822604</v>
      </c>
      <c r="S57" s="437" t="s">
        <v>1721</v>
      </c>
      <c r="T57" s="440">
        <v>0.50665639743293467</v>
      </c>
      <c r="U57" s="95">
        <v>1</v>
      </c>
      <c r="V57" s="96">
        <v>1.3341182123822604</v>
      </c>
      <c r="W57" s="432" t="s">
        <v>1722</v>
      </c>
      <c r="X57" s="440">
        <v>0</v>
      </c>
      <c r="Y57" s="95">
        <v>1</v>
      </c>
      <c r="Z57" s="96">
        <v>1.3341182123822604</v>
      </c>
      <c r="AA57" s="432" t="s">
        <v>1722</v>
      </c>
      <c r="AB57" s="462"/>
      <c r="AC57" s="336">
        <v>1</v>
      </c>
      <c r="AD57" s="337">
        <v>1.3341182123822604</v>
      </c>
      <c r="AE57" s="437" t="s">
        <v>1723</v>
      </c>
      <c r="AF57" s="206"/>
    </row>
    <row r="58" spans="1:32" ht="24">
      <c r="A58" s="333">
        <v>266829</v>
      </c>
      <c r="B58" s="216"/>
      <c r="C58" s="165"/>
      <c r="D58" s="515">
        <v>5</v>
      </c>
      <c r="E58" s="343" t="s">
        <v>98</v>
      </c>
      <c r="F58" s="437" t="s">
        <v>1760</v>
      </c>
      <c r="G58" s="438" t="s">
        <v>154</v>
      </c>
      <c r="H58" s="455" t="s">
        <v>98</v>
      </c>
      <c r="I58" s="455" t="s">
        <v>98</v>
      </c>
      <c r="J58" s="336">
        <v>0</v>
      </c>
      <c r="K58" s="438" t="s">
        <v>96</v>
      </c>
      <c r="L58" s="440">
        <v>0</v>
      </c>
      <c r="M58" s="336">
        <v>1</v>
      </c>
      <c r="N58" s="337">
        <v>1.05</v>
      </c>
      <c r="O58" s="437" t="s">
        <v>1715</v>
      </c>
      <c r="P58" s="440">
        <v>0</v>
      </c>
      <c r="Q58" s="336">
        <v>1</v>
      </c>
      <c r="R58" s="337">
        <v>1.05</v>
      </c>
      <c r="S58" s="437" t="s">
        <v>1715</v>
      </c>
      <c r="T58" s="440">
        <v>0</v>
      </c>
      <c r="U58" s="336">
        <v>1</v>
      </c>
      <c r="V58" s="337">
        <v>1.05</v>
      </c>
      <c r="W58" s="437" t="s">
        <v>1722</v>
      </c>
      <c r="X58" s="440">
        <v>0.3444093668212353</v>
      </c>
      <c r="Y58" s="336">
        <v>1</v>
      </c>
      <c r="Z58" s="337">
        <v>1.05</v>
      </c>
      <c r="AA58" s="432" t="s">
        <v>1722</v>
      </c>
      <c r="AB58" s="749"/>
      <c r="AC58" s="336">
        <v>1</v>
      </c>
      <c r="AD58" s="337">
        <v>1.05</v>
      </c>
      <c r="AE58" s="437" t="s">
        <v>1715</v>
      </c>
      <c r="AF58" s="517"/>
    </row>
    <row r="59" spans="1:32" ht="24">
      <c r="A59" s="330">
        <v>266537</v>
      </c>
      <c r="B59" s="331"/>
      <c r="C59" s="88"/>
      <c r="D59" s="340">
        <v>5</v>
      </c>
      <c r="E59" s="341" t="s">
        <v>98</v>
      </c>
      <c r="F59" s="432" t="s">
        <v>1761</v>
      </c>
      <c r="G59" s="433" t="s">
        <v>154</v>
      </c>
      <c r="H59" s="434" t="s">
        <v>98</v>
      </c>
      <c r="I59" s="434" t="s">
        <v>98</v>
      </c>
      <c r="J59" s="94">
        <v>0</v>
      </c>
      <c r="K59" s="433" t="s">
        <v>144</v>
      </c>
      <c r="L59" s="440">
        <v>1.41</v>
      </c>
      <c r="M59" s="95">
        <v>1</v>
      </c>
      <c r="N59" s="96">
        <v>1.3341182123822604</v>
      </c>
      <c r="O59" s="437" t="s">
        <v>1721</v>
      </c>
      <c r="P59" s="440">
        <v>0</v>
      </c>
      <c r="Q59" s="95">
        <v>1</v>
      </c>
      <c r="R59" s="96">
        <v>1.3341182123822604</v>
      </c>
      <c r="S59" s="437" t="s">
        <v>1721</v>
      </c>
      <c r="T59" s="440">
        <v>0</v>
      </c>
      <c r="U59" s="95">
        <v>1</v>
      </c>
      <c r="V59" s="96">
        <v>1.3341182123822604</v>
      </c>
      <c r="W59" s="432"/>
      <c r="X59" s="440">
        <v>0</v>
      </c>
      <c r="Y59" s="95">
        <v>1</v>
      </c>
      <c r="Z59" s="96">
        <v>1.3341182123822604</v>
      </c>
      <c r="AA59" s="432" t="s">
        <v>1715</v>
      </c>
      <c r="AB59" s="462"/>
      <c r="AC59" s="336">
        <v>1</v>
      </c>
      <c r="AD59" s="337">
        <v>1.3341182123822604</v>
      </c>
      <c r="AE59" s="437" t="s">
        <v>1723</v>
      </c>
      <c r="AF59" s="206"/>
    </row>
    <row r="60" spans="1:32" ht="24">
      <c r="A60" s="333">
        <v>266053</v>
      </c>
      <c r="B60" s="216"/>
      <c r="C60" s="165"/>
      <c r="D60" s="515">
        <v>5</v>
      </c>
      <c r="E60" s="343" t="s">
        <v>98</v>
      </c>
      <c r="F60" s="437" t="s">
        <v>1700</v>
      </c>
      <c r="G60" s="438" t="s">
        <v>93</v>
      </c>
      <c r="H60" s="455" t="s">
        <v>98</v>
      </c>
      <c r="I60" s="455" t="s">
        <v>98</v>
      </c>
      <c r="J60" s="336">
        <v>0</v>
      </c>
      <c r="K60" s="438" t="s">
        <v>96</v>
      </c>
      <c r="L60" s="440">
        <v>2.3399999999999997E-2</v>
      </c>
      <c r="M60" s="336">
        <v>1</v>
      </c>
      <c r="N60" s="337">
        <v>1.05</v>
      </c>
      <c r="O60" s="437" t="s">
        <v>1721</v>
      </c>
      <c r="P60" s="440">
        <v>5.2729999999999999E-2</v>
      </c>
      <c r="Q60" s="336">
        <v>1</v>
      </c>
      <c r="R60" s="337">
        <v>1.05</v>
      </c>
      <c r="S60" s="437" t="s">
        <v>1721</v>
      </c>
      <c r="T60" s="440">
        <v>8.1703062008781357E-2</v>
      </c>
      <c r="U60" s="336">
        <v>1</v>
      </c>
      <c r="V60" s="337">
        <v>1.05</v>
      </c>
      <c r="W60" s="437" t="s">
        <v>1722</v>
      </c>
      <c r="X60" s="440">
        <v>0.17872313526406264</v>
      </c>
      <c r="Y60" s="336">
        <v>1</v>
      </c>
      <c r="Z60" s="337">
        <v>1.05</v>
      </c>
      <c r="AA60" s="432" t="s">
        <v>1722</v>
      </c>
      <c r="AB60" s="749"/>
      <c r="AC60" s="336">
        <v>1</v>
      </c>
      <c r="AD60" s="337">
        <v>1.05</v>
      </c>
      <c r="AE60" s="437" t="s">
        <v>1715</v>
      </c>
      <c r="AF60" s="517"/>
    </row>
    <row r="61" spans="1:32" ht="24">
      <c r="A61" s="330">
        <v>269117</v>
      </c>
      <c r="B61" s="331"/>
      <c r="C61" s="88"/>
      <c r="D61" s="340">
        <v>5</v>
      </c>
      <c r="E61" s="341" t="s">
        <v>98</v>
      </c>
      <c r="F61" s="432" t="s">
        <v>1284</v>
      </c>
      <c r="G61" s="433" t="s">
        <v>93</v>
      </c>
      <c r="H61" s="434" t="s">
        <v>98</v>
      </c>
      <c r="I61" s="434" t="s">
        <v>98</v>
      </c>
      <c r="J61" s="94">
        <v>0</v>
      </c>
      <c r="K61" s="433" t="s">
        <v>96</v>
      </c>
      <c r="L61" s="440">
        <v>0</v>
      </c>
      <c r="M61" s="95">
        <v>1</v>
      </c>
      <c r="N61" s="96">
        <v>1.3341182123822604</v>
      </c>
      <c r="O61" s="437" t="s">
        <v>1721</v>
      </c>
      <c r="P61" s="440">
        <v>0.309</v>
      </c>
      <c r="Q61" s="95">
        <v>1</v>
      </c>
      <c r="R61" s="96">
        <v>1.3341182123822604</v>
      </c>
      <c r="S61" s="437" t="s">
        <v>1721</v>
      </c>
      <c r="T61" s="440">
        <v>6.5530432827554039E-2</v>
      </c>
      <c r="U61" s="95">
        <v>1</v>
      </c>
      <c r="V61" s="96">
        <v>1.3341182123822604</v>
      </c>
      <c r="W61" s="432" t="s">
        <v>1722</v>
      </c>
      <c r="X61" s="440">
        <v>0.8478549043996414</v>
      </c>
      <c r="Y61" s="95">
        <v>1</v>
      </c>
      <c r="Z61" s="96">
        <v>1.3341182123822604</v>
      </c>
      <c r="AA61" s="432" t="s">
        <v>1722</v>
      </c>
      <c r="AB61" s="462"/>
      <c r="AC61" s="336">
        <v>1</v>
      </c>
      <c r="AD61" s="337">
        <v>1.3341182123822604</v>
      </c>
      <c r="AE61" s="437" t="s">
        <v>1723</v>
      </c>
      <c r="AF61" s="206"/>
    </row>
    <row r="62" spans="1:32" ht="24">
      <c r="A62" s="330">
        <v>267676</v>
      </c>
      <c r="B62" s="331"/>
      <c r="C62" s="88"/>
      <c r="D62" s="340">
        <v>5</v>
      </c>
      <c r="E62" s="341" t="s">
        <v>98</v>
      </c>
      <c r="F62" s="432" t="s">
        <v>1762</v>
      </c>
      <c r="G62" s="433" t="s">
        <v>154</v>
      </c>
      <c r="H62" s="434" t="s">
        <v>98</v>
      </c>
      <c r="I62" s="434" t="s">
        <v>98</v>
      </c>
      <c r="J62" s="94">
        <v>0</v>
      </c>
      <c r="K62" s="433" t="s">
        <v>96</v>
      </c>
      <c r="L62" s="440">
        <v>0</v>
      </c>
      <c r="M62" s="95">
        <v>1</v>
      </c>
      <c r="N62" s="96">
        <v>1.3341182123822604</v>
      </c>
      <c r="O62" s="437" t="s">
        <v>1721</v>
      </c>
      <c r="P62" s="440">
        <v>7.0000000000000001E-3</v>
      </c>
      <c r="Q62" s="95">
        <v>1</v>
      </c>
      <c r="R62" s="96">
        <v>1.3341182123822604</v>
      </c>
      <c r="S62" s="437" t="s">
        <v>1721</v>
      </c>
      <c r="T62" s="440">
        <v>0</v>
      </c>
      <c r="U62" s="95">
        <v>1</v>
      </c>
      <c r="V62" s="96">
        <v>1.3341182123822604</v>
      </c>
      <c r="W62" s="432"/>
      <c r="X62" s="440">
        <v>0</v>
      </c>
      <c r="Y62" s="95">
        <v>1</v>
      </c>
      <c r="Z62" s="96">
        <v>1.3341182123822604</v>
      </c>
      <c r="AA62" s="432" t="s">
        <v>1715</v>
      </c>
      <c r="AB62" s="462"/>
      <c r="AC62" s="336">
        <v>1</v>
      </c>
      <c r="AD62" s="337">
        <v>1.3341182123822604</v>
      </c>
      <c r="AE62" s="437" t="s">
        <v>1723</v>
      </c>
      <c r="AF62" s="206"/>
    </row>
    <row r="63" spans="1:32" ht="24">
      <c r="A63" s="333">
        <v>262771</v>
      </c>
      <c r="B63" s="216"/>
      <c r="C63" s="165"/>
      <c r="D63" s="515">
        <v>5</v>
      </c>
      <c r="E63" s="343" t="s">
        <v>98</v>
      </c>
      <c r="F63" s="437" t="s">
        <v>1763</v>
      </c>
      <c r="G63" s="438" t="s">
        <v>154</v>
      </c>
      <c r="H63" s="455" t="s">
        <v>98</v>
      </c>
      <c r="I63" s="455" t="s">
        <v>98</v>
      </c>
      <c r="J63" s="336">
        <v>0</v>
      </c>
      <c r="K63" s="438" t="s">
        <v>96</v>
      </c>
      <c r="L63" s="440">
        <v>0</v>
      </c>
      <c r="M63" s="336">
        <v>1</v>
      </c>
      <c r="N63" s="337">
        <v>1.05</v>
      </c>
      <c r="O63" s="437" t="s">
        <v>1721</v>
      </c>
      <c r="P63" s="440">
        <v>0.50353000000000003</v>
      </c>
      <c r="Q63" s="336">
        <v>1</v>
      </c>
      <c r="R63" s="337">
        <v>1.05</v>
      </c>
      <c r="S63" s="437" t="s">
        <v>1721</v>
      </c>
      <c r="T63" s="440">
        <v>0.37189191720725667</v>
      </c>
      <c r="U63" s="336">
        <v>1</v>
      </c>
      <c r="V63" s="337">
        <v>1.05</v>
      </c>
      <c r="W63" s="437" t="s">
        <v>1722</v>
      </c>
      <c r="X63" s="440">
        <v>0.43408245539838075</v>
      </c>
      <c r="Y63" s="336">
        <v>1</v>
      </c>
      <c r="Z63" s="337">
        <v>1.05</v>
      </c>
      <c r="AA63" s="432" t="s">
        <v>1722</v>
      </c>
      <c r="AB63" s="749"/>
      <c r="AC63" s="336">
        <v>1</v>
      </c>
      <c r="AD63" s="337">
        <v>1.05</v>
      </c>
      <c r="AE63" s="437" t="s">
        <v>1715</v>
      </c>
      <c r="AF63" s="517"/>
    </row>
    <row r="64" spans="1:32" ht="24">
      <c r="A64" s="333">
        <v>268383</v>
      </c>
      <c r="B64" s="216"/>
      <c r="C64" s="165"/>
      <c r="D64" s="515">
        <v>5</v>
      </c>
      <c r="E64" s="343" t="s">
        <v>98</v>
      </c>
      <c r="F64" s="437" t="s">
        <v>824</v>
      </c>
      <c r="G64" s="438" t="s">
        <v>93</v>
      </c>
      <c r="H64" s="455" t="s">
        <v>98</v>
      </c>
      <c r="I64" s="455" t="s">
        <v>98</v>
      </c>
      <c r="J64" s="336">
        <v>0</v>
      </c>
      <c r="K64" s="438" t="s">
        <v>96</v>
      </c>
      <c r="L64" s="440">
        <v>1.0470200000000001</v>
      </c>
      <c r="M64" s="336">
        <v>1</v>
      </c>
      <c r="N64" s="337">
        <v>1.05</v>
      </c>
      <c r="O64" s="437" t="s">
        <v>1721</v>
      </c>
      <c r="P64" s="440">
        <v>0</v>
      </c>
      <c r="Q64" s="336">
        <v>1</v>
      </c>
      <c r="R64" s="337">
        <v>1.05</v>
      </c>
      <c r="S64" s="437" t="s">
        <v>1721</v>
      </c>
      <c r="T64" s="440">
        <v>3.2626507704163847</v>
      </c>
      <c r="U64" s="336">
        <v>1</v>
      </c>
      <c r="V64" s="337">
        <v>1.05</v>
      </c>
      <c r="W64" s="437" t="s">
        <v>1722</v>
      </c>
      <c r="X64" s="440">
        <v>4.2862856843769546</v>
      </c>
      <c r="Y64" s="336">
        <v>1</v>
      </c>
      <c r="Z64" s="337">
        <v>1.05</v>
      </c>
      <c r="AA64" s="432" t="s">
        <v>1722</v>
      </c>
      <c r="AB64" s="749"/>
      <c r="AC64" s="336">
        <v>1</v>
      </c>
      <c r="AD64" s="337">
        <v>1.05</v>
      </c>
      <c r="AE64" s="437" t="s">
        <v>1715</v>
      </c>
      <c r="AF64" s="517"/>
    </row>
    <row r="65" spans="1:32" ht="24">
      <c r="A65" s="333">
        <v>269443</v>
      </c>
      <c r="B65" s="216"/>
      <c r="C65" s="165"/>
      <c r="D65" s="515">
        <v>5</v>
      </c>
      <c r="E65" s="343" t="s">
        <v>98</v>
      </c>
      <c r="F65" s="437" t="s">
        <v>1613</v>
      </c>
      <c r="G65" s="438" t="s">
        <v>93</v>
      </c>
      <c r="H65" s="455" t="s">
        <v>98</v>
      </c>
      <c r="I65" s="455" t="s">
        <v>98</v>
      </c>
      <c r="J65" s="336">
        <v>0</v>
      </c>
      <c r="K65" s="438" t="s">
        <v>96</v>
      </c>
      <c r="L65" s="440">
        <v>8.2150000000000001E-2</v>
      </c>
      <c r="M65" s="336">
        <v>1</v>
      </c>
      <c r="N65" s="337">
        <v>1.05</v>
      </c>
      <c r="O65" s="437" t="s">
        <v>1721</v>
      </c>
      <c r="P65" s="440">
        <v>2E-3</v>
      </c>
      <c r="Q65" s="336">
        <v>1</v>
      </c>
      <c r="R65" s="337">
        <v>1.05</v>
      </c>
      <c r="S65" s="437" t="s">
        <v>1721</v>
      </c>
      <c r="T65" s="440">
        <v>2.2081908651021991E-2</v>
      </c>
      <c r="U65" s="336">
        <v>1</v>
      </c>
      <c r="V65" s="337">
        <v>1.05</v>
      </c>
      <c r="W65" s="437" t="s">
        <v>1722</v>
      </c>
      <c r="X65" s="440">
        <v>4.8303550071368287E-2</v>
      </c>
      <c r="Y65" s="336">
        <v>1</v>
      </c>
      <c r="Z65" s="337">
        <v>1.05</v>
      </c>
      <c r="AA65" s="432" t="s">
        <v>1722</v>
      </c>
      <c r="AB65" s="749"/>
      <c r="AC65" s="336">
        <v>1</v>
      </c>
      <c r="AD65" s="337">
        <v>1.05</v>
      </c>
      <c r="AE65" s="437" t="s">
        <v>1715</v>
      </c>
      <c r="AF65" s="517"/>
    </row>
    <row r="66" spans="1:32" ht="24">
      <c r="A66" s="333">
        <v>269331</v>
      </c>
      <c r="B66" s="216"/>
      <c r="C66" s="165"/>
      <c r="D66" s="515">
        <v>5</v>
      </c>
      <c r="E66" s="343" t="s">
        <v>98</v>
      </c>
      <c r="F66" s="437" t="s">
        <v>1179</v>
      </c>
      <c r="G66" s="438" t="s">
        <v>93</v>
      </c>
      <c r="H66" s="455" t="s">
        <v>98</v>
      </c>
      <c r="I66" s="455" t="s">
        <v>98</v>
      </c>
      <c r="J66" s="336">
        <v>0</v>
      </c>
      <c r="K66" s="438" t="s">
        <v>96</v>
      </c>
      <c r="L66" s="440">
        <v>0</v>
      </c>
      <c r="M66" s="336">
        <v>1</v>
      </c>
      <c r="N66" s="337">
        <v>1.05</v>
      </c>
      <c r="O66" s="437" t="s">
        <v>1715</v>
      </c>
      <c r="P66" s="440">
        <v>0</v>
      </c>
      <c r="Q66" s="336">
        <v>1</v>
      </c>
      <c r="R66" s="337">
        <v>1.05</v>
      </c>
      <c r="S66" s="437" t="s">
        <v>1715</v>
      </c>
      <c r="T66" s="440">
        <v>5.5204771627554973E-2</v>
      </c>
      <c r="U66" s="336">
        <v>1</v>
      </c>
      <c r="V66" s="337">
        <v>1.05</v>
      </c>
      <c r="W66" s="437" t="s">
        <v>1722</v>
      </c>
      <c r="X66" s="440">
        <v>0.12075887517842072</v>
      </c>
      <c r="Y66" s="336">
        <v>1</v>
      </c>
      <c r="Z66" s="337">
        <v>1.05</v>
      </c>
      <c r="AA66" s="432" t="s">
        <v>1722</v>
      </c>
      <c r="AB66" s="749"/>
      <c r="AC66" s="336">
        <v>1</v>
      </c>
      <c r="AD66" s="337">
        <v>1.05</v>
      </c>
      <c r="AE66" s="437" t="s">
        <v>1715</v>
      </c>
      <c r="AF66" s="517"/>
    </row>
    <row r="67" spans="1:32" ht="24">
      <c r="A67" s="333">
        <v>261979</v>
      </c>
      <c r="B67" s="216"/>
      <c r="C67" s="165"/>
      <c r="D67" s="515">
        <v>5</v>
      </c>
      <c r="E67" s="343" t="s">
        <v>98</v>
      </c>
      <c r="F67" s="437" t="s">
        <v>1181</v>
      </c>
      <c r="G67" s="438" t="s">
        <v>154</v>
      </c>
      <c r="H67" s="455" t="s">
        <v>98</v>
      </c>
      <c r="I67" s="455" t="s">
        <v>98</v>
      </c>
      <c r="J67" s="336">
        <v>0</v>
      </c>
      <c r="K67" s="438" t="s">
        <v>96</v>
      </c>
      <c r="L67" s="440">
        <v>3.1196073780167435E-2</v>
      </c>
      <c r="M67" s="336">
        <v>1</v>
      </c>
      <c r="N67" s="337">
        <v>1.05</v>
      </c>
      <c r="O67" s="437" t="s">
        <v>1717</v>
      </c>
      <c r="P67" s="440">
        <v>2.8544317705765983E-2</v>
      </c>
      <c r="Q67" s="336">
        <v>1</v>
      </c>
      <c r="R67" s="337">
        <v>1.05</v>
      </c>
      <c r="S67" s="437" t="s">
        <v>1717</v>
      </c>
      <c r="T67" s="440">
        <v>3.5714652757222472E-2</v>
      </c>
      <c r="U67" s="336">
        <v>1</v>
      </c>
      <c r="V67" s="337">
        <v>1.05</v>
      </c>
      <c r="W67" s="437" t="s">
        <v>1722</v>
      </c>
      <c r="X67" s="440">
        <v>3.6249020347657271E-2</v>
      </c>
      <c r="Y67" s="336">
        <v>1</v>
      </c>
      <c r="Z67" s="337">
        <v>1.05</v>
      </c>
      <c r="AA67" s="432" t="s">
        <v>1722</v>
      </c>
      <c r="AB67" s="749"/>
      <c r="AC67" s="336">
        <v>1</v>
      </c>
      <c r="AD67" s="337">
        <v>1.05</v>
      </c>
      <c r="AE67" s="437" t="s">
        <v>1715</v>
      </c>
      <c r="AF67" s="517"/>
    </row>
    <row r="68" spans="1:32" ht="24">
      <c r="A68" s="333">
        <v>261777</v>
      </c>
      <c r="B68" s="216"/>
      <c r="C68" s="165"/>
      <c r="D68" s="515">
        <v>5</v>
      </c>
      <c r="E68" s="343" t="s">
        <v>98</v>
      </c>
      <c r="F68" s="437" t="s">
        <v>1764</v>
      </c>
      <c r="G68" s="438" t="s">
        <v>154</v>
      </c>
      <c r="H68" s="455" t="s">
        <v>98</v>
      </c>
      <c r="I68" s="455" t="s">
        <v>98</v>
      </c>
      <c r="J68" s="336">
        <v>0</v>
      </c>
      <c r="K68" s="438" t="s">
        <v>96</v>
      </c>
      <c r="L68" s="440">
        <v>1.0398691260055812E-2</v>
      </c>
      <c r="M68" s="336">
        <v>1</v>
      </c>
      <c r="N68" s="337">
        <v>1.05</v>
      </c>
      <c r="O68" s="437" t="s">
        <v>1717</v>
      </c>
      <c r="P68" s="440">
        <v>9.5147725685886617E-3</v>
      </c>
      <c r="Q68" s="336">
        <v>1</v>
      </c>
      <c r="R68" s="337">
        <v>1.05</v>
      </c>
      <c r="S68" s="437" t="s">
        <v>1717</v>
      </c>
      <c r="T68" s="440">
        <v>1.1904884252407492E-2</v>
      </c>
      <c r="U68" s="336">
        <v>1</v>
      </c>
      <c r="V68" s="337">
        <v>1.05</v>
      </c>
      <c r="W68" s="437" t="s">
        <v>1722</v>
      </c>
      <c r="X68" s="440">
        <v>1.3102055547346003E-2</v>
      </c>
      <c r="Y68" s="336">
        <v>1</v>
      </c>
      <c r="Z68" s="337">
        <v>1.05</v>
      </c>
      <c r="AA68" s="432" t="s">
        <v>1722</v>
      </c>
      <c r="AB68" s="749"/>
      <c r="AC68" s="336">
        <v>1</v>
      </c>
      <c r="AD68" s="337">
        <v>1.05</v>
      </c>
      <c r="AE68" s="437" t="s">
        <v>1715</v>
      </c>
      <c r="AF68" s="517"/>
    </row>
    <row r="69" spans="1:32" ht="36">
      <c r="A69" s="330">
        <v>269445</v>
      </c>
      <c r="B69" s="331" t="s">
        <v>1765</v>
      </c>
      <c r="C69" s="88"/>
      <c r="D69" s="340">
        <v>5</v>
      </c>
      <c r="E69" s="341" t="s">
        <v>98</v>
      </c>
      <c r="F69" s="432" t="s">
        <v>682</v>
      </c>
      <c r="G69" s="433" t="s">
        <v>93</v>
      </c>
      <c r="H69" s="434" t="s">
        <v>98</v>
      </c>
      <c r="I69" s="434" t="s">
        <v>98</v>
      </c>
      <c r="J69" s="94">
        <v>0</v>
      </c>
      <c r="K69" s="433" t="s">
        <v>96</v>
      </c>
      <c r="L69" s="440">
        <v>0.18568999999999999</v>
      </c>
      <c r="M69" s="95">
        <v>1</v>
      </c>
      <c r="N69" s="96">
        <v>1.2354522921220721</v>
      </c>
      <c r="O69" s="437" t="s">
        <v>1766</v>
      </c>
      <c r="P69" s="440">
        <v>4.0190000000000001</v>
      </c>
      <c r="Q69" s="95">
        <v>1</v>
      </c>
      <c r="R69" s="96">
        <v>1.2354522921220721</v>
      </c>
      <c r="S69" s="437" t="s">
        <v>1766</v>
      </c>
      <c r="T69" s="440">
        <v>1.1056825393196743</v>
      </c>
      <c r="U69" s="95">
        <v>1</v>
      </c>
      <c r="V69" s="96">
        <v>1.2354522921220721</v>
      </c>
      <c r="W69" s="437" t="s">
        <v>1767</v>
      </c>
      <c r="X69" s="440">
        <v>8.1432807155227902</v>
      </c>
      <c r="Y69" s="95">
        <v>1</v>
      </c>
      <c r="Z69" s="96">
        <v>1.2354522921220721</v>
      </c>
      <c r="AA69" s="432" t="s">
        <v>1767</v>
      </c>
      <c r="AB69" s="462"/>
      <c r="AC69" s="336">
        <v>1</v>
      </c>
      <c r="AD69" s="337">
        <v>1.2354522921220721</v>
      </c>
      <c r="AE69" s="437" t="s">
        <v>1768</v>
      </c>
      <c r="AF69" s="206"/>
    </row>
    <row r="70" spans="1:32" ht="24">
      <c r="A70" s="333">
        <v>269423</v>
      </c>
      <c r="B70" s="216"/>
      <c r="C70" s="165"/>
      <c r="D70" s="515">
        <v>5</v>
      </c>
      <c r="E70" s="343" t="s">
        <v>98</v>
      </c>
      <c r="F70" s="437" t="s">
        <v>681</v>
      </c>
      <c r="G70" s="438" t="s">
        <v>93</v>
      </c>
      <c r="H70" s="455" t="s">
        <v>98</v>
      </c>
      <c r="I70" s="455" t="s">
        <v>98</v>
      </c>
      <c r="J70" s="336">
        <v>0</v>
      </c>
      <c r="K70" s="438" t="s">
        <v>96</v>
      </c>
      <c r="L70" s="440">
        <v>0</v>
      </c>
      <c r="M70" s="336">
        <v>1</v>
      </c>
      <c r="N70" s="337">
        <v>1.05</v>
      </c>
      <c r="O70" s="437" t="s">
        <v>1766</v>
      </c>
      <c r="P70" s="440">
        <v>1.254</v>
      </c>
      <c r="Q70" s="336">
        <v>1</v>
      </c>
      <c r="R70" s="337">
        <v>1.05</v>
      </c>
      <c r="S70" s="437" t="s">
        <v>1766</v>
      </c>
      <c r="T70" s="440">
        <v>0.16133268036878903</v>
      </c>
      <c r="U70" s="336">
        <v>1</v>
      </c>
      <c r="V70" s="337">
        <v>1.05</v>
      </c>
      <c r="W70" s="437" t="s">
        <v>1767</v>
      </c>
      <c r="X70" s="440">
        <v>0.5848067490898079</v>
      </c>
      <c r="Y70" s="336">
        <v>1</v>
      </c>
      <c r="Z70" s="337">
        <v>1.05</v>
      </c>
      <c r="AA70" s="432" t="s">
        <v>1767</v>
      </c>
      <c r="AB70" s="749"/>
      <c r="AC70" s="336">
        <v>1</v>
      </c>
      <c r="AD70" s="337">
        <v>1.05</v>
      </c>
      <c r="AE70" s="437" t="s">
        <v>1715</v>
      </c>
      <c r="AF70" s="517"/>
    </row>
    <row r="71" spans="1:32" ht="24">
      <c r="A71" s="333">
        <v>263013</v>
      </c>
      <c r="B71" s="216"/>
      <c r="C71" s="165"/>
      <c r="D71" s="515">
        <v>5</v>
      </c>
      <c r="E71" s="343" t="s">
        <v>98</v>
      </c>
      <c r="F71" s="437" t="s">
        <v>1769</v>
      </c>
      <c r="G71" s="438" t="s">
        <v>103</v>
      </c>
      <c r="H71" s="455" t="s">
        <v>98</v>
      </c>
      <c r="I71" s="455" t="s">
        <v>98</v>
      </c>
      <c r="J71" s="336">
        <v>0</v>
      </c>
      <c r="K71" s="438" t="s">
        <v>96</v>
      </c>
      <c r="L71" s="440">
        <v>0</v>
      </c>
      <c r="M71" s="336">
        <v>1</v>
      </c>
      <c r="N71" s="337">
        <v>1.05</v>
      </c>
      <c r="O71" s="437" t="s">
        <v>1770</v>
      </c>
      <c r="P71" s="440">
        <v>0</v>
      </c>
      <c r="Q71" s="336">
        <v>1</v>
      </c>
      <c r="R71" s="337">
        <v>1.05</v>
      </c>
      <c r="S71" s="437" t="s">
        <v>1770</v>
      </c>
      <c r="T71" s="440">
        <v>1.2673344530900394E-2</v>
      </c>
      <c r="U71" s="336">
        <v>1</v>
      </c>
      <c r="V71" s="337">
        <v>1.05</v>
      </c>
      <c r="W71" s="437" t="s">
        <v>1767</v>
      </c>
      <c r="X71" s="440">
        <v>7.7663744462448156E-2</v>
      </c>
      <c r="Y71" s="336">
        <v>1</v>
      </c>
      <c r="Z71" s="337">
        <v>1.05</v>
      </c>
      <c r="AA71" s="432" t="s">
        <v>1767</v>
      </c>
      <c r="AB71" s="749"/>
      <c r="AC71" s="336">
        <v>1</v>
      </c>
      <c r="AD71" s="337">
        <v>1.05</v>
      </c>
      <c r="AE71" s="437" t="s">
        <v>1715</v>
      </c>
      <c r="AF71" s="517"/>
    </row>
    <row r="72" spans="1:32" ht="36">
      <c r="A72" s="330">
        <v>269435</v>
      </c>
      <c r="B72" s="331" t="s">
        <v>529</v>
      </c>
      <c r="C72" s="88"/>
      <c r="D72" s="340">
        <v>5</v>
      </c>
      <c r="E72" s="341" t="s">
        <v>98</v>
      </c>
      <c r="F72" s="432" t="s">
        <v>1194</v>
      </c>
      <c r="G72" s="433" t="s">
        <v>93</v>
      </c>
      <c r="H72" s="434" t="s">
        <v>98</v>
      </c>
      <c r="I72" s="434" t="s">
        <v>98</v>
      </c>
      <c r="J72" s="94">
        <v>0</v>
      </c>
      <c r="K72" s="433" t="s">
        <v>96</v>
      </c>
      <c r="L72" s="440">
        <v>2.1250399999999998</v>
      </c>
      <c r="M72" s="95">
        <v>1</v>
      </c>
      <c r="N72" s="96">
        <v>1.2354522921220721</v>
      </c>
      <c r="O72" s="437" t="s">
        <v>1766</v>
      </c>
      <c r="P72" s="440">
        <v>1.5320400000000001</v>
      </c>
      <c r="Q72" s="95">
        <v>1</v>
      </c>
      <c r="R72" s="96">
        <v>1.2354522921220721</v>
      </c>
      <c r="S72" s="437" t="s">
        <v>1766</v>
      </c>
      <c r="T72" s="440">
        <v>0.20184102672068371</v>
      </c>
      <c r="U72" s="95">
        <v>1</v>
      </c>
      <c r="V72" s="96">
        <v>1.2354522921220721</v>
      </c>
      <c r="W72" s="432" t="s">
        <v>1767</v>
      </c>
      <c r="X72" s="440">
        <v>11.826927689193127</v>
      </c>
      <c r="Y72" s="95">
        <v>1</v>
      </c>
      <c r="Z72" s="96">
        <v>1.2354522921220721</v>
      </c>
      <c r="AA72" s="432" t="s">
        <v>1767</v>
      </c>
      <c r="AB72" s="462"/>
      <c r="AC72" s="336">
        <v>1</v>
      </c>
      <c r="AD72" s="337">
        <v>1.2354522921220721</v>
      </c>
      <c r="AE72" s="437" t="s">
        <v>1768</v>
      </c>
      <c r="AF72" s="206"/>
    </row>
    <row r="73" spans="1:32" ht="24">
      <c r="A73" s="333">
        <v>267816</v>
      </c>
      <c r="B73" s="216"/>
      <c r="C73" s="165"/>
      <c r="D73" s="515">
        <v>5</v>
      </c>
      <c r="E73" s="343" t="s">
        <v>98</v>
      </c>
      <c r="F73" s="437" t="s">
        <v>1658</v>
      </c>
      <c r="G73" s="438" t="s">
        <v>93</v>
      </c>
      <c r="H73" s="455" t="s">
        <v>98</v>
      </c>
      <c r="I73" s="455" t="s">
        <v>98</v>
      </c>
      <c r="J73" s="336">
        <v>0</v>
      </c>
      <c r="K73" s="438" t="s">
        <v>96</v>
      </c>
      <c r="L73" s="440">
        <v>0</v>
      </c>
      <c r="M73" s="336">
        <v>1</v>
      </c>
      <c r="N73" s="337">
        <v>1.05</v>
      </c>
      <c r="O73" s="437" t="s">
        <v>1715</v>
      </c>
      <c r="P73" s="440">
        <v>0</v>
      </c>
      <c r="Q73" s="336">
        <v>1</v>
      </c>
      <c r="R73" s="337">
        <v>1.05</v>
      </c>
      <c r="S73" s="437" t="s">
        <v>1715</v>
      </c>
      <c r="T73" s="440">
        <v>2.983549349122696E-2</v>
      </c>
      <c r="U73" s="336">
        <v>1</v>
      </c>
      <c r="V73" s="337">
        <v>1.05</v>
      </c>
      <c r="W73" s="437" t="s">
        <v>1767</v>
      </c>
      <c r="X73" s="440">
        <v>1.2088923383023604</v>
      </c>
      <c r="Y73" s="336">
        <v>1</v>
      </c>
      <c r="Z73" s="337">
        <v>1.05</v>
      </c>
      <c r="AA73" s="432" t="s">
        <v>1767</v>
      </c>
      <c r="AB73" s="749"/>
      <c r="AC73" s="336">
        <v>1</v>
      </c>
      <c r="AD73" s="337">
        <v>1.05</v>
      </c>
      <c r="AE73" s="437" t="s">
        <v>1715</v>
      </c>
      <c r="AF73" s="517"/>
    </row>
    <row r="74" spans="1:32" ht="24">
      <c r="A74" s="333">
        <v>269433</v>
      </c>
      <c r="B74" s="216"/>
      <c r="C74" s="165"/>
      <c r="D74" s="515">
        <v>5</v>
      </c>
      <c r="E74" s="343" t="s">
        <v>98</v>
      </c>
      <c r="F74" s="437" t="s">
        <v>1771</v>
      </c>
      <c r="G74" s="438" t="s">
        <v>93</v>
      </c>
      <c r="H74" s="455" t="s">
        <v>98</v>
      </c>
      <c r="I74" s="455" t="s">
        <v>98</v>
      </c>
      <c r="J74" s="336">
        <v>0</v>
      </c>
      <c r="K74" s="438" t="s">
        <v>96</v>
      </c>
      <c r="L74" s="440">
        <v>3.2611000000000003</v>
      </c>
      <c r="M74" s="336">
        <v>1</v>
      </c>
      <c r="N74" s="337">
        <v>1.05</v>
      </c>
      <c r="O74" s="437" t="s">
        <v>1766</v>
      </c>
      <c r="P74" s="440">
        <v>1.7306999999999999</v>
      </c>
      <c r="Q74" s="336">
        <v>1</v>
      </c>
      <c r="R74" s="337">
        <v>1.05</v>
      </c>
      <c r="S74" s="437" t="s">
        <v>1766</v>
      </c>
      <c r="T74" s="440">
        <v>1.5541525546683974</v>
      </c>
      <c r="U74" s="336">
        <v>1</v>
      </c>
      <c r="V74" s="337">
        <v>1.05</v>
      </c>
      <c r="W74" s="437" t="s">
        <v>1767</v>
      </c>
      <c r="X74" s="440">
        <v>3.4480791045039165</v>
      </c>
      <c r="Y74" s="336">
        <v>1</v>
      </c>
      <c r="Z74" s="337">
        <v>1.05</v>
      </c>
      <c r="AA74" s="432" t="s">
        <v>1767</v>
      </c>
      <c r="AB74" s="749"/>
      <c r="AC74" s="336">
        <v>1</v>
      </c>
      <c r="AD74" s="337">
        <v>1.05</v>
      </c>
      <c r="AE74" s="437" t="s">
        <v>1715</v>
      </c>
      <c r="AF74" s="517"/>
    </row>
    <row r="75" spans="1:32" ht="24">
      <c r="A75" s="333">
        <v>595893</v>
      </c>
      <c r="B75" s="216"/>
      <c r="C75" s="165"/>
      <c r="D75" s="515">
        <v>5</v>
      </c>
      <c r="E75" s="343" t="s">
        <v>98</v>
      </c>
      <c r="F75" s="437" t="s">
        <v>1772</v>
      </c>
      <c r="G75" s="438" t="s">
        <v>154</v>
      </c>
      <c r="H75" s="455" t="s">
        <v>98</v>
      </c>
      <c r="I75" s="455" t="s">
        <v>98</v>
      </c>
      <c r="J75" s="336">
        <v>0</v>
      </c>
      <c r="K75" s="438" t="s">
        <v>96</v>
      </c>
      <c r="L75" s="440">
        <v>3.1604000000000001</v>
      </c>
      <c r="M75" s="336">
        <v>1</v>
      </c>
      <c r="N75" s="337">
        <v>1.05</v>
      </c>
      <c r="O75" s="437" t="s">
        <v>1766</v>
      </c>
      <c r="P75" s="440">
        <v>5.7383000000000006</v>
      </c>
      <c r="Q75" s="336">
        <v>1</v>
      </c>
      <c r="R75" s="337">
        <v>1.05</v>
      </c>
      <c r="S75" s="437" t="s">
        <v>1766</v>
      </c>
      <c r="T75" s="440">
        <v>1.9300000000000001E-2</v>
      </c>
      <c r="U75" s="336">
        <v>1</v>
      </c>
      <c r="V75" s="337">
        <v>1.05</v>
      </c>
      <c r="W75" s="437" t="s">
        <v>1767</v>
      </c>
      <c r="X75" s="440">
        <v>21.802870548084861</v>
      </c>
      <c r="Y75" s="336">
        <v>1</v>
      </c>
      <c r="Z75" s="337">
        <v>1.05</v>
      </c>
      <c r="AA75" s="432" t="s">
        <v>1767</v>
      </c>
      <c r="AB75" s="749"/>
      <c r="AC75" s="336">
        <v>1</v>
      </c>
      <c r="AD75" s="337">
        <v>1.05</v>
      </c>
      <c r="AE75" s="437" t="s">
        <v>1715</v>
      </c>
      <c r="AF75" s="530"/>
    </row>
    <row r="76" spans="1:32" ht="24">
      <c r="A76" s="333">
        <v>268933</v>
      </c>
      <c r="B76" s="216"/>
      <c r="C76" s="165"/>
      <c r="D76" s="515">
        <v>5</v>
      </c>
      <c r="E76" s="343" t="s">
        <v>98</v>
      </c>
      <c r="F76" s="437" t="s">
        <v>683</v>
      </c>
      <c r="G76" s="438" t="s">
        <v>93</v>
      </c>
      <c r="H76" s="455" t="s">
        <v>98</v>
      </c>
      <c r="I76" s="455" t="s">
        <v>98</v>
      </c>
      <c r="J76" s="336">
        <v>0</v>
      </c>
      <c r="K76" s="438" t="s">
        <v>679</v>
      </c>
      <c r="L76" s="440">
        <v>4.6422499999999998E-2</v>
      </c>
      <c r="M76" s="336">
        <v>1</v>
      </c>
      <c r="N76" s="337">
        <v>1.05</v>
      </c>
      <c r="O76" s="437" t="s">
        <v>1766</v>
      </c>
      <c r="P76" s="440">
        <v>1.00475</v>
      </c>
      <c r="Q76" s="336">
        <v>1</v>
      </c>
      <c r="R76" s="337">
        <v>1.05</v>
      </c>
      <c r="S76" s="437" t="s">
        <v>1766</v>
      </c>
      <c r="T76" s="440">
        <v>0.27642063482991858</v>
      </c>
      <c r="U76" s="336">
        <v>1</v>
      </c>
      <c r="V76" s="337">
        <v>1.05</v>
      </c>
      <c r="W76" s="437" t="s">
        <v>1767</v>
      </c>
      <c r="X76" s="440">
        <v>2.0358201788806976</v>
      </c>
      <c r="Y76" s="336">
        <v>1</v>
      </c>
      <c r="Z76" s="337">
        <v>1.05</v>
      </c>
      <c r="AA76" s="432" t="s">
        <v>1767</v>
      </c>
      <c r="AB76" s="749"/>
      <c r="AC76" s="336">
        <v>1</v>
      </c>
      <c r="AD76" s="337">
        <v>1.05</v>
      </c>
      <c r="AE76" s="437" t="s">
        <v>1715</v>
      </c>
      <c r="AF76" s="517"/>
    </row>
    <row r="77" spans="1:32" ht="24">
      <c r="A77" s="333">
        <v>256778</v>
      </c>
      <c r="B77" s="216" t="s">
        <v>529</v>
      </c>
      <c r="C77" s="165"/>
      <c r="D77" s="515">
        <v>5</v>
      </c>
      <c r="E77" s="343" t="s">
        <v>98</v>
      </c>
      <c r="F77" s="437" t="s">
        <v>1773</v>
      </c>
      <c r="G77" s="438" t="s">
        <v>93</v>
      </c>
      <c r="H77" s="455" t="s">
        <v>98</v>
      </c>
      <c r="I77" s="455" t="s">
        <v>98</v>
      </c>
      <c r="J77" s="336">
        <v>0</v>
      </c>
      <c r="K77" s="438" t="s">
        <v>96</v>
      </c>
      <c r="L77" s="440">
        <v>0</v>
      </c>
      <c r="M77" s="336">
        <v>1</v>
      </c>
      <c r="N77" s="337">
        <v>1.05</v>
      </c>
      <c r="O77" s="437" t="s">
        <v>1766</v>
      </c>
      <c r="P77" s="440">
        <v>2.5000000000000001E-2</v>
      </c>
      <c r="Q77" s="336">
        <v>1</v>
      </c>
      <c r="R77" s="337">
        <v>1.05</v>
      </c>
      <c r="S77" s="437" t="s">
        <v>1766</v>
      </c>
      <c r="T77" s="440">
        <v>0</v>
      </c>
      <c r="U77" s="336">
        <v>1</v>
      </c>
      <c r="V77" s="337">
        <v>1.05</v>
      </c>
      <c r="W77" s="437"/>
      <c r="X77" s="440">
        <v>0</v>
      </c>
      <c r="Y77" s="336">
        <v>1</v>
      </c>
      <c r="Z77" s="337">
        <v>1.05</v>
      </c>
      <c r="AA77" s="432" t="s">
        <v>1715</v>
      </c>
      <c r="AB77" s="749"/>
      <c r="AC77" s="336">
        <v>1</v>
      </c>
      <c r="AD77" s="337">
        <v>1.05</v>
      </c>
      <c r="AE77" s="437" t="s">
        <v>1715</v>
      </c>
      <c r="AF77" s="517"/>
    </row>
    <row r="78" spans="1:32" ht="36">
      <c r="A78" s="330">
        <v>269355</v>
      </c>
      <c r="B78" s="331" t="s">
        <v>529</v>
      </c>
      <c r="C78" s="88"/>
      <c r="D78" s="340">
        <v>5</v>
      </c>
      <c r="E78" s="341" t="s">
        <v>98</v>
      </c>
      <c r="F78" s="432" t="s">
        <v>1620</v>
      </c>
      <c r="G78" s="433" t="s">
        <v>93</v>
      </c>
      <c r="H78" s="434" t="s">
        <v>98</v>
      </c>
      <c r="I78" s="434" t="s">
        <v>98</v>
      </c>
      <c r="J78" s="94">
        <v>0</v>
      </c>
      <c r="K78" s="433" t="s">
        <v>96</v>
      </c>
      <c r="L78" s="440">
        <v>0</v>
      </c>
      <c r="M78" s="95">
        <v>1</v>
      </c>
      <c r="N78" s="96">
        <v>1.2354522921220721</v>
      </c>
      <c r="O78" s="437" t="s">
        <v>1766</v>
      </c>
      <c r="P78" s="440">
        <v>2.5350000000000001</v>
      </c>
      <c r="Q78" s="95">
        <v>1</v>
      </c>
      <c r="R78" s="96">
        <v>1.2354522921220721</v>
      </c>
      <c r="S78" s="437" t="s">
        <v>1766</v>
      </c>
      <c r="T78" s="440">
        <v>0</v>
      </c>
      <c r="U78" s="95">
        <v>1</v>
      </c>
      <c r="V78" s="96">
        <v>1.2354522921220721</v>
      </c>
      <c r="W78" s="432"/>
      <c r="X78" s="440">
        <v>0</v>
      </c>
      <c r="Y78" s="95">
        <v>1</v>
      </c>
      <c r="Z78" s="96">
        <v>1.2354522921220721</v>
      </c>
      <c r="AA78" s="432" t="s">
        <v>1715</v>
      </c>
      <c r="AB78" s="462"/>
      <c r="AC78" s="336">
        <v>1</v>
      </c>
      <c r="AD78" s="337">
        <v>1.2354522921220721</v>
      </c>
      <c r="AE78" s="437" t="s">
        <v>1768</v>
      </c>
      <c r="AF78" s="206"/>
    </row>
    <row r="79" spans="1:32" ht="24">
      <c r="A79" s="330">
        <v>265171</v>
      </c>
      <c r="B79" s="331"/>
      <c r="C79" s="88"/>
      <c r="D79" s="340">
        <v>5</v>
      </c>
      <c r="E79" s="341" t="s">
        <v>98</v>
      </c>
      <c r="F79" s="432" t="s">
        <v>962</v>
      </c>
      <c r="G79" s="433" t="s">
        <v>93</v>
      </c>
      <c r="H79" s="434" t="s">
        <v>98</v>
      </c>
      <c r="I79" s="434" t="s">
        <v>98</v>
      </c>
      <c r="J79" s="94">
        <v>0</v>
      </c>
      <c r="K79" s="433" t="s">
        <v>96</v>
      </c>
      <c r="L79" s="440">
        <v>0.18568999999999999</v>
      </c>
      <c r="M79" s="95">
        <v>1</v>
      </c>
      <c r="N79" s="96">
        <v>1.3643195182095749</v>
      </c>
      <c r="O79" s="437" t="s">
        <v>1766</v>
      </c>
      <c r="P79" s="440">
        <v>4.0190000000000001</v>
      </c>
      <c r="Q79" s="95">
        <v>1</v>
      </c>
      <c r="R79" s="96">
        <v>1.3643195182095749</v>
      </c>
      <c r="S79" s="437" t="s">
        <v>1766</v>
      </c>
      <c r="T79" s="440">
        <v>1.1056825393196743</v>
      </c>
      <c r="U79" s="95">
        <v>1</v>
      </c>
      <c r="V79" s="96">
        <v>1.3643195182095749</v>
      </c>
      <c r="W79" s="432" t="s">
        <v>1767</v>
      </c>
      <c r="X79" s="440">
        <v>8.1432807155227902</v>
      </c>
      <c r="Y79" s="95">
        <v>1</v>
      </c>
      <c r="Z79" s="96">
        <v>1.3643195182095749</v>
      </c>
      <c r="AA79" s="432" t="s">
        <v>1767</v>
      </c>
      <c r="AB79" s="462"/>
      <c r="AC79" s="336">
        <v>1</v>
      </c>
      <c r="AD79" s="337">
        <v>1.3643195182095749</v>
      </c>
      <c r="AE79" s="437" t="s">
        <v>1774</v>
      </c>
      <c r="AF79" s="206"/>
    </row>
    <row r="80" spans="1:32" ht="24">
      <c r="A80" s="333">
        <v>260950</v>
      </c>
      <c r="B80" s="216"/>
      <c r="C80" s="165"/>
      <c r="D80" s="515">
        <v>5</v>
      </c>
      <c r="E80" s="343" t="s">
        <v>98</v>
      </c>
      <c r="F80" s="437" t="s">
        <v>1775</v>
      </c>
      <c r="G80" s="438" t="s">
        <v>93</v>
      </c>
      <c r="H80" s="455" t="s">
        <v>98</v>
      </c>
      <c r="I80" s="455" t="s">
        <v>98</v>
      </c>
      <c r="J80" s="336">
        <v>0</v>
      </c>
      <c r="K80" s="438" t="s">
        <v>96</v>
      </c>
      <c r="L80" s="440">
        <v>0</v>
      </c>
      <c r="M80" s="336">
        <v>1</v>
      </c>
      <c r="N80" s="337">
        <v>1.05</v>
      </c>
      <c r="O80" s="437" t="s">
        <v>1766</v>
      </c>
      <c r="P80" s="440">
        <v>0.24199999999999999</v>
      </c>
      <c r="Q80" s="336">
        <v>1</v>
      </c>
      <c r="R80" s="337">
        <v>1.05</v>
      </c>
      <c r="S80" s="437" t="s">
        <v>1766</v>
      </c>
      <c r="T80" s="440">
        <v>9.6402528766610984E-2</v>
      </c>
      <c r="U80" s="336">
        <v>1</v>
      </c>
      <c r="V80" s="337">
        <v>1.05</v>
      </c>
      <c r="W80" s="437" t="s">
        <v>1767</v>
      </c>
      <c r="X80" s="440">
        <v>0.51268600536663078</v>
      </c>
      <c r="Y80" s="336">
        <v>1</v>
      </c>
      <c r="Z80" s="337">
        <v>1.05</v>
      </c>
      <c r="AA80" s="432" t="s">
        <v>1767</v>
      </c>
      <c r="AB80" s="749"/>
      <c r="AC80" s="336">
        <v>1</v>
      </c>
      <c r="AD80" s="337">
        <v>1.05</v>
      </c>
      <c r="AE80" s="437" t="s">
        <v>1715</v>
      </c>
      <c r="AF80" s="517"/>
    </row>
    <row r="81" spans="1:32" ht="24">
      <c r="A81" s="333">
        <v>265177</v>
      </c>
      <c r="B81" s="216"/>
      <c r="C81" s="165"/>
      <c r="D81" s="515">
        <v>5</v>
      </c>
      <c r="E81" s="343" t="s">
        <v>98</v>
      </c>
      <c r="F81" s="437" t="s">
        <v>1776</v>
      </c>
      <c r="G81" s="438" t="s">
        <v>93</v>
      </c>
      <c r="H81" s="455" t="s">
        <v>98</v>
      </c>
      <c r="I81" s="455" t="s">
        <v>98</v>
      </c>
      <c r="J81" s="336">
        <v>0</v>
      </c>
      <c r="K81" s="438" t="s">
        <v>96</v>
      </c>
      <c r="L81" s="440">
        <v>9.7790999999999997</v>
      </c>
      <c r="M81" s="336">
        <v>1</v>
      </c>
      <c r="N81" s="337">
        <v>1.05</v>
      </c>
      <c r="O81" s="437" t="s">
        <v>1766</v>
      </c>
      <c r="P81" s="440">
        <v>0</v>
      </c>
      <c r="Q81" s="336">
        <v>1</v>
      </c>
      <c r="R81" s="337">
        <v>1.05</v>
      </c>
      <c r="S81" s="437" t="s">
        <v>1766</v>
      </c>
      <c r="T81" s="440">
        <v>11.244398934794388</v>
      </c>
      <c r="U81" s="336">
        <v>1</v>
      </c>
      <c r="V81" s="337">
        <v>1.05</v>
      </c>
      <c r="W81" s="437" t="s">
        <v>1767</v>
      </c>
      <c r="X81" s="440">
        <v>40.75925826989571</v>
      </c>
      <c r="Y81" s="336">
        <v>1</v>
      </c>
      <c r="Z81" s="337">
        <v>1.05</v>
      </c>
      <c r="AA81" s="432" t="s">
        <v>1767</v>
      </c>
      <c r="AB81" s="749"/>
      <c r="AC81" s="336">
        <v>1</v>
      </c>
      <c r="AD81" s="337">
        <v>1.05</v>
      </c>
      <c r="AE81" s="437" t="s">
        <v>1715</v>
      </c>
      <c r="AF81" s="517"/>
    </row>
    <row r="82" spans="1:32" ht="24">
      <c r="A82" s="333">
        <v>269223</v>
      </c>
      <c r="B82" s="216"/>
      <c r="C82" s="165"/>
      <c r="D82" s="515">
        <v>5</v>
      </c>
      <c r="E82" s="343" t="s">
        <v>98</v>
      </c>
      <c r="F82" s="437" t="s">
        <v>318</v>
      </c>
      <c r="G82" s="438" t="s">
        <v>93</v>
      </c>
      <c r="H82" s="455" t="s">
        <v>98</v>
      </c>
      <c r="I82" s="455" t="s">
        <v>98</v>
      </c>
      <c r="J82" s="336">
        <v>0</v>
      </c>
      <c r="K82" s="438" t="s">
        <v>96</v>
      </c>
      <c r="L82" s="440">
        <v>1.1360704677732378</v>
      </c>
      <c r="M82" s="336">
        <v>1</v>
      </c>
      <c r="N82" s="337">
        <v>1.05</v>
      </c>
      <c r="O82" s="437" t="s">
        <v>1777</v>
      </c>
      <c r="P82" s="440">
        <v>1.0395012076447085</v>
      </c>
      <c r="Q82" s="336">
        <v>1</v>
      </c>
      <c r="R82" s="337">
        <v>1.05</v>
      </c>
      <c r="S82" s="437" t="s">
        <v>1777</v>
      </c>
      <c r="T82" s="440">
        <v>1.300624</v>
      </c>
      <c r="U82" s="336">
        <v>1</v>
      </c>
      <c r="V82" s="337">
        <v>1.05</v>
      </c>
      <c r="W82" s="437" t="s">
        <v>1716</v>
      </c>
      <c r="X82" s="440">
        <v>20.497500000000002</v>
      </c>
      <c r="Y82" s="336">
        <v>1</v>
      </c>
      <c r="Z82" s="337">
        <v>1.05</v>
      </c>
      <c r="AA82" s="432" t="s">
        <v>1716</v>
      </c>
      <c r="AB82" s="749"/>
      <c r="AC82" s="336">
        <v>1</v>
      </c>
      <c r="AD82" s="337">
        <v>1.05</v>
      </c>
      <c r="AE82" s="437" t="s">
        <v>1715</v>
      </c>
      <c r="AF82" s="517"/>
    </row>
    <row r="83" spans="1:32" ht="24">
      <c r="A83" s="333">
        <v>269253</v>
      </c>
      <c r="B83" s="216"/>
      <c r="C83" s="165"/>
      <c r="D83" s="515">
        <v>5</v>
      </c>
      <c r="E83" s="343" t="s">
        <v>98</v>
      </c>
      <c r="F83" s="437" t="s">
        <v>583</v>
      </c>
      <c r="G83" s="438" t="s">
        <v>93</v>
      </c>
      <c r="H83" s="455" t="s">
        <v>98</v>
      </c>
      <c r="I83" s="455" t="s">
        <v>98</v>
      </c>
      <c r="J83" s="336">
        <v>0</v>
      </c>
      <c r="K83" s="438" t="s">
        <v>96</v>
      </c>
      <c r="L83" s="440">
        <v>0</v>
      </c>
      <c r="M83" s="336">
        <v>1</v>
      </c>
      <c r="N83" s="337">
        <v>1.05</v>
      </c>
      <c r="O83" s="437" t="s">
        <v>1715</v>
      </c>
      <c r="P83" s="440">
        <v>0</v>
      </c>
      <c r="Q83" s="336">
        <v>1</v>
      </c>
      <c r="R83" s="337">
        <v>1.05</v>
      </c>
      <c r="S83" s="437" t="s">
        <v>1715</v>
      </c>
      <c r="T83" s="440">
        <v>0</v>
      </c>
      <c r="U83" s="336">
        <v>1</v>
      </c>
      <c r="V83" s="337">
        <v>1.05</v>
      </c>
      <c r="W83" s="437" t="s">
        <v>1716</v>
      </c>
      <c r="X83" s="440">
        <v>1.1990000000000001</v>
      </c>
      <c r="Y83" s="336">
        <v>1</v>
      </c>
      <c r="Z83" s="337">
        <v>1.05</v>
      </c>
      <c r="AA83" s="432" t="s">
        <v>1716</v>
      </c>
      <c r="AB83" s="749"/>
      <c r="AC83" s="336">
        <v>1</v>
      </c>
      <c r="AD83" s="337">
        <v>1.05</v>
      </c>
      <c r="AE83" s="437" t="s">
        <v>1715</v>
      </c>
      <c r="AF83" s="517"/>
    </row>
    <row r="84" spans="1:32" ht="24">
      <c r="A84" s="333">
        <v>269115</v>
      </c>
      <c r="B84" s="216"/>
      <c r="C84" s="165"/>
      <c r="D84" s="515">
        <v>5</v>
      </c>
      <c r="E84" s="343" t="s">
        <v>98</v>
      </c>
      <c r="F84" s="437" t="s">
        <v>1205</v>
      </c>
      <c r="G84" s="438" t="s">
        <v>154</v>
      </c>
      <c r="H84" s="455" t="s">
        <v>98</v>
      </c>
      <c r="I84" s="455" t="s">
        <v>98</v>
      </c>
      <c r="J84" s="336">
        <v>0</v>
      </c>
      <c r="K84" s="438" t="s">
        <v>96</v>
      </c>
      <c r="L84" s="440">
        <v>0</v>
      </c>
      <c r="M84" s="336">
        <v>1</v>
      </c>
      <c r="N84" s="337">
        <v>1.05</v>
      </c>
      <c r="O84" s="437" t="s">
        <v>1715</v>
      </c>
      <c r="P84" s="440">
        <v>0</v>
      </c>
      <c r="Q84" s="336">
        <v>1</v>
      </c>
      <c r="R84" s="337">
        <v>1.05</v>
      </c>
      <c r="S84" s="437" t="s">
        <v>1715</v>
      </c>
      <c r="T84" s="440">
        <v>0</v>
      </c>
      <c r="U84" s="336">
        <v>1</v>
      </c>
      <c r="V84" s="337">
        <v>1.05</v>
      </c>
      <c r="W84" s="437" t="s">
        <v>1716</v>
      </c>
      <c r="X84" s="440">
        <v>9.6500000000000002E-2</v>
      </c>
      <c r="Y84" s="336">
        <v>1</v>
      </c>
      <c r="Z84" s="337">
        <v>1.05</v>
      </c>
      <c r="AA84" s="432" t="s">
        <v>1716</v>
      </c>
      <c r="AB84" s="749"/>
      <c r="AC84" s="336">
        <v>1</v>
      </c>
      <c r="AD84" s="337">
        <v>1.05</v>
      </c>
      <c r="AE84" s="437" t="s">
        <v>1715</v>
      </c>
      <c r="AF84" s="517"/>
    </row>
    <row r="85" spans="1:32" ht="36">
      <c r="A85" s="330">
        <v>267946</v>
      </c>
      <c r="B85" s="331" t="s">
        <v>592</v>
      </c>
      <c r="C85" s="88"/>
      <c r="D85" s="340">
        <v>5</v>
      </c>
      <c r="E85" s="341" t="s">
        <v>98</v>
      </c>
      <c r="F85" s="432" t="s">
        <v>1778</v>
      </c>
      <c r="G85" s="433" t="s">
        <v>93</v>
      </c>
      <c r="H85" s="434" t="s">
        <v>98</v>
      </c>
      <c r="I85" s="434" t="s">
        <v>98</v>
      </c>
      <c r="J85" s="94">
        <v>1</v>
      </c>
      <c r="K85" s="433" t="s">
        <v>144</v>
      </c>
      <c r="L85" s="440">
        <v>2.461039087840254E-8</v>
      </c>
      <c r="M85" s="95">
        <v>1</v>
      </c>
      <c r="N85" s="96">
        <v>3.0578416614925374</v>
      </c>
      <c r="O85" s="437" t="s">
        <v>1779</v>
      </c>
      <c r="P85" s="440">
        <v>2.2518436808634734E-8</v>
      </c>
      <c r="Q85" s="95">
        <v>1</v>
      </c>
      <c r="R85" s="96">
        <v>3.0578416614925374</v>
      </c>
      <c r="S85" s="437" t="s">
        <v>1779</v>
      </c>
      <c r="T85" s="440">
        <v>2.8175070062837392E-8</v>
      </c>
      <c r="U85" s="95">
        <v>1</v>
      </c>
      <c r="V85" s="96">
        <v>3.0578416614925374</v>
      </c>
      <c r="W85" s="432" t="s">
        <v>1779</v>
      </c>
      <c r="X85" s="440">
        <v>1.348543638537267E-7</v>
      </c>
      <c r="Y85" s="95">
        <v>1</v>
      </c>
      <c r="Z85" s="96">
        <v>3.0578416614925374</v>
      </c>
      <c r="AA85" s="432" t="s">
        <v>1779</v>
      </c>
      <c r="AB85" s="462"/>
      <c r="AC85" s="336">
        <v>1</v>
      </c>
      <c r="AD85" s="337">
        <v>3.0578416614925374</v>
      </c>
      <c r="AE85" s="437" t="s">
        <v>1780</v>
      </c>
      <c r="AF85" s="206"/>
    </row>
    <row r="86" spans="1:32" ht="24">
      <c r="A86" s="330">
        <v>266521</v>
      </c>
      <c r="B86" s="331" t="s">
        <v>491</v>
      </c>
      <c r="C86" s="88"/>
      <c r="D86" s="340">
        <v>5</v>
      </c>
      <c r="E86" s="341" t="s">
        <v>98</v>
      </c>
      <c r="F86" s="432" t="s">
        <v>1781</v>
      </c>
      <c r="G86" s="433" t="s">
        <v>93</v>
      </c>
      <c r="H86" s="434" t="s">
        <v>98</v>
      </c>
      <c r="I86" s="434" t="s">
        <v>98</v>
      </c>
      <c r="J86" s="94">
        <v>0</v>
      </c>
      <c r="K86" s="433" t="s">
        <v>96</v>
      </c>
      <c r="L86" s="440">
        <v>1.559255628573752</v>
      </c>
      <c r="M86" s="95">
        <v>1</v>
      </c>
      <c r="N86" s="96">
        <v>1.2354522921220721</v>
      </c>
      <c r="O86" s="437" t="s">
        <v>1777</v>
      </c>
      <c r="P86" s="440">
        <v>1.6763958873912062</v>
      </c>
      <c r="Q86" s="95">
        <v>1</v>
      </c>
      <c r="R86" s="96">
        <v>1.2354522921220721</v>
      </c>
      <c r="S86" s="437" t="s">
        <v>1777</v>
      </c>
      <c r="T86" s="440">
        <v>1.3809630253743506</v>
      </c>
      <c r="U86" s="95">
        <v>1</v>
      </c>
      <c r="V86" s="96">
        <v>1.2354522921220721</v>
      </c>
      <c r="W86" s="432" t="s">
        <v>1782</v>
      </c>
      <c r="X86" s="440">
        <v>10.155320377140658</v>
      </c>
      <c r="Y86" s="95">
        <v>1</v>
      </c>
      <c r="Z86" s="96">
        <v>1.2354522921220721</v>
      </c>
      <c r="AA86" s="432" t="s">
        <v>1782</v>
      </c>
      <c r="AB86" s="462"/>
      <c r="AC86" s="336">
        <v>1</v>
      </c>
      <c r="AD86" s="337">
        <v>1.2354522921220721</v>
      </c>
      <c r="AE86" s="437" t="s">
        <v>1783</v>
      </c>
      <c r="AF86" s="206"/>
    </row>
    <row r="87" spans="1:32" ht="24">
      <c r="A87" s="330">
        <v>259197</v>
      </c>
      <c r="B87" s="331" t="s">
        <v>529</v>
      </c>
      <c r="C87" s="88"/>
      <c r="D87" s="340">
        <v>5</v>
      </c>
      <c r="E87" s="341" t="s">
        <v>98</v>
      </c>
      <c r="F87" s="432" t="s">
        <v>1784</v>
      </c>
      <c r="G87" s="433" t="s">
        <v>93</v>
      </c>
      <c r="H87" s="434" t="s">
        <v>98</v>
      </c>
      <c r="I87" s="434" t="s">
        <v>98</v>
      </c>
      <c r="J87" s="94">
        <v>0</v>
      </c>
      <c r="K87" s="433" t="s">
        <v>96</v>
      </c>
      <c r="L87" s="440">
        <v>0.79637614371940368</v>
      </c>
      <c r="M87" s="95">
        <v>1</v>
      </c>
      <c r="N87" s="96">
        <v>1.3643195182095749</v>
      </c>
      <c r="O87" s="437" t="s">
        <v>1777</v>
      </c>
      <c r="P87" s="440">
        <v>0.85620450404840709</v>
      </c>
      <c r="Q87" s="95">
        <v>1</v>
      </c>
      <c r="R87" s="96">
        <v>1.3643195182095749</v>
      </c>
      <c r="S87" s="437" t="s">
        <v>1777</v>
      </c>
      <c r="T87" s="440">
        <v>0.70531475956425449</v>
      </c>
      <c r="U87" s="95">
        <v>1</v>
      </c>
      <c r="V87" s="96">
        <v>1.3643195182095749</v>
      </c>
      <c r="W87" s="432" t="s">
        <v>1782</v>
      </c>
      <c r="X87" s="440">
        <v>0</v>
      </c>
      <c r="Y87" s="95">
        <v>1</v>
      </c>
      <c r="Z87" s="96">
        <v>1.3643195182095749</v>
      </c>
      <c r="AA87" s="432" t="s">
        <v>1782</v>
      </c>
      <c r="AB87" s="462"/>
      <c r="AC87" s="336">
        <v>1</v>
      </c>
      <c r="AD87" s="337">
        <v>1.3643195182095749</v>
      </c>
      <c r="AE87" s="437" t="s">
        <v>1774</v>
      </c>
      <c r="AF87" s="206"/>
    </row>
    <row r="88" spans="1:32" ht="24">
      <c r="A88" s="333">
        <v>269335</v>
      </c>
      <c r="B88" s="216"/>
      <c r="C88" s="165"/>
      <c r="D88" s="515">
        <v>5</v>
      </c>
      <c r="E88" s="343" t="s">
        <v>98</v>
      </c>
      <c r="F88" s="437" t="s">
        <v>493</v>
      </c>
      <c r="G88" s="438" t="s">
        <v>93</v>
      </c>
      <c r="H88" s="455" t="s">
        <v>98</v>
      </c>
      <c r="I88" s="455" t="s">
        <v>98</v>
      </c>
      <c r="J88" s="336">
        <v>0</v>
      </c>
      <c r="K88" s="438" t="s">
        <v>144</v>
      </c>
      <c r="L88" s="440">
        <v>2.4125899339583222E-2</v>
      </c>
      <c r="M88" s="336">
        <v>1</v>
      </c>
      <c r="N88" s="337">
        <v>1.05</v>
      </c>
      <c r="O88" s="437" t="s">
        <v>1777</v>
      </c>
      <c r="P88" s="440">
        <v>2.5938375780939837E-2</v>
      </c>
      <c r="Q88" s="336">
        <v>1</v>
      </c>
      <c r="R88" s="337">
        <v>1.05</v>
      </c>
      <c r="S88" s="437" t="s">
        <v>1777</v>
      </c>
      <c r="T88" s="440">
        <v>3.4860000000000002E-2</v>
      </c>
      <c r="U88" s="336">
        <v>1</v>
      </c>
      <c r="V88" s="337">
        <v>1.05</v>
      </c>
      <c r="W88" s="437" t="s">
        <v>1785</v>
      </c>
      <c r="X88" s="440">
        <v>0.47331046757744849</v>
      </c>
      <c r="Y88" s="336">
        <v>1</v>
      </c>
      <c r="Z88" s="337">
        <v>1.05</v>
      </c>
      <c r="AA88" s="432" t="s">
        <v>1785</v>
      </c>
      <c r="AB88" s="749"/>
      <c r="AC88" s="336">
        <v>1</v>
      </c>
      <c r="AD88" s="337">
        <v>1.05</v>
      </c>
      <c r="AE88" s="437" t="s">
        <v>1715</v>
      </c>
      <c r="AF88" s="517"/>
    </row>
    <row r="89" spans="1:32" ht="24">
      <c r="A89" s="333">
        <v>256508</v>
      </c>
      <c r="B89" s="216"/>
      <c r="C89" s="165"/>
      <c r="D89" s="515">
        <v>5</v>
      </c>
      <c r="E89" s="343" t="s">
        <v>98</v>
      </c>
      <c r="F89" s="437" t="s">
        <v>1786</v>
      </c>
      <c r="G89" s="438" t="s">
        <v>93</v>
      </c>
      <c r="H89" s="455" t="s">
        <v>98</v>
      </c>
      <c r="I89" s="455" t="s">
        <v>98</v>
      </c>
      <c r="J89" s="336">
        <v>0</v>
      </c>
      <c r="K89" s="438" t="s">
        <v>96</v>
      </c>
      <c r="L89" s="440">
        <v>3.9275524599005955E-2</v>
      </c>
      <c r="M89" s="336">
        <v>1</v>
      </c>
      <c r="N89" s="337">
        <v>1.05</v>
      </c>
      <c r="O89" s="437" t="s">
        <v>1777</v>
      </c>
      <c r="P89" s="440">
        <v>4.2226128100066991E-2</v>
      </c>
      <c r="Q89" s="336">
        <v>1</v>
      </c>
      <c r="R89" s="337">
        <v>1.05</v>
      </c>
      <c r="S89" s="437" t="s">
        <v>1777</v>
      </c>
      <c r="T89" s="440">
        <v>4.2106015942045563E-2</v>
      </c>
      <c r="U89" s="336">
        <v>1</v>
      </c>
      <c r="V89" s="337">
        <v>1.05</v>
      </c>
      <c r="W89" s="437" t="s">
        <v>1785</v>
      </c>
      <c r="X89" s="440">
        <v>4.5336251683663661E-2</v>
      </c>
      <c r="Y89" s="336">
        <v>1</v>
      </c>
      <c r="Z89" s="337">
        <v>1.05</v>
      </c>
      <c r="AA89" s="432" t="s">
        <v>1785</v>
      </c>
      <c r="AB89" s="749"/>
      <c r="AC89" s="336">
        <v>1</v>
      </c>
      <c r="AD89" s="337">
        <v>1.05</v>
      </c>
      <c r="AE89" s="437" t="s">
        <v>1715</v>
      </c>
      <c r="AF89" s="517"/>
    </row>
    <row r="90" spans="1:32" ht="24">
      <c r="A90" s="333">
        <v>268953</v>
      </c>
      <c r="B90" s="216"/>
      <c r="C90" s="165"/>
      <c r="D90" s="515">
        <v>5</v>
      </c>
      <c r="E90" s="343" t="s">
        <v>98</v>
      </c>
      <c r="F90" s="437" t="s">
        <v>958</v>
      </c>
      <c r="G90" s="438" t="s">
        <v>93</v>
      </c>
      <c r="H90" s="455" t="s">
        <v>98</v>
      </c>
      <c r="I90" s="455" t="s">
        <v>98</v>
      </c>
      <c r="J90" s="336">
        <v>0</v>
      </c>
      <c r="K90" s="438" t="s">
        <v>96</v>
      </c>
      <c r="L90" s="440">
        <v>0.66405049960786289</v>
      </c>
      <c r="M90" s="336">
        <v>1</v>
      </c>
      <c r="N90" s="337">
        <v>1.05</v>
      </c>
      <c r="O90" s="437" t="s">
        <v>1777</v>
      </c>
      <c r="P90" s="440">
        <v>0.71393779580641914</v>
      </c>
      <c r="Q90" s="336">
        <v>1</v>
      </c>
      <c r="R90" s="337">
        <v>1.05</v>
      </c>
      <c r="S90" s="437" t="s">
        <v>1777</v>
      </c>
      <c r="T90" s="440">
        <v>0.96586949771901709</v>
      </c>
      <c r="U90" s="336">
        <v>1</v>
      </c>
      <c r="V90" s="337">
        <v>1.05</v>
      </c>
      <c r="W90" s="437" t="s">
        <v>1785</v>
      </c>
      <c r="X90" s="440">
        <v>5.8519172821430185</v>
      </c>
      <c r="Y90" s="336">
        <v>1</v>
      </c>
      <c r="Z90" s="337">
        <v>1.05</v>
      </c>
      <c r="AA90" s="432" t="s">
        <v>1785</v>
      </c>
      <c r="AB90" s="749"/>
      <c r="AC90" s="336">
        <v>1</v>
      </c>
      <c r="AD90" s="337">
        <v>1.05</v>
      </c>
      <c r="AE90" s="437" t="s">
        <v>1715</v>
      </c>
      <c r="AF90" s="517"/>
    </row>
    <row r="91" spans="1:32" ht="24">
      <c r="A91" s="330">
        <v>269451</v>
      </c>
      <c r="B91" s="331" t="s">
        <v>529</v>
      </c>
      <c r="C91" s="88"/>
      <c r="D91" s="340">
        <v>5</v>
      </c>
      <c r="E91" s="341" t="s">
        <v>98</v>
      </c>
      <c r="F91" s="432" t="s">
        <v>966</v>
      </c>
      <c r="G91" s="433" t="s">
        <v>93</v>
      </c>
      <c r="H91" s="434" t="s">
        <v>98</v>
      </c>
      <c r="I91" s="434" t="s">
        <v>98</v>
      </c>
      <c r="J91" s="94">
        <v>0</v>
      </c>
      <c r="K91" s="433" t="s">
        <v>96</v>
      </c>
      <c r="L91" s="440">
        <v>4.3947062767169663E-2</v>
      </c>
      <c r="M91" s="95">
        <v>1</v>
      </c>
      <c r="N91" s="96">
        <v>1.3643195182095749</v>
      </c>
      <c r="O91" s="437" t="s">
        <v>1777</v>
      </c>
      <c r="P91" s="440">
        <v>4.7248619107563956E-2</v>
      </c>
      <c r="Q91" s="95">
        <v>1</v>
      </c>
      <c r="R91" s="96">
        <v>1.3643195182095749</v>
      </c>
      <c r="S91" s="437" t="s">
        <v>1777</v>
      </c>
      <c r="T91" s="440">
        <v>6.4067233967006185E-2</v>
      </c>
      <c r="U91" s="95">
        <v>1</v>
      </c>
      <c r="V91" s="96">
        <v>1.3643195182095749</v>
      </c>
      <c r="W91" s="432" t="s">
        <v>1785</v>
      </c>
      <c r="X91" s="440">
        <v>0.38816439959644661</v>
      </c>
      <c r="Y91" s="95">
        <v>1</v>
      </c>
      <c r="Z91" s="96">
        <v>1.3643195182095749</v>
      </c>
      <c r="AA91" s="432" t="s">
        <v>1785</v>
      </c>
      <c r="AB91" s="462"/>
      <c r="AC91" s="336">
        <v>1</v>
      </c>
      <c r="AD91" s="337">
        <v>1.3643195182095749</v>
      </c>
      <c r="AE91" s="437" t="s">
        <v>1774</v>
      </c>
      <c r="AF91" s="206"/>
    </row>
    <row r="92" spans="1:32" ht="24">
      <c r="A92" s="330">
        <v>269641</v>
      </c>
      <c r="B92" s="331" t="s">
        <v>322</v>
      </c>
      <c r="C92" s="88"/>
      <c r="D92" s="340">
        <v>5</v>
      </c>
      <c r="E92" s="341" t="s">
        <v>98</v>
      </c>
      <c r="F92" s="432" t="s">
        <v>240</v>
      </c>
      <c r="G92" s="433" t="s">
        <v>93</v>
      </c>
      <c r="H92" s="434" t="s">
        <v>98</v>
      </c>
      <c r="I92" s="434" t="s">
        <v>98</v>
      </c>
      <c r="J92" s="94">
        <v>0</v>
      </c>
      <c r="K92" s="433" t="s">
        <v>115</v>
      </c>
      <c r="L92" s="440">
        <v>1.47647572246782</v>
      </c>
      <c r="M92" s="95">
        <v>1</v>
      </c>
      <c r="N92" s="96">
        <v>2.0949941301068096</v>
      </c>
      <c r="O92" s="437" t="s">
        <v>1787</v>
      </c>
      <c r="P92" s="440">
        <v>1.385947885155091</v>
      </c>
      <c r="Q92" s="95">
        <v>1</v>
      </c>
      <c r="R92" s="96">
        <v>2.0949941301068096</v>
      </c>
      <c r="S92" s="437" t="s">
        <v>1787</v>
      </c>
      <c r="T92" s="440">
        <v>1.6759694352402825</v>
      </c>
      <c r="U92" s="95">
        <v>1</v>
      </c>
      <c r="V92" s="96">
        <v>2.0949941301068096</v>
      </c>
      <c r="W92" s="432" t="s">
        <v>1787</v>
      </c>
      <c r="X92" s="440">
        <v>7.7241096775675997</v>
      </c>
      <c r="Y92" s="95">
        <v>1</v>
      </c>
      <c r="Z92" s="96">
        <v>2.0949941301068096</v>
      </c>
      <c r="AA92" s="432" t="s">
        <v>1787</v>
      </c>
      <c r="AB92" s="462"/>
      <c r="AC92" s="336">
        <v>1</v>
      </c>
      <c r="AD92" s="337">
        <v>2.0949941301068096</v>
      </c>
      <c r="AE92" s="437" t="s">
        <v>1787</v>
      </c>
      <c r="AF92" s="206"/>
    </row>
    <row r="93" spans="1:32" ht="24">
      <c r="A93" s="330">
        <v>160371</v>
      </c>
      <c r="B93" s="331" t="s">
        <v>529</v>
      </c>
      <c r="C93" s="88"/>
      <c r="D93" s="340">
        <v>5</v>
      </c>
      <c r="E93" s="341" t="s">
        <v>98</v>
      </c>
      <c r="F93" s="432" t="s">
        <v>242</v>
      </c>
      <c r="G93" s="433" t="s">
        <v>93</v>
      </c>
      <c r="H93" s="434" t="s">
        <v>98</v>
      </c>
      <c r="I93" s="434" t="s">
        <v>98</v>
      </c>
      <c r="J93" s="94">
        <v>0</v>
      </c>
      <c r="K93" s="433" t="s">
        <v>115</v>
      </c>
      <c r="L93" s="440">
        <v>4.9215857415594</v>
      </c>
      <c r="M93" s="95">
        <v>1</v>
      </c>
      <c r="N93" s="96">
        <v>2.0949941301068096</v>
      </c>
      <c r="O93" s="437" t="s">
        <v>1788</v>
      </c>
      <c r="P93" s="440">
        <v>4.619826283850303</v>
      </c>
      <c r="Q93" s="95">
        <v>1</v>
      </c>
      <c r="R93" s="96">
        <v>2.0949941301068096</v>
      </c>
      <c r="S93" s="437" t="s">
        <v>1788</v>
      </c>
      <c r="T93" s="440">
        <v>5.5800117408515186</v>
      </c>
      <c r="U93" s="95">
        <v>1</v>
      </c>
      <c r="V93" s="96">
        <v>2.0949941301068096</v>
      </c>
      <c r="W93" s="432" t="s">
        <v>1788</v>
      </c>
      <c r="X93" s="440">
        <v>25.678150385194414</v>
      </c>
      <c r="Y93" s="95">
        <v>1</v>
      </c>
      <c r="Z93" s="96">
        <v>2.0949941301068096</v>
      </c>
      <c r="AA93" s="432" t="s">
        <v>1788</v>
      </c>
      <c r="AB93" s="462"/>
      <c r="AC93" s="336">
        <v>1</v>
      </c>
      <c r="AD93" s="337">
        <v>2.0949941301068096</v>
      </c>
      <c r="AE93" s="437" t="s">
        <v>1788</v>
      </c>
      <c r="AF93" s="206"/>
    </row>
    <row r="94" spans="1:32">
      <c r="A94" s="330">
        <v>269599</v>
      </c>
      <c r="B94" s="331" t="s">
        <v>529</v>
      </c>
      <c r="C94" s="88"/>
      <c r="D94" s="340">
        <v>5</v>
      </c>
      <c r="E94" s="341" t="s">
        <v>98</v>
      </c>
      <c r="F94" s="432" t="s">
        <v>244</v>
      </c>
      <c r="G94" s="433" t="s">
        <v>245</v>
      </c>
      <c r="H94" s="434" t="s">
        <v>98</v>
      </c>
      <c r="I94" s="434" t="s">
        <v>98</v>
      </c>
      <c r="J94" s="94">
        <v>0</v>
      </c>
      <c r="K94" s="433" t="s">
        <v>115</v>
      </c>
      <c r="L94" s="440">
        <v>442.94271674034599</v>
      </c>
      <c r="M94" s="95">
        <v>1</v>
      </c>
      <c r="N94" s="96">
        <v>2.0949941301068096</v>
      </c>
      <c r="O94" s="437" t="s">
        <v>1789</v>
      </c>
      <c r="P94" s="440">
        <v>415.78436554652734</v>
      </c>
      <c r="Q94" s="95">
        <v>1</v>
      </c>
      <c r="R94" s="96">
        <v>2.0949941301068096</v>
      </c>
      <c r="S94" s="437" t="s">
        <v>1789</v>
      </c>
      <c r="T94" s="440">
        <v>502.20105667663671</v>
      </c>
      <c r="U94" s="95">
        <v>1</v>
      </c>
      <c r="V94" s="96">
        <v>2.0949941301068096</v>
      </c>
      <c r="W94" s="432" t="s">
        <v>1789</v>
      </c>
      <c r="X94" s="440">
        <v>2688.1065933471782</v>
      </c>
      <c r="Y94" s="95">
        <v>1</v>
      </c>
      <c r="Z94" s="96">
        <v>2.0949941301068096</v>
      </c>
      <c r="AA94" s="432" t="s">
        <v>1789</v>
      </c>
      <c r="AB94" s="462"/>
      <c r="AC94" s="336">
        <v>1</v>
      </c>
      <c r="AD94" s="337">
        <v>2.0949941301068096</v>
      </c>
      <c r="AE94" s="437" t="s">
        <v>1789</v>
      </c>
      <c r="AF94" s="206"/>
    </row>
    <row r="95" spans="1:32" ht="48">
      <c r="A95" s="330">
        <v>15848</v>
      </c>
      <c r="B95" s="331" t="s">
        <v>1790</v>
      </c>
      <c r="C95" s="88"/>
      <c r="D95" s="340" t="s">
        <v>98</v>
      </c>
      <c r="E95" s="341">
        <v>4</v>
      </c>
      <c r="F95" s="432" t="s">
        <v>121</v>
      </c>
      <c r="G95" s="433" t="s">
        <v>98</v>
      </c>
      <c r="H95" s="434" t="s">
        <v>247</v>
      </c>
      <c r="I95" s="434" t="s">
        <v>248</v>
      </c>
      <c r="J95" s="94" t="s">
        <v>98</v>
      </c>
      <c r="K95" s="433" t="s">
        <v>104</v>
      </c>
      <c r="L95" s="440">
        <v>45.595712840731075</v>
      </c>
      <c r="M95" s="95">
        <v>1</v>
      </c>
      <c r="N95" s="96">
        <v>1.2225687766877855</v>
      </c>
      <c r="O95" s="437" t="s">
        <v>1791</v>
      </c>
      <c r="P95" s="440">
        <v>41.719945994425586</v>
      </c>
      <c r="Q95" s="95">
        <v>1</v>
      </c>
      <c r="R95" s="96">
        <v>1.2225687766877855</v>
      </c>
      <c r="S95" s="437" t="s">
        <v>1791</v>
      </c>
      <c r="T95" s="440">
        <v>52.2</v>
      </c>
      <c r="U95" s="95">
        <v>1</v>
      </c>
      <c r="V95" s="96">
        <v>1.2225687766877855</v>
      </c>
      <c r="W95" s="432" t="s">
        <v>1791</v>
      </c>
      <c r="X95" s="440">
        <v>335.65680000000003</v>
      </c>
      <c r="Y95" s="95">
        <v>1</v>
      </c>
      <c r="Z95" s="96">
        <v>1.2225687766877855</v>
      </c>
      <c r="AA95" s="432" t="s">
        <v>1791</v>
      </c>
      <c r="AB95" s="462"/>
      <c r="AC95" s="336">
        <v>1</v>
      </c>
      <c r="AD95" s="337">
        <v>1.2225687766877855</v>
      </c>
      <c r="AE95" s="437" t="s">
        <v>1792</v>
      </c>
      <c r="AF95" s="206"/>
    </row>
    <row r="96" spans="1:32" ht="36">
      <c r="A96" s="330">
        <v>269389</v>
      </c>
      <c r="B96" s="331" t="s">
        <v>221</v>
      </c>
      <c r="C96" s="88"/>
      <c r="D96" s="340">
        <v>5</v>
      </c>
      <c r="E96" s="341" t="s">
        <v>98</v>
      </c>
      <c r="F96" s="432" t="s">
        <v>320</v>
      </c>
      <c r="G96" s="433" t="s">
        <v>93</v>
      </c>
      <c r="H96" s="434" t="s">
        <v>98</v>
      </c>
      <c r="I96" s="434" t="s">
        <v>98</v>
      </c>
      <c r="J96" s="94">
        <v>0</v>
      </c>
      <c r="K96" s="433" t="s">
        <v>96</v>
      </c>
      <c r="L96" s="440">
        <v>44.64799965845625</v>
      </c>
      <c r="M96" s="95">
        <v>1</v>
      </c>
      <c r="N96" s="96">
        <v>1.3440316373092398</v>
      </c>
      <c r="O96" s="437" t="s">
        <v>1793</v>
      </c>
      <c r="P96" s="440">
        <v>40.852791160794155</v>
      </c>
      <c r="Q96" s="95">
        <v>1</v>
      </c>
      <c r="R96" s="96">
        <v>1.3440316373092398</v>
      </c>
      <c r="S96" s="437" t="s">
        <v>1793</v>
      </c>
      <c r="T96" s="440">
        <v>51.11501579792052</v>
      </c>
      <c r="U96" s="95">
        <v>1</v>
      </c>
      <c r="V96" s="96">
        <v>1.3440316373092398</v>
      </c>
      <c r="W96" s="432" t="s">
        <v>1793</v>
      </c>
      <c r="X96" s="440">
        <v>244.18726730242301</v>
      </c>
      <c r="Y96" s="95">
        <v>1</v>
      </c>
      <c r="Z96" s="96">
        <v>1.3440316373092398</v>
      </c>
      <c r="AA96" s="432" t="s">
        <v>1793</v>
      </c>
      <c r="AB96" s="462"/>
      <c r="AC96" s="336">
        <v>1</v>
      </c>
      <c r="AD96" s="337">
        <v>1.3440316373092398</v>
      </c>
      <c r="AE96" s="437" t="s">
        <v>1794</v>
      </c>
      <c r="AF96" s="206"/>
    </row>
    <row r="97" spans="1:32" ht="24">
      <c r="A97" s="330">
        <v>269095</v>
      </c>
      <c r="B97" s="331" t="s">
        <v>511</v>
      </c>
      <c r="C97" s="88"/>
      <c r="D97" s="340">
        <v>5</v>
      </c>
      <c r="E97" s="341" t="s">
        <v>98</v>
      </c>
      <c r="F97" s="432" t="s">
        <v>323</v>
      </c>
      <c r="G97" s="433" t="s">
        <v>103</v>
      </c>
      <c r="H97" s="434" t="s">
        <v>98</v>
      </c>
      <c r="I97" s="434" t="s">
        <v>98</v>
      </c>
      <c r="J97" s="94">
        <v>0</v>
      </c>
      <c r="K97" s="433" t="s">
        <v>119</v>
      </c>
      <c r="L97" s="440">
        <v>4.4647999658456249E-2</v>
      </c>
      <c r="M97" s="95">
        <v>1</v>
      </c>
      <c r="N97" s="96">
        <v>1.3440316373092398</v>
      </c>
      <c r="O97" s="437" t="s">
        <v>1795</v>
      </c>
      <c r="P97" s="440">
        <v>4.0852791160794155E-2</v>
      </c>
      <c r="Q97" s="95">
        <v>1</v>
      </c>
      <c r="R97" s="96">
        <v>1.3440316373092398</v>
      </c>
      <c r="S97" s="437" t="s">
        <v>1795</v>
      </c>
      <c r="T97" s="440">
        <v>5.1115015797920521E-2</v>
      </c>
      <c r="U97" s="95">
        <v>1</v>
      </c>
      <c r="V97" s="96">
        <v>1.3440316373092398</v>
      </c>
      <c r="W97" s="432" t="s">
        <v>1796</v>
      </c>
      <c r="X97" s="440">
        <v>0.24418726730242302</v>
      </c>
      <c r="Y97" s="95">
        <v>1</v>
      </c>
      <c r="Z97" s="96">
        <v>1.3440316373092398</v>
      </c>
      <c r="AA97" s="432" t="s">
        <v>1796</v>
      </c>
      <c r="AB97" s="462"/>
      <c r="AC97" s="336">
        <v>1</v>
      </c>
      <c r="AD97" s="337">
        <v>1.3440316373092398</v>
      </c>
      <c r="AE97" s="437" t="s">
        <v>1794</v>
      </c>
      <c r="AF97" s="206"/>
    </row>
    <row r="98" spans="1:32" ht="24">
      <c r="A98" s="330">
        <v>268549</v>
      </c>
      <c r="B98" s="331"/>
      <c r="C98" s="88"/>
      <c r="D98" s="340">
        <v>5</v>
      </c>
      <c r="E98" s="341" t="s">
        <v>98</v>
      </c>
      <c r="F98" s="432" t="s">
        <v>1631</v>
      </c>
      <c r="G98" s="433" t="s">
        <v>103</v>
      </c>
      <c r="H98" s="434" t="s">
        <v>98</v>
      </c>
      <c r="I98" s="434" t="s">
        <v>98</v>
      </c>
      <c r="J98" s="94">
        <v>0</v>
      </c>
      <c r="K98" s="433" t="s">
        <v>96</v>
      </c>
      <c r="L98" s="440">
        <v>2.3556317722931555</v>
      </c>
      <c r="M98" s="95">
        <v>1</v>
      </c>
      <c r="N98" s="96">
        <v>1.2490845559868966</v>
      </c>
      <c r="O98" s="437" t="s">
        <v>1766</v>
      </c>
      <c r="P98" s="440">
        <v>2.5326003914396131</v>
      </c>
      <c r="Q98" s="95">
        <v>1</v>
      </c>
      <c r="R98" s="96">
        <v>1.2490845559868966</v>
      </c>
      <c r="S98" s="437" t="s">
        <v>1766</v>
      </c>
      <c r="T98" s="440">
        <v>3.4036999999999997</v>
      </c>
      <c r="U98" s="95">
        <v>1</v>
      </c>
      <c r="V98" s="96">
        <v>1.2490845559868966</v>
      </c>
      <c r="W98" s="432" t="s">
        <v>1767</v>
      </c>
      <c r="X98" s="440">
        <v>11.2</v>
      </c>
      <c r="Y98" s="95">
        <v>1</v>
      </c>
      <c r="Z98" s="96">
        <v>1.2490845559868966</v>
      </c>
      <c r="AA98" s="432" t="s">
        <v>1767</v>
      </c>
      <c r="AB98" s="462"/>
      <c r="AC98" s="336">
        <v>1</v>
      </c>
      <c r="AD98" s="337">
        <v>1.2490845559868966</v>
      </c>
      <c r="AE98" s="437" t="s">
        <v>1797</v>
      </c>
      <c r="AF98" s="206"/>
    </row>
    <row r="99" spans="1:32" ht="24">
      <c r="A99" s="330">
        <v>269431</v>
      </c>
      <c r="B99" s="331"/>
      <c r="C99" s="88"/>
      <c r="D99" s="340">
        <v>5</v>
      </c>
      <c r="E99" s="341" t="s">
        <v>98</v>
      </c>
      <c r="F99" s="432" t="s">
        <v>1798</v>
      </c>
      <c r="G99" s="433" t="s">
        <v>103</v>
      </c>
      <c r="H99" s="434" t="s">
        <v>98</v>
      </c>
      <c r="I99" s="434" t="s">
        <v>98</v>
      </c>
      <c r="J99" s="94">
        <v>0</v>
      </c>
      <c r="K99" s="433" t="s">
        <v>96</v>
      </c>
      <c r="L99" s="440">
        <v>4.0512475623750328</v>
      </c>
      <c r="M99" s="95">
        <v>1</v>
      </c>
      <c r="N99" s="96">
        <v>1.2490845559868966</v>
      </c>
      <c r="O99" s="437" t="s">
        <v>1766</v>
      </c>
      <c r="P99" s="440">
        <v>3.1906164149139831</v>
      </c>
      <c r="Q99" s="95">
        <v>1</v>
      </c>
      <c r="R99" s="96">
        <v>1.2490845559868966</v>
      </c>
      <c r="S99" s="437" t="s">
        <v>1766</v>
      </c>
      <c r="T99" s="440">
        <v>5.7451887884999993</v>
      </c>
      <c r="U99" s="95">
        <v>1</v>
      </c>
      <c r="V99" s="96">
        <v>1.2490845559868966</v>
      </c>
      <c r="W99" s="432" t="s">
        <v>1767</v>
      </c>
      <c r="X99" s="440">
        <v>13.462855289861546</v>
      </c>
      <c r="Y99" s="95">
        <v>1</v>
      </c>
      <c r="Z99" s="96">
        <v>1.2490845559868966</v>
      </c>
      <c r="AA99" s="432" t="s">
        <v>1767</v>
      </c>
      <c r="AB99" s="462"/>
      <c r="AC99" s="336">
        <v>1</v>
      </c>
      <c r="AD99" s="337">
        <v>1.2490845559868966</v>
      </c>
      <c r="AE99" s="437" t="s">
        <v>1797</v>
      </c>
      <c r="AF99" s="206"/>
    </row>
    <row r="100" spans="1:32" ht="24">
      <c r="A100" s="330">
        <v>265011</v>
      </c>
      <c r="B100" s="331"/>
      <c r="C100" s="88"/>
      <c r="D100" s="340">
        <v>5</v>
      </c>
      <c r="E100" s="341" t="s">
        <v>98</v>
      </c>
      <c r="F100" s="432" t="s">
        <v>1799</v>
      </c>
      <c r="G100" s="433" t="s">
        <v>154</v>
      </c>
      <c r="H100" s="434" t="s">
        <v>98</v>
      </c>
      <c r="I100" s="434" t="s">
        <v>98</v>
      </c>
      <c r="J100" s="94">
        <v>0</v>
      </c>
      <c r="K100" s="433" t="s">
        <v>96</v>
      </c>
      <c r="L100" s="440">
        <v>5.2608803650402232</v>
      </c>
      <c r="M100" s="95">
        <v>1</v>
      </c>
      <c r="N100" s="96">
        <v>1.2490845559868966</v>
      </c>
      <c r="O100" s="437" t="s">
        <v>1766</v>
      </c>
      <c r="P100" s="440">
        <v>7.1059190902743552</v>
      </c>
      <c r="Q100" s="95">
        <v>1</v>
      </c>
      <c r="R100" s="96">
        <v>1.2490845559868966</v>
      </c>
      <c r="S100" s="437" t="s">
        <v>1766</v>
      </c>
      <c r="T100" s="440">
        <v>2.2087570647610537</v>
      </c>
      <c r="U100" s="95">
        <v>1</v>
      </c>
      <c r="V100" s="96">
        <v>1.2490845559868966</v>
      </c>
      <c r="W100" s="432" t="s">
        <v>1767</v>
      </c>
      <c r="X100" s="440">
        <v>14.338554807949974</v>
      </c>
      <c r="Y100" s="95">
        <v>1</v>
      </c>
      <c r="Z100" s="96">
        <v>1.2490845559868966</v>
      </c>
      <c r="AA100" s="432" t="s">
        <v>1767</v>
      </c>
      <c r="AB100" s="462"/>
      <c r="AC100" s="336">
        <v>1</v>
      </c>
      <c r="AD100" s="337">
        <v>1.2490845559868966</v>
      </c>
      <c r="AE100" s="437" t="s">
        <v>1800</v>
      </c>
      <c r="AF100" s="206"/>
    </row>
    <row r="101" spans="1:32">
      <c r="L101" s="487"/>
      <c r="P101" s="487"/>
      <c r="T101" s="487"/>
      <c r="X101" s="487"/>
      <c r="AB101" s="487"/>
    </row>
  </sheetData>
  <conditionalFormatting sqref="D11:AA100 AC11:AE100">
    <cfRule type="expression" dxfId="90" priority="10">
      <formula>MOD(ROW(),2)=0</formula>
    </cfRule>
  </conditionalFormatting>
  <dataValidations xWindow="1125" yWindow="480" count="17">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AB69 AB61:AB62 AB19 AB59 AB29:AB30 AB72 AB77:AB79 AB24:AB25 AB85:AB87 AB11:AB15 AB35:AB40 AB42:AB57 L11:L100 T11:T100 X11:X100 P11:P100 F7:K100 AB91:AB100" xr:uid="{F30175C0-0590-4E15-BA66-BB3BB7A82C62}"/>
    <dataValidation allowBlank="1" showErrorMessage="1" prompt="Mean amount of elementary flow or intermediate product flow. Enter your values (or the respective equation) here." sqref="AB63:AB68 AB60 AB58 AB41 AB16:AB18 AB88:AB90 AB70:AB71 AB80:AB84 AB20:AB23 AB31:AB34 AB26:AB28 AB73:AB76" xr:uid="{97FE32AC-716F-4FF1-BD25-DCE23135477B}"/>
    <dataValidation allowBlank="1" showInputMessage="1" showErrorMessage="1" promptTitle="Unit" prompt="Unit of the exchange (elementary flow or intermediate product flow)." sqref="F6 K2:K3" xr:uid="{771D4179-48DC-4029-8F14-FC782BD3D8A8}"/>
    <dataValidation allowBlank="1" showInputMessage="1" showErrorMessage="1" promptTitle="Infrastructure" prompt="Describes whether the intermediate product flow from or to the unit process is an infrastructure process or not._x000a__x000a_Not applicable to elementary flows." sqref="F5 J2:J3" xr:uid="{296113F8-BFAF-4B27-A642-FD5D7AB5EB3B}"/>
    <dataValidation allowBlank="1" showInputMessage="1" showErrorMessage="1" promptTitle="Name" prompt="Name of the exchange (elementary flow or intermediate product flow) in English language. " sqref="F2:F3" xr:uid="{CCBAFFDC-1995-440D-854D-3EAD7E52E188}"/>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G2:G3" xr:uid="{12076C70-ACDE-40AE-B353-E97F104324A1}"/>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3D47566A-1645-46A4-86B9-014F84B857C9}"/>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BE5CC222-97F8-444A-A0AC-7460EE686121}"/>
    <dataValidation allowBlank="1" showInputMessage="1" showErrorMessage="1" prompt="This cell is automatically updated from the names List according to the index number in L1. It needs to be identical to the output product." sqref="T3:T6 AB3:AB6 X3:X6 P3:P6 L3:L6" xr:uid="{6AA1342D-EC0D-43AF-B8BA-8F8DB18268F2}"/>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xr:uid="{28BE388C-E51D-4DF5-A902-2ACA64FB9C5C}"/>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BBC99F88-C965-4B09-96E1-CC64DF371A95}"/>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11:D100" xr:uid="{A0277558-0F05-4362-94BA-C3105253E1F0}"/>
    <dataValidation allowBlank="1" showInputMessage="1" showErrorMessage="1" prompt="always 1" sqref="T7:T10 AB7:AB10 X7:X10 P7:P10 L7:L10" xr:uid="{95FF4941-98B0-4AF1-A01F-E18291B45DF8}"/>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Y2:Y100 U2:U100 M2:M100 AC2:AC100 Q2:Q100" xr:uid="{DA91098B-6684-4178-9917-0CA23CA4FFE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Z2:Z100 V2:V100 N2:N100 AD2:AD100 R2:R100" xr:uid="{4C8E41A2-11A5-445C-AD9A-7203B96D4BEA}"/>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11:E100" xr:uid="{9D600A9F-421B-4E25-852C-BB23031413D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W1:W100 S2:S100 O2:O100 AA1:AB100 AE1:AF100" xr:uid="{575EEE1A-3A05-4C0D-8623-54C1FEC560D6}"/>
  </dataValidations>
  <pageMargins left="0.7" right="0.7" top="0.78740157499999996" bottom="0.78740157499999996"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82538-18A1-4F06-B165-E9AAD2C5AA57}">
  <sheetPr codeName="Sheet5">
    <tabColor rgb="FF9CD9F0"/>
    <pageSetUpPr fitToPage="1"/>
  </sheetPr>
  <dimension ref="A1:AI36"/>
  <sheetViews>
    <sheetView topLeftCell="A9" workbookViewId="0">
      <selection activeCell="A34" sqref="A34:XFD34"/>
    </sheetView>
  </sheetViews>
  <sheetFormatPr baseColWidth="10" defaultColWidth="11.42578125" defaultRowHeight="12" outlineLevelCol="1"/>
  <cols>
    <col min="1" max="1" width="8.28515625" style="225" bestFit="1" customWidth="1"/>
    <col min="2" max="2" width="12.140625" style="778" customWidth="1"/>
    <col min="3" max="3" width="3.7109375" style="779" hidden="1" customWidth="1" outlineLevel="1"/>
    <col min="4" max="5" width="3.140625" style="225" hidden="1" customWidth="1" outlineLevel="1"/>
    <col min="6" max="6" width="32.85546875" style="780" customWidth="1" collapsed="1"/>
    <col min="7" max="7" width="11.140625" style="225" customWidth="1"/>
    <col min="8" max="9" width="3.140625" style="225" hidden="1" customWidth="1" outlineLevel="1"/>
    <col min="10" max="10" width="5.42578125" style="225" bestFit="1" customWidth="1" collapsed="1"/>
    <col min="11" max="11" width="4.42578125" style="225" bestFit="1" customWidth="1"/>
    <col min="12" max="12" width="14.5703125" style="225" customWidth="1"/>
    <col min="13" max="13" width="5" style="203" customWidth="1" outlineLevel="1"/>
    <col min="14" max="14" width="5.42578125" style="109" customWidth="1" outlineLevel="1"/>
    <col min="15" max="15" width="49.28515625" style="781" customWidth="1" outlineLevel="1"/>
    <col min="16" max="16" width="10.85546875" style="222" customWidth="1"/>
    <col min="17" max="17" width="50.85546875" style="226" customWidth="1"/>
    <col min="18" max="18" width="2.85546875" style="782" hidden="1" customWidth="1" outlineLevel="1"/>
    <col min="19" max="24" width="3.140625" style="777" hidden="1" customWidth="1" outlineLevel="1"/>
    <col min="25" max="25" width="5.42578125" style="777" hidden="1" customWidth="1" outlineLevel="1"/>
    <col min="26" max="27" width="6.42578125" style="777" hidden="1" customWidth="1" outlineLevel="1"/>
    <col min="28" max="28" width="12.28515625" style="777" hidden="1" customWidth="1" outlineLevel="1"/>
    <col min="29" max="34" width="4.42578125" style="225" hidden="1" customWidth="1" outlineLevel="1"/>
    <col min="35" max="35" width="11.42578125" style="225" customWidth="1" collapsed="1"/>
    <col min="36" max="36" width="11.42578125" style="225" customWidth="1"/>
    <col min="37" max="16384" width="11.42578125" style="225"/>
  </cols>
  <sheetData>
    <row r="1" spans="1:34">
      <c r="A1" s="736"/>
      <c r="B1" s="734"/>
      <c r="C1" s="735"/>
      <c r="D1" s="736"/>
      <c r="E1" s="736"/>
      <c r="F1" s="737" t="s">
        <v>65</v>
      </c>
      <c r="G1" s="736"/>
      <c r="H1" s="736"/>
      <c r="I1" s="736"/>
      <c r="J1" s="736"/>
      <c r="K1" s="736"/>
      <c r="L1" s="330" t="str">
        <f>A8</f>
        <v>Z-PV-276</v>
      </c>
      <c r="M1" s="659"/>
      <c r="N1" s="707"/>
      <c r="O1" s="750"/>
      <c r="R1" s="775"/>
      <c r="S1" s="776"/>
      <c r="T1" s="776"/>
      <c r="U1" s="776"/>
      <c r="V1" s="776"/>
      <c r="W1" s="776"/>
    </row>
    <row r="2" spans="1:34" ht="36" customHeight="1">
      <c r="A2" s="83"/>
      <c r="B2" s="84"/>
      <c r="C2" s="79" t="s">
        <v>67</v>
      </c>
      <c r="D2" s="738">
        <v>3503</v>
      </c>
      <c r="E2" s="738">
        <v>3504</v>
      </c>
      <c r="F2" s="80">
        <v>3702</v>
      </c>
      <c r="G2" s="738">
        <v>3703</v>
      </c>
      <c r="H2" s="738">
        <v>3506</v>
      </c>
      <c r="I2" s="738">
        <v>3507</v>
      </c>
      <c r="J2" s="738">
        <v>3508</v>
      </c>
      <c r="K2" s="738">
        <v>3706</v>
      </c>
      <c r="L2" s="740">
        <v>3707</v>
      </c>
      <c r="M2" s="741">
        <v>3708</v>
      </c>
      <c r="N2" s="741">
        <v>3709</v>
      </c>
      <c r="O2" s="742">
        <v>3792</v>
      </c>
      <c r="P2" s="223"/>
      <c r="Q2" s="97" t="s">
        <v>81</v>
      </c>
      <c r="R2" s="717" t="s">
        <v>82</v>
      </c>
      <c r="S2" s="98" t="s">
        <v>83</v>
      </c>
      <c r="T2" s="98" t="s">
        <v>84</v>
      </c>
      <c r="U2" s="98" t="s">
        <v>85</v>
      </c>
      <c r="V2" s="98" t="s">
        <v>86</v>
      </c>
      <c r="W2" s="98" t="s">
        <v>87</v>
      </c>
      <c r="X2" s="98" t="s">
        <v>88</v>
      </c>
      <c r="Y2" s="99" t="s">
        <v>89</v>
      </c>
      <c r="Z2" s="99" t="s">
        <v>90</v>
      </c>
      <c r="AA2" s="99" t="s">
        <v>91</v>
      </c>
      <c r="AB2" s="99" t="s">
        <v>92</v>
      </c>
      <c r="AC2" s="99" t="s">
        <v>82</v>
      </c>
      <c r="AD2" s="100" t="s">
        <v>83</v>
      </c>
      <c r="AE2" s="100" t="s">
        <v>84</v>
      </c>
      <c r="AF2" s="100" t="s">
        <v>85</v>
      </c>
      <c r="AG2" s="100" t="s">
        <v>86</v>
      </c>
      <c r="AH2" s="100" t="s">
        <v>87</v>
      </c>
    </row>
    <row r="3" spans="1:34" ht="89.25" customHeight="1">
      <c r="A3" s="77" t="s">
        <v>68</v>
      </c>
      <c r="B3" s="84"/>
      <c r="C3" s="79">
        <v>401</v>
      </c>
      <c r="D3" s="85" t="s">
        <v>69</v>
      </c>
      <c r="E3" s="85" t="s">
        <v>70</v>
      </c>
      <c r="F3" s="85" t="s">
        <v>71</v>
      </c>
      <c r="G3" s="85" t="s">
        <v>72</v>
      </c>
      <c r="H3" s="85" t="s">
        <v>73</v>
      </c>
      <c r="I3" s="85" t="s">
        <v>74</v>
      </c>
      <c r="J3" s="85" t="s">
        <v>75</v>
      </c>
      <c r="K3" s="85" t="s">
        <v>76</v>
      </c>
      <c r="L3" s="87" t="s">
        <v>1696</v>
      </c>
      <c r="M3" s="422" t="s">
        <v>78</v>
      </c>
      <c r="N3" s="422" t="s">
        <v>79</v>
      </c>
      <c r="O3" s="423" t="s">
        <v>80</v>
      </c>
      <c r="P3" s="224"/>
      <c r="Q3" s="101"/>
      <c r="R3" s="101" t="s">
        <v>94</v>
      </c>
      <c r="S3" s="102"/>
      <c r="T3" s="97"/>
      <c r="U3" s="97"/>
      <c r="V3" s="97"/>
      <c r="W3" s="97"/>
      <c r="X3" s="97"/>
      <c r="Y3" s="103"/>
      <c r="Z3" s="103" t="s">
        <v>95</v>
      </c>
      <c r="AA3" s="103" t="s">
        <v>95</v>
      </c>
      <c r="AB3" s="103"/>
      <c r="AC3" s="104"/>
      <c r="AD3" s="105"/>
      <c r="AE3" s="105"/>
      <c r="AF3" s="105"/>
      <c r="AG3" s="105"/>
      <c r="AH3" s="105"/>
    </row>
    <row r="4" spans="1:34" ht="13.5" customHeight="1">
      <c r="A4" s="77"/>
      <c r="B4" s="84"/>
      <c r="C4" s="79">
        <v>662</v>
      </c>
      <c r="D4" s="86"/>
      <c r="E4" s="86"/>
      <c r="F4" s="86" t="s">
        <v>72</v>
      </c>
      <c r="G4" s="86"/>
      <c r="H4" s="86"/>
      <c r="I4" s="86"/>
      <c r="J4" s="86"/>
      <c r="K4" s="86"/>
      <c r="L4" s="87" t="s">
        <v>93</v>
      </c>
      <c r="M4" s="425"/>
      <c r="N4" s="425"/>
      <c r="O4" s="426"/>
      <c r="P4" s="224"/>
      <c r="Q4" s="101"/>
      <c r="R4" s="101"/>
      <c r="S4" s="97"/>
      <c r="T4" s="97"/>
      <c r="U4" s="97"/>
      <c r="V4" s="97"/>
      <c r="W4" s="97"/>
      <c r="X4" s="97"/>
      <c r="Y4" s="104"/>
      <c r="Z4" s="104"/>
      <c r="AA4" s="104"/>
      <c r="AB4" s="104"/>
      <c r="AC4" s="104"/>
      <c r="AD4" s="105"/>
      <c r="AE4" s="105"/>
      <c r="AF4" s="105"/>
      <c r="AG4" s="105"/>
      <c r="AH4" s="105"/>
    </row>
    <row r="5" spans="1:34">
      <c r="A5" s="77"/>
      <c r="B5" s="84"/>
      <c r="C5" s="79">
        <v>493</v>
      </c>
      <c r="D5" s="86"/>
      <c r="E5" s="86"/>
      <c r="F5" s="86" t="s">
        <v>75</v>
      </c>
      <c r="G5" s="86"/>
      <c r="H5" s="86"/>
      <c r="I5" s="86"/>
      <c r="J5" s="86"/>
      <c r="K5" s="86"/>
      <c r="L5" s="87">
        <v>1</v>
      </c>
      <c r="M5" s="425"/>
      <c r="N5" s="425"/>
      <c r="O5" s="426"/>
      <c r="P5" s="224"/>
      <c r="Q5" s="101"/>
      <c r="R5" s="101"/>
      <c r="S5" s="106"/>
      <c r="T5" s="106"/>
      <c r="U5" s="106"/>
      <c r="V5" s="106"/>
      <c r="W5" s="106"/>
      <c r="X5" s="106"/>
      <c r="Y5" s="104"/>
      <c r="Z5" s="104"/>
      <c r="AA5" s="428"/>
      <c r="AB5" s="428"/>
      <c r="AC5" s="107"/>
      <c r="AD5" s="105"/>
      <c r="AE5" s="105"/>
      <c r="AF5" s="105"/>
      <c r="AG5" s="105"/>
      <c r="AH5" s="105"/>
    </row>
    <row r="6" spans="1:34">
      <c r="A6" s="330"/>
      <c r="B6" s="331"/>
      <c r="C6" s="88">
        <v>403</v>
      </c>
      <c r="D6" s="294"/>
      <c r="E6" s="295"/>
      <c r="F6" s="429" t="s">
        <v>76</v>
      </c>
      <c r="G6" s="430"/>
      <c r="H6" s="431"/>
      <c r="I6" s="431"/>
      <c r="J6" s="89"/>
      <c r="K6" s="430"/>
      <c r="L6" s="90" t="s">
        <v>144</v>
      </c>
      <c r="M6" s="425"/>
      <c r="N6" s="425"/>
      <c r="O6" s="426"/>
      <c r="P6" s="224"/>
      <c r="Q6" s="101"/>
      <c r="R6" s="101"/>
      <c r="S6" s="97"/>
      <c r="T6" s="97"/>
      <c r="U6" s="97"/>
      <c r="V6" s="97"/>
      <c r="W6" s="97"/>
      <c r="X6" s="97"/>
      <c r="Y6" s="104"/>
      <c r="Z6" s="104"/>
      <c r="AA6" s="104"/>
      <c r="AB6" s="104"/>
      <c r="AC6" s="104"/>
      <c r="AD6" s="104"/>
      <c r="AE6" s="104"/>
      <c r="AF6" s="104"/>
      <c r="AG6" s="104"/>
      <c r="AH6" s="104"/>
    </row>
    <row r="7" spans="1:34">
      <c r="A7" s="330"/>
      <c r="B7" s="331"/>
      <c r="C7" s="88"/>
      <c r="D7" s="294"/>
      <c r="E7" s="295"/>
      <c r="F7" s="429"/>
      <c r="G7" s="430"/>
      <c r="H7" s="431"/>
      <c r="I7" s="431"/>
      <c r="J7" s="89"/>
      <c r="K7" s="430"/>
      <c r="L7" s="90"/>
      <c r="M7" s="91"/>
      <c r="N7" s="92"/>
      <c r="O7" s="93"/>
      <c r="P7" s="224"/>
      <c r="Q7" s="97"/>
      <c r="R7" s="97"/>
      <c r="S7" s="98"/>
      <c r="T7" s="98"/>
      <c r="U7" s="98"/>
      <c r="V7" s="98"/>
      <c r="W7" s="98"/>
      <c r="X7" s="98"/>
      <c r="Y7" s="99"/>
      <c r="Z7" s="99"/>
      <c r="AA7" s="99"/>
      <c r="AB7" s="99"/>
      <c r="AC7" s="99"/>
      <c r="AD7" s="100"/>
      <c r="AE7" s="100"/>
      <c r="AF7" s="100"/>
      <c r="AG7" s="100"/>
      <c r="AH7" s="100"/>
    </row>
    <row r="8" spans="1:34" ht="24" customHeight="1">
      <c r="A8" s="330" t="s">
        <v>1695</v>
      </c>
      <c r="B8" s="331"/>
      <c r="C8" s="88"/>
      <c r="D8" s="294" t="s">
        <v>98</v>
      </c>
      <c r="E8" s="295">
        <v>0</v>
      </c>
      <c r="F8" s="429" t="s">
        <v>1696</v>
      </c>
      <c r="G8" s="430" t="s">
        <v>93</v>
      </c>
      <c r="H8" s="431" t="s">
        <v>98</v>
      </c>
      <c r="I8" s="431" t="s">
        <v>98</v>
      </c>
      <c r="J8" s="89">
        <v>1</v>
      </c>
      <c r="K8" s="430" t="s">
        <v>144</v>
      </c>
      <c r="L8" s="90">
        <v>1</v>
      </c>
      <c r="M8" s="91"/>
      <c r="N8" s="92"/>
      <c r="O8" s="93"/>
      <c r="P8" s="498"/>
      <c r="Q8" s="101"/>
      <c r="R8" s="101"/>
      <c r="S8" s="102"/>
      <c r="T8" s="97"/>
      <c r="U8" s="97"/>
      <c r="V8" s="97"/>
      <c r="W8" s="97"/>
      <c r="X8" s="97"/>
      <c r="Y8" s="103"/>
      <c r="Z8" s="103"/>
      <c r="AA8" s="103"/>
      <c r="AB8" s="103"/>
      <c r="AC8" s="104"/>
      <c r="AD8" s="105"/>
      <c r="AE8" s="105"/>
      <c r="AF8" s="105"/>
      <c r="AG8" s="105"/>
      <c r="AH8" s="105"/>
    </row>
    <row r="9" spans="1:34" ht="36">
      <c r="A9" s="330">
        <v>269419</v>
      </c>
      <c r="B9" s="331" t="str">
        <f>IF(OR(D9&lt;&gt;D6,E9&lt;&gt;E6,H9&lt;&gt;H6,I9&lt;&gt;I6),IF(D9=5,"technosphere",IF(D9=4,H9&amp;", "&amp;I9,"emission "&amp;H9&amp;", "&amp;I9)),"")</f>
        <v>technosphere</v>
      </c>
      <c r="C9" s="88"/>
      <c r="D9" s="340">
        <v>5</v>
      </c>
      <c r="E9" s="341" t="s">
        <v>98</v>
      </c>
      <c r="F9" s="432" t="s">
        <v>1801</v>
      </c>
      <c r="G9" s="433" t="s">
        <v>93</v>
      </c>
      <c r="H9" s="434" t="s">
        <v>98</v>
      </c>
      <c r="I9" s="434" t="s">
        <v>98</v>
      </c>
      <c r="J9" s="94">
        <v>0</v>
      </c>
      <c r="K9" s="433" t="s">
        <v>96</v>
      </c>
      <c r="L9" s="435">
        <v>2079.7979999999998</v>
      </c>
      <c r="M9" s="95">
        <v>1</v>
      </c>
      <c r="N9" s="96">
        <f t="shared" ref="N9:N26" si="0">EXP(SQRT((LN($AA9)^2)+(LN($AA9)^2)))</f>
        <v>1.3309795497281629</v>
      </c>
      <c r="O9" s="432" t="str">
        <f t="shared" ref="O9:O27" si="1">$AB9&amp;"; "&amp;$Q9</f>
        <v>(2,2,2,1,2,3); GOES core, Si-alloying step. Base-steel fraction, own estimate. GOES modelled as 3% Si steel: base steel = 0.966 kg/kg GOES (= 1 - 0.034). Estimated.</v>
      </c>
      <c r="P9" s="499"/>
      <c r="Q9" s="216" t="s">
        <v>1802</v>
      </c>
      <c r="R9" s="339">
        <v>2</v>
      </c>
      <c r="S9" s="339">
        <v>2</v>
      </c>
      <c r="T9" s="339">
        <v>2</v>
      </c>
      <c r="U9" s="339">
        <v>1</v>
      </c>
      <c r="V9" s="339">
        <v>2</v>
      </c>
      <c r="W9" s="339">
        <v>3</v>
      </c>
      <c r="X9" s="339">
        <v>3</v>
      </c>
      <c r="Y9" s="104">
        <v>1.05</v>
      </c>
      <c r="Z9" s="107">
        <f t="shared" ref="Z9:Z31" si="2">EXP(SQRT((LN(AC9)^2)+(LN(AD9)^2)+(LN(AE9)^2)+(LN(AF9)^2)+(LN(AG9)^2)+(LN(AH9)^2)))</f>
        <v>1.2167665867084276</v>
      </c>
      <c r="AA9" s="107">
        <f t="shared" ref="AA9:AA31" si="3">EXP(SQRT((LN(AC9)^2)+(LN(AD9)^2)+(LN(AE9)^2)+(LN(AF9)^2)+(LN(AG9)^2)+(LN(AH9)^2)+LN(Y9)^2))</f>
        <v>1.2240592121708656</v>
      </c>
      <c r="AB9" s="107" t="str">
        <f t="shared" ref="AB9:AB31" si="4">CONCATENATE("(",R9,",",S9,",",T9,",",U9,",",V9,",",W9,")")</f>
        <v>(2,2,2,1,2,3)</v>
      </c>
      <c r="AC9" s="108">
        <v>1.05</v>
      </c>
      <c r="AD9" s="108">
        <v>1.02</v>
      </c>
      <c r="AE9" s="108">
        <v>1</v>
      </c>
      <c r="AF9" s="108">
        <v>1.01</v>
      </c>
      <c r="AG9" s="108">
        <v>1.2</v>
      </c>
      <c r="AH9" s="108">
        <v>1.05</v>
      </c>
    </row>
    <row r="10" spans="1:34" ht="48">
      <c r="A10" s="330">
        <v>78566</v>
      </c>
      <c r="B10" s="331" t="str">
        <f t="shared" ref="B10:B24" si="5">IF(OR(D10&lt;&gt;D9,E10&lt;&gt;E9,H10&lt;&gt;H9,I10&lt;&gt;I9),IF(D10=5,"technosphere",IF(D10=4,H10&amp;", "&amp;I10,"emission "&amp;H10&amp;", "&amp;I10)),"")</f>
        <v/>
      </c>
      <c r="C10" s="88"/>
      <c r="D10" s="340">
        <v>5</v>
      </c>
      <c r="E10" s="341" t="s">
        <v>98</v>
      </c>
      <c r="F10" s="432" t="s">
        <v>335</v>
      </c>
      <c r="G10" s="433" t="s">
        <v>336</v>
      </c>
      <c r="H10" s="434" t="s">
        <v>98</v>
      </c>
      <c r="I10" s="434" t="s">
        <v>98</v>
      </c>
      <c r="J10" s="94">
        <v>0</v>
      </c>
      <c r="K10" s="433" t="s">
        <v>96</v>
      </c>
      <c r="L10" s="435">
        <v>73.201999999999998</v>
      </c>
      <c r="M10" s="95">
        <v>1</v>
      </c>
      <c r="N10" s="96">
        <f t="shared" si="0"/>
        <v>1.3363841736894124</v>
      </c>
      <c r="O10" s="432" t="str">
        <f t="shared" si="1"/>
        <v>(2,2,2,2,3,3); GOES core, Si-alloying step. Own estimate from 3% Si content: Si factor = 0.034 kg/kg GOES (0.03 Si / ~0.88 MG-silicon effectiveness). MG-silicon dataset used as proxy for ferrosilicon. Estimated.</v>
      </c>
      <c r="P10" s="499"/>
      <c r="Q10" s="216" t="s">
        <v>1803</v>
      </c>
      <c r="R10" s="83">
        <v>2</v>
      </c>
      <c r="S10" s="83">
        <v>2</v>
      </c>
      <c r="T10" s="339">
        <v>2</v>
      </c>
      <c r="U10" s="83">
        <v>2</v>
      </c>
      <c r="V10" s="83">
        <v>3</v>
      </c>
      <c r="W10" s="83">
        <v>3</v>
      </c>
      <c r="X10" s="83">
        <v>3</v>
      </c>
      <c r="Y10" s="104">
        <v>1.05</v>
      </c>
      <c r="Z10" s="107">
        <f t="shared" si="2"/>
        <v>1.2203631645632804</v>
      </c>
      <c r="AA10" s="107">
        <f t="shared" si="3"/>
        <v>1.2275717712904877</v>
      </c>
      <c r="AB10" s="107" t="str">
        <f t="shared" si="4"/>
        <v>(2,2,2,2,3,3)</v>
      </c>
      <c r="AC10" s="108">
        <v>1.05</v>
      </c>
      <c r="AD10" s="108">
        <v>1.02</v>
      </c>
      <c r="AE10" s="108">
        <v>1.03</v>
      </c>
      <c r="AF10" s="108">
        <v>1.02</v>
      </c>
      <c r="AG10" s="108">
        <v>1.2</v>
      </c>
      <c r="AH10" s="108">
        <v>1.05</v>
      </c>
    </row>
    <row r="11" spans="1:34" ht="24">
      <c r="A11" s="330">
        <v>267874</v>
      </c>
      <c r="B11" s="331" t="str">
        <f t="shared" si="5"/>
        <v/>
      </c>
      <c r="C11" s="88"/>
      <c r="D11" s="340">
        <v>5</v>
      </c>
      <c r="E11" s="341" t="s">
        <v>98</v>
      </c>
      <c r="F11" s="432" t="s">
        <v>736</v>
      </c>
      <c r="G11" s="433" t="s">
        <v>93</v>
      </c>
      <c r="H11" s="434" t="s">
        <v>98</v>
      </c>
      <c r="I11" s="434" t="s">
        <v>98</v>
      </c>
      <c r="J11" s="94">
        <v>0</v>
      </c>
      <c r="K11" s="433" t="s">
        <v>96</v>
      </c>
      <c r="L11" s="435">
        <f>L9+L10</f>
        <v>2153</v>
      </c>
      <c r="M11" s="95">
        <v>1</v>
      </c>
      <c r="N11" s="96">
        <f t="shared" si="0"/>
        <v>1.3305184475013054</v>
      </c>
      <c r="O11" s="432" t="str">
        <f t="shared" si="1"/>
        <v>(2,2,2,1,1,3); GOES core, hot rolling, 1 pass. Factor 1.000 kg/kg GOES.</v>
      </c>
      <c r="P11" s="499"/>
      <c r="Q11" s="216" t="s">
        <v>1804</v>
      </c>
      <c r="R11" s="83">
        <v>2</v>
      </c>
      <c r="S11" s="83">
        <v>2</v>
      </c>
      <c r="T11" s="339">
        <v>2</v>
      </c>
      <c r="U11" s="83">
        <v>1</v>
      </c>
      <c r="V11" s="83">
        <v>1</v>
      </c>
      <c r="W11" s="83">
        <v>3</v>
      </c>
      <c r="X11" s="83">
        <v>3</v>
      </c>
      <c r="Y11" s="104">
        <v>1.05</v>
      </c>
      <c r="Z11" s="107">
        <f t="shared" si="2"/>
        <v>1.2164594125584303</v>
      </c>
      <c r="AA11" s="107">
        <f t="shared" si="3"/>
        <v>1.2237593405947058</v>
      </c>
      <c r="AB11" s="107" t="str">
        <f t="shared" si="4"/>
        <v>(2,2,2,1,1,3)</v>
      </c>
      <c r="AC11" s="108">
        <v>1.05</v>
      </c>
      <c r="AD11" s="108">
        <v>1.02</v>
      </c>
      <c r="AE11" s="108">
        <v>1</v>
      </c>
      <c r="AF11" s="108">
        <v>1</v>
      </c>
      <c r="AG11" s="108">
        <v>1.2</v>
      </c>
      <c r="AH11" s="108">
        <v>1.05</v>
      </c>
    </row>
    <row r="12" spans="1:34" ht="24">
      <c r="A12" s="330">
        <v>269445</v>
      </c>
      <c r="B12" s="331" t="str">
        <f t="shared" si="5"/>
        <v/>
      </c>
      <c r="C12" s="88"/>
      <c r="D12" s="340">
        <v>5</v>
      </c>
      <c r="E12" s="341" t="s">
        <v>98</v>
      </c>
      <c r="F12" s="432" t="s">
        <v>682</v>
      </c>
      <c r="G12" s="433" t="s">
        <v>93</v>
      </c>
      <c r="H12" s="434" t="s">
        <v>98</v>
      </c>
      <c r="I12" s="434" t="s">
        <v>98</v>
      </c>
      <c r="J12" s="94">
        <v>0</v>
      </c>
      <c r="K12" s="433" t="s">
        <v>96</v>
      </c>
      <c r="L12" s="435">
        <f>L11*2</f>
        <v>4306</v>
      </c>
      <c r="M12" s="95">
        <v>1</v>
      </c>
      <c r="N12" s="96">
        <f t="shared" si="0"/>
        <v>1.3309795497281629</v>
      </c>
      <c r="O12" s="432" t="str">
        <f t="shared" si="1"/>
        <v>(2,2,2,1,2,3); GOES core, cold rolling, 2 passes. Factor 2.000 kg/kg GOES.</v>
      </c>
      <c r="P12" s="499"/>
      <c r="Q12" s="216" t="s">
        <v>1805</v>
      </c>
      <c r="R12" s="339">
        <v>2</v>
      </c>
      <c r="S12" s="339">
        <v>2</v>
      </c>
      <c r="T12" s="339">
        <v>2</v>
      </c>
      <c r="U12" s="339">
        <v>1</v>
      </c>
      <c r="V12" s="339">
        <v>2</v>
      </c>
      <c r="W12" s="339">
        <v>3</v>
      </c>
      <c r="X12" s="339">
        <v>3</v>
      </c>
      <c r="Y12" s="104">
        <v>1.05</v>
      </c>
      <c r="Z12" s="107">
        <f t="shared" si="2"/>
        <v>1.2167665867084276</v>
      </c>
      <c r="AA12" s="107">
        <f t="shared" si="3"/>
        <v>1.2240592121708656</v>
      </c>
      <c r="AB12" s="107" t="str">
        <f t="shared" si="4"/>
        <v>(2,2,2,1,2,3)</v>
      </c>
      <c r="AC12" s="108">
        <v>1.05</v>
      </c>
      <c r="AD12" s="108">
        <v>1.02</v>
      </c>
      <c r="AE12" s="108">
        <v>1</v>
      </c>
      <c r="AF12" s="108">
        <v>1.01</v>
      </c>
      <c r="AG12" s="108">
        <v>1.2</v>
      </c>
      <c r="AH12" s="108">
        <v>1.05</v>
      </c>
    </row>
    <row r="13" spans="1:34" ht="48">
      <c r="A13" s="330">
        <v>269603</v>
      </c>
      <c r="B13" s="331" t="str">
        <f t="shared" si="5"/>
        <v/>
      </c>
      <c r="C13" s="88"/>
      <c r="D13" s="340">
        <v>5</v>
      </c>
      <c r="E13" s="341" t="s">
        <v>98</v>
      </c>
      <c r="F13" s="432" t="s">
        <v>222</v>
      </c>
      <c r="G13" s="433" t="s">
        <v>223</v>
      </c>
      <c r="H13" s="434" t="s">
        <v>98</v>
      </c>
      <c r="I13" s="434" t="s">
        <v>98</v>
      </c>
      <c r="J13" s="94">
        <v>0</v>
      </c>
      <c r="K13" s="433" t="s">
        <v>109</v>
      </c>
      <c r="L13" s="435">
        <f>2.3683*1000</f>
        <v>2368.3000000000002</v>
      </c>
      <c r="M13" s="95">
        <v>1</v>
      </c>
      <c r="N13" s="96">
        <f t="shared" si="0"/>
        <v>1.8412319376035524</v>
      </c>
      <c r="O13" s="432" t="str">
        <f t="shared" si="1"/>
        <v>(3,3,4,2,2,4); GOES core, annealing electricity (decarburisation, box annealing, heat flattening), ~1100 kWh/t. Own estimate from general industrial-furnace energy data. Estimated.</v>
      </c>
      <c r="P13" s="499"/>
      <c r="Q13" s="216" t="s">
        <v>1806</v>
      </c>
      <c r="R13" s="339">
        <v>3</v>
      </c>
      <c r="S13" s="339">
        <v>3</v>
      </c>
      <c r="T13" s="339">
        <v>4</v>
      </c>
      <c r="U13" s="339">
        <v>2</v>
      </c>
      <c r="V13" s="339">
        <v>2</v>
      </c>
      <c r="W13" s="339">
        <v>4</v>
      </c>
      <c r="X13" s="339">
        <v>2</v>
      </c>
      <c r="Y13" s="104">
        <v>1.05</v>
      </c>
      <c r="Z13" s="107">
        <f t="shared" si="2"/>
        <v>1.5355310951092491</v>
      </c>
      <c r="AA13" s="107">
        <f t="shared" si="3"/>
        <v>1.5397847629457797</v>
      </c>
      <c r="AB13" s="107" t="str">
        <f t="shared" si="4"/>
        <v>(3,3,4,2,2,4)</v>
      </c>
      <c r="AC13" s="108">
        <v>1.1000000000000001</v>
      </c>
      <c r="AD13" s="108">
        <v>1.1000000000000001</v>
      </c>
      <c r="AE13" s="108">
        <v>1.03</v>
      </c>
      <c r="AF13" s="108">
        <v>1.01</v>
      </c>
      <c r="AG13" s="108">
        <v>1.5</v>
      </c>
      <c r="AH13" s="108">
        <v>1.02</v>
      </c>
    </row>
    <row r="14" spans="1:34" ht="24" customHeight="1">
      <c r="A14" s="330">
        <v>269529</v>
      </c>
      <c r="B14" s="331" t="str">
        <f t="shared" si="5"/>
        <v/>
      </c>
      <c r="C14" s="88"/>
      <c r="D14" s="340">
        <v>5</v>
      </c>
      <c r="E14" s="341" t="s">
        <v>98</v>
      </c>
      <c r="F14" s="432" t="s">
        <v>1807</v>
      </c>
      <c r="G14" s="433" t="s">
        <v>103</v>
      </c>
      <c r="H14" s="434" t="s">
        <v>98</v>
      </c>
      <c r="I14" s="434" t="s">
        <v>98</v>
      </c>
      <c r="J14" s="94">
        <v>0</v>
      </c>
      <c r="K14" s="433" t="s">
        <v>104</v>
      </c>
      <c r="L14" s="435">
        <v>9903.7999999999993</v>
      </c>
      <c r="M14" s="95">
        <v>1</v>
      </c>
      <c r="N14" s="96">
        <f t="shared" si="0"/>
        <v>1.8655969083437165</v>
      </c>
      <c r="O14" s="432" t="str">
        <f t="shared" si="1"/>
        <v>(4,3,4,3,3,4); GOES core, heat for all annealing stages (decarburisation anneal, secondary recrystallisation / box anneal, stress-relief / heat flattening). Total specific heat demand ~4553 kJ/kg GOES, own estimate aggregated over stages from general batch-furnace energy data (typical reported range 3000-3500 kJ/kg for box-furnace annealing of cold-rolled grain-oriented strip). {CH} industrial furnace &gt;1 MW dataset used as geographical and scale proxy. Estimated.</v>
      </c>
      <c r="P14" s="499"/>
      <c r="Q14" s="216" t="s">
        <v>1808</v>
      </c>
      <c r="R14" s="339">
        <v>4</v>
      </c>
      <c r="S14" s="339">
        <v>3</v>
      </c>
      <c r="T14" s="339">
        <v>4</v>
      </c>
      <c r="U14" s="339">
        <v>3</v>
      </c>
      <c r="V14" s="339">
        <v>3</v>
      </c>
      <c r="W14" s="339">
        <v>4</v>
      </c>
      <c r="X14" s="339">
        <v>1</v>
      </c>
      <c r="Y14" s="104">
        <v>1.05</v>
      </c>
      <c r="Z14" s="107">
        <f t="shared" si="2"/>
        <v>1.54996251792034</v>
      </c>
      <c r="AA14" s="107">
        <f t="shared" si="3"/>
        <v>1.554164956820717</v>
      </c>
      <c r="AB14" s="107" t="str">
        <f t="shared" si="4"/>
        <v>(4,3,4,3,3,4)</v>
      </c>
      <c r="AC14" s="108">
        <v>1.1000000000000001</v>
      </c>
      <c r="AD14" s="108">
        <v>1.1000000000000001</v>
      </c>
      <c r="AE14" s="108">
        <v>1.1000000000000001</v>
      </c>
      <c r="AF14" s="108">
        <v>1.02</v>
      </c>
      <c r="AG14" s="108">
        <v>1.5</v>
      </c>
      <c r="AH14" s="108">
        <v>1</v>
      </c>
    </row>
    <row r="15" spans="1:34" ht="24">
      <c r="A15" s="330">
        <v>157763</v>
      </c>
      <c r="B15" s="331" t="str">
        <f t="shared" si="5"/>
        <v/>
      </c>
      <c r="C15" s="88"/>
      <c r="D15" s="340">
        <v>5</v>
      </c>
      <c r="E15" s="341" t="s">
        <v>98</v>
      </c>
      <c r="F15" s="432" t="s">
        <v>1207</v>
      </c>
      <c r="G15" s="433" t="s">
        <v>93</v>
      </c>
      <c r="H15" s="434" t="s">
        <v>98</v>
      </c>
      <c r="I15" s="434" t="s">
        <v>98</v>
      </c>
      <c r="J15" s="94">
        <v>0</v>
      </c>
      <c r="K15" s="433" t="s">
        <v>96</v>
      </c>
      <c r="L15" s="435">
        <v>1060</v>
      </c>
      <c r="M15" s="95">
        <v>1</v>
      </c>
      <c r="N15" s="96">
        <f t="shared" si="0"/>
        <v>1.3414972844186528</v>
      </c>
      <c r="O15" s="432" t="str">
        <f t="shared" si="1"/>
        <v>(2,2,3,1,3,3); Transformer oil (mineral oil). Proxy: lubricating oil dataset. Based on manufacturer data.</v>
      </c>
      <c r="P15" s="499"/>
      <c r="Q15" s="216" t="s">
        <v>1809</v>
      </c>
      <c r="R15" s="339">
        <v>2</v>
      </c>
      <c r="S15" s="339">
        <v>2</v>
      </c>
      <c r="T15" s="339">
        <v>3</v>
      </c>
      <c r="U15" s="339">
        <v>1</v>
      </c>
      <c r="V15" s="339">
        <v>3</v>
      </c>
      <c r="W15" s="740">
        <v>3</v>
      </c>
      <c r="X15" s="740">
        <v>3</v>
      </c>
      <c r="Y15" s="104">
        <v>1.05</v>
      </c>
      <c r="Z15" s="107">
        <f t="shared" si="2"/>
        <v>1.2237593405947058</v>
      </c>
      <c r="AA15" s="107">
        <f t="shared" si="3"/>
        <v>1.2308910426561499</v>
      </c>
      <c r="AB15" s="107" t="str">
        <f t="shared" si="4"/>
        <v>(2,2,3,1,3,3)</v>
      </c>
      <c r="AC15" s="108">
        <v>1.05</v>
      </c>
      <c r="AD15" s="108">
        <v>1.05</v>
      </c>
      <c r="AE15" s="108">
        <v>1</v>
      </c>
      <c r="AF15" s="108">
        <v>1.02</v>
      </c>
      <c r="AG15" s="108">
        <v>1.2</v>
      </c>
      <c r="AH15" s="108">
        <v>1.05</v>
      </c>
    </row>
    <row r="16" spans="1:34" ht="24" customHeight="1">
      <c r="A16" s="330">
        <v>269439</v>
      </c>
      <c r="B16" s="331" t="str">
        <f t="shared" si="5"/>
        <v/>
      </c>
      <c r="C16" s="88"/>
      <c r="D16" s="340">
        <v>5</v>
      </c>
      <c r="E16" s="341" t="s">
        <v>98</v>
      </c>
      <c r="F16" s="432" t="s">
        <v>1607</v>
      </c>
      <c r="G16" s="433" t="s">
        <v>93</v>
      </c>
      <c r="H16" s="434" t="s">
        <v>98</v>
      </c>
      <c r="I16" s="434" t="s">
        <v>98</v>
      </c>
      <c r="J16" s="94">
        <v>0</v>
      </c>
      <c r="K16" s="433" t="s">
        <v>96</v>
      </c>
      <c r="L16" s="435">
        <v>618</v>
      </c>
      <c r="M16" s="95">
        <v>1</v>
      </c>
      <c r="N16" s="96">
        <f t="shared" si="0"/>
        <v>1.3397037765751298</v>
      </c>
      <c r="O16" s="432" t="str">
        <f t="shared" si="1"/>
        <v>(2,2,3,1,1,3); Al winding conductors, wrought alloy. Based on manufacturer data.</v>
      </c>
      <c r="P16" s="499"/>
      <c r="Q16" s="216" t="s">
        <v>1810</v>
      </c>
      <c r="R16" s="83">
        <v>2</v>
      </c>
      <c r="S16" s="83">
        <v>2</v>
      </c>
      <c r="T16" s="339">
        <v>3</v>
      </c>
      <c r="U16" s="83">
        <v>1</v>
      </c>
      <c r="V16" s="83">
        <v>1</v>
      </c>
      <c r="W16" s="83">
        <v>3</v>
      </c>
      <c r="X16" s="83">
        <v>3</v>
      </c>
      <c r="Y16" s="104">
        <v>1.05</v>
      </c>
      <c r="Z16" s="107">
        <f t="shared" si="2"/>
        <v>1.2225687766877855</v>
      </c>
      <c r="AA16" s="107">
        <f t="shared" si="3"/>
        <v>1.2297271761570974</v>
      </c>
      <c r="AB16" s="107" t="str">
        <f t="shared" si="4"/>
        <v>(2,2,3,1,1,3)</v>
      </c>
      <c r="AC16" s="108">
        <v>1.05</v>
      </c>
      <c r="AD16" s="108">
        <v>1.05</v>
      </c>
      <c r="AE16" s="108">
        <v>1</v>
      </c>
      <c r="AF16" s="108">
        <v>1</v>
      </c>
      <c r="AG16" s="108">
        <v>1.2</v>
      </c>
      <c r="AH16" s="108">
        <v>1.05</v>
      </c>
    </row>
    <row r="17" spans="1:34" ht="24" customHeight="1">
      <c r="A17" s="330">
        <v>269423</v>
      </c>
      <c r="B17" s="331" t="str">
        <f t="shared" si="5"/>
        <v/>
      </c>
      <c r="C17" s="88"/>
      <c r="D17" s="340">
        <v>5</v>
      </c>
      <c r="E17" s="341" t="s">
        <v>98</v>
      </c>
      <c r="F17" s="432" t="s">
        <v>681</v>
      </c>
      <c r="G17" s="433" t="s">
        <v>93</v>
      </c>
      <c r="H17" s="434" t="s">
        <v>98</v>
      </c>
      <c r="I17" s="434" t="s">
        <v>98</v>
      </c>
      <c r="J17" s="94">
        <v>0</v>
      </c>
      <c r="K17" s="433" t="s">
        <v>96</v>
      </c>
      <c r="L17" s="435">
        <v>618</v>
      </c>
      <c r="M17" s="95">
        <v>1</v>
      </c>
      <c r="N17" s="96">
        <f t="shared" si="0"/>
        <v>1.3401571506676448</v>
      </c>
      <c r="O17" s="432" t="str">
        <f t="shared" si="1"/>
        <v>(2,2,3,1,2,3); Al winding, flat conductor rolling step. Based on manufacturer data.</v>
      </c>
      <c r="P17" s="499"/>
      <c r="Q17" s="216" t="s">
        <v>1811</v>
      </c>
      <c r="R17" s="339">
        <v>2</v>
      </c>
      <c r="S17" s="339">
        <v>2</v>
      </c>
      <c r="T17" s="339">
        <v>3</v>
      </c>
      <c r="U17" s="339">
        <v>1</v>
      </c>
      <c r="V17" s="339">
        <v>2</v>
      </c>
      <c r="W17" s="339">
        <v>3</v>
      </c>
      <c r="X17" s="339">
        <v>3</v>
      </c>
      <c r="Y17" s="104">
        <v>1.05</v>
      </c>
      <c r="Z17" s="107">
        <f t="shared" si="2"/>
        <v>1.22286980598759</v>
      </c>
      <c r="AA17" s="107">
        <f t="shared" si="3"/>
        <v>1.2300214286628035</v>
      </c>
      <c r="AB17" s="107" t="str">
        <f t="shared" si="4"/>
        <v>(2,2,3,1,2,3)</v>
      </c>
      <c r="AC17" s="108">
        <v>1.05</v>
      </c>
      <c r="AD17" s="108">
        <v>1.05</v>
      </c>
      <c r="AE17" s="108">
        <v>1</v>
      </c>
      <c r="AF17" s="108">
        <v>1.01</v>
      </c>
      <c r="AG17" s="108">
        <v>1.2</v>
      </c>
      <c r="AH17" s="108">
        <v>1.05</v>
      </c>
    </row>
    <row r="18" spans="1:34" ht="24" customHeight="1">
      <c r="A18" s="330">
        <v>265177</v>
      </c>
      <c r="B18" s="331" t="str">
        <f t="shared" si="5"/>
        <v/>
      </c>
      <c r="C18" s="88"/>
      <c r="D18" s="340">
        <v>5</v>
      </c>
      <c r="E18" s="341" t="s">
        <v>98</v>
      </c>
      <c r="F18" s="432" t="s">
        <v>1776</v>
      </c>
      <c r="G18" s="433" t="s">
        <v>93</v>
      </c>
      <c r="H18" s="434" t="s">
        <v>98</v>
      </c>
      <c r="I18" s="434" t="s">
        <v>98</v>
      </c>
      <c r="J18" s="94">
        <v>0</v>
      </c>
      <c r="K18" s="433" t="s">
        <v>96</v>
      </c>
      <c r="L18" s="435">
        <v>618</v>
      </c>
      <c r="M18" s="95">
        <v>1</v>
      </c>
      <c r="N18" s="96">
        <f t="shared" si="0"/>
        <v>1.3401571506676448</v>
      </c>
      <c r="O18" s="432" t="str">
        <f t="shared" si="1"/>
        <v>(2,2,3,1,2,3); Al winding, general metalworking step. Based on manufacturer data.</v>
      </c>
      <c r="P18" s="499"/>
      <c r="Q18" s="216" t="s">
        <v>1812</v>
      </c>
      <c r="R18" s="339">
        <v>2</v>
      </c>
      <c r="S18" s="339">
        <v>2</v>
      </c>
      <c r="T18" s="339">
        <v>3</v>
      </c>
      <c r="U18" s="339">
        <v>1</v>
      </c>
      <c r="V18" s="339">
        <v>2</v>
      </c>
      <c r="W18" s="339">
        <v>3</v>
      </c>
      <c r="X18" s="339">
        <v>3</v>
      </c>
      <c r="Y18" s="104">
        <v>1.05</v>
      </c>
      <c r="Z18" s="107">
        <f t="shared" si="2"/>
        <v>1.22286980598759</v>
      </c>
      <c r="AA18" s="107">
        <f t="shared" si="3"/>
        <v>1.2300214286628035</v>
      </c>
      <c r="AB18" s="107" t="str">
        <f t="shared" si="4"/>
        <v>(2,2,3,1,2,3)</v>
      </c>
      <c r="AC18" s="108">
        <v>1.05</v>
      </c>
      <c r="AD18" s="108">
        <v>1.05</v>
      </c>
      <c r="AE18" s="108">
        <v>1</v>
      </c>
      <c r="AF18" s="108">
        <v>1.01</v>
      </c>
      <c r="AG18" s="108">
        <v>1.2</v>
      </c>
      <c r="AH18" s="108">
        <v>1.05</v>
      </c>
    </row>
    <row r="19" spans="1:34" ht="24">
      <c r="A19" s="330">
        <v>160377</v>
      </c>
      <c r="B19" s="331" t="str">
        <f t="shared" si="5"/>
        <v/>
      </c>
      <c r="C19" s="88"/>
      <c r="D19" s="340">
        <v>5</v>
      </c>
      <c r="E19" s="341" t="s">
        <v>98</v>
      </c>
      <c r="F19" s="432" t="s">
        <v>819</v>
      </c>
      <c r="G19" s="433" t="s">
        <v>93</v>
      </c>
      <c r="H19" s="434" t="s">
        <v>98</v>
      </c>
      <c r="I19" s="434" t="s">
        <v>98</v>
      </c>
      <c r="J19" s="94">
        <v>0</v>
      </c>
      <c r="K19" s="433" t="s">
        <v>96</v>
      </c>
      <c r="L19" s="435">
        <v>1734.52</v>
      </c>
      <c r="M19" s="95">
        <v>1</v>
      </c>
      <c r="N19" s="96">
        <f t="shared" si="0"/>
        <v>1.3305184475013054</v>
      </c>
      <c r="O19" s="432" t="str">
        <f t="shared" si="1"/>
        <v>(2,2,2,1,1,3); Structural steel (tank, frame, brackets). Residual mass. Source: manufacturer data.</v>
      </c>
      <c r="P19" s="499"/>
      <c r="Q19" s="216" t="s">
        <v>1813</v>
      </c>
      <c r="R19" s="339">
        <v>2</v>
      </c>
      <c r="S19" s="339">
        <v>2</v>
      </c>
      <c r="T19" s="339">
        <v>2</v>
      </c>
      <c r="U19" s="339">
        <v>1</v>
      </c>
      <c r="V19" s="339">
        <v>1</v>
      </c>
      <c r="W19" s="740">
        <v>3</v>
      </c>
      <c r="X19" s="740">
        <v>3</v>
      </c>
      <c r="Y19" s="104">
        <v>1.05</v>
      </c>
      <c r="Z19" s="107">
        <f t="shared" si="2"/>
        <v>1.2164594125584303</v>
      </c>
      <c r="AA19" s="107">
        <f t="shared" si="3"/>
        <v>1.2237593405947058</v>
      </c>
      <c r="AB19" s="107" t="str">
        <f t="shared" si="4"/>
        <v>(2,2,2,1,1,3)</v>
      </c>
      <c r="AC19" s="108">
        <v>1.05</v>
      </c>
      <c r="AD19" s="108">
        <v>1.02</v>
      </c>
      <c r="AE19" s="108">
        <v>1</v>
      </c>
      <c r="AF19" s="108">
        <v>1</v>
      </c>
      <c r="AG19" s="108">
        <v>1.2</v>
      </c>
      <c r="AH19" s="108">
        <v>1.05</v>
      </c>
    </row>
    <row r="20" spans="1:34" ht="24">
      <c r="A20" s="330">
        <v>266445</v>
      </c>
      <c r="B20" s="331" t="str">
        <f t="shared" si="5"/>
        <v/>
      </c>
      <c r="C20" s="88"/>
      <c r="D20" s="340">
        <v>5</v>
      </c>
      <c r="E20" s="341" t="s">
        <v>98</v>
      </c>
      <c r="F20" s="432" t="s">
        <v>496</v>
      </c>
      <c r="G20" s="433" t="s">
        <v>93</v>
      </c>
      <c r="H20" s="434" t="s">
        <v>98</v>
      </c>
      <c r="I20" s="434" t="s">
        <v>98</v>
      </c>
      <c r="J20" s="94">
        <v>0</v>
      </c>
      <c r="K20" s="433" t="s">
        <v>96</v>
      </c>
      <c r="L20" s="435">
        <v>34.11</v>
      </c>
      <c r="M20" s="95">
        <v>1</v>
      </c>
      <c r="N20" s="96">
        <f t="shared" si="0"/>
        <v>1.3613425371181709</v>
      </c>
      <c r="O20" s="432" t="str">
        <f t="shared" si="1"/>
        <v>(2,3,2,1,2,3); Conductor insulating paper. Al×0.115×0.48=34.11 kg.</v>
      </c>
      <c r="P20" s="499"/>
      <c r="Q20" s="216" t="s">
        <v>1814</v>
      </c>
      <c r="R20" s="83">
        <v>2</v>
      </c>
      <c r="S20" s="83">
        <v>3</v>
      </c>
      <c r="T20" s="339">
        <v>2</v>
      </c>
      <c r="U20" s="83">
        <v>1</v>
      </c>
      <c r="V20" s="83">
        <v>2</v>
      </c>
      <c r="W20" s="83">
        <v>3</v>
      </c>
      <c r="X20" s="83">
        <v>3</v>
      </c>
      <c r="Y20" s="104">
        <v>1.05</v>
      </c>
      <c r="Z20" s="107">
        <f t="shared" si="2"/>
        <v>1.2368841345971353</v>
      </c>
      <c r="AA20" s="107">
        <f t="shared" si="3"/>
        <v>1.2437390423448746</v>
      </c>
      <c r="AB20" s="107" t="str">
        <f t="shared" si="4"/>
        <v>(2,3,2,1,2,3)</v>
      </c>
      <c r="AC20" s="108">
        <v>1.1000000000000001</v>
      </c>
      <c r="AD20" s="108">
        <v>1.02</v>
      </c>
      <c r="AE20" s="108">
        <v>1</v>
      </c>
      <c r="AF20" s="108">
        <v>1.01</v>
      </c>
      <c r="AG20" s="108">
        <v>1.2</v>
      </c>
      <c r="AH20" s="108">
        <v>1.05</v>
      </c>
    </row>
    <row r="21" spans="1:34" ht="36">
      <c r="A21" s="330">
        <v>261607</v>
      </c>
      <c r="B21" s="331" t="str">
        <f t="shared" si="5"/>
        <v/>
      </c>
      <c r="C21" s="88"/>
      <c r="D21" s="340">
        <v>5</v>
      </c>
      <c r="E21" s="341" t="s">
        <v>98</v>
      </c>
      <c r="F21" s="432" t="s">
        <v>1815</v>
      </c>
      <c r="G21" s="433" t="s">
        <v>93</v>
      </c>
      <c r="H21" s="434" t="s">
        <v>98</v>
      </c>
      <c r="I21" s="434" t="s">
        <v>98</v>
      </c>
      <c r="J21" s="94">
        <v>0</v>
      </c>
      <c r="K21" s="433" t="s">
        <v>119</v>
      </c>
      <c r="L21" s="435">
        <v>36.96</v>
      </c>
      <c r="M21" s="95">
        <v>1</v>
      </c>
      <c r="N21" s="96">
        <f t="shared" si="0"/>
        <v>1.3626348236389707</v>
      </c>
      <c r="O21" s="432" t="str">
        <f t="shared" si="1"/>
        <v>(2,3,2,1,3,3); Transformer pressboard. Hard fibreboard (compressed cellulose) dataset used as proxy for pressboard. Estimated. Al×0.115×0.52=36.96 kg.</v>
      </c>
      <c r="P21" s="499"/>
      <c r="Q21" s="216" t="s">
        <v>1816</v>
      </c>
      <c r="R21" s="339">
        <v>2</v>
      </c>
      <c r="S21" s="339">
        <v>3</v>
      </c>
      <c r="T21" s="339">
        <v>2</v>
      </c>
      <c r="U21" s="339">
        <v>1</v>
      </c>
      <c r="V21" s="339">
        <v>3</v>
      </c>
      <c r="W21" s="339">
        <v>3</v>
      </c>
      <c r="X21" s="339">
        <v>3</v>
      </c>
      <c r="Y21" s="104">
        <v>1.05</v>
      </c>
      <c r="Z21" s="107">
        <f t="shared" si="2"/>
        <v>1.2377357818188195</v>
      </c>
      <c r="AA21" s="107">
        <f t="shared" si="3"/>
        <v>1.2445737709856226</v>
      </c>
      <c r="AB21" s="107" t="str">
        <f t="shared" si="4"/>
        <v>(2,3,2,1,3,3)</v>
      </c>
      <c r="AC21" s="108">
        <v>1.1000000000000001</v>
      </c>
      <c r="AD21" s="108">
        <v>1.02</v>
      </c>
      <c r="AE21" s="108">
        <v>1</v>
      </c>
      <c r="AF21" s="108">
        <v>1.02</v>
      </c>
      <c r="AG21" s="108">
        <v>1.2</v>
      </c>
      <c r="AH21" s="108">
        <v>1.05</v>
      </c>
    </row>
    <row r="22" spans="1:34">
      <c r="A22" s="330">
        <v>268383</v>
      </c>
      <c r="B22" s="331" t="str">
        <f t="shared" si="5"/>
        <v/>
      </c>
      <c r="C22" s="88"/>
      <c r="D22" s="340">
        <v>5</v>
      </c>
      <c r="E22" s="341" t="s">
        <v>98</v>
      </c>
      <c r="F22" s="432" t="s">
        <v>824</v>
      </c>
      <c r="G22" s="433" t="s">
        <v>93</v>
      </c>
      <c r="H22" s="434" t="s">
        <v>98</v>
      </c>
      <c r="I22" s="434" t="s">
        <v>98</v>
      </c>
      <c r="J22" s="94">
        <v>0</v>
      </c>
      <c r="K22" s="433" t="s">
        <v>96</v>
      </c>
      <c r="L22" s="435">
        <v>15</v>
      </c>
      <c r="M22" s="95">
        <v>1</v>
      </c>
      <c r="N22" s="96">
        <f t="shared" si="0"/>
        <v>1.3309795497281629</v>
      </c>
      <c r="O22" s="432" t="str">
        <f t="shared" si="1"/>
        <v>(2,2,2,1,2,3); Potting compound / adhesives.</v>
      </c>
      <c r="P22" s="499"/>
      <c r="Q22" s="216" t="s">
        <v>1817</v>
      </c>
      <c r="R22" s="339">
        <v>2</v>
      </c>
      <c r="S22" s="339">
        <v>2</v>
      </c>
      <c r="T22" s="339">
        <v>2</v>
      </c>
      <c r="U22" s="339">
        <v>1</v>
      </c>
      <c r="V22" s="339">
        <v>2</v>
      </c>
      <c r="W22" s="339">
        <v>3</v>
      </c>
      <c r="X22" s="339">
        <v>3</v>
      </c>
      <c r="Y22" s="104">
        <v>1.05</v>
      </c>
      <c r="Z22" s="107">
        <f t="shared" si="2"/>
        <v>1.2167665867084276</v>
      </c>
      <c r="AA22" s="107">
        <f t="shared" si="3"/>
        <v>1.2240592121708656</v>
      </c>
      <c r="AB22" s="107" t="str">
        <f t="shared" si="4"/>
        <v>(2,2,2,1,2,3)</v>
      </c>
      <c r="AC22" s="108">
        <v>1.05</v>
      </c>
      <c r="AD22" s="108">
        <v>1.02</v>
      </c>
      <c r="AE22" s="108">
        <v>1</v>
      </c>
      <c r="AF22" s="108">
        <v>1.01</v>
      </c>
      <c r="AG22" s="108">
        <v>1.2</v>
      </c>
      <c r="AH22" s="108">
        <v>1.05</v>
      </c>
    </row>
    <row r="23" spans="1:34">
      <c r="A23" s="330">
        <v>160379</v>
      </c>
      <c r="B23" s="331" t="str">
        <f t="shared" si="5"/>
        <v/>
      </c>
      <c r="C23" s="88"/>
      <c r="D23" s="340">
        <v>5</v>
      </c>
      <c r="E23" s="341" t="s">
        <v>98</v>
      </c>
      <c r="F23" s="432" t="s">
        <v>1174</v>
      </c>
      <c r="G23" s="433" t="s">
        <v>93</v>
      </c>
      <c r="H23" s="434" t="s">
        <v>98</v>
      </c>
      <c r="I23" s="434" t="s">
        <v>98</v>
      </c>
      <c r="J23" s="94">
        <v>0</v>
      </c>
      <c r="K23" s="433" t="s">
        <v>96</v>
      </c>
      <c r="L23" s="435">
        <v>2.1</v>
      </c>
      <c r="M23" s="95">
        <v>1</v>
      </c>
      <c r="N23" s="96">
        <f t="shared" si="0"/>
        <v>1.3305184475013054</v>
      </c>
      <c r="O23" s="432" t="str">
        <f t="shared" si="1"/>
        <v>(2,2,2,1,1,3); Copper (bushings, contacts).</v>
      </c>
      <c r="P23" s="499"/>
      <c r="Q23" s="216" t="s">
        <v>1818</v>
      </c>
      <c r="R23" s="339">
        <v>2</v>
      </c>
      <c r="S23" s="339">
        <v>2</v>
      </c>
      <c r="T23" s="339">
        <v>2</v>
      </c>
      <c r="U23" s="339">
        <v>1</v>
      </c>
      <c r="V23" s="339">
        <v>1</v>
      </c>
      <c r="W23" s="339">
        <v>3</v>
      </c>
      <c r="X23" s="339">
        <v>3</v>
      </c>
      <c r="Y23" s="104">
        <v>1.05</v>
      </c>
      <c r="Z23" s="107">
        <f t="shared" si="2"/>
        <v>1.2164594125584303</v>
      </c>
      <c r="AA23" s="107">
        <f t="shared" si="3"/>
        <v>1.2237593405947058</v>
      </c>
      <c r="AB23" s="107" t="str">
        <f t="shared" si="4"/>
        <v>(2,2,2,1,1,3)</v>
      </c>
      <c r="AC23" s="108">
        <v>1.05</v>
      </c>
      <c r="AD23" s="108">
        <v>1.02</v>
      </c>
      <c r="AE23" s="108">
        <v>1</v>
      </c>
      <c r="AF23" s="108">
        <v>1</v>
      </c>
      <c r="AG23" s="108">
        <v>1.2</v>
      </c>
      <c r="AH23" s="108">
        <v>1.05</v>
      </c>
    </row>
    <row r="24" spans="1:34" ht="24" customHeight="1">
      <c r="A24" s="330">
        <v>160373</v>
      </c>
      <c r="B24" s="331" t="str">
        <f t="shared" si="5"/>
        <v/>
      </c>
      <c r="C24" s="88"/>
      <c r="D24" s="340">
        <v>5</v>
      </c>
      <c r="E24" s="341" t="s">
        <v>98</v>
      </c>
      <c r="F24" s="432" t="s">
        <v>1399</v>
      </c>
      <c r="G24" s="433" t="s">
        <v>93</v>
      </c>
      <c r="H24" s="434" t="s">
        <v>98</v>
      </c>
      <c r="I24" s="434" t="s">
        <v>98</v>
      </c>
      <c r="J24" s="94">
        <v>0</v>
      </c>
      <c r="K24" s="433" t="s">
        <v>96</v>
      </c>
      <c r="L24" s="435">
        <v>2.5</v>
      </c>
      <c r="M24" s="95">
        <v>1</v>
      </c>
      <c r="N24" s="96">
        <f t="shared" si="0"/>
        <v>1.3305184475013054</v>
      </c>
      <c r="O24" s="432" t="str">
        <f t="shared" si="1"/>
        <v>(2,2,2,1,1,3); Stainless steel fittings.</v>
      </c>
      <c r="P24" s="499"/>
      <c r="Q24" s="216" t="s">
        <v>1819</v>
      </c>
      <c r="R24" s="339">
        <v>2</v>
      </c>
      <c r="S24" s="339">
        <v>2</v>
      </c>
      <c r="T24" s="339">
        <v>2</v>
      </c>
      <c r="U24" s="339">
        <v>1</v>
      </c>
      <c r="V24" s="339">
        <v>1</v>
      </c>
      <c r="W24" s="339">
        <v>3</v>
      </c>
      <c r="X24" s="339">
        <v>3</v>
      </c>
      <c r="Y24" s="104">
        <v>1.05</v>
      </c>
      <c r="Z24" s="107">
        <f t="shared" si="2"/>
        <v>1.2164594125584303</v>
      </c>
      <c r="AA24" s="107">
        <f t="shared" si="3"/>
        <v>1.2237593405947058</v>
      </c>
      <c r="AB24" s="107" t="str">
        <f t="shared" si="4"/>
        <v>(2,2,2,1,1,3)</v>
      </c>
      <c r="AC24" s="108">
        <v>1.05</v>
      </c>
      <c r="AD24" s="108">
        <v>1.02</v>
      </c>
      <c r="AE24" s="108">
        <v>1</v>
      </c>
      <c r="AF24" s="108">
        <v>1</v>
      </c>
      <c r="AG24" s="108">
        <v>1.2</v>
      </c>
      <c r="AH24" s="108">
        <v>1.05</v>
      </c>
    </row>
    <row r="25" spans="1:34" ht="24" customHeight="1">
      <c r="A25" s="330">
        <v>269443</v>
      </c>
      <c r="B25" s="331"/>
      <c r="C25" s="88"/>
      <c r="D25" s="340">
        <v>5</v>
      </c>
      <c r="E25" s="341" t="s">
        <v>98</v>
      </c>
      <c r="F25" s="432" t="s">
        <v>1613</v>
      </c>
      <c r="G25" s="433" t="s">
        <v>93</v>
      </c>
      <c r="H25" s="434" t="s">
        <v>98</v>
      </c>
      <c r="I25" s="434" t="s">
        <v>98</v>
      </c>
      <c r="J25" s="94">
        <v>0</v>
      </c>
      <c r="K25" s="433" t="s">
        <v>96</v>
      </c>
      <c r="L25" s="435">
        <v>0.2</v>
      </c>
      <c r="M25" s="95">
        <v>1</v>
      </c>
      <c r="N25" s="96">
        <f t="shared" si="0"/>
        <v>1.3309795497281629</v>
      </c>
      <c r="O25" s="432" t="str">
        <f t="shared" si="1"/>
        <v>(2,2,2,1,2,3); Sealing gaskets.</v>
      </c>
      <c r="P25" s="499"/>
      <c r="Q25" s="216" t="s">
        <v>1820</v>
      </c>
      <c r="R25" s="339">
        <v>2</v>
      </c>
      <c r="S25" s="339">
        <v>2</v>
      </c>
      <c r="T25" s="339">
        <v>2</v>
      </c>
      <c r="U25" s="339">
        <v>1</v>
      </c>
      <c r="V25" s="339">
        <v>2</v>
      </c>
      <c r="W25" s="339">
        <v>3</v>
      </c>
      <c r="X25" s="339">
        <v>3</v>
      </c>
      <c r="Y25" s="104">
        <v>1.05</v>
      </c>
      <c r="Z25" s="107">
        <f t="shared" si="2"/>
        <v>1.2167665867084276</v>
      </c>
      <c r="AA25" s="107">
        <f t="shared" si="3"/>
        <v>1.2240592121708656</v>
      </c>
      <c r="AB25" s="107" t="str">
        <f t="shared" si="4"/>
        <v>(2,2,2,1,2,3)</v>
      </c>
      <c r="AC25" s="108">
        <v>1.05</v>
      </c>
      <c r="AD25" s="108">
        <v>1.02</v>
      </c>
      <c r="AE25" s="108">
        <v>1</v>
      </c>
      <c r="AF25" s="108">
        <v>1.01</v>
      </c>
      <c r="AG25" s="108">
        <v>1.2</v>
      </c>
      <c r="AH25" s="108">
        <v>1.05</v>
      </c>
    </row>
    <row r="26" spans="1:34" ht="24" customHeight="1">
      <c r="A26" s="330">
        <v>267017</v>
      </c>
      <c r="B26" s="331" t="str">
        <f>IF(OR(D26&lt;&gt;D25,E26&lt;&gt;E25,H26&lt;&gt;H25,I26&lt;&gt;I25),IF(D26=5,"technosphere",IF(D26=4,H26&amp;", "&amp;I26,"emission "&amp;H26&amp;", "&amp;I26)),"")</f>
        <v/>
      </c>
      <c r="C26" s="88"/>
      <c r="D26" s="340">
        <v>5</v>
      </c>
      <c r="E26" s="341" t="s">
        <v>98</v>
      </c>
      <c r="F26" s="432" t="s">
        <v>715</v>
      </c>
      <c r="G26" s="433" t="s">
        <v>93</v>
      </c>
      <c r="H26" s="434" t="s">
        <v>98</v>
      </c>
      <c r="I26" s="434" t="s">
        <v>98</v>
      </c>
      <c r="J26" s="94">
        <v>0</v>
      </c>
      <c r="K26" s="433" t="s">
        <v>96</v>
      </c>
      <c r="L26" s="435">
        <v>13.61</v>
      </c>
      <c r="M26" s="95">
        <v>1</v>
      </c>
      <c r="N26" s="96">
        <f t="shared" si="0"/>
        <v>1.3309795497281629</v>
      </c>
      <c r="O26" s="432" t="str">
        <f t="shared" si="1"/>
        <v>(2,2,2,1,2,3); External tank coating. Total×0.0024=13.61 kg.</v>
      </c>
      <c r="P26" s="499"/>
      <c r="Q26" s="216" t="s">
        <v>1821</v>
      </c>
      <c r="R26" s="339">
        <v>2</v>
      </c>
      <c r="S26" s="339">
        <v>2</v>
      </c>
      <c r="T26" s="339">
        <v>2</v>
      </c>
      <c r="U26" s="339">
        <v>1</v>
      </c>
      <c r="V26" s="339">
        <v>2</v>
      </c>
      <c r="W26" s="339">
        <v>3</v>
      </c>
      <c r="X26" s="339">
        <v>3</v>
      </c>
      <c r="Y26" s="104">
        <v>1.05</v>
      </c>
      <c r="Z26" s="107">
        <f t="shared" si="2"/>
        <v>1.2167665867084276</v>
      </c>
      <c r="AA26" s="107">
        <f t="shared" si="3"/>
        <v>1.2240592121708656</v>
      </c>
      <c r="AB26" s="107" t="str">
        <f t="shared" si="4"/>
        <v>(2,2,2,1,2,3)</v>
      </c>
      <c r="AC26" s="108">
        <v>1.05</v>
      </c>
      <c r="AD26" s="108">
        <v>1.02</v>
      </c>
      <c r="AE26" s="108">
        <v>1</v>
      </c>
      <c r="AF26" s="108">
        <v>1.01</v>
      </c>
      <c r="AG26" s="108">
        <v>1.2</v>
      </c>
      <c r="AH26" s="108">
        <v>1.05</v>
      </c>
    </row>
    <row r="27" spans="1:34" ht="27.75" customHeight="1">
      <c r="A27" s="330">
        <v>89719</v>
      </c>
      <c r="B27" s="331" t="s">
        <v>511</v>
      </c>
      <c r="C27" s="88"/>
      <c r="D27" s="340">
        <v>5</v>
      </c>
      <c r="E27" s="341" t="s">
        <v>98</v>
      </c>
      <c r="F27" s="432" t="s">
        <v>1221</v>
      </c>
      <c r="G27" s="433" t="s">
        <v>103</v>
      </c>
      <c r="H27" s="434" t="s">
        <v>98</v>
      </c>
      <c r="I27" s="434" t="s">
        <v>98</v>
      </c>
      <c r="J27" s="94">
        <v>0</v>
      </c>
      <c r="K27" s="433" t="s">
        <v>96</v>
      </c>
      <c r="L27" s="435">
        <v>1060</v>
      </c>
      <c r="M27" s="95">
        <v>1</v>
      </c>
      <c r="N27" s="96">
        <v>2.77</v>
      </c>
      <c r="O27" s="432" t="str">
        <f t="shared" si="1"/>
        <v>(2,2,3,1,2,3); EoL transformer oil to hazardous waste incineration. = oil input mass (cut-off).</v>
      </c>
      <c r="P27" s="499"/>
      <c r="Q27" s="216" t="s">
        <v>1822</v>
      </c>
      <c r="R27" s="339">
        <v>2</v>
      </c>
      <c r="S27" s="339">
        <v>2</v>
      </c>
      <c r="T27" s="339">
        <v>3</v>
      </c>
      <c r="U27" s="339">
        <v>1</v>
      </c>
      <c r="V27" s="339">
        <v>2</v>
      </c>
      <c r="W27" s="339">
        <v>3</v>
      </c>
      <c r="X27" s="339">
        <v>6</v>
      </c>
      <c r="Y27" s="104">
        <v>1.05</v>
      </c>
      <c r="Z27" s="107">
        <f t="shared" si="2"/>
        <v>1.215548092916382</v>
      </c>
      <c r="AA27" s="107">
        <f t="shared" si="3"/>
        <v>1.22286980598759</v>
      </c>
      <c r="AB27" s="107" t="str">
        <f t="shared" si="4"/>
        <v>(2,2,3,1,2,3)</v>
      </c>
      <c r="AC27" s="108">
        <v>1.05</v>
      </c>
      <c r="AD27" s="108">
        <v>1.05</v>
      </c>
      <c r="AE27" s="108">
        <v>1</v>
      </c>
      <c r="AF27" s="108">
        <v>1.01</v>
      </c>
      <c r="AG27" s="108">
        <v>1.2</v>
      </c>
      <c r="AH27" s="108">
        <v>1</v>
      </c>
    </row>
    <row r="28" spans="1:34" ht="27.75" customHeight="1">
      <c r="A28" s="330">
        <v>269471</v>
      </c>
      <c r="B28" s="331" t="str">
        <f>IF(OR(D28&lt;&gt;D27,E28&lt;&gt;E27,H28&lt;&gt;H27,I28&lt;&gt;I27),IF(D28=5,"technosphere",IF(D28=4,H28&amp;", "&amp;I28,"emission "&amp;H28&amp;", "&amp;I28)),"")</f>
        <v/>
      </c>
      <c r="C28" s="88"/>
      <c r="D28" s="340">
        <v>5</v>
      </c>
      <c r="E28" s="341" t="s">
        <v>98</v>
      </c>
      <c r="F28" s="432" t="s">
        <v>1823</v>
      </c>
      <c r="G28" s="433" t="s">
        <v>103</v>
      </c>
      <c r="H28" s="434" t="s">
        <v>98</v>
      </c>
      <c r="I28" s="434" t="s">
        <v>98</v>
      </c>
      <c r="J28" s="94">
        <v>0</v>
      </c>
      <c r="K28" s="433" t="s">
        <v>96</v>
      </c>
      <c r="L28" s="435">
        <v>71.069999999999993</v>
      </c>
      <c r="M28" s="95">
        <v>1</v>
      </c>
      <c r="N28" s="96">
        <v>2.77</v>
      </c>
      <c r="O28" s="432"/>
      <c r="P28" s="499"/>
      <c r="Q28" s="216" t="s">
        <v>1824</v>
      </c>
      <c r="R28" s="339">
        <v>2</v>
      </c>
      <c r="S28" s="339">
        <v>3</v>
      </c>
      <c r="T28" s="339">
        <v>2</v>
      </c>
      <c r="U28" s="339">
        <v>1</v>
      </c>
      <c r="V28" s="339">
        <v>2</v>
      </c>
      <c r="W28" s="339">
        <v>3</v>
      </c>
      <c r="X28" s="339">
        <v>6</v>
      </c>
      <c r="Y28" s="104">
        <v>1.05</v>
      </c>
      <c r="Z28" s="107">
        <f t="shared" si="2"/>
        <v>1.2298855060689875</v>
      </c>
      <c r="AA28" s="107">
        <f t="shared" si="3"/>
        <v>1.2368841345971353</v>
      </c>
      <c r="AB28" s="107" t="str">
        <f t="shared" si="4"/>
        <v>(2,3,2,1,2,3)</v>
      </c>
      <c r="AC28" s="108">
        <v>1.1000000000000001</v>
      </c>
      <c r="AD28" s="108">
        <v>1.02</v>
      </c>
      <c r="AE28" s="108">
        <v>1</v>
      </c>
      <c r="AF28" s="108">
        <v>1.01</v>
      </c>
      <c r="AG28" s="108">
        <v>1.2</v>
      </c>
      <c r="AH28" s="108">
        <v>1</v>
      </c>
    </row>
    <row r="29" spans="1:34" ht="27.75" customHeight="1">
      <c r="A29" s="330">
        <v>269487</v>
      </c>
      <c r="B29" s="331" t="str">
        <f>IF(OR(D29&lt;&gt;D28,E29&lt;&gt;E28,H29&lt;&gt;H28,I29&lt;&gt;I28),IF(D29=5,"technosphere",IF(D29=4,H29&amp;", "&amp;I29,"emission "&amp;H29&amp;", "&amp;I29)),"")</f>
        <v/>
      </c>
      <c r="C29" s="88"/>
      <c r="D29" s="340">
        <v>5</v>
      </c>
      <c r="E29" s="341" t="s">
        <v>98</v>
      </c>
      <c r="F29" s="432" t="s">
        <v>1219</v>
      </c>
      <c r="G29" s="433" t="s">
        <v>103</v>
      </c>
      <c r="H29" s="434" t="s">
        <v>98</v>
      </c>
      <c r="I29" s="434" t="s">
        <v>98</v>
      </c>
      <c r="J29" s="94">
        <v>0</v>
      </c>
      <c r="K29" s="433" t="s">
        <v>96</v>
      </c>
      <c r="L29" s="435">
        <v>15</v>
      </c>
      <c r="M29" s="95">
        <v>1</v>
      </c>
      <c r="N29" s="96">
        <v>3</v>
      </c>
      <c r="O29" s="432"/>
      <c r="P29" s="499"/>
      <c r="Q29" s="216" t="s">
        <v>1825</v>
      </c>
      <c r="R29" s="339">
        <v>2</v>
      </c>
      <c r="S29" s="339">
        <v>3</v>
      </c>
      <c r="T29" s="339">
        <v>2</v>
      </c>
      <c r="U29" s="339">
        <v>1</v>
      </c>
      <c r="V29" s="339">
        <v>3</v>
      </c>
      <c r="W29" s="339">
        <v>3</v>
      </c>
      <c r="X29" s="339">
        <v>6</v>
      </c>
      <c r="Y29" s="104">
        <v>1.05</v>
      </c>
      <c r="Z29" s="107">
        <f t="shared" si="2"/>
        <v>1.2307554869322919</v>
      </c>
      <c r="AA29" s="107">
        <f t="shared" si="3"/>
        <v>1.2377357818188195</v>
      </c>
      <c r="AB29" s="107" t="str">
        <f t="shared" si="4"/>
        <v>(2,3,2,1,3,3)</v>
      </c>
      <c r="AC29" s="108">
        <v>1.1000000000000001</v>
      </c>
      <c r="AD29" s="108">
        <v>1.02</v>
      </c>
      <c r="AE29" s="108">
        <v>1</v>
      </c>
      <c r="AF29" s="108">
        <v>1.02</v>
      </c>
      <c r="AG29" s="108">
        <v>1.2</v>
      </c>
      <c r="AH29" s="108">
        <v>1</v>
      </c>
    </row>
    <row r="30" spans="1:34" ht="36">
      <c r="A30" s="330">
        <v>257032</v>
      </c>
      <c r="B30" s="331" t="str">
        <f>IF(OR(D30&lt;&gt;D29,E30&lt;&gt;E29,H30&lt;&gt;H29,I30&lt;&gt;I29),IF(D30=5,"technosphere",IF(D30=4,H30&amp;", "&amp;I30,"emission "&amp;H30&amp;", "&amp;I30)),"")</f>
        <v/>
      </c>
      <c r="C30" s="88"/>
      <c r="D30" s="340">
        <v>5</v>
      </c>
      <c r="E30" s="341" t="s">
        <v>98</v>
      </c>
      <c r="F30" s="432" t="s">
        <v>1826</v>
      </c>
      <c r="G30" s="433" t="s">
        <v>103</v>
      </c>
      <c r="H30" s="434" t="s">
        <v>98</v>
      </c>
      <c r="I30" s="434" t="s">
        <v>98</v>
      </c>
      <c r="J30" s="94">
        <v>0</v>
      </c>
      <c r="K30" s="433" t="s">
        <v>96</v>
      </c>
      <c r="L30" s="435">
        <v>0.2</v>
      </c>
      <c r="M30" s="95">
        <v>1</v>
      </c>
      <c r="N30" s="96">
        <v>3</v>
      </c>
      <c r="O30" s="432"/>
      <c r="P30" s="499"/>
      <c r="Q30" s="216" t="s">
        <v>1827</v>
      </c>
      <c r="R30" s="339">
        <v>2</v>
      </c>
      <c r="S30" s="339">
        <v>2</v>
      </c>
      <c r="T30" s="339">
        <v>2</v>
      </c>
      <c r="U30" s="339">
        <v>1</v>
      </c>
      <c r="V30" s="339">
        <v>3</v>
      </c>
      <c r="W30" s="339">
        <v>3</v>
      </c>
      <c r="X30" s="339">
        <v>6</v>
      </c>
      <c r="Y30" s="104">
        <v>1.05</v>
      </c>
      <c r="Z30" s="107">
        <f t="shared" si="2"/>
        <v>1.2102214383667471</v>
      </c>
      <c r="AA30" s="107">
        <f t="shared" si="3"/>
        <v>1.2176741773196758</v>
      </c>
      <c r="AB30" s="107" t="str">
        <f t="shared" si="4"/>
        <v>(2,2,2,1,3,3)</v>
      </c>
      <c r="AC30" s="108">
        <v>1.05</v>
      </c>
      <c r="AD30" s="108">
        <v>1.02</v>
      </c>
      <c r="AE30" s="108">
        <v>1</v>
      </c>
      <c r="AF30" s="108">
        <v>1.02</v>
      </c>
      <c r="AG30" s="108">
        <v>1.2</v>
      </c>
      <c r="AH30" s="108">
        <v>1</v>
      </c>
    </row>
    <row r="31" spans="1:34" ht="33" customHeight="1">
      <c r="A31" s="330">
        <v>260804</v>
      </c>
      <c r="B31" s="331" t="str">
        <f>IF(OR(D31&lt;&gt;D30,E31&lt;&gt;E30,H31&lt;&gt;H30,I31&lt;&gt;I30),IF(D31=5,"technosphere",IF(D31=4,H31&amp;", "&amp;I31,"emission "&amp;H31&amp;", "&amp;I31)),"")</f>
        <v/>
      </c>
      <c r="C31" s="88"/>
      <c r="D31" s="340">
        <v>5</v>
      </c>
      <c r="E31" s="341" t="s">
        <v>98</v>
      </c>
      <c r="F31" s="432" t="s">
        <v>1828</v>
      </c>
      <c r="G31" s="433" t="s">
        <v>103</v>
      </c>
      <c r="H31" s="434" t="s">
        <v>98</v>
      </c>
      <c r="I31" s="434" t="s">
        <v>98</v>
      </c>
      <c r="J31" s="94">
        <v>0</v>
      </c>
      <c r="K31" s="433" t="s">
        <v>96</v>
      </c>
      <c r="L31" s="435">
        <v>13.61</v>
      </c>
      <c r="M31" s="95">
        <v>1</v>
      </c>
      <c r="N31" s="96">
        <v>2.77</v>
      </c>
      <c r="O31" s="432" t="str">
        <f>$AB31&amp;"; "&amp;$Q31</f>
        <v>(2,2,2,1,2,3); EoL tank coating to final disposal.</v>
      </c>
      <c r="P31" s="499"/>
      <c r="Q31" s="216" t="s">
        <v>1829</v>
      </c>
      <c r="R31" s="339">
        <v>2</v>
      </c>
      <c r="S31" s="339">
        <v>2</v>
      </c>
      <c r="T31" s="339">
        <v>2</v>
      </c>
      <c r="U31" s="339">
        <v>1</v>
      </c>
      <c r="V31" s="339">
        <v>2</v>
      </c>
      <c r="W31" s="339">
        <v>3</v>
      </c>
      <c r="X31" s="339">
        <v>6</v>
      </c>
      <c r="Y31" s="104">
        <v>1.05</v>
      </c>
      <c r="Z31" s="107">
        <f t="shared" si="2"/>
        <v>1.2092902742898253</v>
      </c>
      <c r="AA31" s="107">
        <f t="shared" si="3"/>
        <v>1.2167665867084276</v>
      </c>
      <c r="AB31" s="107" t="str">
        <f t="shared" si="4"/>
        <v>(2,2,2,1,2,3)</v>
      </c>
      <c r="AC31" s="108">
        <v>1.05</v>
      </c>
      <c r="AD31" s="108">
        <v>1.02</v>
      </c>
      <c r="AE31" s="108">
        <v>1</v>
      </c>
      <c r="AF31" s="108">
        <v>1.01</v>
      </c>
      <c r="AG31" s="108">
        <v>1.2</v>
      </c>
      <c r="AH31" s="108">
        <v>1</v>
      </c>
    </row>
    <row r="34" spans="6:12">
      <c r="L34" s="783"/>
    </row>
    <row r="36" spans="6:12" s="203" customFormat="1">
      <c r="F36" s="780"/>
      <c r="G36" s="225"/>
      <c r="H36" s="225"/>
      <c r="I36" s="225"/>
      <c r="J36" s="225"/>
      <c r="K36" s="225"/>
      <c r="L36" s="784"/>
    </row>
  </sheetData>
  <phoneticPr fontId="31" type="noConversion"/>
  <conditionalFormatting sqref="D9:O31">
    <cfRule type="expression" dxfId="89" priority="6">
      <formula>MOD(ROW(),2)=0</formula>
    </cfRule>
  </conditionalFormatting>
  <conditionalFormatting sqref="Q9:X31">
    <cfRule type="expression" dxfId="88" priority="1">
      <formula>MOD(ROW(),2)=0</formula>
    </cfRule>
  </conditionalFormatting>
  <conditionalFormatting sqref="R13:W14">
    <cfRule type="expression" dxfId="87" priority="4">
      <formula>MOD(ROW(),2)=0</formula>
    </cfRule>
  </conditionalFormatting>
  <conditionalFormatting sqref="Y9:AH31">
    <cfRule type="expression" dxfId="86" priority="3">
      <formula>MOD(ROW(),2)=0</formula>
    </cfRule>
  </conditionalFormatting>
  <dataValidations count="5">
    <dataValidation allowBlank="1" showInputMessage="1" showErrorMessage="1" promptTitle="Do not change" prompt="This field is automatically updated from the names-list" sqref="X9:X31" xr:uid="{A0E06E45-B4EF-4CC4-A213-4441DBE5B2BF}"/>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2:O3 O9:O31" xr:uid="{010E7854-9901-4BBD-B438-86AFA90A4F0E}"/>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3 M9:M31" xr:uid="{037E9408-C716-406D-8B84-DAC99B56F7D8}"/>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3" xr:uid="{A6C9FAA4-42A3-4F09-8194-A85C46FD5831}"/>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9:K31" xr:uid="{5F9EC41E-72A5-4C9A-B6AA-7B95D8891EBA}"/>
  </dataValidations>
  <pageMargins left="0.78740157499999996" right="0.78740157499999996" top="0.984251969" bottom="0.984251969" header="0.4921259845" footer="0.4921259845"/>
  <pageSetup paperSize="9" scale="4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Tabelle36">
    <tabColor rgb="FF9CD9F0"/>
    <pageSetUpPr fitToPage="1"/>
  </sheetPr>
  <dimension ref="A1:BF58"/>
  <sheetViews>
    <sheetView topLeftCell="B24" workbookViewId="0">
      <selection activeCell="F45" sqref="F45"/>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5" width="5" style="378" hidden="1" customWidth="1" outlineLevel="1"/>
    <col min="6" max="6" width="34.28515625" style="378" customWidth="1" collapsed="1"/>
    <col min="7" max="7" width="7.140625" style="378" customWidth="1"/>
    <col min="8" max="8" width="6.85546875" style="378" hidden="1" customWidth="1" outlineLevel="1"/>
    <col min="9" max="9" width="6" style="378" hidden="1" customWidth="1" outlineLevel="1"/>
    <col min="10" max="10" width="9.28515625" style="378" customWidth="1" collapsed="1"/>
    <col min="11" max="11" width="6.5703125" style="378" bestFit="1" customWidth="1"/>
    <col min="12" max="13" width="5.7109375" style="116" hidden="1" customWidth="1" outlineLevel="1"/>
    <col min="14" max="14" width="50.7109375" style="116" hidden="1" customWidth="1" outlineLevel="1"/>
    <col min="15" max="15" width="11" style="378" customWidth="1" collapsed="1"/>
    <col min="16" max="17" width="5.7109375" style="116" hidden="1" customWidth="1" outlineLevel="1"/>
    <col min="18" max="18" width="50.7109375" style="116" hidden="1" customWidth="1" outlineLevel="1"/>
    <col min="19" max="19" width="10.28515625" style="378" customWidth="1" collapsed="1"/>
    <col min="20" max="21" width="5.7109375" style="116" hidden="1" customWidth="1" outlineLevel="1"/>
    <col min="22" max="22" width="50.7109375" style="116" hidden="1" customWidth="1" outlineLevel="1"/>
    <col min="23" max="23" width="10.7109375" style="378" customWidth="1" collapsed="1"/>
    <col min="24" max="25" width="5.7109375" style="116" hidden="1" customWidth="1" outlineLevel="1"/>
    <col min="26" max="26" width="50.7109375" style="116" hidden="1" customWidth="1" outlineLevel="1"/>
    <col min="27" max="27" width="10.5703125" style="378" customWidth="1" collapsed="1"/>
    <col min="28" max="29" width="5.7109375" style="116" hidden="1" customWidth="1" outlineLevel="1"/>
    <col min="30" max="30" width="50.7109375" style="116" hidden="1" customWidth="1" outlineLevel="1"/>
    <col min="31" max="31" width="10.7109375" style="378" customWidth="1" collapsed="1"/>
    <col min="32" max="33" width="5.7109375" style="116" hidden="1" customWidth="1" outlineLevel="1"/>
    <col min="34" max="34" width="44.140625" style="116" hidden="1" customWidth="1" outlineLevel="1"/>
    <col min="35" max="36" width="5.7109375" style="116" hidden="1" customWidth="1" outlineLevel="1"/>
    <col min="37" max="37" width="50.7109375" style="116" hidden="1" customWidth="1" outlineLevel="1"/>
    <col min="38" max="38" width="11.42578125" style="378" customWidth="1" collapsed="1"/>
    <col min="39" max="39" width="47.7109375" style="407" customWidth="1"/>
    <col min="40" max="40" width="4.140625" style="407" hidden="1" customWidth="1" outlineLevel="1"/>
    <col min="41" max="41" width="4.42578125" style="407" hidden="1" customWidth="1" outlineLevel="1"/>
    <col min="42" max="42" width="4.28515625" style="407" hidden="1" customWidth="1" outlineLevel="1"/>
    <col min="43" max="43" width="4" style="407" hidden="1" customWidth="1" outlineLevel="1"/>
    <col min="44" max="44" width="3.7109375" style="407" hidden="1" customWidth="1" outlineLevel="1"/>
    <col min="45" max="45" width="4.28515625" style="407" hidden="1" customWidth="1" outlineLevel="1"/>
    <col min="46" max="46" width="3.42578125" style="407" hidden="1" customWidth="1" outlineLevel="1"/>
    <col min="47" max="47" width="4.7109375" style="378" hidden="1" customWidth="1" outlineLevel="1"/>
    <col min="48" max="49" width="5.42578125" style="378" hidden="1" customWidth="1" outlineLevel="1"/>
    <col min="50" max="50" width="14.85546875" style="378" hidden="1" customWidth="1" outlineLevel="1"/>
    <col min="51" max="54" width="4.42578125" style="378" hidden="1" customWidth="1" outlineLevel="1"/>
    <col min="55" max="55" width="4.28515625" style="378" hidden="1" customWidth="1" outlineLevel="1"/>
    <col min="56" max="56" width="4.42578125" style="378" hidden="1" customWidth="1" outlineLevel="1"/>
    <col min="57" max="57" width="11.42578125" style="378" customWidth="1" collapsed="1"/>
    <col min="58" max="59" width="11.42578125" style="378" customWidth="1"/>
    <col min="60" max="16384" width="11.42578125" style="378"/>
  </cols>
  <sheetData>
    <row r="1" spans="1:56">
      <c r="A1" s="77"/>
      <c r="B1" s="78"/>
      <c r="C1" s="79"/>
      <c r="D1" s="77"/>
      <c r="E1" s="77"/>
      <c r="F1" s="80" t="s">
        <v>65</v>
      </c>
      <c r="G1" s="77"/>
      <c r="H1" s="77"/>
      <c r="I1" s="77"/>
      <c r="J1" s="77"/>
      <c r="K1" s="77"/>
      <c r="L1" s="81"/>
      <c r="M1" s="81"/>
      <c r="N1" s="81"/>
      <c r="O1" s="643" t="str">
        <f>A12</f>
        <v>Z-PV-262</v>
      </c>
      <c r="P1" s="81"/>
      <c r="Q1" s="81"/>
      <c r="R1" s="81"/>
      <c r="S1" s="330" t="s">
        <v>1830</v>
      </c>
      <c r="T1" s="81"/>
      <c r="U1" s="81"/>
      <c r="V1" s="81"/>
      <c r="W1" s="330" t="s">
        <v>1831</v>
      </c>
      <c r="X1" s="81"/>
      <c r="Y1" s="81"/>
      <c r="Z1" s="81"/>
      <c r="AA1" s="330" t="s">
        <v>1832</v>
      </c>
      <c r="AB1" s="81"/>
      <c r="AC1" s="81"/>
      <c r="AD1" s="81"/>
      <c r="AE1" s="330" t="s">
        <v>1833</v>
      </c>
      <c r="AF1" s="81"/>
      <c r="AG1" s="81"/>
      <c r="AH1" s="81"/>
      <c r="AI1" s="81"/>
      <c r="AJ1" s="81"/>
      <c r="AK1" s="81"/>
      <c r="AM1" s="378"/>
      <c r="AN1" s="1586"/>
      <c r="AO1" s="1581"/>
      <c r="AP1" s="1581"/>
      <c r="AQ1" s="1581"/>
      <c r="AR1" s="1581"/>
      <c r="AS1" s="1581"/>
      <c r="AT1" s="406"/>
      <c r="AU1" s="406"/>
      <c r="AV1" s="406"/>
      <c r="AW1" s="406"/>
      <c r="AX1" s="406"/>
    </row>
    <row r="2" spans="1:56">
      <c r="A2" s="77"/>
      <c r="B2" s="82"/>
      <c r="C2" s="79" t="s">
        <v>67</v>
      </c>
      <c r="D2" s="82">
        <v>3503</v>
      </c>
      <c r="E2" s="82">
        <v>3504</v>
      </c>
      <c r="F2" s="82">
        <v>3702</v>
      </c>
      <c r="G2" s="82">
        <v>3703</v>
      </c>
      <c r="H2" s="82">
        <v>3506</v>
      </c>
      <c r="I2" s="82">
        <v>3507</v>
      </c>
      <c r="J2" s="82">
        <v>3508</v>
      </c>
      <c r="K2" s="82">
        <v>3706</v>
      </c>
      <c r="L2" s="419">
        <v>3708</v>
      </c>
      <c r="M2" s="419">
        <v>3709</v>
      </c>
      <c r="N2" s="420">
        <v>3792</v>
      </c>
      <c r="O2" s="82">
        <v>3707</v>
      </c>
      <c r="P2" s="419">
        <v>3708</v>
      </c>
      <c r="Q2" s="419">
        <v>3709</v>
      </c>
      <c r="R2" s="420">
        <v>3792</v>
      </c>
      <c r="S2" s="82">
        <v>3707</v>
      </c>
      <c r="T2" s="419">
        <v>3708</v>
      </c>
      <c r="U2" s="419">
        <v>3709</v>
      </c>
      <c r="V2" s="420">
        <v>3792</v>
      </c>
      <c r="W2" s="82">
        <v>3707</v>
      </c>
      <c r="X2" s="419">
        <v>3708</v>
      </c>
      <c r="Y2" s="419">
        <v>3709</v>
      </c>
      <c r="Z2" s="420">
        <v>3792</v>
      </c>
      <c r="AA2" s="82">
        <v>3707</v>
      </c>
      <c r="AB2" s="419">
        <v>3708</v>
      </c>
      <c r="AC2" s="419">
        <v>3709</v>
      </c>
      <c r="AD2" s="420">
        <v>3792</v>
      </c>
      <c r="AE2" s="82">
        <v>3707</v>
      </c>
      <c r="AF2" s="419">
        <v>3708</v>
      </c>
      <c r="AG2" s="419">
        <v>3709</v>
      </c>
      <c r="AH2" s="420">
        <v>3792</v>
      </c>
      <c r="AI2" s="419">
        <v>3708</v>
      </c>
      <c r="AJ2" s="419">
        <v>3709</v>
      </c>
      <c r="AK2" s="420">
        <v>3792</v>
      </c>
      <c r="AM2" s="406"/>
      <c r="AN2" s="406"/>
      <c r="AO2" s="406"/>
      <c r="AP2" s="406"/>
      <c r="AQ2" s="406"/>
      <c r="AR2" s="406"/>
      <c r="AS2" s="406"/>
      <c r="AT2" s="406"/>
    </row>
    <row r="3" spans="1:56" ht="102" customHeight="1">
      <c r="A3" s="83" t="s">
        <v>68</v>
      </c>
      <c r="B3" s="84"/>
      <c r="C3" s="79">
        <v>401</v>
      </c>
      <c r="D3" s="85" t="s">
        <v>69</v>
      </c>
      <c r="E3" s="85" t="s">
        <v>70</v>
      </c>
      <c r="F3" s="86" t="s">
        <v>71</v>
      </c>
      <c r="G3" s="85" t="s">
        <v>72</v>
      </c>
      <c r="H3" s="85" t="s">
        <v>73</v>
      </c>
      <c r="I3" s="85" t="s">
        <v>74</v>
      </c>
      <c r="J3" s="85" t="s">
        <v>75</v>
      </c>
      <c r="K3" s="85" t="s">
        <v>76</v>
      </c>
      <c r="L3" s="422" t="s">
        <v>78</v>
      </c>
      <c r="M3" s="422" t="s">
        <v>79</v>
      </c>
      <c r="N3" s="423" t="s">
        <v>80</v>
      </c>
      <c r="O3" s="87" t="s">
        <v>1834</v>
      </c>
      <c r="P3" s="422" t="s">
        <v>78</v>
      </c>
      <c r="Q3" s="422" t="s">
        <v>79</v>
      </c>
      <c r="R3" s="423" t="s">
        <v>80</v>
      </c>
      <c r="S3" s="87" t="s">
        <v>1835</v>
      </c>
      <c r="T3" s="422" t="s">
        <v>78</v>
      </c>
      <c r="U3" s="422" t="s">
        <v>79</v>
      </c>
      <c r="V3" s="423" t="s">
        <v>80</v>
      </c>
      <c r="W3" s="87" t="s">
        <v>1836</v>
      </c>
      <c r="X3" s="422" t="s">
        <v>78</v>
      </c>
      <c r="Y3" s="422" t="s">
        <v>79</v>
      </c>
      <c r="Z3" s="423" t="s">
        <v>80</v>
      </c>
      <c r="AA3" s="87" t="s">
        <v>1837</v>
      </c>
      <c r="AB3" s="422" t="s">
        <v>78</v>
      </c>
      <c r="AC3" s="422" t="s">
        <v>79</v>
      </c>
      <c r="AD3" s="423" t="s">
        <v>80</v>
      </c>
      <c r="AE3" s="87" t="s">
        <v>1838</v>
      </c>
      <c r="AF3" s="422" t="s">
        <v>78</v>
      </c>
      <c r="AG3" s="422" t="s">
        <v>79</v>
      </c>
      <c r="AH3" s="423" t="s">
        <v>80</v>
      </c>
      <c r="AI3" s="422" t="s">
        <v>78</v>
      </c>
      <c r="AJ3" s="422" t="s">
        <v>79</v>
      </c>
      <c r="AK3" s="423" t="s">
        <v>80</v>
      </c>
      <c r="AM3" s="97" t="s">
        <v>363</v>
      </c>
      <c r="AN3" s="98" t="s">
        <v>364</v>
      </c>
      <c r="AO3" s="98" t="s">
        <v>365</v>
      </c>
      <c r="AP3" s="98" t="s">
        <v>366</v>
      </c>
      <c r="AQ3" s="98" t="s">
        <v>367</v>
      </c>
      <c r="AR3" s="98" t="s">
        <v>368</v>
      </c>
      <c r="AS3" s="98" t="s">
        <v>369</v>
      </c>
      <c r="AT3" s="99" t="s">
        <v>88</v>
      </c>
      <c r="AU3" s="99" t="s">
        <v>370</v>
      </c>
      <c r="AV3" s="99" t="s">
        <v>90</v>
      </c>
      <c r="AW3" s="99" t="s">
        <v>91</v>
      </c>
      <c r="AX3" s="99" t="s">
        <v>371</v>
      </c>
      <c r="AY3" s="100" t="s">
        <v>364</v>
      </c>
      <c r="AZ3" s="100" t="s">
        <v>365</v>
      </c>
      <c r="BA3" s="100" t="s">
        <v>366</v>
      </c>
      <c r="BB3" s="100" t="s">
        <v>367</v>
      </c>
      <c r="BC3" s="100" t="s">
        <v>368</v>
      </c>
      <c r="BD3" s="100" t="s">
        <v>369</v>
      </c>
    </row>
    <row r="4" spans="1:56" ht="12" customHeight="1">
      <c r="A4" s="77"/>
      <c r="B4" s="84"/>
      <c r="C4" s="79">
        <v>662</v>
      </c>
      <c r="D4" s="86"/>
      <c r="E4" s="86"/>
      <c r="F4" s="86" t="s">
        <v>72</v>
      </c>
      <c r="G4" s="86"/>
      <c r="H4" s="86"/>
      <c r="I4" s="86"/>
      <c r="J4" s="86"/>
      <c r="K4" s="86"/>
      <c r="L4" s="425"/>
      <c r="M4" s="425"/>
      <c r="N4" s="426"/>
      <c r="O4" s="87" t="s">
        <v>154</v>
      </c>
      <c r="P4" s="425"/>
      <c r="Q4" s="425"/>
      <c r="R4" s="426"/>
      <c r="S4" s="87" t="s">
        <v>154</v>
      </c>
      <c r="T4" s="425"/>
      <c r="U4" s="425"/>
      <c r="V4" s="426"/>
      <c r="W4" s="87" t="s">
        <v>154</v>
      </c>
      <c r="X4" s="425"/>
      <c r="Y4" s="425"/>
      <c r="Z4" s="426"/>
      <c r="AA4" s="87" t="s">
        <v>154</v>
      </c>
      <c r="AB4" s="425"/>
      <c r="AC4" s="425"/>
      <c r="AD4" s="426"/>
      <c r="AE4" s="87" t="s">
        <v>154</v>
      </c>
      <c r="AF4" s="425"/>
      <c r="AG4" s="425"/>
      <c r="AH4" s="426"/>
      <c r="AI4" s="425"/>
      <c r="AJ4" s="425"/>
      <c r="AK4" s="426"/>
      <c r="AM4" s="101"/>
      <c r="AN4" s="102" t="s">
        <v>94</v>
      </c>
      <c r="AO4" s="97"/>
      <c r="AP4" s="97"/>
      <c r="AQ4" s="97"/>
      <c r="AR4" s="97"/>
      <c r="AS4" s="97"/>
      <c r="AT4" s="103"/>
      <c r="AU4" s="103"/>
      <c r="AV4" s="103" t="s">
        <v>95</v>
      </c>
      <c r="AW4" s="103" t="s">
        <v>95</v>
      </c>
      <c r="AX4" s="104"/>
      <c r="AY4" s="105"/>
      <c r="AZ4" s="105"/>
      <c r="BA4" s="105"/>
      <c r="BB4" s="105"/>
      <c r="BC4" s="105"/>
      <c r="BD4" s="105"/>
    </row>
    <row r="5" spans="1:56" ht="12" customHeight="1">
      <c r="A5" s="77"/>
      <c r="B5" s="84"/>
      <c r="C5" s="79">
        <v>493</v>
      </c>
      <c r="D5" s="86"/>
      <c r="E5" s="86"/>
      <c r="F5" s="86" t="s">
        <v>75</v>
      </c>
      <c r="G5" s="86"/>
      <c r="H5" s="86"/>
      <c r="I5" s="86"/>
      <c r="J5" s="86"/>
      <c r="K5" s="86"/>
      <c r="L5" s="425"/>
      <c r="M5" s="425"/>
      <c r="N5" s="426"/>
      <c r="O5" s="87">
        <v>1</v>
      </c>
      <c r="P5" s="425"/>
      <c r="Q5" s="425"/>
      <c r="R5" s="426"/>
      <c r="S5" s="87">
        <v>1</v>
      </c>
      <c r="T5" s="425"/>
      <c r="U5" s="425"/>
      <c r="V5" s="426"/>
      <c r="W5" s="87">
        <v>1</v>
      </c>
      <c r="X5" s="425"/>
      <c r="Y5" s="425"/>
      <c r="Z5" s="426"/>
      <c r="AA5" s="87">
        <v>1</v>
      </c>
      <c r="AB5" s="425"/>
      <c r="AC5" s="425"/>
      <c r="AD5" s="426"/>
      <c r="AE5" s="87">
        <v>1</v>
      </c>
      <c r="AF5" s="425"/>
      <c r="AG5" s="425"/>
      <c r="AH5" s="426"/>
      <c r="AI5" s="425"/>
      <c r="AJ5" s="425"/>
      <c r="AK5" s="426"/>
      <c r="AM5" s="101"/>
      <c r="AN5" s="97"/>
      <c r="AO5" s="97"/>
      <c r="AP5" s="97"/>
      <c r="AQ5" s="97"/>
      <c r="AR5" s="97"/>
      <c r="AS5" s="97"/>
      <c r="AT5" s="104"/>
      <c r="AU5" s="104"/>
      <c r="AV5" s="104"/>
      <c r="AW5" s="104"/>
      <c r="AX5" s="104"/>
      <c r="AY5" s="105"/>
      <c r="AZ5" s="105"/>
      <c r="BA5" s="105"/>
      <c r="BB5" s="105"/>
      <c r="BC5" s="105"/>
      <c r="BD5" s="105"/>
    </row>
    <row r="6" spans="1:56" ht="12" customHeight="1">
      <c r="A6" s="77"/>
      <c r="B6" s="84"/>
      <c r="C6" s="79">
        <v>403</v>
      </c>
      <c r="D6" s="86"/>
      <c r="E6" s="86"/>
      <c r="F6" s="86" t="s">
        <v>76</v>
      </c>
      <c r="G6" s="86"/>
      <c r="H6" s="86"/>
      <c r="I6" s="86"/>
      <c r="J6" s="86"/>
      <c r="K6" s="86"/>
      <c r="L6" s="425"/>
      <c r="M6" s="425"/>
      <c r="N6" s="426"/>
      <c r="O6" s="87" t="s">
        <v>144</v>
      </c>
      <c r="P6" s="425"/>
      <c r="Q6" s="425"/>
      <c r="R6" s="426"/>
      <c r="S6" s="87" t="s">
        <v>144</v>
      </c>
      <c r="T6" s="425"/>
      <c r="U6" s="425"/>
      <c r="V6" s="426"/>
      <c r="W6" s="87" t="s">
        <v>144</v>
      </c>
      <c r="X6" s="425"/>
      <c r="Y6" s="425"/>
      <c r="Z6" s="426"/>
      <c r="AA6" s="87" t="s">
        <v>144</v>
      </c>
      <c r="AB6" s="425"/>
      <c r="AC6" s="425"/>
      <c r="AD6" s="426"/>
      <c r="AE6" s="87" t="s">
        <v>144</v>
      </c>
      <c r="AF6" s="425"/>
      <c r="AG6" s="425"/>
      <c r="AH6" s="426"/>
      <c r="AI6" s="425"/>
      <c r="AJ6" s="425"/>
      <c r="AK6" s="426"/>
      <c r="AM6" s="101"/>
      <c r="AN6" s="106"/>
      <c r="AO6" s="106"/>
      <c r="AP6" s="106"/>
      <c r="AQ6" s="106"/>
      <c r="AR6" s="106"/>
      <c r="AS6" s="106"/>
      <c r="AT6" s="104"/>
      <c r="AU6" s="104"/>
      <c r="AV6" s="428"/>
      <c r="AW6" s="428"/>
      <c r="AX6" s="107"/>
      <c r="AY6" s="105"/>
      <c r="AZ6" s="105"/>
      <c r="BA6" s="105"/>
      <c r="BB6" s="105"/>
      <c r="BC6" s="105"/>
      <c r="BD6" s="105"/>
    </row>
    <row r="7" spans="1:56" ht="24" customHeight="1">
      <c r="A7" s="330" t="s">
        <v>1839</v>
      </c>
      <c r="B7" s="331" t="s">
        <v>97</v>
      </c>
      <c r="C7" s="88"/>
      <c r="D7" s="294" t="s">
        <v>98</v>
      </c>
      <c r="E7" s="295">
        <v>0</v>
      </c>
      <c r="F7" s="429" t="s">
        <v>1840</v>
      </c>
      <c r="G7" s="430" t="s">
        <v>103</v>
      </c>
      <c r="H7" s="431" t="s">
        <v>98</v>
      </c>
      <c r="I7" s="431" t="s">
        <v>98</v>
      </c>
      <c r="J7" s="89">
        <v>1</v>
      </c>
      <c r="K7" s="430" t="s">
        <v>144</v>
      </c>
      <c r="L7" s="91"/>
      <c r="M7" s="92"/>
      <c r="N7" s="93"/>
      <c r="O7" s="90">
        <v>0</v>
      </c>
      <c r="P7" s="91"/>
      <c r="Q7" s="92"/>
      <c r="R7" s="93"/>
      <c r="S7" s="90">
        <v>0</v>
      </c>
      <c r="T7" s="91"/>
      <c r="U7" s="92"/>
      <c r="V7" s="93"/>
      <c r="W7" s="90">
        <v>0</v>
      </c>
      <c r="X7" s="91"/>
      <c r="Y7" s="92"/>
      <c r="Z7" s="93"/>
      <c r="AA7" s="90">
        <v>0</v>
      </c>
      <c r="AB7" s="91"/>
      <c r="AC7" s="92"/>
      <c r="AD7" s="93"/>
      <c r="AE7" s="90">
        <v>0</v>
      </c>
      <c r="AF7" s="91"/>
      <c r="AG7" s="92"/>
      <c r="AH7" s="93"/>
      <c r="AI7" s="91"/>
      <c r="AJ7" s="92"/>
      <c r="AK7" s="93"/>
      <c r="AM7" s="101"/>
      <c r="AN7" s="97"/>
      <c r="AO7" s="97"/>
      <c r="AP7" s="97"/>
      <c r="AQ7" s="97"/>
      <c r="AR7" s="97"/>
      <c r="AS7" s="97"/>
      <c r="AT7" s="104"/>
      <c r="AU7" s="104"/>
      <c r="AV7" s="104"/>
      <c r="AW7" s="104"/>
      <c r="AX7" s="104"/>
      <c r="AY7" s="104"/>
      <c r="AZ7" s="104"/>
      <c r="BA7" s="104"/>
      <c r="BB7" s="104"/>
      <c r="BC7" s="104"/>
      <c r="BD7" s="104"/>
    </row>
    <row r="8" spans="1:56" ht="24" customHeight="1">
      <c r="A8" s="330" t="s">
        <v>1841</v>
      </c>
      <c r="B8" s="331"/>
      <c r="C8" s="88"/>
      <c r="D8" s="294" t="s">
        <v>98</v>
      </c>
      <c r="E8" s="295">
        <v>0</v>
      </c>
      <c r="F8" s="429" t="s">
        <v>1842</v>
      </c>
      <c r="G8" s="430" t="s">
        <v>103</v>
      </c>
      <c r="H8" s="431" t="s">
        <v>98</v>
      </c>
      <c r="I8" s="431" t="s">
        <v>98</v>
      </c>
      <c r="J8" s="89">
        <v>1</v>
      </c>
      <c r="K8" s="430" t="s">
        <v>144</v>
      </c>
      <c r="L8" s="91"/>
      <c r="M8" s="92"/>
      <c r="N8" s="93"/>
      <c r="O8" s="90">
        <v>0</v>
      </c>
      <c r="P8" s="91"/>
      <c r="Q8" s="92"/>
      <c r="R8" s="93"/>
      <c r="S8" s="90">
        <f>AY7</f>
        <v>0</v>
      </c>
      <c r="T8" s="91"/>
      <c r="U8" s="92"/>
      <c r="V8" s="93"/>
      <c r="W8" s="90">
        <f>BC7</f>
        <v>0</v>
      </c>
      <c r="X8" s="91"/>
      <c r="Y8" s="92"/>
      <c r="Z8" s="93"/>
      <c r="AA8" s="90">
        <f>BG7</f>
        <v>0</v>
      </c>
      <c r="AB8" s="91"/>
      <c r="AC8" s="92"/>
      <c r="AD8" s="93"/>
      <c r="AE8" s="90">
        <f>BK7</f>
        <v>0</v>
      </c>
      <c r="AF8" s="91"/>
      <c r="AG8" s="92"/>
      <c r="AH8" s="93"/>
      <c r="AI8" s="91"/>
      <c r="AJ8" s="92"/>
      <c r="AK8" s="93"/>
      <c r="AM8" s="101"/>
      <c r="AN8" s="97"/>
      <c r="AO8" s="97"/>
      <c r="AP8" s="97"/>
      <c r="AQ8" s="97"/>
      <c r="AR8" s="97"/>
      <c r="AS8" s="97"/>
      <c r="AT8" s="104"/>
      <c r="AU8" s="104"/>
      <c r="AV8" s="104"/>
      <c r="AW8" s="104"/>
      <c r="AX8" s="104"/>
      <c r="AY8" s="104"/>
      <c r="AZ8" s="104"/>
      <c r="BA8" s="104"/>
      <c r="BB8" s="104"/>
      <c r="BC8" s="104"/>
      <c r="BD8" s="104"/>
    </row>
    <row r="9" spans="1:56" ht="24" customHeight="1">
      <c r="A9" s="330" t="s">
        <v>1843</v>
      </c>
      <c r="B9" s="331"/>
      <c r="C9" s="88"/>
      <c r="D9" s="294" t="s">
        <v>98</v>
      </c>
      <c r="E9" s="295">
        <v>0</v>
      </c>
      <c r="F9" s="429" t="s">
        <v>1844</v>
      </c>
      <c r="G9" s="430" t="s">
        <v>103</v>
      </c>
      <c r="H9" s="431" t="s">
        <v>98</v>
      </c>
      <c r="I9" s="431" t="s">
        <v>98</v>
      </c>
      <c r="J9" s="89">
        <v>1</v>
      </c>
      <c r="K9" s="430" t="s">
        <v>144</v>
      </c>
      <c r="L9" s="91"/>
      <c r="M9" s="92"/>
      <c r="N9" s="93"/>
      <c r="O9" s="90">
        <v>0</v>
      </c>
      <c r="P9" s="91"/>
      <c r="Q9" s="92"/>
      <c r="R9" s="93"/>
      <c r="S9" s="90">
        <f>AY8</f>
        <v>0</v>
      </c>
      <c r="T9" s="91"/>
      <c r="U9" s="92"/>
      <c r="V9" s="93"/>
      <c r="W9" s="90">
        <f>BC8</f>
        <v>0</v>
      </c>
      <c r="X9" s="91"/>
      <c r="Y9" s="92"/>
      <c r="Z9" s="93"/>
      <c r="AA9" s="90">
        <f>BG8</f>
        <v>0</v>
      </c>
      <c r="AB9" s="91"/>
      <c r="AC9" s="92"/>
      <c r="AD9" s="93"/>
      <c r="AE9" s="90">
        <f>BK8</f>
        <v>0</v>
      </c>
      <c r="AF9" s="91"/>
      <c r="AG9" s="92"/>
      <c r="AH9" s="93"/>
      <c r="AI9" s="91"/>
      <c r="AJ9" s="92"/>
      <c r="AK9" s="93"/>
      <c r="AM9" s="101"/>
      <c r="AN9" s="97"/>
      <c r="AO9" s="97"/>
      <c r="AP9" s="97"/>
      <c r="AQ9" s="97"/>
      <c r="AR9" s="97"/>
      <c r="AS9" s="97"/>
      <c r="AT9" s="104"/>
      <c r="AU9" s="104"/>
      <c r="AV9" s="104"/>
      <c r="AW9" s="104"/>
      <c r="AX9" s="104"/>
      <c r="AY9" s="104"/>
      <c r="AZ9" s="104"/>
      <c r="BA9" s="104"/>
      <c r="BB9" s="104"/>
      <c r="BC9" s="104"/>
      <c r="BD9" s="104"/>
    </row>
    <row r="10" spans="1:56" ht="24" customHeight="1">
      <c r="A10" s="330" t="s">
        <v>1845</v>
      </c>
      <c r="B10" s="331"/>
      <c r="C10" s="88"/>
      <c r="D10" s="294" t="s">
        <v>98</v>
      </c>
      <c r="E10" s="295">
        <v>0</v>
      </c>
      <c r="F10" s="429" t="s">
        <v>1846</v>
      </c>
      <c r="G10" s="430" t="s">
        <v>103</v>
      </c>
      <c r="H10" s="431" t="s">
        <v>98</v>
      </c>
      <c r="I10" s="431" t="s">
        <v>98</v>
      </c>
      <c r="J10" s="89">
        <v>1</v>
      </c>
      <c r="K10" s="430" t="s">
        <v>144</v>
      </c>
      <c r="L10" s="91"/>
      <c r="M10" s="92"/>
      <c r="N10" s="93"/>
      <c r="O10" s="90">
        <v>0</v>
      </c>
      <c r="P10" s="91"/>
      <c r="Q10" s="92"/>
      <c r="R10" s="93"/>
      <c r="S10" s="90">
        <f>AY9</f>
        <v>0</v>
      </c>
      <c r="T10" s="91"/>
      <c r="U10" s="92"/>
      <c r="V10" s="93"/>
      <c r="W10" s="90">
        <f>BC9</f>
        <v>0</v>
      </c>
      <c r="X10" s="91"/>
      <c r="Y10" s="92"/>
      <c r="Z10" s="93"/>
      <c r="AA10" s="90">
        <f>BG9</f>
        <v>0</v>
      </c>
      <c r="AB10" s="91"/>
      <c r="AC10" s="92"/>
      <c r="AD10" s="93"/>
      <c r="AE10" s="90">
        <f>BK9</f>
        <v>0</v>
      </c>
      <c r="AF10" s="91"/>
      <c r="AG10" s="92"/>
      <c r="AH10" s="93"/>
      <c r="AI10" s="91"/>
      <c r="AJ10" s="92"/>
      <c r="AK10" s="93"/>
      <c r="AM10" s="101"/>
      <c r="AN10" s="97"/>
      <c r="AO10" s="97"/>
      <c r="AP10" s="97"/>
      <c r="AQ10" s="97"/>
      <c r="AR10" s="97"/>
      <c r="AS10" s="97"/>
      <c r="AT10" s="104"/>
      <c r="AU10" s="104"/>
      <c r="AV10" s="104"/>
      <c r="AW10" s="104"/>
      <c r="AX10" s="104"/>
      <c r="AY10" s="104"/>
      <c r="AZ10" s="104"/>
      <c r="BA10" s="104"/>
      <c r="BB10" s="104"/>
      <c r="BC10" s="104"/>
      <c r="BD10" s="104"/>
    </row>
    <row r="11" spans="1:56" ht="24" customHeight="1">
      <c r="A11" s="330" t="s">
        <v>1847</v>
      </c>
      <c r="B11" s="331"/>
      <c r="C11" s="88"/>
      <c r="D11" s="294" t="s">
        <v>98</v>
      </c>
      <c r="E11" s="295">
        <v>0</v>
      </c>
      <c r="F11" s="429" t="s">
        <v>1848</v>
      </c>
      <c r="G11" s="430" t="s">
        <v>103</v>
      </c>
      <c r="H11" s="431" t="s">
        <v>98</v>
      </c>
      <c r="I11" s="431" t="s">
        <v>98</v>
      </c>
      <c r="J11" s="89">
        <v>1</v>
      </c>
      <c r="K11" s="430" t="s">
        <v>144</v>
      </c>
      <c r="L11" s="91"/>
      <c r="M11" s="92"/>
      <c r="N11" s="93"/>
      <c r="O11" s="90">
        <v>0</v>
      </c>
      <c r="P11" s="91"/>
      <c r="Q11" s="92"/>
      <c r="R11" s="93"/>
      <c r="S11" s="90">
        <f>AY10</f>
        <v>0</v>
      </c>
      <c r="T11" s="91"/>
      <c r="U11" s="92"/>
      <c r="V11" s="93"/>
      <c r="W11" s="90">
        <f>BC10</f>
        <v>0</v>
      </c>
      <c r="X11" s="91"/>
      <c r="Y11" s="92"/>
      <c r="Z11" s="93"/>
      <c r="AA11" s="90">
        <f>BG10</f>
        <v>0</v>
      </c>
      <c r="AB11" s="91"/>
      <c r="AC11" s="92"/>
      <c r="AD11" s="93"/>
      <c r="AE11" s="90">
        <f>BK10</f>
        <v>0</v>
      </c>
      <c r="AF11" s="91"/>
      <c r="AG11" s="92"/>
      <c r="AH11" s="93"/>
      <c r="AI11" s="91"/>
      <c r="AJ11" s="92"/>
      <c r="AK11" s="93"/>
      <c r="AM11" s="101"/>
      <c r="AN11" s="97"/>
      <c r="AO11" s="97"/>
      <c r="AP11" s="97"/>
      <c r="AQ11" s="97"/>
      <c r="AR11" s="97"/>
      <c r="AS11" s="97"/>
      <c r="AT11" s="104"/>
      <c r="AU11" s="104"/>
      <c r="AV11" s="104"/>
      <c r="AW11" s="104"/>
      <c r="AX11" s="104"/>
      <c r="AY11" s="104"/>
      <c r="AZ11" s="104"/>
      <c r="BA11" s="104"/>
      <c r="BB11" s="104"/>
      <c r="BC11" s="104"/>
      <c r="BD11" s="104"/>
    </row>
    <row r="12" spans="1:56" ht="24">
      <c r="A12" s="330" t="s">
        <v>1849</v>
      </c>
      <c r="B12" s="331"/>
      <c r="C12" s="88"/>
      <c r="D12" s="294" t="s">
        <v>98</v>
      </c>
      <c r="E12" s="295">
        <v>0</v>
      </c>
      <c r="F12" s="429" t="s">
        <v>1834</v>
      </c>
      <c r="G12" s="430" t="s">
        <v>154</v>
      </c>
      <c r="H12" s="431" t="s">
        <v>98</v>
      </c>
      <c r="I12" s="431" t="s">
        <v>98</v>
      </c>
      <c r="J12" s="89">
        <v>1</v>
      </c>
      <c r="K12" s="430" t="s">
        <v>144</v>
      </c>
      <c r="L12" s="91"/>
      <c r="M12" s="92"/>
      <c r="N12" s="93"/>
      <c r="O12" s="90">
        <v>1</v>
      </c>
      <c r="P12" s="91"/>
      <c r="Q12" s="92"/>
      <c r="R12" s="93"/>
      <c r="S12" s="90">
        <f>AY11</f>
        <v>0</v>
      </c>
      <c r="T12" s="91"/>
      <c r="U12" s="92"/>
      <c r="V12" s="93"/>
      <c r="W12" s="90">
        <f>BC11</f>
        <v>0</v>
      </c>
      <c r="X12" s="91"/>
      <c r="Y12" s="92"/>
      <c r="Z12" s="93"/>
      <c r="AA12" s="90">
        <f>BG11</f>
        <v>0</v>
      </c>
      <c r="AB12" s="91"/>
      <c r="AC12" s="92"/>
      <c r="AD12" s="93"/>
      <c r="AE12" s="90">
        <f>BK11</f>
        <v>0</v>
      </c>
      <c r="AF12" s="91"/>
      <c r="AG12" s="92"/>
      <c r="AH12" s="93"/>
      <c r="AI12" s="91"/>
      <c r="AJ12" s="92"/>
      <c r="AK12" s="93"/>
      <c r="AM12" s="101"/>
      <c r="AN12" s="97"/>
      <c r="AO12" s="97"/>
      <c r="AP12" s="97"/>
      <c r="AQ12" s="97"/>
      <c r="AR12" s="97"/>
      <c r="AS12" s="97"/>
      <c r="AT12" s="104"/>
      <c r="AU12" s="104"/>
      <c r="AV12" s="104"/>
      <c r="AW12" s="104"/>
      <c r="AX12" s="104"/>
      <c r="AY12" s="104"/>
      <c r="AZ12" s="104"/>
      <c r="BA12" s="104"/>
      <c r="BB12" s="104"/>
      <c r="BC12" s="104"/>
      <c r="BD12" s="104"/>
    </row>
    <row r="13" spans="1:56" ht="24">
      <c r="A13" s="330" t="s">
        <v>1830</v>
      </c>
      <c r="B13" s="331"/>
      <c r="C13" s="88"/>
      <c r="D13" s="294" t="s">
        <v>98</v>
      </c>
      <c r="E13" s="295">
        <v>0</v>
      </c>
      <c r="F13" s="429" t="s">
        <v>1835</v>
      </c>
      <c r="G13" s="430" t="s">
        <v>154</v>
      </c>
      <c r="H13" s="431"/>
      <c r="I13" s="431"/>
      <c r="J13" s="89">
        <v>1</v>
      </c>
      <c r="K13" s="430" t="s">
        <v>144</v>
      </c>
      <c r="L13" s="91"/>
      <c r="M13" s="92"/>
      <c r="N13" s="93"/>
      <c r="O13" s="90">
        <v>0</v>
      </c>
      <c r="P13" s="91"/>
      <c r="Q13" s="92"/>
      <c r="R13" s="93"/>
      <c r="S13" s="90">
        <v>1</v>
      </c>
      <c r="T13" s="91"/>
      <c r="U13" s="92"/>
      <c r="V13" s="93"/>
      <c r="W13" s="90">
        <v>0</v>
      </c>
      <c r="X13" s="91"/>
      <c r="Y13" s="92"/>
      <c r="Z13" s="93"/>
      <c r="AA13" s="90">
        <v>0</v>
      </c>
      <c r="AB13" s="91"/>
      <c r="AC13" s="92"/>
      <c r="AD13" s="93"/>
      <c r="AE13" s="90">
        <v>0</v>
      </c>
      <c r="AF13" s="91"/>
      <c r="AG13" s="92"/>
      <c r="AH13" s="93"/>
      <c r="AI13" s="91"/>
      <c r="AJ13" s="92"/>
      <c r="AK13" s="93"/>
      <c r="AM13" s="101"/>
      <c r="AN13" s="97"/>
      <c r="AO13" s="97"/>
      <c r="AP13" s="97"/>
      <c r="AQ13" s="97"/>
      <c r="AR13" s="97"/>
      <c r="AS13" s="97"/>
      <c r="AT13" s="104"/>
      <c r="AU13" s="104"/>
      <c r="AV13" s="104"/>
      <c r="AW13" s="104"/>
      <c r="AX13" s="104"/>
      <c r="AY13" s="104"/>
      <c r="AZ13" s="104"/>
      <c r="BA13" s="104"/>
      <c r="BB13" s="104"/>
      <c r="BC13" s="104"/>
      <c r="BD13" s="104"/>
    </row>
    <row r="14" spans="1:56" ht="24">
      <c r="A14" s="330" t="s">
        <v>1831</v>
      </c>
      <c r="B14" s="331"/>
      <c r="C14" s="88"/>
      <c r="D14" s="294" t="s">
        <v>98</v>
      </c>
      <c r="E14" s="295">
        <v>0</v>
      </c>
      <c r="F14" s="429" t="s">
        <v>1836</v>
      </c>
      <c r="G14" s="430" t="s">
        <v>154</v>
      </c>
      <c r="H14" s="431"/>
      <c r="I14" s="431"/>
      <c r="J14" s="89">
        <v>1</v>
      </c>
      <c r="K14" s="430" t="s">
        <v>144</v>
      </c>
      <c r="L14" s="91"/>
      <c r="M14" s="92"/>
      <c r="N14" s="93"/>
      <c r="O14" s="90">
        <v>0</v>
      </c>
      <c r="P14" s="91"/>
      <c r="Q14" s="92"/>
      <c r="R14" s="93"/>
      <c r="S14" s="90">
        <v>0</v>
      </c>
      <c r="T14" s="91"/>
      <c r="U14" s="92"/>
      <c r="V14" s="93"/>
      <c r="W14" s="90">
        <v>1</v>
      </c>
      <c r="X14" s="91"/>
      <c r="Y14" s="92"/>
      <c r="Z14" s="93"/>
      <c r="AA14" s="90">
        <v>0</v>
      </c>
      <c r="AB14" s="91"/>
      <c r="AC14" s="92"/>
      <c r="AD14" s="93"/>
      <c r="AE14" s="90">
        <v>0</v>
      </c>
      <c r="AF14" s="91"/>
      <c r="AG14" s="92"/>
      <c r="AH14" s="93"/>
      <c r="AI14" s="91"/>
      <c r="AJ14" s="92"/>
      <c r="AK14" s="93"/>
      <c r="AM14" s="101"/>
      <c r="AN14" s="97"/>
      <c r="AO14" s="97"/>
      <c r="AP14" s="97"/>
      <c r="AQ14" s="97"/>
      <c r="AR14" s="97"/>
      <c r="AS14" s="97"/>
      <c r="AT14" s="104"/>
      <c r="AU14" s="104"/>
      <c r="AV14" s="104"/>
      <c r="AW14" s="104"/>
      <c r="AX14" s="104"/>
      <c r="AY14" s="104"/>
      <c r="AZ14" s="104"/>
      <c r="BA14" s="104"/>
      <c r="BB14" s="104"/>
      <c r="BC14" s="104"/>
      <c r="BD14" s="104"/>
    </row>
    <row r="15" spans="1:56" ht="24">
      <c r="A15" s="330" t="str">
        <f>AA1</f>
        <v>Z-PV-160</v>
      </c>
      <c r="B15" s="331"/>
      <c r="C15" s="88"/>
      <c r="D15" s="294" t="s">
        <v>98</v>
      </c>
      <c r="E15" s="295">
        <v>0</v>
      </c>
      <c r="F15" s="429" t="s">
        <v>1837</v>
      </c>
      <c r="G15" s="430" t="s">
        <v>154</v>
      </c>
      <c r="H15" s="431" t="s">
        <v>98</v>
      </c>
      <c r="I15" s="431" t="s">
        <v>98</v>
      </c>
      <c r="J15" s="89">
        <v>1</v>
      </c>
      <c r="K15" s="430" t="s">
        <v>144</v>
      </c>
      <c r="L15" s="91"/>
      <c r="M15" s="92"/>
      <c r="N15" s="93"/>
      <c r="O15" s="90">
        <v>0</v>
      </c>
      <c r="P15" s="91"/>
      <c r="Q15" s="92"/>
      <c r="R15" s="93"/>
      <c r="S15" s="90">
        <v>0</v>
      </c>
      <c r="T15" s="91"/>
      <c r="U15" s="92"/>
      <c r="V15" s="93"/>
      <c r="W15" s="90">
        <v>0</v>
      </c>
      <c r="X15" s="91"/>
      <c r="Y15" s="92"/>
      <c r="Z15" s="93"/>
      <c r="AA15" s="90">
        <v>1</v>
      </c>
      <c r="AB15" s="91"/>
      <c r="AC15" s="92"/>
      <c r="AD15" s="93"/>
      <c r="AE15" s="90">
        <f>BK11</f>
        <v>0</v>
      </c>
      <c r="AF15" s="91"/>
      <c r="AG15" s="92"/>
      <c r="AH15" s="93"/>
      <c r="AI15" s="91"/>
      <c r="AJ15" s="92"/>
      <c r="AK15" s="93"/>
      <c r="AM15" s="101"/>
      <c r="AN15" s="97"/>
      <c r="AO15" s="97"/>
      <c r="AP15" s="97"/>
      <c r="AQ15" s="97"/>
      <c r="AR15" s="97"/>
      <c r="AS15" s="97"/>
      <c r="AT15" s="104"/>
      <c r="AU15" s="104"/>
      <c r="AV15" s="104"/>
      <c r="AW15" s="104"/>
      <c r="AX15" s="104"/>
      <c r="AY15" s="104"/>
      <c r="AZ15" s="104"/>
      <c r="BA15" s="104"/>
      <c r="BB15" s="104"/>
      <c r="BC15" s="104"/>
      <c r="BD15" s="104"/>
    </row>
    <row r="16" spans="1:56" ht="24">
      <c r="A16" s="330" t="str">
        <f>AE1</f>
        <v>Z-PV-161</v>
      </c>
      <c r="B16" s="331"/>
      <c r="C16" s="88"/>
      <c r="D16" s="294" t="s">
        <v>98</v>
      </c>
      <c r="E16" s="295">
        <v>0</v>
      </c>
      <c r="F16" s="429" t="s">
        <v>1838</v>
      </c>
      <c r="G16" s="430" t="s">
        <v>154</v>
      </c>
      <c r="H16" s="431" t="s">
        <v>98</v>
      </c>
      <c r="I16" s="431" t="s">
        <v>98</v>
      </c>
      <c r="J16" s="89">
        <v>1</v>
      </c>
      <c r="K16" s="430" t="s">
        <v>144</v>
      </c>
      <c r="L16" s="91"/>
      <c r="M16" s="92"/>
      <c r="N16" s="93"/>
      <c r="O16" s="90">
        <v>0</v>
      </c>
      <c r="P16" s="91"/>
      <c r="Q16" s="92"/>
      <c r="R16" s="93"/>
      <c r="S16" s="90">
        <f>AY15</f>
        <v>0</v>
      </c>
      <c r="T16" s="91"/>
      <c r="U16" s="92"/>
      <c r="V16" s="93"/>
      <c r="W16" s="90">
        <f>BC15</f>
        <v>0</v>
      </c>
      <c r="X16" s="91"/>
      <c r="Y16" s="92"/>
      <c r="Z16" s="93"/>
      <c r="AA16" s="90">
        <f>BG15</f>
        <v>0</v>
      </c>
      <c r="AB16" s="91"/>
      <c r="AC16" s="92"/>
      <c r="AD16" s="93"/>
      <c r="AE16" s="90">
        <v>1</v>
      </c>
      <c r="AF16" s="91"/>
      <c r="AG16" s="92"/>
      <c r="AH16" s="93"/>
      <c r="AI16" s="91"/>
      <c r="AJ16" s="92"/>
      <c r="AK16" s="93"/>
      <c r="AL16" s="378" t="s">
        <v>1850</v>
      </c>
      <c r="AM16" s="101"/>
      <c r="AN16" s="97"/>
      <c r="AO16" s="97"/>
      <c r="AP16" s="97"/>
      <c r="AQ16" s="97"/>
      <c r="AR16" s="97"/>
      <c r="AS16" s="97"/>
      <c r="AT16" s="104"/>
      <c r="AU16" s="104"/>
      <c r="AV16" s="104"/>
      <c r="AW16" s="104"/>
      <c r="AX16" s="104"/>
      <c r="AY16" s="104"/>
      <c r="AZ16" s="104"/>
      <c r="BA16" s="104"/>
      <c r="BB16" s="104"/>
      <c r="BC16" s="104"/>
      <c r="BD16" s="104"/>
    </row>
    <row r="17" spans="1:56" ht="36">
      <c r="A17" s="330" t="s">
        <v>1851</v>
      </c>
      <c r="B17" s="331"/>
      <c r="C17" s="88"/>
      <c r="D17" s="294" t="s">
        <v>98</v>
      </c>
      <c r="E17" s="295">
        <v>0</v>
      </c>
      <c r="F17" s="429" t="s">
        <v>1852</v>
      </c>
      <c r="G17" s="430" t="s">
        <v>103</v>
      </c>
      <c r="H17" s="431" t="s">
        <v>98</v>
      </c>
      <c r="I17" s="431" t="s">
        <v>98</v>
      </c>
      <c r="J17" s="89">
        <v>1</v>
      </c>
      <c r="K17" s="430" t="s">
        <v>144</v>
      </c>
      <c r="L17" s="91"/>
      <c r="M17" s="92"/>
      <c r="N17" s="93"/>
      <c r="O17" s="90">
        <v>0</v>
      </c>
      <c r="P17" s="91"/>
      <c r="Q17" s="92"/>
      <c r="R17" s="93"/>
      <c r="S17" s="90">
        <v>0</v>
      </c>
      <c r="T17" s="91"/>
      <c r="U17" s="92"/>
      <c r="V17" s="93"/>
      <c r="W17" s="90">
        <v>0</v>
      </c>
      <c r="X17" s="91"/>
      <c r="Y17" s="92"/>
      <c r="Z17" s="93"/>
      <c r="AA17" s="90">
        <v>0</v>
      </c>
      <c r="AB17" s="91"/>
      <c r="AC17" s="92"/>
      <c r="AD17" s="93"/>
      <c r="AE17" s="90">
        <v>0</v>
      </c>
      <c r="AF17" s="91"/>
      <c r="AG17" s="92"/>
      <c r="AH17" s="93"/>
      <c r="AI17" s="91"/>
      <c r="AJ17" s="92"/>
      <c r="AK17" s="93"/>
      <c r="AM17" s="101"/>
      <c r="AN17" s="97"/>
      <c r="AO17" s="97"/>
      <c r="AP17" s="97"/>
      <c r="AQ17" s="97"/>
      <c r="AR17" s="97"/>
      <c r="AS17" s="97"/>
      <c r="AT17" s="104"/>
      <c r="AU17" s="104"/>
      <c r="AV17" s="104"/>
      <c r="AW17" s="104"/>
      <c r="AX17" s="104"/>
      <c r="AY17" s="104"/>
      <c r="AZ17" s="104"/>
      <c r="BA17" s="104"/>
      <c r="BB17" s="104"/>
      <c r="BC17" s="104"/>
      <c r="BD17" s="104"/>
    </row>
    <row r="18" spans="1:56">
      <c r="A18" s="330" t="s">
        <v>1853</v>
      </c>
      <c r="B18" s="331" t="s">
        <v>221</v>
      </c>
      <c r="C18" s="88"/>
      <c r="D18" s="340">
        <v>5</v>
      </c>
      <c r="E18" s="341" t="s">
        <v>98</v>
      </c>
      <c r="F18" s="432" t="s">
        <v>1854</v>
      </c>
      <c r="G18" s="433" t="s">
        <v>154</v>
      </c>
      <c r="H18" s="434" t="s">
        <v>98</v>
      </c>
      <c r="I18" s="434" t="s">
        <v>98</v>
      </c>
      <c r="J18" s="94">
        <v>0</v>
      </c>
      <c r="K18" s="433" t="s">
        <v>109</v>
      </c>
      <c r="L18" s="95">
        <v>1</v>
      </c>
      <c r="M18" s="96">
        <f>$AW18</f>
        <v>1.2849840792941758</v>
      </c>
      <c r="N18" s="432" t="str">
        <f>$AX18&amp;"; "&amp;$AM18</f>
        <v>(3,4,3,1,1,5); Electricity use for installation of PV plant</v>
      </c>
      <c r="O18" s="435">
        <v>0</v>
      </c>
      <c r="P18" s="95">
        <v>1</v>
      </c>
      <c r="Q18" s="96">
        <f>$AW18</f>
        <v>1.2849840792941758</v>
      </c>
      <c r="R18" s="432" t="str">
        <f t="shared" ref="R18:R38" si="0">$AX18&amp;"; "&amp;$AM18</f>
        <v>(3,4,3,1,1,5); Electricity use for installation of PV plant</v>
      </c>
      <c r="S18" s="435">
        <f>0.23/3*250</f>
        <v>19.166666666666668</v>
      </c>
      <c r="T18" s="95">
        <v>1</v>
      </c>
      <c r="U18" s="96">
        <f t="shared" ref="U18:U38" si="1">$AW18</f>
        <v>1.2849840792941758</v>
      </c>
      <c r="V18" s="432" t="str">
        <f t="shared" ref="V18:V38" si="2">$AX18&amp;"; "&amp;$AM18</f>
        <v>(3,4,3,1,1,5); Electricity use for installation of PV plant</v>
      </c>
      <c r="W18" s="435">
        <f>0.23/3*250</f>
        <v>19.166666666666668</v>
      </c>
      <c r="X18" s="95">
        <f>1</f>
        <v>1</v>
      </c>
      <c r="Y18" s="96">
        <f t="shared" ref="Y18:Y38" si="3">$AW18</f>
        <v>1.2849840792941758</v>
      </c>
      <c r="Z18" s="432" t="str">
        <f t="shared" ref="Z18:Z38" si="4">$AX18&amp;"; "&amp;$AM18</f>
        <v>(3,4,3,1,1,5); Electricity use for installation of PV plant</v>
      </c>
      <c r="AA18" s="435">
        <f>0.23/3*250</f>
        <v>19.166666666666668</v>
      </c>
      <c r="AB18" s="95">
        <f>1</f>
        <v>1</v>
      </c>
      <c r="AC18" s="96">
        <f t="shared" ref="AC18:AC38" si="5">$AW18</f>
        <v>1.2849840792941758</v>
      </c>
      <c r="AD18" s="432" t="str">
        <f t="shared" ref="AD18:AD38" si="6">$AX18&amp;"; "&amp;$AM18</f>
        <v>(3,4,3,1,1,5); Electricity use for installation of PV plant</v>
      </c>
      <c r="AE18" s="435">
        <f>0.23/3*10000</f>
        <v>766.66666666666674</v>
      </c>
      <c r="AF18" s="95">
        <f>1</f>
        <v>1</v>
      </c>
      <c r="AG18" s="96">
        <f t="shared" ref="AG18:AG38" si="7">$AW18</f>
        <v>1.2849840792941758</v>
      </c>
      <c r="AH18" s="432" t="str">
        <f t="shared" ref="AH18:AH38" si="8">$AX18&amp;"; "&amp;$AM18</f>
        <v>(3,4,3,1,1,5); Electricity use for installation of PV plant</v>
      </c>
      <c r="AI18" s="95">
        <v>0</v>
      </c>
      <c r="AJ18" s="96">
        <f t="shared" ref="AJ18:AJ38" si="9">AW18</f>
        <v>1.2849840792941758</v>
      </c>
      <c r="AK18" s="432" t="str">
        <f t="shared" ref="AK18:AK38" si="10">AX18&amp;"; "&amp;AM18</f>
        <v>(3,4,3,1,1,5); Electricity use for installation of PV plant</v>
      </c>
      <c r="AL18" s="494"/>
      <c r="AM18" s="216" t="s">
        <v>1855</v>
      </c>
      <c r="AN18" s="339">
        <v>3</v>
      </c>
      <c r="AO18" s="339">
        <v>4</v>
      </c>
      <c r="AP18" s="339">
        <v>3</v>
      </c>
      <c r="AQ18" s="339">
        <v>1</v>
      </c>
      <c r="AR18" s="339">
        <v>1</v>
      </c>
      <c r="AS18" s="339">
        <v>5</v>
      </c>
      <c r="AT18" s="104">
        <v>3</v>
      </c>
      <c r="AU18" s="104">
        <v>1.05</v>
      </c>
      <c r="AV18" s="107">
        <f t="shared" ref="AV18:AV38" si="11">EXP(SQRT((LN(AY18)^2)+(LN(AZ18)^2)+(LN(BA18)^2)+(LN(BB18)^2)+(LN(BC18)^2)+(LN(BD18)^2)))</f>
        <v>1.2788404103505406</v>
      </c>
      <c r="AW18" s="107">
        <f t="shared" ref="AW18:AW38" si="12">EXP(SQRT((LN(AY18)^2)+(LN(AZ18)^2)+(LN(BA18)^2)+(LN(BB18)^2)+(LN(BC18)^2)+(LN(BD18)^2)+LN(AU18)^2))</f>
        <v>1.2849840792941758</v>
      </c>
      <c r="AX18" s="107" t="str">
        <f t="shared" ref="AX18:AX38" si="13">CONCATENATE("(",AN18,",",AO18,",",AP18,",",AQ18,",",AR18,",",AS18,")")</f>
        <v>(3,4,3,1,1,5)</v>
      </c>
      <c r="AY18" s="108">
        <v>1.1000000000000001</v>
      </c>
      <c r="AZ18" s="108">
        <v>1.1000000000000001</v>
      </c>
      <c r="BA18" s="108">
        <v>1.1000000000000001</v>
      </c>
      <c r="BB18" s="108">
        <v>1</v>
      </c>
      <c r="BC18" s="108">
        <v>1</v>
      </c>
      <c r="BD18" s="108">
        <v>1.2</v>
      </c>
    </row>
    <row r="19" spans="1:56">
      <c r="A19" s="330">
        <v>269491</v>
      </c>
      <c r="B19" s="331"/>
      <c r="C19" s="88"/>
      <c r="D19" s="340">
        <v>5</v>
      </c>
      <c r="E19" s="341" t="s">
        <v>98</v>
      </c>
      <c r="F19" s="432" t="s">
        <v>1856</v>
      </c>
      <c r="G19" s="433" t="s">
        <v>103</v>
      </c>
      <c r="H19" s="434" t="s">
        <v>98</v>
      </c>
      <c r="I19" s="434" t="s">
        <v>98</v>
      </c>
      <c r="J19" s="94">
        <v>0</v>
      </c>
      <c r="K19" s="433" t="s">
        <v>109</v>
      </c>
      <c r="L19" s="95">
        <v>1</v>
      </c>
      <c r="M19" s="96">
        <f t="shared" ref="M19:M38" si="14">AW19</f>
        <v>1.2849840792941758</v>
      </c>
      <c r="N19" s="432" t="str">
        <f t="shared" ref="N19:N38" si="15">AX19&amp;"; "&amp;AM19</f>
        <v>(3,4,3,1,1,5); Electricity use for erection of PV plant</v>
      </c>
      <c r="O19" s="435">
        <f>0.23/3*10</f>
        <v>0.76666666666666672</v>
      </c>
      <c r="P19" s="95">
        <v>1</v>
      </c>
      <c r="Q19" s="96">
        <f t="shared" ref="Q19:Q38" si="16">BA19</f>
        <v>1.1000000000000001</v>
      </c>
      <c r="R19" s="432" t="str">
        <f t="shared" si="0"/>
        <v>(3,4,3,1,1,5); Electricity use for erection of PV plant</v>
      </c>
      <c r="S19" s="435">
        <v>0</v>
      </c>
      <c r="T19" s="95">
        <v>1</v>
      </c>
      <c r="U19" s="96">
        <f t="shared" si="1"/>
        <v>1.2849840792941758</v>
      </c>
      <c r="V19" s="432" t="str">
        <f t="shared" si="2"/>
        <v>(3,4,3,1,1,5); Electricity use for erection of PV plant</v>
      </c>
      <c r="W19" s="435">
        <v>0</v>
      </c>
      <c r="X19" s="95">
        <f>1</f>
        <v>1</v>
      </c>
      <c r="Y19" s="96">
        <f t="shared" si="3"/>
        <v>1.2849840792941758</v>
      </c>
      <c r="Z19" s="432" t="str">
        <f t="shared" si="4"/>
        <v>(3,4,3,1,1,5); Electricity use for erection of PV plant</v>
      </c>
      <c r="AA19" s="435">
        <v>0</v>
      </c>
      <c r="AB19" s="95">
        <f>1</f>
        <v>1</v>
      </c>
      <c r="AC19" s="96">
        <f t="shared" si="5"/>
        <v>1.2849840792941758</v>
      </c>
      <c r="AD19" s="432" t="str">
        <f t="shared" si="6"/>
        <v>(3,4,3,1,1,5); Electricity use for erection of PV plant</v>
      </c>
      <c r="AE19" s="435">
        <v>0</v>
      </c>
      <c r="AF19" s="95">
        <f>1</f>
        <v>1</v>
      </c>
      <c r="AG19" s="96">
        <f t="shared" si="7"/>
        <v>1.2849840792941758</v>
      </c>
      <c r="AH19" s="432" t="str">
        <f t="shared" si="8"/>
        <v>(3,4,3,1,1,5); Electricity use for erection of PV plant</v>
      </c>
      <c r="AI19" s="95">
        <v>1</v>
      </c>
      <c r="AJ19" s="96">
        <f t="shared" si="9"/>
        <v>1.2849840792941758</v>
      </c>
      <c r="AK19" s="432" t="str">
        <f t="shared" si="10"/>
        <v>(3,4,3,1,1,5); Electricity use for erection of PV plant</v>
      </c>
      <c r="AL19" s="494"/>
      <c r="AM19" s="216" t="s">
        <v>1857</v>
      </c>
      <c r="AN19" s="339">
        <v>3</v>
      </c>
      <c r="AO19" s="339">
        <v>4</v>
      </c>
      <c r="AP19" s="339">
        <v>3</v>
      </c>
      <c r="AQ19" s="339">
        <v>1</v>
      </c>
      <c r="AR19" s="339">
        <v>1</v>
      </c>
      <c r="AS19" s="339">
        <v>5</v>
      </c>
      <c r="AT19" s="104">
        <v>3</v>
      </c>
      <c r="AU19" s="104">
        <v>1.05</v>
      </c>
      <c r="AV19" s="107">
        <f t="shared" si="11"/>
        <v>1.2788404103505406</v>
      </c>
      <c r="AW19" s="107">
        <f t="shared" si="12"/>
        <v>1.2849840792941758</v>
      </c>
      <c r="AX19" s="107" t="str">
        <f t="shared" si="13"/>
        <v>(3,4,3,1,1,5)</v>
      </c>
      <c r="AY19" s="108">
        <v>1.1000000000000001</v>
      </c>
      <c r="AZ19" s="108">
        <v>1.1000000000000001</v>
      </c>
      <c r="BA19" s="108">
        <v>1.1000000000000001</v>
      </c>
      <c r="BB19" s="108">
        <v>1</v>
      </c>
      <c r="BC19" s="108">
        <v>1</v>
      </c>
      <c r="BD19" s="108">
        <v>1.2</v>
      </c>
    </row>
    <row r="20" spans="1:56" ht="24">
      <c r="A20" s="330">
        <v>267287</v>
      </c>
      <c r="B20" s="331"/>
      <c r="C20" s="88"/>
      <c r="D20" s="340">
        <v>5</v>
      </c>
      <c r="E20" s="341" t="s">
        <v>98</v>
      </c>
      <c r="F20" s="432" t="s">
        <v>690</v>
      </c>
      <c r="G20" s="433" t="s">
        <v>154</v>
      </c>
      <c r="H20" s="434" t="s">
        <v>98</v>
      </c>
      <c r="I20" s="434" t="s">
        <v>98</v>
      </c>
      <c r="J20" s="94">
        <v>0</v>
      </c>
      <c r="K20" s="433" t="s">
        <v>104</v>
      </c>
      <c r="L20" s="95">
        <v>1</v>
      </c>
      <c r="M20" s="96">
        <f t="shared" si="14"/>
        <v>1.2849840792941758</v>
      </c>
      <c r="N20" s="432" t="str">
        <f t="shared" si="15"/>
        <v>(3,4,3,1,1,5); Diesel use for installation of PV plant</v>
      </c>
      <c r="O20" s="435">
        <v>0</v>
      </c>
      <c r="P20" s="95">
        <v>1</v>
      </c>
      <c r="Q20" s="96">
        <f t="shared" si="16"/>
        <v>1.1000000000000001</v>
      </c>
      <c r="R20" s="432" t="str">
        <f t="shared" si="0"/>
        <v>(3,4,3,1,1,5); Diesel use for installation of PV plant</v>
      </c>
      <c r="S20" s="435">
        <v>0</v>
      </c>
      <c r="T20" s="95">
        <v>1</v>
      </c>
      <c r="U20" s="96">
        <f t="shared" si="1"/>
        <v>1.2849840792941758</v>
      </c>
      <c r="V20" s="432" t="str">
        <f t="shared" si="2"/>
        <v>(3,4,3,1,1,5); Diesel use for installation of PV plant</v>
      </c>
      <c r="W20" s="435">
        <v>0</v>
      </c>
      <c r="X20" s="95">
        <f>1</f>
        <v>1</v>
      </c>
      <c r="Y20" s="96">
        <f t="shared" si="3"/>
        <v>1.2849840792941758</v>
      </c>
      <c r="Z20" s="432" t="str">
        <f t="shared" si="4"/>
        <v>(3,4,3,1,1,5); Diesel use for installation of PV plant</v>
      </c>
      <c r="AA20" s="435">
        <v>0</v>
      </c>
      <c r="AB20" s="95">
        <f>1</f>
        <v>1</v>
      </c>
      <c r="AC20" s="96">
        <f t="shared" si="5"/>
        <v>1.2849840792941758</v>
      </c>
      <c r="AD20" s="432" t="str">
        <f t="shared" si="6"/>
        <v>(3,4,3,1,1,5); Diesel use for installation of PV plant</v>
      </c>
      <c r="AE20" s="435">
        <f>1200*36</f>
        <v>43200</v>
      </c>
      <c r="AF20" s="95">
        <f>1</f>
        <v>1</v>
      </c>
      <c r="AG20" s="96">
        <f t="shared" si="7"/>
        <v>1.2849840792941758</v>
      </c>
      <c r="AH20" s="432" t="str">
        <f t="shared" si="8"/>
        <v>(3,4,3,1,1,5); Diesel use for installation of PV plant</v>
      </c>
      <c r="AI20" s="95">
        <v>1</v>
      </c>
      <c r="AJ20" s="96">
        <f t="shared" si="9"/>
        <v>1.2849840792941758</v>
      </c>
      <c r="AK20" s="432" t="str">
        <f t="shared" si="10"/>
        <v>(3,4,3,1,1,5); Diesel use for installation of PV plant</v>
      </c>
      <c r="AL20" s="494"/>
      <c r="AM20" s="216" t="s">
        <v>1858</v>
      </c>
      <c r="AN20" s="339">
        <v>3</v>
      </c>
      <c r="AO20" s="339">
        <v>4</v>
      </c>
      <c r="AP20" s="339">
        <v>3</v>
      </c>
      <c r="AQ20" s="339">
        <v>1</v>
      </c>
      <c r="AR20" s="339">
        <v>1</v>
      </c>
      <c r="AS20" s="339">
        <v>5</v>
      </c>
      <c r="AT20" s="104">
        <v>1</v>
      </c>
      <c r="AU20" s="104">
        <v>1.05</v>
      </c>
      <c r="AV20" s="107">
        <f t="shared" si="11"/>
        <v>1.2788404103505406</v>
      </c>
      <c r="AW20" s="107">
        <f t="shared" si="12"/>
        <v>1.2849840792941758</v>
      </c>
      <c r="AX20" s="107" t="str">
        <f t="shared" si="13"/>
        <v>(3,4,3,1,1,5)</v>
      </c>
      <c r="AY20" s="108">
        <v>1.1000000000000001</v>
      </c>
      <c r="AZ20" s="108">
        <v>1.1000000000000001</v>
      </c>
      <c r="BA20" s="108">
        <v>1.1000000000000001</v>
      </c>
      <c r="BB20" s="108">
        <v>1</v>
      </c>
      <c r="BC20" s="108">
        <v>1</v>
      </c>
      <c r="BD20" s="108">
        <v>1.2</v>
      </c>
    </row>
    <row r="21" spans="1:56" ht="24">
      <c r="A21" s="330" t="s">
        <v>1708</v>
      </c>
      <c r="B21" s="331"/>
      <c r="C21" s="88"/>
      <c r="D21" s="340">
        <v>5</v>
      </c>
      <c r="E21" s="341" t="s">
        <v>98</v>
      </c>
      <c r="F21" s="432" t="s">
        <v>1712</v>
      </c>
      <c r="G21" s="433" t="s">
        <v>154</v>
      </c>
      <c r="H21" s="434" t="s">
        <v>98</v>
      </c>
      <c r="I21" s="434" t="s">
        <v>98</v>
      </c>
      <c r="J21" s="94">
        <v>1</v>
      </c>
      <c r="K21" s="433" t="s">
        <v>144</v>
      </c>
      <c r="L21" s="95">
        <v>1</v>
      </c>
      <c r="M21" s="96">
        <f t="shared" si="14"/>
        <v>1.2354522921220721</v>
      </c>
      <c r="N21" s="432" t="str">
        <f t="shared" si="15"/>
        <v>(2,4,1,1,1,na); 1 replacement during the lifetime of the PV system</v>
      </c>
      <c r="O21" s="435">
        <v>2</v>
      </c>
      <c r="P21" s="95">
        <v>1</v>
      </c>
      <c r="Q21" s="96">
        <f t="shared" si="16"/>
        <v>1</v>
      </c>
      <c r="R21" s="432" t="str">
        <f t="shared" si="0"/>
        <v>(2,4,1,1,1,na); 1 replacement during the lifetime of the PV system</v>
      </c>
      <c r="S21" s="435">
        <v>0</v>
      </c>
      <c r="T21" s="95">
        <v>1</v>
      </c>
      <c r="U21" s="96">
        <f t="shared" si="1"/>
        <v>1.2354522921220721</v>
      </c>
      <c r="V21" s="432" t="str">
        <f t="shared" si="2"/>
        <v>(2,4,1,1,1,na); 1 replacement during the lifetime of the PV system</v>
      </c>
      <c r="W21" s="435">
        <v>0</v>
      </c>
      <c r="X21" s="95">
        <f>1</f>
        <v>1</v>
      </c>
      <c r="Y21" s="96">
        <f t="shared" si="3"/>
        <v>1.2354522921220721</v>
      </c>
      <c r="Z21" s="432" t="str">
        <f t="shared" si="4"/>
        <v>(2,4,1,1,1,na); 1 replacement during the lifetime of the PV system</v>
      </c>
      <c r="AA21" s="435">
        <v>0</v>
      </c>
      <c r="AB21" s="95">
        <f>1</f>
        <v>1</v>
      </c>
      <c r="AC21" s="96">
        <f t="shared" si="5"/>
        <v>1.2354522921220721</v>
      </c>
      <c r="AD21" s="432" t="str">
        <f t="shared" si="6"/>
        <v>(2,4,1,1,1,na); 1 replacement during the lifetime of the PV system</v>
      </c>
      <c r="AE21" s="435">
        <v>0</v>
      </c>
      <c r="AF21" s="95">
        <f>1</f>
        <v>1</v>
      </c>
      <c r="AG21" s="96">
        <f t="shared" si="7"/>
        <v>1.2354522921220721</v>
      </c>
      <c r="AH21" s="432" t="str">
        <f t="shared" si="8"/>
        <v>(2,4,1,1,1,na); 1 replacement during the lifetime of the PV system</v>
      </c>
      <c r="AI21" s="95">
        <v>1</v>
      </c>
      <c r="AJ21" s="96">
        <f t="shared" si="9"/>
        <v>1.2354522921220721</v>
      </c>
      <c r="AK21" s="432" t="str">
        <f t="shared" si="10"/>
        <v>(2,4,1,1,1,na); 1 replacement during the lifetime of the PV system</v>
      </c>
      <c r="AL21" s="494">
        <v>0</v>
      </c>
      <c r="AM21" s="216" t="s">
        <v>1859</v>
      </c>
      <c r="AN21" s="339">
        <v>2</v>
      </c>
      <c r="AO21" s="339">
        <v>4</v>
      </c>
      <c r="AP21" s="339">
        <v>1</v>
      </c>
      <c r="AQ21" s="339">
        <v>1</v>
      </c>
      <c r="AR21" s="339">
        <v>1</v>
      </c>
      <c r="AS21" s="339" t="s">
        <v>106</v>
      </c>
      <c r="AT21" s="104">
        <v>9</v>
      </c>
      <c r="AU21" s="104">
        <v>1.2</v>
      </c>
      <c r="AV21" s="107">
        <f t="shared" si="11"/>
        <v>1.1130148943987077</v>
      </c>
      <c r="AW21" s="107">
        <f t="shared" si="12"/>
        <v>1.2354522921220721</v>
      </c>
      <c r="AX21" s="107" t="str">
        <f t="shared" si="13"/>
        <v>(2,4,1,1,1,na)</v>
      </c>
      <c r="AY21" s="108">
        <v>1.05</v>
      </c>
      <c r="AZ21" s="108">
        <v>1.1000000000000001</v>
      </c>
      <c r="BA21" s="108">
        <v>1</v>
      </c>
      <c r="BB21" s="108">
        <v>1</v>
      </c>
      <c r="BC21" s="108">
        <v>1</v>
      </c>
      <c r="BD21" s="108">
        <v>1</v>
      </c>
    </row>
    <row r="22" spans="1:56" ht="24">
      <c r="A22" s="330" t="s">
        <v>1709</v>
      </c>
      <c r="B22" s="331"/>
      <c r="C22" s="88"/>
      <c r="D22" s="340">
        <v>5</v>
      </c>
      <c r="E22" s="341" t="s">
        <v>98</v>
      </c>
      <c r="F22" s="432" t="s">
        <v>1713</v>
      </c>
      <c r="G22" s="433" t="s">
        <v>154</v>
      </c>
      <c r="H22" s="434" t="s">
        <v>98</v>
      </c>
      <c r="I22" s="434" t="s">
        <v>98</v>
      </c>
      <c r="J22" s="94">
        <v>1</v>
      </c>
      <c r="K22" s="433" t="s">
        <v>144</v>
      </c>
      <c r="L22" s="95">
        <v>1</v>
      </c>
      <c r="M22" s="96">
        <f t="shared" si="14"/>
        <v>1.2354522921220721</v>
      </c>
      <c r="N22" s="432" t="str">
        <f t="shared" si="15"/>
        <v>(2,4,1,1,1,na); 1 replacement during the lifetime of the PV system</v>
      </c>
      <c r="O22" s="435">
        <v>0</v>
      </c>
      <c r="P22" s="95">
        <v>1</v>
      </c>
      <c r="Q22" s="96">
        <f t="shared" si="16"/>
        <v>1</v>
      </c>
      <c r="R22" s="432" t="str">
        <f t="shared" si="0"/>
        <v>(2,4,1,1,1,na); 1 replacement during the lifetime of the PV system</v>
      </c>
      <c r="S22" s="435">
        <f>2*2</f>
        <v>4</v>
      </c>
      <c r="T22" s="95">
        <v>1</v>
      </c>
      <c r="U22" s="96">
        <f t="shared" si="1"/>
        <v>1.2354522921220721</v>
      </c>
      <c r="V22" s="432" t="str">
        <f t="shared" si="2"/>
        <v>(2,4,1,1,1,na); 1 replacement during the lifetime of the PV system</v>
      </c>
      <c r="W22" s="435">
        <f>2*2</f>
        <v>4</v>
      </c>
      <c r="X22" s="95">
        <f>1</f>
        <v>1</v>
      </c>
      <c r="Y22" s="96">
        <f t="shared" si="3"/>
        <v>1.2354522921220721</v>
      </c>
      <c r="Z22" s="432" t="str">
        <f t="shared" si="4"/>
        <v>(2,4,1,1,1,na); 1 replacement during the lifetime of the PV system</v>
      </c>
      <c r="AA22" s="435">
        <f>2*2</f>
        <v>4</v>
      </c>
      <c r="AB22" s="95">
        <f>1</f>
        <v>1</v>
      </c>
      <c r="AC22" s="96">
        <f t="shared" si="5"/>
        <v>1.2354522921220721</v>
      </c>
      <c r="AD22" s="432" t="str">
        <f t="shared" si="6"/>
        <v>(2,4,1,1,1,na); 1 replacement during the lifetime of the PV system</v>
      </c>
      <c r="AE22" s="435">
        <f>2*75</f>
        <v>150</v>
      </c>
      <c r="AF22" s="95">
        <f>1</f>
        <v>1</v>
      </c>
      <c r="AG22" s="96">
        <f t="shared" si="7"/>
        <v>1.2354522921220721</v>
      </c>
      <c r="AH22" s="432" t="str">
        <f t="shared" si="8"/>
        <v>(2,4,1,1,1,na); 1 replacement during the lifetime of the PV system</v>
      </c>
      <c r="AI22" s="95">
        <v>1</v>
      </c>
      <c r="AJ22" s="96">
        <f t="shared" si="9"/>
        <v>1.2354522921220721</v>
      </c>
      <c r="AK22" s="432" t="str">
        <f t="shared" si="10"/>
        <v>(2,4,1,1,1,na); 1 replacement during the lifetime of the PV system</v>
      </c>
      <c r="AL22" s="494">
        <v>0</v>
      </c>
      <c r="AM22" s="216" t="s">
        <v>1859</v>
      </c>
      <c r="AN22" s="339">
        <v>2</v>
      </c>
      <c r="AO22" s="339">
        <v>4</v>
      </c>
      <c r="AP22" s="339">
        <v>1</v>
      </c>
      <c r="AQ22" s="339">
        <v>1</v>
      </c>
      <c r="AR22" s="339">
        <v>1</v>
      </c>
      <c r="AS22" s="339" t="s">
        <v>106</v>
      </c>
      <c r="AT22" s="104">
        <v>9</v>
      </c>
      <c r="AU22" s="104">
        <v>1.2</v>
      </c>
      <c r="AV22" s="107">
        <f t="shared" si="11"/>
        <v>1.1130148943987077</v>
      </c>
      <c r="AW22" s="107">
        <f t="shared" si="12"/>
        <v>1.2354522921220721</v>
      </c>
      <c r="AX22" s="107" t="str">
        <f t="shared" si="13"/>
        <v>(2,4,1,1,1,na)</v>
      </c>
      <c r="AY22" s="108">
        <v>1.05</v>
      </c>
      <c r="AZ22" s="108">
        <v>1.1000000000000001</v>
      </c>
      <c r="BA22" s="108">
        <v>1</v>
      </c>
      <c r="BB22" s="108">
        <v>1</v>
      </c>
      <c r="BC22" s="108">
        <v>1</v>
      </c>
      <c r="BD22" s="108">
        <v>1</v>
      </c>
    </row>
    <row r="23" spans="1:56" ht="24">
      <c r="A23" s="330">
        <v>261084</v>
      </c>
      <c r="B23" s="331"/>
      <c r="C23" s="88"/>
      <c r="D23" s="340">
        <v>5</v>
      </c>
      <c r="E23" s="341" t="s">
        <v>98</v>
      </c>
      <c r="F23" s="432" t="s">
        <v>1674</v>
      </c>
      <c r="G23" s="433" t="s">
        <v>103</v>
      </c>
      <c r="H23" s="434" t="s">
        <v>98</v>
      </c>
      <c r="I23" s="434" t="s">
        <v>98</v>
      </c>
      <c r="J23" s="94">
        <v>1</v>
      </c>
      <c r="K23" s="433" t="s">
        <v>144</v>
      </c>
      <c r="L23" s="95">
        <v>1</v>
      </c>
      <c r="M23" s="96">
        <f t="shared" si="14"/>
        <v>2.0865051432908035</v>
      </c>
      <c r="N23" s="432" t="str">
        <f t="shared" si="15"/>
        <v>(3,4,3,1,1,5); Literature</v>
      </c>
      <c r="O23" s="435">
        <f>1*$G$45</f>
        <v>2.2675535225531069</v>
      </c>
      <c r="P23" s="95">
        <v>1</v>
      </c>
      <c r="Q23" s="96">
        <f t="shared" si="16"/>
        <v>1.1000000000000001</v>
      </c>
      <c r="R23" s="432" t="str">
        <f t="shared" si="0"/>
        <v>(3,4,3,1,1,5); Literature</v>
      </c>
      <c r="S23" s="435">
        <v>0</v>
      </c>
      <c r="T23" s="95">
        <v>1</v>
      </c>
      <c r="U23" s="96">
        <f t="shared" si="1"/>
        <v>2.0865051432908035</v>
      </c>
      <c r="V23" s="432" t="str">
        <f t="shared" si="2"/>
        <v>(3,4,3,1,1,5); Literature</v>
      </c>
      <c r="W23" s="435">
        <v>0</v>
      </c>
      <c r="X23" s="95">
        <f>1</f>
        <v>1</v>
      </c>
      <c r="Y23" s="96">
        <f t="shared" si="3"/>
        <v>2.0865051432908035</v>
      </c>
      <c r="Z23" s="432" t="str">
        <f t="shared" si="4"/>
        <v>(3,4,3,1,1,5); Literature</v>
      </c>
      <c r="AA23" s="435">
        <f>1*K45</f>
        <v>0</v>
      </c>
      <c r="AB23" s="95">
        <f>1</f>
        <v>1</v>
      </c>
      <c r="AC23" s="96">
        <f t="shared" si="5"/>
        <v>2.0865051432908035</v>
      </c>
      <c r="AD23" s="432" t="str">
        <f t="shared" si="6"/>
        <v>(3,4,3,1,1,5); Literature</v>
      </c>
      <c r="AE23" s="435">
        <v>0</v>
      </c>
      <c r="AF23" s="95">
        <f>1</f>
        <v>1</v>
      </c>
      <c r="AG23" s="96">
        <f t="shared" si="7"/>
        <v>2.0865051432908035</v>
      </c>
      <c r="AH23" s="432" t="str">
        <f t="shared" si="8"/>
        <v>(3,4,3,1,1,5); Literature</v>
      </c>
      <c r="AI23" s="95">
        <v>1</v>
      </c>
      <c r="AJ23" s="96">
        <f t="shared" si="9"/>
        <v>2.0865051432908035</v>
      </c>
      <c r="AK23" s="432" t="str">
        <f t="shared" si="10"/>
        <v>(3,4,3,1,1,5); Literature</v>
      </c>
      <c r="AL23" s="494">
        <v>32.612000000000002</v>
      </c>
      <c r="AM23" s="216" t="s">
        <v>253</v>
      </c>
      <c r="AN23" s="339">
        <v>3</v>
      </c>
      <c r="AO23" s="339">
        <v>4</v>
      </c>
      <c r="AP23" s="339">
        <v>3</v>
      </c>
      <c r="AQ23" s="339">
        <v>1</v>
      </c>
      <c r="AR23" s="339">
        <v>1</v>
      </c>
      <c r="AS23" s="339">
        <v>5</v>
      </c>
      <c r="AT23" s="104">
        <v>9</v>
      </c>
      <c r="AU23" s="104">
        <v>2</v>
      </c>
      <c r="AV23" s="107">
        <f t="shared" si="11"/>
        <v>1.2788404103505406</v>
      </c>
      <c r="AW23" s="107">
        <f t="shared" si="12"/>
        <v>2.0865051432908035</v>
      </c>
      <c r="AX23" s="107" t="str">
        <f t="shared" si="13"/>
        <v>(3,4,3,1,1,5)</v>
      </c>
      <c r="AY23" s="108">
        <v>1.1000000000000001</v>
      </c>
      <c r="AZ23" s="108">
        <v>1.1000000000000001</v>
      </c>
      <c r="BA23" s="108">
        <v>1.1000000000000001</v>
      </c>
      <c r="BB23" s="108">
        <v>1</v>
      </c>
      <c r="BC23" s="108">
        <v>1</v>
      </c>
      <c r="BD23" s="108">
        <v>1.2</v>
      </c>
    </row>
    <row r="24" spans="1:56" ht="24">
      <c r="A24" s="330">
        <v>257174</v>
      </c>
      <c r="B24" s="331"/>
      <c r="C24" s="88"/>
      <c r="D24" s="340">
        <v>5</v>
      </c>
      <c r="E24" s="341" t="s">
        <v>98</v>
      </c>
      <c r="F24" s="432" t="s">
        <v>1860</v>
      </c>
      <c r="G24" s="433" t="s">
        <v>103</v>
      </c>
      <c r="H24" s="434" t="s">
        <v>98</v>
      </c>
      <c r="I24" s="434" t="s">
        <v>98</v>
      </c>
      <c r="J24" s="94">
        <v>1</v>
      </c>
      <c r="K24" s="433" t="s">
        <v>144</v>
      </c>
      <c r="L24" s="95">
        <v>1</v>
      </c>
      <c r="M24" s="96">
        <f t="shared" si="14"/>
        <v>2.0865051432908035</v>
      </c>
      <c r="N24" s="432" t="str">
        <f t="shared" si="15"/>
        <v>(3,4,3,1,1,5); Literature</v>
      </c>
      <c r="O24" s="435">
        <v>0</v>
      </c>
      <c r="P24" s="95">
        <v>1</v>
      </c>
      <c r="Q24" s="96">
        <f t="shared" si="16"/>
        <v>1.1000000000000001</v>
      </c>
      <c r="R24" s="432" t="str">
        <f t="shared" si="0"/>
        <v>(3,4,3,1,1,5); Literature</v>
      </c>
      <c r="S24" s="435">
        <f>250/280</f>
        <v>0.8928571428571429</v>
      </c>
      <c r="T24" s="95">
        <v>1</v>
      </c>
      <c r="U24" s="96">
        <f t="shared" si="1"/>
        <v>2.0865051432908035</v>
      </c>
      <c r="V24" s="432" t="str">
        <f t="shared" si="2"/>
        <v>(3,4,3,1,1,5); Literature</v>
      </c>
      <c r="W24" s="435">
        <f>250/280</f>
        <v>0.8928571428571429</v>
      </c>
      <c r="X24" s="95">
        <f>1</f>
        <v>1</v>
      </c>
      <c r="Y24" s="96">
        <f t="shared" si="3"/>
        <v>2.0865051432908035</v>
      </c>
      <c r="Z24" s="432" t="str">
        <f t="shared" si="4"/>
        <v>(3,4,3,1,1,5); Literature</v>
      </c>
      <c r="AA24" s="435">
        <f>250/280</f>
        <v>0.8928571428571429</v>
      </c>
      <c r="AB24" s="95">
        <f>1</f>
        <v>1</v>
      </c>
      <c r="AC24" s="96">
        <f t="shared" si="5"/>
        <v>2.0865051432908035</v>
      </c>
      <c r="AD24" s="432" t="str">
        <f t="shared" si="6"/>
        <v>(3,4,3,1,1,5); Literature</v>
      </c>
      <c r="AE24" s="435">
        <v>0</v>
      </c>
      <c r="AF24" s="95">
        <f>1</f>
        <v>1</v>
      </c>
      <c r="AG24" s="96">
        <f t="shared" si="7"/>
        <v>2.0865051432908035</v>
      </c>
      <c r="AH24" s="432" t="str">
        <f t="shared" si="8"/>
        <v>(3,4,3,1,1,5); Literature</v>
      </c>
      <c r="AI24" s="95">
        <v>1</v>
      </c>
      <c r="AJ24" s="96">
        <f t="shared" si="9"/>
        <v>2.0865051432908035</v>
      </c>
      <c r="AK24" s="432" t="str">
        <f t="shared" si="10"/>
        <v>(3,4,3,1,1,5); Literature</v>
      </c>
      <c r="AL24" s="494">
        <v>1567.31059553972</v>
      </c>
      <c r="AM24" s="216" t="s">
        <v>253</v>
      </c>
      <c r="AN24" s="339">
        <v>3</v>
      </c>
      <c r="AO24" s="339">
        <v>4</v>
      </c>
      <c r="AP24" s="339">
        <v>3</v>
      </c>
      <c r="AQ24" s="339">
        <v>1</v>
      </c>
      <c r="AR24" s="339">
        <v>1</v>
      </c>
      <c r="AS24" s="339">
        <v>5</v>
      </c>
      <c r="AT24" s="104">
        <v>9</v>
      </c>
      <c r="AU24" s="104">
        <v>2</v>
      </c>
      <c r="AV24" s="107">
        <f t="shared" si="11"/>
        <v>1.2788404103505406</v>
      </c>
      <c r="AW24" s="107">
        <f t="shared" si="12"/>
        <v>2.0865051432908035</v>
      </c>
      <c r="AX24" s="107" t="str">
        <f t="shared" si="13"/>
        <v>(3,4,3,1,1,5)</v>
      </c>
      <c r="AY24" s="108">
        <v>1.1000000000000001</v>
      </c>
      <c r="AZ24" s="108">
        <v>1.1000000000000001</v>
      </c>
      <c r="BA24" s="108">
        <v>1.1000000000000001</v>
      </c>
      <c r="BB24" s="108">
        <v>1</v>
      </c>
      <c r="BC24" s="108">
        <v>1</v>
      </c>
      <c r="BD24" s="108">
        <v>1.2</v>
      </c>
    </row>
    <row r="25" spans="1:56" ht="24">
      <c r="A25" s="330" t="s">
        <v>1688</v>
      </c>
      <c r="B25" s="331"/>
      <c r="C25" s="88"/>
      <c r="D25" s="340">
        <v>5</v>
      </c>
      <c r="E25" s="341" t="s">
        <v>98</v>
      </c>
      <c r="F25" s="432" t="s">
        <v>1689</v>
      </c>
      <c r="G25" s="433" t="s">
        <v>93</v>
      </c>
      <c r="H25" s="434" t="s">
        <v>98</v>
      </c>
      <c r="I25" s="434" t="s">
        <v>98</v>
      </c>
      <c r="J25" s="94">
        <v>1</v>
      </c>
      <c r="K25" s="433" t="s">
        <v>679</v>
      </c>
      <c r="L25" s="95">
        <v>1</v>
      </c>
      <c r="M25" s="96">
        <f t="shared" si="14"/>
        <v>3.0827046835040277</v>
      </c>
      <c r="N25" s="432" t="str">
        <f t="shared" si="15"/>
        <v>(3,4,3,1,1,5); Literature</v>
      </c>
      <c r="O25" s="435">
        <v>0</v>
      </c>
      <c r="P25" s="95">
        <v>1</v>
      </c>
      <c r="Q25" s="96">
        <f t="shared" si="16"/>
        <v>1.1000000000000001</v>
      </c>
      <c r="R25" s="432" t="str">
        <f t="shared" si="0"/>
        <v>(3,4,3,1,1,5); Literature</v>
      </c>
      <c r="S25" s="435">
        <v>0</v>
      </c>
      <c r="T25" s="95">
        <v>1</v>
      </c>
      <c r="U25" s="96">
        <f t="shared" si="1"/>
        <v>3.0827046835040277</v>
      </c>
      <c r="V25" s="432" t="str">
        <f t="shared" si="2"/>
        <v>(3,4,3,1,1,5); Literature</v>
      </c>
      <c r="W25" s="435">
        <v>0</v>
      </c>
      <c r="X25" s="95">
        <f>1</f>
        <v>1</v>
      </c>
      <c r="Y25" s="96">
        <f t="shared" si="3"/>
        <v>3.0827046835040277</v>
      </c>
      <c r="Z25" s="432" t="str">
        <f t="shared" si="4"/>
        <v>(3,4,3,1,1,5); Literature</v>
      </c>
      <c r="AA25" s="435">
        <v>0</v>
      </c>
      <c r="AB25" s="95">
        <f>1</f>
        <v>1</v>
      </c>
      <c r="AC25" s="96">
        <f t="shared" si="5"/>
        <v>3.0827046835040277</v>
      </c>
      <c r="AD25" s="432" t="str">
        <f t="shared" si="6"/>
        <v>(3,4,3,1,1,5); Literature</v>
      </c>
      <c r="AE25" s="435">
        <f>SUM(AE33,AE34)/1.03</f>
        <v>44262.143121987378</v>
      </c>
      <c r="AF25" s="95">
        <f>1</f>
        <v>1</v>
      </c>
      <c r="AG25" s="96">
        <f t="shared" si="7"/>
        <v>3.0827046835040277</v>
      </c>
      <c r="AH25" s="432" t="str">
        <f t="shared" si="8"/>
        <v>(3,4,3,1,1,5); Literature</v>
      </c>
      <c r="AI25" s="95">
        <v>2</v>
      </c>
      <c r="AJ25" s="96">
        <f t="shared" si="9"/>
        <v>3.0827046835040277</v>
      </c>
      <c r="AK25" s="432" t="str">
        <f t="shared" si="10"/>
        <v>(3,4,3,1,1,5); Literature</v>
      </c>
      <c r="AL25" s="494">
        <v>2.5696889776726599</v>
      </c>
      <c r="AM25" s="216" t="s">
        <v>253</v>
      </c>
      <c r="AN25" s="339">
        <v>3</v>
      </c>
      <c r="AO25" s="339">
        <v>4</v>
      </c>
      <c r="AP25" s="339">
        <v>3</v>
      </c>
      <c r="AQ25" s="339">
        <v>1</v>
      </c>
      <c r="AR25" s="339">
        <v>1</v>
      </c>
      <c r="AS25" s="339">
        <v>5</v>
      </c>
      <c r="AT25" s="104">
        <v>9</v>
      </c>
      <c r="AU25" s="104">
        <v>3</v>
      </c>
      <c r="AV25" s="107">
        <f t="shared" si="11"/>
        <v>1.2788404103505406</v>
      </c>
      <c r="AW25" s="107">
        <f t="shared" si="12"/>
        <v>3.0827046835040277</v>
      </c>
      <c r="AX25" s="107" t="str">
        <f t="shared" si="13"/>
        <v>(3,4,3,1,1,5)</v>
      </c>
      <c r="AY25" s="108">
        <v>1.1000000000000001</v>
      </c>
      <c r="AZ25" s="108">
        <v>1.1000000000000001</v>
      </c>
      <c r="BA25" s="108">
        <v>1.1000000000000001</v>
      </c>
      <c r="BB25" s="108">
        <v>1</v>
      </c>
      <c r="BC25" s="108">
        <v>1</v>
      </c>
      <c r="BD25" s="108">
        <v>1.2</v>
      </c>
    </row>
    <row r="26" spans="1:56" ht="24">
      <c r="A26" s="330">
        <v>258217</v>
      </c>
      <c r="B26" s="331"/>
      <c r="C26" s="88"/>
      <c r="D26" s="340">
        <v>5</v>
      </c>
      <c r="E26" s="341" t="s">
        <v>98</v>
      </c>
      <c r="F26" s="432" t="s">
        <v>1601</v>
      </c>
      <c r="G26" s="433" t="s">
        <v>93</v>
      </c>
      <c r="H26" s="434" t="s">
        <v>98</v>
      </c>
      <c r="I26" s="434" t="s">
        <v>98</v>
      </c>
      <c r="J26" s="94">
        <v>1</v>
      </c>
      <c r="K26" s="433" t="s">
        <v>679</v>
      </c>
      <c r="L26" s="95">
        <v>1</v>
      </c>
      <c r="M26" s="96">
        <f t="shared" si="14"/>
        <v>1.2284225230179247</v>
      </c>
      <c r="N26" s="432" t="str">
        <f t="shared" si="15"/>
        <v>(3,1,1,1,1,na); calculation with m2 panel</v>
      </c>
      <c r="O26" s="435">
        <v>0</v>
      </c>
      <c r="P26" s="95">
        <v>1</v>
      </c>
      <c r="Q26" s="96">
        <f t="shared" si="16"/>
        <v>1</v>
      </c>
      <c r="R26" s="432" t="str">
        <f t="shared" si="0"/>
        <v>(3,1,1,1,1,na); calculation with m2 panel</v>
      </c>
      <c r="S26" s="435">
        <v>0</v>
      </c>
      <c r="T26" s="95">
        <v>1</v>
      </c>
      <c r="U26" s="96">
        <f t="shared" si="1"/>
        <v>1.2284225230179247</v>
      </c>
      <c r="V26" s="432" t="str">
        <f t="shared" si="2"/>
        <v>(3,1,1,1,1,na); calculation with m2 panel</v>
      </c>
      <c r="W26" s="435">
        <v>0</v>
      </c>
      <c r="X26" s="95">
        <f>1</f>
        <v>1</v>
      </c>
      <c r="Y26" s="96">
        <f t="shared" si="3"/>
        <v>1.2284225230179247</v>
      </c>
      <c r="Z26" s="432" t="str">
        <f t="shared" si="4"/>
        <v>(3,1,1,1,1,na); calculation with m2 panel</v>
      </c>
      <c r="AA26" s="435">
        <v>0</v>
      </c>
      <c r="AB26" s="95">
        <f>1</f>
        <v>1</v>
      </c>
      <c r="AC26" s="96">
        <f t="shared" si="5"/>
        <v>1.2284225230179247</v>
      </c>
      <c r="AD26" s="432" t="str">
        <f t="shared" si="6"/>
        <v>(3,1,1,1,1,na); calculation with m2 panel</v>
      </c>
      <c r="AE26" s="435">
        <v>0</v>
      </c>
      <c r="AF26" s="95">
        <f>1</f>
        <v>1</v>
      </c>
      <c r="AG26" s="96">
        <f t="shared" si="7"/>
        <v>1.2284225230179247</v>
      </c>
      <c r="AH26" s="432" t="str">
        <f t="shared" si="8"/>
        <v>(3,1,1,1,1,na); calculation with m2 panel</v>
      </c>
      <c r="AI26" s="95">
        <v>1</v>
      </c>
      <c r="AJ26" s="96">
        <f t="shared" si="9"/>
        <v>1.2284225230179247</v>
      </c>
      <c r="AK26" s="432" t="str">
        <f t="shared" si="10"/>
        <v>(3,1,1,1,1,na); calculation with m2 panel</v>
      </c>
      <c r="AL26" s="494">
        <v>3.2716908498667499</v>
      </c>
      <c r="AM26" s="216" t="s">
        <v>1861</v>
      </c>
      <c r="AN26" s="339">
        <f t="shared" ref="AN26:AS26" si="17">AN27</f>
        <v>3</v>
      </c>
      <c r="AO26" s="339">
        <f t="shared" si="17"/>
        <v>1</v>
      </c>
      <c r="AP26" s="339">
        <f t="shared" si="17"/>
        <v>1</v>
      </c>
      <c r="AQ26" s="339">
        <f t="shared" si="17"/>
        <v>1</v>
      </c>
      <c r="AR26" s="339">
        <f t="shared" si="17"/>
        <v>1</v>
      </c>
      <c r="AS26" s="339" t="str">
        <f t="shared" si="17"/>
        <v>na</v>
      </c>
      <c r="AT26" s="104">
        <v>9</v>
      </c>
      <c r="AU26" s="104">
        <v>1.2</v>
      </c>
      <c r="AV26" s="107">
        <f t="shared" si="11"/>
        <v>1.1000000000000001</v>
      </c>
      <c r="AW26" s="107">
        <f t="shared" si="12"/>
        <v>1.2284225230179247</v>
      </c>
      <c r="AX26" s="107" t="str">
        <f t="shared" si="13"/>
        <v>(3,1,1,1,1,na)</v>
      </c>
      <c r="AY26" s="108">
        <v>1.1000000000000001</v>
      </c>
      <c r="AZ26" s="108">
        <v>1</v>
      </c>
      <c r="BA26" s="108">
        <v>1</v>
      </c>
      <c r="BB26" s="108">
        <v>1</v>
      </c>
      <c r="BC26" s="108">
        <v>1</v>
      </c>
      <c r="BD26" s="108">
        <v>1</v>
      </c>
    </row>
    <row r="27" spans="1:56" ht="24">
      <c r="A27" s="330">
        <v>258205</v>
      </c>
      <c r="B27" s="331"/>
      <c r="C27" s="88"/>
      <c r="D27" s="340">
        <v>5</v>
      </c>
      <c r="E27" s="341" t="s">
        <v>98</v>
      </c>
      <c r="F27" s="432" t="s">
        <v>1600</v>
      </c>
      <c r="G27" s="433" t="s">
        <v>93</v>
      </c>
      <c r="H27" s="434" t="s">
        <v>98</v>
      </c>
      <c r="I27" s="434" t="s">
        <v>98</v>
      </c>
      <c r="J27" s="94">
        <v>1</v>
      </c>
      <c r="K27" s="433" t="s">
        <v>679</v>
      </c>
      <c r="L27" s="95">
        <v>1</v>
      </c>
      <c r="M27" s="96">
        <f t="shared" si="14"/>
        <v>1.2284225230179247</v>
      </c>
      <c r="N27" s="432" t="str">
        <f t="shared" si="15"/>
        <v>(3,1,1,1,1,na); calculation with m2 panel</v>
      </c>
      <c r="O27" s="435">
        <v>0</v>
      </c>
      <c r="P27" s="95">
        <v>1</v>
      </c>
      <c r="Q27" s="96">
        <f t="shared" si="16"/>
        <v>1</v>
      </c>
      <c r="R27" s="432" t="str">
        <f t="shared" si="0"/>
        <v>(3,1,1,1,1,na); calculation with m2 panel</v>
      </c>
      <c r="S27" s="435">
        <v>0</v>
      </c>
      <c r="T27" s="95">
        <v>1</v>
      </c>
      <c r="U27" s="96">
        <f t="shared" si="1"/>
        <v>1.2284225230179247</v>
      </c>
      <c r="V27" s="432" t="str">
        <f t="shared" si="2"/>
        <v>(3,1,1,1,1,na); calculation with m2 panel</v>
      </c>
      <c r="W27" s="435">
        <v>0</v>
      </c>
      <c r="X27" s="95">
        <f>1</f>
        <v>1</v>
      </c>
      <c r="Y27" s="96">
        <f t="shared" si="3"/>
        <v>1.2284225230179247</v>
      </c>
      <c r="Z27" s="432" t="str">
        <f t="shared" si="4"/>
        <v>(3,1,1,1,1,na); calculation with m2 panel</v>
      </c>
      <c r="AA27" s="435">
        <v>0</v>
      </c>
      <c r="AB27" s="95">
        <f>1</f>
        <v>1</v>
      </c>
      <c r="AC27" s="96">
        <f t="shared" si="5"/>
        <v>1.2284225230179247</v>
      </c>
      <c r="AD27" s="432" t="str">
        <f t="shared" si="6"/>
        <v>(3,1,1,1,1,na); calculation with m2 panel</v>
      </c>
      <c r="AE27" s="435">
        <v>0</v>
      </c>
      <c r="AF27" s="95">
        <f>1</f>
        <v>1</v>
      </c>
      <c r="AG27" s="96">
        <f t="shared" si="7"/>
        <v>1.2284225230179247</v>
      </c>
      <c r="AH27" s="432" t="str">
        <f t="shared" si="8"/>
        <v>(3,1,1,1,1,na); calculation with m2 panel</v>
      </c>
      <c r="AI27" s="95">
        <v>1</v>
      </c>
      <c r="AJ27" s="96">
        <f t="shared" si="9"/>
        <v>1.2284225230179247</v>
      </c>
      <c r="AK27" s="432" t="str">
        <f t="shared" si="10"/>
        <v>(3,1,1,1,1,na); calculation with m2 panel</v>
      </c>
      <c r="AL27" s="494">
        <v>4.4770909637727101</v>
      </c>
      <c r="AM27" s="216" t="s">
        <v>1861</v>
      </c>
      <c r="AN27" s="339">
        <v>3</v>
      </c>
      <c r="AO27" s="339">
        <v>1</v>
      </c>
      <c r="AP27" s="339">
        <v>1</v>
      </c>
      <c r="AQ27" s="339">
        <v>1</v>
      </c>
      <c r="AR27" s="339">
        <v>1</v>
      </c>
      <c r="AS27" s="339" t="s">
        <v>106</v>
      </c>
      <c r="AT27" s="104">
        <v>9</v>
      </c>
      <c r="AU27" s="104">
        <v>1.2</v>
      </c>
      <c r="AV27" s="107">
        <f t="shared" si="11"/>
        <v>1.1000000000000001</v>
      </c>
      <c r="AW27" s="107">
        <f t="shared" si="12"/>
        <v>1.2284225230179247</v>
      </c>
      <c r="AX27" s="107" t="str">
        <f t="shared" si="13"/>
        <v>(3,1,1,1,1,na)</v>
      </c>
      <c r="AY27" s="108">
        <v>1.1000000000000001</v>
      </c>
      <c r="AZ27" s="108">
        <v>1</v>
      </c>
      <c r="BA27" s="108">
        <v>1</v>
      </c>
      <c r="BB27" s="108">
        <v>1</v>
      </c>
      <c r="BC27" s="108">
        <v>1</v>
      </c>
      <c r="BD27" s="108">
        <v>1</v>
      </c>
    </row>
    <row r="28" spans="1:56">
      <c r="A28" s="330">
        <v>262479</v>
      </c>
      <c r="B28" s="331"/>
      <c r="C28" s="88"/>
      <c r="D28" s="340">
        <v>5</v>
      </c>
      <c r="E28" s="341" t="s">
        <v>98</v>
      </c>
      <c r="F28" s="432" t="s">
        <v>1602</v>
      </c>
      <c r="G28" s="433" t="s">
        <v>93</v>
      </c>
      <c r="H28" s="434" t="s">
        <v>98</v>
      </c>
      <c r="I28" s="434" t="s">
        <v>98</v>
      </c>
      <c r="J28" s="94">
        <v>1</v>
      </c>
      <c r="K28" s="433" t="s">
        <v>679</v>
      </c>
      <c r="L28" s="95">
        <v>1</v>
      </c>
      <c r="M28" s="96">
        <f t="shared" si="14"/>
        <v>1.2284225230179247</v>
      </c>
      <c r="N28" s="432" t="str">
        <f t="shared" si="15"/>
        <v>(3,1,1,1,1,na); calculation with m2 panel</v>
      </c>
      <c r="O28" s="435">
        <v>0</v>
      </c>
      <c r="P28" s="95">
        <v>1</v>
      </c>
      <c r="Q28" s="96">
        <f t="shared" si="16"/>
        <v>1</v>
      </c>
      <c r="R28" s="432" t="str">
        <f t="shared" si="0"/>
        <v>(3,1,1,1,1,na); calculation with m2 panel</v>
      </c>
      <c r="S28" s="435">
        <v>0</v>
      </c>
      <c r="T28" s="95">
        <v>1</v>
      </c>
      <c r="U28" s="96">
        <f t="shared" si="1"/>
        <v>1.2284225230179247</v>
      </c>
      <c r="V28" s="432" t="str">
        <f t="shared" si="2"/>
        <v>(3,1,1,1,1,na); calculation with m2 panel</v>
      </c>
      <c r="W28" s="435">
        <v>0</v>
      </c>
      <c r="X28" s="95">
        <f>1</f>
        <v>1</v>
      </c>
      <c r="Y28" s="96">
        <f t="shared" si="3"/>
        <v>1.2284225230179247</v>
      </c>
      <c r="Z28" s="432" t="str">
        <f t="shared" si="4"/>
        <v>(3,1,1,1,1,na); calculation with m2 panel</v>
      </c>
      <c r="AA28" s="435">
        <v>1106.55357804968</v>
      </c>
      <c r="AB28" s="95">
        <f>1</f>
        <v>1</v>
      </c>
      <c r="AC28" s="96">
        <f t="shared" si="5"/>
        <v>1.2284225230179247</v>
      </c>
      <c r="AD28" s="432" t="str">
        <f t="shared" si="6"/>
        <v>(3,1,1,1,1,na); calculation with m2 panel</v>
      </c>
      <c r="AE28" s="435">
        <v>0</v>
      </c>
      <c r="AF28" s="95">
        <f>1</f>
        <v>1</v>
      </c>
      <c r="AG28" s="96">
        <f t="shared" si="7"/>
        <v>1.2284225230179247</v>
      </c>
      <c r="AH28" s="432" t="str">
        <f t="shared" si="8"/>
        <v>(3,1,1,1,1,na); calculation with m2 panel</v>
      </c>
      <c r="AI28" s="95">
        <v>1</v>
      </c>
      <c r="AJ28" s="96">
        <f t="shared" si="9"/>
        <v>1.2284225230179247</v>
      </c>
      <c r="AK28" s="432" t="str">
        <f t="shared" si="10"/>
        <v>(3,1,1,1,1,na); calculation with m2 panel</v>
      </c>
      <c r="AL28" s="494">
        <v>4.7346514698728202</v>
      </c>
      <c r="AM28" s="216" t="s">
        <v>1861</v>
      </c>
      <c r="AN28" s="339">
        <f t="shared" ref="AN28:AS28" si="18">AN26</f>
        <v>3</v>
      </c>
      <c r="AO28" s="339">
        <f t="shared" si="18"/>
        <v>1</v>
      </c>
      <c r="AP28" s="339">
        <f t="shared" si="18"/>
        <v>1</v>
      </c>
      <c r="AQ28" s="339">
        <f t="shared" si="18"/>
        <v>1</v>
      </c>
      <c r="AR28" s="339">
        <f t="shared" si="18"/>
        <v>1</v>
      </c>
      <c r="AS28" s="339" t="str">
        <f t="shared" si="18"/>
        <v>na</v>
      </c>
      <c r="AT28" s="104">
        <v>9</v>
      </c>
      <c r="AU28" s="104">
        <v>1.2</v>
      </c>
      <c r="AV28" s="107">
        <f t="shared" si="11"/>
        <v>1.1000000000000001</v>
      </c>
      <c r="AW28" s="107">
        <f t="shared" si="12"/>
        <v>1.2284225230179247</v>
      </c>
      <c r="AX28" s="107" t="str">
        <f t="shared" si="13"/>
        <v>(3,1,1,1,1,na)</v>
      </c>
      <c r="AY28" s="108">
        <v>1.1000000000000001</v>
      </c>
      <c r="AZ28" s="108">
        <v>1</v>
      </c>
      <c r="BA28" s="108">
        <v>1</v>
      </c>
      <c r="BB28" s="108">
        <v>1</v>
      </c>
      <c r="BC28" s="108">
        <v>1</v>
      </c>
      <c r="BD28" s="108">
        <v>1</v>
      </c>
    </row>
    <row r="29" spans="1:56" ht="24">
      <c r="A29" s="330">
        <v>263667</v>
      </c>
      <c r="B29" s="331"/>
      <c r="C29" s="88"/>
      <c r="D29" s="340">
        <v>5</v>
      </c>
      <c r="E29" s="341" t="s">
        <v>98</v>
      </c>
      <c r="F29" s="432" t="s">
        <v>1604</v>
      </c>
      <c r="G29" s="433" t="s">
        <v>93</v>
      </c>
      <c r="H29" s="434" t="s">
        <v>98</v>
      </c>
      <c r="I29" s="434" t="s">
        <v>98</v>
      </c>
      <c r="J29" s="94">
        <v>1</v>
      </c>
      <c r="K29" s="433" t="s">
        <v>679</v>
      </c>
      <c r="L29" s="95">
        <v>1</v>
      </c>
      <c r="M29" s="96">
        <f t="shared" si="14"/>
        <v>1.2284225230179247</v>
      </c>
      <c r="N29" s="432" t="str">
        <f t="shared" si="15"/>
        <v>(3,1,1,1,1,na); calculation with m2 panel</v>
      </c>
      <c r="O29" s="435">
        <v>0</v>
      </c>
      <c r="P29" s="95">
        <v>1</v>
      </c>
      <c r="Q29" s="96">
        <f t="shared" si="16"/>
        <v>1</v>
      </c>
      <c r="R29" s="432" t="str">
        <f t="shared" si="0"/>
        <v>(3,1,1,1,1,na); calculation with m2 panel</v>
      </c>
      <c r="S29" s="435">
        <v>0</v>
      </c>
      <c r="T29" s="95">
        <v>1</v>
      </c>
      <c r="U29" s="96">
        <f t="shared" si="1"/>
        <v>1.2284225230179247</v>
      </c>
      <c r="V29" s="432" t="str">
        <f t="shared" si="2"/>
        <v>(3,1,1,1,1,na); calculation with m2 panel</v>
      </c>
      <c r="W29" s="435">
        <v>1106.55357804968</v>
      </c>
      <c r="X29" s="95">
        <f>1</f>
        <v>1</v>
      </c>
      <c r="Y29" s="96">
        <f t="shared" si="3"/>
        <v>1.2284225230179247</v>
      </c>
      <c r="Z29" s="432" t="str">
        <f t="shared" si="4"/>
        <v>(3,1,1,1,1,na); calculation with m2 panel</v>
      </c>
      <c r="AA29" s="435">
        <v>0</v>
      </c>
      <c r="AB29" s="95">
        <f>1</f>
        <v>1</v>
      </c>
      <c r="AC29" s="96">
        <f t="shared" si="5"/>
        <v>1.2284225230179247</v>
      </c>
      <c r="AD29" s="432" t="str">
        <f t="shared" si="6"/>
        <v>(3,1,1,1,1,na); calculation with m2 panel</v>
      </c>
      <c r="AE29" s="435">
        <v>0</v>
      </c>
      <c r="AF29" s="95">
        <f>1</f>
        <v>1</v>
      </c>
      <c r="AG29" s="96">
        <f t="shared" si="7"/>
        <v>1.2284225230179247</v>
      </c>
      <c r="AH29" s="432" t="str">
        <f t="shared" si="8"/>
        <v>(3,1,1,1,1,na); calculation with m2 panel</v>
      </c>
      <c r="AI29" s="95">
        <v>1</v>
      </c>
      <c r="AJ29" s="96">
        <f t="shared" si="9"/>
        <v>1.2284225230179247</v>
      </c>
      <c r="AK29" s="432" t="str">
        <f t="shared" si="10"/>
        <v>(3,1,1,1,1,na); calculation with m2 panel</v>
      </c>
      <c r="AL29" s="494">
        <v>3.8594927779981698</v>
      </c>
      <c r="AM29" s="216" t="s">
        <v>1861</v>
      </c>
      <c r="AN29" s="339">
        <f t="shared" ref="AN29:AS29" si="19">AN30</f>
        <v>3</v>
      </c>
      <c r="AO29" s="339">
        <f t="shared" si="19"/>
        <v>1</v>
      </c>
      <c r="AP29" s="339">
        <f t="shared" si="19"/>
        <v>1</v>
      </c>
      <c r="AQ29" s="339">
        <f t="shared" si="19"/>
        <v>1</v>
      </c>
      <c r="AR29" s="339">
        <f t="shared" si="19"/>
        <v>1</v>
      </c>
      <c r="AS29" s="339" t="str">
        <f t="shared" si="19"/>
        <v>na</v>
      </c>
      <c r="AT29" s="104">
        <v>9</v>
      </c>
      <c r="AU29" s="104">
        <v>1.2</v>
      </c>
      <c r="AV29" s="107">
        <f t="shared" si="11"/>
        <v>1.1000000000000001</v>
      </c>
      <c r="AW29" s="107">
        <f t="shared" si="12"/>
        <v>1.2284225230179247</v>
      </c>
      <c r="AX29" s="107" t="str">
        <f t="shared" si="13"/>
        <v>(3,1,1,1,1,na)</v>
      </c>
      <c r="AY29" s="108">
        <v>1.1000000000000001</v>
      </c>
      <c r="AZ29" s="108">
        <v>1</v>
      </c>
      <c r="BA29" s="108">
        <v>1</v>
      </c>
      <c r="BB29" s="108">
        <v>1</v>
      </c>
      <c r="BC29" s="108">
        <v>1</v>
      </c>
      <c r="BD29" s="108">
        <v>1</v>
      </c>
    </row>
    <row r="30" spans="1:56" ht="24">
      <c r="A30" s="330">
        <v>263621</v>
      </c>
      <c r="B30" s="331"/>
      <c r="C30" s="88"/>
      <c r="D30" s="340">
        <v>5</v>
      </c>
      <c r="E30" s="341" t="s">
        <v>98</v>
      </c>
      <c r="F30" s="432" t="s">
        <v>1603</v>
      </c>
      <c r="G30" s="433" t="s">
        <v>93</v>
      </c>
      <c r="H30" s="434" t="s">
        <v>98</v>
      </c>
      <c r="I30" s="434" t="s">
        <v>98</v>
      </c>
      <c r="J30" s="94">
        <v>1</v>
      </c>
      <c r="K30" s="433" t="s">
        <v>679</v>
      </c>
      <c r="L30" s="95">
        <v>1</v>
      </c>
      <c r="M30" s="96">
        <f t="shared" si="14"/>
        <v>1.2284225230179247</v>
      </c>
      <c r="N30" s="432" t="str">
        <f t="shared" si="15"/>
        <v>(3,1,1,1,1,na); calculation with m2 panel</v>
      </c>
      <c r="O30" s="435">
        <v>44.2621431219874</v>
      </c>
      <c r="P30" s="95">
        <v>1</v>
      </c>
      <c r="Q30" s="96">
        <f t="shared" si="16"/>
        <v>1</v>
      </c>
      <c r="R30" s="432" t="str">
        <f t="shared" si="0"/>
        <v>(3,1,1,1,1,na); calculation with m2 panel</v>
      </c>
      <c r="S30" s="435">
        <v>1106.55357804968</v>
      </c>
      <c r="T30" s="95">
        <v>1</v>
      </c>
      <c r="U30" s="96">
        <f t="shared" si="1"/>
        <v>1.2284225230179247</v>
      </c>
      <c r="V30" s="432" t="str">
        <f t="shared" si="2"/>
        <v>(3,1,1,1,1,na); calculation with m2 panel</v>
      </c>
      <c r="W30" s="435">
        <v>0</v>
      </c>
      <c r="X30" s="95">
        <f>1</f>
        <v>1</v>
      </c>
      <c r="Y30" s="96">
        <f t="shared" si="3"/>
        <v>1.2284225230179247</v>
      </c>
      <c r="Z30" s="432" t="str">
        <f t="shared" si="4"/>
        <v>(3,1,1,1,1,na); calculation with m2 panel</v>
      </c>
      <c r="AA30" s="435">
        <v>0</v>
      </c>
      <c r="AB30" s="95">
        <f>1</f>
        <v>1</v>
      </c>
      <c r="AC30" s="96">
        <f t="shared" si="5"/>
        <v>1.2284225230179247</v>
      </c>
      <c r="AD30" s="432" t="str">
        <f t="shared" si="6"/>
        <v>(3,1,1,1,1,na); calculation with m2 panel</v>
      </c>
      <c r="AE30" s="435">
        <v>0</v>
      </c>
      <c r="AF30" s="95">
        <f>1</f>
        <v>1</v>
      </c>
      <c r="AG30" s="96">
        <f t="shared" si="7"/>
        <v>1.2284225230179247</v>
      </c>
      <c r="AH30" s="432" t="str">
        <f t="shared" si="8"/>
        <v>(3,1,1,1,1,na); calculation with m2 panel</v>
      </c>
      <c r="AI30" s="95">
        <v>1</v>
      </c>
      <c r="AJ30" s="96">
        <f t="shared" si="9"/>
        <v>1.2284225230179247</v>
      </c>
      <c r="AK30" s="432" t="str">
        <f t="shared" si="10"/>
        <v>(3,1,1,1,1,na); calculation with m2 panel</v>
      </c>
      <c r="AL30" s="494">
        <v>4.4770909637727101</v>
      </c>
      <c r="AM30" s="216" t="s">
        <v>1861</v>
      </c>
      <c r="AN30" s="339">
        <f t="shared" ref="AN30:AS31" si="20">AN28</f>
        <v>3</v>
      </c>
      <c r="AO30" s="339">
        <f t="shared" si="20"/>
        <v>1</v>
      </c>
      <c r="AP30" s="339">
        <f t="shared" si="20"/>
        <v>1</v>
      </c>
      <c r="AQ30" s="339">
        <f t="shared" si="20"/>
        <v>1</v>
      </c>
      <c r="AR30" s="339">
        <f t="shared" si="20"/>
        <v>1</v>
      </c>
      <c r="AS30" s="339" t="str">
        <f t="shared" si="20"/>
        <v>na</v>
      </c>
      <c r="AT30" s="104">
        <v>9</v>
      </c>
      <c r="AU30" s="104">
        <v>1.2</v>
      </c>
      <c r="AV30" s="107">
        <f t="shared" si="11"/>
        <v>1.1000000000000001</v>
      </c>
      <c r="AW30" s="107">
        <f t="shared" si="12"/>
        <v>1.2284225230179247</v>
      </c>
      <c r="AX30" s="107" t="str">
        <f t="shared" si="13"/>
        <v>(3,1,1,1,1,na)</v>
      </c>
      <c r="AY30" s="108">
        <v>1.1000000000000001</v>
      </c>
      <c r="AZ30" s="108">
        <v>1</v>
      </c>
      <c r="BA30" s="108">
        <v>1</v>
      </c>
      <c r="BB30" s="108">
        <v>1</v>
      </c>
      <c r="BC30" s="108">
        <v>1</v>
      </c>
      <c r="BD30" s="108">
        <v>1</v>
      </c>
    </row>
    <row r="31" spans="1:56" ht="24">
      <c r="A31" s="330" t="s">
        <v>1645</v>
      </c>
      <c r="B31" s="331"/>
      <c r="C31" s="88"/>
      <c r="D31" s="340">
        <v>5</v>
      </c>
      <c r="E31" s="341" t="s">
        <v>98</v>
      </c>
      <c r="F31" s="432" t="s">
        <v>1643</v>
      </c>
      <c r="G31" s="433" t="s">
        <v>93</v>
      </c>
      <c r="H31" s="434" t="s">
        <v>98</v>
      </c>
      <c r="I31" s="434" t="s">
        <v>98</v>
      </c>
      <c r="J31" s="94">
        <v>1</v>
      </c>
      <c r="K31" s="433" t="s">
        <v>679</v>
      </c>
      <c r="L31" s="95">
        <v>1</v>
      </c>
      <c r="M31" s="96">
        <f t="shared" si="14"/>
        <v>1.2284225230179247</v>
      </c>
      <c r="N31" s="432" t="str">
        <f t="shared" si="15"/>
        <v>(3,1,1,1,1,na); calculation with m2 panel</v>
      </c>
      <c r="O31" s="435">
        <v>0</v>
      </c>
      <c r="P31" s="95">
        <v>1</v>
      </c>
      <c r="Q31" s="96">
        <f t="shared" si="16"/>
        <v>1</v>
      </c>
      <c r="R31" s="432" t="str">
        <f t="shared" si="0"/>
        <v>(3,1,1,1,1,na); calculation with m2 panel</v>
      </c>
      <c r="S31" s="435">
        <v>0</v>
      </c>
      <c r="T31" s="95">
        <v>1</v>
      </c>
      <c r="U31" s="96">
        <f t="shared" si="1"/>
        <v>1.2284225230179247</v>
      </c>
      <c r="V31" s="432" t="str">
        <f t="shared" si="2"/>
        <v>(3,1,1,1,1,na); calculation with m2 panel</v>
      </c>
      <c r="W31" s="435">
        <v>0</v>
      </c>
      <c r="X31" s="95">
        <f>1</f>
        <v>1</v>
      </c>
      <c r="Y31" s="96">
        <f t="shared" si="3"/>
        <v>1.2284225230179247</v>
      </c>
      <c r="Z31" s="432" t="str">
        <f t="shared" si="4"/>
        <v>(3,1,1,1,1,na); calculation with m2 panel</v>
      </c>
      <c r="AA31" s="435">
        <v>0</v>
      </c>
      <c r="AB31" s="95">
        <f>1</f>
        <v>1</v>
      </c>
      <c r="AC31" s="96">
        <f t="shared" si="5"/>
        <v>1.2284225230179247</v>
      </c>
      <c r="AD31" s="432" t="str">
        <f t="shared" si="6"/>
        <v>(3,1,1,1,1,na); calculation with m2 panel</v>
      </c>
      <c r="AE31" s="435">
        <v>44262.143121987399</v>
      </c>
      <c r="AF31" s="95">
        <f>1</f>
        <v>1</v>
      </c>
      <c r="AG31" s="96">
        <f t="shared" si="7"/>
        <v>1.2284225230179247</v>
      </c>
      <c r="AH31" s="432" t="str">
        <f t="shared" si="8"/>
        <v>(3,1,1,1,1,na); calculation with m2 panel</v>
      </c>
      <c r="AI31" s="95">
        <v>1</v>
      </c>
      <c r="AJ31" s="96">
        <f t="shared" si="9"/>
        <v>1.2284225230179247</v>
      </c>
      <c r="AK31" s="432" t="str">
        <f t="shared" si="10"/>
        <v>(3,1,1,1,1,na); calculation with m2 panel</v>
      </c>
      <c r="AL31" s="494">
        <v>9.73005648528693</v>
      </c>
      <c r="AM31" s="216" t="s">
        <v>1861</v>
      </c>
      <c r="AN31" s="339">
        <f t="shared" si="20"/>
        <v>3</v>
      </c>
      <c r="AO31" s="339">
        <f t="shared" si="20"/>
        <v>1</v>
      </c>
      <c r="AP31" s="339">
        <f t="shared" si="20"/>
        <v>1</v>
      </c>
      <c r="AQ31" s="339">
        <f t="shared" si="20"/>
        <v>1</v>
      </c>
      <c r="AR31" s="339">
        <f t="shared" si="20"/>
        <v>1</v>
      </c>
      <c r="AS31" s="339" t="str">
        <f t="shared" si="20"/>
        <v>na</v>
      </c>
      <c r="AT31" s="104">
        <v>9</v>
      </c>
      <c r="AU31" s="104">
        <v>1.2</v>
      </c>
      <c r="AV31" s="107">
        <f t="shared" si="11"/>
        <v>1.1000000000000001</v>
      </c>
      <c r="AW31" s="107">
        <f t="shared" si="12"/>
        <v>1.2284225230179247</v>
      </c>
      <c r="AX31" s="107" t="str">
        <f t="shared" si="13"/>
        <v>(3,1,1,1,1,na)</v>
      </c>
      <c r="AY31" s="108">
        <v>1.1000000000000001</v>
      </c>
      <c r="AZ31" s="108">
        <v>1</v>
      </c>
      <c r="BA31" s="108">
        <v>1</v>
      </c>
      <c r="BB31" s="108">
        <v>1</v>
      </c>
      <c r="BC31" s="108">
        <v>1</v>
      </c>
      <c r="BD31" s="108">
        <v>1</v>
      </c>
    </row>
    <row r="32" spans="1:56" ht="24">
      <c r="A32" s="330">
        <v>264723</v>
      </c>
      <c r="B32" s="331"/>
      <c r="C32" s="88"/>
      <c r="D32" s="340">
        <v>5</v>
      </c>
      <c r="E32" s="341" t="s">
        <v>98</v>
      </c>
      <c r="F32" s="432" t="s">
        <v>1307</v>
      </c>
      <c r="G32" s="433" t="s">
        <v>93</v>
      </c>
      <c r="H32" s="434" t="s">
        <v>98</v>
      </c>
      <c r="I32" s="434" t="s">
        <v>98</v>
      </c>
      <c r="J32" s="94">
        <v>1</v>
      </c>
      <c r="K32" s="433" t="s">
        <v>679</v>
      </c>
      <c r="L32" s="95">
        <v>1</v>
      </c>
      <c r="M32" s="96">
        <f t="shared" si="14"/>
        <v>1.3582005896413567</v>
      </c>
      <c r="N32" s="432" t="str">
        <f t="shared" si="15"/>
        <v>(3,4,3,1,1,5); Calculation, 2% of modules repaired in the life time, 1% rejects</v>
      </c>
      <c r="O32" s="435">
        <v>0</v>
      </c>
      <c r="P32" s="95">
        <v>1</v>
      </c>
      <c r="Q32" s="96">
        <f t="shared" si="16"/>
        <v>1.1000000000000001</v>
      </c>
      <c r="R32" s="432" t="str">
        <f t="shared" si="0"/>
        <v>(3,4,3,1,1,5); Calculation, 2% of modules repaired in the life time, 1% rejects</v>
      </c>
      <c r="S32" s="435">
        <v>0</v>
      </c>
      <c r="T32" s="95">
        <v>1</v>
      </c>
      <c r="U32" s="96">
        <f t="shared" si="1"/>
        <v>1.3582005896413567</v>
      </c>
      <c r="V32" s="432" t="str">
        <f t="shared" si="2"/>
        <v>(3,4,3,1,1,5); Calculation, 2% of modules repaired in the life time, 1% rejects</v>
      </c>
      <c r="W32" s="435">
        <v>0</v>
      </c>
      <c r="X32" s="95">
        <f>1</f>
        <v>1</v>
      </c>
      <c r="Y32" s="96">
        <f t="shared" si="3"/>
        <v>1.3582005896413567</v>
      </c>
      <c r="Z32" s="432" t="str">
        <f t="shared" si="4"/>
        <v>(3,4,3,1,1,5); Calculation, 2% of modules repaired in the life time, 1% rejects</v>
      </c>
      <c r="AA32" s="435">
        <v>0</v>
      </c>
      <c r="AB32" s="95">
        <f>1</f>
        <v>1</v>
      </c>
      <c r="AC32" s="96">
        <f t="shared" si="5"/>
        <v>1.3582005896413567</v>
      </c>
      <c r="AD32" s="432" t="str">
        <f t="shared" si="6"/>
        <v>(3,4,3,1,1,5); Calculation, 2% of modules repaired in the life time, 1% rejects</v>
      </c>
      <c r="AE32" s="435">
        <v>0</v>
      </c>
      <c r="AF32" s="95">
        <f>1</f>
        <v>1</v>
      </c>
      <c r="AG32" s="96">
        <f t="shared" si="7"/>
        <v>1.3582005896413567</v>
      </c>
      <c r="AH32" s="432" t="str">
        <f t="shared" si="8"/>
        <v>(3,4,3,1,1,5); Calculation, 2% of modules repaired in the life time, 1% rejects</v>
      </c>
      <c r="AI32" s="95">
        <v>1</v>
      </c>
      <c r="AJ32" s="96">
        <f t="shared" si="9"/>
        <v>1.3582005896413567</v>
      </c>
      <c r="AK32" s="432" t="str">
        <f t="shared" si="10"/>
        <v>(3,4,3,1,1,5); Calculation, 2% of modules repaired in the life time, 1% rejects</v>
      </c>
      <c r="AL32" s="494">
        <v>11.11626864216</v>
      </c>
      <c r="AM32" s="216" t="s">
        <v>1862</v>
      </c>
      <c r="AN32" s="339">
        <v>3</v>
      </c>
      <c r="AO32" s="339">
        <v>4</v>
      </c>
      <c r="AP32" s="339">
        <v>3</v>
      </c>
      <c r="AQ32" s="339">
        <v>1</v>
      </c>
      <c r="AR32" s="339">
        <v>1</v>
      </c>
      <c r="AS32" s="339">
        <v>5</v>
      </c>
      <c r="AT32" s="104">
        <v>9</v>
      </c>
      <c r="AU32" s="104">
        <v>1.2</v>
      </c>
      <c r="AV32" s="107">
        <f t="shared" si="11"/>
        <v>1.2788404103505406</v>
      </c>
      <c r="AW32" s="107">
        <f t="shared" si="12"/>
        <v>1.3582005896413567</v>
      </c>
      <c r="AX32" s="107" t="str">
        <f t="shared" si="13"/>
        <v>(3,4,3,1,1,5)</v>
      </c>
      <c r="AY32" s="108">
        <v>1.1000000000000001</v>
      </c>
      <c r="AZ32" s="108">
        <v>1.1000000000000001</v>
      </c>
      <c r="BA32" s="108">
        <v>1.1000000000000001</v>
      </c>
      <c r="BB32" s="108">
        <v>1</v>
      </c>
      <c r="BC32" s="108">
        <v>1</v>
      </c>
      <c r="BD32" s="108">
        <v>1.2</v>
      </c>
    </row>
    <row r="33" spans="1:58" ht="24">
      <c r="A33" s="330" t="s">
        <v>1310</v>
      </c>
      <c r="B33" s="331"/>
      <c r="C33" s="88"/>
      <c r="D33" s="340">
        <v>5</v>
      </c>
      <c r="E33" s="341" t="s">
        <v>98</v>
      </c>
      <c r="F33" s="432" t="s">
        <v>1308</v>
      </c>
      <c r="G33" s="433" t="s">
        <v>93</v>
      </c>
      <c r="H33" s="434" t="s">
        <v>98</v>
      </c>
      <c r="I33" s="434" t="s">
        <v>98</v>
      </c>
      <c r="J33" s="94">
        <v>1</v>
      </c>
      <c r="K33" s="433" t="s">
        <v>679</v>
      </c>
      <c r="L33" s="95">
        <v>1</v>
      </c>
      <c r="M33" s="96">
        <f t="shared" si="14"/>
        <v>1.3582005896413567</v>
      </c>
      <c r="N33" s="432" t="str">
        <f t="shared" si="15"/>
        <v>(3,4,3,1,1,5); Calculation, 2% of modules repaired in the life time, 1% rejects</v>
      </c>
      <c r="O33" s="435">
        <v>16.8683027437894</v>
      </c>
      <c r="P33" s="95">
        <v>1</v>
      </c>
      <c r="Q33" s="96">
        <f t="shared" si="16"/>
        <v>1.1000000000000001</v>
      </c>
      <c r="R33" s="432" t="str">
        <f t="shared" si="0"/>
        <v>(3,4,3,1,1,5); Calculation, 2% of modules repaired in the life time, 1% rejects</v>
      </c>
      <c r="S33" s="435">
        <v>421.70756859473499</v>
      </c>
      <c r="T33" s="95">
        <v>1</v>
      </c>
      <c r="U33" s="96">
        <f t="shared" si="1"/>
        <v>1.3582005896413567</v>
      </c>
      <c r="V33" s="432" t="str">
        <f t="shared" si="2"/>
        <v>(3,4,3,1,1,5); Calculation, 2% of modules repaired in the life time, 1% rejects</v>
      </c>
      <c r="W33" s="435">
        <v>421.70756859473499</v>
      </c>
      <c r="X33" s="95">
        <f>1</f>
        <v>1</v>
      </c>
      <c r="Y33" s="96">
        <f t="shared" si="3"/>
        <v>1.3582005896413567</v>
      </c>
      <c r="Z33" s="432" t="str">
        <f t="shared" si="4"/>
        <v>(3,4,3,1,1,5); Calculation, 2% of modules repaired in the life time, 1% rejects</v>
      </c>
      <c r="AA33" s="435">
        <v>421.70756859473499</v>
      </c>
      <c r="AB33" s="95">
        <f>1</f>
        <v>1</v>
      </c>
      <c r="AC33" s="96">
        <f t="shared" si="5"/>
        <v>1.3582005896413567</v>
      </c>
      <c r="AD33" s="432" t="str">
        <f t="shared" si="6"/>
        <v>(3,4,3,1,1,5); Calculation, 2% of modules repaired in the life time, 1% rejects</v>
      </c>
      <c r="AE33" s="435">
        <v>16868.302743789402</v>
      </c>
      <c r="AF33" s="95">
        <f>1</f>
        <v>1</v>
      </c>
      <c r="AG33" s="96">
        <f t="shared" si="7"/>
        <v>1.3582005896413567</v>
      </c>
      <c r="AH33" s="432" t="str">
        <f t="shared" si="8"/>
        <v>(3,4,3,1,1,5); Calculation, 2% of modules repaired in the life time, 1% rejects</v>
      </c>
      <c r="AI33" s="95">
        <v>1</v>
      </c>
      <c r="AJ33" s="96">
        <f t="shared" si="9"/>
        <v>1.3582005896413567</v>
      </c>
      <c r="AK33" s="432" t="str">
        <f t="shared" si="10"/>
        <v>(3,4,3,1,1,5); Calculation, 2% of modules repaired in the life time, 1% rejects</v>
      </c>
      <c r="AL33" s="494">
        <v>11.466093870225601</v>
      </c>
      <c r="AM33" s="216" t="s">
        <v>1862</v>
      </c>
      <c r="AN33" s="339">
        <v>3</v>
      </c>
      <c r="AO33" s="339">
        <v>4</v>
      </c>
      <c r="AP33" s="339">
        <v>3</v>
      </c>
      <c r="AQ33" s="339">
        <v>1</v>
      </c>
      <c r="AR33" s="339">
        <v>1</v>
      </c>
      <c r="AS33" s="339">
        <v>5</v>
      </c>
      <c r="AT33" s="104">
        <v>9</v>
      </c>
      <c r="AU33" s="104">
        <v>1.2</v>
      </c>
      <c r="AV33" s="107">
        <f t="shared" si="11"/>
        <v>1.2788404103505406</v>
      </c>
      <c r="AW33" s="107">
        <f t="shared" si="12"/>
        <v>1.3582005896413567</v>
      </c>
      <c r="AX33" s="107" t="str">
        <f t="shared" si="13"/>
        <v>(3,4,3,1,1,5)</v>
      </c>
      <c r="AY33" s="108">
        <v>1.1000000000000001</v>
      </c>
      <c r="AZ33" s="108">
        <v>1.1000000000000001</v>
      </c>
      <c r="BA33" s="108">
        <v>1.1000000000000001</v>
      </c>
      <c r="BB33" s="108">
        <v>1</v>
      </c>
      <c r="BC33" s="108">
        <v>1</v>
      </c>
      <c r="BD33" s="108">
        <v>1.2</v>
      </c>
    </row>
    <row r="34" spans="1:58" ht="24">
      <c r="A34" s="330" t="s">
        <v>1306</v>
      </c>
      <c r="B34" s="331"/>
      <c r="C34" s="88"/>
      <c r="D34" s="340">
        <v>5</v>
      </c>
      <c r="E34" s="341" t="s">
        <v>98</v>
      </c>
      <c r="F34" s="432" t="s">
        <v>1309</v>
      </c>
      <c r="G34" s="433" t="s">
        <v>93</v>
      </c>
      <c r="H34" s="434" t="s">
        <v>98</v>
      </c>
      <c r="I34" s="434" t="s">
        <v>98</v>
      </c>
      <c r="J34" s="94">
        <v>1</v>
      </c>
      <c r="K34" s="433" t="s">
        <v>679</v>
      </c>
      <c r="L34" s="95">
        <v>1</v>
      </c>
      <c r="M34" s="96">
        <f t="shared" si="14"/>
        <v>1.3582005896413567</v>
      </c>
      <c r="N34" s="432" t="str">
        <f t="shared" si="15"/>
        <v>(3,4,3,1,1,5); Calculation, 2% of modules repaired in the life time, 1% rejects</v>
      </c>
      <c r="O34" s="435">
        <v>28.721704671857601</v>
      </c>
      <c r="P34" s="95">
        <v>1</v>
      </c>
      <c r="Q34" s="96">
        <f t="shared" si="16"/>
        <v>1.1000000000000001</v>
      </c>
      <c r="R34" s="432" t="str">
        <f t="shared" si="0"/>
        <v>(3,4,3,1,1,5); Calculation, 2% of modules repaired in the life time, 1% rejects</v>
      </c>
      <c r="S34" s="435">
        <v>718.04261679644003</v>
      </c>
      <c r="T34" s="95">
        <v>1</v>
      </c>
      <c r="U34" s="96">
        <f t="shared" si="1"/>
        <v>1.3582005896413567</v>
      </c>
      <c r="V34" s="432" t="str">
        <f t="shared" si="2"/>
        <v>(3,4,3,1,1,5); Calculation, 2% of modules repaired in the life time, 1% rejects</v>
      </c>
      <c r="W34" s="435">
        <v>718.04261679644003</v>
      </c>
      <c r="X34" s="95">
        <f>1</f>
        <v>1</v>
      </c>
      <c r="Y34" s="96">
        <f t="shared" si="3"/>
        <v>1.3582005896413567</v>
      </c>
      <c r="Z34" s="432" t="str">
        <f t="shared" si="4"/>
        <v>(3,4,3,1,1,5); Calculation, 2% of modules repaired in the life time, 1% rejects</v>
      </c>
      <c r="AA34" s="435">
        <v>718.04261679644003</v>
      </c>
      <c r="AB34" s="95">
        <f>1</f>
        <v>1</v>
      </c>
      <c r="AC34" s="96">
        <f t="shared" si="5"/>
        <v>1.3582005896413567</v>
      </c>
      <c r="AD34" s="432" t="str">
        <f t="shared" si="6"/>
        <v>(3,4,3,1,1,5); Calculation, 2% of modules repaired in the life time, 1% rejects</v>
      </c>
      <c r="AE34" s="435">
        <v>28721.704671857598</v>
      </c>
      <c r="AF34" s="95">
        <f>1</f>
        <v>1</v>
      </c>
      <c r="AG34" s="96">
        <f t="shared" si="7"/>
        <v>1.3582005896413567</v>
      </c>
      <c r="AH34" s="432" t="str">
        <f t="shared" si="8"/>
        <v>(3,4,3,1,1,5); Calculation, 2% of modules repaired in the life time, 1% rejects</v>
      </c>
      <c r="AI34" s="95">
        <v>1</v>
      </c>
      <c r="AJ34" s="96">
        <f t="shared" si="9"/>
        <v>1.3582005896413567</v>
      </c>
      <c r="AK34" s="432" t="str">
        <f t="shared" si="10"/>
        <v>(3,4,3,1,1,5); Calculation, 2% of modules repaired in the life time, 1% rejects</v>
      </c>
      <c r="AL34" s="494">
        <v>12.5652930742927</v>
      </c>
      <c r="AM34" s="216" t="s">
        <v>1862</v>
      </c>
      <c r="AN34" s="339">
        <v>3</v>
      </c>
      <c r="AO34" s="339">
        <v>4</v>
      </c>
      <c r="AP34" s="339">
        <v>3</v>
      </c>
      <c r="AQ34" s="339">
        <v>1</v>
      </c>
      <c r="AR34" s="339">
        <v>1</v>
      </c>
      <c r="AS34" s="339">
        <v>5</v>
      </c>
      <c r="AT34" s="104">
        <v>9</v>
      </c>
      <c r="AU34" s="104">
        <v>1.2</v>
      </c>
      <c r="AV34" s="107">
        <f t="shared" si="11"/>
        <v>1.2788404103505406</v>
      </c>
      <c r="AW34" s="107">
        <f t="shared" si="12"/>
        <v>1.3582005896413567</v>
      </c>
      <c r="AX34" s="107" t="str">
        <f t="shared" si="13"/>
        <v>(3,4,3,1,1,5)</v>
      </c>
      <c r="AY34" s="108">
        <v>1.1000000000000001</v>
      </c>
      <c r="AZ34" s="108">
        <v>1.1000000000000001</v>
      </c>
      <c r="BA34" s="108">
        <v>1.1000000000000001</v>
      </c>
      <c r="BB34" s="108">
        <v>1</v>
      </c>
      <c r="BC34" s="108">
        <v>1</v>
      </c>
      <c r="BD34" s="108">
        <v>1.2</v>
      </c>
    </row>
    <row r="35" spans="1:58" ht="24">
      <c r="A35" s="330" t="s">
        <v>1168</v>
      </c>
      <c r="B35" s="331"/>
      <c r="C35" s="88"/>
      <c r="D35" s="340">
        <v>5</v>
      </c>
      <c r="E35" s="341" t="s">
        <v>98</v>
      </c>
      <c r="F35" s="432" t="s">
        <v>1142</v>
      </c>
      <c r="G35" s="433" t="s">
        <v>340</v>
      </c>
      <c r="H35" s="434" t="s">
        <v>98</v>
      </c>
      <c r="I35" s="434" t="s">
        <v>98</v>
      </c>
      <c r="J35" s="94">
        <v>1</v>
      </c>
      <c r="K35" s="433" t="s">
        <v>679</v>
      </c>
      <c r="L35" s="95">
        <v>1</v>
      </c>
      <c r="M35" s="96">
        <f t="shared" si="14"/>
        <v>2.2840009777280823</v>
      </c>
      <c r="N35" s="432" t="str">
        <f t="shared" si="15"/>
        <v>(3,4,3,1,1,5); Calculation, 2% of modules repaired in the life time, 1% rejects</v>
      </c>
      <c r="O35" s="435">
        <v>0</v>
      </c>
      <c r="P35" s="95">
        <v>1</v>
      </c>
      <c r="Q35" s="96">
        <f t="shared" si="16"/>
        <v>1.1000000000000001</v>
      </c>
      <c r="R35" s="432" t="str">
        <f t="shared" si="0"/>
        <v>(3,4,3,1,1,5); Calculation, 2% of modules repaired in the life time, 1% rejects</v>
      </c>
      <c r="S35" s="435">
        <v>0</v>
      </c>
      <c r="T35" s="95">
        <v>1</v>
      </c>
      <c r="U35" s="96">
        <f t="shared" si="1"/>
        <v>2.2840009777280823</v>
      </c>
      <c r="V35" s="432" t="str">
        <f t="shared" si="2"/>
        <v>(3,4,3,1,1,5); Calculation, 2% of modules repaired in the life time, 1% rejects</v>
      </c>
      <c r="W35" s="435">
        <v>0</v>
      </c>
      <c r="X35" s="95">
        <f>1</f>
        <v>1</v>
      </c>
      <c r="Y35" s="96">
        <f t="shared" si="3"/>
        <v>2.2840009777280823</v>
      </c>
      <c r="Z35" s="432" t="str">
        <f t="shared" si="4"/>
        <v>(3,4,3,1,1,5); Calculation, 2% of modules repaired in the life time, 1% rejects</v>
      </c>
      <c r="AA35" s="435">
        <v>0</v>
      </c>
      <c r="AB35" s="95">
        <f>1</f>
        <v>1</v>
      </c>
      <c r="AC35" s="96">
        <f t="shared" si="5"/>
        <v>2.2840009777280823</v>
      </c>
      <c r="AD35" s="432" t="str">
        <f t="shared" si="6"/>
        <v>(3,4,3,1,1,5); Calculation, 2% of modules repaired in the life time, 1% rejects</v>
      </c>
      <c r="AE35" s="435">
        <v>0</v>
      </c>
      <c r="AF35" s="95">
        <f>1</f>
        <v>1</v>
      </c>
      <c r="AG35" s="96">
        <f t="shared" si="7"/>
        <v>2.2840009777280823</v>
      </c>
      <c r="AH35" s="432" t="str">
        <f t="shared" si="8"/>
        <v>(3,4,3,1,1,5); Calculation, 2% of modules repaired in the life time, 1% rejects</v>
      </c>
      <c r="AI35" s="95">
        <v>1</v>
      </c>
      <c r="AJ35" s="96">
        <f t="shared" si="9"/>
        <v>2.2840009777280823</v>
      </c>
      <c r="AK35" s="432" t="str">
        <f t="shared" si="10"/>
        <v>(3,4,3,1,1,5); Calculation, 2% of modules repaired in the life time, 1% rejects</v>
      </c>
      <c r="AL35" s="494">
        <v>11.657391314</v>
      </c>
      <c r="AM35" s="216" t="s">
        <v>1862</v>
      </c>
      <c r="AN35" s="339">
        <v>3</v>
      </c>
      <c r="AO35" s="339">
        <v>4</v>
      </c>
      <c r="AP35" s="339">
        <v>3</v>
      </c>
      <c r="AQ35" s="339">
        <v>1</v>
      </c>
      <c r="AR35" s="339">
        <v>1</v>
      </c>
      <c r="AS35" s="339">
        <v>5</v>
      </c>
      <c r="AT35" s="104">
        <v>9</v>
      </c>
      <c r="AU35" s="104">
        <v>2.2000000000000002</v>
      </c>
      <c r="AV35" s="107">
        <f t="shared" si="11"/>
        <v>1.2788404103505406</v>
      </c>
      <c r="AW35" s="107">
        <f t="shared" si="12"/>
        <v>2.2840009777280823</v>
      </c>
      <c r="AX35" s="107" t="str">
        <f t="shared" si="13"/>
        <v>(3,4,3,1,1,5)</v>
      </c>
      <c r="AY35" s="108">
        <v>1.1000000000000001</v>
      </c>
      <c r="AZ35" s="108">
        <v>1.1000000000000001</v>
      </c>
      <c r="BA35" s="108">
        <v>1.1000000000000001</v>
      </c>
      <c r="BB35" s="108">
        <v>1</v>
      </c>
      <c r="BC35" s="108">
        <v>1</v>
      </c>
      <c r="BD35" s="108">
        <v>1.2</v>
      </c>
    </row>
    <row r="36" spans="1:58">
      <c r="A36" s="330">
        <v>259361</v>
      </c>
      <c r="B36" s="331"/>
      <c r="C36" s="88"/>
      <c r="D36" s="340">
        <v>5</v>
      </c>
      <c r="E36" s="341" t="s">
        <v>98</v>
      </c>
      <c r="F36" s="432" t="s">
        <v>1578</v>
      </c>
      <c r="G36" s="433" t="s">
        <v>93</v>
      </c>
      <c r="H36" s="434" t="s">
        <v>98</v>
      </c>
      <c r="I36" s="434" t="s">
        <v>98</v>
      </c>
      <c r="J36" s="94">
        <v>0</v>
      </c>
      <c r="K36" s="433" t="s">
        <v>96</v>
      </c>
      <c r="L36" s="95">
        <v>1</v>
      </c>
      <c r="M36" s="96">
        <f t="shared" si="14"/>
        <v>1.2849840792941758</v>
      </c>
      <c r="N36" s="432" t="str">
        <f t="shared" si="15"/>
        <v>(3,4,3,1,1,5); recycling of PV modules at the end of life</v>
      </c>
      <c r="O36" s="435">
        <f>SUMPRODUCT(O32:O35,$AL$32:$AL$35)</f>
        <v>554.31017948684598</v>
      </c>
      <c r="P36" s="95">
        <v>1</v>
      </c>
      <c r="Q36" s="96">
        <f t="shared" si="16"/>
        <v>1.1000000000000001</v>
      </c>
      <c r="R36" s="432" t="str">
        <f t="shared" si="0"/>
        <v>(3,4,3,1,1,5); recycling of PV modules at the end of life</v>
      </c>
      <c r="S36" s="435">
        <f>SUMPRODUCT(S32:S35,$AL$32:$AL$35)</f>
        <v>13857.754487171147</v>
      </c>
      <c r="T36" s="95">
        <v>1</v>
      </c>
      <c r="U36" s="96">
        <f t="shared" si="1"/>
        <v>1.2849840792941758</v>
      </c>
      <c r="V36" s="432" t="str">
        <f t="shared" si="2"/>
        <v>(3,4,3,1,1,5); recycling of PV modules at the end of life</v>
      </c>
      <c r="W36" s="435">
        <f>SUMPRODUCT(W32:W35,$AL$32:$AL$35)</f>
        <v>13857.754487171147</v>
      </c>
      <c r="X36" s="95">
        <f>1</f>
        <v>1</v>
      </c>
      <c r="Y36" s="96">
        <f t="shared" si="3"/>
        <v>1.2849840792941758</v>
      </c>
      <c r="Z36" s="432" t="str">
        <f t="shared" si="4"/>
        <v>(3,4,3,1,1,5); recycling of PV modules at the end of life</v>
      </c>
      <c r="AA36" s="435">
        <f>SUMPRODUCT(AA32:AA35,$AL$32:$AL$35)</f>
        <v>13857.754487171147</v>
      </c>
      <c r="AB36" s="95">
        <f>1</f>
        <v>1</v>
      </c>
      <c r="AC36" s="96">
        <f t="shared" si="5"/>
        <v>1.2849840792941758</v>
      </c>
      <c r="AD36" s="432" t="str">
        <f t="shared" si="6"/>
        <v>(3,4,3,1,1,5); recycling of PV modules at the end of life</v>
      </c>
      <c r="AE36" s="435">
        <f>SUMPRODUCT(AE32:AE35,$AL$32:$AL$35)</f>
        <v>554310.17948684585</v>
      </c>
      <c r="AF36" s="95">
        <f>1</f>
        <v>1</v>
      </c>
      <c r="AG36" s="96">
        <f t="shared" si="7"/>
        <v>1.2849840792941758</v>
      </c>
      <c r="AH36" s="432" t="str">
        <f t="shared" si="8"/>
        <v>(3,4,3,1,1,5); recycling of PV modules at the end of life</v>
      </c>
      <c r="AI36" s="95">
        <v>1</v>
      </c>
      <c r="AJ36" s="96">
        <f t="shared" si="9"/>
        <v>1.2849840792941758</v>
      </c>
      <c r="AK36" s="432" t="str">
        <f t="shared" si="10"/>
        <v>(3,4,3,1,1,5); recycling of PV modules at the end of life</v>
      </c>
      <c r="AM36" s="216" t="s">
        <v>1863</v>
      </c>
      <c r="AN36" s="339">
        <v>3</v>
      </c>
      <c r="AO36" s="339">
        <v>4</v>
      </c>
      <c r="AP36" s="339">
        <v>3</v>
      </c>
      <c r="AQ36" s="339">
        <v>1</v>
      </c>
      <c r="AR36" s="339">
        <v>1</v>
      </c>
      <c r="AS36" s="339">
        <v>5</v>
      </c>
      <c r="AT36" s="104">
        <v>6</v>
      </c>
      <c r="AU36" s="104">
        <v>1.05</v>
      </c>
      <c r="AV36" s="107">
        <f t="shared" si="11"/>
        <v>1.2788404103505406</v>
      </c>
      <c r="AW36" s="107">
        <f t="shared" si="12"/>
        <v>1.2849840792941758</v>
      </c>
      <c r="AX36" s="107" t="str">
        <f t="shared" si="13"/>
        <v>(3,4,3,1,1,5)</v>
      </c>
      <c r="AY36" s="108">
        <v>1.1000000000000001</v>
      </c>
      <c r="AZ36" s="108">
        <v>1.1000000000000001</v>
      </c>
      <c r="BA36" s="108">
        <v>1.1000000000000001</v>
      </c>
      <c r="BB36" s="108">
        <v>1</v>
      </c>
      <c r="BC36" s="108">
        <v>1</v>
      </c>
      <c r="BD36" s="108">
        <v>1.2</v>
      </c>
    </row>
    <row r="37" spans="1:58" ht="36">
      <c r="A37" s="330">
        <v>266207</v>
      </c>
      <c r="B37" s="331"/>
      <c r="C37" s="88"/>
      <c r="D37" s="340">
        <v>5</v>
      </c>
      <c r="E37" s="341" t="s">
        <v>98</v>
      </c>
      <c r="F37" s="432" t="s">
        <v>1864</v>
      </c>
      <c r="G37" s="433" t="s">
        <v>93</v>
      </c>
      <c r="H37" s="434" t="s">
        <v>98</v>
      </c>
      <c r="I37" s="434" t="s">
        <v>98</v>
      </c>
      <c r="J37" s="94">
        <v>0</v>
      </c>
      <c r="K37" s="433" t="s">
        <v>115</v>
      </c>
      <c r="L37" s="95">
        <v>1</v>
      </c>
      <c r="M37" s="96">
        <f t="shared" si="14"/>
        <v>2.0865051432908035</v>
      </c>
      <c r="N37" s="432" t="str">
        <f t="shared" si="15"/>
        <v>(3,4,3,1,1,5); transport of inverter, electric installation, mounting structure and module 100km to construction site</v>
      </c>
      <c r="O37" s="435">
        <f>0.1*SUMPRODUCT(O21:O35,$AL21:$AL35)</f>
        <v>82.642527597301211</v>
      </c>
      <c r="P37" s="95">
        <v>1</v>
      </c>
      <c r="Q37" s="96">
        <f t="shared" si="16"/>
        <v>1.1000000000000001</v>
      </c>
      <c r="R37" s="432" t="str">
        <f t="shared" si="0"/>
        <v>(3,4,3,1,1,5); transport of inverter, electric installation, mounting structure and module 100km to construction site</v>
      </c>
      <c r="S37" s="435">
        <f>0.1*SUMPRODUCT(S21:S35,$AL21:$AL35)</f>
        <v>2021.1279972691054</v>
      </c>
      <c r="T37" s="95">
        <v>1</v>
      </c>
      <c r="U37" s="96">
        <f t="shared" si="1"/>
        <v>2.0865051432908035</v>
      </c>
      <c r="V37" s="432" t="str">
        <f t="shared" si="2"/>
        <v>(3,4,3,1,1,5); transport of inverter, electric installation, mounting structure and module 100km to construction site</v>
      </c>
      <c r="W37" s="435">
        <f>0.1*SUMPRODUCT(W21:W35,$AL21:$AL35)</f>
        <v>1952.7874490425247</v>
      </c>
      <c r="X37" s="95">
        <f>1</f>
        <v>1</v>
      </c>
      <c r="Y37" s="96">
        <f t="shared" si="3"/>
        <v>2.0865051432908035</v>
      </c>
      <c r="Z37" s="432" t="str">
        <f t="shared" si="4"/>
        <v>(3,4,3,1,1,5); transport of inverter, electric installation, mounting structure and module 100km to construction site</v>
      </c>
      <c r="AA37" s="435">
        <f>0.1*SUMPRODUCT(AA21:AA35,$AL21:$AL35)</f>
        <v>2049.6284472280418</v>
      </c>
      <c r="AB37" s="95">
        <f>1</f>
        <v>1</v>
      </c>
      <c r="AC37" s="96">
        <f t="shared" si="5"/>
        <v>2.0865051432908035</v>
      </c>
      <c r="AD37" s="432" t="str">
        <f t="shared" si="6"/>
        <v>(3,4,3,1,1,5); transport of inverter, electric installation, mounting structure and module 100km to construction site</v>
      </c>
      <c r="AE37" s="435">
        <f>0.1*SUMPRODUCT(AE21:AE35,$AL21:$AL35)</f>
        <v>109872.32735323785</v>
      </c>
      <c r="AF37" s="95">
        <f>1</f>
        <v>1</v>
      </c>
      <c r="AG37" s="96">
        <f t="shared" si="7"/>
        <v>2.0865051432908035</v>
      </c>
      <c r="AH37" s="432" t="str">
        <f t="shared" si="8"/>
        <v>(3,4,3,1,1,5); transport of inverter, electric installation, mounting structure and module 100km to construction site</v>
      </c>
      <c r="AI37" s="95">
        <v>1</v>
      </c>
      <c r="AJ37" s="96">
        <f t="shared" si="9"/>
        <v>2.0865051432908035</v>
      </c>
      <c r="AK37" s="432" t="str">
        <f t="shared" si="10"/>
        <v>(3,4,3,1,1,5); transport of inverter, electric installation, mounting structure and module 100km to construction site</v>
      </c>
      <c r="AM37" s="216" t="s">
        <v>1865</v>
      </c>
      <c r="AN37" s="339">
        <v>3</v>
      </c>
      <c r="AO37" s="339">
        <v>4</v>
      </c>
      <c r="AP37" s="339">
        <v>3</v>
      </c>
      <c r="AQ37" s="339">
        <v>1</v>
      </c>
      <c r="AR37" s="339">
        <v>1</v>
      </c>
      <c r="AS37" s="339">
        <v>5</v>
      </c>
      <c r="AT37" s="104">
        <v>5</v>
      </c>
      <c r="AU37" s="104">
        <v>2</v>
      </c>
      <c r="AV37" s="107">
        <f t="shared" si="11"/>
        <v>1.2788404103505406</v>
      </c>
      <c r="AW37" s="107">
        <f t="shared" si="12"/>
        <v>2.0865051432908035</v>
      </c>
      <c r="AX37" s="107" t="str">
        <f t="shared" si="13"/>
        <v>(3,4,3,1,1,5)</v>
      </c>
      <c r="AY37" s="108">
        <v>1.1000000000000001</v>
      </c>
      <c r="AZ37" s="108">
        <v>1.1000000000000001</v>
      </c>
      <c r="BA37" s="108">
        <v>1.1000000000000001</v>
      </c>
      <c r="BB37" s="108">
        <v>1</v>
      </c>
      <c r="BC37" s="108">
        <v>1</v>
      </c>
      <c r="BD37" s="108">
        <v>1.2</v>
      </c>
    </row>
    <row r="38" spans="1:58">
      <c r="A38" s="330">
        <v>21844</v>
      </c>
      <c r="B38" s="331" t="s">
        <v>594</v>
      </c>
      <c r="C38" s="88"/>
      <c r="D38" s="340" t="s">
        <v>98</v>
      </c>
      <c r="E38" s="341">
        <v>4</v>
      </c>
      <c r="F38" s="432" t="s">
        <v>121</v>
      </c>
      <c r="G38" s="433" t="s">
        <v>98</v>
      </c>
      <c r="H38" s="434" t="s">
        <v>247</v>
      </c>
      <c r="I38" s="434" t="s">
        <v>258</v>
      </c>
      <c r="J38" s="94" t="s">
        <v>98</v>
      </c>
      <c r="K38" s="433" t="s">
        <v>104</v>
      </c>
      <c r="L38" s="95">
        <v>1</v>
      </c>
      <c r="M38" s="96">
        <f t="shared" si="14"/>
        <v>1.2849840792941758</v>
      </c>
      <c r="N38" s="432" t="str">
        <f t="shared" si="15"/>
        <v>(3,4,3,1,1,5); calculated with electricity use</v>
      </c>
      <c r="O38" s="435">
        <f>3.6*O19</f>
        <v>2.7600000000000002</v>
      </c>
      <c r="P38" s="95">
        <v>1</v>
      </c>
      <c r="Q38" s="96">
        <f t="shared" si="16"/>
        <v>1.1000000000000001</v>
      </c>
      <c r="R38" s="432" t="str">
        <f t="shared" si="0"/>
        <v>(3,4,3,1,1,5); calculated with electricity use</v>
      </c>
      <c r="S38" s="435">
        <f>3.6*S18</f>
        <v>69</v>
      </c>
      <c r="T38" s="95">
        <v>1</v>
      </c>
      <c r="U38" s="96">
        <f t="shared" si="1"/>
        <v>1.2849840792941758</v>
      </c>
      <c r="V38" s="432" t="str">
        <f t="shared" si="2"/>
        <v>(3,4,3,1,1,5); calculated with electricity use</v>
      </c>
      <c r="W38" s="435">
        <f>3.6*W18</f>
        <v>69</v>
      </c>
      <c r="X38" s="95">
        <f>1</f>
        <v>1</v>
      </c>
      <c r="Y38" s="96">
        <f t="shared" si="3"/>
        <v>1.2849840792941758</v>
      </c>
      <c r="Z38" s="432" t="str">
        <f t="shared" si="4"/>
        <v>(3,4,3,1,1,5); calculated with electricity use</v>
      </c>
      <c r="AA38" s="435">
        <f>3.6*AA18</f>
        <v>69</v>
      </c>
      <c r="AB38" s="95">
        <f>1</f>
        <v>1</v>
      </c>
      <c r="AC38" s="96">
        <f t="shared" si="5"/>
        <v>1.2849840792941758</v>
      </c>
      <c r="AD38" s="432" t="str">
        <f t="shared" si="6"/>
        <v>(3,4,3,1,1,5); calculated with electricity use</v>
      </c>
      <c r="AE38" s="435">
        <f>3.6*AE18</f>
        <v>2760.0000000000005</v>
      </c>
      <c r="AF38" s="95">
        <f>1</f>
        <v>1</v>
      </c>
      <c r="AG38" s="96">
        <f t="shared" si="7"/>
        <v>1.2849840792941758</v>
      </c>
      <c r="AH38" s="432" t="str">
        <f t="shared" si="8"/>
        <v>(3,4,3,1,1,5); calculated with electricity use</v>
      </c>
      <c r="AI38" s="95">
        <v>1</v>
      </c>
      <c r="AJ38" s="96">
        <f t="shared" si="9"/>
        <v>1.2849840792941758</v>
      </c>
      <c r="AK38" s="432" t="str">
        <f t="shared" si="10"/>
        <v>(3,4,3,1,1,5); calculated with electricity use</v>
      </c>
      <c r="AM38" s="216" t="s">
        <v>1866</v>
      </c>
      <c r="AN38" s="339">
        <v>3</v>
      </c>
      <c r="AO38" s="339">
        <v>4</v>
      </c>
      <c r="AP38" s="339">
        <v>3</v>
      </c>
      <c r="AQ38" s="339">
        <v>1</v>
      </c>
      <c r="AR38" s="339">
        <v>1</v>
      </c>
      <c r="AS38" s="339">
        <v>5</v>
      </c>
      <c r="AT38" s="104">
        <v>13</v>
      </c>
      <c r="AU38" s="104">
        <v>1.05</v>
      </c>
      <c r="AV38" s="107">
        <f t="shared" si="11"/>
        <v>1.2788404103505406</v>
      </c>
      <c r="AW38" s="107">
        <f t="shared" si="12"/>
        <v>1.2849840792941758</v>
      </c>
      <c r="AX38" s="107" t="str">
        <f t="shared" si="13"/>
        <v>(3,4,3,1,1,5)</v>
      </c>
      <c r="AY38" s="108">
        <v>1.1000000000000001</v>
      </c>
      <c r="AZ38" s="108">
        <v>1.1000000000000001</v>
      </c>
      <c r="BA38" s="108">
        <v>1.1000000000000001</v>
      </c>
      <c r="BB38" s="108">
        <v>1</v>
      </c>
      <c r="BC38" s="108">
        <v>1</v>
      </c>
      <c r="BD38" s="108">
        <v>1.2</v>
      </c>
    </row>
    <row r="39" spans="1:58">
      <c r="L39" s="407"/>
      <c r="O39" s="199"/>
      <c r="P39" s="407"/>
      <c r="S39" s="199"/>
      <c r="T39" s="204"/>
      <c r="W39" s="199"/>
      <c r="X39" s="204"/>
      <c r="AA39" s="199"/>
      <c r="AB39" s="407"/>
      <c r="AE39" s="199"/>
      <c r="AF39" s="407"/>
      <c r="AI39" s="407"/>
      <c r="AQ39" s="378"/>
      <c r="AR39" s="378"/>
      <c r="AS39" s="378"/>
      <c r="AT39" s="378"/>
    </row>
    <row r="40" spans="1:58">
      <c r="L40" s="407"/>
      <c r="O40" s="199"/>
      <c r="P40" s="407"/>
      <c r="S40" s="199"/>
      <c r="T40" s="204"/>
      <c r="W40" s="199"/>
      <c r="X40" s="204"/>
      <c r="AA40" s="199"/>
      <c r="AB40" s="407"/>
      <c r="AE40" s="199"/>
      <c r="AF40" s="407"/>
      <c r="AI40" s="407"/>
    </row>
    <row r="41" spans="1:58">
      <c r="F41" s="378" t="s">
        <v>1867</v>
      </c>
      <c r="K41" s="378" t="s">
        <v>902</v>
      </c>
      <c r="L41" s="407"/>
      <c r="M41" s="520"/>
      <c r="N41" s="520"/>
      <c r="O41" s="497">
        <v>12.1378267171555</v>
      </c>
      <c r="P41" s="407"/>
      <c r="Q41" s="520"/>
      <c r="R41" s="520"/>
      <c r="S41" s="497">
        <v>12.1378267171555</v>
      </c>
      <c r="T41" s="204"/>
      <c r="W41" s="519">
        <v>11.11626864216</v>
      </c>
      <c r="X41" s="204"/>
      <c r="AA41" s="497">
        <v>12.1378267171555</v>
      </c>
      <c r="AB41" s="407"/>
      <c r="AC41" s="520"/>
      <c r="AD41" s="520"/>
      <c r="AE41" s="497">
        <v>12.1378267171555</v>
      </c>
      <c r="AF41" s="407"/>
      <c r="AG41" s="520"/>
      <c r="AH41" s="520"/>
      <c r="AI41" s="407"/>
    </row>
    <row r="42" spans="1:58" s="225" customFormat="1">
      <c r="A42" s="378"/>
      <c r="B42" s="114"/>
      <c r="C42" s="115"/>
      <c r="D42" s="378"/>
      <c r="E42" s="378"/>
      <c r="F42" s="378" t="s">
        <v>1868</v>
      </c>
      <c r="G42" s="378"/>
      <c r="H42" s="378"/>
      <c r="I42" s="378"/>
      <c r="J42" s="378"/>
      <c r="K42" s="378" t="s">
        <v>1577</v>
      </c>
      <c r="L42" s="520"/>
      <c r="M42" s="520"/>
      <c r="N42" s="520"/>
      <c r="O42" s="521">
        <v>226.166666666667</v>
      </c>
      <c r="P42" s="520"/>
      <c r="Q42" s="520"/>
      <c r="R42" s="520"/>
      <c r="S42" s="521">
        <v>226.166666666667</v>
      </c>
      <c r="T42" s="204"/>
      <c r="U42" s="116"/>
      <c r="V42" s="116"/>
      <c r="W42" s="521">
        <v>226.166666666667</v>
      </c>
      <c r="X42" s="204"/>
      <c r="Y42" s="116"/>
      <c r="Z42" s="116"/>
      <c r="AA42" s="521">
        <v>226.166666666667</v>
      </c>
      <c r="AB42" s="520"/>
      <c r="AC42" s="520"/>
      <c r="AD42" s="520"/>
      <c r="AE42" s="521">
        <v>226.166666666667</v>
      </c>
      <c r="AF42" s="520"/>
      <c r="AG42" s="520"/>
      <c r="AH42" s="520"/>
      <c r="AI42" s="116"/>
      <c r="AJ42" s="116"/>
      <c r="AK42" s="116"/>
      <c r="AL42" s="378"/>
      <c r="AM42" s="116"/>
      <c r="AN42" s="116"/>
      <c r="AO42" s="116"/>
      <c r="AP42" s="378"/>
      <c r="AQ42" s="116"/>
      <c r="AR42" s="116"/>
      <c r="AS42" s="116"/>
      <c r="AT42" s="378"/>
      <c r="AU42" s="116"/>
      <c r="AV42" s="116"/>
      <c r="AW42" s="116"/>
      <c r="AX42" s="378"/>
      <c r="AY42" s="116"/>
      <c r="AZ42" s="116"/>
      <c r="BA42" s="116"/>
      <c r="BB42" s="378"/>
      <c r="BC42" s="116"/>
      <c r="BD42" s="116"/>
      <c r="BE42" s="116"/>
      <c r="BF42" s="378"/>
    </row>
    <row r="43" spans="1:58">
      <c r="F43" s="285"/>
      <c r="L43" s="204"/>
      <c r="O43" s="200"/>
      <c r="P43" s="204"/>
      <c r="S43" s="200"/>
      <c r="T43" s="204"/>
      <c r="W43" s="200"/>
      <c r="X43" s="204"/>
      <c r="AA43" s="200"/>
      <c r="AB43" s="204"/>
      <c r="AE43" s="200"/>
      <c r="AF43" s="204"/>
      <c r="AI43" s="204"/>
    </row>
    <row r="44" spans="1:58">
      <c r="F44" s="285" t="s">
        <v>1869</v>
      </c>
      <c r="H44" s="285"/>
      <c r="O44" s="382"/>
      <c r="S44" s="382"/>
      <c r="W44" s="382"/>
      <c r="AA44" s="382"/>
      <c r="AE44" s="382"/>
    </row>
    <row r="45" spans="1:58" ht="132" customHeight="1">
      <c r="F45" s="283" t="s">
        <v>1870</v>
      </c>
      <c r="G45" s="282">
        <f>(G46*G49^G47)/(G46*G48^G47)</f>
        <v>2.2675535225531069</v>
      </c>
      <c r="H45" s="282" t="s">
        <v>1871</v>
      </c>
      <c r="O45" s="487"/>
    </row>
    <row r="46" spans="1:58">
      <c r="F46" s="284" t="s">
        <v>374</v>
      </c>
      <c r="G46" s="282">
        <v>4</v>
      </c>
      <c r="H46" s="282" t="s">
        <v>1871</v>
      </c>
    </row>
    <row r="47" spans="1:58">
      <c r="F47" s="284" t="s">
        <v>1872</v>
      </c>
      <c r="G47" s="282">
        <v>0.68</v>
      </c>
      <c r="H47" s="282" t="s">
        <v>1871</v>
      </c>
    </row>
    <row r="48" spans="1:58">
      <c r="F48" s="284" t="s">
        <v>1873</v>
      </c>
      <c r="G48" s="282">
        <v>3</v>
      </c>
      <c r="H48" s="282" t="s">
        <v>1874</v>
      </c>
      <c r="O48" s="382"/>
      <c r="S48" s="382"/>
      <c r="W48" s="382"/>
      <c r="AA48" s="382"/>
      <c r="AE48" s="382"/>
    </row>
    <row r="49" spans="6:10">
      <c r="F49" s="284" t="s">
        <v>1875</v>
      </c>
      <c r="G49" s="282">
        <v>10</v>
      </c>
      <c r="H49" s="282" t="s">
        <v>1874</v>
      </c>
    </row>
    <row r="51" spans="6:10" ht="24" customHeight="1">
      <c r="F51" s="474" t="s">
        <v>1317</v>
      </c>
      <c r="G51" s="470" t="s">
        <v>1318</v>
      </c>
      <c r="H51" s="471" t="s">
        <v>1319</v>
      </c>
    </row>
    <row r="52" spans="6:10">
      <c r="F52" s="413" t="s">
        <v>1320</v>
      </c>
      <c r="G52" s="349">
        <v>0.35</v>
      </c>
      <c r="H52" s="364">
        <v>0.38888888888888901</v>
      </c>
      <c r="I52" s="366">
        <v>0.217</v>
      </c>
    </row>
    <row r="53" spans="6:10">
      <c r="F53" s="413" t="s">
        <v>1322</v>
      </c>
      <c r="G53" s="349">
        <v>0.55000000000000004</v>
      </c>
      <c r="H53" s="365">
        <f>G53/(G52+G53)</f>
        <v>0.61111111111111116</v>
      </c>
      <c r="I53" s="366">
        <v>0.23200000000000001</v>
      </c>
    </row>
    <row r="54" spans="6:10">
      <c r="F54" s="413" t="s">
        <v>1323</v>
      </c>
      <c r="G54" s="349">
        <v>0.1</v>
      </c>
      <c r="H54" s="471" t="s">
        <v>1324</v>
      </c>
      <c r="I54" s="367">
        <f>I52*H52+I53*H53</f>
        <v>0.22616666666666674</v>
      </c>
      <c r="J54" s="378" t="s">
        <v>1876</v>
      </c>
    </row>
    <row r="56" spans="6:10">
      <c r="F56" s="369" t="s">
        <v>1877</v>
      </c>
      <c r="G56" s="286"/>
    </row>
    <row r="57" spans="6:10">
      <c r="F57" s="286" t="s">
        <v>1878</v>
      </c>
      <c r="G57" s="368">
        <f>1-G58</f>
        <v>0.37</v>
      </c>
    </row>
    <row r="58" spans="6:10">
      <c r="F58" s="286" t="s">
        <v>1879</v>
      </c>
      <c r="G58" s="368">
        <v>0.63</v>
      </c>
    </row>
  </sheetData>
  <mergeCells count="1">
    <mergeCell ref="AN1:AS1"/>
  </mergeCells>
  <conditionalFormatting sqref="D18:AK38">
    <cfRule type="expression" dxfId="85" priority="1">
      <formula>MOD(ROW(),2)=0</formula>
    </cfRule>
  </conditionalFormatting>
  <conditionalFormatting sqref="O37">
    <cfRule type="expression" dxfId="84" priority="2">
      <formula>MOD(ROW(),2)=0</formula>
    </cfRule>
  </conditionalFormatting>
  <conditionalFormatting sqref="AM18:AS38">
    <cfRule type="expression" dxfId="83" priority="11">
      <formula>MOD(ROW(),2)=0</formula>
    </cfRule>
  </conditionalFormatting>
  <conditionalFormatting sqref="AT18:BD38">
    <cfRule type="expression" dxfId="82" priority="12">
      <formula>MOD(ROW(),2)=0</formula>
    </cfRule>
  </conditionalFormatting>
  <dataValidations disablePrompts="1" count="9">
    <dataValidation allowBlank="1" showInputMessage="1" showErrorMessage="1" promptTitle="Remarks" prompt="A general comment (data source, calculation procedure, ...) can be made about each individual exchange. The remarks are added to the GeneralComment-field." sqref="AL3:AM3" xr:uid="{00000000-0002-0000-4400-000000000000}"/>
    <dataValidation allowBlank="1" showInputMessage="1" showErrorMessage="1" prompt="Do not change." sqref="AT3:BD4 AV7:BD17" xr:uid="{00000000-0002-0000-44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O3" xr:uid="{00000000-0002-0000-44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P3" xr:uid="{00000000-0002-0000-44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Q3" xr:uid="{00000000-0002-0000-44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R3" xr:uid="{00000000-0002-0000-44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S3" xr:uid="{00000000-0002-0000-44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N3" xr:uid="{00000000-0002-0000-4400-000007000000}"/>
    <dataValidation allowBlank="1" showInputMessage="1" showErrorMessage="1" promptTitle="Do not change" prompt="This field is automatically updated from the names-list" sqref="AT18:AT38" xr:uid="{00000000-0002-0000-4400-000008000000}"/>
  </dataValidations>
  <pageMargins left="0.78740157499999996" right="0.78740157499999996" top="0.984251969" bottom="0.984251969" header="0.4921259845" footer="0.4921259845"/>
  <pageSetup paperSize="9" scale="21"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FDDA-F5B8-435D-B88F-EBAB38138E34}">
  <sheetPr codeName="Sheet11">
    <tabColor rgb="FF9CD9F0"/>
    <pageSetUpPr fitToPage="1"/>
  </sheetPr>
  <dimension ref="A1:AY28"/>
  <sheetViews>
    <sheetView workbookViewId="0">
      <selection activeCell="AY36" sqref="AY36"/>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5"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99" customWidth="1" collapsed="1"/>
    <col min="52" max="53" width="11.42578125" style="399" customWidth="1"/>
    <col min="54" max="16384" width="11.42578125" style="399"/>
  </cols>
  <sheetData>
    <row r="1" spans="1:50">
      <c r="A1" s="77"/>
      <c r="B1" s="78"/>
      <c r="C1" s="79"/>
      <c r="D1" s="77"/>
      <c r="E1" s="77"/>
      <c r="F1" s="80" t="s">
        <v>65</v>
      </c>
      <c r="G1" s="77"/>
      <c r="H1" s="77"/>
      <c r="I1" s="77"/>
      <c r="J1" s="77"/>
      <c r="K1" s="77"/>
      <c r="L1" s="330" t="str">
        <f>A7</f>
        <v>Z-PV-168</v>
      </c>
      <c r="M1" s="81"/>
      <c r="N1" s="81"/>
      <c r="O1" s="81"/>
      <c r="P1" s="330" t="str">
        <f>A8</f>
        <v>Z-PV-169</v>
      </c>
      <c r="Q1" s="81"/>
      <c r="R1" s="81"/>
      <c r="S1" s="81"/>
      <c r="T1" s="330" t="str">
        <f>A9</f>
        <v>Z-PV-171</v>
      </c>
      <c r="U1" s="81"/>
      <c r="V1" s="81"/>
      <c r="W1" s="81"/>
      <c r="X1" s="330" t="str">
        <f>A10</f>
        <v>Z-PV-176</v>
      </c>
      <c r="Y1" s="81"/>
      <c r="Z1" s="81"/>
      <c r="AA1" s="81"/>
      <c r="AB1" s="330" t="str">
        <f>A11</f>
        <v>Z-PV-177</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0" ht="104.25" customHeight="1">
      <c r="A3" s="83" t="s">
        <v>68</v>
      </c>
      <c r="B3" s="84"/>
      <c r="C3" s="79">
        <v>401</v>
      </c>
      <c r="D3" s="85" t="s">
        <v>69</v>
      </c>
      <c r="E3" s="85" t="s">
        <v>70</v>
      </c>
      <c r="F3" s="86" t="s">
        <v>71</v>
      </c>
      <c r="G3" s="85" t="s">
        <v>72</v>
      </c>
      <c r="H3" s="85" t="s">
        <v>73</v>
      </c>
      <c r="I3" s="85" t="s">
        <v>74</v>
      </c>
      <c r="J3" s="85" t="s">
        <v>75</v>
      </c>
      <c r="K3" s="85" t="s">
        <v>76</v>
      </c>
      <c r="L3" s="87" t="s">
        <v>1880</v>
      </c>
      <c r="M3" s="422" t="str">
        <f>$AC3</f>
        <v>UncertaintyType</v>
      </c>
      <c r="N3" s="422" t="str">
        <f>$AD3</f>
        <v>StandardDeviation95%</v>
      </c>
      <c r="O3" s="423" t="str">
        <f>$AE3</f>
        <v>GeneralComment</v>
      </c>
      <c r="P3" s="87" t="s">
        <v>1881</v>
      </c>
      <c r="Q3" s="422" t="str">
        <f>$AC3</f>
        <v>UncertaintyType</v>
      </c>
      <c r="R3" s="422" t="str">
        <f>$AD3</f>
        <v>StandardDeviation95%</v>
      </c>
      <c r="S3" s="423" t="str">
        <f>$AE3</f>
        <v>GeneralComment</v>
      </c>
      <c r="T3" s="87" t="s">
        <v>1882</v>
      </c>
      <c r="U3" s="422" t="str">
        <f>$AC3</f>
        <v>UncertaintyType</v>
      </c>
      <c r="V3" s="422" t="str">
        <f>$AD3</f>
        <v>StandardDeviation95%</v>
      </c>
      <c r="W3" s="423" t="str">
        <f>$AE3</f>
        <v>GeneralComment</v>
      </c>
      <c r="X3" s="87" t="s">
        <v>1883</v>
      </c>
      <c r="Y3" s="422" t="str">
        <f>$AC3</f>
        <v>UncertaintyType</v>
      </c>
      <c r="Z3" s="422" t="str">
        <f>$AD3</f>
        <v>StandardDeviation95%</v>
      </c>
      <c r="AA3" s="423" t="str">
        <f>$AE3</f>
        <v>GeneralComment</v>
      </c>
      <c r="AB3" s="87" t="s">
        <v>1884</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3.5" customHeight="1">
      <c r="A4" s="77"/>
      <c r="B4" s="84"/>
      <c r="C4" s="79">
        <v>662</v>
      </c>
      <c r="D4" s="86"/>
      <c r="E4" s="86"/>
      <c r="F4" s="86" t="s">
        <v>72</v>
      </c>
      <c r="G4" s="86"/>
      <c r="H4" s="86"/>
      <c r="I4" s="86"/>
      <c r="J4" s="86"/>
      <c r="K4" s="86"/>
      <c r="L4" s="87" t="s">
        <v>93</v>
      </c>
      <c r="M4" s="425">
        <f>$AC4</f>
        <v>0</v>
      </c>
      <c r="N4" s="425">
        <f>$AD4</f>
        <v>0</v>
      </c>
      <c r="O4" s="426">
        <f>$AE4</f>
        <v>0</v>
      </c>
      <c r="P4" s="87" t="s">
        <v>93</v>
      </c>
      <c r="Q4" s="425">
        <f>$AC4</f>
        <v>0</v>
      </c>
      <c r="R4" s="425">
        <f>$AD4</f>
        <v>0</v>
      </c>
      <c r="S4" s="426">
        <f>$AE4</f>
        <v>0</v>
      </c>
      <c r="T4" s="87" t="s">
        <v>93</v>
      </c>
      <c r="U4" s="425">
        <f>$AC4</f>
        <v>0</v>
      </c>
      <c r="V4" s="425">
        <f>$AD4</f>
        <v>0</v>
      </c>
      <c r="W4" s="426">
        <f>$AE4</f>
        <v>0</v>
      </c>
      <c r="X4" s="87" t="s">
        <v>93</v>
      </c>
      <c r="Y4" s="425">
        <f>$AC4</f>
        <v>0</v>
      </c>
      <c r="Z4" s="425">
        <f>$AD4</f>
        <v>0</v>
      </c>
      <c r="AA4" s="426">
        <f>$AE4</f>
        <v>0</v>
      </c>
      <c r="AB4" s="87" t="s">
        <v>93</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1886</v>
      </c>
      <c r="B7" s="331" t="s">
        <v>97</v>
      </c>
      <c r="C7" s="88"/>
      <c r="D7" s="294" t="s">
        <v>98</v>
      </c>
      <c r="E7" s="295">
        <v>0</v>
      </c>
      <c r="F7" s="429" t="s">
        <v>1880</v>
      </c>
      <c r="G7" s="430" t="s">
        <v>93</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1887</v>
      </c>
      <c r="B8" s="331"/>
      <c r="C8" s="88"/>
      <c r="D8" s="294" t="s">
        <v>98</v>
      </c>
      <c r="E8" s="295">
        <v>0</v>
      </c>
      <c r="F8" s="429" t="s">
        <v>1881</v>
      </c>
      <c r="G8" s="430" t="s">
        <v>93</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0" ht="24" customHeight="1">
      <c r="A9" s="330" t="s">
        <v>1888</v>
      </c>
      <c r="B9" s="331"/>
      <c r="C9" s="88"/>
      <c r="D9" s="294" t="s">
        <v>98</v>
      </c>
      <c r="E9" s="295">
        <v>0</v>
      </c>
      <c r="F9" s="429" t="s">
        <v>1882</v>
      </c>
      <c r="G9" s="430" t="s">
        <v>93</v>
      </c>
      <c r="H9" s="431" t="s">
        <v>98</v>
      </c>
      <c r="I9" s="431" t="s">
        <v>98</v>
      </c>
      <c r="J9" s="89">
        <v>1</v>
      </c>
      <c r="K9" s="430" t="s">
        <v>144</v>
      </c>
      <c r="L9" s="90">
        <v>0</v>
      </c>
      <c r="M9" s="91"/>
      <c r="N9" s="92"/>
      <c r="O9" s="93"/>
      <c r="P9" s="90">
        <f>L8</f>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1889</v>
      </c>
      <c r="B10" s="331"/>
      <c r="C10" s="88"/>
      <c r="D10" s="294" t="s">
        <v>98</v>
      </c>
      <c r="E10" s="295">
        <v>0</v>
      </c>
      <c r="F10" s="429" t="s">
        <v>1883</v>
      </c>
      <c r="G10" s="430" t="s">
        <v>93</v>
      </c>
      <c r="H10" s="431" t="s">
        <v>98</v>
      </c>
      <c r="I10" s="431" t="s">
        <v>98</v>
      </c>
      <c r="J10" s="89">
        <v>1</v>
      </c>
      <c r="K10" s="430" t="s">
        <v>144</v>
      </c>
      <c r="L10" s="90">
        <v>0</v>
      </c>
      <c r="M10" s="91"/>
      <c r="N10" s="92"/>
      <c r="O10" s="93"/>
      <c r="P10" s="90">
        <f>L9</f>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1890</v>
      </c>
      <c r="B11" s="331"/>
      <c r="C11" s="88"/>
      <c r="D11" s="294" t="s">
        <v>98</v>
      </c>
      <c r="E11" s="295">
        <v>0</v>
      </c>
      <c r="F11" s="429" t="s">
        <v>1884</v>
      </c>
      <c r="G11" s="430" t="s">
        <v>93</v>
      </c>
      <c r="H11" s="431" t="s">
        <v>98</v>
      </c>
      <c r="I11" s="431" t="s">
        <v>98</v>
      </c>
      <c r="J11" s="89">
        <v>1</v>
      </c>
      <c r="K11" s="430" t="s">
        <v>144</v>
      </c>
      <c r="L11" s="90">
        <v>0</v>
      </c>
      <c r="M11" s="91"/>
      <c r="N11" s="92"/>
      <c r="O11" s="93"/>
      <c r="P11" s="90">
        <f>L10</f>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ht="24" customHeight="1">
      <c r="A12" s="330">
        <v>268721</v>
      </c>
      <c r="B12" s="331" t="s">
        <v>221</v>
      </c>
      <c r="C12" s="88"/>
      <c r="D12" s="340">
        <v>5</v>
      </c>
      <c r="E12" s="341" t="s">
        <v>98</v>
      </c>
      <c r="F12" s="432" t="s">
        <v>1891</v>
      </c>
      <c r="G12" s="433" t="s">
        <v>223</v>
      </c>
      <c r="H12" s="434" t="s">
        <v>98</v>
      </c>
      <c r="I12" s="434" t="s">
        <v>98</v>
      </c>
      <c r="J12" s="94">
        <v>0</v>
      </c>
      <c r="K12" s="433" t="s">
        <v>109</v>
      </c>
      <c r="L12" s="435">
        <f>0.04/3*10</f>
        <v>0.13333333333333333</v>
      </c>
      <c r="M12" s="95">
        <f t="shared" ref="M12:M25" si="0">$AC12</f>
        <v>1</v>
      </c>
      <c r="N12" s="96">
        <f t="shared" ref="N12:N25" si="1">$AD12</f>
        <v>1.2849840792941758</v>
      </c>
      <c r="O12" s="432" t="str">
        <f t="shared" ref="O12:O25" si="2">$AE12</f>
        <v>(3,4,3,1,1,5); Energy use for erection of plant</v>
      </c>
      <c r="P12" s="435">
        <f>0.04/3*10</f>
        <v>0.13333333333333333</v>
      </c>
      <c r="Q12" s="95">
        <f t="shared" ref="Q12:Q25" si="3">$AC12</f>
        <v>1</v>
      </c>
      <c r="R12" s="96">
        <f t="shared" ref="R12:R25" si="4">$AD12</f>
        <v>1.2849840792941758</v>
      </c>
      <c r="S12" s="432" t="str">
        <f t="shared" ref="S12:S25" si="5">$AE12</f>
        <v>(3,4,3,1,1,5); Energy use for erection of plant</v>
      </c>
      <c r="T12" s="435">
        <f>1.02/3*10</f>
        <v>3.4000000000000004</v>
      </c>
      <c r="U12" s="95">
        <f t="shared" ref="U12:U25" si="6">$AC12</f>
        <v>1</v>
      </c>
      <c r="V12" s="96">
        <f t="shared" ref="V12:V25" si="7">$AD12</f>
        <v>1.2849840792941758</v>
      </c>
      <c r="W12" s="432" t="str">
        <f t="shared" ref="W12:W25" si="8">$AE12</f>
        <v>(3,4,3,1,1,5); Energy use for erection of plant</v>
      </c>
      <c r="X12" s="435">
        <f>0.23/3*10</f>
        <v>0.76666666666666672</v>
      </c>
      <c r="Y12" s="95">
        <f t="shared" ref="Y12:Y25" si="9">$AC12</f>
        <v>1</v>
      </c>
      <c r="Z12" s="96">
        <f t="shared" ref="Z12:Z25" si="10">$AD12</f>
        <v>1.2849840792941758</v>
      </c>
      <c r="AA12" s="432" t="str">
        <f t="shared" ref="AA12:AA25" si="11">$AE12</f>
        <v>(3,4,3,1,1,5); Energy use for erection of plant</v>
      </c>
      <c r="AB12" s="435">
        <f>0.23/3*10</f>
        <v>0.76666666666666672</v>
      </c>
      <c r="AC12" s="95">
        <v>1</v>
      </c>
      <c r="AD12" s="96">
        <f t="shared" ref="AD12:AD25" si="12">AQ12</f>
        <v>1.2849840792941758</v>
      </c>
      <c r="AE12" s="432" t="str">
        <f t="shared" ref="AE12:AE25" si="13">AR12&amp;"; "&amp;AG12</f>
        <v>(3,4,3,1,1,5); Energy use for erection of plant</v>
      </c>
      <c r="AF12" s="494"/>
      <c r="AG12" s="77" t="s">
        <v>1892</v>
      </c>
      <c r="AH12" s="339">
        <v>3</v>
      </c>
      <c r="AI12" s="339">
        <v>4</v>
      </c>
      <c r="AJ12" s="339">
        <v>3</v>
      </c>
      <c r="AK12" s="339">
        <v>1</v>
      </c>
      <c r="AL12" s="339">
        <v>1</v>
      </c>
      <c r="AM12" s="339">
        <v>5</v>
      </c>
      <c r="AN12" s="104">
        <v>2</v>
      </c>
      <c r="AO12" s="104">
        <v>1.05</v>
      </c>
      <c r="AP12" s="107">
        <f t="shared" ref="AP12:AP25" si="14">EXP(SQRT((LN(AS12)^2)+(LN(AT12)^2)+(LN(AU12)^2)+(LN(AV12)^2)+(LN(AW12)^2)+(LN(AX12)^2)))</f>
        <v>1.2788404103505406</v>
      </c>
      <c r="AQ12" s="107">
        <f t="shared" ref="AQ12:AQ25" si="15">EXP(SQRT((LN(AS12)^2)+(LN(AT12)^2)+(LN(AU12)^2)+(LN(AV12)^2)+(LN(AW12)^2)+(LN(AX12)^2)+LN(AO12)^2))</f>
        <v>1.2849840792941758</v>
      </c>
      <c r="AR12" s="107" t="str">
        <f t="shared" ref="AR12:AR25" si="16">CONCATENATE("(",AH12,",",AI12,",",AJ12,",",AK12,",",AL12,",",AM12,")")</f>
        <v>(3,4,3,1,1,5)</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f>2</f>
        <v>2</v>
      </c>
      <c r="M13" s="95">
        <f t="shared" si="0"/>
        <v>1</v>
      </c>
      <c r="N13" s="96">
        <f t="shared" si="1"/>
        <v>1.2354522921220721</v>
      </c>
      <c r="O13" s="432" t="str">
        <f t="shared" si="2"/>
        <v>(2,4,1,1,1,na); 1 replacement during the lifetime of the PV system; demand scaled linearly by power output</v>
      </c>
      <c r="P13" s="435">
        <f>2</f>
        <v>2</v>
      </c>
      <c r="Q13" s="95">
        <f t="shared" si="3"/>
        <v>1</v>
      </c>
      <c r="R13" s="96">
        <f t="shared" si="4"/>
        <v>1.2354522921220721</v>
      </c>
      <c r="S13" s="432" t="str">
        <f t="shared" si="5"/>
        <v>(2,4,1,1,1,na); 1 replacement during the lifetime of the PV system; demand scaled linearly by power output</v>
      </c>
      <c r="T13" s="435">
        <f>2</f>
        <v>2</v>
      </c>
      <c r="U13" s="95">
        <f t="shared" si="6"/>
        <v>1</v>
      </c>
      <c r="V13" s="96">
        <f t="shared" si="7"/>
        <v>1.2354522921220721</v>
      </c>
      <c r="W13" s="432" t="str">
        <f t="shared" si="8"/>
        <v>(2,4,1,1,1,na); 1 replacement during the lifetime of the PV system; demand scaled linearly by power output</v>
      </c>
      <c r="X13" s="435">
        <f>2</f>
        <v>2</v>
      </c>
      <c r="Y13" s="95">
        <f t="shared" si="9"/>
        <v>1</v>
      </c>
      <c r="Z13" s="96">
        <f t="shared" si="10"/>
        <v>1.2354522921220721</v>
      </c>
      <c r="AA13" s="432" t="str">
        <f t="shared" si="11"/>
        <v>(2,4,1,1,1,na); 1 replacement during the lifetime of the PV system; demand scaled linearly by power output</v>
      </c>
      <c r="AB13" s="435">
        <f>2</f>
        <v>2</v>
      </c>
      <c r="AC13" s="95">
        <v>1</v>
      </c>
      <c r="AD13" s="96">
        <f t="shared" si="12"/>
        <v>1.2354522921220721</v>
      </c>
      <c r="AE13" s="432" t="str">
        <f t="shared" si="13"/>
        <v>(2,4,1,1,1,na); 1 replacement during the lifetime of the PV system; demand scaled linearly by power output</v>
      </c>
      <c r="AF13" s="494">
        <v>0</v>
      </c>
      <c r="AG13" s="77" t="s">
        <v>1893</v>
      </c>
      <c r="AH13" s="339">
        <v>2</v>
      </c>
      <c r="AI13" s="339">
        <v>4</v>
      </c>
      <c r="AJ13" s="339">
        <v>1</v>
      </c>
      <c r="AK13" s="339">
        <v>1</v>
      </c>
      <c r="AL13" s="339">
        <v>1</v>
      </c>
      <c r="AM13" s="339" t="s">
        <v>106</v>
      </c>
      <c r="AN13" s="104">
        <v>9</v>
      </c>
      <c r="AO13" s="104">
        <v>1.2</v>
      </c>
      <c r="AP13" s="107">
        <f t="shared" si="14"/>
        <v>1.1130148943987077</v>
      </c>
      <c r="AQ13" s="107">
        <f t="shared" si="15"/>
        <v>1.2354522921220721</v>
      </c>
      <c r="AR13" s="107" t="str">
        <f t="shared" si="16"/>
        <v>(2,4,1,1,1,na)</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cabling, lightning protection and fuse box</v>
      </c>
      <c r="P14" s="435">
        <v>2.26755352255311</v>
      </c>
      <c r="Q14" s="95">
        <f t="shared" si="3"/>
        <v>1</v>
      </c>
      <c r="R14" s="96">
        <f t="shared" si="4"/>
        <v>2.0865051432908035</v>
      </c>
      <c r="S14" s="432" t="str">
        <f t="shared" si="5"/>
        <v>(3,4,3,1,1,5); cabling, lightning protection and fuse box</v>
      </c>
      <c r="T14" s="435">
        <v>2.26755352255311</v>
      </c>
      <c r="U14" s="95">
        <f t="shared" si="6"/>
        <v>1</v>
      </c>
      <c r="V14" s="96">
        <f t="shared" si="7"/>
        <v>2.0865051432908035</v>
      </c>
      <c r="W14" s="432" t="str">
        <f t="shared" si="8"/>
        <v>(3,4,3,1,1,5); cabling, lightning protection and fuse box</v>
      </c>
      <c r="X14" s="435">
        <v>2.26755352255311</v>
      </c>
      <c r="Y14" s="95">
        <f t="shared" si="9"/>
        <v>1</v>
      </c>
      <c r="Z14" s="96">
        <f t="shared" si="10"/>
        <v>2.0865051432908035</v>
      </c>
      <c r="AA14" s="432" t="str">
        <f t="shared" si="11"/>
        <v>(3,4,3,1,1,5); cabling, lightning protection and fuse box</v>
      </c>
      <c r="AB14" s="435">
        <v>2.26755352255311</v>
      </c>
      <c r="AC14" s="95">
        <v>1</v>
      </c>
      <c r="AD14" s="96">
        <f t="shared" si="12"/>
        <v>2.0865051432908035</v>
      </c>
      <c r="AE14" s="432" t="str">
        <f t="shared" si="13"/>
        <v>(3,4,3,1,1,5); cabling, lightning protection and fuse box</v>
      </c>
      <c r="AF14" s="494">
        <v>32.612000000000002</v>
      </c>
      <c r="AG14" s="77" t="s">
        <v>1894</v>
      </c>
      <c r="AH14" s="339">
        <v>3</v>
      </c>
      <c r="AI14" s="339">
        <v>4</v>
      </c>
      <c r="AJ14" s="339">
        <v>3</v>
      </c>
      <c r="AK14" s="339">
        <v>1</v>
      </c>
      <c r="AL14" s="339">
        <v>1</v>
      </c>
      <c r="AM14" s="339">
        <v>5</v>
      </c>
      <c r="AN14" s="104">
        <v>9</v>
      </c>
      <c r="AO14" s="104">
        <v>2</v>
      </c>
      <c r="AP14" s="107">
        <f t="shared" si="14"/>
        <v>1.2788404103505406</v>
      </c>
      <c r="AQ14" s="107">
        <f t="shared" si="15"/>
        <v>2.0865051432908035</v>
      </c>
      <c r="AR14" s="107" t="str">
        <f t="shared" si="16"/>
        <v>(3,4,3,1,1,5)</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44.2621431219874</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t="s">
        <v>1861</v>
      </c>
      <c r="AH15" s="339">
        <f t="shared" ref="AH15:AM15" si="17">AH16</f>
        <v>3</v>
      </c>
      <c r="AI15" s="339">
        <f t="shared" si="17"/>
        <v>1</v>
      </c>
      <c r="AJ15" s="339">
        <f t="shared" si="17"/>
        <v>1</v>
      </c>
      <c r="AK15" s="339">
        <f t="shared" si="17"/>
        <v>1</v>
      </c>
      <c r="AL15" s="339">
        <f t="shared" si="17"/>
        <v>1</v>
      </c>
      <c r="AM15" s="339" t="str">
        <f t="shared" si="17"/>
        <v>na</v>
      </c>
      <c r="AN15" s="104">
        <v>9</v>
      </c>
      <c r="AO15" s="104">
        <v>1.2</v>
      </c>
      <c r="AP15" s="107">
        <f t="shared" si="14"/>
        <v>1.1000000000000001</v>
      </c>
      <c r="AQ15" s="107">
        <f t="shared" si="15"/>
        <v>1.2284225230179247</v>
      </c>
      <c r="AR15" s="107" t="str">
        <f t="shared" si="16"/>
        <v>(3,1,1,1,1,na)</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44.2621431219874</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t="s">
        <v>1861</v>
      </c>
      <c r="AH16" s="339">
        <v>3</v>
      </c>
      <c r="AI16" s="339">
        <v>1</v>
      </c>
      <c r="AJ16" s="339">
        <v>1</v>
      </c>
      <c r="AK16" s="339">
        <v>1</v>
      </c>
      <c r="AL16" s="339">
        <v>1</v>
      </c>
      <c r="AM16" s="339" t="s">
        <v>106</v>
      </c>
      <c r="AN16" s="104">
        <v>9</v>
      </c>
      <c r="AO16" s="104">
        <v>1.2</v>
      </c>
      <c r="AP16" s="107">
        <f t="shared" si="14"/>
        <v>1.1000000000000001</v>
      </c>
      <c r="AQ16" s="107">
        <f t="shared" si="15"/>
        <v>1.2284225230179247</v>
      </c>
      <c r="AR16" s="107" t="str">
        <f t="shared" si="16"/>
        <v>(3,1,1,1,1,na)</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44.2621431219874</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t="s">
        <v>1861</v>
      </c>
      <c r="AH17" s="339">
        <f t="shared" ref="AH17:AM17" si="18">AH15</f>
        <v>3</v>
      </c>
      <c r="AI17" s="339">
        <f t="shared" si="18"/>
        <v>1</v>
      </c>
      <c r="AJ17" s="339">
        <f t="shared" si="18"/>
        <v>1</v>
      </c>
      <c r="AK17" s="339">
        <f t="shared" si="18"/>
        <v>1</v>
      </c>
      <c r="AL17" s="339">
        <f t="shared" si="18"/>
        <v>1</v>
      </c>
      <c r="AM17" s="339" t="str">
        <f t="shared" si="18"/>
        <v>na</v>
      </c>
      <c r="AN17" s="104">
        <v>9</v>
      </c>
      <c r="AO17" s="104">
        <v>1.2</v>
      </c>
      <c r="AP17" s="107">
        <f t="shared" si="14"/>
        <v>1.1000000000000001</v>
      </c>
      <c r="AQ17" s="107">
        <f t="shared" si="15"/>
        <v>1.2284225230179247</v>
      </c>
      <c r="AR17" s="107" t="str">
        <f t="shared" si="16"/>
        <v>(3,1,1,1,1,na)</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44.2621431219874</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t="s">
        <v>1861</v>
      </c>
      <c r="AH18" s="339">
        <f t="shared" ref="AH18:AM18" si="19">AH19</f>
        <v>3</v>
      </c>
      <c r="AI18" s="339">
        <f t="shared" si="19"/>
        <v>1</v>
      </c>
      <c r="AJ18" s="339">
        <f t="shared" si="19"/>
        <v>1</v>
      </c>
      <c r="AK18" s="339">
        <f t="shared" si="19"/>
        <v>1</v>
      </c>
      <c r="AL18" s="339">
        <f t="shared" si="19"/>
        <v>1</v>
      </c>
      <c r="AM18" s="339" t="str">
        <f t="shared" si="19"/>
        <v>na</v>
      </c>
      <c r="AN18" s="104">
        <v>9</v>
      </c>
      <c r="AO18" s="104">
        <v>1.2</v>
      </c>
      <c r="AP18" s="107">
        <f t="shared" si="14"/>
        <v>1.1000000000000001</v>
      </c>
      <c r="AQ18" s="107">
        <f t="shared" si="15"/>
        <v>1.2284225230179247</v>
      </c>
      <c r="AR18" s="107" t="str">
        <f t="shared" si="16"/>
        <v>(3,1,1,1,1,na)</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44.2621431219874</v>
      </c>
      <c r="AC19" s="95">
        <v>1</v>
      </c>
      <c r="AD19" s="96">
        <f t="shared" si="12"/>
        <v>1.2284225230179247</v>
      </c>
      <c r="AE19" s="432" t="str">
        <f t="shared" si="13"/>
        <v>(3,1,1,1,1,na); calculation with m2 panel</v>
      </c>
      <c r="AF19" s="494">
        <v>4.4770909637727101</v>
      </c>
      <c r="AG19" s="77" t="s">
        <v>1861</v>
      </c>
      <c r="AH19" s="339">
        <f t="shared" ref="AH19:AM19" si="20">AH17</f>
        <v>3</v>
      </c>
      <c r="AI19" s="339">
        <f t="shared" si="20"/>
        <v>1</v>
      </c>
      <c r="AJ19" s="339">
        <f t="shared" si="20"/>
        <v>1</v>
      </c>
      <c r="AK19" s="339">
        <f t="shared" si="20"/>
        <v>1</v>
      </c>
      <c r="AL19" s="339">
        <f t="shared" si="20"/>
        <v>1</v>
      </c>
      <c r="AM19" s="339" t="str">
        <f t="shared" si="20"/>
        <v>na</v>
      </c>
      <c r="AN19" s="104">
        <v>9</v>
      </c>
      <c r="AO19" s="104">
        <v>1.2</v>
      </c>
      <c r="AP19" s="107">
        <f t="shared" si="14"/>
        <v>1.1000000000000001</v>
      </c>
      <c r="AQ19" s="107">
        <f t="shared" si="15"/>
        <v>1.2284225230179247</v>
      </c>
      <c r="AR19" s="107" t="str">
        <f t="shared" si="16"/>
        <v>(3,1,1,1,1,na)</v>
      </c>
      <c r="AS19" s="108">
        <v>1.1000000000000001</v>
      </c>
      <c r="AT19" s="108">
        <v>1</v>
      </c>
      <c r="AU19" s="108">
        <v>1</v>
      </c>
      <c r="AV19" s="108">
        <v>1</v>
      </c>
      <c r="AW19" s="108">
        <v>1</v>
      </c>
      <c r="AX19" s="108">
        <v>1</v>
      </c>
    </row>
    <row r="20" spans="1:50" ht="24" customHeight="1">
      <c r="A20" s="330">
        <v>264723</v>
      </c>
      <c r="B20" s="331"/>
      <c r="C20" s="88"/>
      <c r="D20" s="340">
        <v>5</v>
      </c>
      <c r="E20" s="341" t="s">
        <v>98</v>
      </c>
      <c r="F20" s="432" t="s">
        <v>1307</v>
      </c>
      <c r="G20" s="433" t="s">
        <v>93</v>
      </c>
      <c r="H20" s="434" t="s">
        <v>98</v>
      </c>
      <c r="I20" s="434" t="s">
        <v>98</v>
      </c>
      <c r="J20" s="94">
        <v>1</v>
      </c>
      <c r="K20" s="433" t="s">
        <v>679</v>
      </c>
      <c r="L20" s="435">
        <v>45.590007415647001</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45.590007415647001</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545">
        <v>11.11626864216</v>
      </c>
      <c r="AG20" s="77" t="s">
        <v>1862</v>
      </c>
      <c r="AH20" s="339">
        <v>3</v>
      </c>
      <c r="AI20" s="339">
        <v>4</v>
      </c>
      <c r="AJ20" s="339">
        <v>3</v>
      </c>
      <c r="AK20" s="339">
        <v>1</v>
      </c>
      <c r="AL20" s="339">
        <v>1</v>
      </c>
      <c r="AM20" s="339">
        <v>5</v>
      </c>
      <c r="AN20" s="104">
        <v>9</v>
      </c>
      <c r="AO20" s="104">
        <v>1.2</v>
      </c>
      <c r="AP20" s="107">
        <f t="shared" si="14"/>
        <v>1.2788404103505406</v>
      </c>
      <c r="AQ20" s="107">
        <f t="shared" si="15"/>
        <v>1.3582005896413567</v>
      </c>
      <c r="AR20" s="107" t="str">
        <f t="shared" si="16"/>
        <v>(3,4,3,1,1,5)</v>
      </c>
      <c r="AS20" s="108">
        <v>1.1000000000000001</v>
      </c>
      <c r="AT20" s="108">
        <v>1.1000000000000001</v>
      </c>
      <c r="AU20" s="108">
        <v>1.1000000000000001</v>
      </c>
      <c r="AV20" s="108">
        <v>1</v>
      </c>
      <c r="AW20" s="108">
        <v>1</v>
      </c>
      <c r="AX20" s="108">
        <v>1.2</v>
      </c>
    </row>
    <row r="21" spans="1:50" ht="24" customHeight="1">
      <c r="A21" s="330" t="s">
        <v>1310</v>
      </c>
      <c r="B21" s="331"/>
      <c r="C21" s="88"/>
      <c r="D21" s="340">
        <v>5</v>
      </c>
      <c r="E21" s="341" t="s">
        <v>98</v>
      </c>
      <c r="F21" s="432" t="s">
        <v>1308</v>
      </c>
      <c r="G21" s="433" t="s">
        <v>93</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16.8683027437894</v>
      </c>
      <c r="Q21" s="95">
        <f t="shared" si="3"/>
        <v>1</v>
      </c>
      <c r="R21" s="96">
        <f t="shared" si="4"/>
        <v>1.3582005896413567</v>
      </c>
      <c r="S21" s="432" t="str">
        <f t="shared" si="5"/>
        <v>(3,4,3,1,1,5); Calculation, 2% of modules repaired in the life time, 1% rejects</v>
      </c>
      <c r="T21" s="435">
        <v>16.8683027437894</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16.8683027437894</v>
      </c>
      <c r="AC21" s="95">
        <v>1</v>
      </c>
      <c r="AD21" s="96">
        <f t="shared" si="12"/>
        <v>1.3582005896413567</v>
      </c>
      <c r="AE21" s="432" t="str">
        <f t="shared" si="13"/>
        <v>(3,4,3,1,1,5); Calculation, 2% of modules repaired in the life time, 1% rejects</v>
      </c>
      <c r="AF21" s="494">
        <v>11.466093870225601</v>
      </c>
      <c r="AG21" s="77" t="s">
        <v>1862</v>
      </c>
      <c r="AH21" s="339">
        <v>3</v>
      </c>
      <c r="AI21" s="339">
        <v>4</v>
      </c>
      <c r="AJ21" s="339">
        <v>3</v>
      </c>
      <c r="AK21" s="339">
        <v>1</v>
      </c>
      <c r="AL21" s="339">
        <v>1</v>
      </c>
      <c r="AM21" s="339">
        <v>5</v>
      </c>
      <c r="AN21" s="104">
        <v>9</v>
      </c>
      <c r="AO21" s="104">
        <v>1.2</v>
      </c>
      <c r="AP21" s="107">
        <f t="shared" si="14"/>
        <v>1.2788404103505406</v>
      </c>
      <c r="AQ21" s="107">
        <f t="shared" si="15"/>
        <v>1.3582005896413567</v>
      </c>
      <c r="AR21" s="107" t="str">
        <f t="shared" si="16"/>
        <v>(3,4,3,1,1,5)</v>
      </c>
      <c r="AS21" s="108">
        <v>1.1000000000000001</v>
      </c>
      <c r="AT21" s="108">
        <v>1.1000000000000001</v>
      </c>
      <c r="AU21" s="108">
        <v>1.1000000000000001</v>
      </c>
      <c r="AV21" s="108">
        <v>1</v>
      </c>
      <c r="AW21" s="108">
        <v>1</v>
      </c>
      <c r="AX21" s="108">
        <v>1.2</v>
      </c>
    </row>
    <row r="22" spans="1:50" ht="24" customHeight="1">
      <c r="A22" s="330" t="s">
        <v>1306</v>
      </c>
      <c r="B22" s="331"/>
      <c r="C22" s="88"/>
      <c r="D22" s="340">
        <v>5</v>
      </c>
      <c r="E22" s="341" t="s">
        <v>98</v>
      </c>
      <c r="F22" s="432" t="s">
        <v>1309</v>
      </c>
      <c r="G22" s="433" t="s">
        <v>93</v>
      </c>
      <c r="H22" s="434" t="s">
        <v>98</v>
      </c>
      <c r="I22" s="434" t="s">
        <v>98</v>
      </c>
      <c r="J22" s="94">
        <v>1</v>
      </c>
      <c r="K22" s="433" t="s">
        <v>679</v>
      </c>
      <c r="L22" s="435">
        <v>0</v>
      </c>
      <c r="M22" s="95">
        <f t="shared" si="0"/>
        <v>1</v>
      </c>
      <c r="N22" s="96">
        <f t="shared" si="1"/>
        <v>1.3582005896413567</v>
      </c>
      <c r="O22" s="432" t="str">
        <f t="shared" si="2"/>
        <v>(3,4,3,1,1,5); Calculation, 2% of modules repaired in the life time, 1% rejects</v>
      </c>
      <c r="P22" s="435">
        <v>28.721704671857601</v>
      </c>
      <c r="Q22" s="95">
        <f t="shared" si="3"/>
        <v>1</v>
      </c>
      <c r="R22" s="96">
        <f t="shared" si="4"/>
        <v>1.3582005896413567</v>
      </c>
      <c r="S22" s="432" t="str">
        <f t="shared" si="5"/>
        <v>(3,4,3,1,1,5); Calculation, 2% of modules repaired in the life time, 1% rejects</v>
      </c>
      <c r="T22" s="435">
        <v>28.721704671857601</v>
      </c>
      <c r="U22" s="95">
        <f t="shared" si="6"/>
        <v>1</v>
      </c>
      <c r="V22" s="96">
        <f t="shared" si="7"/>
        <v>1.3582005896413567</v>
      </c>
      <c r="W22" s="432" t="str">
        <f t="shared" si="8"/>
        <v>(3,4,3,1,1,5); Calculation, 2% of modules repaired in the life time, 1% rejects</v>
      </c>
      <c r="X22" s="435">
        <v>0</v>
      </c>
      <c r="Y22" s="95">
        <f t="shared" si="9"/>
        <v>1</v>
      </c>
      <c r="Z22" s="96">
        <f t="shared" si="10"/>
        <v>1.3582005896413567</v>
      </c>
      <c r="AA22" s="432" t="str">
        <f t="shared" si="11"/>
        <v>(3,4,3,1,1,5); Calculation, 2% of modules repaired in the life time, 1% rejects</v>
      </c>
      <c r="AB22" s="435">
        <v>28.721704671857601</v>
      </c>
      <c r="AC22" s="95">
        <v>1</v>
      </c>
      <c r="AD22" s="96">
        <f t="shared" si="12"/>
        <v>1.3582005896413567</v>
      </c>
      <c r="AE22" s="432" t="str">
        <f t="shared" si="13"/>
        <v>(3,4,3,1,1,5); Calculation, 2% of modules repaired in the life time, 1% rejects</v>
      </c>
      <c r="AF22" s="494">
        <v>12.5652930742927</v>
      </c>
      <c r="AG22" s="77" t="s">
        <v>1862</v>
      </c>
      <c r="AH22" s="339">
        <v>3</v>
      </c>
      <c r="AI22" s="339">
        <v>4</v>
      </c>
      <c r="AJ22" s="339">
        <v>3</v>
      </c>
      <c r="AK22" s="339">
        <v>1</v>
      </c>
      <c r="AL22" s="339">
        <v>1</v>
      </c>
      <c r="AM22" s="339">
        <v>5</v>
      </c>
      <c r="AN22" s="104">
        <v>9</v>
      </c>
      <c r="AO22" s="104">
        <v>1.2</v>
      </c>
      <c r="AP22" s="107">
        <f t="shared" si="14"/>
        <v>1.2788404103505406</v>
      </c>
      <c r="AQ22" s="107">
        <f t="shared" si="15"/>
        <v>1.3582005896413567</v>
      </c>
      <c r="AR22" s="107" t="str">
        <f t="shared" si="16"/>
        <v>(3,4,3,1,1,5)</v>
      </c>
      <c r="AS22" s="108">
        <v>1.1000000000000001</v>
      </c>
      <c r="AT22" s="108">
        <v>1.1000000000000001</v>
      </c>
      <c r="AU22" s="108">
        <v>1.1000000000000001</v>
      </c>
      <c r="AV22" s="108">
        <v>1</v>
      </c>
      <c r="AW22" s="108">
        <v>1</v>
      </c>
      <c r="AX22" s="108">
        <v>1.2</v>
      </c>
    </row>
    <row r="23" spans="1:50">
      <c r="A23" s="330">
        <v>259361</v>
      </c>
      <c r="B23" s="331"/>
      <c r="C23" s="88"/>
      <c r="D23" s="340">
        <v>5</v>
      </c>
      <c r="E23" s="341" t="s">
        <v>98</v>
      </c>
      <c r="F23" s="432" t="s">
        <v>1578</v>
      </c>
      <c r="G23" s="433" t="s">
        <v>93</v>
      </c>
      <c r="H23" s="434" t="s">
        <v>98</v>
      </c>
      <c r="I23" s="434" t="s">
        <v>98</v>
      </c>
      <c r="J23" s="94">
        <v>0</v>
      </c>
      <c r="K23" s="433" t="s">
        <v>96</v>
      </c>
      <c r="L23" s="435">
        <f>SUMPRODUCT(L20:L22,$AF20:$AF22)</f>
        <v>506.79076983039863</v>
      </c>
      <c r="M23" s="95">
        <f t="shared" si="0"/>
        <v>1</v>
      </c>
      <c r="N23" s="96">
        <f t="shared" si="1"/>
        <v>1.2849840792941758</v>
      </c>
      <c r="O23" s="432" t="str">
        <f t="shared" si="2"/>
        <v>(3,4,3,1,1,5); recycling of PV modules at the end of life</v>
      </c>
      <c r="P23" s="435">
        <f>SUMPRODUCT(P20:P22,$AF20:$AF22)</f>
        <v>554.31017948684598</v>
      </c>
      <c r="Q23" s="95">
        <f t="shared" si="3"/>
        <v>1</v>
      </c>
      <c r="R23" s="96">
        <f t="shared" si="4"/>
        <v>1.2849840792941758</v>
      </c>
      <c r="S23" s="432" t="str">
        <f t="shared" si="5"/>
        <v>(3,4,3,1,1,5); recycling of PV modules at the end of life</v>
      </c>
      <c r="T23" s="435">
        <f>SUMPRODUCT(T20:T22,$AF20:$AF22)</f>
        <v>554.31017948684598</v>
      </c>
      <c r="U23" s="95">
        <f t="shared" si="6"/>
        <v>1</v>
      </c>
      <c r="V23" s="96">
        <f t="shared" si="7"/>
        <v>1.2849840792941758</v>
      </c>
      <c r="W23" s="432" t="str">
        <f t="shared" si="8"/>
        <v>(3,4,3,1,1,5); recycling of PV modules at the end of life</v>
      </c>
      <c r="X23" s="435">
        <f>SUMPRODUCT(X20:X22,$AF20:$AF22)</f>
        <v>506.79076983039863</v>
      </c>
      <c r="Y23" s="95">
        <f t="shared" si="9"/>
        <v>1</v>
      </c>
      <c r="Z23" s="96">
        <f t="shared" si="10"/>
        <v>1.2849840792941758</v>
      </c>
      <c r="AA23" s="432" t="str">
        <f t="shared" si="11"/>
        <v>(3,4,3,1,1,5); recycling of PV modules at the end of life</v>
      </c>
      <c r="AB23" s="435">
        <f>SUMPRODUCT(AB20:AB22,$AF20:$AF22)</f>
        <v>554.31017948684598</v>
      </c>
      <c r="AC23" s="95">
        <v>1</v>
      </c>
      <c r="AD23" s="96">
        <f t="shared" si="12"/>
        <v>1.2849840792941758</v>
      </c>
      <c r="AE23" s="432" t="str">
        <f t="shared" si="13"/>
        <v>(3,4,3,1,1,5); recycling of PV modules at the end of life</v>
      </c>
      <c r="AG23" s="77" t="s">
        <v>1863</v>
      </c>
      <c r="AH23" s="339">
        <v>3</v>
      </c>
      <c r="AI23" s="339">
        <v>4</v>
      </c>
      <c r="AJ23" s="339">
        <v>3</v>
      </c>
      <c r="AK23" s="339">
        <v>1</v>
      </c>
      <c r="AL23" s="339">
        <v>1</v>
      </c>
      <c r="AM23" s="339">
        <v>5</v>
      </c>
      <c r="AN23" s="104">
        <v>6</v>
      </c>
      <c r="AO23" s="104">
        <v>1.05</v>
      </c>
      <c r="AP23" s="107">
        <f t="shared" si="14"/>
        <v>1.2788404103505406</v>
      </c>
      <c r="AQ23" s="107">
        <f t="shared" si="15"/>
        <v>1.2849840792941758</v>
      </c>
      <c r="AR23" s="107" t="str">
        <f t="shared" si="16"/>
        <v>(3,4,3,1,1,5)</v>
      </c>
      <c r="AS23" s="108">
        <v>1.1000000000000001</v>
      </c>
      <c r="AT23" s="108">
        <v>1.1000000000000001</v>
      </c>
      <c r="AU23" s="108">
        <v>1.1000000000000001</v>
      </c>
      <c r="AV23" s="108">
        <v>1</v>
      </c>
      <c r="AW23" s="108">
        <v>1</v>
      </c>
      <c r="AX23" s="108">
        <v>1.2</v>
      </c>
    </row>
    <row r="24" spans="1:50" ht="24" customHeight="1">
      <c r="A24" s="330">
        <v>266207</v>
      </c>
      <c r="B24" s="331"/>
      <c r="C24" s="88"/>
      <c r="D24" s="340">
        <v>5</v>
      </c>
      <c r="E24" s="341" t="s">
        <v>98</v>
      </c>
      <c r="F24" s="432" t="s">
        <v>1864</v>
      </c>
      <c r="G24" s="433" t="s">
        <v>93</v>
      </c>
      <c r="H24" s="434" t="s">
        <v>98</v>
      </c>
      <c r="I24" s="434" t="s">
        <v>98</v>
      </c>
      <c r="J24" s="94">
        <v>0</v>
      </c>
      <c r="K24" s="433" t="s">
        <v>115</v>
      </c>
      <c r="L24" s="435">
        <f>0.1*SUMPRODUCT(L13:L22,$AF13:$AF22)</f>
        <v>72.555227395559925</v>
      </c>
      <c r="M24" s="95">
        <f t="shared" si="0"/>
        <v>1</v>
      </c>
      <c r="N24" s="96">
        <f t="shared" si="1"/>
        <v>2.0865051432908035</v>
      </c>
      <c r="O24" s="432" t="str">
        <f t="shared" si="2"/>
        <v>(3,4,3,1,1,5); transport of inverter, electric installation, mounting structure and module 100km to construction site</v>
      </c>
      <c r="P24" s="435">
        <f>0.1*SUMPRODUCT(P13:P22,$AF13:$AF22)</f>
        <v>82.642527597301225</v>
      </c>
      <c r="Q24" s="95">
        <f t="shared" si="3"/>
        <v>1</v>
      </c>
      <c r="R24" s="96">
        <f t="shared" si="4"/>
        <v>2.0865051432908035</v>
      </c>
      <c r="S24" s="432" t="str">
        <f t="shared" si="5"/>
        <v>(3,4,3,1,1,5); transport of inverter, electric installation, mounting structure and module 100km to construction site</v>
      </c>
      <c r="T24" s="435">
        <f>0.1*SUMPRODUCT(T13:T22,$AF13:$AF22)</f>
        <v>83.782545595658689</v>
      </c>
      <c r="U24" s="95">
        <f t="shared" si="6"/>
        <v>1</v>
      </c>
      <c r="V24" s="96">
        <f t="shared" si="7"/>
        <v>2.0865051432908035</v>
      </c>
      <c r="W24" s="432" t="str">
        <f t="shared" si="8"/>
        <v>(3,4,3,1,1,5); transport of inverter, electric installation, mounting structure and module 100km to construction site</v>
      </c>
      <c r="X24" s="435">
        <f>0.1*SUMPRODUCT(X13:X22,$AF13:$AF22)</f>
        <v>75.156964702593243</v>
      </c>
      <c r="Y24" s="95">
        <f t="shared" si="9"/>
        <v>1</v>
      </c>
      <c r="Z24" s="96">
        <f t="shared" si="10"/>
        <v>2.0865051432908035</v>
      </c>
      <c r="AA24" s="432" t="str">
        <f t="shared" si="11"/>
        <v>(3,4,3,1,1,5); transport of inverter, electric installation, mounting structure and module 100km to construction site</v>
      </c>
      <c r="AB24" s="435">
        <f>0.1*SUMPRODUCT(AB13:AB22,$AF13:$AF22)</f>
        <v>82.642527597301225</v>
      </c>
      <c r="AC24" s="95">
        <v>1</v>
      </c>
      <c r="AD24" s="96">
        <f t="shared" si="12"/>
        <v>2.0865051432908035</v>
      </c>
      <c r="AE24" s="432" t="str">
        <f t="shared" si="13"/>
        <v>(3,4,3,1,1,5); transport of inverter, electric installation, mounting structure and module 100km to construction site</v>
      </c>
      <c r="AG24" s="77" t="s">
        <v>1865</v>
      </c>
      <c r="AH24" s="339">
        <v>3</v>
      </c>
      <c r="AI24" s="339">
        <v>4</v>
      </c>
      <c r="AJ24" s="339">
        <v>3</v>
      </c>
      <c r="AK24" s="339">
        <v>1</v>
      </c>
      <c r="AL24" s="339">
        <v>1</v>
      </c>
      <c r="AM24" s="339">
        <v>5</v>
      </c>
      <c r="AN24" s="104">
        <v>5</v>
      </c>
      <c r="AO24" s="104">
        <v>2</v>
      </c>
      <c r="AP24" s="107">
        <f t="shared" si="14"/>
        <v>1.2788404103505406</v>
      </c>
      <c r="AQ24" s="107">
        <f t="shared" si="15"/>
        <v>2.0865051432908035</v>
      </c>
      <c r="AR24" s="107" t="str">
        <f t="shared" si="16"/>
        <v>(3,4,3,1,1,5)</v>
      </c>
      <c r="AS24" s="108">
        <v>1.1000000000000001</v>
      </c>
      <c r="AT24" s="108">
        <v>1.1000000000000001</v>
      </c>
      <c r="AU24" s="108">
        <v>1.1000000000000001</v>
      </c>
      <c r="AV24" s="108">
        <v>1</v>
      </c>
      <c r="AW24" s="108">
        <v>1</v>
      </c>
      <c r="AX24" s="108">
        <v>1.2</v>
      </c>
    </row>
    <row r="25" spans="1:50">
      <c r="A25" s="330">
        <v>21844</v>
      </c>
      <c r="B25" s="331" t="s">
        <v>594</v>
      </c>
      <c r="C25" s="88"/>
      <c r="D25" s="340" t="s">
        <v>98</v>
      </c>
      <c r="E25" s="341">
        <v>4</v>
      </c>
      <c r="F25" s="432" t="s">
        <v>121</v>
      </c>
      <c r="G25" s="433" t="s">
        <v>98</v>
      </c>
      <c r="H25" s="434" t="s">
        <v>247</v>
      </c>
      <c r="I25" s="434" t="s">
        <v>258</v>
      </c>
      <c r="J25" s="94" t="s">
        <v>98</v>
      </c>
      <c r="K25" s="433" t="s">
        <v>104</v>
      </c>
      <c r="L25" s="435">
        <f>3.6*L12</f>
        <v>0.48</v>
      </c>
      <c r="M25" s="95">
        <f t="shared" si="0"/>
        <v>1</v>
      </c>
      <c r="N25" s="96">
        <f t="shared" si="1"/>
        <v>1.2849840792941758</v>
      </c>
      <c r="O25" s="432" t="str">
        <f t="shared" si="2"/>
        <v>(3,4,3,1,1,5); calculated with electricity use</v>
      </c>
      <c r="P25" s="435">
        <f>3.6*P12</f>
        <v>0.48</v>
      </c>
      <c r="Q25" s="95">
        <f t="shared" si="3"/>
        <v>1</v>
      </c>
      <c r="R25" s="96">
        <f t="shared" si="4"/>
        <v>1.2849840792941758</v>
      </c>
      <c r="S25" s="432" t="str">
        <f t="shared" si="5"/>
        <v>(3,4,3,1,1,5); calculated with electricity use</v>
      </c>
      <c r="T25" s="435">
        <f>3.6*T12</f>
        <v>12.240000000000002</v>
      </c>
      <c r="U25" s="95">
        <f t="shared" si="6"/>
        <v>1</v>
      </c>
      <c r="V25" s="96">
        <f t="shared" si="7"/>
        <v>1.2849840792941758</v>
      </c>
      <c r="W25" s="432" t="str">
        <f t="shared" si="8"/>
        <v>(3,4,3,1,1,5); calculated with electricity use</v>
      </c>
      <c r="X25" s="435">
        <f>3.6*X12</f>
        <v>2.7600000000000002</v>
      </c>
      <c r="Y25" s="95">
        <f t="shared" si="9"/>
        <v>1</v>
      </c>
      <c r="Z25" s="96">
        <f t="shared" si="10"/>
        <v>1.2849840792941758</v>
      </c>
      <c r="AA25" s="432" t="str">
        <f t="shared" si="11"/>
        <v>(3,4,3,1,1,5); calculated with electricity use</v>
      </c>
      <c r="AB25" s="435">
        <f>3.6*AB12</f>
        <v>2.7600000000000002</v>
      </c>
      <c r="AC25" s="95">
        <v>1</v>
      </c>
      <c r="AD25" s="96">
        <f t="shared" si="12"/>
        <v>1.2849840792941758</v>
      </c>
      <c r="AE25" s="432" t="str">
        <f t="shared" si="13"/>
        <v>(3,4,3,1,1,5); calculated with electricity use</v>
      </c>
      <c r="AG25" s="77" t="s">
        <v>1866</v>
      </c>
      <c r="AH25" s="339">
        <v>3</v>
      </c>
      <c r="AI25" s="339">
        <v>4</v>
      </c>
      <c r="AJ25" s="339">
        <v>3</v>
      </c>
      <c r="AK25" s="339">
        <v>1</v>
      </c>
      <c r="AL25" s="339">
        <v>1</v>
      </c>
      <c r="AM25" s="339">
        <v>5</v>
      </c>
      <c r="AN25" s="104">
        <v>13</v>
      </c>
      <c r="AO25" s="104">
        <v>1.05</v>
      </c>
      <c r="AP25" s="107">
        <f t="shared" si="14"/>
        <v>1.2788404103505406</v>
      </c>
      <c r="AQ25" s="107">
        <f t="shared" si="15"/>
        <v>1.2849840792941758</v>
      </c>
      <c r="AR25" s="107" t="str">
        <f t="shared" si="16"/>
        <v>(3,4,3,1,1,5)</v>
      </c>
      <c r="AS25" s="108">
        <v>1.1000000000000001</v>
      </c>
      <c r="AT25" s="108">
        <v>1.1000000000000001</v>
      </c>
      <c r="AU25" s="108">
        <v>1.1000000000000001</v>
      </c>
      <c r="AV25" s="108">
        <v>1</v>
      </c>
      <c r="AW25" s="108">
        <v>1</v>
      </c>
      <c r="AX25" s="108">
        <v>1.2</v>
      </c>
    </row>
    <row r="28" spans="1:50">
      <c r="F28" s="378" t="s">
        <v>1243</v>
      </c>
      <c r="K28" s="378" t="s">
        <v>902</v>
      </c>
      <c r="L28" s="494">
        <v>11.11626864216</v>
      </c>
      <c r="M28" s="496"/>
      <c r="N28" s="496"/>
      <c r="O28" s="496"/>
      <c r="P28" s="519">
        <v>12.1378267171555</v>
      </c>
      <c r="Q28" s="496"/>
      <c r="R28" s="496"/>
      <c r="S28" s="496"/>
      <c r="T28" s="494">
        <v>12.1378267171555</v>
      </c>
      <c r="U28" s="496"/>
      <c r="V28" s="496"/>
      <c r="W28" s="496"/>
      <c r="X28" s="494">
        <v>11.11626864216</v>
      </c>
      <c r="Y28" s="496"/>
      <c r="Z28" s="496"/>
      <c r="AA28" s="496"/>
      <c r="AB28" s="497">
        <v>12.1378267171555</v>
      </c>
      <c r="AC28" s="407"/>
      <c r="AF28" s="497"/>
      <c r="AH28" s="116"/>
      <c r="AI28" s="116"/>
      <c r="AJ28" s="497"/>
    </row>
  </sheetData>
  <mergeCells count="1">
    <mergeCell ref="AH1:AM1"/>
  </mergeCells>
  <conditionalFormatting sqref="D12:AE25 AG12:AM25">
    <cfRule type="expression" dxfId="81" priority="1">
      <formula>MOD(ROW(),2)=0</formula>
    </cfRule>
  </conditionalFormatting>
  <conditionalFormatting sqref="AN12:AX25">
    <cfRule type="expression" dxfId="80" priority="19">
      <formula>MOD(ROW(),2)=0</formula>
    </cfRule>
  </conditionalFormatting>
  <dataValidations disablePrompts="1" count="9">
    <dataValidation allowBlank="1" showInputMessage="1" showErrorMessage="1" promptTitle="Remarks" prompt="A general comment (data source, calculation procedure, ...) can be made about each individual exchange. The remarks are added to the GeneralComment-field." sqref="AG3" xr:uid="{C220A4B6-CF62-401B-A7D8-D4779784CDA7}"/>
    <dataValidation allowBlank="1" showInputMessage="1" showErrorMessage="1" prompt="Do not change." sqref="AN3:AX4 AP7:AX11" xr:uid="{B1F1C05B-02DE-4989-B9AC-EB082F60C462}"/>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78F889B-D85C-4ABA-AB8E-04028D829D33}"/>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AE795100-6943-41EE-AEC0-E6385A0D0ABD}"/>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6387AA7-68D8-42BF-A85A-C35E320939AB}"/>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DDD3DE43-DEA2-4A8A-8C4D-5070E1BFD669}"/>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3C44D63B-CD6C-4043-A4C4-5D4EFAC87863}"/>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E57B95E9-4342-4AAC-B9A4-415E8F30DE7F}"/>
    <dataValidation allowBlank="1" showInputMessage="1" showErrorMessage="1" promptTitle="Do not change" prompt="This field is automatically updated from the names-list" sqref="AN12:AN25" xr:uid="{0418272B-F46E-4340-AF33-62103A1FCF29}"/>
  </dataValidations>
  <pageMargins left="0.78740157499999996" right="0.78740157499999996" top="0.984251969" bottom="0.984251969" header="0.4921259845" footer="0.4921259845"/>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66">
    <tabColor rgb="FF9CD9F0"/>
    <pageSetUpPr fitToPage="1"/>
  </sheetPr>
  <dimension ref="A1:AY28"/>
  <sheetViews>
    <sheetView workbookViewId="0">
      <selection activeCell="AB20" sqref="AB20"/>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5"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99" customWidth="1" collapsed="1"/>
    <col min="52" max="53" width="11.42578125" style="399" customWidth="1"/>
    <col min="54" max="16384" width="11.42578125" style="399"/>
  </cols>
  <sheetData>
    <row r="1" spans="1:50">
      <c r="A1" s="77"/>
      <c r="B1" s="78"/>
      <c r="C1" s="79"/>
      <c r="D1" s="77"/>
      <c r="E1" s="77"/>
      <c r="F1" s="80" t="s">
        <v>65</v>
      </c>
      <c r="G1" s="77"/>
      <c r="H1" s="77"/>
      <c r="I1" s="77"/>
      <c r="J1" s="77"/>
      <c r="K1" s="77"/>
      <c r="L1" s="330" t="str">
        <f>A7</f>
        <v>Z-PV-186</v>
      </c>
      <c r="M1" s="81"/>
      <c r="N1" s="81"/>
      <c r="O1" s="81"/>
      <c r="P1" s="330" t="str">
        <f>A8</f>
        <v>Z-PV-187</v>
      </c>
      <c r="Q1" s="81"/>
      <c r="R1" s="81"/>
      <c r="S1" s="81"/>
      <c r="T1" s="330" t="str">
        <f>A9</f>
        <v>Z-PV-189</v>
      </c>
      <c r="U1" s="81"/>
      <c r="V1" s="81"/>
      <c r="W1" s="81"/>
      <c r="X1" s="330" t="str">
        <f>A10</f>
        <v>Z-PV-194</v>
      </c>
      <c r="Y1" s="81"/>
      <c r="Z1" s="81"/>
      <c r="AA1" s="81"/>
      <c r="AB1" s="330" t="str">
        <f>A11</f>
        <v>Z-PV-195</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0" ht="104.25" customHeight="1">
      <c r="A3" s="83" t="s">
        <v>68</v>
      </c>
      <c r="B3" s="84"/>
      <c r="C3" s="79">
        <v>401</v>
      </c>
      <c r="D3" s="85" t="s">
        <v>69</v>
      </c>
      <c r="E3" s="85" t="s">
        <v>70</v>
      </c>
      <c r="F3" s="86" t="s">
        <v>71</v>
      </c>
      <c r="G3" s="85" t="s">
        <v>72</v>
      </c>
      <c r="H3" s="85" t="s">
        <v>73</v>
      </c>
      <c r="I3" s="85" t="s">
        <v>74</v>
      </c>
      <c r="J3" s="85" t="s">
        <v>75</v>
      </c>
      <c r="K3" s="85" t="s">
        <v>76</v>
      </c>
      <c r="L3" s="87" t="s">
        <v>1895</v>
      </c>
      <c r="M3" s="422" t="str">
        <f>$AC3</f>
        <v>UncertaintyType</v>
      </c>
      <c r="N3" s="422" t="str">
        <f>$AD3</f>
        <v>StandardDeviation95%</v>
      </c>
      <c r="O3" s="423" t="str">
        <f>$AE3</f>
        <v>GeneralComment</v>
      </c>
      <c r="P3" s="87" t="s">
        <v>1896</v>
      </c>
      <c r="Q3" s="422" t="str">
        <f>$AC3</f>
        <v>UncertaintyType</v>
      </c>
      <c r="R3" s="422" t="str">
        <f>$AD3</f>
        <v>StandardDeviation95%</v>
      </c>
      <c r="S3" s="423" t="str">
        <f>$AE3</f>
        <v>GeneralComment</v>
      </c>
      <c r="T3" s="87" t="s">
        <v>1897</v>
      </c>
      <c r="U3" s="422" t="str">
        <f>$AC3</f>
        <v>UncertaintyType</v>
      </c>
      <c r="V3" s="422" t="str">
        <f>$AD3</f>
        <v>StandardDeviation95%</v>
      </c>
      <c r="W3" s="423" t="str">
        <f>$AE3</f>
        <v>GeneralComment</v>
      </c>
      <c r="X3" s="87" t="s">
        <v>1898</v>
      </c>
      <c r="Y3" s="422" t="str">
        <f>$AC3</f>
        <v>UncertaintyType</v>
      </c>
      <c r="Z3" s="422" t="str">
        <f>$AD3</f>
        <v>StandardDeviation95%</v>
      </c>
      <c r="AA3" s="423" t="str">
        <f>$AE3</f>
        <v>GeneralComment</v>
      </c>
      <c r="AB3" s="87" t="s">
        <v>1899</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3.5" customHeight="1">
      <c r="A4" s="77"/>
      <c r="B4" s="84"/>
      <c r="C4" s="79">
        <v>662</v>
      </c>
      <c r="D4" s="86"/>
      <c r="E4" s="86"/>
      <c r="F4" s="86" t="s">
        <v>72</v>
      </c>
      <c r="G4" s="86"/>
      <c r="H4" s="86"/>
      <c r="I4" s="86"/>
      <c r="J4" s="86"/>
      <c r="K4" s="86"/>
      <c r="L4" s="87" t="s">
        <v>215</v>
      </c>
      <c r="M4" s="425">
        <f>$AC4</f>
        <v>0</v>
      </c>
      <c r="N4" s="425">
        <f>$AD4</f>
        <v>0</v>
      </c>
      <c r="O4" s="426">
        <f>$AE4</f>
        <v>0</v>
      </c>
      <c r="P4" s="87" t="s">
        <v>215</v>
      </c>
      <c r="Q4" s="425">
        <f>$AC4</f>
        <v>0</v>
      </c>
      <c r="R4" s="425">
        <f>$AD4</f>
        <v>0</v>
      </c>
      <c r="S4" s="426">
        <f>$AE4</f>
        <v>0</v>
      </c>
      <c r="T4" s="87" t="s">
        <v>215</v>
      </c>
      <c r="U4" s="425">
        <f>$AC4</f>
        <v>0</v>
      </c>
      <c r="V4" s="425">
        <f>$AD4</f>
        <v>0</v>
      </c>
      <c r="W4" s="426">
        <f>$AE4</f>
        <v>0</v>
      </c>
      <c r="X4" s="87" t="s">
        <v>215</v>
      </c>
      <c r="Y4" s="425">
        <f>$AC4</f>
        <v>0</v>
      </c>
      <c r="Z4" s="425">
        <f>$AD4</f>
        <v>0</v>
      </c>
      <c r="AA4" s="426">
        <f>$AE4</f>
        <v>0</v>
      </c>
      <c r="AB4" s="87" t="s">
        <v>215</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1900</v>
      </c>
      <c r="B7" s="331" t="s">
        <v>97</v>
      </c>
      <c r="C7" s="88"/>
      <c r="D7" s="294" t="s">
        <v>98</v>
      </c>
      <c r="E7" s="295">
        <v>0</v>
      </c>
      <c r="F7" s="429" t="s">
        <v>1895</v>
      </c>
      <c r="G7" s="430" t="s">
        <v>215</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1901</v>
      </c>
      <c r="B8" s="331"/>
      <c r="C8" s="88"/>
      <c r="D8" s="294" t="s">
        <v>98</v>
      </c>
      <c r="E8" s="295">
        <v>0</v>
      </c>
      <c r="F8" s="429" t="s">
        <v>1896</v>
      </c>
      <c r="G8" s="430" t="s">
        <v>215</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0" ht="24" customHeight="1">
      <c r="A9" s="330" t="s">
        <v>1902</v>
      </c>
      <c r="B9" s="331"/>
      <c r="C9" s="88"/>
      <c r="D9" s="294" t="s">
        <v>98</v>
      </c>
      <c r="E9" s="295">
        <v>0</v>
      </c>
      <c r="F9" s="429" t="s">
        <v>1897</v>
      </c>
      <c r="G9" s="430" t="s">
        <v>215</v>
      </c>
      <c r="H9" s="431" t="s">
        <v>98</v>
      </c>
      <c r="I9" s="431" t="s">
        <v>98</v>
      </c>
      <c r="J9" s="89">
        <v>1</v>
      </c>
      <c r="K9" s="430" t="s">
        <v>144</v>
      </c>
      <c r="L9" s="90">
        <v>0</v>
      </c>
      <c r="M9" s="91"/>
      <c r="N9" s="92"/>
      <c r="O9" s="93"/>
      <c r="P9" s="90">
        <f>L8</f>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1903</v>
      </c>
      <c r="B10" s="331"/>
      <c r="C10" s="88"/>
      <c r="D10" s="294" t="s">
        <v>98</v>
      </c>
      <c r="E10" s="295">
        <v>0</v>
      </c>
      <c r="F10" s="429" t="s">
        <v>1898</v>
      </c>
      <c r="G10" s="430" t="s">
        <v>215</v>
      </c>
      <c r="H10" s="431" t="s">
        <v>98</v>
      </c>
      <c r="I10" s="431" t="s">
        <v>98</v>
      </c>
      <c r="J10" s="89">
        <v>1</v>
      </c>
      <c r="K10" s="430" t="s">
        <v>144</v>
      </c>
      <c r="L10" s="90">
        <v>0</v>
      </c>
      <c r="M10" s="91"/>
      <c r="N10" s="92"/>
      <c r="O10" s="93"/>
      <c r="P10" s="90">
        <f>L9</f>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1904</v>
      </c>
      <c r="B11" s="331"/>
      <c r="C11" s="88"/>
      <c r="D11" s="294" t="s">
        <v>98</v>
      </c>
      <c r="E11" s="295">
        <v>0</v>
      </c>
      <c r="F11" s="429" t="s">
        <v>1899</v>
      </c>
      <c r="G11" s="430" t="s">
        <v>215</v>
      </c>
      <c r="H11" s="431" t="s">
        <v>98</v>
      </c>
      <c r="I11" s="431" t="s">
        <v>98</v>
      </c>
      <c r="J11" s="89">
        <v>1</v>
      </c>
      <c r="K11" s="430" t="s">
        <v>144</v>
      </c>
      <c r="L11" s="90">
        <v>0</v>
      </c>
      <c r="M11" s="91"/>
      <c r="N11" s="92"/>
      <c r="O11" s="93"/>
      <c r="P11" s="90">
        <f>L10</f>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ht="24" customHeight="1">
      <c r="A12" s="330">
        <v>269587</v>
      </c>
      <c r="B12" s="331" t="s">
        <v>221</v>
      </c>
      <c r="C12" s="88"/>
      <c r="D12" s="340">
        <v>5</v>
      </c>
      <c r="E12" s="341" t="s">
        <v>98</v>
      </c>
      <c r="F12" s="432" t="s">
        <v>1905</v>
      </c>
      <c r="G12" s="433" t="s">
        <v>215</v>
      </c>
      <c r="H12" s="434" t="s">
        <v>98</v>
      </c>
      <c r="I12" s="434" t="s">
        <v>98</v>
      </c>
      <c r="J12" s="94">
        <v>0</v>
      </c>
      <c r="K12" s="433" t="s">
        <v>109</v>
      </c>
      <c r="L12" s="435">
        <f>0.04/3*10</f>
        <v>0.13333333333333333</v>
      </c>
      <c r="M12" s="95">
        <f t="shared" ref="M12:M25" si="0">$AC12</f>
        <v>1</v>
      </c>
      <c r="N12" s="96">
        <f t="shared" ref="N12:N25" si="1">$AD12</f>
        <v>1.2849840792941758</v>
      </c>
      <c r="O12" s="432" t="str">
        <f t="shared" ref="O12:O25" si="2">$AE12</f>
        <v>(3,4,3,1,1,5); Energy use for erection of plant</v>
      </c>
      <c r="P12" s="435">
        <f>0.04/3*10</f>
        <v>0.13333333333333333</v>
      </c>
      <c r="Q12" s="95">
        <f t="shared" ref="Q12:Q25" si="3">$AC12</f>
        <v>1</v>
      </c>
      <c r="R12" s="96">
        <f t="shared" ref="R12:R25" si="4">$AD12</f>
        <v>1.2849840792941758</v>
      </c>
      <c r="S12" s="432" t="str">
        <f t="shared" ref="S12:S25" si="5">$AE12</f>
        <v>(3,4,3,1,1,5); Energy use for erection of plant</v>
      </c>
      <c r="T12" s="435">
        <f>1.02/3*10</f>
        <v>3.4000000000000004</v>
      </c>
      <c r="U12" s="95">
        <f t="shared" ref="U12:U25" si="6">$AC12</f>
        <v>1</v>
      </c>
      <c r="V12" s="96">
        <f t="shared" ref="V12:V25" si="7">$AD12</f>
        <v>1.2849840792941758</v>
      </c>
      <c r="W12" s="432" t="str">
        <f t="shared" ref="W12:W25" si="8">$AE12</f>
        <v>(3,4,3,1,1,5); Energy use for erection of plant</v>
      </c>
      <c r="X12" s="435">
        <f>0.23/3*10</f>
        <v>0.76666666666666672</v>
      </c>
      <c r="Y12" s="95">
        <f t="shared" ref="Y12:Y25" si="9">$AC12</f>
        <v>1</v>
      </c>
      <c r="Z12" s="96">
        <f t="shared" ref="Z12:Z25" si="10">$AD12</f>
        <v>1.2849840792941758</v>
      </c>
      <c r="AA12" s="432" t="str">
        <f t="shared" ref="AA12:AA25" si="11">$AE12</f>
        <v>(3,4,3,1,1,5); Energy use for erection of plant</v>
      </c>
      <c r="AB12" s="435">
        <f>0.23/3*10</f>
        <v>0.76666666666666672</v>
      </c>
      <c r="AC12" s="95">
        <v>1</v>
      </c>
      <c r="AD12" s="96">
        <f t="shared" ref="AD12:AD25" si="12">AQ12</f>
        <v>1.2849840792941758</v>
      </c>
      <c r="AE12" s="432" t="str">
        <f t="shared" ref="AE12:AE25" si="13">AR12&amp;"; "&amp;AG12</f>
        <v>(3,4,3,1,1,5); Energy use for erection of plant</v>
      </c>
      <c r="AF12" s="494"/>
      <c r="AG12" s="77" t="s">
        <v>1892</v>
      </c>
      <c r="AH12" s="339">
        <v>3</v>
      </c>
      <c r="AI12" s="339">
        <v>4</v>
      </c>
      <c r="AJ12" s="339">
        <v>3</v>
      </c>
      <c r="AK12" s="339">
        <v>1</v>
      </c>
      <c r="AL12" s="339">
        <v>1</v>
      </c>
      <c r="AM12" s="339">
        <v>5</v>
      </c>
      <c r="AN12" s="104">
        <v>3</v>
      </c>
      <c r="AO12" s="104">
        <v>1.05</v>
      </c>
      <c r="AP12" s="107">
        <f t="shared" ref="AP12:AP21" si="14">EXP(SQRT((LN(AS12)^2)+(LN(AT12)^2)+(LN(AU12)^2)+(LN(AV12)^2)+(LN(AW12)^2)+(LN(AX12)^2)))</f>
        <v>1.2788404103505406</v>
      </c>
      <c r="AQ12" s="107">
        <f t="shared" ref="AQ12:AQ21" si="15">EXP(SQRT((LN(AS12)^2)+(LN(AT12)^2)+(LN(AU12)^2)+(LN(AV12)^2)+(LN(AW12)^2)+(LN(AX12)^2)+LN(AO12)^2))</f>
        <v>1.2849840792941758</v>
      </c>
      <c r="AR12" s="107" t="str">
        <f t="shared" ref="AR12:AR21" si="16">CONCATENATE("(",AH12,",",AI12,",",AJ12,",",AK12,",",AL12,",",AM12,")")</f>
        <v>(3,4,3,1,1,5)</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f>2</f>
        <v>2</v>
      </c>
      <c r="M13" s="95">
        <f t="shared" si="0"/>
        <v>1</v>
      </c>
      <c r="N13" s="96">
        <f t="shared" si="1"/>
        <v>1.2354522921220721</v>
      </c>
      <c r="O13" s="432" t="str">
        <f t="shared" si="2"/>
        <v>(2,4,1,1,1,na); 1 replacement during the lifetime of the PV system; demand scaled linearly by power output</v>
      </c>
      <c r="P13" s="435">
        <f>2</f>
        <v>2</v>
      </c>
      <c r="Q13" s="95">
        <f t="shared" si="3"/>
        <v>1</v>
      </c>
      <c r="R13" s="96">
        <f t="shared" si="4"/>
        <v>1.2354522921220721</v>
      </c>
      <c r="S13" s="432" t="str">
        <f t="shared" si="5"/>
        <v>(2,4,1,1,1,na); 1 replacement during the lifetime of the PV system; demand scaled linearly by power output</v>
      </c>
      <c r="T13" s="435">
        <f>2</f>
        <v>2</v>
      </c>
      <c r="U13" s="95">
        <f t="shared" si="6"/>
        <v>1</v>
      </c>
      <c r="V13" s="96">
        <f t="shared" si="7"/>
        <v>1.2354522921220721</v>
      </c>
      <c r="W13" s="432" t="str">
        <f t="shared" si="8"/>
        <v>(2,4,1,1,1,na); 1 replacement during the lifetime of the PV system; demand scaled linearly by power output</v>
      </c>
      <c r="X13" s="435">
        <f>2</f>
        <v>2</v>
      </c>
      <c r="Y13" s="95">
        <f t="shared" si="9"/>
        <v>1</v>
      </c>
      <c r="Z13" s="96">
        <f t="shared" si="10"/>
        <v>1.2354522921220721</v>
      </c>
      <c r="AA13" s="432" t="str">
        <f t="shared" si="11"/>
        <v>(2,4,1,1,1,na); 1 replacement during the lifetime of the PV system; demand scaled linearly by power output</v>
      </c>
      <c r="AB13" s="435">
        <f>2</f>
        <v>2</v>
      </c>
      <c r="AC13" s="95">
        <v>1</v>
      </c>
      <c r="AD13" s="96">
        <f t="shared" si="12"/>
        <v>1.2354522921220721</v>
      </c>
      <c r="AE13" s="432" t="str">
        <f t="shared" si="13"/>
        <v>(2,4,1,1,1,na); 1 replacement during the lifetime of the PV system; demand scaled linearly by power output</v>
      </c>
      <c r="AF13" s="494">
        <v>0</v>
      </c>
      <c r="AG13" s="77" t="s">
        <v>1893</v>
      </c>
      <c r="AH13" s="339">
        <v>2</v>
      </c>
      <c r="AI13" s="339">
        <v>4</v>
      </c>
      <c r="AJ13" s="339">
        <v>1</v>
      </c>
      <c r="AK13" s="339">
        <v>1</v>
      </c>
      <c r="AL13" s="339">
        <v>1</v>
      </c>
      <c r="AM13" s="339" t="s">
        <v>106</v>
      </c>
      <c r="AN13" s="104">
        <v>9</v>
      </c>
      <c r="AO13" s="104">
        <v>1.2</v>
      </c>
      <c r="AP13" s="107">
        <f t="shared" si="14"/>
        <v>1.1130148943987077</v>
      </c>
      <c r="AQ13" s="107">
        <f t="shared" si="15"/>
        <v>1.2354522921220721</v>
      </c>
      <c r="AR13" s="107" t="str">
        <f t="shared" si="16"/>
        <v>(2,4,1,1,1,na)</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cabling, lightning protection and fuse box</v>
      </c>
      <c r="P14" s="435">
        <v>2.26755352255311</v>
      </c>
      <c r="Q14" s="95">
        <f t="shared" si="3"/>
        <v>1</v>
      </c>
      <c r="R14" s="96">
        <f t="shared" si="4"/>
        <v>2.0865051432908035</v>
      </c>
      <c r="S14" s="432" t="str">
        <f t="shared" si="5"/>
        <v>(3,4,3,1,1,5); cabling, lightning protection and fuse box</v>
      </c>
      <c r="T14" s="435">
        <v>2.26755352255311</v>
      </c>
      <c r="U14" s="95">
        <f t="shared" si="6"/>
        <v>1</v>
      </c>
      <c r="V14" s="96">
        <f t="shared" si="7"/>
        <v>2.0865051432908035</v>
      </c>
      <c r="W14" s="432" t="str">
        <f t="shared" si="8"/>
        <v>(3,4,3,1,1,5); cabling, lightning protection and fuse box</v>
      </c>
      <c r="X14" s="435">
        <v>2.26755352255311</v>
      </c>
      <c r="Y14" s="95">
        <f t="shared" si="9"/>
        <v>1</v>
      </c>
      <c r="Z14" s="96">
        <f t="shared" si="10"/>
        <v>2.0865051432908035</v>
      </c>
      <c r="AA14" s="432" t="str">
        <f t="shared" si="11"/>
        <v>(3,4,3,1,1,5); cabling, lightning protection and fuse box</v>
      </c>
      <c r="AB14" s="435">
        <v>2.26755352255311</v>
      </c>
      <c r="AC14" s="95">
        <v>1</v>
      </c>
      <c r="AD14" s="96">
        <f t="shared" si="12"/>
        <v>2.0865051432908035</v>
      </c>
      <c r="AE14" s="432" t="str">
        <f t="shared" si="13"/>
        <v>(3,4,3,1,1,5); cabling, lightning protection and fuse box</v>
      </c>
      <c r="AF14" s="494">
        <v>32.612000000000002</v>
      </c>
      <c r="AG14" s="77" t="s">
        <v>1894</v>
      </c>
      <c r="AH14" s="339">
        <v>3</v>
      </c>
      <c r="AI14" s="339">
        <v>4</v>
      </c>
      <c r="AJ14" s="339">
        <v>3</v>
      </c>
      <c r="AK14" s="339">
        <v>1</v>
      </c>
      <c r="AL14" s="339">
        <v>1</v>
      </c>
      <c r="AM14" s="339">
        <v>5</v>
      </c>
      <c r="AN14" s="104">
        <v>9</v>
      </c>
      <c r="AO14" s="104">
        <v>2</v>
      </c>
      <c r="AP14" s="107">
        <f t="shared" si="14"/>
        <v>1.2788404103505406</v>
      </c>
      <c r="AQ14" s="107">
        <f t="shared" si="15"/>
        <v>2.0865051432908035</v>
      </c>
      <c r="AR14" s="107" t="str">
        <f t="shared" si="16"/>
        <v>(3,4,3,1,1,5)</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44.2621431219874</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t="s">
        <v>1861</v>
      </c>
      <c r="AH15" s="339">
        <f t="shared" ref="AH15:AM15" si="17">AH16</f>
        <v>3</v>
      </c>
      <c r="AI15" s="339">
        <f t="shared" si="17"/>
        <v>1</v>
      </c>
      <c r="AJ15" s="339">
        <f t="shared" si="17"/>
        <v>1</v>
      </c>
      <c r="AK15" s="339">
        <f t="shared" si="17"/>
        <v>1</v>
      </c>
      <c r="AL15" s="339">
        <f t="shared" si="17"/>
        <v>1</v>
      </c>
      <c r="AM15" s="339" t="str">
        <f t="shared" si="17"/>
        <v>na</v>
      </c>
      <c r="AN15" s="104">
        <v>9</v>
      </c>
      <c r="AO15" s="104">
        <v>1.2</v>
      </c>
      <c r="AP15" s="107">
        <f t="shared" si="14"/>
        <v>1.1000000000000001</v>
      </c>
      <c r="AQ15" s="107">
        <f t="shared" si="15"/>
        <v>1.2284225230179247</v>
      </c>
      <c r="AR15" s="107" t="str">
        <f t="shared" si="16"/>
        <v>(3,1,1,1,1,na)</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44.2621431219874</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t="s">
        <v>1861</v>
      </c>
      <c r="AH16" s="339">
        <v>3</v>
      </c>
      <c r="AI16" s="339">
        <v>1</v>
      </c>
      <c r="AJ16" s="339">
        <v>1</v>
      </c>
      <c r="AK16" s="339">
        <v>1</v>
      </c>
      <c r="AL16" s="339">
        <v>1</v>
      </c>
      <c r="AM16" s="339" t="s">
        <v>106</v>
      </c>
      <c r="AN16" s="104">
        <v>9</v>
      </c>
      <c r="AO16" s="104">
        <v>1.2</v>
      </c>
      <c r="AP16" s="107">
        <f t="shared" si="14"/>
        <v>1.1000000000000001</v>
      </c>
      <c r="AQ16" s="107">
        <f t="shared" si="15"/>
        <v>1.2284225230179247</v>
      </c>
      <c r="AR16" s="107" t="str">
        <f t="shared" si="16"/>
        <v>(3,1,1,1,1,na)</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44.2621431219874</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t="s">
        <v>1861</v>
      </c>
      <c r="AH17" s="339">
        <f t="shared" ref="AH17:AM17" si="18">AH15</f>
        <v>3</v>
      </c>
      <c r="AI17" s="339">
        <f t="shared" si="18"/>
        <v>1</v>
      </c>
      <c r="AJ17" s="339">
        <f t="shared" si="18"/>
        <v>1</v>
      </c>
      <c r="AK17" s="339">
        <f t="shared" si="18"/>
        <v>1</v>
      </c>
      <c r="AL17" s="339">
        <f t="shared" si="18"/>
        <v>1</v>
      </c>
      <c r="AM17" s="339" t="str">
        <f t="shared" si="18"/>
        <v>na</v>
      </c>
      <c r="AN17" s="104">
        <v>9</v>
      </c>
      <c r="AO17" s="104">
        <v>1.2</v>
      </c>
      <c r="AP17" s="107">
        <f t="shared" si="14"/>
        <v>1.1000000000000001</v>
      </c>
      <c r="AQ17" s="107">
        <f t="shared" si="15"/>
        <v>1.2284225230179247</v>
      </c>
      <c r="AR17" s="107" t="str">
        <f t="shared" si="16"/>
        <v>(3,1,1,1,1,na)</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44.2621431219874</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t="s">
        <v>1861</v>
      </c>
      <c r="AH18" s="339">
        <f t="shared" ref="AH18:AM18" si="19">AH19</f>
        <v>3</v>
      </c>
      <c r="AI18" s="339">
        <f t="shared" si="19"/>
        <v>1</v>
      </c>
      <c r="AJ18" s="339">
        <f t="shared" si="19"/>
        <v>1</v>
      </c>
      <c r="AK18" s="339">
        <f t="shared" si="19"/>
        <v>1</v>
      </c>
      <c r="AL18" s="339">
        <f t="shared" si="19"/>
        <v>1</v>
      </c>
      <c r="AM18" s="339" t="str">
        <f t="shared" si="19"/>
        <v>na</v>
      </c>
      <c r="AN18" s="104">
        <v>9</v>
      </c>
      <c r="AO18" s="104">
        <v>1.2</v>
      </c>
      <c r="AP18" s="107">
        <f t="shared" si="14"/>
        <v>1.1000000000000001</v>
      </c>
      <c r="AQ18" s="107">
        <f t="shared" si="15"/>
        <v>1.2284225230179247</v>
      </c>
      <c r="AR18" s="107" t="str">
        <f t="shared" si="16"/>
        <v>(3,1,1,1,1,na)</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44.2621431219874</v>
      </c>
      <c r="AC19" s="95">
        <v>1</v>
      </c>
      <c r="AD19" s="96">
        <f t="shared" si="12"/>
        <v>1.2284225230179247</v>
      </c>
      <c r="AE19" s="432" t="str">
        <f t="shared" si="13"/>
        <v>(3,1,1,1,1,na); calculation with m2 panel</v>
      </c>
      <c r="AF19" s="494">
        <v>4.4770909637727101</v>
      </c>
      <c r="AG19" s="77" t="s">
        <v>1861</v>
      </c>
      <c r="AH19" s="339">
        <f t="shared" ref="AH19:AM19" si="20">AH17</f>
        <v>3</v>
      </c>
      <c r="AI19" s="339">
        <f t="shared" si="20"/>
        <v>1</v>
      </c>
      <c r="AJ19" s="339">
        <f t="shared" si="20"/>
        <v>1</v>
      </c>
      <c r="AK19" s="339">
        <f t="shared" si="20"/>
        <v>1</v>
      </c>
      <c r="AL19" s="339">
        <f t="shared" si="20"/>
        <v>1</v>
      </c>
      <c r="AM19" s="339" t="str">
        <f t="shared" si="20"/>
        <v>na</v>
      </c>
      <c r="AN19" s="104">
        <v>9</v>
      </c>
      <c r="AO19" s="104">
        <v>1.2</v>
      </c>
      <c r="AP19" s="107">
        <f t="shared" si="14"/>
        <v>1.1000000000000001</v>
      </c>
      <c r="AQ19" s="107">
        <f t="shared" si="15"/>
        <v>1.2284225230179247</v>
      </c>
      <c r="AR19" s="107" t="str">
        <f t="shared" si="16"/>
        <v>(3,1,1,1,1,na)</v>
      </c>
      <c r="AS19" s="108">
        <v>1.1000000000000001</v>
      </c>
      <c r="AT19" s="108">
        <v>1</v>
      </c>
      <c r="AU19" s="108">
        <v>1</v>
      </c>
      <c r="AV19" s="108">
        <v>1</v>
      </c>
      <c r="AW19" s="108">
        <v>1</v>
      </c>
      <c r="AX19" s="108">
        <v>1</v>
      </c>
    </row>
    <row r="20" spans="1:50" ht="24" customHeight="1">
      <c r="A20" s="330">
        <v>264813</v>
      </c>
      <c r="B20" s="331"/>
      <c r="C20" s="88"/>
      <c r="D20" s="340">
        <v>5</v>
      </c>
      <c r="E20" s="341" t="s">
        <v>98</v>
      </c>
      <c r="F20" s="432" t="s">
        <v>1340</v>
      </c>
      <c r="G20" s="433" t="s">
        <v>215</v>
      </c>
      <c r="H20" s="434" t="s">
        <v>98</v>
      </c>
      <c r="I20" s="434" t="s">
        <v>98</v>
      </c>
      <c r="J20" s="94">
        <v>1</v>
      </c>
      <c r="K20" s="433" t="s">
        <v>679</v>
      </c>
      <c r="L20" s="435">
        <v>45.590007415647001</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45.590007415647001</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545">
        <v>11.11626864216</v>
      </c>
      <c r="AG20" s="77" t="s">
        <v>1862</v>
      </c>
      <c r="AH20" s="339">
        <v>3</v>
      </c>
      <c r="AI20" s="339">
        <v>4</v>
      </c>
      <c r="AJ20" s="339">
        <v>3</v>
      </c>
      <c r="AK20" s="339">
        <v>1</v>
      </c>
      <c r="AL20" s="339">
        <v>1</v>
      </c>
      <c r="AM20" s="339">
        <v>5</v>
      </c>
      <c r="AN20" s="104">
        <v>9</v>
      </c>
      <c r="AO20" s="104">
        <v>1.2</v>
      </c>
      <c r="AP20" s="107">
        <f t="shared" si="14"/>
        <v>1.2788404103505406</v>
      </c>
      <c r="AQ20" s="107">
        <f t="shared" si="15"/>
        <v>1.3582005896413567</v>
      </c>
      <c r="AR20" s="107" t="str">
        <f t="shared" si="16"/>
        <v>(3,4,3,1,1,5)</v>
      </c>
      <c r="AS20" s="108">
        <v>1.1000000000000001</v>
      </c>
      <c r="AT20" s="108">
        <v>1.1000000000000001</v>
      </c>
      <c r="AU20" s="108">
        <v>1.1000000000000001</v>
      </c>
      <c r="AV20" s="108">
        <v>1</v>
      </c>
      <c r="AW20" s="108">
        <v>1</v>
      </c>
      <c r="AX20" s="108">
        <v>1.2</v>
      </c>
    </row>
    <row r="21" spans="1:50" ht="24" customHeight="1">
      <c r="A21" s="330" t="s">
        <v>1343</v>
      </c>
      <c r="B21" s="331"/>
      <c r="C21" s="88"/>
      <c r="D21" s="340">
        <v>5</v>
      </c>
      <c r="E21" s="341" t="s">
        <v>98</v>
      </c>
      <c r="F21" s="432" t="s">
        <v>1341</v>
      </c>
      <c r="G21" s="433" t="s">
        <v>215</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16.8683027437894</v>
      </c>
      <c r="Q21" s="95">
        <f t="shared" si="3"/>
        <v>1</v>
      </c>
      <c r="R21" s="96">
        <f t="shared" si="4"/>
        <v>1.3582005896413567</v>
      </c>
      <c r="S21" s="432" t="str">
        <f t="shared" si="5"/>
        <v>(3,4,3,1,1,5); Calculation, 2% of modules repaired in the life time, 1% rejects</v>
      </c>
      <c r="T21" s="435">
        <v>16.8683027437894</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16.8683027437894</v>
      </c>
      <c r="AC21" s="95">
        <v>1</v>
      </c>
      <c r="AD21" s="96">
        <f t="shared" si="12"/>
        <v>1.3582005896413567</v>
      </c>
      <c r="AE21" s="432" t="str">
        <f t="shared" si="13"/>
        <v>(3,4,3,1,1,5); Calculation, 2% of modules repaired in the life time, 1% rejects</v>
      </c>
      <c r="AF21" s="494">
        <v>11.466093870225601</v>
      </c>
      <c r="AG21" s="77" t="s">
        <v>1862</v>
      </c>
      <c r="AH21" s="339">
        <v>3</v>
      </c>
      <c r="AI21" s="339">
        <v>4</v>
      </c>
      <c r="AJ21" s="339">
        <v>3</v>
      </c>
      <c r="AK21" s="339">
        <v>1</v>
      </c>
      <c r="AL21" s="339">
        <v>1</v>
      </c>
      <c r="AM21" s="339">
        <v>5</v>
      </c>
      <c r="AN21" s="104">
        <v>9</v>
      </c>
      <c r="AO21" s="104">
        <v>1.2</v>
      </c>
      <c r="AP21" s="107">
        <f t="shared" si="14"/>
        <v>1.2788404103505406</v>
      </c>
      <c r="AQ21" s="107">
        <f t="shared" si="15"/>
        <v>1.3582005896413567</v>
      </c>
      <c r="AR21" s="107" t="str">
        <f t="shared" si="16"/>
        <v>(3,4,3,1,1,5)</v>
      </c>
      <c r="AS21" s="108">
        <v>1.1000000000000001</v>
      </c>
      <c r="AT21" s="108">
        <v>1.1000000000000001</v>
      </c>
      <c r="AU21" s="108">
        <v>1.1000000000000001</v>
      </c>
      <c r="AV21" s="108">
        <v>1</v>
      </c>
      <c r="AW21" s="108">
        <v>1</v>
      </c>
      <c r="AX21" s="108">
        <v>1.2</v>
      </c>
    </row>
    <row r="22" spans="1:50" ht="24" customHeight="1">
      <c r="A22" s="330" t="s">
        <v>1344</v>
      </c>
      <c r="B22" s="331"/>
      <c r="C22" s="88"/>
      <c r="D22" s="340">
        <v>5</v>
      </c>
      <c r="E22" s="341" t="s">
        <v>98</v>
      </c>
      <c r="F22" s="432" t="s">
        <v>1342</v>
      </c>
      <c r="G22" s="433" t="s">
        <v>215</v>
      </c>
      <c r="H22" s="434" t="s">
        <v>98</v>
      </c>
      <c r="I22" s="434" t="s">
        <v>98</v>
      </c>
      <c r="J22" s="94">
        <v>1</v>
      </c>
      <c r="K22" s="433" t="s">
        <v>679</v>
      </c>
      <c r="L22" s="435">
        <v>0</v>
      </c>
      <c r="M22" s="95">
        <f t="shared" si="0"/>
        <v>1</v>
      </c>
      <c r="N22" s="96">
        <f t="shared" si="1"/>
        <v>0</v>
      </c>
      <c r="O22" s="432" t="str">
        <f t="shared" si="2"/>
        <v>; Calculation, 2% of modules repaired in the life time, 1% rejects</v>
      </c>
      <c r="P22" s="435">
        <v>28.721704671857601</v>
      </c>
      <c r="Q22" s="95">
        <f t="shared" si="3"/>
        <v>1</v>
      </c>
      <c r="R22" s="96">
        <f t="shared" si="4"/>
        <v>0</v>
      </c>
      <c r="S22" s="432" t="str">
        <f t="shared" si="5"/>
        <v>; Calculation, 2% of modules repaired in the life time, 1% rejects</v>
      </c>
      <c r="T22" s="435">
        <v>28.721704671857601</v>
      </c>
      <c r="U22" s="95">
        <f t="shared" si="6"/>
        <v>1</v>
      </c>
      <c r="V22" s="96">
        <f t="shared" si="7"/>
        <v>0</v>
      </c>
      <c r="W22" s="432" t="str">
        <f t="shared" si="8"/>
        <v>; Calculation, 2% of modules repaired in the life time, 1% rejects</v>
      </c>
      <c r="X22" s="435">
        <v>0</v>
      </c>
      <c r="Y22" s="95">
        <f t="shared" si="9"/>
        <v>1</v>
      </c>
      <c r="Z22" s="96">
        <f t="shared" si="10"/>
        <v>0</v>
      </c>
      <c r="AA22" s="432" t="str">
        <f t="shared" si="11"/>
        <v>; Calculation, 2% of modules repaired in the life time, 1% rejects</v>
      </c>
      <c r="AB22" s="435">
        <v>28.721704671857601</v>
      </c>
      <c r="AC22" s="95">
        <v>1</v>
      </c>
      <c r="AD22" s="96">
        <f t="shared" si="12"/>
        <v>0</v>
      </c>
      <c r="AE22" s="432" t="str">
        <f t="shared" si="13"/>
        <v>; Calculation, 2% of modules repaired in the life time, 1% rejects</v>
      </c>
      <c r="AF22" s="494">
        <v>12.5652930742927</v>
      </c>
      <c r="AG22" s="77" t="s">
        <v>1862</v>
      </c>
      <c r="AH22" s="339">
        <v>3</v>
      </c>
      <c r="AI22" s="339">
        <v>4</v>
      </c>
      <c r="AJ22" s="339">
        <v>3</v>
      </c>
      <c r="AK22" s="339">
        <v>1</v>
      </c>
      <c r="AL22" s="339">
        <v>1</v>
      </c>
      <c r="AM22" s="339">
        <v>5</v>
      </c>
      <c r="AN22" s="104"/>
      <c r="AO22" s="104"/>
      <c r="AP22" s="107"/>
      <c r="AQ22" s="107"/>
      <c r="AR22" s="107"/>
      <c r="AS22" s="108"/>
      <c r="AT22" s="108"/>
      <c r="AU22" s="108"/>
      <c r="AV22" s="108"/>
      <c r="AW22" s="108"/>
      <c r="AX22" s="108"/>
    </row>
    <row r="23" spans="1:50">
      <c r="A23" s="330">
        <v>259361</v>
      </c>
      <c r="B23" s="331"/>
      <c r="C23" s="88"/>
      <c r="D23" s="340">
        <v>5</v>
      </c>
      <c r="E23" s="341" t="s">
        <v>98</v>
      </c>
      <c r="F23" s="432" t="s">
        <v>1578</v>
      </c>
      <c r="G23" s="433" t="s">
        <v>93</v>
      </c>
      <c r="H23" s="434" t="s">
        <v>98</v>
      </c>
      <c r="I23" s="434" t="s">
        <v>98</v>
      </c>
      <c r="J23" s="94">
        <v>0</v>
      </c>
      <c r="K23" s="433" t="s">
        <v>96</v>
      </c>
      <c r="L23" s="435">
        <f>SUMPRODUCT(L20:L22,$AF20:$AF22)</f>
        <v>506.79076983039863</v>
      </c>
      <c r="M23" s="95">
        <f t="shared" si="0"/>
        <v>1</v>
      </c>
      <c r="N23" s="96">
        <f t="shared" si="1"/>
        <v>1.2849840792941758</v>
      </c>
      <c r="O23" s="432" t="str">
        <f t="shared" si="2"/>
        <v>(3,4,3,1,1,5); recycling of PV modules at the end of life</v>
      </c>
      <c r="P23" s="435">
        <f>SUMPRODUCT(P20:P22,$AF20:$AF22)</f>
        <v>554.31017948684598</v>
      </c>
      <c r="Q23" s="95">
        <f t="shared" si="3"/>
        <v>1</v>
      </c>
      <c r="R23" s="96">
        <f t="shared" si="4"/>
        <v>1.2849840792941758</v>
      </c>
      <c r="S23" s="432" t="str">
        <f t="shared" si="5"/>
        <v>(3,4,3,1,1,5); recycling of PV modules at the end of life</v>
      </c>
      <c r="T23" s="435">
        <f>SUMPRODUCT(T20:T22,$AF20:$AF22)</f>
        <v>554.31017948684598</v>
      </c>
      <c r="U23" s="95">
        <f t="shared" si="6"/>
        <v>1</v>
      </c>
      <c r="V23" s="96">
        <f t="shared" si="7"/>
        <v>1.2849840792941758</v>
      </c>
      <c r="W23" s="432" t="str">
        <f t="shared" si="8"/>
        <v>(3,4,3,1,1,5); recycling of PV modules at the end of life</v>
      </c>
      <c r="X23" s="435">
        <f>SUMPRODUCT(X20:X22,$AF20:$AF22)</f>
        <v>506.79076983039863</v>
      </c>
      <c r="Y23" s="95">
        <f t="shared" si="9"/>
        <v>1</v>
      </c>
      <c r="Z23" s="96">
        <f t="shared" si="10"/>
        <v>1.2849840792941758</v>
      </c>
      <c r="AA23" s="432" t="str">
        <f t="shared" si="11"/>
        <v>(3,4,3,1,1,5); recycling of PV modules at the end of life</v>
      </c>
      <c r="AB23" s="435">
        <f>SUMPRODUCT(AB20:AB22,$AF20:$AF22)</f>
        <v>554.31017948684598</v>
      </c>
      <c r="AC23" s="95">
        <v>1</v>
      </c>
      <c r="AD23" s="96">
        <f t="shared" si="12"/>
        <v>1.2849840792941758</v>
      </c>
      <c r="AE23" s="432" t="str">
        <f t="shared" si="13"/>
        <v>(3,4,3,1,1,5); recycling of PV modules at the end of life</v>
      </c>
      <c r="AG23" s="77" t="s">
        <v>1863</v>
      </c>
      <c r="AH23" s="339">
        <v>3</v>
      </c>
      <c r="AI23" s="339">
        <v>4</v>
      </c>
      <c r="AJ23" s="339">
        <v>3</v>
      </c>
      <c r="AK23" s="339">
        <v>1</v>
      </c>
      <c r="AL23" s="339">
        <v>1</v>
      </c>
      <c r="AM23" s="339">
        <v>5</v>
      </c>
      <c r="AN23" s="104">
        <v>6</v>
      </c>
      <c r="AO23" s="104">
        <v>1.05</v>
      </c>
      <c r="AP23" s="107">
        <f>EXP(SQRT((LN(AS23)^2)+(LN(AT23)^2)+(LN(AU23)^2)+(LN(AV23)^2)+(LN(AW23)^2)+(LN(AX23)^2)))</f>
        <v>1.2788404103505406</v>
      </c>
      <c r="AQ23" s="107">
        <f>EXP(SQRT((LN(AS23)^2)+(LN(AT23)^2)+(LN(AU23)^2)+(LN(AV23)^2)+(LN(AW23)^2)+(LN(AX23)^2)+LN(AO23)^2))</f>
        <v>1.2849840792941758</v>
      </c>
      <c r="AR23" s="107" t="str">
        <f>CONCATENATE("(",AH23,",",AI23,",",AJ23,",",AK23,",",AL23,",",AM23,")")</f>
        <v>(3,4,3,1,1,5)</v>
      </c>
      <c r="AS23" s="108">
        <v>1.1000000000000001</v>
      </c>
      <c r="AT23" s="108">
        <v>1.1000000000000001</v>
      </c>
      <c r="AU23" s="108">
        <v>1.1000000000000001</v>
      </c>
      <c r="AV23" s="108">
        <v>1</v>
      </c>
      <c r="AW23" s="108">
        <v>1</v>
      </c>
      <c r="AX23" s="108">
        <v>1.2</v>
      </c>
    </row>
    <row r="24" spans="1:50" ht="24" customHeight="1">
      <c r="A24" s="330">
        <v>266207</v>
      </c>
      <c r="B24" s="331"/>
      <c r="C24" s="88"/>
      <c r="D24" s="340">
        <v>5</v>
      </c>
      <c r="E24" s="341" t="s">
        <v>98</v>
      </c>
      <c r="F24" s="432" t="s">
        <v>1864</v>
      </c>
      <c r="G24" s="433" t="s">
        <v>93</v>
      </c>
      <c r="H24" s="434" t="s">
        <v>98</v>
      </c>
      <c r="I24" s="434" t="s">
        <v>98</v>
      </c>
      <c r="J24" s="94">
        <v>0</v>
      </c>
      <c r="K24" s="433" t="s">
        <v>115</v>
      </c>
      <c r="L24" s="435">
        <f>0.1*SUMPRODUCT(L13:L22,$AF13:$AF22)</f>
        <v>72.555227395559925</v>
      </c>
      <c r="M24" s="95">
        <f t="shared" si="0"/>
        <v>1</v>
      </c>
      <c r="N24" s="96">
        <f t="shared" si="1"/>
        <v>2.0865051432908035</v>
      </c>
      <c r="O24" s="432" t="str">
        <f t="shared" si="2"/>
        <v>(3,4,3,1,1,5); transport of inverter, electric installation, mounting structure and module 100km to construction site</v>
      </c>
      <c r="P24" s="435">
        <f>0.1*SUMPRODUCT(P13:P22,$AF13:$AF22)</f>
        <v>82.642527597301225</v>
      </c>
      <c r="Q24" s="95">
        <f t="shared" si="3"/>
        <v>1</v>
      </c>
      <c r="R24" s="96">
        <f t="shared" si="4"/>
        <v>2.0865051432908035</v>
      </c>
      <c r="S24" s="432" t="str">
        <f t="shared" si="5"/>
        <v>(3,4,3,1,1,5); transport of inverter, electric installation, mounting structure and module 100km to construction site</v>
      </c>
      <c r="T24" s="435">
        <f>0.1*SUMPRODUCT(T13:T22,$AF13:$AF22)</f>
        <v>83.782545595658689</v>
      </c>
      <c r="U24" s="95">
        <f t="shared" si="6"/>
        <v>1</v>
      </c>
      <c r="V24" s="96">
        <f t="shared" si="7"/>
        <v>2.0865051432908035</v>
      </c>
      <c r="W24" s="432" t="str">
        <f t="shared" si="8"/>
        <v>(3,4,3,1,1,5); transport of inverter, electric installation, mounting structure and module 100km to construction site</v>
      </c>
      <c r="X24" s="435">
        <f>0.1*SUMPRODUCT(X13:X22,$AF13:$AF22)</f>
        <v>75.156964702593243</v>
      </c>
      <c r="Y24" s="95">
        <f t="shared" si="9"/>
        <v>1</v>
      </c>
      <c r="Z24" s="96">
        <f t="shared" si="10"/>
        <v>2.0865051432908035</v>
      </c>
      <c r="AA24" s="432" t="str">
        <f t="shared" si="11"/>
        <v>(3,4,3,1,1,5); transport of inverter, electric installation, mounting structure and module 100km to construction site</v>
      </c>
      <c r="AB24" s="435">
        <f>0.1*SUMPRODUCT(AB13:AB22,$AF13:$AF22)</f>
        <v>82.642527597301225</v>
      </c>
      <c r="AC24" s="95">
        <v>1</v>
      </c>
      <c r="AD24" s="96">
        <f t="shared" si="12"/>
        <v>2.0865051432908035</v>
      </c>
      <c r="AE24" s="432" t="str">
        <f t="shared" si="13"/>
        <v>(3,4,3,1,1,5); transport of inverter, electric installation, mounting structure and module 100km to construction site</v>
      </c>
      <c r="AG24" s="77" t="s">
        <v>1865</v>
      </c>
      <c r="AH24" s="339">
        <v>3</v>
      </c>
      <c r="AI24" s="339">
        <v>4</v>
      </c>
      <c r="AJ24" s="339">
        <v>3</v>
      </c>
      <c r="AK24" s="339">
        <v>1</v>
      </c>
      <c r="AL24" s="339">
        <v>1</v>
      </c>
      <c r="AM24" s="339">
        <v>5</v>
      </c>
      <c r="AN24" s="104">
        <v>5</v>
      </c>
      <c r="AO24" s="104">
        <v>2</v>
      </c>
      <c r="AP24" s="107">
        <f>EXP(SQRT((LN(AS24)^2)+(LN(AT24)^2)+(LN(AU24)^2)+(LN(AV24)^2)+(LN(AW24)^2)+(LN(AX24)^2)))</f>
        <v>1.2788404103505406</v>
      </c>
      <c r="AQ24" s="107">
        <f>EXP(SQRT((LN(AS24)^2)+(LN(AT24)^2)+(LN(AU24)^2)+(LN(AV24)^2)+(LN(AW24)^2)+(LN(AX24)^2)+LN(AO24)^2))</f>
        <v>2.0865051432908035</v>
      </c>
      <c r="AR24" s="107" t="str">
        <f>CONCATENATE("(",AH24,",",AI24,",",AJ24,",",AK24,",",AL24,",",AM24,")")</f>
        <v>(3,4,3,1,1,5)</v>
      </c>
      <c r="AS24" s="108">
        <v>1.1000000000000001</v>
      </c>
      <c r="AT24" s="108">
        <v>1.1000000000000001</v>
      </c>
      <c r="AU24" s="108">
        <v>1.1000000000000001</v>
      </c>
      <c r="AV24" s="108">
        <v>1</v>
      </c>
      <c r="AW24" s="108">
        <v>1</v>
      </c>
      <c r="AX24" s="108">
        <v>1.2</v>
      </c>
    </row>
    <row r="25" spans="1:50">
      <c r="A25" s="330">
        <v>21844</v>
      </c>
      <c r="B25" s="331" t="s">
        <v>594</v>
      </c>
      <c r="C25" s="88"/>
      <c r="D25" s="340" t="s">
        <v>98</v>
      </c>
      <c r="E25" s="341">
        <v>4</v>
      </c>
      <c r="F25" s="432" t="s">
        <v>121</v>
      </c>
      <c r="G25" s="433" t="s">
        <v>98</v>
      </c>
      <c r="H25" s="434" t="s">
        <v>247</v>
      </c>
      <c r="I25" s="434" t="s">
        <v>258</v>
      </c>
      <c r="J25" s="94" t="s">
        <v>98</v>
      </c>
      <c r="K25" s="433" t="s">
        <v>104</v>
      </c>
      <c r="L25" s="435">
        <f>3.6*L12</f>
        <v>0.48</v>
      </c>
      <c r="M25" s="95">
        <f t="shared" si="0"/>
        <v>1</v>
      </c>
      <c r="N25" s="96">
        <f t="shared" si="1"/>
        <v>1.2849840792941758</v>
      </c>
      <c r="O25" s="432" t="str">
        <f t="shared" si="2"/>
        <v>(3,4,3,1,1,5); calculated with electricity use</v>
      </c>
      <c r="P25" s="435">
        <f>3.6*P12</f>
        <v>0.48</v>
      </c>
      <c r="Q25" s="95">
        <f t="shared" si="3"/>
        <v>1</v>
      </c>
      <c r="R25" s="96">
        <f t="shared" si="4"/>
        <v>1.2849840792941758</v>
      </c>
      <c r="S25" s="432" t="str">
        <f t="shared" si="5"/>
        <v>(3,4,3,1,1,5); calculated with electricity use</v>
      </c>
      <c r="T25" s="435">
        <f>3.6*T12</f>
        <v>12.240000000000002</v>
      </c>
      <c r="U25" s="95">
        <f t="shared" si="6"/>
        <v>1</v>
      </c>
      <c r="V25" s="96">
        <f t="shared" si="7"/>
        <v>1.2849840792941758</v>
      </c>
      <c r="W25" s="432" t="str">
        <f t="shared" si="8"/>
        <v>(3,4,3,1,1,5); calculated with electricity use</v>
      </c>
      <c r="X25" s="435">
        <f>3.6*X12</f>
        <v>2.7600000000000002</v>
      </c>
      <c r="Y25" s="95">
        <f t="shared" si="9"/>
        <v>1</v>
      </c>
      <c r="Z25" s="96">
        <f t="shared" si="10"/>
        <v>1.2849840792941758</v>
      </c>
      <c r="AA25" s="432" t="str">
        <f t="shared" si="11"/>
        <v>(3,4,3,1,1,5); calculated with electricity use</v>
      </c>
      <c r="AB25" s="435">
        <f>3.6*AB12</f>
        <v>2.7600000000000002</v>
      </c>
      <c r="AC25" s="95">
        <v>1</v>
      </c>
      <c r="AD25" s="96">
        <f t="shared" si="12"/>
        <v>1.2849840792941758</v>
      </c>
      <c r="AE25" s="432" t="str">
        <f t="shared" si="13"/>
        <v>(3,4,3,1,1,5); calculated with electricity use</v>
      </c>
      <c r="AG25" s="77" t="s">
        <v>1866</v>
      </c>
      <c r="AH25" s="339">
        <v>3</v>
      </c>
      <c r="AI25" s="339">
        <v>4</v>
      </c>
      <c r="AJ25" s="339">
        <v>3</v>
      </c>
      <c r="AK25" s="339">
        <v>1</v>
      </c>
      <c r="AL25" s="339">
        <v>1</v>
      </c>
      <c r="AM25" s="339">
        <v>5</v>
      </c>
      <c r="AN25" s="104">
        <v>13</v>
      </c>
      <c r="AO25" s="104">
        <v>1.05</v>
      </c>
      <c r="AP25" s="107">
        <f>EXP(SQRT((LN(AS25)^2)+(LN(AT25)^2)+(LN(AU25)^2)+(LN(AV25)^2)+(LN(AW25)^2)+(LN(AX25)^2)))</f>
        <v>1.2788404103505406</v>
      </c>
      <c r="AQ25" s="107">
        <f>EXP(SQRT((LN(AS25)^2)+(LN(AT25)^2)+(LN(AU25)^2)+(LN(AV25)^2)+(LN(AW25)^2)+(LN(AX25)^2)+LN(AO25)^2))</f>
        <v>1.2849840792941758</v>
      </c>
      <c r="AR25" s="107" t="str">
        <f>CONCATENATE("(",AH25,",",AI25,",",AJ25,",",AK25,",",AL25,",",AM25,")")</f>
        <v>(3,4,3,1,1,5)</v>
      </c>
      <c r="AS25" s="108">
        <v>1.1000000000000001</v>
      </c>
      <c r="AT25" s="108">
        <v>1.1000000000000001</v>
      </c>
      <c r="AU25" s="108">
        <v>1.1000000000000001</v>
      </c>
      <c r="AV25" s="108">
        <v>1</v>
      </c>
      <c r="AW25" s="108">
        <v>1</v>
      </c>
      <c r="AX25" s="108">
        <v>1.2</v>
      </c>
    </row>
    <row r="26" spans="1:50">
      <c r="F26" s="285"/>
      <c r="L26" s="200"/>
      <c r="M26" s="205"/>
      <c r="N26" s="205"/>
      <c r="O26" s="205"/>
      <c r="P26" s="200"/>
      <c r="Q26" s="205"/>
      <c r="R26" s="205"/>
      <c r="S26" s="205"/>
      <c r="T26" s="200"/>
      <c r="U26" s="205"/>
      <c r="V26" s="205"/>
      <c r="W26" s="205"/>
      <c r="X26" s="200"/>
      <c r="AB26" s="200"/>
      <c r="AC26" s="204"/>
    </row>
    <row r="27" spans="1:50">
      <c r="L27" s="382"/>
      <c r="P27" s="382"/>
      <c r="T27" s="382"/>
      <c r="X27" s="382"/>
      <c r="AB27" s="382"/>
    </row>
    <row r="28" spans="1:50">
      <c r="F28" s="378" t="s">
        <v>1243</v>
      </c>
      <c r="K28" s="378" t="s">
        <v>902</v>
      </c>
      <c r="L28" s="494">
        <v>11.11626864216</v>
      </c>
      <c r="M28" s="496"/>
      <c r="N28" s="496"/>
      <c r="O28" s="496"/>
      <c r="P28" s="494">
        <v>12.1378267171555</v>
      </c>
      <c r="Q28" s="496"/>
      <c r="R28" s="496"/>
      <c r="S28" s="496"/>
      <c r="T28" s="494">
        <v>12.1378267171555</v>
      </c>
      <c r="U28" s="496"/>
      <c r="V28" s="496"/>
      <c r="W28" s="496"/>
      <c r="X28" s="494">
        <v>11.11626864216</v>
      </c>
      <c r="Y28" s="496"/>
      <c r="Z28" s="496"/>
      <c r="AA28" s="496"/>
      <c r="AB28" s="497">
        <v>12.1378267171555</v>
      </c>
      <c r="AC28" s="496"/>
      <c r="AD28" s="496"/>
      <c r="AE28" s="496"/>
    </row>
  </sheetData>
  <mergeCells count="1">
    <mergeCell ref="AH1:AM1"/>
  </mergeCells>
  <conditionalFormatting sqref="D12:AE25 AG12:AM25">
    <cfRule type="expression" dxfId="79" priority="1">
      <formula>MOD(ROW(),2)=0</formula>
    </cfRule>
  </conditionalFormatting>
  <conditionalFormatting sqref="AN12:AX25">
    <cfRule type="expression" dxfId="78" priority="21">
      <formula>MOD(ROW(),2)=0</formula>
    </cfRule>
  </conditionalFormatting>
  <dataValidations disablePrompts="1"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4600-000001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4600-000002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46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4600-000004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4600-000005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4600-000006000000}"/>
    <dataValidation allowBlank="1" showInputMessage="1" showErrorMessage="1" prompt="Do not change." sqref="AN3:AX4 AP7:AX11" xr:uid="{00000000-0002-0000-4600-000007000000}"/>
    <dataValidation allowBlank="1" showInputMessage="1" showErrorMessage="1" promptTitle="Remarks" prompt="A general comment (data source, calculation procedure, ...) can be made about each individual exchange. The remarks are added to the GeneralComment-field." sqref="AG3" xr:uid="{00000000-0002-0000-4600-000008000000}"/>
    <dataValidation allowBlank="1" showInputMessage="1" showErrorMessage="1" promptTitle="Do not change" prompt="This field is automatically updated from the names-list" sqref="AN12:AN25" xr:uid="{00000000-0002-0000-4600-000009000000}"/>
  </dataValidations>
  <pageMargins left="0.78740157499999996" right="0.78740157499999996" top="0.984251969" bottom="0.984251969" header="0.4921259845" footer="0.4921259845"/>
  <pageSetup paperSize="9" scale="6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257B4-8FC1-4E0B-B33F-DAC45E189F74}">
  <sheetPr codeName="Sheet12">
    <tabColor rgb="FF9CD9F0"/>
    <pageSetUpPr fitToPage="1"/>
  </sheetPr>
  <dimension ref="A1:AY28"/>
  <sheetViews>
    <sheetView workbookViewId="0">
      <selection activeCell="P23" sqref="A1:XFD1048576"/>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78" customWidth="1" collapsed="1"/>
    <col min="52" max="53" width="11.42578125" style="378" customWidth="1"/>
    <col min="54" max="16384" width="11.42578125" style="378"/>
  </cols>
  <sheetData>
    <row r="1" spans="1:50">
      <c r="A1" s="77"/>
      <c r="B1" s="78"/>
      <c r="C1" s="79"/>
      <c r="D1" s="77"/>
      <c r="E1" s="77"/>
      <c r="F1" s="80" t="s">
        <v>65</v>
      </c>
      <c r="G1" s="77"/>
      <c r="H1" s="77"/>
      <c r="I1" s="77"/>
      <c r="J1" s="77"/>
      <c r="K1" s="77"/>
      <c r="L1" s="330" t="s">
        <v>1911</v>
      </c>
      <c r="M1" s="81"/>
      <c r="N1" s="81"/>
      <c r="O1" s="81"/>
      <c r="P1" s="330" t="s">
        <v>1912</v>
      </c>
      <c r="Q1" s="81"/>
      <c r="R1" s="81"/>
      <c r="S1" s="81"/>
      <c r="T1" s="330" t="s">
        <v>1913</v>
      </c>
      <c r="U1" s="81"/>
      <c r="V1" s="81"/>
      <c r="W1" s="81"/>
      <c r="X1" s="330" t="s">
        <v>1914</v>
      </c>
      <c r="Y1" s="81"/>
      <c r="Z1" s="81"/>
      <c r="AA1" s="81"/>
      <c r="AB1" s="330" t="s">
        <v>1915</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G2" s="406"/>
      <c r="AH2" s="406"/>
      <c r="AI2" s="406"/>
      <c r="AJ2" s="406"/>
      <c r="AK2" s="406"/>
      <c r="AL2" s="406"/>
      <c r="AM2" s="406"/>
      <c r="AN2" s="406"/>
    </row>
    <row r="3" spans="1:50" ht="102" customHeight="1">
      <c r="A3" s="83" t="s">
        <v>68</v>
      </c>
      <c r="B3" s="84"/>
      <c r="C3" s="79">
        <v>401</v>
      </c>
      <c r="D3" s="85" t="s">
        <v>69</v>
      </c>
      <c r="E3" s="85" t="s">
        <v>70</v>
      </c>
      <c r="F3" s="86" t="s">
        <v>71</v>
      </c>
      <c r="G3" s="85" t="s">
        <v>72</v>
      </c>
      <c r="H3" s="85" t="s">
        <v>73</v>
      </c>
      <c r="I3" s="85" t="s">
        <v>74</v>
      </c>
      <c r="J3" s="85" t="s">
        <v>75</v>
      </c>
      <c r="K3" s="85" t="s">
        <v>76</v>
      </c>
      <c r="L3" s="87" t="s">
        <v>1906</v>
      </c>
      <c r="M3" s="422" t="s">
        <v>78</v>
      </c>
      <c r="N3" s="422" t="s">
        <v>79</v>
      </c>
      <c r="O3" s="423" t="s">
        <v>80</v>
      </c>
      <c r="P3" s="87" t="s">
        <v>1907</v>
      </c>
      <c r="Q3" s="422" t="s">
        <v>78</v>
      </c>
      <c r="R3" s="422" t="s">
        <v>79</v>
      </c>
      <c r="S3" s="423" t="s">
        <v>80</v>
      </c>
      <c r="T3" s="87" t="s">
        <v>1908</v>
      </c>
      <c r="U3" s="422" t="s">
        <v>78</v>
      </c>
      <c r="V3" s="422" t="s">
        <v>79</v>
      </c>
      <c r="W3" s="423" t="s">
        <v>80</v>
      </c>
      <c r="X3" s="87" t="s">
        <v>1909</v>
      </c>
      <c r="Y3" s="422" t="s">
        <v>78</v>
      </c>
      <c r="Z3" s="422" t="s">
        <v>79</v>
      </c>
      <c r="AA3" s="423" t="s">
        <v>80</v>
      </c>
      <c r="AB3" s="87" t="s">
        <v>1910</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2" customHeight="1">
      <c r="A4" s="77"/>
      <c r="B4" s="84"/>
      <c r="C4" s="79">
        <v>662</v>
      </c>
      <c r="D4" s="86"/>
      <c r="E4" s="86"/>
      <c r="F4" s="86" t="s">
        <v>72</v>
      </c>
      <c r="G4" s="86"/>
      <c r="H4" s="86"/>
      <c r="I4" s="86"/>
      <c r="J4" s="86"/>
      <c r="K4" s="86"/>
      <c r="L4" s="87" t="s">
        <v>373</v>
      </c>
      <c r="M4" s="425">
        <v>0</v>
      </c>
      <c r="N4" s="425">
        <v>0</v>
      </c>
      <c r="O4" s="426">
        <v>0</v>
      </c>
      <c r="P4" s="87" t="s">
        <v>373</v>
      </c>
      <c r="Q4" s="425">
        <v>0</v>
      </c>
      <c r="R4" s="425">
        <v>0</v>
      </c>
      <c r="S4" s="426">
        <v>0</v>
      </c>
      <c r="T4" s="87" t="s">
        <v>373</v>
      </c>
      <c r="U4" s="425">
        <v>0</v>
      </c>
      <c r="V4" s="425">
        <v>0</v>
      </c>
      <c r="W4" s="426">
        <v>0</v>
      </c>
      <c r="X4" s="87" t="s">
        <v>373</v>
      </c>
      <c r="Y4" s="425">
        <v>0</v>
      </c>
      <c r="Z4" s="425">
        <v>0</v>
      </c>
      <c r="AA4" s="426">
        <v>0</v>
      </c>
      <c r="AB4" s="87" t="s">
        <v>373</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ht="12" customHeight="1">
      <c r="A5" s="77"/>
      <c r="B5" s="84"/>
      <c r="C5" s="79">
        <v>493</v>
      </c>
      <c r="D5" s="86"/>
      <c r="E5" s="86"/>
      <c r="F5" s="86" t="s">
        <v>75</v>
      </c>
      <c r="G5" s="86"/>
      <c r="H5" s="86"/>
      <c r="I5" s="86"/>
      <c r="J5" s="86"/>
      <c r="K5" s="86"/>
      <c r="L5" s="87">
        <v>1</v>
      </c>
      <c r="M5" s="425">
        <v>0</v>
      </c>
      <c r="N5" s="425">
        <v>0</v>
      </c>
      <c r="O5" s="426">
        <v>0</v>
      </c>
      <c r="P5" s="87">
        <v>1</v>
      </c>
      <c r="Q5" s="425">
        <v>0</v>
      </c>
      <c r="R5" s="425">
        <v>0</v>
      </c>
      <c r="S5" s="426">
        <v>0</v>
      </c>
      <c r="T5" s="87">
        <v>1</v>
      </c>
      <c r="U5" s="425">
        <v>0</v>
      </c>
      <c r="V5" s="425">
        <v>0</v>
      </c>
      <c r="W5" s="426">
        <v>0</v>
      </c>
      <c r="X5" s="87">
        <v>1</v>
      </c>
      <c r="Y5" s="425">
        <v>0</v>
      </c>
      <c r="Z5" s="425">
        <v>0</v>
      </c>
      <c r="AA5" s="426">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ht="12" customHeight="1">
      <c r="A6" s="77"/>
      <c r="B6" s="84"/>
      <c r="C6" s="79">
        <v>403</v>
      </c>
      <c r="D6" s="86"/>
      <c r="E6" s="86"/>
      <c r="F6" s="86" t="s">
        <v>76</v>
      </c>
      <c r="G6" s="86"/>
      <c r="H6" s="86"/>
      <c r="I6" s="86"/>
      <c r="J6" s="86"/>
      <c r="K6" s="86"/>
      <c r="L6" s="87" t="s">
        <v>144</v>
      </c>
      <c r="M6" s="425">
        <v>0</v>
      </c>
      <c r="N6" s="425">
        <v>0</v>
      </c>
      <c r="O6" s="426">
        <v>0</v>
      </c>
      <c r="P6" s="87" t="s">
        <v>144</v>
      </c>
      <c r="Q6" s="425">
        <v>0</v>
      </c>
      <c r="R6" s="425">
        <v>0</v>
      </c>
      <c r="S6" s="426">
        <v>0</v>
      </c>
      <c r="T6" s="87" t="s">
        <v>144</v>
      </c>
      <c r="U6" s="425">
        <v>0</v>
      </c>
      <c r="V6" s="425">
        <v>0</v>
      </c>
      <c r="W6" s="426">
        <v>0</v>
      </c>
      <c r="X6" s="87" t="s">
        <v>144</v>
      </c>
      <c r="Y6" s="425">
        <v>0</v>
      </c>
      <c r="Z6" s="425">
        <v>0</v>
      </c>
      <c r="AA6" s="426">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1911</v>
      </c>
      <c r="B7" s="331" t="s">
        <v>97</v>
      </c>
      <c r="C7" s="88"/>
      <c r="D7" s="294" t="s">
        <v>98</v>
      </c>
      <c r="E7" s="295">
        <v>0</v>
      </c>
      <c r="F7" s="429" t="s">
        <v>1906</v>
      </c>
      <c r="G7" s="430" t="s">
        <v>373</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1912</v>
      </c>
      <c r="B8" s="331"/>
      <c r="C8" s="88"/>
      <c r="D8" s="294" t="s">
        <v>98</v>
      </c>
      <c r="E8" s="295">
        <v>0</v>
      </c>
      <c r="F8" s="429" t="s">
        <v>1907</v>
      </c>
      <c r="G8" s="430" t="s">
        <v>373</v>
      </c>
      <c r="H8" s="431" t="s">
        <v>98</v>
      </c>
      <c r="I8" s="431" t="s">
        <v>98</v>
      </c>
      <c r="J8" s="89">
        <v>1</v>
      </c>
      <c r="K8" s="430" t="s">
        <v>144</v>
      </c>
      <c r="L8" s="90">
        <v>0</v>
      </c>
      <c r="M8" s="91"/>
      <c r="N8" s="92"/>
      <c r="O8" s="93"/>
      <c r="P8" s="90">
        <v>1</v>
      </c>
      <c r="Q8" s="91"/>
      <c r="R8" s="92"/>
      <c r="S8" s="93"/>
      <c r="T8" s="90">
        <v>0</v>
      </c>
      <c r="U8" s="91"/>
      <c r="V8" s="92"/>
      <c r="W8" s="93"/>
      <c r="X8" s="90">
        <v>0</v>
      </c>
      <c r="Y8" s="91"/>
      <c r="Z8" s="92"/>
      <c r="AA8" s="93"/>
      <c r="AB8" s="90">
        <v>0</v>
      </c>
      <c r="AC8" s="91"/>
      <c r="AD8" s="92"/>
      <c r="AE8" s="93"/>
      <c r="AG8" s="101"/>
      <c r="AH8" s="97"/>
      <c r="AI8" s="97"/>
      <c r="AJ8" s="97"/>
      <c r="AK8" s="97"/>
      <c r="AL8" s="97"/>
      <c r="AM8" s="97"/>
      <c r="AN8" s="104"/>
      <c r="AO8" s="104"/>
      <c r="AP8" s="104"/>
      <c r="AQ8" s="104"/>
      <c r="AR8" s="104"/>
      <c r="AS8" s="104"/>
      <c r="AT8" s="104"/>
      <c r="AU8" s="104"/>
      <c r="AV8" s="104"/>
      <c r="AW8" s="104"/>
      <c r="AX8" s="104"/>
    </row>
    <row r="9" spans="1:50" ht="24" customHeight="1">
      <c r="A9" s="330" t="s">
        <v>1913</v>
      </c>
      <c r="B9" s="331"/>
      <c r="C9" s="88"/>
      <c r="D9" s="294" t="s">
        <v>98</v>
      </c>
      <c r="E9" s="295">
        <v>0</v>
      </c>
      <c r="F9" s="429" t="s">
        <v>1908</v>
      </c>
      <c r="G9" s="430" t="s">
        <v>373</v>
      </c>
      <c r="H9" s="431" t="s">
        <v>98</v>
      </c>
      <c r="I9" s="431" t="s">
        <v>98</v>
      </c>
      <c r="J9" s="89">
        <v>1</v>
      </c>
      <c r="K9" s="430" t="s">
        <v>144</v>
      </c>
      <c r="L9" s="90">
        <v>0</v>
      </c>
      <c r="M9" s="91"/>
      <c r="N9" s="92"/>
      <c r="O9" s="93"/>
      <c r="P9" s="90">
        <v>0</v>
      </c>
      <c r="Q9" s="91"/>
      <c r="R9" s="92"/>
      <c r="S9" s="93"/>
      <c r="T9" s="90">
        <v>1</v>
      </c>
      <c r="U9" s="91"/>
      <c r="V9" s="92"/>
      <c r="W9" s="93"/>
      <c r="X9" s="90">
        <v>0</v>
      </c>
      <c r="Y9" s="91"/>
      <c r="Z9" s="92"/>
      <c r="AA9" s="93"/>
      <c r="AB9" s="90">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1914</v>
      </c>
      <c r="B10" s="331"/>
      <c r="C10" s="88"/>
      <c r="D10" s="294" t="s">
        <v>98</v>
      </c>
      <c r="E10" s="295">
        <v>0</v>
      </c>
      <c r="F10" s="429" t="s">
        <v>1909</v>
      </c>
      <c r="G10" s="430" t="s">
        <v>373</v>
      </c>
      <c r="H10" s="431" t="s">
        <v>98</v>
      </c>
      <c r="I10" s="431" t="s">
        <v>98</v>
      </c>
      <c r="J10" s="89">
        <v>1</v>
      </c>
      <c r="K10" s="430" t="s">
        <v>144</v>
      </c>
      <c r="L10" s="90">
        <v>0</v>
      </c>
      <c r="M10" s="91"/>
      <c r="N10" s="92"/>
      <c r="O10" s="93"/>
      <c r="P10" s="90">
        <v>0</v>
      </c>
      <c r="Q10" s="91"/>
      <c r="R10" s="92"/>
      <c r="S10" s="93"/>
      <c r="T10" s="90">
        <v>0</v>
      </c>
      <c r="U10" s="91"/>
      <c r="V10" s="92"/>
      <c r="W10" s="93"/>
      <c r="X10" s="90">
        <v>1</v>
      </c>
      <c r="Y10" s="91"/>
      <c r="Z10" s="92"/>
      <c r="AA10" s="93"/>
      <c r="AB10" s="90">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1915</v>
      </c>
      <c r="B11" s="331"/>
      <c r="C11" s="88"/>
      <c r="D11" s="294" t="s">
        <v>98</v>
      </c>
      <c r="E11" s="295">
        <v>0</v>
      </c>
      <c r="F11" s="429" t="s">
        <v>1910</v>
      </c>
      <c r="G11" s="430" t="s">
        <v>373</v>
      </c>
      <c r="H11" s="431" t="s">
        <v>98</v>
      </c>
      <c r="I11" s="431" t="s">
        <v>98</v>
      </c>
      <c r="J11" s="89">
        <v>1</v>
      </c>
      <c r="K11" s="430" t="s">
        <v>144</v>
      </c>
      <c r="L11" s="90">
        <v>0</v>
      </c>
      <c r="M11" s="91"/>
      <c r="N11" s="92"/>
      <c r="O11" s="93"/>
      <c r="P11" s="90">
        <v>0</v>
      </c>
      <c r="Q11" s="91"/>
      <c r="R11" s="92"/>
      <c r="S11" s="93"/>
      <c r="T11" s="90">
        <v>0</v>
      </c>
      <c r="U11" s="91"/>
      <c r="V11" s="92"/>
      <c r="W11" s="93"/>
      <c r="X11" s="90">
        <v>0</v>
      </c>
      <c r="Y11" s="91"/>
      <c r="Z11" s="92"/>
      <c r="AA11" s="93"/>
      <c r="AB11" s="90">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c r="A12" s="330">
        <v>257740</v>
      </c>
      <c r="B12" s="331" t="s">
        <v>221</v>
      </c>
      <c r="C12" s="88"/>
      <c r="D12" s="340">
        <v>5</v>
      </c>
      <c r="E12" s="341" t="s">
        <v>98</v>
      </c>
      <c r="F12" s="432" t="s">
        <v>1916</v>
      </c>
      <c r="G12" s="433" t="s">
        <v>992</v>
      </c>
      <c r="H12" s="434" t="s">
        <v>98</v>
      </c>
      <c r="I12" s="434" t="s">
        <v>98</v>
      </c>
      <c r="J12" s="94">
        <v>0</v>
      </c>
      <c r="K12" s="433" t="s">
        <v>109</v>
      </c>
      <c r="L12" s="435">
        <v>0.13333333333333333</v>
      </c>
      <c r="M12" s="95">
        <v>1</v>
      </c>
      <c r="N12" s="96">
        <v>1.2849840792941758</v>
      </c>
      <c r="O12" s="432" t="s">
        <v>3150</v>
      </c>
      <c r="P12" s="435">
        <v>0.13333333333333333</v>
      </c>
      <c r="Q12" s="95">
        <v>1</v>
      </c>
      <c r="R12" s="96">
        <v>1.2849840792941758</v>
      </c>
      <c r="S12" s="432" t="s">
        <v>3150</v>
      </c>
      <c r="T12" s="435">
        <v>3.4000000000000004</v>
      </c>
      <c r="U12" s="95">
        <v>1</v>
      </c>
      <c r="V12" s="96">
        <v>1.2849840792941758</v>
      </c>
      <c r="W12" s="432" t="s">
        <v>3150</v>
      </c>
      <c r="X12" s="435">
        <v>0.76666666666666672</v>
      </c>
      <c r="Y12" s="95">
        <v>1</v>
      </c>
      <c r="Z12" s="96">
        <v>1.2849840792941758</v>
      </c>
      <c r="AA12" s="432" t="s">
        <v>3150</v>
      </c>
      <c r="AB12" s="435">
        <v>0.76666666666666672</v>
      </c>
      <c r="AC12" s="95">
        <v>1</v>
      </c>
      <c r="AD12" s="96">
        <v>1.2849840792941758</v>
      </c>
      <c r="AE12" s="432" t="s">
        <v>3150</v>
      </c>
      <c r="AG12" s="77" t="s">
        <v>1917</v>
      </c>
      <c r="AH12" s="339">
        <v>3</v>
      </c>
      <c r="AI12" s="339">
        <v>4</v>
      </c>
      <c r="AJ12" s="339">
        <v>3</v>
      </c>
      <c r="AK12" s="339">
        <v>1</v>
      </c>
      <c r="AL12" s="339">
        <v>1</v>
      </c>
      <c r="AM12" s="339">
        <v>5</v>
      </c>
      <c r="AN12" s="104">
        <v>3</v>
      </c>
      <c r="AO12" s="104">
        <v>1.05</v>
      </c>
      <c r="AP12" s="107">
        <v>1.2788404103505406</v>
      </c>
      <c r="AQ12" s="107">
        <v>1.2849840792941758</v>
      </c>
      <c r="AR12" s="107" t="s">
        <v>3151</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v>2</v>
      </c>
      <c r="M13" s="95">
        <v>1</v>
      </c>
      <c r="N13" s="96">
        <v>1.2354522921220721</v>
      </c>
      <c r="O13" s="432" t="s">
        <v>3152</v>
      </c>
      <c r="P13" s="435">
        <v>2</v>
      </c>
      <c r="Q13" s="95">
        <v>1</v>
      </c>
      <c r="R13" s="96">
        <v>1.2354522921220721</v>
      </c>
      <c r="S13" s="432" t="s">
        <v>3152</v>
      </c>
      <c r="T13" s="435">
        <v>2</v>
      </c>
      <c r="U13" s="95">
        <v>1</v>
      </c>
      <c r="V13" s="96">
        <v>1.2354522921220721</v>
      </c>
      <c r="W13" s="432" t="s">
        <v>3152</v>
      </c>
      <c r="X13" s="435">
        <v>2</v>
      </c>
      <c r="Y13" s="95">
        <v>1</v>
      </c>
      <c r="Z13" s="96">
        <v>1.2354522921220721</v>
      </c>
      <c r="AA13" s="432" t="s">
        <v>3152</v>
      </c>
      <c r="AB13" s="435">
        <v>2</v>
      </c>
      <c r="AC13" s="95">
        <v>1</v>
      </c>
      <c r="AD13" s="96">
        <v>1.2354522921220721</v>
      </c>
      <c r="AE13" s="432" t="s">
        <v>3152</v>
      </c>
      <c r="AF13" s="494">
        <v>11.2417404608303</v>
      </c>
      <c r="AG13" s="77" t="s">
        <v>1893</v>
      </c>
      <c r="AH13" s="339">
        <v>2</v>
      </c>
      <c r="AI13" s="339">
        <v>4</v>
      </c>
      <c r="AJ13" s="339">
        <v>1</v>
      </c>
      <c r="AK13" s="339">
        <v>1</v>
      </c>
      <c r="AL13" s="339">
        <v>1</v>
      </c>
      <c r="AM13" s="339" t="s">
        <v>106</v>
      </c>
      <c r="AN13" s="104">
        <v>9</v>
      </c>
      <c r="AO13" s="104">
        <v>1.2</v>
      </c>
      <c r="AP13" s="107">
        <v>1.1130148943987077</v>
      </c>
      <c r="AQ13" s="107">
        <v>1.2354522921220721</v>
      </c>
      <c r="AR13" s="107" t="s">
        <v>3153</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v>1</v>
      </c>
      <c r="N14" s="96">
        <v>2.0865051432908035</v>
      </c>
      <c r="O14" s="432" t="s">
        <v>2026</v>
      </c>
      <c r="P14" s="435">
        <v>2.26755352255311</v>
      </c>
      <c r="Q14" s="95">
        <v>1</v>
      </c>
      <c r="R14" s="96">
        <v>2.0865051432908035</v>
      </c>
      <c r="S14" s="432" t="s">
        <v>2026</v>
      </c>
      <c r="T14" s="435">
        <v>2.26755352255311</v>
      </c>
      <c r="U14" s="95">
        <v>1</v>
      </c>
      <c r="V14" s="96">
        <v>2.0865051432908035</v>
      </c>
      <c r="W14" s="432" t="s">
        <v>2026</v>
      </c>
      <c r="X14" s="435">
        <v>2.26755352255311</v>
      </c>
      <c r="Y14" s="95">
        <v>1</v>
      </c>
      <c r="Z14" s="96">
        <v>2.0865051432908035</v>
      </c>
      <c r="AA14" s="432" t="s">
        <v>2026</v>
      </c>
      <c r="AB14" s="435">
        <v>2.26755352255311</v>
      </c>
      <c r="AC14" s="95">
        <v>1</v>
      </c>
      <c r="AD14" s="96">
        <v>2.0865051432908035</v>
      </c>
      <c r="AE14" s="432" t="s">
        <v>2026</v>
      </c>
      <c r="AF14" s="494">
        <v>32.612000000000002</v>
      </c>
      <c r="AG14" s="77" t="s">
        <v>253</v>
      </c>
      <c r="AH14" s="339">
        <v>3</v>
      </c>
      <c r="AI14" s="339">
        <v>4</v>
      </c>
      <c r="AJ14" s="339">
        <v>3</v>
      </c>
      <c r="AK14" s="339">
        <v>1</v>
      </c>
      <c r="AL14" s="339">
        <v>1</v>
      </c>
      <c r="AM14" s="339">
        <v>5</v>
      </c>
      <c r="AN14" s="104">
        <v>9</v>
      </c>
      <c r="AO14" s="104">
        <v>2</v>
      </c>
      <c r="AP14" s="107">
        <v>1.2788404103505406</v>
      </c>
      <c r="AQ14" s="107">
        <v>2.0865051432908035</v>
      </c>
      <c r="AR14" s="107" t="s">
        <v>3151</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44.2621431219874</v>
      </c>
      <c r="M15" s="95">
        <v>1</v>
      </c>
      <c r="N15" s="96">
        <v>1.2284225230179247</v>
      </c>
      <c r="O15" s="432" t="s">
        <v>3154</v>
      </c>
      <c r="P15" s="435">
        <v>0</v>
      </c>
      <c r="Q15" s="95">
        <v>1</v>
      </c>
      <c r="R15" s="96">
        <v>1.2284225230179247</v>
      </c>
      <c r="S15" s="432" t="s">
        <v>3154</v>
      </c>
      <c r="T15" s="435">
        <v>0</v>
      </c>
      <c r="U15" s="95">
        <v>1</v>
      </c>
      <c r="V15" s="96">
        <v>1.2284225230179247</v>
      </c>
      <c r="W15" s="432" t="s">
        <v>3154</v>
      </c>
      <c r="X15" s="435">
        <v>0</v>
      </c>
      <c r="Y15" s="95">
        <v>1</v>
      </c>
      <c r="Z15" s="96">
        <v>1.2284225230179247</v>
      </c>
      <c r="AA15" s="432" t="s">
        <v>3154</v>
      </c>
      <c r="AB15" s="435">
        <v>0</v>
      </c>
      <c r="AC15" s="95">
        <v>1</v>
      </c>
      <c r="AD15" s="96">
        <v>1.2284225230179247</v>
      </c>
      <c r="AE15" s="432" t="s">
        <v>3154</v>
      </c>
      <c r="AF15" s="494">
        <v>3.2716908498667499</v>
      </c>
      <c r="AG15" s="77" t="s">
        <v>1861</v>
      </c>
      <c r="AH15" s="339">
        <v>3</v>
      </c>
      <c r="AI15" s="339">
        <v>1</v>
      </c>
      <c r="AJ15" s="339">
        <v>1</v>
      </c>
      <c r="AK15" s="339">
        <v>1</v>
      </c>
      <c r="AL15" s="339">
        <v>1</v>
      </c>
      <c r="AM15" s="339" t="s">
        <v>106</v>
      </c>
      <c r="AN15" s="104">
        <v>9</v>
      </c>
      <c r="AO15" s="104">
        <v>1.2</v>
      </c>
      <c r="AP15" s="107">
        <v>1.1000000000000001</v>
      </c>
      <c r="AQ15" s="107">
        <v>1.2284225230179247</v>
      </c>
      <c r="AR15" s="107" t="s">
        <v>3155</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v>1</v>
      </c>
      <c r="N16" s="96">
        <v>1.2284225230179247</v>
      </c>
      <c r="O16" s="432" t="s">
        <v>3154</v>
      </c>
      <c r="P16" s="435">
        <v>44.2621431219874</v>
      </c>
      <c r="Q16" s="95">
        <v>1</v>
      </c>
      <c r="R16" s="96">
        <v>1.2284225230179247</v>
      </c>
      <c r="S16" s="432" t="s">
        <v>3154</v>
      </c>
      <c r="T16" s="435">
        <v>0</v>
      </c>
      <c r="U16" s="95">
        <v>1</v>
      </c>
      <c r="V16" s="96">
        <v>1.2284225230179247</v>
      </c>
      <c r="W16" s="432" t="s">
        <v>3154</v>
      </c>
      <c r="X16" s="435">
        <v>0</v>
      </c>
      <c r="Y16" s="95">
        <v>1</v>
      </c>
      <c r="Z16" s="96">
        <v>1.2284225230179247</v>
      </c>
      <c r="AA16" s="432" t="s">
        <v>3154</v>
      </c>
      <c r="AB16" s="435">
        <v>0</v>
      </c>
      <c r="AC16" s="95">
        <v>1</v>
      </c>
      <c r="AD16" s="96">
        <v>1.2284225230179247</v>
      </c>
      <c r="AE16" s="432" t="s">
        <v>3154</v>
      </c>
      <c r="AF16" s="494">
        <v>4.4770909637727101</v>
      </c>
      <c r="AG16" s="77" t="s">
        <v>1861</v>
      </c>
      <c r="AH16" s="339">
        <v>3</v>
      </c>
      <c r="AI16" s="339">
        <v>1</v>
      </c>
      <c r="AJ16" s="339">
        <v>1</v>
      </c>
      <c r="AK16" s="339">
        <v>1</v>
      </c>
      <c r="AL16" s="339">
        <v>1</v>
      </c>
      <c r="AM16" s="339" t="s">
        <v>106</v>
      </c>
      <c r="AN16" s="104">
        <v>9</v>
      </c>
      <c r="AO16" s="104">
        <v>1.2</v>
      </c>
      <c r="AP16" s="107">
        <v>1.1000000000000001</v>
      </c>
      <c r="AQ16" s="107">
        <v>1.2284225230179247</v>
      </c>
      <c r="AR16" s="107" t="s">
        <v>3155</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v>1</v>
      </c>
      <c r="N17" s="96">
        <v>1.2284225230179247</v>
      </c>
      <c r="O17" s="432" t="s">
        <v>3154</v>
      </c>
      <c r="P17" s="435">
        <v>0</v>
      </c>
      <c r="Q17" s="95">
        <v>1</v>
      </c>
      <c r="R17" s="96">
        <v>1.2284225230179247</v>
      </c>
      <c r="S17" s="432" t="s">
        <v>3154</v>
      </c>
      <c r="T17" s="435">
        <v>44.2621431219874</v>
      </c>
      <c r="U17" s="95">
        <v>1</v>
      </c>
      <c r="V17" s="96">
        <v>1.2284225230179247</v>
      </c>
      <c r="W17" s="432" t="s">
        <v>3154</v>
      </c>
      <c r="X17" s="435">
        <v>0</v>
      </c>
      <c r="Y17" s="95">
        <v>1</v>
      </c>
      <c r="Z17" s="96">
        <v>1.2284225230179247</v>
      </c>
      <c r="AA17" s="432" t="s">
        <v>3154</v>
      </c>
      <c r="AB17" s="435">
        <v>0</v>
      </c>
      <c r="AC17" s="95">
        <v>1</v>
      </c>
      <c r="AD17" s="96">
        <v>1.2284225230179247</v>
      </c>
      <c r="AE17" s="432" t="s">
        <v>3154</v>
      </c>
      <c r="AF17" s="494">
        <v>4.7346514698728202</v>
      </c>
      <c r="AG17" s="77" t="s">
        <v>1861</v>
      </c>
      <c r="AH17" s="339">
        <v>3</v>
      </c>
      <c r="AI17" s="339">
        <v>1</v>
      </c>
      <c r="AJ17" s="339">
        <v>1</v>
      </c>
      <c r="AK17" s="339">
        <v>1</v>
      </c>
      <c r="AL17" s="339">
        <v>1</v>
      </c>
      <c r="AM17" s="339" t="s">
        <v>106</v>
      </c>
      <c r="AN17" s="104">
        <v>9</v>
      </c>
      <c r="AO17" s="104">
        <v>1.2</v>
      </c>
      <c r="AP17" s="107">
        <v>1.1000000000000001</v>
      </c>
      <c r="AQ17" s="107">
        <v>1.2284225230179247</v>
      </c>
      <c r="AR17" s="107" t="s">
        <v>3155</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v>1</v>
      </c>
      <c r="N18" s="96">
        <v>1.2284225230179247</v>
      </c>
      <c r="O18" s="432" t="s">
        <v>3154</v>
      </c>
      <c r="P18" s="435">
        <v>0</v>
      </c>
      <c r="Q18" s="95">
        <v>1</v>
      </c>
      <c r="R18" s="96">
        <v>1.2284225230179247</v>
      </c>
      <c r="S18" s="432" t="s">
        <v>3154</v>
      </c>
      <c r="T18" s="435">
        <v>0</v>
      </c>
      <c r="U18" s="95">
        <v>1</v>
      </c>
      <c r="V18" s="96">
        <v>1.2284225230179247</v>
      </c>
      <c r="W18" s="432" t="s">
        <v>3154</v>
      </c>
      <c r="X18" s="435">
        <v>44.2621431219874</v>
      </c>
      <c r="Y18" s="95">
        <v>1</v>
      </c>
      <c r="Z18" s="96">
        <v>1.2284225230179247</v>
      </c>
      <c r="AA18" s="432" t="s">
        <v>3154</v>
      </c>
      <c r="AB18" s="435">
        <v>0</v>
      </c>
      <c r="AC18" s="95">
        <v>1</v>
      </c>
      <c r="AD18" s="96">
        <v>1.2284225230179247</v>
      </c>
      <c r="AE18" s="432" t="s">
        <v>3154</v>
      </c>
      <c r="AF18" s="494">
        <v>3.8594927779981698</v>
      </c>
      <c r="AG18" s="77" t="s">
        <v>1861</v>
      </c>
      <c r="AH18" s="339">
        <v>3</v>
      </c>
      <c r="AI18" s="339">
        <v>1</v>
      </c>
      <c r="AJ18" s="339">
        <v>1</v>
      </c>
      <c r="AK18" s="339">
        <v>1</v>
      </c>
      <c r="AL18" s="339">
        <v>1</v>
      </c>
      <c r="AM18" s="339" t="s">
        <v>106</v>
      </c>
      <c r="AN18" s="104">
        <v>9</v>
      </c>
      <c r="AO18" s="104">
        <v>1.2</v>
      </c>
      <c r="AP18" s="107">
        <v>1.1000000000000001</v>
      </c>
      <c r="AQ18" s="107">
        <v>1.2284225230179247</v>
      </c>
      <c r="AR18" s="107" t="s">
        <v>3155</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v>1</v>
      </c>
      <c r="N19" s="96">
        <v>1.2284225230179247</v>
      </c>
      <c r="O19" s="432" t="s">
        <v>3154</v>
      </c>
      <c r="P19" s="435">
        <v>0</v>
      </c>
      <c r="Q19" s="95">
        <v>1</v>
      </c>
      <c r="R19" s="96">
        <v>1.2284225230179247</v>
      </c>
      <c r="S19" s="432" t="s">
        <v>3154</v>
      </c>
      <c r="T19" s="435">
        <v>0</v>
      </c>
      <c r="U19" s="95">
        <v>1</v>
      </c>
      <c r="V19" s="96">
        <v>1.2284225230179247</v>
      </c>
      <c r="W19" s="432" t="s">
        <v>3154</v>
      </c>
      <c r="X19" s="435">
        <v>0</v>
      </c>
      <c r="Y19" s="95">
        <v>1</v>
      </c>
      <c r="Z19" s="96">
        <v>1.2284225230179247</v>
      </c>
      <c r="AA19" s="432" t="s">
        <v>3154</v>
      </c>
      <c r="AB19" s="435">
        <v>44.2621431219874</v>
      </c>
      <c r="AC19" s="95">
        <v>1</v>
      </c>
      <c r="AD19" s="96">
        <v>1.2284225230179247</v>
      </c>
      <c r="AE19" s="432" t="s">
        <v>3154</v>
      </c>
      <c r="AF19" s="494">
        <v>4.4770909637727101</v>
      </c>
      <c r="AG19" s="77" t="s">
        <v>1861</v>
      </c>
      <c r="AH19" s="339">
        <v>3</v>
      </c>
      <c r="AI19" s="339">
        <v>1</v>
      </c>
      <c r="AJ19" s="339">
        <v>1</v>
      </c>
      <c r="AK19" s="339">
        <v>1</v>
      </c>
      <c r="AL19" s="339">
        <v>1</v>
      </c>
      <c r="AM19" s="339" t="s">
        <v>106</v>
      </c>
      <c r="AN19" s="104">
        <v>9</v>
      </c>
      <c r="AO19" s="104">
        <v>1.2</v>
      </c>
      <c r="AP19" s="107">
        <v>1.1000000000000001</v>
      </c>
      <c r="AQ19" s="107">
        <v>1.2284225230179247</v>
      </c>
      <c r="AR19" s="107" t="s">
        <v>3155</v>
      </c>
      <c r="AS19" s="108">
        <v>1.1000000000000001</v>
      </c>
      <c r="AT19" s="108">
        <v>1</v>
      </c>
      <c r="AU19" s="108">
        <v>1</v>
      </c>
      <c r="AV19" s="108">
        <v>1</v>
      </c>
      <c r="AW19" s="108">
        <v>1</v>
      </c>
      <c r="AX19" s="108">
        <v>1</v>
      </c>
    </row>
    <row r="20" spans="1:50" ht="24" customHeight="1">
      <c r="A20" s="330">
        <v>264689</v>
      </c>
      <c r="B20" s="331"/>
      <c r="C20" s="88"/>
      <c r="D20" s="340">
        <v>5</v>
      </c>
      <c r="E20" s="341" t="s">
        <v>98</v>
      </c>
      <c r="F20" s="432" t="s">
        <v>1347</v>
      </c>
      <c r="G20" s="433" t="s">
        <v>373</v>
      </c>
      <c r="H20" s="434" t="s">
        <v>98</v>
      </c>
      <c r="I20" s="434" t="s">
        <v>98</v>
      </c>
      <c r="J20" s="94">
        <v>1</v>
      </c>
      <c r="K20" s="433" t="s">
        <v>679</v>
      </c>
      <c r="L20" s="435">
        <v>45.590007415647001</v>
      </c>
      <c r="M20" s="95">
        <v>1</v>
      </c>
      <c r="N20" s="96">
        <v>1.3582005896413567</v>
      </c>
      <c r="O20" s="432" t="s">
        <v>3156</v>
      </c>
      <c r="P20" s="435">
        <v>0</v>
      </c>
      <c r="Q20" s="95">
        <v>1</v>
      </c>
      <c r="R20" s="96">
        <v>1.3582005896413567</v>
      </c>
      <c r="S20" s="432" t="s">
        <v>3156</v>
      </c>
      <c r="T20" s="435">
        <v>0</v>
      </c>
      <c r="U20" s="95">
        <v>1</v>
      </c>
      <c r="V20" s="96">
        <v>1.3582005896413567</v>
      </c>
      <c r="W20" s="432" t="s">
        <v>3156</v>
      </c>
      <c r="X20" s="435">
        <v>45.590007415647001</v>
      </c>
      <c r="Y20" s="95">
        <v>1</v>
      </c>
      <c r="Z20" s="96">
        <v>1.3582005896413567</v>
      </c>
      <c r="AA20" s="432" t="s">
        <v>3156</v>
      </c>
      <c r="AB20" s="435">
        <v>0</v>
      </c>
      <c r="AC20" s="95">
        <v>1</v>
      </c>
      <c r="AD20" s="96">
        <v>1.3582005896413567</v>
      </c>
      <c r="AE20" s="432" t="s">
        <v>3156</v>
      </c>
      <c r="AF20" s="545">
        <v>11.11626864216</v>
      </c>
      <c r="AG20" s="77" t="s">
        <v>1862</v>
      </c>
      <c r="AH20" s="339">
        <v>3</v>
      </c>
      <c r="AI20" s="339">
        <v>4</v>
      </c>
      <c r="AJ20" s="339">
        <v>3</v>
      </c>
      <c r="AK20" s="339">
        <v>1</v>
      </c>
      <c r="AL20" s="339">
        <v>1</v>
      </c>
      <c r="AM20" s="339">
        <v>5</v>
      </c>
      <c r="AN20" s="104">
        <v>9</v>
      </c>
      <c r="AO20" s="104">
        <v>1.2</v>
      </c>
      <c r="AP20" s="107">
        <v>1.2788404103505406</v>
      </c>
      <c r="AQ20" s="107">
        <v>1.3582005896413567</v>
      </c>
      <c r="AR20" s="107" t="s">
        <v>3151</v>
      </c>
      <c r="AS20" s="108">
        <v>1.1000000000000001</v>
      </c>
      <c r="AT20" s="108">
        <v>1.1000000000000001</v>
      </c>
      <c r="AU20" s="108">
        <v>1.1000000000000001</v>
      </c>
      <c r="AV20" s="108">
        <v>1</v>
      </c>
      <c r="AW20" s="108">
        <v>1</v>
      </c>
      <c r="AX20" s="108">
        <v>1.2</v>
      </c>
    </row>
    <row r="21" spans="1:50" ht="24" customHeight="1">
      <c r="A21" s="330" t="s">
        <v>1350</v>
      </c>
      <c r="B21" s="331"/>
      <c r="C21" s="88"/>
      <c r="D21" s="340">
        <v>5</v>
      </c>
      <c r="E21" s="341" t="s">
        <v>98</v>
      </c>
      <c r="F21" s="432" t="s">
        <v>1348</v>
      </c>
      <c r="G21" s="433" t="s">
        <v>373</v>
      </c>
      <c r="H21" s="434" t="s">
        <v>98</v>
      </c>
      <c r="I21" s="434" t="s">
        <v>98</v>
      </c>
      <c r="J21" s="94">
        <v>1</v>
      </c>
      <c r="K21" s="433" t="s">
        <v>679</v>
      </c>
      <c r="L21" s="435">
        <v>0</v>
      </c>
      <c r="M21" s="95">
        <v>1</v>
      </c>
      <c r="N21" s="96">
        <v>1.3582005896413567</v>
      </c>
      <c r="O21" s="432" t="s">
        <v>3156</v>
      </c>
      <c r="P21" s="435">
        <v>16.8683027437894</v>
      </c>
      <c r="Q21" s="95">
        <v>1</v>
      </c>
      <c r="R21" s="96">
        <v>1.3582005896413567</v>
      </c>
      <c r="S21" s="432" t="s">
        <v>3156</v>
      </c>
      <c r="T21" s="435">
        <v>16.8683027437894</v>
      </c>
      <c r="U21" s="95">
        <v>1</v>
      </c>
      <c r="V21" s="96">
        <v>1.3582005896413567</v>
      </c>
      <c r="W21" s="432" t="s">
        <v>3156</v>
      </c>
      <c r="X21" s="435">
        <v>0</v>
      </c>
      <c r="Y21" s="95">
        <v>1</v>
      </c>
      <c r="Z21" s="96">
        <v>1.3582005896413567</v>
      </c>
      <c r="AA21" s="432" t="s">
        <v>3156</v>
      </c>
      <c r="AB21" s="435">
        <v>16.8683027437894</v>
      </c>
      <c r="AC21" s="95">
        <v>1</v>
      </c>
      <c r="AD21" s="96">
        <v>1.3582005896413567</v>
      </c>
      <c r="AE21" s="432" t="s">
        <v>3156</v>
      </c>
      <c r="AF21" s="494">
        <v>11.466093870225601</v>
      </c>
      <c r="AG21" s="77" t="s">
        <v>1862</v>
      </c>
      <c r="AH21" s="339">
        <v>3</v>
      </c>
      <c r="AI21" s="339">
        <v>4</v>
      </c>
      <c r="AJ21" s="339">
        <v>3</v>
      </c>
      <c r="AK21" s="339">
        <v>1</v>
      </c>
      <c r="AL21" s="339">
        <v>1</v>
      </c>
      <c r="AM21" s="339">
        <v>5</v>
      </c>
      <c r="AN21" s="104">
        <v>9</v>
      </c>
      <c r="AO21" s="104">
        <v>1.2</v>
      </c>
      <c r="AP21" s="107">
        <v>1.2788404103505406</v>
      </c>
      <c r="AQ21" s="107">
        <v>1.3582005896413567</v>
      </c>
      <c r="AR21" s="107" t="s">
        <v>3151</v>
      </c>
      <c r="AS21" s="108">
        <v>1.1000000000000001</v>
      </c>
      <c r="AT21" s="108">
        <v>1.1000000000000001</v>
      </c>
      <c r="AU21" s="108">
        <v>1.1000000000000001</v>
      </c>
      <c r="AV21" s="108">
        <v>1</v>
      </c>
      <c r="AW21" s="108">
        <v>1</v>
      </c>
      <c r="AX21" s="108">
        <v>1.2</v>
      </c>
    </row>
    <row r="22" spans="1:50" ht="24" customHeight="1">
      <c r="A22" s="330" t="s">
        <v>1351</v>
      </c>
      <c r="B22" s="331"/>
      <c r="C22" s="88"/>
      <c r="D22" s="340">
        <v>5</v>
      </c>
      <c r="E22" s="341" t="s">
        <v>98</v>
      </c>
      <c r="F22" s="432" t="s">
        <v>1349</v>
      </c>
      <c r="G22" s="433" t="s">
        <v>373</v>
      </c>
      <c r="H22" s="434" t="s">
        <v>98</v>
      </c>
      <c r="I22" s="434" t="s">
        <v>98</v>
      </c>
      <c r="J22" s="94">
        <v>1</v>
      </c>
      <c r="K22" s="433" t="s">
        <v>679</v>
      </c>
      <c r="L22" s="435">
        <v>0</v>
      </c>
      <c r="M22" s="95">
        <v>1</v>
      </c>
      <c r="N22" s="96">
        <v>1.3582005896413567</v>
      </c>
      <c r="O22" s="432" t="s">
        <v>3156</v>
      </c>
      <c r="P22" s="435">
        <v>28.721704671857601</v>
      </c>
      <c r="Q22" s="95">
        <v>1</v>
      </c>
      <c r="R22" s="96">
        <v>1.3582005896413567</v>
      </c>
      <c r="S22" s="432" t="s">
        <v>3156</v>
      </c>
      <c r="T22" s="435">
        <v>28.721704671857601</v>
      </c>
      <c r="U22" s="95">
        <v>1</v>
      </c>
      <c r="V22" s="96">
        <v>1.3582005896413567</v>
      </c>
      <c r="W22" s="432" t="s">
        <v>3156</v>
      </c>
      <c r="X22" s="435">
        <v>0</v>
      </c>
      <c r="Y22" s="95">
        <v>1</v>
      </c>
      <c r="Z22" s="96">
        <v>1.3582005896413567</v>
      </c>
      <c r="AA22" s="432" t="s">
        <v>3156</v>
      </c>
      <c r="AB22" s="435">
        <v>28.721704671857601</v>
      </c>
      <c r="AC22" s="95">
        <v>1</v>
      </c>
      <c r="AD22" s="96">
        <v>1.3582005896413567</v>
      </c>
      <c r="AE22" s="432" t="s">
        <v>3156</v>
      </c>
      <c r="AF22" s="494">
        <v>12.5652930742927</v>
      </c>
      <c r="AG22" s="77" t="s">
        <v>1862</v>
      </c>
      <c r="AH22" s="339">
        <v>3</v>
      </c>
      <c r="AI22" s="339">
        <v>4</v>
      </c>
      <c r="AJ22" s="339">
        <v>3</v>
      </c>
      <c r="AK22" s="339">
        <v>1</v>
      </c>
      <c r="AL22" s="339">
        <v>1</v>
      </c>
      <c r="AM22" s="339">
        <v>5</v>
      </c>
      <c r="AN22" s="104">
        <v>9</v>
      </c>
      <c r="AO22" s="104">
        <v>1.2</v>
      </c>
      <c r="AP22" s="107">
        <v>1.2788404103505406</v>
      </c>
      <c r="AQ22" s="107">
        <v>1.3582005896413567</v>
      </c>
      <c r="AR22" s="107" t="s">
        <v>3151</v>
      </c>
      <c r="AS22" s="108">
        <v>1.1000000000000001</v>
      </c>
      <c r="AT22" s="108">
        <v>1.1000000000000001</v>
      </c>
      <c r="AU22" s="108">
        <v>1.1000000000000001</v>
      </c>
      <c r="AV22" s="108">
        <v>1</v>
      </c>
      <c r="AW22" s="108">
        <v>1</v>
      </c>
      <c r="AX22" s="108">
        <v>1.2</v>
      </c>
    </row>
    <row r="23" spans="1:50">
      <c r="A23" s="330">
        <v>259361</v>
      </c>
      <c r="B23" s="331"/>
      <c r="C23" s="88"/>
      <c r="D23" s="340">
        <v>5</v>
      </c>
      <c r="E23" s="341" t="s">
        <v>98</v>
      </c>
      <c r="F23" s="432" t="s">
        <v>1578</v>
      </c>
      <c r="G23" s="433" t="s">
        <v>93</v>
      </c>
      <c r="H23" s="434" t="s">
        <v>98</v>
      </c>
      <c r="I23" s="434" t="s">
        <v>98</v>
      </c>
      <c r="J23" s="94">
        <v>0</v>
      </c>
      <c r="K23" s="433" t="s">
        <v>96</v>
      </c>
      <c r="L23" s="435">
        <v>506.79076983039863</v>
      </c>
      <c r="M23" s="95">
        <v>1</v>
      </c>
      <c r="N23" s="96">
        <v>1.2849840792941758</v>
      </c>
      <c r="O23" s="432" t="s">
        <v>3157</v>
      </c>
      <c r="P23" s="435">
        <v>554.31017948684598</v>
      </c>
      <c r="Q23" s="95">
        <v>1</v>
      </c>
      <c r="R23" s="96">
        <v>1.2849840792941758</v>
      </c>
      <c r="S23" s="432" t="s">
        <v>3157</v>
      </c>
      <c r="T23" s="435">
        <v>554.31017948684598</v>
      </c>
      <c r="U23" s="95">
        <v>1</v>
      </c>
      <c r="V23" s="96">
        <v>1.2849840792941758</v>
      </c>
      <c r="W23" s="432" t="s">
        <v>3157</v>
      </c>
      <c r="X23" s="435">
        <v>506.79076983039863</v>
      </c>
      <c r="Y23" s="95">
        <v>1</v>
      </c>
      <c r="Z23" s="96">
        <v>1.2849840792941758</v>
      </c>
      <c r="AA23" s="432" t="s">
        <v>3157</v>
      </c>
      <c r="AB23" s="435">
        <v>554.31017948684598</v>
      </c>
      <c r="AC23" s="95">
        <v>1</v>
      </c>
      <c r="AD23" s="96">
        <v>1.2849840792941758</v>
      </c>
      <c r="AE23" s="432" t="s">
        <v>3157</v>
      </c>
      <c r="AG23" s="77" t="s">
        <v>1863</v>
      </c>
      <c r="AH23" s="339">
        <v>3</v>
      </c>
      <c r="AI23" s="339">
        <v>4</v>
      </c>
      <c r="AJ23" s="339">
        <v>3</v>
      </c>
      <c r="AK23" s="339">
        <v>1</v>
      </c>
      <c r="AL23" s="339">
        <v>1</v>
      </c>
      <c r="AM23" s="339">
        <v>5</v>
      </c>
      <c r="AN23" s="104">
        <v>6</v>
      </c>
      <c r="AO23" s="104">
        <v>1.05</v>
      </c>
      <c r="AP23" s="107">
        <v>1.2788404103505406</v>
      </c>
      <c r="AQ23" s="107">
        <v>1.2849840792941758</v>
      </c>
      <c r="AR23" s="107" t="s">
        <v>3151</v>
      </c>
      <c r="AS23" s="108">
        <v>1.1000000000000001</v>
      </c>
      <c r="AT23" s="108">
        <v>1.1000000000000001</v>
      </c>
      <c r="AU23" s="108">
        <v>1.1000000000000001</v>
      </c>
      <c r="AV23" s="108">
        <v>1</v>
      </c>
      <c r="AW23" s="108">
        <v>1</v>
      </c>
      <c r="AX23" s="108">
        <v>1.2</v>
      </c>
    </row>
    <row r="24" spans="1:50" ht="24" customHeight="1">
      <c r="A24" s="330">
        <v>266207</v>
      </c>
      <c r="B24" s="331"/>
      <c r="C24" s="88"/>
      <c r="D24" s="340">
        <v>5</v>
      </c>
      <c r="E24" s="341" t="s">
        <v>98</v>
      </c>
      <c r="F24" s="432" t="s">
        <v>1864</v>
      </c>
      <c r="G24" s="433" t="s">
        <v>93</v>
      </c>
      <c r="H24" s="434" t="s">
        <v>98</v>
      </c>
      <c r="I24" s="434" t="s">
        <v>98</v>
      </c>
      <c r="J24" s="94">
        <v>0</v>
      </c>
      <c r="K24" s="433" t="s">
        <v>115</v>
      </c>
      <c r="L24" s="435">
        <v>74.803575487725993</v>
      </c>
      <c r="M24" s="95">
        <v>1</v>
      </c>
      <c r="N24" s="96">
        <v>2.0865051432908035</v>
      </c>
      <c r="O24" s="432" t="s">
        <v>3158</v>
      </c>
      <c r="P24" s="435">
        <v>84.890875689467293</v>
      </c>
      <c r="Q24" s="95">
        <v>1</v>
      </c>
      <c r="R24" s="96">
        <v>2.0865051432908035</v>
      </c>
      <c r="S24" s="432" t="s">
        <v>3158</v>
      </c>
      <c r="T24" s="435">
        <v>86.030893687824744</v>
      </c>
      <c r="U24" s="95">
        <v>1</v>
      </c>
      <c r="V24" s="96">
        <v>2.0865051432908035</v>
      </c>
      <c r="W24" s="432" t="s">
        <v>3158</v>
      </c>
      <c r="X24" s="435">
        <v>77.405312794759311</v>
      </c>
      <c r="Y24" s="95">
        <v>1</v>
      </c>
      <c r="Z24" s="96">
        <v>2.0865051432908035</v>
      </c>
      <c r="AA24" s="432" t="s">
        <v>3158</v>
      </c>
      <c r="AB24" s="435">
        <v>84.890875689467293</v>
      </c>
      <c r="AC24" s="95">
        <v>1</v>
      </c>
      <c r="AD24" s="96">
        <v>2.0865051432908035</v>
      </c>
      <c r="AE24" s="432" t="s">
        <v>3158</v>
      </c>
      <c r="AG24" s="77" t="s">
        <v>1865</v>
      </c>
      <c r="AH24" s="339">
        <v>3</v>
      </c>
      <c r="AI24" s="339">
        <v>4</v>
      </c>
      <c r="AJ24" s="339">
        <v>3</v>
      </c>
      <c r="AK24" s="339">
        <v>1</v>
      </c>
      <c r="AL24" s="339">
        <v>1</v>
      </c>
      <c r="AM24" s="339">
        <v>5</v>
      </c>
      <c r="AN24" s="104">
        <v>5</v>
      </c>
      <c r="AO24" s="104">
        <v>2</v>
      </c>
      <c r="AP24" s="107">
        <v>1.2788404103505406</v>
      </c>
      <c r="AQ24" s="107">
        <v>2.0865051432908035</v>
      </c>
      <c r="AR24" s="107" t="s">
        <v>3151</v>
      </c>
      <c r="AS24" s="108">
        <v>1.1000000000000001</v>
      </c>
      <c r="AT24" s="108">
        <v>1.1000000000000001</v>
      </c>
      <c r="AU24" s="108">
        <v>1.1000000000000001</v>
      </c>
      <c r="AV24" s="108">
        <v>1</v>
      </c>
      <c r="AW24" s="108">
        <v>1</v>
      </c>
      <c r="AX24" s="108">
        <v>1.2</v>
      </c>
    </row>
    <row r="25" spans="1:50">
      <c r="A25" s="330">
        <v>21844</v>
      </c>
      <c r="B25" s="331" t="s">
        <v>594</v>
      </c>
      <c r="C25" s="88"/>
      <c r="D25" s="340" t="s">
        <v>98</v>
      </c>
      <c r="E25" s="341">
        <v>4</v>
      </c>
      <c r="F25" s="432" t="s">
        <v>121</v>
      </c>
      <c r="G25" s="433" t="s">
        <v>98</v>
      </c>
      <c r="H25" s="434" t="s">
        <v>247</v>
      </c>
      <c r="I25" s="434" t="s">
        <v>258</v>
      </c>
      <c r="J25" s="94" t="s">
        <v>98</v>
      </c>
      <c r="K25" s="433" t="s">
        <v>104</v>
      </c>
      <c r="L25" s="435">
        <v>0.48</v>
      </c>
      <c r="M25" s="95">
        <v>1</v>
      </c>
      <c r="N25" s="96">
        <v>1.2849840792941758</v>
      </c>
      <c r="O25" s="432" t="s">
        <v>3159</v>
      </c>
      <c r="P25" s="435">
        <v>0.48</v>
      </c>
      <c r="Q25" s="95">
        <v>1</v>
      </c>
      <c r="R25" s="96">
        <v>1.2849840792941758</v>
      </c>
      <c r="S25" s="432" t="s">
        <v>3159</v>
      </c>
      <c r="T25" s="435">
        <v>12.240000000000002</v>
      </c>
      <c r="U25" s="95">
        <v>1</v>
      </c>
      <c r="V25" s="96">
        <v>1.2849840792941758</v>
      </c>
      <c r="W25" s="432" t="s">
        <v>3159</v>
      </c>
      <c r="X25" s="435">
        <v>2.7600000000000002</v>
      </c>
      <c r="Y25" s="95">
        <v>1</v>
      </c>
      <c r="Z25" s="96">
        <v>1.2849840792941758</v>
      </c>
      <c r="AA25" s="432" t="s">
        <v>3159</v>
      </c>
      <c r="AB25" s="435">
        <v>2.7600000000000002</v>
      </c>
      <c r="AC25" s="95">
        <v>1</v>
      </c>
      <c r="AD25" s="96">
        <v>1.2849840792941758</v>
      </c>
      <c r="AE25" s="432" t="s">
        <v>3159</v>
      </c>
      <c r="AG25" s="77" t="s">
        <v>1866</v>
      </c>
      <c r="AH25" s="339">
        <v>3</v>
      </c>
      <c r="AI25" s="339">
        <v>4</v>
      </c>
      <c r="AJ25" s="339">
        <v>3</v>
      </c>
      <c r="AK25" s="339">
        <v>1</v>
      </c>
      <c r="AL25" s="339">
        <v>1</v>
      </c>
      <c r="AM25" s="339">
        <v>5</v>
      </c>
      <c r="AN25" s="104">
        <v>13</v>
      </c>
      <c r="AO25" s="104">
        <v>1.05</v>
      </c>
      <c r="AP25" s="107">
        <v>1.2788404103505406</v>
      </c>
      <c r="AQ25" s="107">
        <v>1.2849840792941758</v>
      </c>
      <c r="AR25" s="107" t="s">
        <v>3151</v>
      </c>
      <c r="AS25" s="108">
        <v>1.1000000000000001</v>
      </c>
      <c r="AT25" s="108">
        <v>1.1000000000000001</v>
      </c>
      <c r="AU25" s="108">
        <v>1.1000000000000001</v>
      </c>
      <c r="AV25" s="108">
        <v>1</v>
      </c>
      <c r="AW25" s="108">
        <v>1</v>
      </c>
      <c r="AX25" s="108">
        <v>1.2</v>
      </c>
    </row>
    <row r="26" spans="1:50">
      <c r="L26" s="487"/>
      <c r="P26" s="487"/>
      <c r="T26" s="487"/>
      <c r="X26" s="487"/>
      <c r="AB26" s="199"/>
      <c r="AC26" s="407"/>
      <c r="AK26" s="378"/>
      <c r="AL26" s="378"/>
      <c r="AM26" s="378"/>
      <c r="AN26" s="378"/>
    </row>
    <row r="27" spans="1:50">
      <c r="AB27" s="199"/>
      <c r="AC27" s="407"/>
    </row>
    <row r="28" spans="1:50">
      <c r="F28" s="378" t="s">
        <v>1243</v>
      </c>
      <c r="K28" s="378" t="s">
        <v>902</v>
      </c>
      <c r="L28" s="494">
        <v>11.11626864216</v>
      </c>
      <c r="M28" s="496"/>
      <c r="N28" s="496"/>
      <c r="O28" s="496"/>
      <c r="P28" s="494">
        <v>12.1378267171555</v>
      </c>
      <c r="Q28" s="496"/>
      <c r="R28" s="496"/>
      <c r="S28" s="496"/>
      <c r="T28" s="494">
        <v>12.1378267171555</v>
      </c>
      <c r="U28" s="496"/>
      <c r="V28" s="496"/>
      <c r="W28" s="496"/>
      <c r="X28" s="494">
        <v>11.11626864216</v>
      </c>
      <c r="Y28" s="496"/>
      <c r="Z28" s="496"/>
      <c r="AA28" s="496"/>
      <c r="AB28" s="497">
        <v>12.1378267171555</v>
      </c>
      <c r="AC28" s="407"/>
    </row>
  </sheetData>
  <mergeCells count="1">
    <mergeCell ref="AH1:AM1"/>
  </mergeCells>
  <conditionalFormatting sqref="D12:AE25">
    <cfRule type="expression" dxfId="77" priority="1">
      <formula>MOD(ROW(),2)=0</formula>
    </cfRule>
  </conditionalFormatting>
  <conditionalFormatting sqref="AG12:AM25">
    <cfRule type="expression" dxfId="76" priority="22">
      <formula>MOD(ROW(),2)=0</formula>
    </cfRule>
  </conditionalFormatting>
  <conditionalFormatting sqref="AN12:AX25">
    <cfRule type="expression" dxfId="75" priority="21">
      <formula>MOD(ROW(),2)=0</formula>
    </cfRule>
  </conditionalFormatting>
  <dataValidations count="9">
    <dataValidation allowBlank="1" showInputMessage="1" showErrorMessage="1" promptTitle="Do not change" prompt="This field is automatically updated from the names-list" sqref="AN12:AN25" xr:uid="{9B3F29A9-0DE5-45E5-B8F5-8759EC87D4D9}"/>
    <dataValidation allowBlank="1" showInputMessage="1" showErrorMessage="1" promptTitle="Remarks" prompt="A general comment (data source, calculation procedure, ...) can be made about each individual exchange. The remarks are added to the GeneralComment-field." sqref="AG3" xr:uid="{07639C6F-560F-4AD5-B12D-3412521B03EB}"/>
    <dataValidation allowBlank="1" showInputMessage="1" showErrorMessage="1" prompt="Do not change." sqref="AN3:AX4 AP7:AX11" xr:uid="{4BBCB9D0-CC83-437C-BE1F-D86AAF0438C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8697C233-3E64-4BA6-B2E7-15EA5E4F7CC8}"/>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83F24104-105E-4BE4-A72A-903FD54F3B6A}"/>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C2F0153E-54F4-4BA9-8380-154C5DE6BB5B}"/>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74B87EFD-360F-41F7-AD96-98A35BBABF9D}"/>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6C68C6A8-35B0-4C13-9A66-9562FD9A50BD}"/>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CC01D355-0CE0-4B44-B0B0-6F9C83882AC1}"/>
  </dataValidations>
  <pageMargins left="0.78740157499999996" right="0.78740157499999996" top="0.984251969" bottom="0.984251969" header="0.4921259845" footer="0.4921259845"/>
  <pageSetup paperSize="9" scale="6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rgb="FF9CD9F0"/>
    <pageSetUpPr fitToPage="1"/>
  </sheetPr>
  <dimension ref="A1:BM45"/>
  <sheetViews>
    <sheetView showGridLines="0" topLeftCell="A15" workbookViewId="0">
      <selection activeCell="A47" sqref="A47"/>
    </sheetView>
  </sheetViews>
  <sheetFormatPr baseColWidth="10" defaultColWidth="11.42578125" defaultRowHeight="12" outlineLevelRow="1" outlineLevelCol="1"/>
  <cols>
    <col min="1" max="1" width="14.28515625" style="299" customWidth="1"/>
    <col min="2" max="2" width="12.140625" style="15" customWidth="1"/>
    <col min="3" max="3" width="3.7109375" style="16" hidden="1" customWidth="1" outlineLevel="1"/>
    <col min="4" max="4" width="5.5703125" style="299" hidden="1" customWidth="1" outlineLevel="1"/>
    <col min="5" max="5" width="6.140625" style="299" hidden="1" customWidth="1" outlineLevel="1"/>
    <col min="6" max="6" width="36.42578125" style="1" customWidth="1" collapsed="1"/>
    <col min="7" max="7" width="6" style="299" customWidth="1"/>
    <col min="8" max="8" width="8.28515625" style="299" hidden="1" customWidth="1" outlineLevel="1"/>
    <col min="9" max="9" width="10.28515625" style="299" hidden="1" customWidth="1" outlineLevel="1"/>
    <col min="10" max="10" width="3.140625" style="299" customWidth="1" collapsed="1"/>
    <col min="11" max="11" width="5.140625" style="299" customWidth="1"/>
    <col min="12" max="12" width="10.7109375" style="299" customWidth="1"/>
    <col min="13" max="13" width="3.28515625" style="308" hidden="1" customWidth="1" outlineLevel="1"/>
    <col min="14" max="14" width="6.140625" style="308" hidden="1" customWidth="1" outlineLevel="1"/>
    <col min="15" max="15" width="37.28515625" style="12" hidden="1" customWidth="1" outlineLevel="1"/>
    <col min="16" max="16" width="11.28515625" style="299" customWidth="1" collapsed="1"/>
    <col min="17" max="17" width="2.42578125" style="308" hidden="1" customWidth="1" outlineLevel="1"/>
    <col min="18" max="18" width="5.28515625" style="308" hidden="1" customWidth="1" outlineLevel="1"/>
    <col min="19" max="19" width="37.28515625" style="12" hidden="1" customWidth="1" outlineLevel="1"/>
    <col min="20" max="20" width="12.5703125" style="299" customWidth="1" collapsed="1"/>
    <col min="21" max="21" width="2.42578125" style="308" hidden="1" customWidth="1" outlineLevel="1"/>
    <col min="22" max="22" width="5.28515625" style="308" hidden="1" customWidth="1" outlineLevel="1"/>
    <col min="23" max="23" width="37.28515625" style="12" hidden="1" customWidth="1" outlineLevel="1"/>
    <col min="24" max="24" width="10.42578125" style="299" customWidth="1" collapsed="1"/>
    <col min="25" max="25" width="2.42578125" style="308" hidden="1" customWidth="1" outlineLevel="1"/>
    <col min="26" max="26" width="5.28515625" style="308" hidden="1" customWidth="1" outlineLevel="1"/>
    <col min="27" max="27" width="37.28515625" style="12" hidden="1" customWidth="1" outlineLevel="1"/>
    <col min="28" max="28" width="13.85546875" style="299" customWidth="1" collapsed="1"/>
    <col min="29" max="29" width="2.42578125" style="308" hidden="1" customWidth="1" outlineLevel="1"/>
    <col min="30" max="30" width="5.28515625" style="308" hidden="1" customWidth="1" outlineLevel="1"/>
    <col min="31" max="31" width="37.28515625" style="12" hidden="1" customWidth="1" outlineLevel="1"/>
    <col min="32" max="32" width="13.5703125" style="299" customWidth="1" collapsed="1"/>
    <col min="33" max="33" width="2.42578125" style="308" hidden="1" customWidth="1" outlineLevel="1"/>
    <col min="34" max="34" width="5.28515625" style="308" hidden="1" customWidth="1" outlineLevel="1"/>
    <col min="35" max="35" width="37.28515625" style="12" hidden="1" customWidth="1" outlineLevel="1"/>
    <col min="36" max="36" width="13.5703125" style="299" customWidth="1" collapsed="1"/>
    <col min="37" max="37" width="2.42578125" style="308" hidden="1" customWidth="1" outlineLevel="1"/>
    <col min="38" max="38" width="5.28515625" style="308" hidden="1" customWidth="1" outlineLevel="1"/>
    <col min="39" max="39" width="40.140625" style="12" hidden="1" customWidth="1" outlineLevel="1"/>
    <col min="40" max="40" width="6.140625" style="308" hidden="1" customWidth="1" outlineLevel="1" collapsed="1"/>
    <col min="41" max="41" width="6.140625" style="308" hidden="1" customWidth="1" outlineLevel="1"/>
    <col min="42" max="42" width="48.140625" style="308" hidden="1" customWidth="1" outlineLevel="1"/>
    <col min="43" max="43" width="8.85546875" style="299" customWidth="1" collapsed="1"/>
    <col min="44" max="44" width="8.85546875" style="299" customWidth="1"/>
    <col min="45" max="45" width="23.140625" style="8" customWidth="1"/>
    <col min="46" max="46" width="8.28515625" style="3" bestFit="1" customWidth="1"/>
    <col min="47" max="47" width="23.140625" style="8" customWidth="1"/>
    <col min="48" max="48" width="6.28515625" style="5" bestFit="1" customWidth="1"/>
    <col min="49" max="49" width="6.28515625" style="3" bestFit="1" customWidth="1"/>
    <col min="50" max="50" width="5.85546875" style="3" bestFit="1" customWidth="1"/>
    <col min="51" max="51" width="4.7109375" style="3" bestFit="1" customWidth="1"/>
    <col min="52" max="52" width="5.28515625" style="3" bestFit="1" customWidth="1"/>
    <col min="53" max="53" width="5.85546875" style="3" bestFit="1" customWidth="1"/>
    <col min="54" max="55" width="6.85546875" style="3" bestFit="1" customWidth="1"/>
    <col min="56" max="56" width="8.28515625" style="3" bestFit="1" customWidth="1"/>
    <col min="57" max="57" width="9.140625" style="3" bestFit="1" customWidth="1"/>
    <col min="58" max="58" width="12.140625" style="3" customWidth="1"/>
    <col min="59" max="59" width="11.42578125" style="299" customWidth="1"/>
    <col min="60" max="62" width="5.42578125" style="299" customWidth="1"/>
    <col min="63" max="63" width="5.85546875" style="299" customWidth="1"/>
    <col min="64" max="64" width="5.42578125" style="299" customWidth="1"/>
    <col min="65" max="65" width="5.28515625" style="299" customWidth="1"/>
    <col min="66" max="67" width="11.42578125" style="299" customWidth="1"/>
    <col min="68" max="16384" width="11.42578125" style="299"/>
  </cols>
  <sheetData>
    <row r="1" spans="1:65">
      <c r="A1" s="922"/>
      <c r="B1" s="923"/>
      <c r="C1" s="924"/>
      <c r="D1" s="922"/>
      <c r="E1" s="922"/>
      <c r="F1" s="927" t="s">
        <v>65</v>
      </c>
      <c r="G1" s="922"/>
      <c r="H1" s="922"/>
      <c r="I1" s="922"/>
      <c r="J1" s="922"/>
      <c r="K1" s="922"/>
      <c r="L1" s="886">
        <v>267904</v>
      </c>
      <c r="M1" s="907"/>
      <c r="N1" s="907"/>
      <c r="O1" s="907"/>
      <c r="P1" s="886">
        <v>269261</v>
      </c>
      <c r="Q1" s="907"/>
      <c r="R1" s="907"/>
      <c r="S1" s="907"/>
      <c r="T1" s="886">
        <f>A9</f>
        <v>267746</v>
      </c>
      <c r="U1" s="907"/>
      <c r="V1" s="907"/>
      <c r="W1" s="907"/>
      <c r="X1" s="886">
        <f>A10</f>
        <v>267237</v>
      </c>
      <c r="Y1" s="907"/>
      <c r="Z1" s="907"/>
      <c r="AA1" s="907"/>
      <c r="AB1" s="886">
        <f>A11</f>
        <v>267239</v>
      </c>
      <c r="AC1" s="907"/>
      <c r="AD1" s="907"/>
      <c r="AE1" s="907"/>
      <c r="AF1" s="886">
        <f>A12</f>
        <v>267153</v>
      </c>
      <c r="AG1" s="907"/>
      <c r="AH1" s="907"/>
      <c r="AI1" s="907"/>
      <c r="AJ1" s="886">
        <f>A13</f>
        <v>268443</v>
      </c>
      <c r="AK1" s="907"/>
      <c r="AL1" s="907"/>
      <c r="AM1" s="907"/>
      <c r="AN1" s="907"/>
      <c r="AO1" s="907"/>
      <c r="AP1" s="907"/>
      <c r="AQ1" s="212"/>
      <c r="AR1" s="212"/>
      <c r="AS1" s="189"/>
      <c r="AT1" s="849"/>
      <c r="AU1" s="189"/>
      <c r="AV1" s="940"/>
      <c r="AW1" s="969"/>
      <c r="AX1" s="969"/>
      <c r="AY1" s="969"/>
      <c r="AZ1" s="969"/>
      <c r="BA1" s="969"/>
      <c r="BB1" s="849"/>
      <c r="BC1" s="849"/>
      <c r="BD1" s="849"/>
      <c r="BE1" s="849"/>
      <c r="BF1" s="849"/>
      <c r="BG1" s="399"/>
      <c r="BH1" s="850"/>
      <c r="BI1" s="850"/>
      <c r="BJ1" s="850"/>
      <c r="BK1" s="850"/>
      <c r="BL1" s="850"/>
      <c r="BM1" s="850"/>
    </row>
    <row r="2" spans="1:65" ht="12.75" customHeight="1">
      <c r="A2" s="922"/>
      <c r="B2" s="925"/>
      <c r="C2" s="924" t="s">
        <v>67</v>
      </c>
      <c r="D2" s="253">
        <v>3503</v>
      </c>
      <c r="E2" s="253">
        <v>3504</v>
      </c>
      <c r="F2" s="253">
        <v>3702</v>
      </c>
      <c r="G2" s="253">
        <v>3703</v>
      </c>
      <c r="H2" s="253">
        <v>3506</v>
      </c>
      <c r="I2" s="253">
        <v>3507</v>
      </c>
      <c r="J2" s="253">
        <v>3508</v>
      </c>
      <c r="K2" s="253">
        <v>3706</v>
      </c>
      <c r="L2" s="253">
        <v>3707</v>
      </c>
      <c r="M2" s="876">
        <v>3708</v>
      </c>
      <c r="N2" s="876">
        <v>3709</v>
      </c>
      <c r="O2" s="877">
        <v>3792</v>
      </c>
      <c r="P2" s="253">
        <v>3707</v>
      </c>
      <c r="Q2" s="876">
        <f>M2</f>
        <v>3708</v>
      </c>
      <c r="R2" s="876">
        <f>N2</f>
        <v>3709</v>
      </c>
      <c r="S2" s="877">
        <f>O2</f>
        <v>3792</v>
      </c>
      <c r="T2" s="253">
        <v>3707</v>
      </c>
      <c r="U2" s="876">
        <f>Q2</f>
        <v>3708</v>
      </c>
      <c r="V2" s="876">
        <f>R2</f>
        <v>3709</v>
      </c>
      <c r="W2" s="877">
        <f>S2</f>
        <v>3792</v>
      </c>
      <c r="X2" s="253">
        <v>3707</v>
      </c>
      <c r="Y2" s="876">
        <f>U2</f>
        <v>3708</v>
      </c>
      <c r="Z2" s="876">
        <f>V2</f>
        <v>3709</v>
      </c>
      <c r="AA2" s="877">
        <f>W2</f>
        <v>3792</v>
      </c>
      <c r="AB2" s="253">
        <v>3707</v>
      </c>
      <c r="AC2" s="876">
        <f>Y2</f>
        <v>3708</v>
      </c>
      <c r="AD2" s="876">
        <f>Z2</f>
        <v>3709</v>
      </c>
      <c r="AE2" s="877">
        <f>AA2</f>
        <v>3792</v>
      </c>
      <c r="AF2" s="253">
        <v>3707</v>
      </c>
      <c r="AG2" s="876">
        <f t="shared" ref="AG2:AI6" si="0">AC2</f>
        <v>3708</v>
      </c>
      <c r="AH2" s="876">
        <f t="shared" si="0"/>
        <v>3709</v>
      </c>
      <c r="AI2" s="877">
        <f t="shared" si="0"/>
        <v>3792</v>
      </c>
      <c r="AJ2" s="253">
        <v>3707</v>
      </c>
      <c r="AK2" s="876">
        <f t="shared" ref="AK2:AM6" si="1">AG2</f>
        <v>3708</v>
      </c>
      <c r="AL2" s="876">
        <f t="shared" si="1"/>
        <v>3709</v>
      </c>
      <c r="AM2" s="877">
        <f t="shared" si="1"/>
        <v>3792</v>
      </c>
      <c r="AN2" s="876">
        <v>3708</v>
      </c>
      <c r="AO2" s="876">
        <v>3709</v>
      </c>
      <c r="AP2" s="877">
        <v>3792</v>
      </c>
      <c r="AQ2" s="399" t="s">
        <v>204</v>
      </c>
      <c r="AR2" s="253"/>
      <c r="AS2" s="212" t="s">
        <v>205</v>
      </c>
      <c r="AT2" s="829" t="s">
        <v>90</v>
      </c>
      <c r="AU2" s="212" t="s">
        <v>81</v>
      </c>
      <c r="AV2" s="825" t="s">
        <v>82</v>
      </c>
      <c r="AW2" s="825" t="s">
        <v>83</v>
      </c>
      <c r="AX2" s="825" t="s">
        <v>84</v>
      </c>
      <c r="AY2" s="825" t="s">
        <v>85</v>
      </c>
      <c r="AZ2" s="825" t="s">
        <v>86</v>
      </c>
      <c r="BA2" s="825" t="s">
        <v>87</v>
      </c>
      <c r="BB2" s="829" t="s">
        <v>88</v>
      </c>
      <c r="BC2" s="829" t="s">
        <v>89</v>
      </c>
      <c r="BD2" s="829" t="s">
        <v>90</v>
      </c>
      <c r="BE2" s="829" t="s">
        <v>91</v>
      </c>
      <c r="BF2" s="829" t="s">
        <v>92</v>
      </c>
      <c r="BG2" s="399"/>
      <c r="BH2" s="944" t="s">
        <v>82</v>
      </c>
      <c r="BI2" s="944" t="s">
        <v>83</v>
      </c>
      <c r="BJ2" s="944" t="s">
        <v>84</v>
      </c>
      <c r="BK2" s="944" t="s">
        <v>85</v>
      </c>
      <c r="BL2" s="944" t="s">
        <v>86</v>
      </c>
      <c r="BM2" s="944" t="s">
        <v>87</v>
      </c>
    </row>
    <row r="3" spans="1:65" ht="94.5">
      <c r="A3" s="922" t="s">
        <v>68</v>
      </c>
      <c r="B3" s="1053"/>
      <c r="C3" s="1054">
        <v>401</v>
      </c>
      <c r="D3" s="1055" t="s">
        <v>69</v>
      </c>
      <c r="E3" s="1055" t="s">
        <v>70</v>
      </c>
      <c r="F3" s="1056" t="s">
        <v>71</v>
      </c>
      <c r="G3" s="1057" t="s">
        <v>72</v>
      </c>
      <c r="H3" s="1057" t="s">
        <v>73</v>
      </c>
      <c r="I3" s="1057" t="s">
        <v>74</v>
      </c>
      <c r="J3" s="1057" t="s">
        <v>75</v>
      </c>
      <c r="K3" s="1057" t="s">
        <v>76</v>
      </c>
      <c r="L3" s="1063" t="s">
        <v>206</v>
      </c>
      <c r="M3" s="908" t="s">
        <v>78</v>
      </c>
      <c r="N3" s="908" t="s">
        <v>79</v>
      </c>
      <c r="O3" s="909" t="s">
        <v>80</v>
      </c>
      <c r="P3" s="1063" t="s">
        <v>207</v>
      </c>
      <c r="Q3" s="908" t="s">
        <v>78</v>
      </c>
      <c r="R3" s="908" t="s">
        <v>79</v>
      </c>
      <c r="S3" s="909" t="s">
        <v>80</v>
      </c>
      <c r="T3" s="1063" t="s">
        <v>208</v>
      </c>
      <c r="U3" s="908" t="s">
        <v>78</v>
      </c>
      <c r="V3" s="908" t="s">
        <v>79</v>
      </c>
      <c r="W3" s="909" t="s">
        <v>80</v>
      </c>
      <c r="X3" s="1063" t="s">
        <v>209</v>
      </c>
      <c r="Y3" s="908" t="s">
        <v>78</v>
      </c>
      <c r="Z3" s="908" t="s">
        <v>79</v>
      </c>
      <c r="AA3" s="909" t="s">
        <v>80</v>
      </c>
      <c r="AB3" s="1063" t="s">
        <v>210</v>
      </c>
      <c r="AC3" s="908" t="s">
        <v>78</v>
      </c>
      <c r="AD3" s="908" t="s">
        <v>79</v>
      </c>
      <c r="AE3" s="909" t="s">
        <v>80</v>
      </c>
      <c r="AF3" s="1063" t="s">
        <v>211</v>
      </c>
      <c r="AG3" s="908" t="str">
        <f t="shared" si="0"/>
        <v>UncertaintyType</v>
      </c>
      <c r="AH3" s="908" t="str">
        <f t="shared" si="0"/>
        <v>StandardDeviation95%</v>
      </c>
      <c r="AI3" s="909" t="str">
        <f t="shared" si="0"/>
        <v>GeneralComment</v>
      </c>
      <c r="AJ3" s="1063" t="s">
        <v>212</v>
      </c>
      <c r="AK3" s="908" t="str">
        <f t="shared" si="1"/>
        <v>UncertaintyType</v>
      </c>
      <c r="AL3" s="908" t="str">
        <f t="shared" si="1"/>
        <v>StandardDeviation95%</v>
      </c>
      <c r="AM3" s="909" t="str">
        <f t="shared" si="1"/>
        <v>GeneralComment</v>
      </c>
      <c r="AN3" s="1057" t="s">
        <v>78</v>
      </c>
      <c r="AO3" s="1057" t="s">
        <v>79</v>
      </c>
      <c r="AP3" s="1059" t="s">
        <v>80</v>
      </c>
      <c r="AQ3" s="1058" t="s">
        <v>213</v>
      </c>
      <c r="AR3" s="1058" t="s">
        <v>214</v>
      </c>
      <c r="AS3" s="189" t="s">
        <v>214</v>
      </c>
      <c r="AT3" s="829" t="s">
        <v>95</v>
      </c>
      <c r="AU3" s="189"/>
      <c r="AV3" s="939"/>
      <c r="AW3" s="825"/>
      <c r="AX3" s="825"/>
      <c r="AY3" s="825"/>
      <c r="AZ3" s="825"/>
      <c r="BA3" s="825"/>
      <c r="BB3" s="829"/>
      <c r="BC3" s="829"/>
      <c r="BD3" s="829" t="s">
        <v>95</v>
      </c>
      <c r="BE3" s="829" t="s">
        <v>95</v>
      </c>
      <c r="BF3" s="849"/>
      <c r="BG3" s="399"/>
      <c r="BH3" s="850"/>
      <c r="BI3" s="850"/>
      <c r="BJ3" s="850"/>
      <c r="BK3" s="850"/>
      <c r="BL3" s="850"/>
      <c r="BM3" s="850"/>
    </row>
    <row r="4" spans="1:65" ht="12.75" customHeight="1">
      <c r="A4" s="922"/>
      <c r="B4" s="1053"/>
      <c r="C4" s="1054">
        <v>662</v>
      </c>
      <c r="D4" s="1060"/>
      <c r="E4" s="1060"/>
      <c r="F4" s="1056" t="s">
        <v>72</v>
      </c>
      <c r="G4" s="1056"/>
      <c r="H4" s="1056"/>
      <c r="I4" s="1056"/>
      <c r="J4" s="1056"/>
      <c r="K4" s="1056"/>
      <c r="L4" s="1063" t="s">
        <v>154</v>
      </c>
      <c r="M4" s="910">
        <f t="shared" ref="M4:O6" si="2">AN4</f>
        <v>0</v>
      </c>
      <c r="N4" s="910">
        <f t="shared" si="2"/>
        <v>0</v>
      </c>
      <c r="O4" s="935">
        <f t="shared" si="2"/>
        <v>0</v>
      </c>
      <c r="P4" s="1063" t="s">
        <v>154</v>
      </c>
      <c r="Q4" s="910" t="str">
        <f t="shared" ref="Q4:S6" si="3">AR4</f>
        <v>US</v>
      </c>
      <c r="R4" s="910">
        <f t="shared" si="3"/>
        <v>0</v>
      </c>
      <c r="S4" s="935">
        <f t="shared" si="3"/>
        <v>0</v>
      </c>
      <c r="T4" s="1063" t="s">
        <v>215</v>
      </c>
      <c r="U4" s="910" t="str">
        <f t="shared" ref="U4:W6" si="4">AV4</f>
        <v>nA: not applicable: CV=1</v>
      </c>
      <c r="V4" s="910">
        <f t="shared" si="4"/>
        <v>0</v>
      </c>
      <c r="W4" s="935">
        <f t="shared" si="4"/>
        <v>0</v>
      </c>
      <c r="X4" s="1063" t="s">
        <v>215</v>
      </c>
      <c r="Y4" s="910">
        <f t="shared" ref="Y4:AA6" si="5">AZ4</f>
        <v>0</v>
      </c>
      <c r="Z4" s="910">
        <f t="shared" si="5"/>
        <v>0</v>
      </c>
      <c r="AA4" s="935">
        <f t="shared" si="5"/>
        <v>0</v>
      </c>
      <c r="AB4" s="1063" t="s">
        <v>215</v>
      </c>
      <c r="AC4" s="910">
        <f t="shared" ref="AC4:AE6" si="6">BD4</f>
        <v>0</v>
      </c>
      <c r="AD4" s="910">
        <f t="shared" si="6"/>
        <v>0</v>
      </c>
      <c r="AE4" s="935">
        <f t="shared" si="6"/>
        <v>0</v>
      </c>
      <c r="AF4" s="1063" t="s">
        <v>215</v>
      </c>
      <c r="AG4" s="910">
        <f t="shared" si="0"/>
        <v>0</v>
      </c>
      <c r="AH4" s="910">
        <f t="shared" si="0"/>
        <v>0</v>
      </c>
      <c r="AI4" s="935">
        <f t="shared" si="0"/>
        <v>0</v>
      </c>
      <c r="AJ4" s="1063" t="s">
        <v>215</v>
      </c>
      <c r="AK4" s="910">
        <f t="shared" si="1"/>
        <v>0</v>
      </c>
      <c r="AL4" s="910">
        <f t="shared" si="1"/>
        <v>0</v>
      </c>
      <c r="AM4" s="935">
        <f t="shared" si="1"/>
        <v>0</v>
      </c>
      <c r="AN4" s="1061"/>
      <c r="AO4" s="1061"/>
      <c r="AP4" s="1062"/>
      <c r="AQ4" s="1058" t="s">
        <v>215</v>
      </c>
      <c r="AR4" s="1058" t="s">
        <v>215</v>
      </c>
      <c r="AS4" s="189"/>
      <c r="AT4" s="851"/>
      <c r="AU4" s="189"/>
      <c r="AV4" s="940" t="s">
        <v>94</v>
      </c>
      <c r="AW4" s="848"/>
      <c r="AX4" s="848"/>
      <c r="AY4" s="848"/>
      <c r="AZ4" s="848"/>
      <c r="BA4" s="848"/>
      <c r="BB4" s="849"/>
      <c r="BC4" s="849"/>
      <c r="BD4" s="851"/>
      <c r="BE4" s="851"/>
      <c r="BF4" s="851"/>
      <c r="BG4" s="399"/>
      <c r="BH4" s="850"/>
      <c r="BI4" s="850"/>
      <c r="BJ4" s="850"/>
      <c r="BK4" s="850"/>
      <c r="BL4" s="850"/>
      <c r="BM4" s="850"/>
    </row>
    <row r="5" spans="1:65">
      <c r="A5" s="922"/>
      <c r="B5" s="1053"/>
      <c r="C5" s="1054">
        <v>493</v>
      </c>
      <c r="D5" s="1060"/>
      <c r="E5" s="1060"/>
      <c r="F5" s="1056" t="s">
        <v>75</v>
      </c>
      <c r="G5" s="1056"/>
      <c r="H5" s="1056"/>
      <c r="I5" s="1056"/>
      <c r="J5" s="1056"/>
      <c r="K5" s="1056"/>
      <c r="L5" s="1063">
        <v>0</v>
      </c>
      <c r="M5" s="910">
        <f t="shared" si="2"/>
        <v>0</v>
      </c>
      <c r="N5" s="910">
        <f t="shared" si="2"/>
        <v>0</v>
      </c>
      <c r="O5" s="935">
        <f t="shared" si="2"/>
        <v>0</v>
      </c>
      <c r="P5" s="1063">
        <v>0</v>
      </c>
      <c r="Q5" s="910">
        <f t="shared" si="3"/>
        <v>0</v>
      </c>
      <c r="R5" s="910">
        <f t="shared" si="3"/>
        <v>0</v>
      </c>
      <c r="S5" s="935">
        <f t="shared" si="3"/>
        <v>0</v>
      </c>
      <c r="T5" s="1063">
        <v>0</v>
      </c>
      <c r="U5" s="910">
        <f t="shared" si="4"/>
        <v>0</v>
      </c>
      <c r="V5" s="910">
        <f t="shared" si="4"/>
        <v>0</v>
      </c>
      <c r="W5" s="935">
        <f t="shared" si="4"/>
        <v>0</v>
      </c>
      <c r="X5" s="1063">
        <v>0</v>
      </c>
      <c r="Y5" s="910">
        <f t="shared" si="5"/>
        <v>0</v>
      </c>
      <c r="Z5" s="910">
        <f t="shared" si="5"/>
        <v>0</v>
      </c>
      <c r="AA5" s="935">
        <f t="shared" si="5"/>
        <v>0</v>
      </c>
      <c r="AB5" s="1063">
        <v>0</v>
      </c>
      <c r="AC5" s="910">
        <f t="shared" si="6"/>
        <v>0</v>
      </c>
      <c r="AD5" s="910">
        <f t="shared" si="6"/>
        <v>0</v>
      </c>
      <c r="AE5" s="935">
        <f t="shared" si="6"/>
        <v>0</v>
      </c>
      <c r="AF5" s="1063">
        <v>0</v>
      </c>
      <c r="AG5" s="910">
        <f t="shared" si="0"/>
        <v>0</v>
      </c>
      <c r="AH5" s="910">
        <f t="shared" si="0"/>
        <v>0</v>
      </c>
      <c r="AI5" s="935">
        <f t="shared" si="0"/>
        <v>0</v>
      </c>
      <c r="AJ5" s="1063">
        <v>0</v>
      </c>
      <c r="AK5" s="910">
        <f t="shared" si="1"/>
        <v>0</v>
      </c>
      <c r="AL5" s="910">
        <f t="shared" si="1"/>
        <v>0</v>
      </c>
      <c r="AM5" s="935">
        <f t="shared" si="1"/>
        <v>0</v>
      </c>
      <c r="AN5" s="1061"/>
      <c r="AO5" s="1061"/>
      <c r="AP5" s="1062"/>
      <c r="AQ5" s="1058"/>
      <c r="AR5" s="1058"/>
      <c r="AS5" s="189"/>
      <c r="AT5" s="849"/>
      <c r="AU5" s="189"/>
      <c r="AV5" s="941"/>
      <c r="AW5" s="848"/>
      <c r="AX5" s="848"/>
      <c r="AY5" s="848"/>
      <c r="AZ5" s="848"/>
      <c r="BA5" s="848"/>
      <c r="BB5" s="849"/>
      <c r="BC5" s="849"/>
      <c r="BD5" s="849"/>
      <c r="BE5" s="849"/>
      <c r="BF5" s="849"/>
      <c r="BG5" s="399"/>
      <c r="BH5" s="850"/>
      <c r="BI5" s="850"/>
      <c r="BJ5" s="850"/>
      <c r="BK5" s="850"/>
      <c r="BL5" s="850"/>
      <c r="BM5" s="850"/>
    </row>
    <row r="6" spans="1:65" ht="12.75" customHeight="1">
      <c r="A6" s="922"/>
      <c r="B6" s="1053"/>
      <c r="C6" s="1054">
        <v>403</v>
      </c>
      <c r="D6" s="1060"/>
      <c r="E6" s="1060"/>
      <c r="F6" s="1056" t="s">
        <v>76</v>
      </c>
      <c r="G6" s="1056"/>
      <c r="H6" s="1056"/>
      <c r="I6" s="1056"/>
      <c r="J6" s="1056"/>
      <c r="K6" s="1056"/>
      <c r="L6" s="1063" t="s">
        <v>96</v>
      </c>
      <c r="M6" s="910">
        <f t="shared" si="2"/>
        <v>0</v>
      </c>
      <c r="N6" s="910">
        <f t="shared" si="2"/>
        <v>0</v>
      </c>
      <c r="O6" s="935">
        <f t="shared" si="2"/>
        <v>0</v>
      </c>
      <c r="P6" s="1063" t="s">
        <v>96</v>
      </c>
      <c r="Q6" s="910">
        <f t="shared" si="3"/>
        <v>0</v>
      </c>
      <c r="R6" s="910">
        <f t="shared" si="3"/>
        <v>0</v>
      </c>
      <c r="S6" s="935">
        <f t="shared" si="3"/>
        <v>0</v>
      </c>
      <c r="T6" s="1063" t="s">
        <v>96</v>
      </c>
      <c r="U6" s="910">
        <f t="shared" si="4"/>
        <v>0</v>
      </c>
      <c r="V6" s="910">
        <f t="shared" si="4"/>
        <v>0</v>
      </c>
      <c r="W6" s="935">
        <f t="shared" si="4"/>
        <v>0</v>
      </c>
      <c r="X6" s="1063" t="s">
        <v>96</v>
      </c>
      <c r="Y6" s="910">
        <f t="shared" si="5"/>
        <v>0</v>
      </c>
      <c r="Z6" s="910">
        <f t="shared" si="5"/>
        <v>0</v>
      </c>
      <c r="AA6" s="935">
        <f t="shared" si="5"/>
        <v>0</v>
      </c>
      <c r="AB6" s="1063" t="s">
        <v>96</v>
      </c>
      <c r="AC6" s="910">
        <f t="shared" si="6"/>
        <v>0</v>
      </c>
      <c r="AD6" s="910">
        <f t="shared" si="6"/>
        <v>0</v>
      </c>
      <c r="AE6" s="935">
        <f t="shared" si="6"/>
        <v>0</v>
      </c>
      <c r="AF6" s="1063" t="s">
        <v>96</v>
      </c>
      <c r="AG6" s="910">
        <f t="shared" si="0"/>
        <v>0</v>
      </c>
      <c r="AH6" s="910">
        <f t="shared" si="0"/>
        <v>0</v>
      </c>
      <c r="AI6" s="935">
        <f t="shared" si="0"/>
        <v>0</v>
      </c>
      <c r="AJ6" s="1063" t="s">
        <v>96</v>
      </c>
      <c r="AK6" s="910">
        <f t="shared" si="1"/>
        <v>0</v>
      </c>
      <c r="AL6" s="910">
        <f t="shared" si="1"/>
        <v>0</v>
      </c>
      <c r="AM6" s="935">
        <f t="shared" si="1"/>
        <v>0</v>
      </c>
      <c r="AN6" s="1061"/>
      <c r="AO6" s="1061"/>
      <c r="AP6" s="1062"/>
      <c r="AQ6" s="1058"/>
      <c r="AR6" s="1058"/>
      <c r="AS6" s="189"/>
      <c r="AT6" s="946"/>
      <c r="AU6" s="189"/>
      <c r="AV6" s="942"/>
      <c r="AW6" s="942"/>
      <c r="AX6" s="942"/>
      <c r="AY6" s="942"/>
      <c r="AZ6" s="942"/>
      <c r="BA6" s="942"/>
      <c r="BB6" s="849"/>
      <c r="BC6" s="849"/>
      <c r="BD6" s="946"/>
      <c r="BE6" s="946"/>
      <c r="BF6" s="851"/>
      <c r="BG6" s="399"/>
      <c r="BH6" s="850"/>
      <c r="BI6" s="850"/>
      <c r="BJ6" s="850"/>
      <c r="BK6" s="850"/>
      <c r="BL6" s="850"/>
      <c r="BM6" s="850"/>
    </row>
    <row r="7" spans="1:65" hidden="1" outlineLevel="1">
      <c r="A7" s="795">
        <f>SUMPRODUCT(L$1:AP$1,L7:AP7)</f>
        <v>267904</v>
      </c>
      <c r="B7" s="1064" t="s">
        <v>97</v>
      </c>
      <c r="C7" s="1065"/>
      <c r="D7" s="1066" t="s">
        <v>98</v>
      </c>
      <c r="E7" s="1067">
        <v>0</v>
      </c>
      <c r="F7" s="952" t="s">
        <v>206</v>
      </c>
      <c r="G7" s="889" t="s">
        <v>154</v>
      </c>
      <c r="H7" s="888" t="s">
        <v>98</v>
      </c>
      <c r="I7" s="888" t="s">
        <v>98</v>
      </c>
      <c r="J7" s="890">
        <v>0</v>
      </c>
      <c r="K7" s="889" t="s">
        <v>96</v>
      </c>
      <c r="L7" s="953">
        <v>1</v>
      </c>
      <c r="M7" s="914"/>
      <c r="N7" s="954"/>
      <c r="O7" s="954"/>
      <c r="P7" s="953">
        <v>0</v>
      </c>
      <c r="Q7" s="914"/>
      <c r="R7" s="954"/>
      <c r="S7" s="954"/>
      <c r="T7" s="953">
        <v>0</v>
      </c>
      <c r="U7" s="914"/>
      <c r="V7" s="954"/>
      <c r="W7" s="954"/>
      <c r="X7" s="953">
        <v>0</v>
      </c>
      <c r="Y7" s="914"/>
      <c r="Z7" s="954"/>
      <c r="AA7" s="954"/>
      <c r="AB7" s="953">
        <v>0</v>
      </c>
      <c r="AC7" s="914"/>
      <c r="AD7" s="954"/>
      <c r="AE7" s="954"/>
      <c r="AF7" s="953">
        <v>0</v>
      </c>
      <c r="AG7" s="914"/>
      <c r="AH7" s="954"/>
      <c r="AI7" s="954"/>
      <c r="AJ7" s="953">
        <v>0</v>
      </c>
      <c r="AK7" s="914"/>
      <c r="AL7" s="954"/>
      <c r="AM7" s="954"/>
      <c r="AN7" s="914"/>
      <c r="AO7" s="954"/>
      <c r="AP7" s="1059"/>
      <c r="AQ7" s="505"/>
      <c r="AR7" s="505"/>
      <c r="AS7" s="399"/>
      <c r="AT7" s="955">
        <f t="shared" ref="AT7:AT13" si="7">EXP(SQRT((LN(AX7)^2)+(LN(AY7)^2)+(LN(AZ7)^2)+(LN(BA7)^2)+(LN(BB7)^2)+(LN(BC7)^2)))</f>
        <v>44.999999999999993</v>
      </c>
      <c r="AU7" s="399"/>
      <c r="AV7" s="970">
        <v>1</v>
      </c>
      <c r="AW7" s="971">
        <v>1</v>
      </c>
      <c r="AX7" s="971">
        <v>1</v>
      </c>
      <c r="AY7" s="971">
        <v>1</v>
      </c>
      <c r="AZ7" s="971">
        <v>1</v>
      </c>
      <c r="BA7" s="971">
        <v>1</v>
      </c>
      <c r="BB7" s="972">
        <v>45</v>
      </c>
      <c r="BC7" s="955">
        <v>1</v>
      </c>
      <c r="BD7" s="955">
        <f t="shared" ref="BD7:BD45" si="8">EXP(SQRT((LN(BH7)^2)+(LN(BI7)^2)+(LN(BJ7)^2)+(LN(BK7)^2)+(LN(BL7)^2)+(LN(BM7)^2)))</f>
        <v>1</v>
      </c>
      <c r="BE7" s="955">
        <f t="shared" ref="BE7:BE44" si="9">EXP(SQRT((LN(BH7)^2)+(LN(BI7)^2)+(LN(BJ7)^2)+(LN(BK7)^2)+(LN(BL7)^2)+(LN(BM7)^2)+LN(BC7)^2))</f>
        <v>1</v>
      </c>
      <c r="BF7" s="955" t="str">
        <f t="shared" ref="BF7:BF45" si="10">CONCATENATE("(",AV7,",",AW7,",",AX7,",",AY7,",",AZ7,",",BA7,")")</f>
        <v>(1,1,1,1,1,1)</v>
      </c>
      <c r="BG7" s="399"/>
      <c r="BH7" s="957">
        <v>1</v>
      </c>
      <c r="BI7" s="957">
        <v>1</v>
      </c>
      <c r="BJ7" s="957">
        <v>1</v>
      </c>
      <c r="BK7" s="957">
        <v>1</v>
      </c>
      <c r="BL7" s="957">
        <v>1</v>
      </c>
      <c r="BM7" s="957">
        <v>1</v>
      </c>
    </row>
    <row r="8" spans="1:65" hidden="1" outlineLevel="1">
      <c r="A8" s="795">
        <f>SUMPRODUCT(L$1:AP$1,L8:AP8)</f>
        <v>269261</v>
      </c>
      <c r="B8" s="1064"/>
      <c r="C8" s="1065"/>
      <c r="D8" s="1066" t="s">
        <v>98</v>
      </c>
      <c r="E8" s="1067">
        <v>0</v>
      </c>
      <c r="F8" s="952" t="s">
        <v>207</v>
      </c>
      <c r="G8" s="889" t="s">
        <v>154</v>
      </c>
      <c r="H8" s="888" t="s">
        <v>98</v>
      </c>
      <c r="I8" s="888" t="s">
        <v>98</v>
      </c>
      <c r="J8" s="890">
        <v>0</v>
      </c>
      <c r="K8" s="889" t="s">
        <v>96</v>
      </c>
      <c r="L8" s="953">
        <v>0</v>
      </c>
      <c r="M8" s="914"/>
      <c r="N8" s="954"/>
      <c r="O8" s="954"/>
      <c r="P8" s="953">
        <v>1</v>
      </c>
      <c r="Q8" s="914"/>
      <c r="R8" s="954"/>
      <c r="S8" s="954"/>
      <c r="T8" s="953">
        <v>0</v>
      </c>
      <c r="U8" s="914"/>
      <c r="V8" s="954"/>
      <c r="W8" s="954"/>
      <c r="X8" s="953">
        <v>0</v>
      </c>
      <c r="Y8" s="914"/>
      <c r="Z8" s="954"/>
      <c r="AA8" s="954"/>
      <c r="AB8" s="953">
        <v>0</v>
      </c>
      <c r="AC8" s="914"/>
      <c r="AD8" s="954"/>
      <c r="AE8" s="954"/>
      <c r="AF8" s="953">
        <v>0</v>
      </c>
      <c r="AG8" s="914"/>
      <c r="AH8" s="954"/>
      <c r="AI8" s="954"/>
      <c r="AJ8" s="953">
        <v>0</v>
      </c>
      <c r="AK8" s="914"/>
      <c r="AL8" s="954"/>
      <c r="AM8" s="954"/>
      <c r="AN8" s="914"/>
      <c r="AO8" s="954"/>
      <c r="AP8" s="1059"/>
      <c r="AQ8" s="505"/>
      <c r="AR8" s="505"/>
      <c r="AS8" s="399"/>
      <c r="AT8" s="955">
        <f t="shared" si="7"/>
        <v>44.999999999999993</v>
      </c>
      <c r="AU8" s="399"/>
      <c r="AV8" s="970">
        <v>1</v>
      </c>
      <c r="AW8" s="971">
        <v>1</v>
      </c>
      <c r="AX8" s="971">
        <v>1</v>
      </c>
      <c r="AY8" s="971">
        <v>1</v>
      </c>
      <c r="AZ8" s="971">
        <v>1</v>
      </c>
      <c r="BA8" s="971">
        <v>1</v>
      </c>
      <c r="BB8" s="972">
        <v>45</v>
      </c>
      <c r="BC8" s="955">
        <v>1</v>
      </c>
      <c r="BD8" s="955">
        <f t="shared" si="8"/>
        <v>1</v>
      </c>
      <c r="BE8" s="955">
        <f t="shared" si="9"/>
        <v>1</v>
      </c>
      <c r="BF8" s="955" t="str">
        <f t="shared" si="10"/>
        <v>(1,1,1,1,1,1)</v>
      </c>
      <c r="BG8" s="399"/>
      <c r="BH8" s="957">
        <v>1</v>
      </c>
      <c r="BI8" s="957">
        <v>1</v>
      </c>
      <c r="BJ8" s="957">
        <v>1</v>
      </c>
      <c r="BK8" s="957">
        <v>1</v>
      </c>
      <c r="BL8" s="957">
        <v>1</v>
      </c>
      <c r="BM8" s="957">
        <v>1</v>
      </c>
    </row>
    <row r="9" spans="1:65" ht="24" hidden="1" customHeight="1" outlineLevel="1">
      <c r="A9" s="795">
        <v>267746</v>
      </c>
      <c r="B9" s="1064"/>
      <c r="C9" s="1065"/>
      <c r="D9" s="1066" t="s">
        <v>98</v>
      </c>
      <c r="E9" s="1067">
        <v>0</v>
      </c>
      <c r="F9" s="952" t="s">
        <v>208</v>
      </c>
      <c r="G9" s="889" t="s">
        <v>215</v>
      </c>
      <c r="H9" s="888" t="s">
        <v>98</v>
      </c>
      <c r="I9" s="888" t="s">
        <v>98</v>
      </c>
      <c r="J9" s="890">
        <v>0</v>
      </c>
      <c r="K9" s="889" t="s">
        <v>96</v>
      </c>
      <c r="L9" s="953">
        <v>0</v>
      </c>
      <c r="M9" s="914"/>
      <c r="N9" s="954"/>
      <c r="O9" s="954"/>
      <c r="P9" s="953">
        <v>0</v>
      </c>
      <c r="Q9" s="914"/>
      <c r="R9" s="954"/>
      <c r="S9" s="954"/>
      <c r="T9" s="953">
        <v>1</v>
      </c>
      <c r="U9" s="914"/>
      <c r="V9" s="954"/>
      <c r="W9" s="954"/>
      <c r="X9" s="953">
        <v>0</v>
      </c>
      <c r="Y9" s="914"/>
      <c r="Z9" s="954"/>
      <c r="AA9" s="954"/>
      <c r="AB9" s="953">
        <v>0</v>
      </c>
      <c r="AC9" s="914"/>
      <c r="AD9" s="954"/>
      <c r="AE9" s="954"/>
      <c r="AF9" s="953">
        <v>0</v>
      </c>
      <c r="AG9" s="914"/>
      <c r="AH9" s="954"/>
      <c r="AI9" s="954"/>
      <c r="AJ9" s="953">
        <v>0</v>
      </c>
      <c r="AK9" s="914"/>
      <c r="AL9" s="954"/>
      <c r="AM9" s="954"/>
      <c r="AN9" s="914"/>
      <c r="AO9" s="954"/>
      <c r="AP9" s="1059"/>
      <c r="AQ9" s="505"/>
      <c r="AR9" s="505"/>
      <c r="AS9" s="399"/>
      <c r="AT9" s="955">
        <f t="shared" si="7"/>
        <v>44.999999999999993</v>
      </c>
      <c r="AU9" s="399"/>
      <c r="AV9" s="970">
        <v>1</v>
      </c>
      <c r="AW9" s="971">
        <v>1</v>
      </c>
      <c r="AX9" s="971">
        <v>1</v>
      </c>
      <c r="AY9" s="971">
        <v>1</v>
      </c>
      <c r="AZ9" s="971">
        <v>1</v>
      </c>
      <c r="BA9" s="971">
        <v>1</v>
      </c>
      <c r="BB9" s="972">
        <v>45</v>
      </c>
      <c r="BC9" s="955">
        <v>1</v>
      </c>
      <c r="BD9" s="955">
        <f t="shared" si="8"/>
        <v>1</v>
      </c>
      <c r="BE9" s="955">
        <f t="shared" si="9"/>
        <v>1</v>
      </c>
      <c r="BF9" s="955" t="str">
        <f t="shared" si="10"/>
        <v>(1,1,1,1,1,1)</v>
      </c>
      <c r="BG9" s="399"/>
      <c r="BH9" s="957">
        <v>1</v>
      </c>
      <c r="BI9" s="957">
        <v>1</v>
      </c>
      <c r="BJ9" s="957">
        <v>1</v>
      </c>
      <c r="BK9" s="957">
        <v>1</v>
      </c>
      <c r="BL9" s="957">
        <v>1</v>
      </c>
      <c r="BM9" s="957">
        <v>1</v>
      </c>
    </row>
    <row r="10" spans="1:65" hidden="1" outlineLevel="1">
      <c r="A10" s="795">
        <v>267237</v>
      </c>
      <c r="B10" s="1064"/>
      <c r="C10" s="1065"/>
      <c r="D10" s="1066" t="s">
        <v>98</v>
      </c>
      <c r="E10" s="1067">
        <v>0</v>
      </c>
      <c r="F10" s="952" t="s">
        <v>209</v>
      </c>
      <c r="G10" s="889" t="s">
        <v>215</v>
      </c>
      <c r="H10" s="888" t="s">
        <v>98</v>
      </c>
      <c r="I10" s="888" t="s">
        <v>98</v>
      </c>
      <c r="J10" s="890">
        <v>0</v>
      </c>
      <c r="K10" s="889" t="s">
        <v>96</v>
      </c>
      <c r="L10" s="953">
        <v>0</v>
      </c>
      <c r="M10" s="914"/>
      <c r="N10" s="954"/>
      <c r="O10" s="954"/>
      <c r="P10" s="953">
        <v>0</v>
      </c>
      <c r="Q10" s="914"/>
      <c r="R10" s="954"/>
      <c r="S10" s="954"/>
      <c r="T10" s="953">
        <v>0</v>
      </c>
      <c r="U10" s="914"/>
      <c r="V10" s="954"/>
      <c r="W10" s="954"/>
      <c r="X10" s="953">
        <v>1</v>
      </c>
      <c r="Y10" s="914"/>
      <c r="Z10" s="954"/>
      <c r="AA10" s="954"/>
      <c r="AB10" s="953">
        <v>0</v>
      </c>
      <c r="AC10" s="914"/>
      <c r="AD10" s="954"/>
      <c r="AE10" s="954"/>
      <c r="AF10" s="953">
        <v>0</v>
      </c>
      <c r="AG10" s="914"/>
      <c r="AH10" s="954"/>
      <c r="AI10" s="954"/>
      <c r="AJ10" s="953">
        <v>0</v>
      </c>
      <c r="AK10" s="914"/>
      <c r="AL10" s="954"/>
      <c r="AM10" s="954"/>
      <c r="AN10" s="914"/>
      <c r="AO10" s="954"/>
      <c r="AP10" s="1059"/>
      <c r="AQ10" s="505"/>
      <c r="AR10" s="505"/>
      <c r="AS10" s="399"/>
      <c r="AT10" s="955">
        <f t="shared" si="7"/>
        <v>44.999999999999993</v>
      </c>
      <c r="AU10" s="399"/>
      <c r="AV10" s="970">
        <v>1</v>
      </c>
      <c r="AW10" s="971">
        <v>1</v>
      </c>
      <c r="AX10" s="971">
        <v>1</v>
      </c>
      <c r="AY10" s="971">
        <v>1</v>
      </c>
      <c r="AZ10" s="971">
        <v>1</v>
      </c>
      <c r="BA10" s="971">
        <v>1</v>
      </c>
      <c r="BB10" s="972">
        <v>45</v>
      </c>
      <c r="BC10" s="955">
        <v>1</v>
      </c>
      <c r="BD10" s="955">
        <f t="shared" si="8"/>
        <v>1</v>
      </c>
      <c r="BE10" s="955">
        <f t="shared" si="9"/>
        <v>1</v>
      </c>
      <c r="BF10" s="955" t="str">
        <f t="shared" si="10"/>
        <v>(1,1,1,1,1,1)</v>
      </c>
      <c r="BG10" s="399"/>
      <c r="BH10" s="957">
        <v>1</v>
      </c>
      <c r="BI10" s="957">
        <v>1</v>
      </c>
      <c r="BJ10" s="957">
        <v>1</v>
      </c>
      <c r="BK10" s="957">
        <v>1</v>
      </c>
      <c r="BL10" s="957">
        <v>1</v>
      </c>
      <c r="BM10" s="957">
        <v>1</v>
      </c>
    </row>
    <row r="11" spans="1:65" hidden="1" outlineLevel="1">
      <c r="A11" s="795">
        <v>267239</v>
      </c>
      <c r="B11" s="1064"/>
      <c r="C11" s="1065"/>
      <c r="D11" s="1066" t="s">
        <v>98</v>
      </c>
      <c r="E11" s="1067">
        <v>0</v>
      </c>
      <c r="F11" s="952" t="s">
        <v>210</v>
      </c>
      <c r="G11" s="889" t="s">
        <v>215</v>
      </c>
      <c r="H11" s="888" t="s">
        <v>98</v>
      </c>
      <c r="I11" s="888" t="s">
        <v>98</v>
      </c>
      <c r="J11" s="890">
        <v>0</v>
      </c>
      <c r="K11" s="889" t="s">
        <v>96</v>
      </c>
      <c r="L11" s="953">
        <v>0</v>
      </c>
      <c r="M11" s="914"/>
      <c r="N11" s="954"/>
      <c r="O11" s="954"/>
      <c r="P11" s="953">
        <v>0</v>
      </c>
      <c r="Q11" s="914"/>
      <c r="R11" s="954"/>
      <c r="S11" s="954"/>
      <c r="T11" s="953">
        <v>0</v>
      </c>
      <c r="U11" s="914"/>
      <c r="V11" s="954"/>
      <c r="W11" s="954"/>
      <c r="X11" s="953">
        <v>0</v>
      </c>
      <c r="Y11" s="914"/>
      <c r="Z11" s="954"/>
      <c r="AA11" s="954"/>
      <c r="AB11" s="953">
        <v>1</v>
      </c>
      <c r="AC11" s="914"/>
      <c r="AD11" s="954"/>
      <c r="AE11" s="954"/>
      <c r="AF11" s="953">
        <v>0</v>
      </c>
      <c r="AG11" s="914"/>
      <c r="AH11" s="954"/>
      <c r="AI11" s="954"/>
      <c r="AJ11" s="953">
        <v>0</v>
      </c>
      <c r="AK11" s="914"/>
      <c r="AL11" s="954"/>
      <c r="AM11" s="954"/>
      <c r="AN11" s="914"/>
      <c r="AO11" s="954"/>
      <c r="AP11" s="1059"/>
      <c r="AQ11" s="505"/>
      <c r="AR11" s="505"/>
      <c r="AS11" s="399"/>
      <c r="AT11" s="955">
        <f t="shared" si="7"/>
        <v>44.999999999999993</v>
      </c>
      <c r="AU11" s="399"/>
      <c r="AV11" s="970">
        <v>1</v>
      </c>
      <c r="AW11" s="971">
        <v>1</v>
      </c>
      <c r="AX11" s="971">
        <v>1</v>
      </c>
      <c r="AY11" s="971">
        <v>1</v>
      </c>
      <c r="AZ11" s="971">
        <v>1</v>
      </c>
      <c r="BA11" s="971">
        <v>1</v>
      </c>
      <c r="BB11" s="972">
        <v>45</v>
      </c>
      <c r="BC11" s="955">
        <v>1</v>
      </c>
      <c r="BD11" s="955">
        <f t="shared" si="8"/>
        <v>1</v>
      </c>
      <c r="BE11" s="955">
        <f t="shared" si="9"/>
        <v>1</v>
      </c>
      <c r="BF11" s="955" t="str">
        <f t="shared" si="10"/>
        <v>(1,1,1,1,1,1)</v>
      </c>
      <c r="BG11" s="399"/>
      <c r="BH11" s="957">
        <v>1</v>
      </c>
      <c r="BI11" s="957">
        <v>1</v>
      </c>
      <c r="BJ11" s="957">
        <v>1</v>
      </c>
      <c r="BK11" s="957">
        <v>1</v>
      </c>
      <c r="BL11" s="957">
        <v>1</v>
      </c>
      <c r="BM11" s="957">
        <v>1</v>
      </c>
    </row>
    <row r="12" spans="1:65" hidden="1" outlineLevel="1">
      <c r="A12" s="795">
        <v>267153</v>
      </c>
      <c r="B12" s="1064"/>
      <c r="C12" s="1065"/>
      <c r="D12" s="1066" t="s">
        <v>98</v>
      </c>
      <c r="E12" s="1067">
        <v>0</v>
      </c>
      <c r="F12" s="952" t="s">
        <v>211</v>
      </c>
      <c r="G12" s="889" t="s">
        <v>215</v>
      </c>
      <c r="H12" s="888" t="s">
        <v>98</v>
      </c>
      <c r="I12" s="888" t="s">
        <v>98</v>
      </c>
      <c r="J12" s="890">
        <v>0</v>
      </c>
      <c r="K12" s="889" t="s">
        <v>96</v>
      </c>
      <c r="L12" s="953">
        <v>0</v>
      </c>
      <c r="M12" s="914"/>
      <c r="N12" s="954"/>
      <c r="O12" s="954"/>
      <c r="P12" s="953">
        <v>0</v>
      </c>
      <c r="Q12" s="914"/>
      <c r="R12" s="954"/>
      <c r="S12" s="954"/>
      <c r="T12" s="953">
        <v>0</v>
      </c>
      <c r="U12" s="914"/>
      <c r="V12" s="954"/>
      <c r="W12" s="954"/>
      <c r="X12" s="953">
        <v>0</v>
      </c>
      <c r="Y12" s="914"/>
      <c r="Z12" s="954"/>
      <c r="AA12" s="954"/>
      <c r="AB12" s="953">
        <v>0</v>
      </c>
      <c r="AC12" s="914"/>
      <c r="AD12" s="954"/>
      <c r="AE12" s="954"/>
      <c r="AF12" s="953">
        <v>1</v>
      </c>
      <c r="AG12" s="914"/>
      <c r="AH12" s="954"/>
      <c r="AI12" s="954"/>
      <c r="AJ12" s="953">
        <v>0</v>
      </c>
      <c r="AK12" s="914"/>
      <c r="AL12" s="954"/>
      <c r="AM12" s="954"/>
      <c r="AN12" s="914"/>
      <c r="AO12" s="954"/>
      <c r="AP12" s="1059"/>
      <c r="AQ12" s="505"/>
      <c r="AR12" s="505"/>
      <c r="AS12" s="399"/>
      <c r="AT12" s="955">
        <f t="shared" si="7"/>
        <v>44.999999999999993</v>
      </c>
      <c r="AU12" s="399"/>
      <c r="AV12" s="970">
        <v>1</v>
      </c>
      <c r="AW12" s="971">
        <v>1</v>
      </c>
      <c r="AX12" s="971">
        <v>1</v>
      </c>
      <c r="AY12" s="971">
        <v>1</v>
      </c>
      <c r="AZ12" s="971">
        <v>1</v>
      </c>
      <c r="BA12" s="971">
        <v>1</v>
      </c>
      <c r="BB12" s="972">
        <v>45</v>
      </c>
      <c r="BC12" s="955">
        <v>1</v>
      </c>
      <c r="BD12" s="955">
        <f t="shared" si="8"/>
        <v>1</v>
      </c>
      <c r="BE12" s="955">
        <f t="shared" si="9"/>
        <v>1</v>
      </c>
      <c r="BF12" s="955" t="str">
        <f t="shared" si="10"/>
        <v>(1,1,1,1,1,1)</v>
      </c>
      <c r="BG12" s="399"/>
      <c r="BH12" s="957">
        <v>1</v>
      </c>
      <c r="BI12" s="957">
        <v>1</v>
      </c>
      <c r="BJ12" s="957">
        <v>1</v>
      </c>
      <c r="BK12" s="957">
        <v>1</v>
      </c>
      <c r="BL12" s="957">
        <v>1</v>
      </c>
      <c r="BM12" s="957">
        <v>1</v>
      </c>
    </row>
    <row r="13" spans="1:65" hidden="1" outlineLevel="1">
      <c r="A13" s="795">
        <v>268443</v>
      </c>
      <c r="B13" s="1064"/>
      <c r="C13" s="1065"/>
      <c r="D13" s="1066" t="s">
        <v>98</v>
      </c>
      <c r="E13" s="1067">
        <v>0</v>
      </c>
      <c r="F13" s="952" t="s">
        <v>212</v>
      </c>
      <c r="G13" s="889" t="s">
        <v>215</v>
      </c>
      <c r="H13" s="888" t="s">
        <v>98</v>
      </c>
      <c r="I13" s="888" t="s">
        <v>98</v>
      </c>
      <c r="J13" s="890">
        <v>0</v>
      </c>
      <c r="K13" s="889" t="s">
        <v>96</v>
      </c>
      <c r="L13" s="953">
        <v>0</v>
      </c>
      <c r="M13" s="914"/>
      <c r="N13" s="954"/>
      <c r="O13" s="954"/>
      <c r="P13" s="953">
        <v>0</v>
      </c>
      <c r="Q13" s="914"/>
      <c r="R13" s="954"/>
      <c r="S13" s="954"/>
      <c r="T13" s="953">
        <v>0</v>
      </c>
      <c r="U13" s="914"/>
      <c r="V13" s="954"/>
      <c r="W13" s="954"/>
      <c r="X13" s="953">
        <v>0</v>
      </c>
      <c r="Y13" s="914"/>
      <c r="Z13" s="954"/>
      <c r="AA13" s="954"/>
      <c r="AB13" s="953">
        <v>0</v>
      </c>
      <c r="AC13" s="914"/>
      <c r="AD13" s="954"/>
      <c r="AE13" s="954"/>
      <c r="AF13" s="953">
        <v>0</v>
      </c>
      <c r="AG13" s="914"/>
      <c r="AH13" s="954"/>
      <c r="AI13" s="954"/>
      <c r="AJ13" s="953">
        <v>1</v>
      </c>
      <c r="AK13" s="914"/>
      <c r="AL13" s="954"/>
      <c r="AM13" s="954"/>
      <c r="AN13" s="914"/>
      <c r="AO13" s="954"/>
      <c r="AP13" s="1059"/>
      <c r="AQ13" s="505"/>
      <c r="AR13" s="505"/>
      <c r="AS13" s="399"/>
      <c r="AT13" s="955">
        <f t="shared" si="7"/>
        <v>44.999999999999993</v>
      </c>
      <c r="AU13" s="399"/>
      <c r="AV13" s="970">
        <v>1</v>
      </c>
      <c r="AW13" s="971">
        <v>1</v>
      </c>
      <c r="AX13" s="971">
        <v>1</v>
      </c>
      <c r="AY13" s="971">
        <v>1</v>
      </c>
      <c r="AZ13" s="971">
        <v>1</v>
      </c>
      <c r="BA13" s="971">
        <v>1</v>
      </c>
      <c r="BB13" s="972">
        <v>45</v>
      </c>
      <c r="BC13" s="955">
        <v>1</v>
      </c>
      <c r="BD13" s="955">
        <f t="shared" si="8"/>
        <v>1</v>
      </c>
      <c r="BE13" s="955">
        <f t="shared" si="9"/>
        <v>1</v>
      </c>
      <c r="BF13" s="955" t="str">
        <f t="shared" si="10"/>
        <v>(1,1,1,1,1,1)</v>
      </c>
      <c r="BG13" s="399"/>
      <c r="BH13" s="957">
        <v>1</v>
      </c>
      <c r="BI13" s="957">
        <v>1</v>
      </c>
      <c r="BJ13" s="957">
        <v>1</v>
      </c>
      <c r="BK13" s="957">
        <v>1</v>
      </c>
      <c r="BL13" s="957">
        <v>1</v>
      </c>
      <c r="BM13" s="957">
        <v>1</v>
      </c>
    </row>
    <row r="14" spans="1:65" ht="24" customHeight="1" collapsed="1">
      <c r="A14" s="794">
        <v>34981</v>
      </c>
      <c r="B14" s="912" t="s">
        <v>216</v>
      </c>
      <c r="C14" s="913"/>
      <c r="D14" s="898">
        <v>4</v>
      </c>
      <c r="E14" s="897" t="s">
        <v>98</v>
      </c>
      <c r="F14" s="899" t="s">
        <v>217</v>
      </c>
      <c r="G14" s="900" t="s">
        <v>98</v>
      </c>
      <c r="H14" s="906" t="s">
        <v>218</v>
      </c>
      <c r="I14" s="901" t="s">
        <v>219</v>
      </c>
      <c r="J14" s="902" t="s">
        <v>98</v>
      </c>
      <c r="K14" s="900" t="s">
        <v>96</v>
      </c>
      <c r="L14" s="1098">
        <v>1.05</v>
      </c>
      <c r="M14" s="917">
        <f t="shared" ref="M14:M44" si="11">$AN14</f>
        <v>1</v>
      </c>
      <c r="N14" s="918">
        <f t="shared" ref="N14:N44" si="12">$AO14</f>
        <v>1.3285812705862265</v>
      </c>
      <c r="O14" s="1099" t="str">
        <f t="shared" ref="O14:O44" si="13">$AP14</f>
        <v>(3,3,4,3,1,5); Estimation, 5% loss</v>
      </c>
      <c r="P14" s="1098">
        <v>0</v>
      </c>
      <c r="Q14" s="917">
        <f>$AN14</f>
        <v>1</v>
      </c>
      <c r="R14" s="918">
        <f>$AO14</f>
        <v>1.3285812705862265</v>
      </c>
      <c r="S14" s="1099" t="str">
        <f>$AP14</f>
        <v>(3,3,4,3,1,5); Estimation, 5% loss</v>
      </c>
      <c r="T14" s="1098">
        <v>0</v>
      </c>
      <c r="U14" s="917">
        <f t="shared" ref="U14:U44" si="14">$AN14</f>
        <v>1</v>
      </c>
      <c r="V14" s="918">
        <f t="shared" ref="V14:V44" si="15">$AL14</f>
        <v>0</v>
      </c>
      <c r="W14" s="1100">
        <f t="shared" ref="W14:W44" si="16">$AM14</f>
        <v>0</v>
      </c>
      <c r="X14" s="1098">
        <v>0</v>
      </c>
      <c r="Y14" s="917">
        <f t="shared" ref="Y14:Y44" si="17">$AN14</f>
        <v>1</v>
      </c>
      <c r="Z14" s="918">
        <f t="shared" ref="Z14:Z44" si="18">$AL14</f>
        <v>0</v>
      </c>
      <c r="AA14" s="1100">
        <f t="shared" ref="AA14:AA44" si="19">$AM14</f>
        <v>0</v>
      </c>
      <c r="AB14" s="1098">
        <v>0</v>
      </c>
      <c r="AC14" s="917">
        <f t="shared" ref="AC14:AC44" si="20">$AN14</f>
        <v>1</v>
      </c>
      <c r="AD14" s="918">
        <f t="shared" ref="AD14:AD44" si="21">$AL14</f>
        <v>0</v>
      </c>
      <c r="AE14" s="1100">
        <f t="shared" ref="AE14:AE44" si="22">$AM14</f>
        <v>0</v>
      </c>
      <c r="AF14" s="1098">
        <v>0</v>
      </c>
      <c r="AG14" s="917">
        <f t="shared" ref="AG14:AG44" si="23">$AN14</f>
        <v>1</v>
      </c>
      <c r="AH14" s="918">
        <f t="shared" ref="AH14:AH44" si="24">$AL14</f>
        <v>0</v>
      </c>
      <c r="AI14" s="1100">
        <f t="shared" ref="AI14:AI44" si="25">$AM14</f>
        <v>0</v>
      </c>
      <c r="AJ14" s="1098">
        <v>0</v>
      </c>
      <c r="AK14" s="917"/>
      <c r="AL14" s="918"/>
      <c r="AM14" s="1101"/>
      <c r="AN14" s="917">
        <v>1</v>
      </c>
      <c r="AO14" s="918">
        <f t="shared" ref="AO14:AO44" si="26">BE14</f>
        <v>1.3285812705862265</v>
      </c>
      <c r="AP14" s="1101" t="str">
        <f>$BF14&amp;"; "&amp;$AU14</f>
        <v>(3,3,4,3,1,5); Estimation, 5% loss</v>
      </c>
      <c r="AQ14" s="1068"/>
      <c r="AR14" s="1068"/>
      <c r="AS14" s="189"/>
      <c r="AT14" s="977">
        <f t="shared" ref="AT14:AT44" si="27">EXP(SQRT((LN(BH$45)^2)+(LN(BI$45)^2)+(LN(BJ$45)^2)+(LN(BK$45)^2)+(LN(BL$45)^2)+(LN(BM$45)^2)+LN(BC14)^2))</f>
        <v>1.5681449998445471</v>
      </c>
      <c r="AU14" s="399" t="s">
        <v>220</v>
      </c>
      <c r="AV14" s="975">
        <v>3</v>
      </c>
      <c r="AW14" s="976">
        <v>3</v>
      </c>
      <c r="AX14" s="976">
        <v>4</v>
      </c>
      <c r="AY14" s="976">
        <v>3</v>
      </c>
      <c r="AZ14" s="976">
        <v>1</v>
      </c>
      <c r="BA14" s="976">
        <v>5</v>
      </c>
      <c r="BB14" s="976">
        <v>12</v>
      </c>
      <c r="BC14" s="977">
        <v>1.05</v>
      </c>
      <c r="BD14" s="977">
        <f t="shared" si="8"/>
        <v>1.3229855584076429</v>
      </c>
      <c r="BE14" s="977">
        <f t="shared" si="9"/>
        <v>1.3285812705862265</v>
      </c>
      <c r="BF14" s="977" t="str">
        <f t="shared" si="10"/>
        <v>(3,3,4,3,1,5)</v>
      </c>
      <c r="BG14" s="399"/>
      <c r="BH14" s="978">
        <v>1.1000000000000001</v>
      </c>
      <c r="BI14" s="978">
        <v>1.05</v>
      </c>
      <c r="BJ14" s="978">
        <v>1.2</v>
      </c>
      <c r="BK14" s="978">
        <v>1.02</v>
      </c>
      <c r="BL14" s="978">
        <v>1</v>
      </c>
      <c r="BM14" s="978">
        <v>1.2</v>
      </c>
    </row>
    <row r="15" spans="1:65" ht="36" customHeight="1">
      <c r="A15" s="794">
        <v>269603</v>
      </c>
      <c r="B15" s="1064" t="s">
        <v>221</v>
      </c>
      <c r="C15" s="1065"/>
      <c r="D15" s="1072">
        <v>5</v>
      </c>
      <c r="E15" s="1073" t="s">
        <v>98</v>
      </c>
      <c r="F15" s="868" t="s">
        <v>222</v>
      </c>
      <c r="G15" s="869" t="s">
        <v>223</v>
      </c>
      <c r="H15" s="870" t="s">
        <v>98</v>
      </c>
      <c r="I15" s="871" t="s">
        <v>98</v>
      </c>
      <c r="J15" s="872">
        <v>0</v>
      </c>
      <c r="K15" s="869" t="s">
        <v>109</v>
      </c>
      <c r="L15" s="961">
        <f>0.243055555555556/3.905</f>
        <v>6.2242139706928552E-2</v>
      </c>
      <c r="M15" s="919">
        <f t="shared" si="11"/>
        <v>1</v>
      </c>
      <c r="N15" s="920">
        <f t="shared" si="12"/>
        <v>1.5994360002076888</v>
      </c>
      <c r="O15" s="1069" t="str">
        <f t="shared" si="13"/>
        <v>(3,3,5,5,1,5); Boustead 1979</v>
      </c>
      <c r="P15" s="961">
        <v>2.55918955122285</v>
      </c>
      <c r="Q15" s="919">
        <f>$AN15</f>
        <v>1</v>
      </c>
      <c r="R15" s="920">
        <f>$AO15</f>
        <v>1.5994360002076888</v>
      </c>
      <c r="S15" s="1069" t="str">
        <f>$AP15</f>
        <v>(3,3,5,5,1,5); Boustead 1979</v>
      </c>
      <c r="T15" s="961">
        <v>0</v>
      </c>
      <c r="U15" s="919">
        <f t="shared" si="14"/>
        <v>1</v>
      </c>
      <c r="V15" s="920">
        <f t="shared" si="15"/>
        <v>0</v>
      </c>
      <c r="W15" s="1070">
        <f t="shared" si="16"/>
        <v>0</v>
      </c>
      <c r="X15" s="961">
        <v>0</v>
      </c>
      <c r="Y15" s="919">
        <f t="shared" si="17"/>
        <v>1</v>
      </c>
      <c r="Z15" s="920">
        <f t="shared" si="18"/>
        <v>0</v>
      </c>
      <c r="AA15" s="1070">
        <f t="shared" si="19"/>
        <v>0</v>
      </c>
      <c r="AB15" s="961">
        <v>0</v>
      </c>
      <c r="AC15" s="919">
        <f t="shared" si="20"/>
        <v>1</v>
      </c>
      <c r="AD15" s="920">
        <f t="shared" si="21"/>
        <v>0</v>
      </c>
      <c r="AE15" s="1070">
        <f t="shared" si="22"/>
        <v>0</v>
      </c>
      <c r="AF15" s="961">
        <v>0</v>
      </c>
      <c r="AG15" s="919">
        <f t="shared" si="23"/>
        <v>1</v>
      </c>
      <c r="AH15" s="920">
        <f t="shared" si="24"/>
        <v>0</v>
      </c>
      <c r="AI15" s="1070">
        <f t="shared" si="25"/>
        <v>0</v>
      </c>
      <c r="AJ15" s="961">
        <v>0</v>
      </c>
      <c r="AK15" s="919"/>
      <c r="AL15" s="920"/>
      <c r="AM15" s="1071"/>
      <c r="AN15" s="919">
        <v>1</v>
      </c>
      <c r="AO15" s="920">
        <f t="shared" si="26"/>
        <v>1.5994360002076888</v>
      </c>
      <c r="AP15" s="1071" t="str">
        <f t="shared" ref="AP15:AP44" si="28">BF15&amp;"; "&amp;AU15</f>
        <v>(3,3,5,5,1,5); Boustead 1979</v>
      </c>
      <c r="AQ15" s="1068"/>
      <c r="AR15" s="1068"/>
      <c r="AS15" s="189"/>
      <c r="AT15" s="979">
        <f t="shared" si="27"/>
        <v>1.5681449998445471</v>
      </c>
      <c r="AU15" s="399" t="s">
        <v>224</v>
      </c>
      <c r="AV15" s="973">
        <v>3</v>
      </c>
      <c r="AW15" s="974">
        <v>3</v>
      </c>
      <c r="AX15" s="974">
        <v>5</v>
      </c>
      <c r="AY15" s="974">
        <v>5</v>
      </c>
      <c r="AZ15" s="974">
        <v>1</v>
      </c>
      <c r="BA15" s="974">
        <v>5</v>
      </c>
      <c r="BB15" s="974">
        <v>2</v>
      </c>
      <c r="BC15" s="979">
        <v>1.05</v>
      </c>
      <c r="BD15" s="979">
        <f t="shared" si="8"/>
        <v>1.5953767020422345</v>
      </c>
      <c r="BE15" s="979">
        <f t="shared" si="9"/>
        <v>1.5994360002076888</v>
      </c>
      <c r="BF15" s="979" t="str">
        <f t="shared" si="10"/>
        <v>(3,3,5,5,1,5)</v>
      </c>
      <c r="BG15" s="399"/>
      <c r="BH15" s="980">
        <v>1.1000000000000001</v>
      </c>
      <c r="BI15" s="980">
        <v>1.05</v>
      </c>
      <c r="BJ15" s="980">
        <v>1.5</v>
      </c>
      <c r="BK15" s="980">
        <v>1.1000000000000001</v>
      </c>
      <c r="BL15" s="980">
        <v>1</v>
      </c>
      <c r="BM15" s="980">
        <v>1.2</v>
      </c>
    </row>
    <row r="16" spans="1:65" ht="24" hidden="1" customHeight="1" outlineLevel="1">
      <c r="A16" s="794">
        <v>19772</v>
      </c>
      <c r="B16" s="1064"/>
      <c r="C16" s="1065"/>
      <c r="D16" s="1102">
        <v>5</v>
      </c>
      <c r="E16" s="1103" t="s">
        <v>98</v>
      </c>
      <c r="F16" s="899" t="s">
        <v>225</v>
      </c>
      <c r="G16" s="900" t="s">
        <v>215</v>
      </c>
      <c r="H16" s="906" t="s">
        <v>98</v>
      </c>
      <c r="I16" s="901" t="s">
        <v>98</v>
      </c>
      <c r="J16" s="902">
        <v>0</v>
      </c>
      <c r="K16" s="900" t="s">
        <v>109</v>
      </c>
      <c r="L16" s="1098">
        <v>0</v>
      </c>
      <c r="M16" s="917">
        <f t="shared" si="11"/>
        <v>1</v>
      </c>
      <c r="N16" s="918">
        <f t="shared" si="12"/>
        <v>1.0888159599559692</v>
      </c>
      <c r="O16" s="1099" t="str">
        <f t="shared" si="13"/>
        <v>(2,3,1,2,1,na); Krieger 2006</v>
      </c>
      <c r="P16" s="1098">
        <v>0</v>
      </c>
      <c r="Q16" s="917"/>
      <c r="R16" s="918"/>
      <c r="S16" s="1099"/>
      <c r="T16" s="1098">
        <f>4.9*0.8/3.6</f>
        <v>1.088888888888889</v>
      </c>
      <c r="U16" s="917">
        <f t="shared" si="14"/>
        <v>1</v>
      </c>
      <c r="V16" s="918">
        <f t="shared" si="15"/>
        <v>1.5681449998445471</v>
      </c>
      <c r="W16" s="1100" t="str">
        <f t="shared" si="16"/>
        <v>(5,3,1,1,1,5); Rough estimation based on cumulative data, Krieger et al. 2006</v>
      </c>
      <c r="X16" s="1098">
        <f>8.5*0.25/3.6</f>
        <v>0.59027777777777779</v>
      </c>
      <c r="Y16" s="917">
        <f t="shared" si="17"/>
        <v>1</v>
      </c>
      <c r="Z16" s="918">
        <f t="shared" si="18"/>
        <v>1.5681449998445471</v>
      </c>
      <c r="AA16" s="1100" t="str">
        <f t="shared" si="19"/>
        <v>(5,3,1,1,1,5); Rough estimation based on cumulative data, Krieger et al. 2006</v>
      </c>
      <c r="AB16" s="1098">
        <v>4.7636452241715403</v>
      </c>
      <c r="AC16" s="917">
        <f t="shared" si="20"/>
        <v>1</v>
      </c>
      <c r="AD16" s="918">
        <f t="shared" si="21"/>
        <v>1.5681449998445471</v>
      </c>
      <c r="AE16" s="1100" t="str">
        <f t="shared" si="22"/>
        <v>(5,3,1,1,1,5); Rough estimation based on cumulative data, Krieger et al. 2006</v>
      </c>
      <c r="AF16" s="1098">
        <v>0.87206319893300499</v>
      </c>
      <c r="AG16" s="917">
        <f t="shared" si="23"/>
        <v>1</v>
      </c>
      <c r="AH16" s="918">
        <f t="shared" si="24"/>
        <v>1.5681449998445471</v>
      </c>
      <c r="AI16" s="1100" t="str">
        <f t="shared" si="25"/>
        <v>(5,3,1,1,1,5); Rough estimation based on cumulative data, Krieger et al. 2006</v>
      </c>
      <c r="AJ16" s="1098">
        <v>2.8052493300770198</v>
      </c>
      <c r="AK16" s="917">
        <f>$AN16</f>
        <v>1</v>
      </c>
      <c r="AL16" s="918">
        <f>$AT16</f>
        <v>1.5681449998445471</v>
      </c>
      <c r="AM16" s="1101" t="str">
        <f>$BF$45&amp;"; "&amp;$AS16</f>
        <v>(5,3,1,1,1,5); Rough estimation based on cumulative data, Krieger et al. 2006</v>
      </c>
      <c r="AN16" s="917">
        <v>1</v>
      </c>
      <c r="AO16" s="918">
        <f t="shared" si="26"/>
        <v>1.0888159599559692</v>
      </c>
      <c r="AP16" s="1101" t="str">
        <f t="shared" si="28"/>
        <v>(2,3,1,2,1,na); Krieger 2006</v>
      </c>
      <c r="AQ16" s="1068"/>
      <c r="AR16" s="1068"/>
      <c r="AS16" s="399" t="s">
        <v>226</v>
      </c>
      <c r="AT16" s="977">
        <f t="shared" si="27"/>
        <v>1.5681449998445471</v>
      </c>
      <c r="AU16" s="399" t="s">
        <v>204</v>
      </c>
      <c r="AV16" s="975">
        <v>2</v>
      </c>
      <c r="AW16" s="976">
        <v>3</v>
      </c>
      <c r="AX16" s="976">
        <v>1</v>
      </c>
      <c r="AY16" s="976">
        <v>2</v>
      </c>
      <c r="AZ16" s="976">
        <v>1</v>
      </c>
      <c r="BA16" s="976" t="s">
        <v>106</v>
      </c>
      <c r="BB16" s="976">
        <v>3</v>
      </c>
      <c r="BC16" s="977">
        <v>1.05</v>
      </c>
      <c r="BD16" s="977">
        <f t="shared" si="8"/>
        <v>1.0722009304576894</v>
      </c>
      <c r="BE16" s="977">
        <f t="shared" si="9"/>
        <v>1.0888159599559692</v>
      </c>
      <c r="BF16" s="977" t="str">
        <f t="shared" si="10"/>
        <v>(2,3,1,2,1,na)</v>
      </c>
      <c r="BG16" s="399"/>
      <c r="BH16" s="978">
        <v>1.05</v>
      </c>
      <c r="BI16" s="978">
        <v>1.05</v>
      </c>
      <c r="BJ16" s="978">
        <v>1</v>
      </c>
      <c r="BK16" s="978">
        <v>1.01</v>
      </c>
      <c r="BL16" s="978">
        <v>1</v>
      </c>
      <c r="BM16" s="978">
        <v>1</v>
      </c>
    </row>
    <row r="17" spans="1:65" ht="24" customHeight="1" collapsed="1">
      <c r="A17" s="794">
        <v>269583</v>
      </c>
      <c r="B17" s="1064"/>
      <c r="C17" s="1065"/>
      <c r="D17" s="1072">
        <v>5</v>
      </c>
      <c r="E17" s="1073" t="s">
        <v>98</v>
      </c>
      <c r="F17" s="868" t="s">
        <v>227</v>
      </c>
      <c r="G17" s="869" t="s">
        <v>93</v>
      </c>
      <c r="H17" s="870" t="s">
        <v>98</v>
      </c>
      <c r="I17" s="871" t="s">
        <v>98</v>
      </c>
      <c r="J17" s="872">
        <v>0</v>
      </c>
      <c r="K17" s="869" t="s">
        <v>104</v>
      </c>
      <c r="L17" s="961">
        <f>2.27/3.905</f>
        <v>0.58130601792573622</v>
      </c>
      <c r="M17" s="919">
        <f t="shared" si="11"/>
        <v>1</v>
      </c>
      <c r="N17" s="920">
        <f t="shared" si="12"/>
        <v>1.5994360002076888</v>
      </c>
      <c r="O17" s="1069" t="str">
        <f t="shared" si="13"/>
        <v>(3,3,5,5,1,5); Boustead 1979</v>
      </c>
      <c r="P17" s="961">
        <v>0</v>
      </c>
      <c r="Q17" s="919">
        <f>$AN17</f>
        <v>1</v>
      </c>
      <c r="R17" s="920">
        <f>$AO17</f>
        <v>1.5994360002076888</v>
      </c>
      <c r="S17" s="1069" t="str">
        <f>$AP17</f>
        <v>(3,3,5,5,1,5); Boustead 1979</v>
      </c>
      <c r="T17" s="961">
        <v>0</v>
      </c>
      <c r="U17" s="919">
        <f t="shared" si="14"/>
        <v>1</v>
      </c>
      <c r="V17" s="920">
        <f t="shared" si="15"/>
        <v>0</v>
      </c>
      <c r="W17" s="1070">
        <f t="shared" si="16"/>
        <v>0</v>
      </c>
      <c r="X17" s="961">
        <v>0</v>
      </c>
      <c r="Y17" s="919">
        <f t="shared" si="17"/>
        <v>1</v>
      </c>
      <c r="Z17" s="920">
        <f t="shared" si="18"/>
        <v>0</v>
      </c>
      <c r="AA17" s="1070">
        <f t="shared" si="19"/>
        <v>0</v>
      </c>
      <c r="AB17" s="961">
        <v>0</v>
      </c>
      <c r="AC17" s="919">
        <f t="shared" si="20"/>
        <v>1</v>
      </c>
      <c r="AD17" s="920">
        <f t="shared" si="21"/>
        <v>0</v>
      </c>
      <c r="AE17" s="1070">
        <f t="shared" si="22"/>
        <v>0</v>
      </c>
      <c r="AF17" s="961">
        <v>0</v>
      </c>
      <c r="AG17" s="919">
        <f t="shared" si="23"/>
        <v>1</v>
      </c>
      <c r="AH17" s="920">
        <f t="shared" si="24"/>
        <v>0</v>
      </c>
      <c r="AI17" s="1070">
        <f t="shared" si="25"/>
        <v>0</v>
      </c>
      <c r="AJ17" s="961">
        <v>0</v>
      </c>
      <c r="AK17" s="919"/>
      <c r="AL17" s="920"/>
      <c r="AM17" s="1071"/>
      <c r="AN17" s="919">
        <v>1</v>
      </c>
      <c r="AO17" s="920">
        <f t="shared" si="26"/>
        <v>1.5994360002076888</v>
      </c>
      <c r="AP17" s="1071" t="str">
        <f t="shared" si="28"/>
        <v>(3,3,5,5,1,5); Boustead 1979</v>
      </c>
      <c r="AQ17" s="1068"/>
      <c r="AR17" s="1068"/>
      <c r="AS17" s="399"/>
      <c r="AT17" s="979">
        <f t="shared" si="27"/>
        <v>1.5681449998445471</v>
      </c>
      <c r="AU17" s="399" t="s">
        <v>224</v>
      </c>
      <c r="AV17" s="973">
        <v>3</v>
      </c>
      <c r="AW17" s="974">
        <v>3</v>
      </c>
      <c r="AX17" s="974">
        <v>5</v>
      </c>
      <c r="AY17" s="974">
        <v>5</v>
      </c>
      <c r="AZ17" s="974">
        <v>1</v>
      </c>
      <c r="BA17" s="974">
        <v>5</v>
      </c>
      <c r="BB17" s="974">
        <v>1</v>
      </c>
      <c r="BC17" s="979">
        <v>1.05</v>
      </c>
      <c r="BD17" s="979">
        <f t="shared" si="8"/>
        <v>1.5953767020422345</v>
      </c>
      <c r="BE17" s="979">
        <f t="shared" si="9"/>
        <v>1.5994360002076888</v>
      </c>
      <c r="BF17" s="979" t="str">
        <f t="shared" si="10"/>
        <v>(3,3,5,5,1,5)</v>
      </c>
      <c r="BG17" s="399"/>
      <c r="BH17" s="980">
        <v>1.1000000000000001</v>
      </c>
      <c r="BI17" s="980">
        <v>1.05</v>
      </c>
      <c r="BJ17" s="980">
        <v>1.5</v>
      </c>
      <c r="BK17" s="980">
        <v>1.1000000000000001</v>
      </c>
      <c r="BL17" s="980">
        <v>1</v>
      </c>
      <c r="BM17" s="980">
        <v>1.2</v>
      </c>
    </row>
    <row r="18" spans="1:65" ht="24" customHeight="1">
      <c r="A18" s="794">
        <v>269447</v>
      </c>
      <c r="B18" s="1064"/>
      <c r="C18" s="1065"/>
      <c r="D18" s="1102">
        <v>5</v>
      </c>
      <c r="E18" s="1103" t="s">
        <v>98</v>
      </c>
      <c r="F18" s="899" t="s">
        <v>228</v>
      </c>
      <c r="G18" s="900" t="s">
        <v>103</v>
      </c>
      <c r="H18" s="906" t="s">
        <v>98</v>
      </c>
      <c r="I18" s="901" t="s">
        <v>98</v>
      </c>
      <c r="J18" s="902">
        <v>0</v>
      </c>
      <c r="K18" s="900" t="s">
        <v>104</v>
      </c>
      <c r="L18" s="1098">
        <f>0.243/3.905</f>
        <v>6.2227912932138287E-2</v>
      </c>
      <c r="M18" s="917">
        <f t="shared" si="11"/>
        <v>1</v>
      </c>
      <c r="N18" s="918">
        <f t="shared" si="12"/>
        <v>1.5994360002076888</v>
      </c>
      <c r="O18" s="1099" t="str">
        <f t="shared" si="13"/>
        <v>(3,3,5,5,1,5); Boustead 1979</v>
      </c>
      <c r="P18" s="1098">
        <v>1.1234999999999999</v>
      </c>
      <c r="Q18" s="917">
        <f>$AN18</f>
        <v>1</v>
      </c>
      <c r="R18" s="918">
        <f>$AO18</f>
        <v>1.5994360002076888</v>
      </c>
      <c r="S18" s="1099" t="str">
        <f>$AP18</f>
        <v>(3,3,5,5,1,5); Boustead 1979</v>
      </c>
      <c r="T18" s="1098">
        <f>4.9*0.2</f>
        <v>0.98000000000000009</v>
      </c>
      <c r="U18" s="917">
        <f t="shared" si="14"/>
        <v>1</v>
      </c>
      <c r="V18" s="918">
        <f t="shared" si="15"/>
        <v>1.5681449998445471</v>
      </c>
      <c r="W18" s="1100" t="str">
        <f t="shared" si="16"/>
        <v>(5,3,1,1,1,5); Rough estimation based on cumulative data, Krieger et al. 2006</v>
      </c>
      <c r="X18" s="1098">
        <f>8.5*0.75</f>
        <v>6.375</v>
      </c>
      <c r="Y18" s="917">
        <f t="shared" si="17"/>
        <v>1</v>
      </c>
      <c r="Z18" s="918">
        <f t="shared" si="18"/>
        <v>1.5681449998445471</v>
      </c>
      <c r="AA18" s="1100" t="str">
        <f t="shared" si="19"/>
        <v>(5,3,1,1,1,5); Rough estimation based on cumulative data, Krieger et al. 2006</v>
      </c>
      <c r="AB18" s="1098">
        <v>51.447368421052602</v>
      </c>
      <c r="AC18" s="917">
        <f t="shared" si="20"/>
        <v>1</v>
      </c>
      <c r="AD18" s="918">
        <f t="shared" si="21"/>
        <v>1.5681449998445471</v>
      </c>
      <c r="AE18" s="1100" t="str">
        <f t="shared" si="22"/>
        <v>(5,3,1,1,1,5); Rough estimation based on cumulative data, Krieger et al. 2006</v>
      </c>
      <c r="AF18" s="1098">
        <v>9.4182825484764496</v>
      </c>
      <c r="AG18" s="917">
        <f t="shared" si="23"/>
        <v>1</v>
      </c>
      <c r="AH18" s="918">
        <f t="shared" si="24"/>
        <v>1.5681449998445471</v>
      </c>
      <c r="AI18" s="1100" t="str">
        <f t="shared" si="25"/>
        <v>(5,3,1,1,1,5); Rough estimation based on cumulative data, Krieger et al. 2006</v>
      </c>
      <c r="AJ18" s="1098">
        <v>30.2966927648318</v>
      </c>
      <c r="AK18" s="917">
        <f>$AN18</f>
        <v>1</v>
      </c>
      <c r="AL18" s="918">
        <f>$AT18</f>
        <v>1.5681449998445471</v>
      </c>
      <c r="AM18" s="1101" t="str">
        <f>$BF$45&amp;"; "&amp;$AS18</f>
        <v>(5,3,1,1,1,5); Rough estimation based on cumulative data, Krieger et al. 2006</v>
      </c>
      <c r="AN18" s="917">
        <v>1</v>
      </c>
      <c r="AO18" s="918">
        <f t="shared" si="26"/>
        <v>1.5994360002076888</v>
      </c>
      <c r="AP18" s="1101" t="str">
        <f t="shared" si="28"/>
        <v>(3,3,5,5,1,5); Boustead 1979</v>
      </c>
      <c r="AQ18" s="1068"/>
      <c r="AR18" s="1068"/>
      <c r="AS18" s="399" t="str">
        <f>AS$16</f>
        <v>Rough estimation based on cumulative data, Krieger et al. 2006</v>
      </c>
      <c r="AT18" s="977">
        <f t="shared" si="27"/>
        <v>1.5681449998445471</v>
      </c>
      <c r="AU18" s="399" t="s">
        <v>224</v>
      </c>
      <c r="AV18" s="975">
        <v>3</v>
      </c>
      <c r="AW18" s="976">
        <v>3</v>
      </c>
      <c r="AX18" s="976">
        <v>5</v>
      </c>
      <c r="AY18" s="976">
        <v>5</v>
      </c>
      <c r="AZ18" s="976">
        <v>1</v>
      </c>
      <c r="BA18" s="976">
        <v>5</v>
      </c>
      <c r="BB18" s="976">
        <v>1</v>
      </c>
      <c r="BC18" s="977">
        <v>1.05</v>
      </c>
      <c r="BD18" s="977">
        <f t="shared" si="8"/>
        <v>1.5953767020422345</v>
      </c>
      <c r="BE18" s="977">
        <f t="shared" si="9"/>
        <v>1.5994360002076888</v>
      </c>
      <c r="BF18" s="977" t="str">
        <f t="shared" si="10"/>
        <v>(3,3,5,5,1,5)</v>
      </c>
      <c r="BG18" s="399"/>
      <c r="BH18" s="978">
        <v>1.1000000000000001</v>
      </c>
      <c r="BI18" s="978">
        <v>1.05</v>
      </c>
      <c r="BJ18" s="978">
        <v>1.5</v>
      </c>
      <c r="BK18" s="978">
        <v>1.1000000000000001</v>
      </c>
      <c r="BL18" s="978">
        <v>1</v>
      </c>
      <c r="BM18" s="978">
        <v>1.2</v>
      </c>
    </row>
    <row r="19" spans="1:65" ht="24" customHeight="1">
      <c r="A19" s="794">
        <v>269525</v>
      </c>
      <c r="B19" s="1064"/>
      <c r="C19" s="1065"/>
      <c r="D19" s="1072">
        <v>5</v>
      </c>
      <c r="E19" s="1073" t="s">
        <v>98</v>
      </c>
      <c r="F19" s="868" t="s">
        <v>229</v>
      </c>
      <c r="G19" s="869" t="s">
        <v>93</v>
      </c>
      <c r="H19" s="870" t="s">
        <v>98</v>
      </c>
      <c r="I19" s="871" t="s">
        <v>98</v>
      </c>
      <c r="J19" s="872">
        <v>1</v>
      </c>
      <c r="K19" s="869" t="s">
        <v>144</v>
      </c>
      <c r="L19" s="961">
        <v>4.0000000000000001E-10</v>
      </c>
      <c r="M19" s="919">
        <f t="shared" si="11"/>
        <v>1</v>
      </c>
      <c r="N19" s="920">
        <f t="shared" si="12"/>
        <v>3.899350600768392</v>
      </c>
      <c r="O19" s="1069" t="str">
        <f t="shared" si="13"/>
        <v>(5,na,1,1,5,na); Rough estimation</v>
      </c>
      <c r="P19" s="961">
        <v>4.0000000000000001E-10</v>
      </c>
      <c r="Q19" s="919">
        <f>$AN19</f>
        <v>1</v>
      </c>
      <c r="R19" s="920">
        <f>$AO19</f>
        <v>3.899350600768392</v>
      </c>
      <c r="S19" s="1069" t="str">
        <f>$AP19</f>
        <v>(5,na,1,1,5,na); Rough estimation</v>
      </c>
      <c r="T19" s="961">
        <v>4.0000000000000001E-10</v>
      </c>
      <c r="U19" s="919">
        <f t="shared" si="14"/>
        <v>1</v>
      </c>
      <c r="V19" s="920">
        <f t="shared" si="15"/>
        <v>3.2744788777166907</v>
      </c>
      <c r="W19" s="1070" t="str">
        <f t="shared" si="16"/>
        <v>(5,3,1,1,1,5); Rough estimation based on cumulative data, Krieger et al. 2006</v>
      </c>
      <c r="X19" s="961">
        <v>4.0000000000000001E-10</v>
      </c>
      <c r="Y19" s="919">
        <f t="shared" si="17"/>
        <v>1</v>
      </c>
      <c r="Z19" s="920">
        <f t="shared" si="18"/>
        <v>3.2744788777166907</v>
      </c>
      <c r="AA19" s="1070" t="str">
        <f t="shared" si="19"/>
        <v>(5,3,1,1,1,5); Rough estimation based on cumulative data, Krieger et al. 2006</v>
      </c>
      <c r="AB19" s="961">
        <v>4.0000000000000001E-10</v>
      </c>
      <c r="AC19" s="919">
        <f t="shared" si="20"/>
        <v>1</v>
      </c>
      <c r="AD19" s="920">
        <f t="shared" si="21"/>
        <v>3.2744788777166907</v>
      </c>
      <c r="AE19" s="1070" t="str">
        <f t="shared" si="22"/>
        <v>(5,3,1,1,1,5); Rough estimation based on cumulative data, Krieger et al. 2006</v>
      </c>
      <c r="AF19" s="961">
        <v>4.0000000000000001E-10</v>
      </c>
      <c r="AG19" s="919">
        <f t="shared" si="23"/>
        <v>1</v>
      </c>
      <c r="AH19" s="920">
        <f t="shared" si="24"/>
        <v>3.2744788777166907</v>
      </c>
      <c r="AI19" s="1070" t="str">
        <f t="shared" si="25"/>
        <v>(5,3,1,1,1,5); Rough estimation based on cumulative data, Krieger et al. 2006</v>
      </c>
      <c r="AJ19" s="961">
        <v>4.0000000000000001E-10</v>
      </c>
      <c r="AK19" s="919">
        <f>$AN19</f>
        <v>1</v>
      </c>
      <c r="AL19" s="920">
        <f>$AT19</f>
        <v>3.2744788777166907</v>
      </c>
      <c r="AM19" s="1071" t="str">
        <f>$BF$45&amp;"; "&amp;$AS19</f>
        <v>(5,3,1,1,1,5); Rough estimation based on cumulative data, Krieger et al. 2006</v>
      </c>
      <c r="AN19" s="919">
        <v>1</v>
      </c>
      <c r="AO19" s="920">
        <f t="shared" si="26"/>
        <v>3.899350600768392</v>
      </c>
      <c r="AP19" s="1071" t="str">
        <f t="shared" si="28"/>
        <v>(5,na,1,1,5,na); Rough estimation</v>
      </c>
      <c r="AQ19" s="1068"/>
      <c r="AR19" s="1068"/>
      <c r="AS19" s="399" t="str">
        <f>AS$16</f>
        <v>Rough estimation based on cumulative data, Krieger et al. 2006</v>
      </c>
      <c r="AT19" s="979">
        <f t="shared" si="27"/>
        <v>3.2744788777166907</v>
      </c>
      <c r="AU19" s="1074" t="s">
        <v>230</v>
      </c>
      <c r="AV19" s="974">
        <v>5</v>
      </c>
      <c r="AW19" s="974" t="s">
        <v>106</v>
      </c>
      <c r="AX19" s="974">
        <v>1</v>
      </c>
      <c r="AY19" s="974">
        <v>1</v>
      </c>
      <c r="AZ19" s="974">
        <v>5</v>
      </c>
      <c r="BA19" s="974" t="s">
        <v>106</v>
      </c>
      <c r="BB19" s="974">
        <v>9</v>
      </c>
      <c r="BC19" s="979">
        <v>3</v>
      </c>
      <c r="BD19" s="979">
        <f t="shared" si="8"/>
        <v>2.2322914680502111</v>
      </c>
      <c r="BE19" s="979">
        <f t="shared" si="9"/>
        <v>3.899350600768392</v>
      </c>
      <c r="BF19" s="979" t="str">
        <f t="shared" si="10"/>
        <v>(5,na,1,1,5,na)</v>
      </c>
      <c r="BG19" s="399"/>
      <c r="BH19" s="980">
        <v>1.5</v>
      </c>
      <c r="BI19" s="980">
        <v>1</v>
      </c>
      <c r="BJ19" s="980">
        <v>1</v>
      </c>
      <c r="BK19" s="980">
        <v>1</v>
      </c>
      <c r="BL19" s="980">
        <v>2</v>
      </c>
      <c r="BM19" s="980">
        <v>1</v>
      </c>
    </row>
    <row r="20" spans="1:65" ht="12.75" customHeight="1">
      <c r="A20" s="794">
        <v>267904</v>
      </c>
      <c r="B20" s="1064"/>
      <c r="C20" s="1065"/>
      <c r="D20" s="1102">
        <v>5</v>
      </c>
      <c r="E20" s="1103" t="s">
        <v>98</v>
      </c>
      <c r="F20" s="899" t="s">
        <v>206</v>
      </c>
      <c r="G20" s="900" t="s">
        <v>154</v>
      </c>
      <c r="H20" s="906" t="s">
        <v>98</v>
      </c>
      <c r="I20" s="901" t="s">
        <v>98</v>
      </c>
      <c r="J20" s="902">
        <v>0</v>
      </c>
      <c r="K20" s="900" t="s">
        <v>96</v>
      </c>
      <c r="L20" s="1098">
        <v>0</v>
      </c>
      <c r="M20" s="917">
        <f t="shared" si="11"/>
        <v>1</v>
      </c>
      <c r="N20" s="918">
        <f t="shared" si="12"/>
        <v>1.0888159599559692</v>
      </c>
      <c r="O20" s="1099" t="str">
        <f t="shared" si="13"/>
        <v>(2,3,1,2,1,na); Krieger 2006</v>
      </c>
      <c r="P20" s="1098">
        <f>AQ20</f>
        <v>2.0529999999999999</v>
      </c>
      <c r="Q20" s="917">
        <f>$AN20</f>
        <v>1</v>
      </c>
      <c r="R20" s="918">
        <f>$AO20</f>
        <v>1.0888159599559692</v>
      </c>
      <c r="S20" s="1099" t="str">
        <f>$AP20</f>
        <v>(2,3,1,2,1,na); Krieger 2006</v>
      </c>
      <c r="T20" s="1098">
        <v>0</v>
      </c>
      <c r="U20" s="917">
        <f t="shared" si="14"/>
        <v>1</v>
      </c>
      <c r="V20" s="918">
        <f t="shared" si="15"/>
        <v>0</v>
      </c>
      <c r="W20" s="1100">
        <f t="shared" si="16"/>
        <v>0</v>
      </c>
      <c r="X20" s="1098">
        <v>0</v>
      </c>
      <c r="Y20" s="917">
        <f t="shared" si="17"/>
        <v>1</v>
      </c>
      <c r="Z20" s="918">
        <f t="shared" si="18"/>
        <v>0</v>
      </c>
      <c r="AA20" s="1100">
        <f t="shared" si="19"/>
        <v>0</v>
      </c>
      <c r="AB20" s="1098">
        <v>0</v>
      </c>
      <c r="AC20" s="917">
        <f t="shared" si="20"/>
        <v>1</v>
      </c>
      <c r="AD20" s="918">
        <f t="shared" si="21"/>
        <v>0</v>
      </c>
      <c r="AE20" s="1100">
        <f t="shared" si="22"/>
        <v>0</v>
      </c>
      <c r="AF20" s="1098">
        <v>0</v>
      </c>
      <c r="AG20" s="917">
        <f t="shared" si="23"/>
        <v>1</v>
      </c>
      <c r="AH20" s="918">
        <f t="shared" si="24"/>
        <v>0</v>
      </c>
      <c r="AI20" s="1100">
        <f t="shared" si="25"/>
        <v>0</v>
      </c>
      <c r="AJ20" s="1098">
        <v>0</v>
      </c>
      <c r="AK20" s="917"/>
      <c r="AL20" s="918"/>
      <c r="AM20" s="1101"/>
      <c r="AN20" s="917">
        <v>1</v>
      </c>
      <c r="AO20" s="918">
        <f t="shared" si="26"/>
        <v>1.0888159599559692</v>
      </c>
      <c r="AP20" s="1101" t="str">
        <f t="shared" si="28"/>
        <v>(2,3,1,2,1,na); Krieger 2006</v>
      </c>
      <c r="AQ20" s="1068">
        <v>2.0529999999999999</v>
      </c>
      <c r="AR20" s="1068"/>
      <c r="AS20" s="399"/>
      <c r="AT20" s="977">
        <f t="shared" si="27"/>
        <v>1.5681449998445471</v>
      </c>
      <c r="AU20" s="399" t="s">
        <v>204</v>
      </c>
      <c r="AV20" s="975">
        <v>2</v>
      </c>
      <c r="AW20" s="976">
        <v>3</v>
      </c>
      <c r="AX20" s="976">
        <v>1</v>
      </c>
      <c r="AY20" s="976">
        <v>2</v>
      </c>
      <c r="AZ20" s="976">
        <v>1</v>
      </c>
      <c r="BA20" s="976" t="s">
        <v>106</v>
      </c>
      <c r="BB20" s="976">
        <v>3</v>
      </c>
      <c r="BC20" s="977">
        <v>1.05</v>
      </c>
      <c r="BD20" s="977">
        <f t="shared" si="8"/>
        <v>1.0722009304576894</v>
      </c>
      <c r="BE20" s="977">
        <f t="shared" si="9"/>
        <v>1.0888159599559692</v>
      </c>
      <c r="BF20" s="977" t="str">
        <f t="shared" si="10"/>
        <v>(2,3,1,2,1,na)</v>
      </c>
      <c r="BG20" s="399"/>
      <c r="BH20" s="978">
        <v>1.05</v>
      </c>
      <c r="BI20" s="978">
        <v>1.05</v>
      </c>
      <c r="BJ20" s="978">
        <v>1</v>
      </c>
      <c r="BK20" s="978">
        <v>1.01</v>
      </c>
      <c r="BL20" s="978">
        <v>1</v>
      </c>
      <c r="BM20" s="978">
        <v>1</v>
      </c>
    </row>
    <row r="21" spans="1:65" ht="24" hidden="1" customHeight="1" outlineLevel="1">
      <c r="A21" s="794">
        <f>A8</f>
        <v>269261</v>
      </c>
      <c r="B21" s="1064"/>
      <c r="C21" s="1065"/>
      <c r="D21" s="1072">
        <v>5</v>
      </c>
      <c r="E21" s="1073" t="s">
        <v>98</v>
      </c>
      <c r="F21" s="868" t="s">
        <v>207</v>
      </c>
      <c r="G21" s="869" t="s">
        <v>154</v>
      </c>
      <c r="H21" s="870" t="s">
        <v>98</v>
      </c>
      <c r="I21" s="871" t="s">
        <v>98</v>
      </c>
      <c r="J21" s="872">
        <v>0</v>
      </c>
      <c r="K21" s="869" t="s">
        <v>96</v>
      </c>
      <c r="L21" s="961">
        <v>0</v>
      </c>
      <c r="M21" s="919">
        <f t="shared" si="11"/>
        <v>1</v>
      </c>
      <c r="N21" s="920">
        <f t="shared" si="12"/>
        <v>1.0888159599559692</v>
      </c>
      <c r="O21" s="1069" t="str">
        <f t="shared" si="13"/>
        <v>(2,3,1,2,1,na); Krieger 2006</v>
      </c>
      <c r="P21" s="961">
        <v>0</v>
      </c>
      <c r="Q21" s="919"/>
      <c r="R21" s="920"/>
      <c r="S21" s="1069"/>
      <c r="T21" s="961">
        <v>0.63699339119356602</v>
      </c>
      <c r="U21" s="919">
        <f t="shared" si="14"/>
        <v>1</v>
      </c>
      <c r="V21" s="920">
        <f t="shared" si="15"/>
        <v>1.5681449998445471</v>
      </c>
      <c r="W21" s="1070" t="str">
        <f t="shared" si="16"/>
        <v>(5,3,1,1,1,5); Rough estimation based on cumulative data, Krieger et al. 2006</v>
      </c>
      <c r="X21" s="961">
        <v>-0.45766590389015999</v>
      </c>
      <c r="Y21" s="919">
        <f t="shared" si="17"/>
        <v>1</v>
      </c>
      <c r="Z21" s="920">
        <f t="shared" si="18"/>
        <v>1.5681449998445471</v>
      </c>
      <c r="AA21" s="1070" t="str">
        <f t="shared" si="19"/>
        <v>(5,3,1,1,1,5); Rough estimation based on cumulative data, Krieger et al. 2006</v>
      </c>
      <c r="AB21" s="961">
        <v>0</v>
      </c>
      <c r="AC21" s="919">
        <f t="shared" si="20"/>
        <v>1</v>
      </c>
      <c r="AD21" s="920">
        <f t="shared" si="21"/>
        <v>1.5681449998445471</v>
      </c>
      <c r="AE21" s="1070" t="str">
        <f t="shared" si="22"/>
        <v>(5,3,1,1,1,5); Rough estimation based on cumulative data, Krieger et al. 2006</v>
      </c>
      <c r="AF21" s="961">
        <v>0</v>
      </c>
      <c r="AG21" s="919">
        <f t="shared" si="23"/>
        <v>1</v>
      </c>
      <c r="AH21" s="920">
        <f t="shared" si="24"/>
        <v>1.5681449998445471</v>
      </c>
      <c r="AI21" s="1070" t="str">
        <f t="shared" si="25"/>
        <v>(5,3,1,1,1,5); Rough estimation based on cumulative data, Krieger et al. 2006</v>
      </c>
      <c r="AJ21" s="961">
        <v>0</v>
      </c>
      <c r="AK21" s="919">
        <f t="shared" ref="AK21:AK36" si="29">$AN21</f>
        <v>1</v>
      </c>
      <c r="AL21" s="920">
        <f t="shared" ref="AL21:AL36" si="30">$AT21</f>
        <v>1.5681449998445471</v>
      </c>
      <c r="AM21" s="1071" t="str">
        <f t="shared" ref="AM21:AM36" si="31">$BF$45&amp;"; "&amp;$AS21</f>
        <v>(5,3,1,1,1,5); Rough estimation based on cumulative data, Krieger et al. 2006</v>
      </c>
      <c r="AN21" s="919">
        <v>1</v>
      </c>
      <c r="AO21" s="920">
        <f t="shared" si="26"/>
        <v>1.0888159599559692</v>
      </c>
      <c r="AP21" s="1071" t="str">
        <f t="shared" si="28"/>
        <v>(2,3,1,2,1,na); Krieger 2006</v>
      </c>
      <c r="AQ21" s="1068"/>
      <c r="AR21" s="1068"/>
      <c r="AS21" s="399" t="str">
        <f>AS$16</f>
        <v>Rough estimation based on cumulative data, Krieger et al. 2006</v>
      </c>
      <c r="AT21" s="979">
        <f t="shared" si="27"/>
        <v>1.5681449998445471</v>
      </c>
      <c r="AU21" s="399" t="s">
        <v>204</v>
      </c>
      <c r="AV21" s="973">
        <v>2</v>
      </c>
      <c r="AW21" s="974">
        <v>3</v>
      </c>
      <c r="AX21" s="974">
        <v>1</v>
      </c>
      <c r="AY21" s="974">
        <v>2</v>
      </c>
      <c r="AZ21" s="974">
        <v>1</v>
      </c>
      <c r="BA21" s="974" t="s">
        <v>106</v>
      </c>
      <c r="BB21" s="974">
        <v>3</v>
      </c>
      <c r="BC21" s="979">
        <v>1.05</v>
      </c>
      <c r="BD21" s="979">
        <f t="shared" si="8"/>
        <v>1.0722009304576894</v>
      </c>
      <c r="BE21" s="979">
        <f t="shared" si="9"/>
        <v>1.0888159599559692</v>
      </c>
      <c r="BF21" s="979" t="str">
        <f t="shared" si="10"/>
        <v>(2,3,1,2,1,na)</v>
      </c>
      <c r="BG21" s="399"/>
      <c r="BH21" s="980">
        <v>1.05</v>
      </c>
      <c r="BI21" s="980">
        <v>1.05</v>
      </c>
      <c r="BJ21" s="980">
        <v>1</v>
      </c>
      <c r="BK21" s="980">
        <v>1.01</v>
      </c>
      <c r="BL21" s="980">
        <v>1</v>
      </c>
      <c r="BM21" s="980">
        <v>1</v>
      </c>
    </row>
    <row r="22" spans="1:65" ht="24" hidden="1" customHeight="1" outlineLevel="1">
      <c r="A22" s="794">
        <f>A9</f>
        <v>267746</v>
      </c>
      <c r="B22" s="1064"/>
      <c r="C22" s="1065"/>
      <c r="D22" s="1102">
        <v>5</v>
      </c>
      <c r="E22" s="1103" t="s">
        <v>98</v>
      </c>
      <c r="F22" s="899" t="s">
        <v>208</v>
      </c>
      <c r="G22" s="900" t="s">
        <v>215</v>
      </c>
      <c r="H22" s="906" t="s">
        <v>98</v>
      </c>
      <c r="I22" s="901" t="s">
        <v>98</v>
      </c>
      <c r="J22" s="902">
        <v>0</v>
      </c>
      <c r="K22" s="900" t="s">
        <v>96</v>
      </c>
      <c r="L22" s="1098">
        <v>0</v>
      </c>
      <c r="M22" s="917">
        <f t="shared" si="11"/>
        <v>1</v>
      </c>
      <c r="N22" s="918">
        <f t="shared" si="12"/>
        <v>1.0888159599559692</v>
      </c>
      <c r="O22" s="1099" t="str">
        <f t="shared" si="13"/>
        <v>(2,3,1,2,1,na); Krieger 2006</v>
      </c>
      <c r="P22" s="1098">
        <v>0</v>
      </c>
      <c r="Q22" s="917"/>
      <c r="R22" s="918"/>
      <c r="S22" s="1099"/>
      <c r="T22" s="1098">
        <v>0</v>
      </c>
      <c r="U22" s="917">
        <f t="shared" si="14"/>
        <v>1</v>
      </c>
      <c r="V22" s="918">
        <f t="shared" si="15"/>
        <v>1.5681449998445471</v>
      </c>
      <c r="W22" s="1100" t="str">
        <f t="shared" si="16"/>
        <v>(5,3,1,1,1,5); Rough estimation based on cumulative data, Krieger et al. 2006</v>
      </c>
      <c r="X22" s="1098">
        <v>1.51258581235698</v>
      </c>
      <c r="Y22" s="917">
        <f t="shared" si="17"/>
        <v>1</v>
      </c>
      <c r="Z22" s="918">
        <f t="shared" si="18"/>
        <v>1.5681449998445471</v>
      </c>
      <c r="AA22" s="1100" t="str">
        <f t="shared" si="19"/>
        <v>(5,3,1,1,1,5); Rough estimation based on cumulative data, Krieger et al. 2006</v>
      </c>
      <c r="AB22" s="1098">
        <v>0</v>
      </c>
      <c r="AC22" s="917">
        <f t="shared" si="20"/>
        <v>1</v>
      </c>
      <c r="AD22" s="918">
        <f t="shared" si="21"/>
        <v>1.5681449998445471</v>
      </c>
      <c r="AE22" s="1100" t="str">
        <f t="shared" si="22"/>
        <v>(5,3,1,1,1,5); Rough estimation based on cumulative data, Krieger et al. 2006</v>
      </c>
      <c r="AF22" s="1098">
        <v>0</v>
      </c>
      <c r="AG22" s="917">
        <f t="shared" si="23"/>
        <v>1</v>
      </c>
      <c r="AH22" s="918">
        <f t="shared" si="24"/>
        <v>1.5681449998445471</v>
      </c>
      <c r="AI22" s="1100" t="str">
        <f t="shared" si="25"/>
        <v>(5,3,1,1,1,5); Rough estimation based on cumulative data, Krieger et al. 2006</v>
      </c>
      <c r="AJ22" s="1098">
        <v>0</v>
      </c>
      <c r="AK22" s="917">
        <f t="shared" si="29"/>
        <v>1</v>
      </c>
      <c r="AL22" s="918">
        <f t="shared" si="30"/>
        <v>1.5681449998445471</v>
      </c>
      <c r="AM22" s="1101" t="str">
        <f t="shared" si="31"/>
        <v>(5,3,1,1,1,5); Rough estimation based on cumulative data, Krieger et al. 2006</v>
      </c>
      <c r="AN22" s="917">
        <v>1</v>
      </c>
      <c r="AO22" s="918">
        <f t="shared" si="26"/>
        <v>1.0888159599559692</v>
      </c>
      <c r="AP22" s="1101" t="str">
        <f t="shared" si="28"/>
        <v>(2,3,1,2,1,na); Krieger 2006</v>
      </c>
      <c r="AQ22" s="1068"/>
      <c r="AR22" s="1068"/>
      <c r="AS22" s="399" t="str">
        <f>AS$16</f>
        <v>Rough estimation based on cumulative data, Krieger et al. 2006</v>
      </c>
      <c r="AT22" s="977">
        <f t="shared" si="27"/>
        <v>1.5681449998445471</v>
      </c>
      <c r="AU22" s="399" t="s">
        <v>204</v>
      </c>
      <c r="AV22" s="975">
        <v>2</v>
      </c>
      <c r="AW22" s="976">
        <v>3</v>
      </c>
      <c r="AX22" s="976">
        <v>1</v>
      </c>
      <c r="AY22" s="976">
        <v>2</v>
      </c>
      <c r="AZ22" s="976">
        <v>1</v>
      </c>
      <c r="BA22" s="976" t="s">
        <v>106</v>
      </c>
      <c r="BB22" s="976">
        <v>3</v>
      </c>
      <c r="BC22" s="977">
        <v>1.05</v>
      </c>
      <c r="BD22" s="977">
        <f t="shared" si="8"/>
        <v>1.0722009304576894</v>
      </c>
      <c r="BE22" s="977">
        <f t="shared" si="9"/>
        <v>1.0888159599559692</v>
      </c>
      <c r="BF22" s="977" t="str">
        <f t="shared" si="10"/>
        <v>(2,3,1,2,1,na)</v>
      </c>
      <c r="BG22" s="399"/>
      <c r="BH22" s="978">
        <v>1.05</v>
      </c>
      <c r="BI22" s="978">
        <v>1.05</v>
      </c>
      <c r="BJ22" s="978">
        <v>1</v>
      </c>
      <c r="BK22" s="978">
        <v>1.01</v>
      </c>
      <c r="BL22" s="978">
        <v>1</v>
      </c>
      <c r="BM22" s="978">
        <v>1</v>
      </c>
    </row>
    <row r="23" spans="1:65" ht="24" hidden="1" customHeight="1" outlineLevel="1">
      <c r="A23" s="794">
        <f>A10</f>
        <v>267237</v>
      </c>
      <c r="B23" s="1064"/>
      <c r="C23" s="1065"/>
      <c r="D23" s="1072">
        <v>5</v>
      </c>
      <c r="E23" s="1073" t="s">
        <v>98</v>
      </c>
      <c r="F23" s="868" t="s">
        <v>209</v>
      </c>
      <c r="G23" s="869" t="s">
        <v>215</v>
      </c>
      <c r="H23" s="870" t="s">
        <v>98</v>
      </c>
      <c r="I23" s="871" t="s">
        <v>98</v>
      </c>
      <c r="J23" s="872">
        <v>0</v>
      </c>
      <c r="K23" s="869" t="s">
        <v>96</v>
      </c>
      <c r="L23" s="961">
        <v>0</v>
      </c>
      <c r="M23" s="919">
        <f t="shared" si="11"/>
        <v>1</v>
      </c>
      <c r="N23" s="920">
        <f t="shared" si="12"/>
        <v>1.0888159599559692</v>
      </c>
      <c r="O23" s="1069" t="str">
        <f t="shared" si="13"/>
        <v>(2,3,1,2,1,na); Krieger 2006</v>
      </c>
      <c r="P23" s="961">
        <v>0</v>
      </c>
      <c r="Q23" s="919"/>
      <c r="R23" s="920"/>
      <c r="S23" s="1069"/>
      <c r="T23" s="961">
        <v>0</v>
      </c>
      <c r="U23" s="919">
        <f t="shared" si="14"/>
        <v>1</v>
      </c>
      <c r="V23" s="920">
        <f t="shared" si="15"/>
        <v>1.5681449998445471</v>
      </c>
      <c r="W23" s="1070" t="str">
        <f t="shared" si="16"/>
        <v>(5,3,1,1,1,5); Rough estimation based on cumulative data, Krieger et al. 2006</v>
      </c>
      <c r="X23" s="961">
        <v>0</v>
      </c>
      <c r="Y23" s="919">
        <f t="shared" si="17"/>
        <v>1</v>
      </c>
      <c r="Z23" s="920">
        <f t="shared" si="18"/>
        <v>1.5681449998445471</v>
      </c>
      <c r="AA23" s="1070" t="str">
        <f t="shared" si="19"/>
        <v>(5,3,1,1,1,5); Rough estimation based on cumulative data, Krieger et al. 2006</v>
      </c>
      <c r="AB23" s="961">
        <v>1.0526315789473699</v>
      </c>
      <c r="AC23" s="919">
        <f t="shared" si="20"/>
        <v>1</v>
      </c>
      <c r="AD23" s="920">
        <f t="shared" si="21"/>
        <v>1.5681449998445471</v>
      </c>
      <c r="AE23" s="1070" t="str">
        <f t="shared" si="22"/>
        <v>(5,3,1,1,1,5); Rough estimation based on cumulative data, Krieger et al. 2006</v>
      </c>
      <c r="AF23" s="961">
        <v>0</v>
      </c>
      <c r="AG23" s="919">
        <f t="shared" si="23"/>
        <v>1</v>
      </c>
      <c r="AH23" s="920">
        <f t="shared" si="24"/>
        <v>1.5681449998445471</v>
      </c>
      <c r="AI23" s="1070" t="str">
        <f t="shared" si="25"/>
        <v>(5,3,1,1,1,5); Rough estimation based on cumulative data, Krieger et al. 2006</v>
      </c>
      <c r="AJ23" s="961">
        <v>0</v>
      </c>
      <c r="AK23" s="919">
        <f t="shared" si="29"/>
        <v>1</v>
      </c>
      <c r="AL23" s="920">
        <f t="shared" si="30"/>
        <v>1.5681449998445471</v>
      </c>
      <c r="AM23" s="1071" t="str">
        <f t="shared" si="31"/>
        <v>(5,3,1,1,1,5); Rough estimation based on cumulative data, Krieger et al. 2006</v>
      </c>
      <c r="AN23" s="919">
        <v>1</v>
      </c>
      <c r="AO23" s="920">
        <f t="shared" si="26"/>
        <v>1.0888159599559692</v>
      </c>
      <c r="AP23" s="1071" t="str">
        <f t="shared" si="28"/>
        <v>(2,3,1,2,1,na); Krieger 2006</v>
      </c>
      <c r="AQ23" s="1068"/>
      <c r="AR23" s="1068"/>
      <c r="AS23" s="399" t="str">
        <f>AS$16</f>
        <v>Rough estimation based on cumulative data, Krieger et al. 2006</v>
      </c>
      <c r="AT23" s="979">
        <f t="shared" si="27"/>
        <v>1.5681449998445471</v>
      </c>
      <c r="AU23" s="399" t="s">
        <v>204</v>
      </c>
      <c r="AV23" s="973">
        <v>2</v>
      </c>
      <c r="AW23" s="974">
        <v>3</v>
      </c>
      <c r="AX23" s="974">
        <v>1</v>
      </c>
      <c r="AY23" s="974">
        <v>2</v>
      </c>
      <c r="AZ23" s="974">
        <v>1</v>
      </c>
      <c r="BA23" s="974" t="s">
        <v>106</v>
      </c>
      <c r="BB23" s="974">
        <v>3</v>
      </c>
      <c r="BC23" s="979">
        <v>1.05</v>
      </c>
      <c r="BD23" s="979">
        <f t="shared" si="8"/>
        <v>1.0722009304576894</v>
      </c>
      <c r="BE23" s="979">
        <f t="shared" si="9"/>
        <v>1.0888159599559692</v>
      </c>
      <c r="BF23" s="979" t="str">
        <f t="shared" si="10"/>
        <v>(2,3,1,2,1,na)</v>
      </c>
      <c r="BG23" s="399"/>
      <c r="BH23" s="980">
        <v>1.05</v>
      </c>
      <c r="BI23" s="980">
        <v>1.05</v>
      </c>
      <c r="BJ23" s="980">
        <v>1</v>
      </c>
      <c r="BK23" s="980">
        <v>1.01</v>
      </c>
      <c r="BL23" s="980">
        <v>1</v>
      </c>
      <c r="BM23" s="980">
        <v>1</v>
      </c>
    </row>
    <row r="24" spans="1:65" ht="24" hidden="1" customHeight="1" outlineLevel="1">
      <c r="A24" s="794">
        <f>A11</f>
        <v>267239</v>
      </c>
      <c r="B24" s="1064"/>
      <c r="C24" s="1065"/>
      <c r="D24" s="1102">
        <v>5</v>
      </c>
      <c r="E24" s="1103" t="s">
        <v>98</v>
      </c>
      <c r="F24" s="899" t="s">
        <v>210</v>
      </c>
      <c r="G24" s="900" t="s">
        <v>215</v>
      </c>
      <c r="H24" s="906" t="s">
        <v>98</v>
      </c>
      <c r="I24" s="901" t="s">
        <v>98</v>
      </c>
      <c r="J24" s="902">
        <v>0</v>
      </c>
      <c r="K24" s="900" t="s">
        <v>96</v>
      </c>
      <c r="L24" s="1098">
        <v>0</v>
      </c>
      <c r="M24" s="917">
        <f t="shared" si="11"/>
        <v>1</v>
      </c>
      <c r="N24" s="918">
        <f t="shared" si="12"/>
        <v>1.0888159599559692</v>
      </c>
      <c r="O24" s="1099" t="str">
        <f t="shared" si="13"/>
        <v>(2,3,1,2,1,na); Krieger 2006</v>
      </c>
      <c r="P24" s="1098">
        <v>0</v>
      </c>
      <c r="Q24" s="917"/>
      <c r="R24" s="918"/>
      <c r="S24" s="1099"/>
      <c r="T24" s="1098">
        <v>0</v>
      </c>
      <c r="U24" s="917">
        <f t="shared" si="14"/>
        <v>1</v>
      </c>
      <c r="V24" s="918">
        <f t="shared" si="15"/>
        <v>1.5681449998445471</v>
      </c>
      <c r="W24" s="1100" t="str">
        <f t="shared" si="16"/>
        <v>(5,3,1,1,1,5); Rough estimation based on cumulative data, Krieger et al. 2006</v>
      </c>
      <c r="X24" s="1098">
        <v>0</v>
      </c>
      <c r="Y24" s="917">
        <f t="shared" si="17"/>
        <v>1</v>
      </c>
      <c r="Z24" s="918">
        <f t="shared" si="18"/>
        <v>1.5681449998445471</v>
      </c>
      <c r="AA24" s="1100" t="str">
        <f t="shared" si="19"/>
        <v>(5,3,1,1,1,5); Rough estimation based on cumulative data, Krieger et al. 2006</v>
      </c>
      <c r="AB24" s="1098">
        <v>0</v>
      </c>
      <c r="AC24" s="917">
        <f t="shared" si="20"/>
        <v>1</v>
      </c>
      <c r="AD24" s="918">
        <f t="shared" si="21"/>
        <v>1.5681449998445471</v>
      </c>
      <c r="AE24" s="1100" t="str">
        <f t="shared" si="22"/>
        <v>(5,3,1,1,1,5); Rough estimation based on cumulative data, Krieger et al. 2006</v>
      </c>
      <c r="AF24" s="1098">
        <v>1.0526315789473699</v>
      </c>
      <c r="AG24" s="917">
        <f t="shared" si="23"/>
        <v>1</v>
      </c>
      <c r="AH24" s="918">
        <f t="shared" si="24"/>
        <v>1.5681449998445471</v>
      </c>
      <c r="AI24" s="1100" t="str">
        <f t="shared" si="25"/>
        <v>(5,3,1,1,1,5); Rough estimation based on cumulative data, Krieger et al. 2006</v>
      </c>
      <c r="AJ24" s="1098">
        <v>0</v>
      </c>
      <c r="AK24" s="917">
        <f t="shared" si="29"/>
        <v>1</v>
      </c>
      <c r="AL24" s="918">
        <f t="shared" si="30"/>
        <v>1.5681449998445471</v>
      </c>
      <c r="AM24" s="1101" t="str">
        <f t="shared" si="31"/>
        <v>(5,3,1,1,1,5); Rough estimation based on cumulative data, Krieger et al. 2006</v>
      </c>
      <c r="AN24" s="917">
        <v>1</v>
      </c>
      <c r="AO24" s="918">
        <f t="shared" si="26"/>
        <v>1.0888159599559692</v>
      </c>
      <c r="AP24" s="1101" t="str">
        <f t="shared" si="28"/>
        <v>(2,3,1,2,1,na); Krieger 2006</v>
      </c>
      <c r="AQ24" s="1068"/>
      <c r="AR24" s="1068"/>
      <c r="AS24" s="399" t="str">
        <f>AS$16</f>
        <v>Rough estimation based on cumulative data, Krieger et al. 2006</v>
      </c>
      <c r="AT24" s="977">
        <f t="shared" si="27"/>
        <v>1.5681449998445471</v>
      </c>
      <c r="AU24" s="399" t="s">
        <v>204</v>
      </c>
      <c r="AV24" s="975">
        <v>2</v>
      </c>
      <c r="AW24" s="976">
        <v>3</v>
      </c>
      <c r="AX24" s="976">
        <v>1</v>
      </c>
      <c r="AY24" s="976">
        <v>2</v>
      </c>
      <c r="AZ24" s="976">
        <v>1</v>
      </c>
      <c r="BA24" s="976" t="s">
        <v>106</v>
      </c>
      <c r="BB24" s="976">
        <v>3</v>
      </c>
      <c r="BC24" s="977">
        <v>1.05</v>
      </c>
      <c r="BD24" s="977">
        <f t="shared" si="8"/>
        <v>1.0722009304576894</v>
      </c>
      <c r="BE24" s="977">
        <f t="shared" si="9"/>
        <v>1.0888159599559692</v>
      </c>
      <c r="BF24" s="977" t="str">
        <f t="shared" si="10"/>
        <v>(2,3,1,2,1,na)</v>
      </c>
      <c r="BG24" s="399"/>
      <c r="BH24" s="978">
        <v>1.05</v>
      </c>
      <c r="BI24" s="978">
        <v>1.05</v>
      </c>
      <c r="BJ24" s="978">
        <v>1</v>
      </c>
      <c r="BK24" s="978">
        <v>1.01</v>
      </c>
      <c r="BL24" s="978">
        <v>1</v>
      </c>
      <c r="BM24" s="978">
        <v>1</v>
      </c>
    </row>
    <row r="25" spans="1:65" ht="24" hidden="1" customHeight="1" outlineLevel="1">
      <c r="A25" s="794">
        <f>A12</f>
        <v>267153</v>
      </c>
      <c r="B25" s="1064"/>
      <c r="C25" s="1065"/>
      <c r="D25" s="1072">
        <v>5</v>
      </c>
      <c r="E25" s="1073" t="s">
        <v>98</v>
      </c>
      <c r="F25" s="868" t="s">
        <v>211</v>
      </c>
      <c r="G25" s="869" t="s">
        <v>215</v>
      </c>
      <c r="H25" s="870" t="s">
        <v>98</v>
      </c>
      <c r="I25" s="871" t="s">
        <v>98</v>
      </c>
      <c r="J25" s="872">
        <v>0</v>
      </c>
      <c r="K25" s="869" t="s">
        <v>96</v>
      </c>
      <c r="L25" s="961">
        <v>0</v>
      </c>
      <c r="M25" s="919">
        <f t="shared" si="11"/>
        <v>1</v>
      </c>
      <c r="N25" s="920">
        <f t="shared" si="12"/>
        <v>1.0888159599559692</v>
      </c>
      <c r="O25" s="1069" t="str">
        <f t="shared" si="13"/>
        <v>(2,3,1,2,1,na); Krieger 2006</v>
      </c>
      <c r="P25" s="961">
        <v>0</v>
      </c>
      <c r="Q25" s="919"/>
      <c r="R25" s="920"/>
      <c r="S25" s="1069"/>
      <c r="T25" s="961">
        <v>0</v>
      </c>
      <c r="U25" s="919">
        <f t="shared" si="14"/>
        <v>1</v>
      </c>
      <c r="V25" s="920">
        <f t="shared" si="15"/>
        <v>1.5681449998445471</v>
      </c>
      <c r="W25" s="1070" t="str">
        <f t="shared" si="16"/>
        <v>(5,3,1,1,1,5); Rough estimation based on cumulative data, Krieger et al. 2006</v>
      </c>
      <c r="X25" s="961">
        <v>0</v>
      </c>
      <c r="Y25" s="919">
        <f t="shared" si="17"/>
        <v>1</v>
      </c>
      <c r="Z25" s="920">
        <f t="shared" si="18"/>
        <v>1.5681449998445471</v>
      </c>
      <c r="AA25" s="1070" t="str">
        <f t="shared" si="19"/>
        <v>(5,3,1,1,1,5); Rough estimation based on cumulative data, Krieger et al. 2006</v>
      </c>
      <c r="AB25" s="961">
        <v>0</v>
      </c>
      <c r="AC25" s="919">
        <f t="shared" si="20"/>
        <v>1</v>
      </c>
      <c r="AD25" s="920">
        <f t="shared" si="21"/>
        <v>1.5681449998445471</v>
      </c>
      <c r="AE25" s="1070" t="str">
        <f t="shared" si="22"/>
        <v>(5,3,1,1,1,5); Rough estimation based on cumulative data, Krieger et al. 2006</v>
      </c>
      <c r="AF25" s="961">
        <v>0</v>
      </c>
      <c r="AG25" s="919">
        <f t="shared" si="23"/>
        <v>1</v>
      </c>
      <c r="AH25" s="920">
        <f t="shared" si="24"/>
        <v>1.5681449998445471</v>
      </c>
      <c r="AI25" s="1070" t="str">
        <f t="shared" si="25"/>
        <v>(5,3,1,1,1,5); Rough estimation based on cumulative data, Krieger et al. 2006</v>
      </c>
      <c r="AJ25" s="961">
        <v>0.80419897706649102</v>
      </c>
      <c r="AK25" s="919">
        <f t="shared" si="29"/>
        <v>1</v>
      </c>
      <c r="AL25" s="920">
        <f t="shared" si="30"/>
        <v>1.5681449998445471</v>
      </c>
      <c r="AM25" s="1071" t="str">
        <f t="shared" si="31"/>
        <v>(5,3,1,1,1,5); Rough estimation based on cumulative data, Krieger et al. 2006</v>
      </c>
      <c r="AN25" s="919">
        <v>1</v>
      </c>
      <c r="AO25" s="920">
        <f t="shared" si="26"/>
        <v>1.0888159599559692</v>
      </c>
      <c r="AP25" s="1071" t="str">
        <f t="shared" si="28"/>
        <v>(2,3,1,2,1,na); Krieger 2006</v>
      </c>
      <c r="AQ25" s="1068"/>
      <c r="AR25" s="1068"/>
      <c r="AS25" s="399" t="str">
        <f>AS$16</f>
        <v>Rough estimation based on cumulative data, Krieger et al. 2006</v>
      </c>
      <c r="AT25" s="979">
        <f t="shared" si="27"/>
        <v>1.5681449998445471</v>
      </c>
      <c r="AU25" s="399" t="s">
        <v>204</v>
      </c>
      <c r="AV25" s="973">
        <v>2</v>
      </c>
      <c r="AW25" s="974">
        <v>3</v>
      </c>
      <c r="AX25" s="974">
        <v>1</v>
      </c>
      <c r="AY25" s="974">
        <v>2</v>
      </c>
      <c r="AZ25" s="974">
        <v>1</v>
      </c>
      <c r="BA25" s="974" t="s">
        <v>106</v>
      </c>
      <c r="BB25" s="974">
        <v>3</v>
      </c>
      <c r="BC25" s="979">
        <v>1.05</v>
      </c>
      <c r="BD25" s="979">
        <f t="shared" si="8"/>
        <v>1.0722009304576894</v>
      </c>
      <c r="BE25" s="979">
        <f t="shared" si="9"/>
        <v>1.0888159599559692</v>
      </c>
      <c r="BF25" s="979" t="str">
        <f t="shared" si="10"/>
        <v>(2,3,1,2,1,na)</v>
      </c>
      <c r="BG25" s="399"/>
      <c r="BH25" s="980">
        <v>1.05</v>
      </c>
      <c r="BI25" s="980">
        <v>1.05</v>
      </c>
      <c r="BJ25" s="980">
        <v>1</v>
      </c>
      <c r="BK25" s="980">
        <v>1.01</v>
      </c>
      <c r="BL25" s="980">
        <v>1</v>
      </c>
      <c r="BM25" s="980">
        <v>1</v>
      </c>
    </row>
    <row r="26" spans="1:65" ht="12.75" hidden="1" customHeight="1" outlineLevel="1">
      <c r="A26" s="794">
        <v>268189</v>
      </c>
      <c r="B26" s="1064"/>
      <c r="C26" s="1065"/>
      <c r="D26" s="1102">
        <v>5</v>
      </c>
      <c r="E26" s="1103" t="s">
        <v>98</v>
      </c>
      <c r="F26" s="899" t="s">
        <v>231</v>
      </c>
      <c r="G26" s="900" t="s">
        <v>103</v>
      </c>
      <c r="H26" s="906" t="s">
        <v>98</v>
      </c>
      <c r="I26" s="901" t="s">
        <v>98</v>
      </c>
      <c r="J26" s="902">
        <v>0</v>
      </c>
      <c r="K26" s="900" t="s">
        <v>96</v>
      </c>
      <c r="L26" s="1098">
        <v>0</v>
      </c>
      <c r="M26" s="917">
        <f t="shared" si="11"/>
        <v>1</v>
      </c>
      <c r="N26" s="918">
        <f t="shared" si="12"/>
        <v>1.0888159599559692</v>
      </c>
      <c r="O26" s="1099" t="str">
        <f t="shared" si="13"/>
        <v>(2,3,1,2,1,na); Krieger 2006</v>
      </c>
      <c r="P26" s="1098">
        <v>0</v>
      </c>
      <c r="Q26" s="917"/>
      <c r="R26" s="918"/>
      <c r="S26" s="1099"/>
      <c r="T26" s="1098">
        <f>1/92.4%*26.1/66.1</f>
        <v>0.42733363459535928</v>
      </c>
      <c r="U26" s="917">
        <f t="shared" si="14"/>
        <v>1</v>
      </c>
      <c r="V26" s="918">
        <f t="shared" si="15"/>
        <v>1.5681449998445471</v>
      </c>
      <c r="W26" s="1100" t="str">
        <f t="shared" si="16"/>
        <v>(5,3,1,1,1,5); Acetylen yield is 92.4%</v>
      </c>
      <c r="X26" s="1098">
        <v>0</v>
      </c>
      <c r="Y26" s="917">
        <f t="shared" si="17"/>
        <v>1</v>
      </c>
      <c r="Z26" s="918">
        <f t="shared" si="18"/>
        <v>1.5681449998445471</v>
      </c>
      <c r="AA26" s="1100" t="str">
        <f t="shared" si="19"/>
        <v>(5,3,1,1,1,5); Acetylen yield is 92.4%</v>
      </c>
      <c r="AB26" s="1098">
        <v>0</v>
      </c>
      <c r="AC26" s="917">
        <f t="shared" si="20"/>
        <v>1</v>
      </c>
      <c r="AD26" s="918">
        <f t="shared" si="21"/>
        <v>1.5681449998445471</v>
      </c>
      <c r="AE26" s="1100" t="str">
        <f t="shared" si="22"/>
        <v>(5,3,1,1,1,5); Acetylen yield is 92.4%</v>
      </c>
      <c r="AF26" s="1098">
        <v>0</v>
      </c>
      <c r="AG26" s="917">
        <f t="shared" si="23"/>
        <v>1</v>
      </c>
      <c r="AH26" s="918">
        <f t="shared" si="24"/>
        <v>1.5681449998445471</v>
      </c>
      <c r="AI26" s="1100" t="str">
        <f t="shared" si="25"/>
        <v>(5,3,1,1,1,5); Acetylen yield is 92.4%</v>
      </c>
      <c r="AJ26" s="1098">
        <v>0</v>
      </c>
      <c r="AK26" s="917">
        <f t="shared" si="29"/>
        <v>1</v>
      </c>
      <c r="AL26" s="918">
        <f t="shared" si="30"/>
        <v>1.5681449998445471</v>
      </c>
      <c r="AM26" s="1101" t="str">
        <f t="shared" si="31"/>
        <v>(5,3,1,1,1,5); Acetylen yield is 92.4%</v>
      </c>
      <c r="AN26" s="917">
        <v>1</v>
      </c>
      <c r="AO26" s="918">
        <f t="shared" si="26"/>
        <v>1.0888159599559692</v>
      </c>
      <c r="AP26" s="1101" t="str">
        <f t="shared" si="28"/>
        <v>(2,3,1,2,1,na); Krieger 2006</v>
      </c>
      <c r="AQ26" s="1068"/>
      <c r="AR26" s="1068"/>
      <c r="AS26" s="399" t="s">
        <v>232</v>
      </c>
      <c r="AT26" s="977">
        <f t="shared" si="27"/>
        <v>1.5681449998445471</v>
      </c>
      <c r="AU26" s="399" t="s">
        <v>204</v>
      </c>
      <c r="AV26" s="975">
        <v>2</v>
      </c>
      <c r="AW26" s="976">
        <v>3</v>
      </c>
      <c r="AX26" s="976">
        <v>1</v>
      </c>
      <c r="AY26" s="976">
        <v>2</v>
      </c>
      <c r="AZ26" s="976">
        <v>1</v>
      </c>
      <c r="BA26" s="976" t="s">
        <v>106</v>
      </c>
      <c r="BB26" s="976">
        <v>3</v>
      </c>
      <c r="BC26" s="977">
        <v>1.05</v>
      </c>
      <c r="BD26" s="977">
        <f t="shared" si="8"/>
        <v>1.0722009304576894</v>
      </c>
      <c r="BE26" s="977">
        <f t="shared" si="9"/>
        <v>1.0888159599559692</v>
      </c>
      <c r="BF26" s="977" t="str">
        <f t="shared" si="10"/>
        <v>(2,3,1,2,1,na)</v>
      </c>
      <c r="BG26" s="399"/>
      <c r="BH26" s="978">
        <v>1.05</v>
      </c>
      <c r="BI26" s="978">
        <v>1.05</v>
      </c>
      <c r="BJ26" s="978">
        <v>1</v>
      </c>
      <c r="BK26" s="978">
        <v>1.01</v>
      </c>
      <c r="BL26" s="978">
        <v>1</v>
      </c>
      <c r="BM26" s="978">
        <v>1</v>
      </c>
    </row>
    <row r="27" spans="1:65" ht="24" hidden="1" customHeight="1" outlineLevel="1">
      <c r="A27" s="794">
        <v>266187</v>
      </c>
      <c r="B27" s="1064"/>
      <c r="C27" s="1065"/>
      <c r="D27" s="1072">
        <v>5</v>
      </c>
      <c r="E27" s="1073" t="s">
        <v>98</v>
      </c>
      <c r="F27" s="868" t="s">
        <v>233</v>
      </c>
      <c r="G27" s="869" t="s">
        <v>93</v>
      </c>
      <c r="H27" s="870" t="s">
        <v>98</v>
      </c>
      <c r="I27" s="871" t="s">
        <v>98</v>
      </c>
      <c r="J27" s="872">
        <v>0</v>
      </c>
      <c r="K27" s="869" t="s">
        <v>96</v>
      </c>
      <c r="L27" s="961">
        <v>0</v>
      </c>
      <c r="M27" s="919">
        <f t="shared" si="11"/>
        <v>1</v>
      </c>
      <c r="N27" s="920">
        <f t="shared" si="12"/>
        <v>1.0888159599559692</v>
      </c>
      <c r="O27" s="1069" t="str">
        <f t="shared" si="13"/>
        <v>(2,3,1,2,1,na); Krieger 2006</v>
      </c>
      <c r="P27" s="961">
        <v>0</v>
      </c>
      <c r="Q27" s="919"/>
      <c r="R27" s="920"/>
      <c r="S27" s="1069"/>
      <c r="T27" s="961">
        <v>0</v>
      </c>
      <c r="U27" s="919">
        <f t="shared" si="14"/>
        <v>1</v>
      </c>
      <c r="V27" s="920">
        <f t="shared" si="15"/>
        <v>1.5681449998445471</v>
      </c>
      <c r="W27" s="1070" t="str">
        <f t="shared" si="16"/>
        <v>(5,3,1,1,1,5); Rough estimation based on cumulative data, Krieger et al. 2006</v>
      </c>
      <c r="X27" s="961">
        <v>0</v>
      </c>
      <c r="Y27" s="919">
        <f t="shared" si="17"/>
        <v>1</v>
      </c>
      <c r="Z27" s="920">
        <f t="shared" si="18"/>
        <v>1.5681449998445471</v>
      </c>
      <c r="AA27" s="1070" t="str">
        <f t="shared" si="19"/>
        <v>(5,3,1,1,1,5); Rough estimation based on cumulative data, Krieger et al. 2006</v>
      </c>
      <c r="AB27" s="961">
        <v>0</v>
      </c>
      <c r="AC27" s="919">
        <f t="shared" si="20"/>
        <v>1</v>
      </c>
      <c r="AD27" s="920">
        <f t="shared" si="21"/>
        <v>1.5681449998445471</v>
      </c>
      <c r="AE27" s="1070" t="str">
        <f t="shared" si="22"/>
        <v>(5,3,1,1,1,5); Rough estimation based on cumulative data, Krieger et al. 2006</v>
      </c>
      <c r="AF27" s="961">
        <v>0.47050788878762401</v>
      </c>
      <c r="AG27" s="919">
        <f t="shared" si="23"/>
        <v>1</v>
      </c>
      <c r="AH27" s="920">
        <f t="shared" si="24"/>
        <v>1.5681449998445471</v>
      </c>
      <c r="AI27" s="1070" t="str">
        <f t="shared" si="25"/>
        <v>(5,3,1,1,1,5); Rough estimation based on cumulative data, Krieger et al. 2006</v>
      </c>
      <c r="AJ27" s="961">
        <v>0</v>
      </c>
      <c r="AK27" s="919">
        <f t="shared" si="29"/>
        <v>1</v>
      </c>
      <c r="AL27" s="920">
        <f t="shared" si="30"/>
        <v>1.5681449998445471</v>
      </c>
      <c r="AM27" s="1071" t="str">
        <f t="shared" si="31"/>
        <v>(5,3,1,1,1,5); Rough estimation based on cumulative data, Krieger et al. 2006</v>
      </c>
      <c r="AN27" s="919">
        <v>1</v>
      </c>
      <c r="AO27" s="920">
        <f t="shared" si="26"/>
        <v>1.0888159599559692</v>
      </c>
      <c r="AP27" s="1071" t="str">
        <f t="shared" si="28"/>
        <v>(2,3,1,2,1,na); Krieger 2006</v>
      </c>
      <c r="AQ27" s="1068"/>
      <c r="AR27" s="1068"/>
      <c r="AS27" s="399" t="str">
        <f>AS$16</f>
        <v>Rough estimation based on cumulative data, Krieger et al. 2006</v>
      </c>
      <c r="AT27" s="979">
        <f t="shared" si="27"/>
        <v>1.5681449998445471</v>
      </c>
      <c r="AU27" s="399" t="s">
        <v>204</v>
      </c>
      <c r="AV27" s="973">
        <v>2</v>
      </c>
      <c r="AW27" s="974">
        <v>3</v>
      </c>
      <c r="AX27" s="974">
        <v>1</v>
      </c>
      <c r="AY27" s="974">
        <v>2</v>
      </c>
      <c r="AZ27" s="974">
        <v>1</v>
      </c>
      <c r="BA27" s="974" t="s">
        <v>106</v>
      </c>
      <c r="BB27" s="974">
        <v>3</v>
      </c>
      <c r="BC27" s="979">
        <v>1.05</v>
      </c>
      <c r="BD27" s="979">
        <f t="shared" si="8"/>
        <v>1.0722009304576894</v>
      </c>
      <c r="BE27" s="979">
        <f t="shared" si="9"/>
        <v>1.0888159599559692</v>
      </c>
      <c r="BF27" s="979" t="str">
        <f t="shared" si="10"/>
        <v>(2,3,1,2,1,na)</v>
      </c>
      <c r="BG27" s="399"/>
      <c r="BH27" s="980">
        <v>1.05</v>
      </c>
      <c r="BI27" s="980">
        <v>1.05</v>
      </c>
      <c r="BJ27" s="980">
        <v>1</v>
      </c>
      <c r="BK27" s="980">
        <v>1.01</v>
      </c>
      <c r="BL27" s="980">
        <v>1</v>
      </c>
      <c r="BM27" s="980">
        <v>1</v>
      </c>
    </row>
    <row r="28" spans="1:65" ht="12.75" hidden="1" customHeight="1" outlineLevel="1">
      <c r="A28" s="794">
        <v>268241</v>
      </c>
      <c r="B28" s="1064"/>
      <c r="C28" s="1065"/>
      <c r="D28" s="1102">
        <v>5</v>
      </c>
      <c r="E28" s="1103" t="s">
        <v>98</v>
      </c>
      <c r="F28" s="899" t="s">
        <v>234</v>
      </c>
      <c r="G28" s="900" t="s">
        <v>93</v>
      </c>
      <c r="H28" s="906" t="s">
        <v>98</v>
      </c>
      <c r="I28" s="901" t="s">
        <v>98</v>
      </c>
      <c r="J28" s="902">
        <v>0</v>
      </c>
      <c r="K28" s="900" t="s">
        <v>96</v>
      </c>
      <c r="L28" s="1098">
        <v>0</v>
      </c>
      <c r="M28" s="917">
        <f t="shared" si="11"/>
        <v>1</v>
      </c>
      <c r="N28" s="918">
        <f t="shared" si="12"/>
        <v>1.0888159599559692</v>
      </c>
      <c r="O28" s="1099" t="str">
        <f t="shared" si="13"/>
        <v>(2,3,1,2,1,na); Krieger 2006</v>
      </c>
      <c r="P28" s="1098">
        <v>0</v>
      </c>
      <c r="Q28" s="917"/>
      <c r="R28" s="918"/>
      <c r="S28" s="1099"/>
      <c r="T28" s="1098">
        <v>0</v>
      </c>
      <c r="U28" s="917">
        <f t="shared" si="14"/>
        <v>1</v>
      </c>
      <c r="V28" s="918">
        <f t="shared" si="15"/>
        <v>1.5681449998445471</v>
      </c>
      <c r="W28" s="1100" t="str">
        <f t="shared" si="16"/>
        <v>(5,3,1,1,1,5); Emitted, but amount not known</v>
      </c>
      <c r="X28" s="1098">
        <v>0</v>
      </c>
      <c r="Y28" s="917">
        <f t="shared" si="17"/>
        <v>1</v>
      </c>
      <c r="Z28" s="918">
        <f t="shared" si="18"/>
        <v>1.5681449998445471</v>
      </c>
      <c r="AA28" s="1100" t="str">
        <f t="shared" si="19"/>
        <v>(5,3,1,1,1,5); Emitted, but amount not known</v>
      </c>
      <c r="AB28" s="1098">
        <v>0</v>
      </c>
      <c r="AC28" s="917">
        <f t="shared" si="20"/>
        <v>1</v>
      </c>
      <c r="AD28" s="918">
        <f t="shared" si="21"/>
        <v>1.5681449998445471</v>
      </c>
      <c r="AE28" s="1100" t="str">
        <f t="shared" si="22"/>
        <v>(5,3,1,1,1,5); Emitted, but amount not known</v>
      </c>
      <c r="AF28" s="1098">
        <v>0</v>
      </c>
      <c r="AG28" s="917">
        <f t="shared" si="23"/>
        <v>1</v>
      </c>
      <c r="AH28" s="918">
        <f t="shared" si="24"/>
        <v>1.5681449998445471</v>
      </c>
      <c r="AI28" s="1100" t="str">
        <f t="shared" si="25"/>
        <v>(5,3,1,1,1,5); Emitted, but amount not known</v>
      </c>
      <c r="AJ28" s="1098">
        <v>0</v>
      </c>
      <c r="AK28" s="917">
        <f t="shared" si="29"/>
        <v>1</v>
      </c>
      <c r="AL28" s="918">
        <f t="shared" si="30"/>
        <v>1.5681449998445471</v>
      </c>
      <c r="AM28" s="1101" t="str">
        <f t="shared" si="31"/>
        <v>(5,3,1,1,1,5); Emitted, but amount not known</v>
      </c>
      <c r="AN28" s="917">
        <v>1</v>
      </c>
      <c r="AO28" s="918">
        <f t="shared" si="26"/>
        <v>1.0888159599559692</v>
      </c>
      <c r="AP28" s="1101" t="str">
        <f t="shared" si="28"/>
        <v>(2,3,1,2,1,na); Krieger 2006</v>
      </c>
      <c r="AQ28" s="1068"/>
      <c r="AR28" s="1068"/>
      <c r="AS28" s="399" t="s">
        <v>235</v>
      </c>
      <c r="AT28" s="977">
        <f t="shared" si="27"/>
        <v>1.5681449998445471</v>
      </c>
      <c r="AU28" s="399" t="s">
        <v>204</v>
      </c>
      <c r="AV28" s="975">
        <v>2</v>
      </c>
      <c r="AW28" s="976">
        <v>3</v>
      </c>
      <c r="AX28" s="976">
        <v>1</v>
      </c>
      <c r="AY28" s="976">
        <v>2</v>
      </c>
      <c r="AZ28" s="976">
        <v>1</v>
      </c>
      <c r="BA28" s="976" t="s">
        <v>106</v>
      </c>
      <c r="BB28" s="976">
        <v>3</v>
      </c>
      <c r="BC28" s="977">
        <v>1.05</v>
      </c>
      <c r="BD28" s="977">
        <f t="shared" si="8"/>
        <v>1.0722009304576894</v>
      </c>
      <c r="BE28" s="977">
        <f t="shared" si="9"/>
        <v>1.0888159599559692</v>
      </c>
      <c r="BF28" s="977" t="str">
        <f t="shared" si="10"/>
        <v>(2,3,1,2,1,na)</v>
      </c>
      <c r="BG28" s="399"/>
      <c r="BH28" s="978">
        <v>1.05</v>
      </c>
      <c r="BI28" s="978">
        <v>1.05</v>
      </c>
      <c r="BJ28" s="978">
        <v>1</v>
      </c>
      <c r="BK28" s="978">
        <v>1.01</v>
      </c>
      <c r="BL28" s="978">
        <v>1</v>
      </c>
      <c r="BM28" s="978">
        <v>1</v>
      </c>
    </row>
    <row r="29" spans="1:65" ht="24" hidden="1" customHeight="1" outlineLevel="1">
      <c r="A29" s="794">
        <v>269469</v>
      </c>
      <c r="B29" s="1064"/>
      <c r="C29" s="1065"/>
      <c r="D29" s="1072">
        <v>5</v>
      </c>
      <c r="E29" s="1073" t="s">
        <v>98</v>
      </c>
      <c r="F29" s="868" t="s">
        <v>236</v>
      </c>
      <c r="G29" s="869" t="s">
        <v>93</v>
      </c>
      <c r="H29" s="870" t="s">
        <v>98</v>
      </c>
      <c r="I29" s="871" t="s">
        <v>98</v>
      </c>
      <c r="J29" s="872">
        <v>0</v>
      </c>
      <c r="K29" s="869" t="s">
        <v>96</v>
      </c>
      <c r="L29" s="961">
        <v>0</v>
      </c>
      <c r="M29" s="919">
        <f t="shared" si="11"/>
        <v>1</v>
      </c>
      <c r="N29" s="920">
        <f t="shared" si="12"/>
        <v>1.0888159599559692</v>
      </c>
      <c r="O29" s="1069" t="str">
        <f t="shared" si="13"/>
        <v>(2,3,1,2,1,na); Krieger 2006</v>
      </c>
      <c r="P29" s="961">
        <v>0</v>
      </c>
      <c r="Q29" s="919"/>
      <c r="R29" s="920"/>
      <c r="S29" s="1069"/>
      <c r="T29" s="961" t="s">
        <v>98</v>
      </c>
      <c r="U29" s="919">
        <f t="shared" si="14"/>
        <v>1</v>
      </c>
      <c r="V29" s="920">
        <f t="shared" si="15"/>
        <v>1.5681449998445471</v>
      </c>
      <c r="W29" s="1070" t="str">
        <f t="shared" si="16"/>
        <v>(5,3,1,1,1,5); Rough estimation based on cumulative data, Krieger et al. 2006</v>
      </c>
      <c r="X29" s="961">
        <v>0</v>
      </c>
      <c r="Y29" s="919">
        <f t="shared" si="17"/>
        <v>1</v>
      </c>
      <c r="Z29" s="920">
        <f t="shared" si="18"/>
        <v>1.5681449998445471</v>
      </c>
      <c r="AA29" s="1070" t="str">
        <f t="shared" si="19"/>
        <v>(5,3,1,1,1,5); Rough estimation based on cumulative data, Krieger et al. 2006</v>
      </c>
      <c r="AB29" s="961">
        <v>0</v>
      </c>
      <c r="AC29" s="919">
        <f t="shared" si="20"/>
        <v>1</v>
      </c>
      <c r="AD29" s="920">
        <f t="shared" si="21"/>
        <v>1.5681449998445471</v>
      </c>
      <c r="AE29" s="1070" t="str">
        <f t="shared" si="22"/>
        <v>(5,3,1,1,1,5); Rough estimation based on cumulative data, Krieger et al. 2006</v>
      </c>
      <c r="AF29" s="961">
        <v>0</v>
      </c>
      <c r="AG29" s="919">
        <f t="shared" si="23"/>
        <v>1</v>
      </c>
      <c r="AH29" s="920">
        <f t="shared" si="24"/>
        <v>1.5681449998445471</v>
      </c>
      <c r="AI29" s="1070" t="str">
        <f t="shared" si="25"/>
        <v>(5,3,1,1,1,5); Rough estimation based on cumulative data, Krieger et al. 2006</v>
      </c>
      <c r="AJ29" s="961">
        <v>0.24843260188087801</v>
      </c>
      <c r="AK29" s="919">
        <f t="shared" si="29"/>
        <v>1</v>
      </c>
      <c r="AL29" s="920">
        <f t="shared" si="30"/>
        <v>1.5681449998445471</v>
      </c>
      <c r="AM29" s="1071" t="str">
        <f t="shared" si="31"/>
        <v>(5,3,1,1,1,5); Rough estimation based on cumulative data, Krieger et al. 2006</v>
      </c>
      <c r="AN29" s="919">
        <v>1</v>
      </c>
      <c r="AO29" s="920">
        <f t="shared" si="26"/>
        <v>1.0888159599559692</v>
      </c>
      <c r="AP29" s="1071" t="str">
        <f t="shared" si="28"/>
        <v>(2,3,1,2,1,na); Krieger 2006</v>
      </c>
      <c r="AQ29" s="1068"/>
      <c r="AR29" s="1068"/>
      <c r="AS29" s="399" t="str">
        <f>AS$16</f>
        <v>Rough estimation based on cumulative data, Krieger et al. 2006</v>
      </c>
      <c r="AT29" s="979">
        <f t="shared" si="27"/>
        <v>1.5681449998445471</v>
      </c>
      <c r="AU29" s="399" t="s">
        <v>204</v>
      </c>
      <c r="AV29" s="973">
        <v>2</v>
      </c>
      <c r="AW29" s="974">
        <v>3</v>
      </c>
      <c r="AX29" s="974">
        <v>1</v>
      </c>
      <c r="AY29" s="974">
        <v>2</v>
      </c>
      <c r="AZ29" s="974">
        <v>1</v>
      </c>
      <c r="BA29" s="974" t="s">
        <v>106</v>
      </c>
      <c r="BB29" s="974">
        <v>3</v>
      </c>
      <c r="BC29" s="979">
        <v>1.05</v>
      </c>
      <c r="BD29" s="979">
        <f t="shared" si="8"/>
        <v>1.0722009304576894</v>
      </c>
      <c r="BE29" s="979">
        <f t="shared" si="9"/>
        <v>1.0888159599559692</v>
      </c>
      <c r="BF29" s="979" t="str">
        <f t="shared" si="10"/>
        <v>(2,3,1,2,1,na)</v>
      </c>
      <c r="BG29" s="399"/>
      <c r="BH29" s="980">
        <v>1.05</v>
      </c>
      <c r="BI29" s="980">
        <v>1.05</v>
      </c>
      <c r="BJ29" s="980">
        <v>1</v>
      </c>
      <c r="BK29" s="980">
        <v>1.01</v>
      </c>
      <c r="BL29" s="980">
        <v>1</v>
      </c>
      <c r="BM29" s="980">
        <v>1</v>
      </c>
    </row>
    <row r="30" spans="1:65" ht="24" hidden="1" customHeight="1" outlineLevel="1">
      <c r="A30" s="794">
        <v>268397</v>
      </c>
      <c r="B30" s="1064"/>
      <c r="C30" s="1065"/>
      <c r="D30" s="1102">
        <v>5</v>
      </c>
      <c r="E30" s="1103" t="s">
        <v>98</v>
      </c>
      <c r="F30" s="899" t="s">
        <v>237</v>
      </c>
      <c r="G30" s="900" t="s">
        <v>103</v>
      </c>
      <c r="H30" s="906" t="s">
        <v>98</v>
      </c>
      <c r="I30" s="901" t="s">
        <v>98</v>
      </c>
      <c r="J30" s="902">
        <v>0</v>
      </c>
      <c r="K30" s="900" t="s">
        <v>96</v>
      </c>
      <c r="L30" s="1098">
        <v>0</v>
      </c>
      <c r="M30" s="917">
        <f t="shared" si="11"/>
        <v>1</v>
      </c>
      <c r="N30" s="918">
        <f t="shared" si="12"/>
        <v>1.0888159599559692</v>
      </c>
      <c r="O30" s="1099" t="str">
        <f t="shared" si="13"/>
        <v>(2,3,1,2,1,na); Krieger 2006</v>
      </c>
      <c r="P30" s="1098">
        <v>0</v>
      </c>
      <c r="Q30" s="917"/>
      <c r="R30" s="918"/>
      <c r="S30" s="1099"/>
      <c r="T30" s="1098">
        <v>2.13868065967017E-2</v>
      </c>
      <c r="U30" s="917">
        <f t="shared" si="14"/>
        <v>1</v>
      </c>
      <c r="V30" s="918">
        <f t="shared" si="15"/>
        <v>1.5681449998445471</v>
      </c>
      <c r="W30" s="1100" t="str">
        <f t="shared" si="16"/>
        <v>(5,3,1,1,1,5); Rough estimation based on cumulative data, Krieger et al. 2006</v>
      </c>
      <c r="X30" s="1098">
        <v>0</v>
      </c>
      <c r="Y30" s="917">
        <f t="shared" si="17"/>
        <v>1</v>
      </c>
      <c r="Z30" s="918">
        <f t="shared" si="18"/>
        <v>1.5681449998445471</v>
      </c>
      <c r="AA30" s="1100" t="str">
        <f t="shared" si="19"/>
        <v>(5,3,1,1,1,5); Rough estimation based on cumulative data, Krieger et al. 2006</v>
      </c>
      <c r="AB30" s="1098">
        <v>0</v>
      </c>
      <c r="AC30" s="917">
        <f t="shared" si="20"/>
        <v>1</v>
      </c>
      <c r="AD30" s="918">
        <f t="shared" si="21"/>
        <v>1.5681449998445471</v>
      </c>
      <c r="AE30" s="1100" t="str">
        <f t="shared" si="22"/>
        <v>(5,3,1,1,1,5); Rough estimation based on cumulative data, Krieger et al. 2006</v>
      </c>
      <c r="AF30" s="1098">
        <v>0</v>
      </c>
      <c r="AG30" s="917">
        <f t="shared" si="23"/>
        <v>1</v>
      </c>
      <c r="AH30" s="918">
        <f t="shared" si="24"/>
        <v>1.5681449998445471</v>
      </c>
      <c r="AI30" s="1100" t="str">
        <f t="shared" si="25"/>
        <v>(5,3,1,1,1,5); Rough estimation based on cumulative data, Krieger et al. 2006</v>
      </c>
      <c r="AJ30" s="1098">
        <v>0</v>
      </c>
      <c r="AK30" s="917">
        <f t="shared" si="29"/>
        <v>1</v>
      </c>
      <c r="AL30" s="918">
        <f t="shared" si="30"/>
        <v>1.5681449998445471</v>
      </c>
      <c r="AM30" s="1101" t="str">
        <f t="shared" si="31"/>
        <v>(5,3,1,1,1,5); Rough estimation based on cumulative data, Krieger et al. 2006</v>
      </c>
      <c r="AN30" s="917">
        <v>1</v>
      </c>
      <c r="AO30" s="918">
        <f t="shared" si="26"/>
        <v>1.0888159599559692</v>
      </c>
      <c r="AP30" s="1101" t="str">
        <f t="shared" si="28"/>
        <v>(2,3,1,2,1,na); Krieger 2006</v>
      </c>
      <c r="AQ30" s="1068"/>
      <c r="AR30" s="1068"/>
      <c r="AS30" s="399" t="str">
        <f>AS$16</f>
        <v>Rough estimation based on cumulative data, Krieger et al. 2006</v>
      </c>
      <c r="AT30" s="977">
        <f t="shared" si="27"/>
        <v>1.5681449998445471</v>
      </c>
      <c r="AU30" s="399" t="s">
        <v>204</v>
      </c>
      <c r="AV30" s="975">
        <v>2</v>
      </c>
      <c r="AW30" s="976">
        <v>3</v>
      </c>
      <c r="AX30" s="976">
        <v>1</v>
      </c>
      <c r="AY30" s="976">
        <v>2</v>
      </c>
      <c r="AZ30" s="976">
        <v>1</v>
      </c>
      <c r="BA30" s="976" t="s">
        <v>106</v>
      </c>
      <c r="BB30" s="976">
        <v>3</v>
      </c>
      <c r="BC30" s="977">
        <v>1.05</v>
      </c>
      <c r="BD30" s="977">
        <f t="shared" si="8"/>
        <v>1.0722009304576894</v>
      </c>
      <c r="BE30" s="977">
        <f t="shared" si="9"/>
        <v>1.0888159599559692</v>
      </c>
      <c r="BF30" s="977" t="str">
        <f t="shared" si="10"/>
        <v>(2,3,1,2,1,na)</v>
      </c>
      <c r="BG30" s="399"/>
      <c r="BH30" s="978">
        <v>1.05</v>
      </c>
      <c r="BI30" s="978">
        <v>1.05</v>
      </c>
      <c r="BJ30" s="978">
        <v>1</v>
      </c>
      <c r="BK30" s="978">
        <v>1.01</v>
      </c>
      <c r="BL30" s="978">
        <v>1</v>
      </c>
      <c r="BM30" s="978">
        <v>1</v>
      </c>
    </row>
    <row r="31" spans="1:65" ht="24" hidden="1" customHeight="1" outlineLevel="1">
      <c r="A31" s="794">
        <v>78250</v>
      </c>
      <c r="B31" s="1064"/>
      <c r="C31" s="1065"/>
      <c r="D31" s="1072">
        <v>5</v>
      </c>
      <c r="E31" s="1073" t="s">
        <v>98</v>
      </c>
      <c r="F31" s="868" t="s">
        <v>238</v>
      </c>
      <c r="G31" s="869" t="s">
        <v>93</v>
      </c>
      <c r="H31" s="870" t="s">
        <v>98</v>
      </c>
      <c r="I31" s="871" t="s">
        <v>98</v>
      </c>
      <c r="J31" s="872">
        <v>0</v>
      </c>
      <c r="K31" s="869" t="s">
        <v>96</v>
      </c>
      <c r="L31" s="961">
        <v>0</v>
      </c>
      <c r="M31" s="919">
        <f t="shared" si="11"/>
        <v>1</v>
      </c>
      <c r="N31" s="920">
        <f t="shared" si="12"/>
        <v>1.0888159599559692</v>
      </c>
      <c r="O31" s="1069" t="str">
        <f t="shared" si="13"/>
        <v>(2,3,1,2,1,na); Krieger 2006</v>
      </c>
      <c r="P31" s="961">
        <v>0</v>
      </c>
      <c r="Q31" s="919"/>
      <c r="R31" s="920"/>
      <c r="S31" s="1069"/>
      <c r="T31" s="961">
        <v>1.9675862068965501E-3</v>
      </c>
      <c r="U31" s="919">
        <f t="shared" si="14"/>
        <v>1</v>
      </c>
      <c r="V31" s="920">
        <f t="shared" si="15"/>
        <v>1.5681449998445471</v>
      </c>
      <c r="W31" s="1070" t="str">
        <f t="shared" si="16"/>
        <v>(5,3,1,1,1,5); Rough estimation based on cumulative data, Krieger et al. 2006</v>
      </c>
      <c r="X31" s="961">
        <v>0</v>
      </c>
      <c r="Y31" s="919">
        <f t="shared" si="17"/>
        <v>1</v>
      </c>
      <c r="Z31" s="920">
        <f t="shared" si="18"/>
        <v>1.5681449998445471</v>
      </c>
      <c r="AA31" s="1070" t="str">
        <f t="shared" si="19"/>
        <v>(5,3,1,1,1,5); Rough estimation based on cumulative data, Krieger et al. 2006</v>
      </c>
      <c r="AB31" s="961">
        <v>0</v>
      </c>
      <c r="AC31" s="919">
        <f t="shared" si="20"/>
        <v>1</v>
      </c>
      <c r="AD31" s="920">
        <f t="shared" si="21"/>
        <v>1.5681449998445471</v>
      </c>
      <c r="AE31" s="1070" t="str">
        <f t="shared" si="22"/>
        <v>(5,3,1,1,1,5); Rough estimation based on cumulative data, Krieger et al. 2006</v>
      </c>
      <c r="AF31" s="961">
        <v>0</v>
      </c>
      <c r="AG31" s="919">
        <f t="shared" si="23"/>
        <v>1</v>
      </c>
      <c r="AH31" s="920">
        <f t="shared" si="24"/>
        <v>1.5681449998445471</v>
      </c>
      <c r="AI31" s="1070" t="str">
        <f t="shared" si="25"/>
        <v>(5,3,1,1,1,5); Rough estimation based on cumulative data, Krieger et al. 2006</v>
      </c>
      <c r="AJ31" s="961">
        <v>0</v>
      </c>
      <c r="AK31" s="919">
        <f t="shared" si="29"/>
        <v>1</v>
      </c>
      <c r="AL31" s="920">
        <f t="shared" si="30"/>
        <v>1.5681449998445471</v>
      </c>
      <c r="AM31" s="1071" t="str">
        <f t="shared" si="31"/>
        <v>(5,3,1,1,1,5); Rough estimation based on cumulative data, Krieger et al. 2006</v>
      </c>
      <c r="AN31" s="919">
        <v>1</v>
      </c>
      <c r="AO31" s="920">
        <f t="shared" si="26"/>
        <v>1.0888159599559692</v>
      </c>
      <c r="AP31" s="1071" t="str">
        <f t="shared" si="28"/>
        <v>(2,3,1,2,1,na); Krieger 2006</v>
      </c>
      <c r="AQ31" s="1068"/>
      <c r="AR31" s="1068"/>
      <c r="AS31" s="399" t="str">
        <f>AS$16</f>
        <v>Rough estimation based on cumulative data, Krieger et al. 2006</v>
      </c>
      <c r="AT31" s="979">
        <f t="shared" si="27"/>
        <v>1.5681449998445471</v>
      </c>
      <c r="AU31" s="399" t="s">
        <v>204</v>
      </c>
      <c r="AV31" s="973">
        <v>2</v>
      </c>
      <c r="AW31" s="974">
        <v>3</v>
      </c>
      <c r="AX31" s="974">
        <v>1</v>
      </c>
      <c r="AY31" s="974">
        <v>2</v>
      </c>
      <c r="AZ31" s="974">
        <v>1</v>
      </c>
      <c r="BA31" s="974" t="s">
        <v>106</v>
      </c>
      <c r="BB31" s="974">
        <v>3</v>
      </c>
      <c r="BC31" s="979">
        <v>1.05</v>
      </c>
      <c r="BD31" s="979">
        <f t="shared" si="8"/>
        <v>1.0722009304576894</v>
      </c>
      <c r="BE31" s="979">
        <f t="shared" si="9"/>
        <v>1.0888159599559692</v>
      </c>
      <c r="BF31" s="979" t="str">
        <f t="shared" si="10"/>
        <v>(2,3,1,2,1,na)</v>
      </c>
      <c r="BG31" s="399"/>
      <c r="BH31" s="980">
        <v>1.05</v>
      </c>
      <c r="BI31" s="980">
        <v>1.05</v>
      </c>
      <c r="BJ31" s="980">
        <v>1</v>
      </c>
      <c r="BK31" s="980">
        <v>1.01</v>
      </c>
      <c r="BL31" s="980">
        <v>1</v>
      </c>
      <c r="BM31" s="980">
        <v>1</v>
      </c>
    </row>
    <row r="32" spans="1:65" ht="12.75" customHeight="1" collapsed="1">
      <c r="A32" s="794">
        <v>269295</v>
      </c>
      <c r="B32" s="1064"/>
      <c r="C32" s="1065"/>
      <c r="D32" s="1102">
        <v>5</v>
      </c>
      <c r="E32" s="1103" t="s">
        <v>98</v>
      </c>
      <c r="F32" s="899" t="s">
        <v>239</v>
      </c>
      <c r="G32" s="900" t="s">
        <v>93</v>
      </c>
      <c r="H32" s="906" t="s">
        <v>98</v>
      </c>
      <c r="I32" s="901" t="s">
        <v>98</v>
      </c>
      <c r="J32" s="902">
        <v>0</v>
      </c>
      <c r="K32" s="900" t="s">
        <v>96</v>
      </c>
      <c r="L32" s="1098">
        <v>0</v>
      </c>
      <c r="M32" s="917">
        <f t="shared" si="11"/>
        <v>1</v>
      </c>
      <c r="N32" s="918">
        <f t="shared" si="12"/>
        <v>1.0888159599559692</v>
      </c>
      <c r="O32" s="1099" t="str">
        <f t="shared" si="13"/>
        <v>(2,3,1,2,1,na); Krieger 2006</v>
      </c>
      <c r="P32" s="1098">
        <f>AQ32</f>
        <v>5.5</v>
      </c>
      <c r="Q32" s="917">
        <f>$AN32</f>
        <v>1</v>
      </c>
      <c r="R32" s="918">
        <f>$AO32</f>
        <v>1.0888159599559692</v>
      </c>
      <c r="S32" s="1099" t="str">
        <f>$AP32</f>
        <v>(2,3,1,2,1,na); Krieger 2006</v>
      </c>
      <c r="T32" s="1098">
        <v>0</v>
      </c>
      <c r="U32" s="917">
        <f t="shared" si="14"/>
        <v>1</v>
      </c>
      <c r="V32" s="918">
        <f t="shared" si="15"/>
        <v>1.5681449998445471</v>
      </c>
      <c r="W32" s="1100" t="str">
        <f t="shared" si="16"/>
        <v xml:space="preserve">(5,3,1,1,1,5); </v>
      </c>
      <c r="X32" s="1098">
        <v>0</v>
      </c>
      <c r="Y32" s="917">
        <f t="shared" si="17"/>
        <v>1</v>
      </c>
      <c r="Z32" s="918">
        <f t="shared" si="18"/>
        <v>1.5681449998445471</v>
      </c>
      <c r="AA32" s="1100" t="str">
        <f t="shared" si="19"/>
        <v xml:space="preserve">(5,3,1,1,1,5); </v>
      </c>
      <c r="AB32" s="1098">
        <v>0</v>
      </c>
      <c r="AC32" s="917">
        <f t="shared" si="20"/>
        <v>1</v>
      </c>
      <c r="AD32" s="918">
        <f t="shared" si="21"/>
        <v>1.5681449998445471</v>
      </c>
      <c r="AE32" s="1100" t="str">
        <f t="shared" si="22"/>
        <v xml:space="preserve">(5,3,1,1,1,5); </v>
      </c>
      <c r="AF32" s="1098">
        <v>0</v>
      </c>
      <c r="AG32" s="917">
        <f t="shared" si="23"/>
        <v>1</v>
      </c>
      <c r="AH32" s="918">
        <f t="shared" si="24"/>
        <v>1.5681449998445471</v>
      </c>
      <c r="AI32" s="1100" t="str">
        <f t="shared" si="25"/>
        <v xml:space="preserve">(5,3,1,1,1,5); </v>
      </c>
      <c r="AJ32" s="1098">
        <v>0</v>
      </c>
      <c r="AK32" s="917">
        <f t="shared" si="29"/>
        <v>1</v>
      </c>
      <c r="AL32" s="918">
        <f t="shared" si="30"/>
        <v>1.5681449998445471</v>
      </c>
      <c r="AM32" s="1101" t="str">
        <f t="shared" si="31"/>
        <v xml:space="preserve">(5,3,1,1,1,5); </v>
      </c>
      <c r="AN32" s="917">
        <v>1</v>
      </c>
      <c r="AO32" s="918">
        <f t="shared" si="26"/>
        <v>1.0888159599559692</v>
      </c>
      <c r="AP32" s="1101" t="str">
        <f t="shared" si="28"/>
        <v>(2,3,1,2,1,na); Krieger 2006</v>
      </c>
      <c r="AQ32" s="1068">
        <v>5.5</v>
      </c>
      <c r="AR32" s="1068"/>
      <c r="AS32" s="399"/>
      <c r="AT32" s="977">
        <f t="shared" si="27"/>
        <v>1.5681449998445471</v>
      </c>
      <c r="AU32" s="399" t="s">
        <v>204</v>
      </c>
      <c r="AV32" s="975">
        <v>2</v>
      </c>
      <c r="AW32" s="976">
        <v>3</v>
      </c>
      <c r="AX32" s="976">
        <v>1</v>
      </c>
      <c r="AY32" s="976">
        <v>2</v>
      </c>
      <c r="AZ32" s="976">
        <v>1</v>
      </c>
      <c r="BA32" s="976" t="s">
        <v>106</v>
      </c>
      <c r="BB32" s="976">
        <v>3</v>
      </c>
      <c r="BC32" s="977">
        <v>1.05</v>
      </c>
      <c r="BD32" s="977">
        <f t="shared" si="8"/>
        <v>1.0722009304576894</v>
      </c>
      <c r="BE32" s="977">
        <f t="shared" si="9"/>
        <v>1.0888159599559692</v>
      </c>
      <c r="BF32" s="977" t="str">
        <f t="shared" si="10"/>
        <v>(2,3,1,2,1,na)</v>
      </c>
      <c r="BG32" s="399"/>
      <c r="BH32" s="978">
        <v>1.05</v>
      </c>
      <c r="BI32" s="978">
        <v>1.05</v>
      </c>
      <c r="BJ32" s="978">
        <v>1</v>
      </c>
      <c r="BK32" s="978">
        <v>1.01</v>
      </c>
      <c r="BL32" s="978">
        <v>1</v>
      </c>
      <c r="BM32" s="978">
        <v>1</v>
      </c>
    </row>
    <row r="33" spans="1:65" ht="24" customHeight="1">
      <c r="A33" s="794">
        <v>269641</v>
      </c>
      <c r="B33" s="1064"/>
      <c r="C33" s="1065"/>
      <c r="D33" s="1072">
        <v>5</v>
      </c>
      <c r="E33" s="1073" t="s">
        <v>98</v>
      </c>
      <c r="F33" s="868" t="s">
        <v>240</v>
      </c>
      <c r="G33" s="869" t="s">
        <v>93</v>
      </c>
      <c r="H33" s="870" t="s">
        <v>98</v>
      </c>
      <c r="I33" s="871" t="s">
        <v>98</v>
      </c>
      <c r="J33" s="872">
        <v>0</v>
      </c>
      <c r="K33" s="869" t="s">
        <v>115</v>
      </c>
      <c r="L33" s="961">
        <f>0.1*SUM(L20:L32)</f>
        <v>0</v>
      </c>
      <c r="M33" s="919">
        <f t="shared" si="11"/>
        <v>1</v>
      </c>
      <c r="N33" s="920">
        <f t="shared" si="12"/>
        <v>2.0949941301068096</v>
      </c>
      <c r="O33" s="1069" t="str">
        <f t="shared" si="13"/>
        <v>(4,5,na,na,na,na); CaF2: 100 km, standard distance</v>
      </c>
      <c r="P33" s="961">
        <f>0.1*SUM(P20:P32)</f>
        <v>0.75530000000000008</v>
      </c>
      <c r="Q33" s="919">
        <f>$AN33</f>
        <v>1</v>
      </c>
      <c r="R33" s="920">
        <f>$AO33</f>
        <v>2.0949941301068096</v>
      </c>
      <c r="S33" s="1069" t="str">
        <f>$AP33</f>
        <v>(4,5,na,na,na,na); CaF2: 100 km, standard distance</v>
      </c>
      <c r="T33" s="961">
        <f>0.1*SUM(T20:T32)</f>
        <v>0.10876814185925238</v>
      </c>
      <c r="U33" s="919">
        <f t="shared" si="14"/>
        <v>1</v>
      </c>
      <c r="V33" s="920">
        <f t="shared" si="15"/>
        <v>2.281675529635963</v>
      </c>
      <c r="W33" s="1070" t="str">
        <f t="shared" si="16"/>
        <v>(5,3,1,1,1,5); Rough estimation based on cumulative data, Krieger et al. 2006</v>
      </c>
      <c r="X33" s="961">
        <f>0.1*SUM(X20:X32)</f>
        <v>0.105491990846682</v>
      </c>
      <c r="Y33" s="919">
        <f t="shared" si="17"/>
        <v>1</v>
      </c>
      <c r="Z33" s="920">
        <f t="shared" si="18"/>
        <v>2.281675529635963</v>
      </c>
      <c r="AA33" s="1070" t="str">
        <f t="shared" si="19"/>
        <v>(5,3,1,1,1,5); Rough estimation based on cumulative data, Krieger et al. 2006</v>
      </c>
      <c r="AB33" s="961">
        <f>0.1*SUM(AB20:AB32)</f>
        <v>0.105263157894737</v>
      </c>
      <c r="AC33" s="919">
        <f t="shared" si="20"/>
        <v>1</v>
      </c>
      <c r="AD33" s="920">
        <f t="shared" si="21"/>
        <v>2.281675529635963</v>
      </c>
      <c r="AE33" s="1070" t="str">
        <f t="shared" si="22"/>
        <v>(5,3,1,1,1,5); Rough estimation based on cumulative data, Krieger et al. 2006</v>
      </c>
      <c r="AF33" s="961">
        <f>0.1*SUM(AF20:AF32)</f>
        <v>0.15231394677349941</v>
      </c>
      <c r="AG33" s="919">
        <f t="shared" si="23"/>
        <v>1</v>
      </c>
      <c r="AH33" s="920">
        <f t="shared" si="24"/>
        <v>2.281675529635963</v>
      </c>
      <c r="AI33" s="1070" t="str">
        <f t="shared" si="25"/>
        <v>(5,3,1,1,1,5); Rough estimation based on cumulative data, Krieger et al. 2006</v>
      </c>
      <c r="AJ33" s="961">
        <f>0.1*SUM(AJ20:AJ32)</f>
        <v>0.10526315789473691</v>
      </c>
      <c r="AK33" s="919">
        <f t="shared" si="29"/>
        <v>1</v>
      </c>
      <c r="AL33" s="920">
        <f t="shared" si="30"/>
        <v>2.281675529635963</v>
      </c>
      <c r="AM33" s="1071" t="str">
        <f t="shared" si="31"/>
        <v>(5,3,1,1,1,5); Rough estimation based on cumulative data, Krieger et al. 2006</v>
      </c>
      <c r="AN33" s="919">
        <v>1</v>
      </c>
      <c r="AO33" s="920">
        <f t="shared" si="26"/>
        <v>2.0949941301068096</v>
      </c>
      <c r="AP33" s="1071" t="str">
        <f t="shared" si="28"/>
        <v>(4,5,na,na,na,na); CaF2: 100 km, standard distance</v>
      </c>
      <c r="AQ33" s="1068"/>
      <c r="AR33" s="1068"/>
      <c r="AS33" s="399" t="str">
        <f>AS$16</f>
        <v>Rough estimation based on cumulative data, Krieger et al. 2006</v>
      </c>
      <c r="AT33" s="979">
        <f t="shared" si="27"/>
        <v>2.281675529635963</v>
      </c>
      <c r="AU33" s="399" t="s">
        <v>241</v>
      </c>
      <c r="AV33" s="973">
        <v>4</v>
      </c>
      <c r="AW33" s="974">
        <v>5</v>
      </c>
      <c r="AX33" s="974" t="s">
        <v>106</v>
      </c>
      <c r="AY33" s="974" t="s">
        <v>106</v>
      </c>
      <c r="AZ33" s="974" t="s">
        <v>106</v>
      </c>
      <c r="BA33" s="974" t="s">
        <v>106</v>
      </c>
      <c r="BB33" s="974">
        <v>5</v>
      </c>
      <c r="BC33" s="979">
        <v>2</v>
      </c>
      <c r="BD33" s="979">
        <f t="shared" si="8"/>
        <v>1.2941338353151037</v>
      </c>
      <c r="BE33" s="979">
        <f t="shared" si="9"/>
        <v>2.0949941301068096</v>
      </c>
      <c r="BF33" s="979" t="str">
        <f t="shared" si="10"/>
        <v>(4,5,na,na,na,na)</v>
      </c>
      <c r="BG33" s="399"/>
      <c r="BH33" s="980">
        <v>1.2</v>
      </c>
      <c r="BI33" s="980">
        <v>1.2</v>
      </c>
      <c r="BJ33" s="980">
        <v>1</v>
      </c>
      <c r="BK33" s="980">
        <v>1</v>
      </c>
      <c r="BL33" s="980">
        <v>1</v>
      </c>
      <c r="BM33" s="980">
        <v>1</v>
      </c>
    </row>
    <row r="34" spans="1:65" ht="24" customHeight="1">
      <c r="A34" s="794">
        <v>160371</v>
      </c>
      <c r="B34" s="1064"/>
      <c r="C34" s="1065"/>
      <c r="D34" s="1102">
        <v>5</v>
      </c>
      <c r="E34" s="1103" t="s">
        <v>98</v>
      </c>
      <c r="F34" s="899" t="s">
        <v>242</v>
      </c>
      <c r="G34" s="900" t="s">
        <v>93</v>
      </c>
      <c r="H34" s="906" t="s">
        <v>98</v>
      </c>
      <c r="I34" s="901" t="s">
        <v>98</v>
      </c>
      <c r="J34" s="902">
        <v>0</v>
      </c>
      <c r="K34" s="900" t="s">
        <v>115</v>
      </c>
      <c r="L34" s="1098">
        <f>0.6*SUM(L32)</f>
        <v>0</v>
      </c>
      <c r="M34" s="917">
        <f t="shared" si="11"/>
        <v>1</v>
      </c>
      <c r="N34" s="918">
        <f t="shared" si="12"/>
        <v>2.0949941301068096</v>
      </c>
      <c r="O34" s="1099" t="str">
        <f t="shared" si="13"/>
        <v>(4,5,na,na,na,na); standard distance 600km</v>
      </c>
      <c r="P34" s="1098">
        <f>0.6*SUM(P26:P32)</f>
        <v>3.3</v>
      </c>
      <c r="Q34" s="917">
        <f>$AN34</f>
        <v>1</v>
      </c>
      <c r="R34" s="918">
        <f>$AO34</f>
        <v>2.0949941301068096</v>
      </c>
      <c r="S34" s="1099" t="str">
        <f>$AP34</f>
        <v>(4,5,na,na,na,na); standard distance 600km</v>
      </c>
      <c r="T34" s="1098">
        <f>0.6*SUM(T26:T32)</f>
        <v>0.27041281643937454</v>
      </c>
      <c r="U34" s="917">
        <f t="shared" si="14"/>
        <v>1</v>
      </c>
      <c r="V34" s="918">
        <f t="shared" si="15"/>
        <v>2.281675529635963</v>
      </c>
      <c r="W34" s="1100" t="str">
        <f t="shared" si="16"/>
        <v>(5,3,1,1,1,5); Rough estimation based on cumulative data, Krieger et al. 2006</v>
      </c>
      <c r="X34" s="1098">
        <f>0.6*SUM(X22:X32)</f>
        <v>0.9075514874141879</v>
      </c>
      <c r="Y34" s="917">
        <f t="shared" si="17"/>
        <v>1</v>
      </c>
      <c r="Z34" s="918">
        <f t="shared" si="18"/>
        <v>2.281675529635963</v>
      </c>
      <c r="AA34" s="1100" t="str">
        <f t="shared" si="19"/>
        <v>(5,3,1,1,1,5); Rough estimation based on cumulative data, Krieger et al. 2006</v>
      </c>
      <c r="AB34" s="1098">
        <f>0.6*SUM(AB26:AB32)</f>
        <v>0</v>
      </c>
      <c r="AC34" s="917">
        <f t="shared" si="20"/>
        <v>1</v>
      </c>
      <c r="AD34" s="918">
        <f t="shared" si="21"/>
        <v>2.281675529635963</v>
      </c>
      <c r="AE34" s="1100" t="str">
        <f t="shared" si="22"/>
        <v>(5,3,1,1,1,5); Rough estimation based on cumulative data, Krieger et al. 2006</v>
      </c>
      <c r="AF34" s="1098">
        <f>0.6*SUM(AF26:AF32)</f>
        <v>0.28230473327257438</v>
      </c>
      <c r="AG34" s="917">
        <f t="shared" si="23"/>
        <v>1</v>
      </c>
      <c r="AH34" s="918">
        <f t="shared" si="24"/>
        <v>2.281675529635963</v>
      </c>
      <c r="AI34" s="1100" t="str">
        <f t="shared" si="25"/>
        <v>(5,3,1,1,1,5); Rough estimation based on cumulative data, Krieger et al. 2006</v>
      </c>
      <c r="AJ34" s="1098">
        <f>0.6*SUM(AJ26:AJ32)</f>
        <v>0.14905956112852681</v>
      </c>
      <c r="AK34" s="917">
        <f t="shared" si="29"/>
        <v>1</v>
      </c>
      <c r="AL34" s="918">
        <f t="shared" si="30"/>
        <v>2.281675529635963</v>
      </c>
      <c r="AM34" s="1101" t="str">
        <f t="shared" si="31"/>
        <v>(5,3,1,1,1,5); Rough estimation based on cumulative data, Krieger et al. 2006</v>
      </c>
      <c r="AN34" s="917">
        <v>1</v>
      </c>
      <c r="AO34" s="918">
        <f t="shared" si="26"/>
        <v>2.0949941301068096</v>
      </c>
      <c r="AP34" s="1101" t="str">
        <f t="shared" si="28"/>
        <v>(4,5,na,na,na,na); standard distance 600km</v>
      </c>
      <c r="AQ34" s="1068"/>
      <c r="AR34" s="1068"/>
      <c r="AS34" s="399" t="str">
        <f>AS$16</f>
        <v>Rough estimation based on cumulative data, Krieger et al. 2006</v>
      </c>
      <c r="AT34" s="977">
        <f t="shared" si="27"/>
        <v>2.281675529635963</v>
      </c>
      <c r="AU34" s="399" t="s">
        <v>243</v>
      </c>
      <c r="AV34" s="975">
        <v>4</v>
      </c>
      <c r="AW34" s="976">
        <v>5</v>
      </c>
      <c r="AX34" s="976" t="s">
        <v>106</v>
      </c>
      <c r="AY34" s="976" t="s">
        <v>106</v>
      </c>
      <c r="AZ34" s="976" t="s">
        <v>106</v>
      </c>
      <c r="BA34" s="976" t="s">
        <v>106</v>
      </c>
      <c r="BB34" s="976">
        <v>5</v>
      </c>
      <c r="BC34" s="977">
        <v>2</v>
      </c>
      <c r="BD34" s="977">
        <f t="shared" si="8"/>
        <v>1.2941338353151037</v>
      </c>
      <c r="BE34" s="977">
        <f t="shared" si="9"/>
        <v>2.0949941301068096</v>
      </c>
      <c r="BF34" s="977" t="str">
        <f t="shared" si="10"/>
        <v>(4,5,na,na,na,na)</v>
      </c>
      <c r="BG34" s="399"/>
      <c r="BH34" s="978">
        <v>1.2</v>
      </c>
      <c r="BI34" s="978">
        <v>1.2</v>
      </c>
      <c r="BJ34" s="978">
        <v>1</v>
      </c>
      <c r="BK34" s="978">
        <v>1</v>
      </c>
      <c r="BL34" s="978">
        <v>1</v>
      </c>
      <c r="BM34" s="978">
        <v>1</v>
      </c>
    </row>
    <row r="35" spans="1:65" ht="24" hidden="1" customHeight="1" outlineLevel="1">
      <c r="A35" s="794">
        <v>269599</v>
      </c>
      <c r="B35" s="1064"/>
      <c r="C35" s="1065"/>
      <c r="D35" s="1072">
        <v>5</v>
      </c>
      <c r="E35" s="1073" t="s">
        <v>98</v>
      </c>
      <c r="F35" s="868" t="s">
        <v>244</v>
      </c>
      <c r="G35" s="869" t="s">
        <v>245</v>
      </c>
      <c r="H35" s="870" t="s">
        <v>98</v>
      </c>
      <c r="I35" s="871" t="s">
        <v>98</v>
      </c>
      <c r="J35" s="872">
        <v>0</v>
      </c>
      <c r="K35" s="869" t="s">
        <v>115</v>
      </c>
      <c r="L35" s="961">
        <v>0</v>
      </c>
      <c r="M35" s="919">
        <f t="shared" si="11"/>
        <v>1</v>
      </c>
      <c r="N35" s="920">
        <f t="shared" si="12"/>
        <v>2.0949941301068096</v>
      </c>
      <c r="O35" s="1069" t="str">
        <f t="shared" si="13"/>
        <v>(4,5,na,na,na,na); standard distance 600km</v>
      </c>
      <c r="P35" s="961">
        <v>0</v>
      </c>
      <c r="Q35" s="919"/>
      <c r="R35" s="920"/>
      <c r="S35" s="1069"/>
      <c r="T35" s="961">
        <f>10*T21</f>
        <v>6.3699339119356599</v>
      </c>
      <c r="U35" s="919">
        <f t="shared" si="14"/>
        <v>1</v>
      </c>
      <c r="V35" s="920">
        <f t="shared" si="15"/>
        <v>2.281675529635963</v>
      </c>
      <c r="W35" s="1070" t="str">
        <f t="shared" si="16"/>
        <v>(5,3,1,1,1,5); Rough estimation based on cumulative data, Krieger et al. 2006</v>
      </c>
      <c r="X35" s="961">
        <v>0</v>
      </c>
      <c r="Y35" s="919">
        <f t="shared" si="17"/>
        <v>1</v>
      </c>
      <c r="Z35" s="920">
        <f t="shared" si="18"/>
        <v>2.281675529635963</v>
      </c>
      <c r="AA35" s="1070" t="str">
        <f t="shared" si="19"/>
        <v>(5,3,1,1,1,5); Rough estimation based on cumulative data, Krieger et al. 2006</v>
      </c>
      <c r="AB35" s="961">
        <v>0</v>
      </c>
      <c r="AC35" s="919">
        <f t="shared" si="20"/>
        <v>1</v>
      </c>
      <c r="AD35" s="920">
        <f t="shared" si="21"/>
        <v>2.281675529635963</v>
      </c>
      <c r="AE35" s="1070" t="str">
        <f t="shared" si="22"/>
        <v>(5,3,1,1,1,5); Rough estimation based on cumulative data, Krieger et al. 2006</v>
      </c>
      <c r="AF35" s="961">
        <v>0</v>
      </c>
      <c r="AG35" s="919">
        <f t="shared" si="23"/>
        <v>1</v>
      </c>
      <c r="AH35" s="920">
        <f t="shared" si="24"/>
        <v>2.281675529635963</v>
      </c>
      <c r="AI35" s="1070" t="str">
        <f t="shared" si="25"/>
        <v>(5,3,1,1,1,5); Rough estimation based on cumulative data, Krieger et al. 2006</v>
      </c>
      <c r="AJ35" s="961">
        <v>0</v>
      </c>
      <c r="AK35" s="919">
        <f t="shared" si="29"/>
        <v>1</v>
      </c>
      <c r="AL35" s="920">
        <f t="shared" si="30"/>
        <v>2.281675529635963</v>
      </c>
      <c r="AM35" s="1071" t="str">
        <f t="shared" si="31"/>
        <v>(5,3,1,1,1,5); Rough estimation based on cumulative data, Krieger et al. 2006</v>
      </c>
      <c r="AN35" s="919">
        <v>1</v>
      </c>
      <c r="AO35" s="920">
        <f t="shared" si="26"/>
        <v>2.0949941301068096</v>
      </c>
      <c r="AP35" s="1071" t="str">
        <f t="shared" si="28"/>
        <v>(4,5,na,na,na,na); standard distance 600km</v>
      </c>
      <c r="AQ35" s="1068"/>
      <c r="AR35" s="1068"/>
      <c r="AS35" s="399" t="str">
        <f>AS$16</f>
        <v>Rough estimation based on cumulative data, Krieger et al. 2006</v>
      </c>
      <c r="AT35" s="979">
        <f t="shared" si="27"/>
        <v>2.281675529635963</v>
      </c>
      <c r="AU35" s="399" t="s">
        <v>243</v>
      </c>
      <c r="AV35" s="973">
        <v>4</v>
      </c>
      <c r="AW35" s="974">
        <v>5</v>
      </c>
      <c r="AX35" s="974" t="s">
        <v>106</v>
      </c>
      <c r="AY35" s="974" t="s">
        <v>106</v>
      </c>
      <c r="AZ35" s="974" t="s">
        <v>106</v>
      </c>
      <c r="BA35" s="974" t="s">
        <v>106</v>
      </c>
      <c r="BB35" s="974">
        <v>5</v>
      </c>
      <c r="BC35" s="979">
        <v>2</v>
      </c>
      <c r="BD35" s="979">
        <f t="shared" si="8"/>
        <v>1.2941338353151037</v>
      </c>
      <c r="BE35" s="979">
        <f t="shared" si="9"/>
        <v>2.0949941301068096</v>
      </c>
      <c r="BF35" s="979" t="str">
        <f t="shared" si="10"/>
        <v>(4,5,na,na,na,na)</v>
      </c>
      <c r="BG35" s="399"/>
      <c r="BH35" s="980">
        <v>1.2</v>
      </c>
      <c r="BI35" s="980">
        <v>1.2</v>
      </c>
      <c r="BJ35" s="980">
        <v>1</v>
      </c>
      <c r="BK35" s="980">
        <v>1</v>
      </c>
      <c r="BL35" s="980">
        <v>1</v>
      </c>
      <c r="BM35" s="980">
        <v>1</v>
      </c>
    </row>
    <row r="36" spans="1:65" ht="24" customHeight="1" collapsed="1">
      <c r="A36" s="794">
        <v>15848</v>
      </c>
      <c r="B36" s="1064" t="s">
        <v>246</v>
      </c>
      <c r="C36" s="1065"/>
      <c r="D36" s="1104" t="s">
        <v>98</v>
      </c>
      <c r="E36" s="1103">
        <v>4</v>
      </c>
      <c r="F36" s="899" t="s">
        <v>121</v>
      </c>
      <c r="G36" s="900" t="s">
        <v>98</v>
      </c>
      <c r="H36" s="906" t="s">
        <v>247</v>
      </c>
      <c r="I36" s="901" t="s">
        <v>248</v>
      </c>
      <c r="J36" s="902" t="s">
        <v>98</v>
      </c>
      <c r="K36" s="900" t="s">
        <v>104</v>
      </c>
      <c r="L36" s="1098">
        <f>(L15+L16)*3.6</f>
        <v>0.2240717029449428</v>
      </c>
      <c r="M36" s="917">
        <f t="shared" si="11"/>
        <v>1</v>
      </c>
      <c r="N36" s="918">
        <f t="shared" si="12"/>
        <v>1.5994360002076888</v>
      </c>
      <c r="O36" s="1099" t="str">
        <f t="shared" si="13"/>
        <v>(3,3,5,5,1,5); Calculation</v>
      </c>
      <c r="P36" s="1098">
        <f>(P15+P16)*3.6</f>
        <v>9.2130823844022594</v>
      </c>
      <c r="Q36" s="917">
        <f t="shared" ref="Q36:Q44" si="32">$AN36</f>
        <v>1</v>
      </c>
      <c r="R36" s="918">
        <f t="shared" ref="R36:R44" si="33">$AO36</f>
        <v>1.5994360002076888</v>
      </c>
      <c r="S36" s="1099" t="str">
        <f t="shared" ref="S36:S44" si="34">$AP36</f>
        <v>(3,3,5,5,1,5); Calculation</v>
      </c>
      <c r="T36" s="1098">
        <f>(T15+T16)*3.6</f>
        <v>3.9200000000000004</v>
      </c>
      <c r="U36" s="917">
        <f t="shared" si="14"/>
        <v>1</v>
      </c>
      <c r="V36" s="918">
        <f t="shared" si="15"/>
        <v>1.5681449998445471</v>
      </c>
      <c r="W36" s="1100" t="str">
        <f t="shared" si="16"/>
        <v>(5,3,1,1,1,5); Rough estimation based on cumulative data, Krieger et al. 2006</v>
      </c>
      <c r="X36" s="1098">
        <f>(X15+X16)*3.6</f>
        <v>2.125</v>
      </c>
      <c r="Y36" s="917">
        <f t="shared" si="17"/>
        <v>1</v>
      </c>
      <c r="Z36" s="918">
        <f t="shared" si="18"/>
        <v>1.5681449998445471</v>
      </c>
      <c r="AA36" s="1100" t="str">
        <f t="shared" si="19"/>
        <v>(5,3,1,1,1,5); Rough estimation based on cumulative data, Krieger et al. 2006</v>
      </c>
      <c r="AB36" s="1098">
        <f>(AB15+AB16)*3.6</f>
        <v>17.149122807017545</v>
      </c>
      <c r="AC36" s="917">
        <f t="shared" si="20"/>
        <v>1</v>
      </c>
      <c r="AD36" s="918">
        <f t="shared" si="21"/>
        <v>1.5681449998445471</v>
      </c>
      <c r="AE36" s="1100" t="str">
        <f t="shared" si="22"/>
        <v>(5,3,1,1,1,5); Rough estimation based on cumulative data, Krieger et al. 2006</v>
      </c>
      <c r="AF36" s="1098">
        <f>(AF15+AF16)*3.6</f>
        <v>3.1394275161588179</v>
      </c>
      <c r="AG36" s="917">
        <f t="shared" si="23"/>
        <v>1</v>
      </c>
      <c r="AH36" s="918">
        <f t="shared" si="24"/>
        <v>1.5681449998445471</v>
      </c>
      <c r="AI36" s="1100" t="str">
        <f t="shared" si="25"/>
        <v>(5,3,1,1,1,5); Rough estimation based on cumulative data, Krieger et al. 2006</v>
      </c>
      <c r="AJ36" s="1098">
        <f>(AJ15+AJ16)*3.6</f>
        <v>10.098897588277271</v>
      </c>
      <c r="AK36" s="917">
        <f t="shared" si="29"/>
        <v>1</v>
      </c>
      <c r="AL36" s="918">
        <f t="shared" si="30"/>
        <v>1.5681449998445471</v>
      </c>
      <c r="AM36" s="1101" t="str">
        <f t="shared" si="31"/>
        <v>(5,3,1,1,1,5); Rough estimation based on cumulative data, Krieger et al. 2006</v>
      </c>
      <c r="AN36" s="917">
        <v>1</v>
      </c>
      <c r="AO36" s="918">
        <f t="shared" si="26"/>
        <v>1.5994360002076888</v>
      </c>
      <c r="AP36" s="1101" t="str">
        <f t="shared" si="28"/>
        <v>(3,3,5,5,1,5); Calculation</v>
      </c>
      <c r="AQ36" s="1068"/>
      <c r="AR36" s="1068"/>
      <c r="AS36" s="399" t="str">
        <f>AS$16</f>
        <v>Rough estimation based on cumulative data, Krieger et al. 2006</v>
      </c>
      <c r="AT36" s="977">
        <f t="shared" si="27"/>
        <v>1.5681449998445471</v>
      </c>
      <c r="AU36" s="399" t="s">
        <v>249</v>
      </c>
      <c r="AV36" s="975">
        <v>3</v>
      </c>
      <c r="AW36" s="976">
        <v>3</v>
      </c>
      <c r="AX36" s="976">
        <v>5</v>
      </c>
      <c r="AY36" s="976">
        <v>5</v>
      </c>
      <c r="AZ36" s="976">
        <v>1</v>
      </c>
      <c r="BA36" s="976">
        <v>5</v>
      </c>
      <c r="BB36" s="976">
        <v>13</v>
      </c>
      <c r="BC36" s="977">
        <v>1.05</v>
      </c>
      <c r="BD36" s="977">
        <f t="shared" si="8"/>
        <v>1.5953767020422345</v>
      </c>
      <c r="BE36" s="977">
        <f t="shared" si="9"/>
        <v>1.5994360002076888</v>
      </c>
      <c r="BF36" s="977" t="str">
        <f t="shared" si="10"/>
        <v>(3,3,5,5,1,5)</v>
      </c>
      <c r="BG36" s="399"/>
      <c r="BH36" s="978">
        <v>1.1000000000000001</v>
      </c>
      <c r="BI36" s="978">
        <v>1.05</v>
      </c>
      <c r="BJ36" s="978">
        <v>1.5</v>
      </c>
      <c r="BK36" s="978">
        <v>1.1000000000000001</v>
      </c>
      <c r="BL36" s="978">
        <v>1</v>
      </c>
      <c r="BM36" s="978">
        <v>1.2</v>
      </c>
    </row>
    <row r="37" spans="1:65" ht="12.75" customHeight="1">
      <c r="A37" s="794">
        <v>46232</v>
      </c>
      <c r="B37" s="1064"/>
      <c r="C37" s="1065"/>
      <c r="D37" s="1105" t="s">
        <v>98</v>
      </c>
      <c r="E37" s="1073">
        <v>4</v>
      </c>
      <c r="F37" s="868" t="s">
        <v>250</v>
      </c>
      <c r="G37" s="869" t="s">
        <v>98</v>
      </c>
      <c r="H37" s="870" t="s">
        <v>247</v>
      </c>
      <c r="I37" s="871" t="s">
        <v>248</v>
      </c>
      <c r="J37" s="872" t="s">
        <v>98</v>
      </c>
      <c r="K37" s="869" t="s">
        <v>96</v>
      </c>
      <c r="L37" s="961">
        <f>1/3.6*0.00025</f>
        <v>6.9444444444444444E-5</v>
      </c>
      <c r="M37" s="919">
        <f t="shared" si="11"/>
        <v>1</v>
      </c>
      <c r="N37" s="920">
        <f t="shared" si="12"/>
        <v>2.3406018373281947</v>
      </c>
      <c r="O37" s="1069" t="str">
        <f t="shared" si="13"/>
        <v>(3,3,4,3,5,5); Estimation</v>
      </c>
      <c r="P37" s="961">
        <v>0</v>
      </c>
      <c r="Q37" s="919">
        <f t="shared" si="32"/>
        <v>1</v>
      </c>
      <c r="R37" s="920">
        <f t="shared" si="33"/>
        <v>2.3406018373281947</v>
      </c>
      <c r="S37" s="1069" t="str">
        <f t="shared" si="34"/>
        <v>(3,3,4,3,5,5); Estimation</v>
      </c>
      <c r="T37" s="961">
        <v>0</v>
      </c>
      <c r="U37" s="919">
        <f t="shared" si="14"/>
        <v>1</v>
      </c>
      <c r="V37" s="920">
        <f t="shared" si="15"/>
        <v>0</v>
      </c>
      <c r="W37" s="1070">
        <f t="shared" si="16"/>
        <v>0</v>
      </c>
      <c r="X37" s="961">
        <v>0</v>
      </c>
      <c r="Y37" s="919">
        <f t="shared" si="17"/>
        <v>1</v>
      </c>
      <c r="Z37" s="920">
        <f t="shared" si="18"/>
        <v>0</v>
      </c>
      <c r="AA37" s="1070">
        <f t="shared" si="19"/>
        <v>0</v>
      </c>
      <c r="AB37" s="961">
        <v>0</v>
      </c>
      <c r="AC37" s="919">
        <f t="shared" si="20"/>
        <v>1</v>
      </c>
      <c r="AD37" s="920">
        <f t="shared" si="21"/>
        <v>0</v>
      </c>
      <c r="AE37" s="1070">
        <f t="shared" si="22"/>
        <v>0</v>
      </c>
      <c r="AF37" s="961">
        <v>0</v>
      </c>
      <c r="AG37" s="919">
        <f t="shared" si="23"/>
        <v>1</v>
      </c>
      <c r="AH37" s="920">
        <f t="shared" si="24"/>
        <v>0</v>
      </c>
      <c r="AI37" s="1070">
        <f t="shared" si="25"/>
        <v>0</v>
      </c>
      <c r="AJ37" s="961">
        <v>0</v>
      </c>
      <c r="AK37" s="919"/>
      <c r="AL37" s="920"/>
      <c r="AM37" s="1071"/>
      <c r="AN37" s="919">
        <v>1</v>
      </c>
      <c r="AO37" s="920">
        <f t="shared" si="26"/>
        <v>2.3406018373281947</v>
      </c>
      <c r="AP37" s="1071" t="str">
        <f t="shared" si="28"/>
        <v>(3,3,4,3,5,5); Estimation</v>
      </c>
      <c r="AQ37" s="1068"/>
      <c r="AR37" s="1068">
        <f>11%</f>
        <v>0.11</v>
      </c>
      <c r="AS37" s="399"/>
      <c r="AT37" s="979">
        <f t="shared" si="27"/>
        <v>1.8288304849899026</v>
      </c>
      <c r="AU37" s="399" t="s">
        <v>251</v>
      </c>
      <c r="AV37" s="973">
        <v>3</v>
      </c>
      <c r="AW37" s="974">
        <v>3</v>
      </c>
      <c r="AX37" s="974">
        <v>4</v>
      </c>
      <c r="AY37" s="974">
        <v>3</v>
      </c>
      <c r="AZ37" s="974">
        <v>5</v>
      </c>
      <c r="BA37" s="974">
        <v>5</v>
      </c>
      <c r="BB37" s="974">
        <v>31</v>
      </c>
      <c r="BC37" s="979">
        <v>1.5</v>
      </c>
      <c r="BD37" s="979">
        <f t="shared" si="8"/>
        <v>2.1117645796467706</v>
      </c>
      <c r="BE37" s="979">
        <f t="shared" si="9"/>
        <v>2.3406018373281947</v>
      </c>
      <c r="BF37" s="979" t="str">
        <f t="shared" si="10"/>
        <v>(3,3,4,3,5,5)</v>
      </c>
      <c r="BG37" s="399"/>
      <c r="BH37" s="980">
        <v>1.1000000000000001</v>
      </c>
      <c r="BI37" s="980">
        <v>1.05</v>
      </c>
      <c r="BJ37" s="980">
        <v>1.2</v>
      </c>
      <c r="BK37" s="980">
        <v>1.02</v>
      </c>
      <c r="BL37" s="980">
        <v>2</v>
      </c>
      <c r="BM37" s="980">
        <v>1.2</v>
      </c>
    </row>
    <row r="38" spans="1:65" ht="12.75" customHeight="1">
      <c r="A38" s="794">
        <v>89725</v>
      </c>
      <c r="B38" s="1064"/>
      <c r="C38" s="1065"/>
      <c r="D38" s="1104" t="s">
        <v>98</v>
      </c>
      <c r="E38" s="1103">
        <v>4</v>
      </c>
      <c r="F38" s="899" t="s">
        <v>252</v>
      </c>
      <c r="G38" s="900" t="s">
        <v>98</v>
      </c>
      <c r="H38" s="906" t="s">
        <v>247</v>
      </c>
      <c r="I38" s="1106" t="s">
        <v>248</v>
      </c>
      <c r="J38" s="902" t="s">
        <v>98</v>
      </c>
      <c r="K38" s="900" t="s">
        <v>96</v>
      </c>
      <c r="L38" s="1098">
        <f>0.000375*10%</f>
        <v>3.7500000000000003E-5</v>
      </c>
      <c r="M38" s="917">
        <f t="shared" si="11"/>
        <v>1</v>
      </c>
      <c r="N38" s="918">
        <f t="shared" si="12"/>
        <v>3.9766207589840805</v>
      </c>
      <c r="O38" s="1099" t="str">
        <f t="shared" si="13"/>
        <v>(3,3,5,5,5,5); Literature</v>
      </c>
      <c r="P38" s="1098">
        <v>0</v>
      </c>
      <c r="Q38" s="917">
        <f t="shared" si="32"/>
        <v>1</v>
      </c>
      <c r="R38" s="918">
        <f t="shared" si="33"/>
        <v>3.9766207589840805</v>
      </c>
      <c r="S38" s="1099" t="str">
        <f t="shared" si="34"/>
        <v>(3,3,5,5,5,5); Literature</v>
      </c>
      <c r="T38" s="1098">
        <v>0</v>
      </c>
      <c r="U38" s="917">
        <f t="shared" si="14"/>
        <v>1</v>
      </c>
      <c r="V38" s="918">
        <f t="shared" si="15"/>
        <v>0</v>
      </c>
      <c r="W38" s="1100">
        <f t="shared" si="16"/>
        <v>0</v>
      </c>
      <c r="X38" s="1098">
        <v>0</v>
      </c>
      <c r="Y38" s="917">
        <f t="shared" si="17"/>
        <v>1</v>
      </c>
      <c r="Z38" s="918">
        <f t="shared" si="18"/>
        <v>0</v>
      </c>
      <c r="AA38" s="1100">
        <f t="shared" si="19"/>
        <v>0</v>
      </c>
      <c r="AB38" s="1098">
        <v>0</v>
      </c>
      <c r="AC38" s="917">
        <f t="shared" si="20"/>
        <v>1</v>
      </c>
      <c r="AD38" s="918">
        <f t="shared" si="21"/>
        <v>0</v>
      </c>
      <c r="AE38" s="1100">
        <f t="shared" si="22"/>
        <v>0</v>
      </c>
      <c r="AF38" s="1098">
        <v>0</v>
      </c>
      <c r="AG38" s="917">
        <f t="shared" si="23"/>
        <v>1</v>
      </c>
      <c r="AH38" s="918">
        <f t="shared" si="24"/>
        <v>0</v>
      </c>
      <c r="AI38" s="1100">
        <f t="shared" si="25"/>
        <v>0</v>
      </c>
      <c r="AJ38" s="1098">
        <v>0</v>
      </c>
      <c r="AK38" s="917"/>
      <c r="AL38" s="918"/>
      <c r="AM38" s="1101"/>
      <c r="AN38" s="917">
        <v>1</v>
      </c>
      <c r="AO38" s="918">
        <f t="shared" si="26"/>
        <v>3.9766207589840805</v>
      </c>
      <c r="AP38" s="1101" t="str">
        <f t="shared" si="28"/>
        <v>(3,3,5,5,5,5); Literature</v>
      </c>
      <c r="AQ38" s="1068"/>
      <c r="AR38" s="1068"/>
      <c r="AS38" s="399"/>
      <c r="AT38" s="977">
        <f t="shared" si="27"/>
        <v>3.2744788777166907</v>
      </c>
      <c r="AU38" s="399" t="s">
        <v>253</v>
      </c>
      <c r="AV38" s="975">
        <v>3</v>
      </c>
      <c r="AW38" s="976">
        <v>3</v>
      </c>
      <c r="AX38" s="976">
        <v>5</v>
      </c>
      <c r="AY38" s="976">
        <v>5</v>
      </c>
      <c r="AZ38" s="976">
        <v>5</v>
      </c>
      <c r="BA38" s="976">
        <v>5</v>
      </c>
      <c r="BB38" s="976">
        <v>20</v>
      </c>
      <c r="BC38" s="977">
        <v>3</v>
      </c>
      <c r="BD38" s="977">
        <f t="shared" si="8"/>
        <v>2.3067731951631232</v>
      </c>
      <c r="BE38" s="977">
        <f t="shared" si="9"/>
        <v>3.9766207589840805</v>
      </c>
      <c r="BF38" s="977" t="str">
        <f t="shared" si="10"/>
        <v>(3,3,5,5,5,5)</v>
      </c>
      <c r="BG38" s="399"/>
      <c r="BH38" s="978">
        <v>1.1000000000000001</v>
      </c>
      <c r="BI38" s="978">
        <v>1.05</v>
      </c>
      <c r="BJ38" s="978">
        <v>1.5</v>
      </c>
      <c r="BK38" s="978">
        <v>1.1000000000000001</v>
      </c>
      <c r="BL38" s="978">
        <v>2</v>
      </c>
      <c r="BM38" s="978">
        <v>1.2</v>
      </c>
    </row>
    <row r="39" spans="1:65" ht="12.75" customHeight="1">
      <c r="A39" s="794">
        <v>85941</v>
      </c>
      <c r="B39" s="1064"/>
      <c r="C39" s="1065"/>
      <c r="D39" s="1105" t="s">
        <v>98</v>
      </c>
      <c r="E39" s="1073">
        <v>4</v>
      </c>
      <c r="F39" s="868" t="s">
        <v>254</v>
      </c>
      <c r="G39" s="869" t="s">
        <v>98</v>
      </c>
      <c r="H39" s="870" t="s">
        <v>247</v>
      </c>
      <c r="I39" s="1107" t="s">
        <v>248</v>
      </c>
      <c r="J39" s="872" t="s">
        <v>98</v>
      </c>
      <c r="K39" s="869" t="s">
        <v>96</v>
      </c>
      <c r="L39" s="961">
        <f>0.000375*38%</f>
        <v>1.4249999999999999E-4</v>
      </c>
      <c r="M39" s="919">
        <f t="shared" si="11"/>
        <v>1</v>
      </c>
      <c r="N39" s="920">
        <f t="shared" si="12"/>
        <v>2.9619938509724171</v>
      </c>
      <c r="O39" s="1069" t="str">
        <f t="shared" si="13"/>
        <v>(3,3,5,5,5,5); Literature</v>
      </c>
      <c r="P39" s="961">
        <v>0</v>
      </c>
      <c r="Q39" s="919">
        <f t="shared" si="32"/>
        <v>1</v>
      </c>
      <c r="R39" s="920">
        <f t="shared" si="33"/>
        <v>2.9619938509724171</v>
      </c>
      <c r="S39" s="1069" t="str">
        <f t="shared" si="34"/>
        <v>(3,3,5,5,5,5); Literature</v>
      </c>
      <c r="T39" s="961">
        <v>0</v>
      </c>
      <c r="U39" s="919">
        <f t="shared" si="14"/>
        <v>1</v>
      </c>
      <c r="V39" s="920">
        <f t="shared" si="15"/>
        <v>0</v>
      </c>
      <c r="W39" s="1070">
        <f t="shared" si="16"/>
        <v>0</v>
      </c>
      <c r="X39" s="961">
        <v>0</v>
      </c>
      <c r="Y39" s="919">
        <f t="shared" si="17"/>
        <v>1</v>
      </c>
      <c r="Z39" s="920">
        <f t="shared" si="18"/>
        <v>0</v>
      </c>
      <c r="AA39" s="1070">
        <f t="shared" si="19"/>
        <v>0</v>
      </c>
      <c r="AB39" s="961">
        <v>0</v>
      </c>
      <c r="AC39" s="919">
        <f t="shared" si="20"/>
        <v>1</v>
      </c>
      <c r="AD39" s="920">
        <f t="shared" si="21"/>
        <v>0</v>
      </c>
      <c r="AE39" s="1070">
        <f t="shared" si="22"/>
        <v>0</v>
      </c>
      <c r="AF39" s="961">
        <v>0</v>
      </c>
      <c r="AG39" s="919">
        <f t="shared" si="23"/>
        <v>1</v>
      </c>
      <c r="AH39" s="920">
        <f t="shared" si="24"/>
        <v>0</v>
      </c>
      <c r="AI39" s="1070">
        <f t="shared" si="25"/>
        <v>0</v>
      </c>
      <c r="AJ39" s="961">
        <v>0</v>
      </c>
      <c r="AK39" s="919"/>
      <c r="AL39" s="920"/>
      <c r="AM39" s="1071"/>
      <c r="AN39" s="919">
        <v>1</v>
      </c>
      <c r="AO39" s="920">
        <f t="shared" si="26"/>
        <v>2.9619938509724171</v>
      </c>
      <c r="AP39" s="1071" t="str">
        <f t="shared" si="28"/>
        <v>(3,3,5,5,5,5); Literature</v>
      </c>
      <c r="AQ39" s="1068"/>
      <c r="AR39" s="1068"/>
      <c r="AS39" s="399"/>
      <c r="AT39" s="979">
        <f t="shared" si="27"/>
        <v>2.281675529635963</v>
      </c>
      <c r="AU39" s="399" t="s">
        <v>253</v>
      </c>
      <c r="AV39" s="973">
        <v>3</v>
      </c>
      <c r="AW39" s="974">
        <v>3</v>
      </c>
      <c r="AX39" s="974">
        <v>5</v>
      </c>
      <c r="AY39" s="974">
        <v>5</v>
      </c>
      <c r="AZ39" s="974">
        <v>5</v>
      </c>
      <c r="BA39" s="974">
        <v>5</v>
      </c>
      <c r="BB39" s="974">
        <v>19</v>
      </c>
      <c r="BC39" s="979">
        <v>2</v>
      </c>
      <c r="BD39" s="979">
        <f t="shared" si="8"/>
        <v>2.3067731951631232</v>
      </c>
      <c r="BE39" s="979">
        <f t="shared" si="9"/>
        <v>2.9619938509724171</v>
      </c>
      <c r="BF39" s="979" t="str">
        <f t="shared" si="10"/>
        <v>(3,3,5,5,5,5)</v>
      </c>
      <c r="BG39" s="399"/>
      <c r="BH39" s="980">
        <v>1.1000000000000001</v>
      </c>
      <c r="BI39" s="980">
        <v>1.05</v>
      </c>
      <c r="BJ39" s="980">
        <v>1.5</v>
      </c>
      <c r="BK39" s="980">
        <v>1.1000000000000001</v>
      </c>
      <c r="BL39" s="980">
        <v>2</v>
      </c>
      <c r="BM39" s="980">
        <v>1.2</v>
      </c>
    </row>
    <row r="40" spans="1:65" ht="12.75" customHeight="1">
      <c r="A40" s="794">
        <v>157739</v>
      </c>
      <c r="B40" s="1064"/>
      <c r="C40" s="1065"/>
      <c r="D40" s="1104" t="s">
        <v>98</v>
      </c>
      <c r="E40" s="1103">
        <v>4</v>
      </c>
      <c r="F40" s="899" t="s">
        <v>255</v>
      </c>
      <c r="G40" s="900" t="s">
        <v>98</v>
      </c>
      <c r="H40" s="906" t="s">
        <v>247</v>
      </c>
      <c r="I40" s="1106" t="s">
        <v>248</v>
      </c>
      <c r="J40" s="902" t="s">
        <v>98</v>
      </c>
      <c r="K40" s="900" t="s">
        <v>96</v>
      </c>
      <c r="L40" s="1098">
        <f>0.000375*52%</f>
        <v>1.9500000000000002E-4</v>
      </c>
      <c r="M40" s="917">
        <f t="shared" si="11"/>
        <v>1</v>
      </c>
      <c r="N40" s="918">
        <f t="shared" si="12"/>
        <v>2.5319835838621492</v>
      </c>
      <c r="O40" s="1099" t="str">
        <f t="shared" si="13"/>
        <v>(3,3,5,5,5,5); Literature</v>
      </c>
      <c r="P40" s="1098">
        <v>0</v>
      </c>
      <c r="Q40" s="917">
        <f t="shared" si="32"/>
        <v>1</v>
      </c>
      <c r="R40" s="918">
        <f t="shared" si="33"/>
        <v>2.5319835838621492</v>
      </c>
      <c r="S40" s="1099" t="str">
        <f t="shared" si="34"/>
        <v>(3,3,5,5,5,5); Literature</v>
      </c>
      <c r="T40" s="1098">
        <v>0</v>
      </c>
      <c r="U40" s="917">
        <f t="shared" si="14"/>
        <v>1</v>
      </c>
      <c r="V40" s="918">
        <f t="shared" si="15"/>
        <v>0</v>
      </c>
      <c r="W40" s="1100">
        <f t="shared" si="16"/>
        <v>0</v>
      </c>
      <c r="X40" s="1098">
        <v>0</v>
      </c>
      <c r="Y40" s="917">
        <f t="shared" si="17"/>
        <v>1</v>
      </c>
      <c r="Z40" s="918">
        <f t="shared" si="18"/>
        <v>0</v>
      </c>
      <c r="AA40" s="1100">
        <f t="shared" si="19"/>
        <v>0</v>
      </c>
      <c r="AB40" s="1098">
        <v>0</v>
      </c>
      <c r="AC40" s="917">
        <f t="shared" si="20"/>
        <v>1</v>
      </c>
      <c r="AD40" s="918">
        <f t="shared" si="21"/>
        <v>0</v>
      </c>
      <c r="AE40" s="1100">
        <f t="shared" si="22"/>
        <v>0</v>
      </c>
      <c r="AF40" s="1098">
        <v>0</v>
      </c>
      <c r="AG40" s="917">
        <f t="shared" si="23"/>
        <v>1</v>
      </c>
      <c r="AH40" s="918">
        <f t="shared" si="24"/>
        <v>0</v>
      </c>
      <c r="AI40" s="1100">
        <f t="shared" si="25"/>
        <v>0</v>
      </c>
      <c r="AJ40" s="1098">
        <v>0</v>
      </c>
      <c r="AK40" s="917"/>
      <c r="AL40" s="918"/>
      <c r="AM40" s="1101"/>
      <c r="AN40" s="917">
        <v>1</v>
      </c>
      <c r="AO40" s="918">
        <f t="shared" si="26"/>
        <v>2.5319835838621492</v>
      </c>
      <c r="AP40" s="1101" t="str">
        <f t="shared" si="28"/>
        <v>(3,3,5,5,5,5); Literature</v>
      </c>
      <c r="AQ40" s="1068"/>
      <c r="AR40" s="1068"/>
      <c r="AS40" s="399"/>
      <c r="AT40" s="977">
        <f t="shared" si="27"/>
        <v>1.8288304849899026</v>
      </c>
      <c r="AU40" s="399" t="s">
        <v>253</v>
      </c>
      <c r="AV40" s="975">
        <v>3</v>
      </c>
      <c r="AW40" s="976">
        <v>3</v>
      </c>
      <c r="AX40" s="976">
        <v>5</v>
      </c>
      <c r="AY40" s="976">
        <v>5</v>
      </c>
      <c r="AZ40" s="976">
        <v>5</v>
      </c>
      <c r="BA40" s="976">
        <v>5</v>
      </c>
      <c r="BB40" s="976">
        <v>18</v>
      </c>
      <c r="BC40" s="977">
        <v>1.5</v>
      </c>
      <c r="BD40" s="977">
        <f t="shared" si="8"/>
        <v>2.3067731951631232</v>
      </c>
      <c r="BE40" s="977">
        <f t="shared" si="9"/>
        <v>2.5319835838621492</v>
      </c>
      <c r="BF40" s="977" t="str">
        <f t="shared" si="10"/>
        <v>(3,3,5,5,5,5)</v>
      </c>
      <c r="BG40" s="399"/>
      <c r="BH40" s="978">
        <v>1.1000000000000001</v>
      </c>
      <c r="BI40" s="978">
        <v>1.05</v>
      </c>
      <c r="BJ40" s="978">
        <v>1.5</v>
      </c>
      <c r="BK40" s="978">
        <v>1.1000000000000001</v>
      </c>
      <c r="BL40" s="978">
        <v>2</v>
      </c>
      <c r="BM40" s="978">
        <v>1.2</v>
      </c>
    </row>
    <row r="41" spans="1:65" ht="12.75" customHeight="1">
      <c r="A41" s="794">
        <v>51806</v>
      </c>
      <c r="B41" s="1064"/>
      <c r="C41" s="1065"/>
      <c r="D41" s="1105" t="s">
        <v>98</v>
      </c>
      <c r="E41" s="1073">
        <v>4</v>
      </c>
      <c r="F41" s="868" t="s">
        <v>256</v>
      </c>
      <c r="G41" s="869" t="s">
        <v>98</v>
      </c>
      <c r="H41" s="870" t="s">
        <v>247</v>
      </c>
      <c r="I41" s="871" t="s">
        <v>248</v>
      </c>
      <c r="J41" s="872" t="s">
        <v>98</v>
      </c>
      <c r="K41" s="869" t="s">
        <v>96</v>
      </c>
      <c r="L41" s="961">
        <v>0</v>
      </c>
      <c r="M41" s="919">
        <f t="shared" si="11"/>
        <v>1</v>
      </c>
      <c r="N41" s="920">
        <f t="shared" si="12"/>
        <v>1.3285812705862265</v>
      </c>
      <c r="O41" s="1069" t="str">
        <f t="shared" si="13"/>
        <v>(3,3,4,3,1,5); HF production</v>
      </c>
      <c r="P41" s="961">
        <v>2.9999999999999997E-4</v>
      </c>
      <c r="Q41" s="919">
        <f t="shared" si="32"/>
        <v>1</v>
      </c>
      <c r="R41" s="920">
        <f t="shared" si="33"/>
        <v>1.3285812705862265</v>
      </c>
      <c r="S41" s="1069" t="str">
        <f t="shared" si="34"/>
        <v>(3,3,4,3,1,5); HF production</v>
      </c>
      <c r="T41" s="961">
        <v>0</v>
      </c>
      <c r="U41" s="919">
        <f t="shared" si="14"/>
        <v>1</v>
      </c>
      <c r="V41" s="920">
        <f t="shared" si="15"/>
        <v>0</v>
      </c>
      <c r="W41" s="1070">
        <f t="shared" si="16"/>
        <v>0</v>
      </c>
      <c r="X41" s="961">
        <v>0</v>
      </c>
      <c r="Y41" s="919">
        <f t="shared" si="17"/>
        <v>1</v>
      </c>
      <c r="Z41" s="920">
        <f t="shared" si="18"/>
        <v>0</v>
      </c>
      <c r="AA41" s="1070">
        <f t="shared" si="19"/>
        <v>0</v>
      </c>
      <c r="AB41" s="961">
        <v>0</v>
      </c>
      <c r="AC41" s="919">
        <f t="shared" si="20"/>
        <v>1</v>
      </c>
      <c r="AD41" s="920">
        <f t="shared" si="21"/>
        <v>0</v>
      </c>
      <c r="AE41" s="1070">
        <f t="shared" si="22"/>
        <v>0</v>
      </c>
      <c r="AF41" s="961">
        <v>0</v>
      </c>
      <c r="AG41" s="919">
        <f t="shared" si="23"/>
        <v>1</v>
      </c>
      <c r="AH41" s="920">
        <f t="shared" si="24"/>
        <v>0</v>
      </c>
      <c r="AI41" s="1070">
        <f t="shared" si="25"/>
        <v>0</v>
      </c>
      <c r="AJ41" s="961">
        <v>0</v>
      </c>
      <c r="AK41" s="919"/>
      <c r="AL41" s="920"/>
      <c r="AM41" s="1071"/>
      <c r="AN41" s="919">
        <v>1</v>
      </c>
      <c r="AO41" s="920">
        <f t="shared" si="26"/>
        <v>1.3285812705862265</v>
      </c>
      <c r="AP41" s="1071" t="str">
        <f t="shared" si="28"/>
        <v>(3,3,4,3,1,5); HF production</v>
      </c>
      <c r="AQ41" s="1068"/>
      <c r="AR41" s="1068"/>
      <c r="AS41" s="399"/>
      <c r="AT41" s="979">
        <f t="shared" si="27"/>
        <v>1.5681449998445471</v>
      </c>
      <c r="AU41" s="399" t="s">
        <v>257</v>
      </c>
      <c r="AV41" s="973">
        <v>3</v>
      </c>
      <c r="AW41" s="974">
        <v>3</v>
      </c>
      <c r="AX41" s="974">
        <v>4</v>
      </c>
      <c r="AY41" s="974">
        <v>3</v>
      </c>
      <c r="AZ41" s="974">
        <v>1</v>
      </c>
      <c r="BA41" s="974">
        <v>5</v>
      </c>
      <c r="BB41" s="974">
        <v>15</v>
      </c>
      <c r="BC41" s="979">
        <v>1.05</v>
      </c>
      <c r="BD41" s="979">
        <f t="shared" si="8"/>
        <v>1.3229855584076429</v>
      </c>
      <c r="BE41" s="979">
        <f t="shared" si="9"/>
        <v>1.3285812705862265</v>
      </c>
      <c r="BF41" s="979" t="str">
        <f t="shared" si="10"/>
        <v>(3,3,4,3,1,5)</v>
      </c>
      <c r="BG41" s="399"/>
      <c r="BH41" s="980">
        <v>1.1000000000000001</v>
      </c>
      <c r="BI41" s="980">
        <v>1.05</v>
      </c>
      <c r="BJ41" s="980">
        <v>1.2</v>
      </c>
      <c r="BK41" s="980">
        <v>1.02</v>
      </c>
      <c r="BL41" s="980">
        <v>1</v>
      </c>
      <c r="BM41" s="980">
        <v>1.2</v>
      </c>
    </row>
    <row r="42" spans="1:65" ht="24" customHeight="1">
      <c r="A42" s="794">
        <v>26267</v>
      </c>
      <c r="B42" s="1064"/>
      <c r="C42" s="1065"/>
      <c r="D42" s="1104" t="s">
        <v>98</v>
      </c>
      <c r="E42" s="1103">
        <v>4</v>
      </c>
      <c r="F42" s="899" t="s">
        <v>181</v>
      </c>
      <c r="G42" s="900" t="s">
        <v>98</v>
      </c>
      <c r="H42" s="906" t="s">
        <v>247</v>
      </c>
      <c r="I42" s="901" t="s">
        <v>258</v>
      </c>
      <c r="J42" s="902" t="s">
        <v>98</v>
      </c>
      <c r="K42" s="900" t="s">
        <v>96</v>
      </c>
      <c r="L42" s="1098">
        <v>0</v>
      </c>
      <c r="M42" s="917">
        <f t="shared" si="11"/>
        <v>1</v>
      </c>
      <c r="N42" s="918">
        <f t="shared" si="12"/>
        <v>1.6367088634771867</v>
      </c>
      <c r="O42" s="1099" t="str">
        <f t="shared" si="13"/>
        <v>(3,3,4,3,1,5); HF production</v>
      </c>
      <c r="P42" s="1098">
        <v>0</v>
      </c>
      <c r="Q42" s="917">
        <f t="shared" si="32"/>
        <v>1</v>
      </c>
      <c r="R42" s="918">
        <f t="shared" si="33"/>
        <v>1.6367088634771867</v>
      </c>
      <c r="S42" s="1099" t="str">
        <f t="shared" si="34"/>
        <v>(3,3,4,3,1,5); HF production</v>
      </c>
      <c r="T42" s="1098">
        <v>0</v>
      </c>
      <c r="U42" s="917">
        <f t="shared" si="14"/>
        <v>1</v>
      </c>
      <c r="V42" s="918">
        <f t="shared" si="15"/>
        <v>1.8288304849899026</v>
      </c>
      <c r="W42" s="1100" t="str">
        <f t="shared" si="16"/>
        <v>(5,3,1,1,1,5); Rough estimation based on cumulative data, Krieger et al. 2006</v>
      </c>
      <c r="X42" s="1098">
        <v>0</v>
      </c>
      <c r="Y42" s="917">
        <f t="shared" si="17"/>
        <v>1</v>
      </c>
      <c r="Z42" s="918">
        <f t="shared" si="18"/>
        <v>1.8288304849899026</v>
      </c>
      <c r="AA42" s="1100" t="str">
        <f t="shared" si="19"/>
        <v>(5,3,1,1,1,5); Rough estimation based on cumulative data, Krieger et al. 2006</v>
      </c>
      <c r="AB42" s="1098">
        <v>0</v>
      </c>
      <c r="AC42" s="917">
        <f t="shared" si="20"/>
        <v>1</v>
      </c>
      <c r="AD42" s="918">
        <f t="shared" si="21"/>
        <v>1.8288304849899026</v>
      </c>
      <c r="AE42" s="1100" t="str">
        <f t="shared" si="22"/>
        <v>(5,3,1,1,1,5); Rough estimation based on cumulative data, Krieger et al. 2006</v>
      </c>
      <c r="AF42" s="1098">
        <f>0.04*(AF27+AF28)</f>
        <v>1.882031555150496E-2</v>
      </c>
      <c r="AG42" s="917">
        <f t="shared" si="23"/>
        <v>1</v>
      </c>
      <c r="AH42" s="918">
        <f t="shared" si="24"/>
        <v>1.8288304849899026</v>
      </c>
      <c r="AI42" s="1100" t="str">
        <f t="shared" si="25"/>
        <v>(5,3,1,1,1,5); Rough estimation based on cumulative data, Krieger et al. 2006</v>
      </c>
      <c r="AJ42" s="1098">
        <f>0.04*(AJ27+AJ28)</f>
        <v>0</v>
      </c>
      <c r="AK42" s="917">
        <f>$AN42</f>
        <v>1</v>
      </c>
      <c r="AL42" s="918">
        <f>$AT42</f>
        <v>1.8288304849899026</v>
      </c>
      <c r="AM42" s="1101" t="str">
        <f>$BF$45&amp;"; "&amp;$AS42</f>
        <v>(5,3,1,1,1,5); Rough estimation based on cumulative data, Krieger et al. 2006</v>
      </c>
      <c r="AN42" s="917">
        <v>1</v>
      </c>
      <c r="AO42" s="918">
        <f t="shared" si="26"/>
        <v>1.6367088634771867</v>
      </c>
      <c r="AP42" s="1101" t="str">
        <f t="shared" si="28"/>
        <v>(3,3,4,3,1,5); HF production</v>
      </c>
      <c r="AQ42" s="1068"/>
      <c r="AR42" s="1068"/>
      <c r="AS42" s="399" t="str">
        <f>AS$16</f>
        <v>Rough estimation based on cumulative data, Krieger et al. 2006</v>
      </c>
      <c r="AT42" s="977">
        <f t="shared" si="27"/>
        <v>1.8288304849899026</v>
      </c>
      <c r="AU42" s="399" t="s">
        <v>257</v>
      </c>
      <c r="AV42" s="975">
        <v>3</v>
      </c>
      <c r="AW42" s="976">
        <v>3</v>
      </c>
      <c r="AX42" s="976">
        <v>4</v>
      </c>
      <c r="AY42" s="976">
        <v>3</v>
      </c>
      <c r="AZ42" s="976">
        <v>1</v>
      </c>
      <c r="BA42" s="976">
        <v>5</v>
      </c>
      <c r="BB42" s="976">
        <v>16</v>
      </c>
      <c r="BC42" s="977">
        <v>1.5</v>
      </c>
      <c r="BD42" s="977">
        <f t="shared" si="8"/>
        <v>1.3229855584076429</v>
      </c>
      <c r="BE42" s="977">
        <f t="shared" si="9"/>
        <v>1.6367088634771867</v>
      </c>
      <c r="BF42" s="977" t="str">
        <f t="shared" si="10"/>
        <v>(3,3,4,3,1,5)</v>
      </c>
      <c r="BG42" s="399"/>
      <c r="BH42" s="978">
        <v>1.1000000000000001</v>
      </c>
      <c r="BI42" s="978">
        <v>1.05</v>
      </c>
      <c r="BJ42" s="978">
        <v>1.2</v>
      </c>
      <c r="BK42" s="978">
        <v>1.02</v>
      </c>
      <c r="BL42" s="978">
        <v>1</v>
      </c>
      <c r="BM42" s="978">
        <v>1.2</v>
      </c>
    </row>
    <row r="43" spans="1:65" ht="24" customHeight="1">
      <c r="A43" s="794">
        <v>90275</v>
      </c>
      <c r="B43" s="1064"/>
      <c r="C43" s="1065"/>
      <c r="D43" s="1105" t="s">
        <v>98</v>
      </c>
      <c r="E43" s="1073">
        <v>4</v>
      </c>
      <c r="F43" s="868" t="s">
        <v>259</v>
      </c>
      <c r="G43" s="869" t="s">
        <v>98</v>
      </c>
      <c r="H43" s="870" t="s">
        <v>247</v>
      </c>
      <c r="I43" s="871" t="s">
        <v>258</v>
      </c>
      <c r="J43" s="872" t="s">
        <v>98</v>
      </c>
      <c r="K43" s="869" t="s">
        <v>96</v>
      </c>
      <c r="L43" s="961">
        <v>0</v>
      </c>
      <c r="M43" s="919">
        <f t="shared" si="11"/>
        <v>1</v>
      </c>
      <c r="N43" s="920">
        <f t="shared" si="12"/>
        <v>1.3285812705862265</v>
      </c>
      <c r="O43" s="1069" t="str">
        <f t="shared" si="13"/>
        <v>(3,3,4,3,1,5); HF production</v>
      </c>
      <c r="P43" s="961">
        <v>0</v>
      </c>
      <c r="Q43" s="919">
        <f t="shared" si="32"/>
        <v>1</v>
      </c>
      <c r="R43" s="920">
        <f t="shared" si="33"/>
        <v>1.3285812705862265</v>
      </c>
      <c r="S43" s="1069" t="str">
        <f t="shared" si="34"/>
        <v>(3,3,4,3,1,5); HF production</v>
      </c>
      <c r="T43" s="961">
        <v>0</v>
      </c>
      <c r="U43" s="919">
        <f t="shared" si="14"/>
        <v>1</v>
      </c>
      <c r="V43" s="920">
        <f t="shared" si="15"/>
        <v>1.5681449998445471</v>
      </c>
      <c r="W43" s="1070" t="str">
        <f t="shared" si="16"/>
        <v>(5,3,1,1,1,5); Rough estimation based on cumulative data, Krieger et al. 2006</v>
      </c>
      <c r="X43" s="961">
        <v>0</v>
      </c>
      <c r="Y43" s="919">
        <f t="shared" si="17"/>
        <v>1</v>
      </c>
      <c r="Z43" s="920">
        <f t="shared" si="18"/>
        <v>1.5681449998445471</v>
      </c>
      <c r="AA43" s="1070" t="str">
        <f t="shared" si="19"/>
        <v>(5,3,1,1,1,5); Rough estimation based on cumulative data, Krieger et al. 2006</v>
      </c>
      <c r="AB43" s="961">
        <v>0</v>
      </c>
      <c r="AC43" s="919">
        <f t="shared" si="20"/>
        <v>1</v>
      </c>
      <c r="AD43" s="920">
        <f t="shared" si="21"/>
        <v>1.5681449998445471</v>
      </c>
      <c r="AE43" s="1070" t="str">
        <f t="shared" si="22"/>
        <v>(5,3,1,1,1,5); Rough estimation based on cumulative data, Krieger et al. 2006</v>
      </c>
      <c r="AF43" s="961">
        <f>0.15*(AF27+AF28)</f>
        <v>7.0576183318143595E-2</v>
      </c>
      <c r="AG43" s="919">
        <f t="shared" si="23"/>
        <v>1</v>
      </c>
      <c r="AH43" s="920">
        <f t="shared" si="24"/>
        <v>1.5681449998445471</v>
      </c>
      <c r="AI43" s="1070" t="str">
        <f t="shared" si="25"/>
        <v>(5,3,1,1,1,5); Rough estimation based on cumulative data, Krieger et al. 2006</v>
      </c>
      <c r="AJ43" s="961">
        <f>0.15*(AJ27+AJ28)</f>
        <v>0</v>
      </c>
      <c r="AK43" s="919">
        <f>$AN43</f>
        <v>1</v>
      </c>
      <c r="AL43" s="920">
        <f>$AT43</f>
        <v>1.5681449998445471</v>
      </c>
      <c r="AM43" s="1071" t="str">
        <f>$BF$45&amp;"; "&amp;$AS43</f>
        <v>(5,3,1,1,1,5); Rough estimation based on cumulative data, Krieger et al. 2006</v>
      </c>
      <c r="AN43" s="919">
        <v>1</v>
      </c>
      <c r="AO43" s="920">
        <f t="shared" si="26"/>
        <v>1.3285812705862265</v>
      </c>
      <c r="AP43" s="1071" t="str">
        <f t="shared" si="28"/>
        <v>(3,3,4,3,1,5); HF production</v>
      </c>
      <c r="AQ43" s="1068"/>
      <c r="AR43" s="1068"/>
      <c r="AS43" s="399" t="str">
        <f>AS$16</f>
        <v>Rough estimation based on cumulative data, Krieger et al. 2006</v>
      </c>
      <c r="AT43" s="979">
        <f t="shared" si="27"/>
        <v>1.5681449998445471</v>
      </c>
      <c r="AU43" s="399" t="s">
        <v>257</v>
      </c>
      <c r="AV43" s="973">
        <v>3</v>
      </c>
      <c r="AW43" s="974">
        <v>3</v>
      </c>
      <c r="AX43" s="974">
        <v>4</v>
      </c>
      <c r="AY43" s="974">
        <v>3</v>
      </c>
      <c r="AZ43" s="974">
        <v>1</v>
      </c>
      <c r="BA43" s="974">
        <v>5</v>
      </c>
      <c r="BB43" s="974">
        <v>14</v>
      </c>
      <c r="BC43" s="979">
        <v>1.05</v>
      </c>
      <c r="BD43" s="979">
        <f t="shared" si="8"/>
        <v>1.3229855584076429</v>
      </c>
      <c r="BE43" s="979">
        <f t="shared" si="9"/>
        <v>1.3285812705862265</v>
      </c>
      <c r="BF43" s="979" t="str">
        <f t="shared" si="10"/>
        <v>(3,3,4,3,1,5)</v>
      </c>
      <c r="BG43" s="399"/>
      <c r="BH43" s="980">
        <v>1.1000000000000001</v>
      </c>
      <c r="BI43" s="980">
        <v>1.05</v>
      </c>
      <c r="BJ43" s="980">
        <v>1.2</v>
      </c>
      <c r="BK43" s="980">
        <v>1.02</v>
      </c>
      <c r="BL43" s="980">
        <v>1</v>
      </c>
      <c r="BM43" s="980">
        <v>1.2</v>
      </c>
    </row>
    <row r="44" spans="1:65" ht="24" customHeight="1">
      <c r="A44" s="794">
        <v>90611</v>
      </c>
      <c r="B44" s="1064"/>
      <c r="C44" s="1065"/>
      <c r="D44" s="1104" t="s">
        <v>98</v>
      </c>
      <c r="E44" s="1103">
        <v>4</v>
      </c>
      <c r="F44" s="899" t="s">
        <v>260</v>
      </c>
      <c r="G44" s="900" t="s">
        <v>98</v>
      </c>
      <c r="H44" s="906" t="s">
        <v>247</v>
      </c>
      <c r="I44" s="901" t="s">
        <v>258</v>
      </c>
      <c r="J44" s="902" t="s">
        <v>98</v>
      </c>
      <c r="K44" s="900" t="s">
        <v>96</v>
      </c>
      <c r="L44" s="1098">
        <v>0</v>
      </c>
      <c r="M44" s="917">
        <f t="shared" si="11"/>
        <v>1</v>
      </c>
      <c r="N44" s="918">
        <f t="shared" si="12"/>
        <v>1.6367088634771867</v>
      </c>
      <c r="O44" s="1099" t="str">
        <f t="shared" si="13"/>
        <v>(3,3,4,3,1,5); HF production</v>
      </c>
      <c r="P44" s="1098">
        <v>0</v>
      </c>
      <c r="Q44" s="917">
        <f t="shared" si="32"/>
        <v>1</v>
      </c>
      <c r="R44" s="918">
        <f t="shared" si="33"/>
        <v>1.6367088634771867</v>
      </c>
      <c r="S44" s="1099" t="str">
        <f t="shared" si="34"/>
        <v>(3,3,4,3,1,5); HF production</v>
      </c>
      <c r="T44" s="1098">
        <v>1.35826416293878E-2</v>
      </c>
      <c r="U44" s="917">
        <f t="shared" si="14"/>
        <v>1</v>
      </c>
      <c r="V44" s="918">
        <f t="shared" si="15"/>
        <v>1.8288304849899026</v>
      </c>
      <c r="W44" s="1100" t="str">
        <f t="shared" si="16"/>
        <v>(5,3,1,1,1,5); Rough estimation based on cumulative data, Krieger et al. 2006</v>
      </c>
      <c r="X44" s="1098">
        <v>2.0544911022941301E-2</v>
      </c>
      <c r="Y44" s="917">
        <f t="shared" si="17"/>
        <v>1</v>
      </c>
      <c r="Z44" s="918">
        <f t="shared" si="18"/>
        <v>1.8288304849899026</v>
      </c>
      <c r="AA44" s="1100" t="str">
        <f t="shared" si="19"/>
        <v>(5,3,1,1,1,5); Rough estimation based on cumulative data, Krieger et al. 2006</v>
      </c>
      <c r="AB44" s="1098">
        <v>0</v>
      </c>
      <c r="AC44" s="917">
        <f t="shared" si="20"/>
        <v>1</v>
      </c>
      <c r="AD44" s="918">
        <f t="shared" si="21"/>
        <v>1.8288304849899026</v>
      </c>
      <c r="AE44" s="1100" t="str">
        <f t="shared" si="22"/>
        <v>(5,3,1,1,1,5); Rough estimation based on cumulative data, Krieger et al. 2006</v>
      </c>
      <c r="AF44" s="1098">
        <v>0</v>
      </c>
      <c r="AG44" s="917">
        <f t="shared" si="23"/>
        <v>1</v>
      </c>
      <c r="AH44" s="918">
        <f t="shared" si="24"/>
        <v>1.8288304849899026</v>
      </c>
      <c r="AI44" s="1100" t="str">
        <f t="shared" si="25"/>
        <v>(5,3,1,1,1,5); Rough estimation based on cumulative data, Krieger et al. 2006</v>
      </c>
      <c r="AJ44" s="1098">
        <v>0</v>
      </c>
      <c r="AK44" s="917">
        <f>$AN44</f>
        <v>1</v>
      </c>
      <c r="AL44" s="918">
        <f>$AT44</f>
        <v>1.8288304849899026</v>
      </c>
      <c r="AM44" s="1101" t="str">
        <f>$BF$45&amp;"; "&amp;$AS44</f>
        <v>(5,3,1,1,1,5); Rough estimation based on cumulative data, Krieger et al. 2006</v>
      </c>
      <c r="AN44" s="917">
        <v>1</v>
      </c>
      <c r="AO44" s="918">
        <f t="shared" si="26"/>
        <v>1.6367088634771867</v>
      </c>
      <c r="AP44" s="1101" t="str">
        <f t="shared" si="28"/>
        <v>(3,3,4,3,1,5); HF production</v>
      </c>
      <c r="AQ44" s="1068"/>
      <c r="AR44" s="1068">
        <f>1/140*23.3*22%</f>
        <v>3.6614285714285717E-2</v>
      </c>
      <c r="AS44" s="399" t="str">
        <f>AS$16</f>
        <v>Rough estimation based on cumulative data, Krieger et al. 2006</v>
      </c>
      <c r="AT44" s="977">
        <f t="shared" si="27"/>
        <v>1.8288304849899026</v>
      </c>
      <c r="AU44" s="399" t="s">
        <v>257</v>
      </c>
      <c r="AV44" s="975">
        <v>3</v>
      </c>
      <c r="AW44" s="976">
        <v>3</v>
      </c>
      <c r="AX44" s="976">
        <v>4</v>
      </c>
      <c r="AY44" s="976">
        <v>3</v>
      </c>
      <c r="AZ44" s="976">
        <v>1</v>
      </c>
      <c r="BA44" s="976">
        <v>5</v>
      </c>
      <c r="BB44" s="976">
        <v>18</v>
      </c>
      <c r="BC44" s="977">
        <v>1.5</v>
      </c>
      <c r="BD44" s="977">
        <f t="shared" si="8"/>
        <v>1.3229855584076429</v>
      </c>
      <c r="BE44" s="977">
        <f t="shared" si="9"/>
        <v>1.6367088634771867</v>
      </c>
      <c r="BF44" s="977" t="str">
        <f t="shared" si="10"/>
        <v>(3,3,4,3,1,5)</v>
      </c>
      <c r="BG44" s="399"/>
      <c r="BH44" s="978">
        <v>1.1000000000000001</v>
      </c>
      <c r="BI44" s="978">
        <v>1.05</v>
      </c>
      <c r="BJ44" s="978">
        <v>1.2</v>
      </c>
      <c r="BK44" s="978">
        <v>1.02</v>
      </c>
      <c r="BL44" s="978">
        <v>1</v>
      </c>
      <c r="BM44" s="978">
        <v>1.2</v>
      </c>
    </row>
    <row r="45" spans="1:65" s="405" customFormat="1" ht="12.75" customHeight="1">
      <c r="A45" s="773"/>
      <c r="B45" s="772"/>
      <c r="C45" s="771"/>
      <c r="D45" s="770"/>
      <c r="E45" s="769"/>
      <c r="F45" s="768"/>
      <c r="G45" s="767"/>
      <c r="H45" s="766"/>
      <c r="I45" s="765"/>
      <c r="J45" s="764"/>
      <c r="K45" s="767"/>
      <c r="L45" s="485"/>
      <c r="M45" s="763"/>
      <c r="N45" s="762"/>
      <c r="O45" s="761"/>
      <c r="P45" s="485"/>
      <c r="Q45" s="763"/>
      <c r="R45" s="762"/>
      <c r="S45" s="761"/>
      <c r="T45" s="485"/>
      <c r="U45" s="763"/>
      <c r="V45" s="762"/>
      <c r="W45" s="760"/>
      <c r="X45" s="485"/>
      <c r="Y45" s="763"/>
      <c r="Z45" s="762"/>
      <c r="AA45" s="760"/>
      <c r="AB45" s="485"/>
      <c r="AC45" s="763"/>
      <c r="AD45" s="762"/>
      <c r="AE45" s="760"/>
      <c r="AF45" s="485"/>
      <c r="AG45" s="763"/>
      <c r="AH45" s="762"/>
      <c r="AI45" s="760"/>
      <c r="AJ45" s="485"/>
      <c r="AK45" s="763"/>
      <c r="AL45" s="762"/>
      <c r="AM45" s="759" t="str">
        <f>$BF$45&amp;"; "&amp;$AS45</f>
        <v xml:space="preserve">(5,3,1,1,1,5); </v>
      </c>
      <c r="AN45" s="763"/>
      <c r="AO45" s="762"/>
      <c r="AP45" s="759"/>
      <c r="AQ45" s="758"/>
      <c r="AR45" s="485"/>
      <c r="AS45" s="757"/>
      <c r="AT45" s="756"/>
      <c r="AU45" s="757"/>
      <c r="AV45" s="51">
        <v>5</v>
      </c>
      <c r="AW45" s="302">
        <v>3</v>
      </c>
      <c r="AX45" s="302">
        <v>1</v>
      </c>
      <c r="AY45" s="302">
        <v>1</v>
      </c>
      <c r="AZ45" s="302">
        <v>1</v>
      </c>
      <c r="BA45" s="302">
        <v>5</v>
      </c>
      <c r="BB45" s="297"/>
      <c r="BC45" s="755"/>
      <c r="BD45" s="756">
        <f t="shared" si="8"/>
        <v>1.5639895531526171</v>
      </c>
      <c r="BE45" s="756"/>
      <c r="BF45" s="754" t="str">
        <f t="shared" si="10"/>
        <v>(5,3,1,1,1,5)</v>
      </c>
      <c r="BH45" s="753">
        <v>1.5</v>
      </c>
      <c r="BI45" s="753">
        <v>1.05</v>
      </c>
      <c r="BJ45" s="753">
        <v>1</v>
      </c>
      <c r="BK45" s="753">
        <v>1</v>
      </c>
      <c r="BL45" s="753">
        <v>1</v>
      </c>
      <c r="BM45" s="753">
        <v>1.2</v>
      </c>
    </row>
  </sheetData>
  <conditionalFormatting sqref="BH7:BM45">
    <cfRule type="cellIs" dxfId="368" priority="2" stopIfTrue="1" operator="equal">
      <formula>0</formula>
    </cfRule>
  </conditionalFormatting>
  <dataValidations disablePrompts="1" count="1">
    <dataValidation allowBlank="1" showInputMessage="1" showErrorMessage="1" promptTitle="Do not change" prompt="This field is automatically updated from the names-list" sqref="BB14:BB45" xr:uid="{00000000-0002-0000-0600-000000000000}"/>
  </dataValidations>
  <pageMargins left="0.78740157499999996" right="0.78740157499999996" top="0.984251969" bottom="0.984251969" header="0.4921259845" footer="0.4921259845"/>
  <pageSetup paperSize="9" scale="3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Tabelle69">
    <tabColor rgb="FF9CD9F0"/>
    <pageSetUpPr fitToPage="1"/>
  </sheetPr>
  <dimension ref="A1:AY28"/>
  <sheetViews>
    <sheetView workbookViewId="0">
      <selection activeCell="X23" sqref="A1:XFD1048576"/>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78" customWidth="1" collapsed="1"/>
    <col min="52" max="52" width="11.42578125" style="378" customWidth="1"/>
    <col min="53" max="16384" width="11.42578125" style="378"/>
  </cols>
  <sheetData>
    <row r="1" spans="1:50">
      <c r="A1" s="77"/>
      <c r="B1" s="78"/>
      <c r="C1" s="79"/>
      <c r="D1" s="77"/>
      <c r="E1" s="77"/>
      <c r="F1" s="80" t="s">
        <v>65</v>
      </c>
      <c r="G1" s="77"/>
      <c r="H1" s="77"/>
      <c r="I1" s="77"/>
      <c r="J1" s="77"/>
      <c r="K1" s="77"/>
      <c r="L1" s="330" t="s">
        <v>1923</v>
      </c>
      <c r="M1" s="81"/>
      <c r="N1" s="81"/>
      <c r="O1" s="81"/>
      <c r="P1" s="330" t="s">
        <v>1924</v>
      </c>
      <c r="Q1" s="81"/>
      <c r="R1" s="81"/>
      <c r="S1" s="81"/>
      <c r="T1" s="330" t="s">
        <v>1925</v>
      </c>
      <c r="U1" s="81"/>
      <c r="V1" s="81"/>
      <c r="W1" s="81"/>
      <c r="X1" s="330" t="s">
        <v>1926</v>
      </c>
      <c r="Y1" s="81"/>
      <c r="Z1" s="81"/>
      <c r="AA1" s="81"/>
      <c r="AB1" s="330" t="s">
        <v>1927</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G2" s="406"/>
      <c r="AH2" s="406"/>
      <c r="AI2" s="406"/>
      <c r="AJ2" s="406"/>
      <c r="AK2" s="406"/>
      <c r="AL2" s="406"/>
      <c r="AM2" s="406"/>
      <c r="AN2" s="406"/>
    </row>
    <row r="3" spans="1:50" ht="102" customHeight="1">
      <c r="A3" s="83" t="s">
        <v>68</v>
      </c>
      <c r="B3" s="84"/>
      <c r="C3" s="79">
        <v>401</v>
      </c>
      <c r="D3" s="85" t="s">
        <v>69</v>
      </c>
      <c r="E3" s="85" t="s">
        <v>70</v>
      </c>
      <c r="F3" s="86" t="s">
        <v>71</v>
      </c>
      <c r="G3" s="85" t="s">
        <v>72</v>
      </c>
      <c r="H3" s="85" t="s">
        <v>73</v>
      </c>
      <c r="I3" s="85" t="s">
        <v>74</v>
      </c>
      <c r="J3" s="85" t="s">
        <v>75</v>
      </c>
      <c r="K3" s="85" t="s">
        <v>76</v>
      </c>
      <c r="L3" s="87" t="s">
        <v>1918</v>
      </c>
      <c r="M3" s="422" t="s">
        <v>78</v>
      </c>
      <c r="N3" s="422" t="s">
        <v>79</v>
      </c>
      <c r="O3" s="423" t="s">
        <v>80</v>
      </c>
      <c r="P3" s="87" t="s">
        <v>1919</v>
      </c>
      <c r="Q3" s="422" t="s">
        <v>78</v>
      </c>
      <c r="R3" s="422" t="s">
        <v>79</v>
      </c>
      <c r="S3" s="423" t="s">
        <v>80</v>
      </c>
      <c r="T3" s="87" t="s">
        <v>1920</v>
      </c>
      <c r="U3" s="422" t="s">
        <v>78</v>
      </c>
      <c r="V3" s="422" t="s">
        <v>79</v>
      </c>
      <c r="W3" s="423" t="s">
        <v>80</v>
      </c>
      <c r="X3" s="87" t="s">
        <v>1921</v>
      </c>
      <c r="Y3" s="422" t="s">
        <v>78</v>
      </c>
      <c r="Z3" s="422" t="s">
        <v>79</v>
      </c>
      <c r="AA3" s="423" t="s">
        <v>80</v>
      </c>
      <c r="AB3" s="87" t="s">
        <v>1922</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2" customHeight="1">
      <c r="A4" s="77"/>
      <c r="B4" s="84"/>
      <c r="C4" s="79">
        <v>662</v>
      </c>
      <c r="D4" s="86"/>
      <c r="E4" s="86"/>
      <c r="F4" s="86" t="s">
        <v>72</v>
      </c>
      <c r="G4" s="86"/>
      <c r="H4" s="86"/>
      <c r="I4" s="86"/>
      <c r="J4" s="86"/>
      <c r="K4" s="86"/>
      <c r="L4" s="87" t="s">
        <v>372</v>
      </c>
      <c r="M4" s="425">
        <v>0</v>
      </c>
      <c r="N4" s="425">
        <v>0</v>
      </c>
      <c r="O4" s="426">
        <v>0</v>
      </c>
      <c r="P4" s="87" t="s">
        <v>372</v>
      </c>
      <c r="Q4" s="425">
        <v>0</v>
      </c>
      <c r="R4" s="425">
        <v>0</v>
      </c>
      <c r="S4" s="426">
        <v>0</v>
      </c>
      <c r="T4" s="87" t="s">
        <v>372</v>
      </c>
      <c r="U4" s="425">
        <v>0</v>
      </c>
      <c r="V4" s="425">
        <v>0</v>
      </c>
      <c r="W4" s="426">
        <v>0</v>
      </c>
      <c r="X4" s="87" t="s">
        <v>372</v>
      </c>
      <c r="Y4" s="425">
        <v>0</v>
      </c>
      <c r="Z4" s="425">
        <v>0</v>
      </c>
      <c r="AA4" s="426">
        <v>0</v>
      </c>
      <c r="AB4" s="87" t="s">
        <v>372</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ht="12" customHeight="1">
      <c r="A5" s="77"/>
      <c r="B5" s="84"/>
      <c r="C5" s="79">
        <v>493</v>
      </c>
      <c r="D5" s="86"/>
      <c r="E5" s="86"/>
      <c r="F5" s="86" t="s">
        <v>75</v>
      </c>
      <c r="G5" s="86"/>
      <c r="H5" s="86"/>
      <c r="I5" s="86"/>
      <c r="J5" s="86"/>
      <c r="K5" s="86"/>
      <c r="L5" s="87">
        <v>1</v>
      </c>
      <c r="M5" s="425">
        <v>0</v>
      </c>
      <c r="N5" s="425">
        <v>0</v>
      </c>
      <c r="O5" s="426">
        <v>0</v>
      </c>
      <c r="P5" s="87">
        <v>1</v>
      </c>
      <c r="Q5" s="425">
        <v>0</v>
      </c>
      <c r="R5" s="425">
        <v>0</v>
      </c>
      <c r="S5" s="426">
        <v>0</v>
      </c>
      <c r="T5" s="87">
        <v>1</v>
      </c>
      <c r="U5" s="425">
        <v>0</v>
      </c>
      <c r="V5" s="425">
        <v>0</v>
      </c>
      <c r="W5" s="426">
        <v>0</v>
      </c>
      <c r="X5" s="87">
        <v>1</v>
      </c>
      <c r="Y5" s="425">
        <v>0</v>
      </c>
      <c r="Z5" s="425">
        <v>0</v>
      </c>
      <c r="AA5" s="426">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ht="12" customHeight="1">
      <c r="A6" s="77"/>
      <c r="B6" s="84"/>
      <c r="C6" s="79">
        <v>403</v>
      </c>
      <c r="D6" s="86"/>
      <c r="E6" s="86"/>
      <c r="F6" s="86" t="s">
        <v>76</v>
      </c>
      <c r="G6" s="86"/>
      <c r="H6" s="86"/>
      <c r="I6" s="86"/>
      <c r="J6" s="86"/>
      <c r="K6" s="86"/>
      <c r="L6" s="87" t="s">
        <v>144</v>
      </c>
      <c r="M6" s="425">
        <v>0</v>
      </c>
      <c r="N6" s="425">
        <v>0</v>
      </c>
      <c r="O6" s="426">
        <v>0</v>
      </c>
      <c r="P6" s="87" t="s">
        <v>144</v>
      </c>
      <c r="Q6" s="425">
        <v>0</v>
      </c>
      <c r="R6" s="425">
        <v>0</v>
      </c>
      <c r="S6" s="426">
        <v>0</v>
      </c>
      <c r="T6" s="87" t="s">
        <v>144</v>
      </c>
      <c r="U6" s="425">
        <v>0</v>
      </c>
      <c r="V6" s="425">
        <v>0</v>
      </c>
      <c r="W6" s="426">
        <v>0</v>
      </c>
      <c r="X6" s="87" t="s">
        <v>144</v>
      </c>
      <c r="Y6" s="425">
        <v>0</v>
      </c>
      <c r="Z6" s="425">
        <v>0</v>
      </c>
      <c r="AA6" s="426">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1923</v>
      </c>
      <c r="B7" s="331" t="s">
        <v>97</v>
      </c>
      <c r="C7" s="88"/>
      <c r="D7" s="294" t="s">
        <v>98</v>
      </c>
      <c r="E7" s="295">
        <v>0</v>
      </c>
      <c r="F7" s="429" t="s">
        <v>1918</v>
      </c>
      <c r="G7" s="430" t="s">
        <v>372</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1924</v>
      </c>
      <c r="B8" s="331"/>
      <c r="C8" s="88"/>
      <c r="D8" s="294" t="s">
        <v>98</v>
      </c>
      <c r="E8" s="295">
        <v>0</v>
      </c>
      <c r="F8" s="429" t="s">
        <v>1919</v>
      </c>
      <c r="G8" s="430" t="s">
        <v>372</v>
      </c>
      <c r="H8" s="431" t="s">
        <v>98</v>
      </c>
      <c r="I8" s="431" t="s">
        <v>98</v>
      </c>
      <c r="J8" s="89">
        <v>1</v>
      </c>
      <c r="K8" s="430" t="s">
        <v>144</v>
      </c>
      <c r="L8" s="90">
        <v>0</v>
      </c>
      <c r="M8" s="91"/>
      <c r="N8" s="92"/>
      <c r="O8" s="93"/>
      <c r="P8" s="90">
        <v>1</v>
      </c>
      <c r="Q8" s="91"/>
      <c r="R8" s="92"/>
      <c r="S8" s="93"/>
      <c r="T8" s="90">
        <v>0</v>
      </c>
      <c r="U8" s="91"/>
      <c r="V8" s="92"/>
      <c r="W8" s="93"/>
      <c r="X8" s="90">
        <v>0</v>
      </c>
      <c r="Y8" s="91"/>
      <c r="Z8" s="92"/>
      <c r="AA8" s="93"/>
      <c r="AB8" s="90">
        <v>0</v>
      </c>
      <c r="AC8" s="91"/>
      <c r="AD8" s="92"/>
      <c r="AE8" s="93"/>
      <c r="AG8" s="101"/>
      <c r="AH8" s="97"/>
      <c r="AI8" s="97"/>
      <c r="AJ8" s="97"/>
      <c r="AK8" s="97"/>
      <c r="AL8" s="97"/>
      <c r="AM8" s="97"/>
      <c r="AN8" s="104"/>
      <c r="AO8" s="104"/>
      <c r="AP8" s="104"/>
      <c r="AQ8" s="104"/>
      <c r="AR8" s="104"/>
      <c r="AS8" s="104"/>
      <c r="AT8" s="104"/>
      <c r="AU8" s="104"/>
      <c r="AV8" s="104"/>
      <c r="AW8" s="104"/>
      <c r="AX8" s="104"/>
    </row>
    <row r="9" spans="1:50" ht="24" customHeight="1">
      <c r="A9" s="330" t="s">
        <v>1925</v>
      </c>
      <c r="B9" s="331"/>
      <c r="C9" s="88"/>
      <c r="D9" s="294" t="s">
        <v>98</v>
      </c>
      <c r="E9" s="295">
        <v>0</v>
      </c>
      <c r="F9" s="429" t="s">
        <v>1920</v>
      </c>
      <c r="G9" s="430" t="s">
        <v>372</v>
      </c>
      <c r="H9" s="431" t="s">
        <v>98</v>
      </c>
      <c r="I9" s="431" t="s">
        <v>98</v>
      </c>
      <c r="J9" s="89">
        <v>1</v>
      </c>
      <c r="K9" s="430" t="s">
        <v>144</v>
      </c>
      <c r="L9" s="90">
        <v>0</v>
      </c>
      <c r="M9" s="91"/>
      <c r="N9" s="92"/>
      <c r="O9" s="93"/>
      <c r="P9" s="90">
        <v>0</v>
      </c>
      <c r="Q9" s="91"/>
      <c r="R9" s="92"/>
      <c r="S9" s="93"/>
      <c r="T9" s="90">
        <v>1</v>
      </c>
      <c r="U9" s="91"/>
      <c r="V9" s="92"/>
      <c r="W9" s="93"/>
      <c r="X9" s="90">
        <v>0</v>
      </c>
      <c r="Y9" s="91"/>
      <c r="Z9" s="92"/>
      <c r="AA9" s="93"/>
      <c r="AB9" s="90">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1926</v>
      </c>
      <c r="B10" s="331"/>
      <c r="C10" s="88"/>
      <c r="D10" s="294" t="s">
        <v>98</v>
      </c>
      <c r="E10" s="295">
        <v>0</v>
      </c>
      <c r="F10" s="429" t="s">
        <v>1921</v>
      </c>
      <c r="G10" s="430" t="s">
        <v>372</v>
      </c>
      <c r="H10" s="431" t="s">
        <v>98</v>
      </c>
      <c r="I10" s="431" t="s">
        <v>98</v>
      </c>
      <c r="J10" s="89">
        <v>1</v>
      </c>
      <c r="K10" s="430" t="s">
        <v>144</v>
      </c>
      <c r="L10" s="90">
        <v>0</v>
      </c>
      <c r="M10" s="91"/>
      <c r="N10" s="92"/>
      <c r="O10" s="93"/>
      <c r="P10" s="90">
        <v>0</v>
      </c>
      <c r="Q10" s="91"/>
      <c r="R10" s="92"/>
      <c r="S10" s="93"/>
      <c r="T10" s="90">
        <v>0</v>
      </c>
      <c r="U10" s="91"/>
      <c r="V10" s="92"/>
      <c r="W10" s="93"/>
      <c r="X10" s="90">
        <v>1</v>
      </c>
      <c r="Y10" s="91"/>
      <c r="Z10" s="92"/>
      <c r="AA10" s="93"/>
      <c r="AB10" s="90">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1927</v>
      </c>
      <c r="B11" s="331"/>
      <c r="C11" s="88"/>
      <c r="D11" s="294" t="s">
        <v>98</v>
      </c>
      <c r="E11" s="295">
        <v>0</v>
      </c>
      <c r="F11" s="429" t="s">
        <v>1922</v>
      </c>
      <c r="G11" s="430" t="s">
        <v>372</v>
      </c>
      <c r="H11" s="431" t="s">
        <v>98</v>
      </c>
      <c r="I11" s="431" t="s">
        <v>98</v>
      </c>
      <c r="J11" s="89">
        <v>1</v>
      </c>
      <c r="K11" s="430" t="s">
        <v>144</v>
      </c>
      <c r="L11" s="90">
        <v>0</v>
      </c>
      <c r="M11" s="91"/>
      <c r="N11" s="92"/>
      <c r="O11" s="93"/>
      <c r="P11" s="90">
        <v>0</v>
      </c>
      <c r="Q11" s="91"/>
      <c r="R11" s="92"/>
      <c r="S11" s="93"/>
      <c r="T11" s="90">
        <v>0</v>
      </c>
      <c r="U11" s="91"/>
      <c r="V11" s="92"/>
      <c r="W11" s="93"/>
      <c r="X11" s="90">
        <v>0</v>
      </c>
      <c r="Y11" s="91"/>
      <c r="Z11" s="92"/>
      <c r="AA11" s="93"/>
      <c r="AB11" s="90">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c r="A12" s="330">
        <v>268703</v>
      </c>
      <c r="B12" s="331" t="s">
        <v>221</v>
      </c>
      <c r="C12" s="88"/>
      <c r="D12" s="340">
        <v>5</v>
      </c>
      <c r="E12" s="341" t="s">
        <v>98</v>
      </c>
      <c r="F12" s="432" t="s">
        <v>1928</v>
      </c>
      <c r="G12" s="433" t="s">
        <v>372</v>
      </c>
      <c r="H12" s="434" t="s">
        <v>98</v>
      </c>
      <c r="I12" s="434" t="s">
        <v>98</v>
      </c>
      <c r="J12" s="94">
        <v>0</v>
      </c>
      <c r="K12" s="433" t="s">
        <v>109</v>
      </c>
      <c r="L12" s="435">
        <v>0.13333333333333333</v>
      </c>
      <c r="M12" s="95">
        <v>1</v>
      </c>
      <c r="N12" s="96">
        <v>1.2849840792941758</v>
      </c>
      <c r="O12" s="432" t="s">
        <v>3160</v>
      </c>
      <c r="P12" s="435">
        <v>0.13333333333333333</v>
      </c>
      <c r="Q12" s="95">
        <v>1</v>
      </c>
      <c r="R12" s="96">
        <v>1.2849840792941758</v>
      </c>
      <c r="S12" s="432" t="s">
        <v>3160</v>
      </c>
      <c r="T12" s="435">
        <v>3.4000000000000004</v>
      </c>
      <c r="U12" s="95">
        <v>1</v>
      </c>
      <c r="V12" s="96">
        <v>1.2849840792941758</v>
      </c>
      <c r="W12" s="432" t="s">
        <v>3160</v>
      </c>
      <c r="X12" s="435">
        <v>0.76666666666666672</v>
      </c>
      <c r="Y12" s="95">
        <v>1</v>
      </c>
      <c r="Z12" s="96">
        <v>1.2849840792941758</v>
      </c>
      <c r="AA12" s="432" t="s">
        <v>3160</v>
      </c>
      <c r="AB12" s="435">
        <v>0.76666666666666672</v>
      </c>
      <c r="AC12" s="95">
        <v>1</v>
      </c>
      <c r="AD12" s="96">
        <v>1.2849840792941758</v>
      </c>
      <c r="AE12" s="432" t="s">
        <v>3160</v>
      </c>
      <c r="AG12" s="77" t="s">
        <v>1892</v>
      </c>
      <c r="AH12" s="339">
        <v>3</v>
      </c>
      <c r="AI12" s="339">
        <v>4</v>
      </c>
      <c r="AJ12" s="339">
        <v>3</v>
      </c>
      <c r="AK12" s="339">
        <v>1</v>
      </c>
      <c r="AL12" s="339">
        <v>1</v>
      </c>
      <c r="AM12" s="339">
        <v>5</v>
      </c>
      <c r="AN12" s="104">
        <v>3</v>
      </c>
      <c r="AO12" s="104">
        <v>1.05</v>
      </c>
      <c r="AP12" s="107">
        <v>1.2788404103505406</v>
      </c>
      <c r="AQ12" s="107">
        <v>1.2849840792941758</v>
      </c>
      <c r="AR12" s="107" t="s">
        <v>3151</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v>2</v>
      </c>
      <c r="M13" s="95">
        <v>1</v>
      </c>
      <c r="N13" s="96">
        <v>1.2354522921220721</v>
      </c>
      <c r="O13" s="432" t="s">
        <v>3152</v>
      </c>
      <c r="P13" s="435">
        <v>2</v>
      </c>
      <c r="Q13" s="95">
        <v>1</v>
      </c>
      <c r="R13" s="96">
        <v>1.2354522921220721</v>
      </c>
      <c r="S13" s="432" t="s">
        <v>3152</v>
      </c>
      <c r="T13" s="435">
        <v>2</v>
      </c>
      <c r="U13" s="95">
        <v>1</v>
      </c>
      <c r="V13" s="96">
        <v>1.2354522921220721</v>
      </c>
      <c r="W13" s="432" t="s">
        <v>3152</v>
      </c>
      <c r="X13" s="435">
        <v>2</v>
      </c>
      <c r="Y13" s="95">
        <v>1</v>
      </c>
      <c r="Z13" s="96">
        <v>1.2354522921220721</v>
      </c>
      <c r="AA13" s="432" t="s">
        <v>3152</v>
      </c>
      <c r="AB13" s="435">
        <v>2</v>
      </c>
      <c r="AC13" s="95">
        <v>1</v>
      </c>
      <c r="AD13" s="96">
        <v>1.2354522921220721</v>
      </c>
      <c r="AE13" s="432" t="s">
        <v>3152</v>
      </c>
      <c r="AF13" s="494">
        <v>0</v>
      </c>
      <c r="AG13" s="77" t="s">
        <v>1893</v>
      </c>
      <c r="AH13" s="339">
        <v>2</v>
      </c>
      <c r="AI13" s="339">
        <v>4</v>
      </c>
      <c r="AJ13" s="339">
        <v>1</v>
      </c>
      <c r="AK13" s="339">
        <v>1</v>
      </c>
      <c r="AL13" s="339">
        <v>1</v>
      </c>
      <c r="AM13" s="339" t="s">
        <v>106</v>
      </c>
      <c r="AN13" s="104">
        <v>9</v>
      </c>
      <c r="AO13" s="104">
        <v>1.2</v>
      </c>
      <c r="AP13" s="107">
        <v>1.1130148943987077</v>
      </c>
      <c r="AQ13" s="107">
        <v>1.2354522921220721</v>
      </c>
      <c r="AR13" s="107" t="s">
        <v>3153</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v>1</v>
      </c>
      <c r="N14" s="96">
        <v>2.0865051432908035</v>
      </c>
      <c r="O14" s="432" t="s">
        <v>2026</v>
      </c>
      <c r="P14" s="435">
        <v>2.26755352255311</v>
      </c>
      <c r="Q14" s="95">
        <v>1</v>
      </c>
      <c r="R14" s="96">
        <v>2.0865051432908035</v>
      </c>
      <c r="S14" s="432" t="s">
        <v>2026</v>
      </c>
      <c r="T14" s="435">
        <v>2.26755352255311</v>
      </c>
      <c r="U14" s="95">
        <v>1</v>
      </c>
      <c r="V14" s="96">
        <v>2.0865051432908035</v>
      </c>
      <c r="W14" s="432" t="s">
        <v>2026</v>
      </c>
      <c r="X14" s="435">
        <v>2.26755352255311</v>
      </c>
      <c r="Y14" s="95">
        <v>1</v>
      </c>
      <c r="Z14" s="96">
        <v>2.0865051432908035</v>
      </c>
      <c r="AA14" s="432" t="s">
        <v>2026</v>
      </c>
      <c r="AB14" s="435">
        <v>2.26755352255311</v>
      </c>
      <c r="AC14" s="95">
        <v>1</v>
      </c>
      <c r="AD14" s="96">
        <v>2.0865051432908035</v>
      </c>
      <c r="AE14" s="432" t="s">
        <v>2026</v>
      </c>
      <c r="AF14" s="494">
        <v>32.612000000000002</v>
      </c>
      <c r="AG14" s="77" t="s">
        <v>253</v>
      </c>
      <c r="AH14" s="339">
        <v>3</v>
      </c>
      <c r="AI14" s="339">
        <v>4</v>
      </c>
      <c r="AJ14" s="339">
        <v>3</v>
      </c>
      <c r="AK14" s="339">
        <v>1</v>
      </c>
      <c r="AL14" s="339">
        <v>1</v>
      </c>
      <c r="AM14" s="339">
        <v>5</v>
      </c>
      <c r="AN14" s="104">
        <v>9</v>
      </c>
      <c r="AO14" s="104">
        <v>2</v>
      </c>
      <c r="AP14" s="107">
        <v>1.2788404103505406</v>
      </c>
      <c r="AQ14" s="107">
        <v>2.0865051432908035</v>
      </c>
      <c r="AR14" s="107" t="s">
        <v>3151</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44.2621431219874</v>
      </c>
      <c r="M15" s="95">
        <v>1</v>
      </c>
      <c r="N15" s="96">
        <v>1.2284225230179247</v>
      </c>
      <c r="O15" s="432" t="s">
        <v>3154</v>
      </c>
      <c r="P15" s="435">
        <v>0</v>
      </c>
      <c r="Q15" s="95">
        <v>1</v>
      </c>
      <c r="R15" s="96">
        <v>1.2284225230179247</v>
      </c>
      <c r="S15" s="432" t="s">
        <v>3154</v>
      </c>
      <c r="T15" s="435">
        <v>0</v>
      </c>
      <c r="U15" s="95">
        <v>1</v>
      </c>
      <c r="V15" s="96">
        <v>1.2284225230179247</v>
      </c>
      <c r="W15" s="432" t="s">
        <v>3154</v>
      </c>
      <c r="X15" s="435">
        <v>0</v>
      </c>
      <c r="Y15" s="95">
        <v>1</v>
      </c>
      <c r="Z15" s="96">
        <v>1.2284225230179247</v>
      </c>
      <c r="AA15" s="432" t="s">
        <v>3154</v>
      </c>
      <c r="AB15" s="435">
        <v>0</v>
      </c>
      <c r="AC15" s="95">
        <v>1</v>
      </c>
      <c r="AD15" s="96">
        <v>1.2284225230179247</v>
      </c>
      <c r="AE15" s="432" t="s">
        <v>3154</v>
      </c>
      <c r="AF15" s="494">
        <v>3.2716908498667499</v>
      </c>
      <c r="AG15" s="77" t="s">
        <v>1861</v>
      </c>
      <c r="AH15" s="339">
        <v>3</v>
      </c>
      <c r="AI15" s="339">
        <v>1</v>
      </c>
      <c r="AJ15" s="339">
        <v>1</v>
      </c>
      <c r="AK15" s="339">
        <v>1</v>
      </c>
      <c r="AL15" s="339">
        <v>1</v>
      </c>
      <c r="AM15" s="339" t="s">
        <v>106</v>
      </c>
      <c r="AN15" s="104">
        <v>9</v>
      </c>
      <c r="AO15" s="104">
        <v>1.2</v>
      </c>
      <c r="AP15" s="107">
        <v>1.1000000000000001</v>
      </c>
      <c r="AQ15" s="107">
        <v>1.2284225230179247</v>
      </c>
      <c r="AR15" s="107" t="s">
        <v>3155</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v>1</v>
      </c>
      <c r="N16" s="96">
        <v>1.2284225230179247</v>
      </c>
      <c r="O16" s="432" t="s">
        <v>3154</v>
      </c>
      <c r="P16" s="435">
        <v>44.2621431219874</v>
      </c>
      <c r="Q16" s="95">
        <v>1</v>
      </c>
      <c r="R16" s="96">
        <v>1.2284225230179247</v>
      </c>
      <c r="S16" s="432" t="s">
        <v>3154</v>
      </c>
      <c r="T16" s="435">
        <v>0</v>
      </c>
      <c r="U16" s="95">
        <v>1</v>
      </c>
      <c r="V16" s="96">
        <v>1.2284225230179247</v>
      </c>
      <c r="W16" s="432" t="s">
        <v>3154</v>
      </c>
      <c r="X16" s="435">
        <v>0</v>
      </c>
      <c r="Y16" s="95">
        <v>1</v>
      </c>
      <c r="Z16" s="96">
        <v>1.2284225230179247</v>
      </c>
      <c r="AA16" s="432" t="s">
        <v>3154</v>
      </c>
      <c r="AB16" s="435">
        <v>0</v>
      </c>
      <c r="AC16" s="95">
        <v>1</v>
      </c>
      <c r="AD16" s="96">
        <v>1.2284225230179247</v>
      </c>
      <c r="AE16" s="432" t="s">
        <v>3154</v>
      </c>
      <c r="AF16" s="494">
        <v>4.4770909637727101</v>
      </c>
      <c r="AG16" s="77" t="s">
        <v>1861</v>
      </c>
      <c r="AH16" s="339">
        <v>3</v>
      </c>
      <c r="AI16" s="339">
        <v>1</v>
      </c>
      <c r="AJ16" s="339">
        <v>1</v>
      </c>
      <c r="AK16" s="339">
        <v>1</v>
      </c>
      <c r="AL16" s="339">
        <v>1</v>
      </c>
      <c r="AM16" s="339" t="s">
        <v>106</v>
      </c>
      <c r="AN16" s="104">
        <v>9</v>
      </c>
      <c r="AO16" s="104">
        <v>1.2</v>
      </c>
      <c r="AP16" s="107">
        <v>1.1000000000000001</v>
      </c>
      <c r="AQ16" s="107">
        <v>1.2284225230179247</v>
      </c>
      <c r="AR16" s="107" t="s">
        <v>3155</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v>1</v>
      </c>
      <c r="N17" s="96">
        <v>1.2284225230179247</v>
      </c>
      <c r="O17" s="432" t="s">
        <v>3154</v>
      </c>
      <c r="P17" s="435">
        <v>0</v>
      </c>
      <c r="Q17" s="95">
        <v>1</v>
      </c>
      <c r="R17" s="96">
        <v>1.2284225230179247</v>
      </c>
      <c r="S17" s="432" t="s">
        <v>3154</v>
      </c>
      <c r="T17" s="435">
        <v>44.2621431219874</v>
      </c>
      <c r="U17" s="95">
        <v>1</v>
      </c>
      <c r="V17" s="96">
        <v>1.2284225230179247</v>
      </c>
      <c r="W17" s="432" t="s">
        <v>3154</v>
      </c>
      <c r="X17" s="435">
        <v>0</v>
      </c>
      <c r="Y17" s="95">
        <v>1</v>
      </c>
      <c r="Z17" s="96">
        <v>1.2284225230179247</v>
      </c>
      <c r="AA17" s="432" t="s">
        <v>3154</v>
      </c>
      <c r="AB17" s="435">
        <v>0</v>
      </c>
      <c r="AC17" s="95">
        <v>1</v>
      </c>
      <c r="AD17" s="96">
        <v>1.2284225230179247</v>
      </c>
      <c r="AE17" s="432" t="s">
        <v>3154</v>
      </c>
      <c r="AF17" s="494">
        <v>4.7346514698728202</v>
      </c>
      <c r="AG17" s="77" t="s">
        <v>1861</v>
      </c>
      <c r="AH17" s="339">
        <v>3</v>
      </c>
      <c r="AI17" s="339">
        <v>1</v>
      </c>
      <c r="AJ17" s="339">
        <v>1</v>
      </c>
      <c r="AK17" s="339">
        <v>1</v>
      </c>
      <c r="AL17" s="339">
        <v>1</v>
      </c>
      <c r="AM17" s="339" t="s">
        <v>106</v>
      </c>
      <c r="AN17" s="104">
        <v>9</v>
      </c>
      <c r="AO17" s="104">
        <v>1.2</v>
      </c>
      <c r="AP17" s="107">
        <v>1.1000000000000001</v>
      </c>
      <c r="AQ17" s="107">
        <v>1.2284225230179247</v>
      </c>
      <c r="AR17" s="107" t="s">
        <v>3155</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v>1</v>
      </c>
      <c r="N18" s="96">
        <v>1.2284225230179247</v>
      </c>
      <c r="O18" s="432" t="s">
        <v>3154</v>
      </c>
      <c r="P18" s="435">
        <v>0</v>
      </c>
      <c r="Q18" s="95">
        <v>1</v>
      </c>
      <c r="R18" s="96">
        <v>1.2284225230179247</v>
      </c>
      <c r="S18" s="432" t="s">
        <v>3154</v>
      </c>
      <c r="T18" s="435">
        <v>0</v>
      </c>
      <c r="U18" s="95">
        <v>1</v>
      </c>
      <c r="V18" s="96">
        <v>1.2284225230179247</v>
      </c>
      <c r="W18" s="432" t="s">
        <v>3154</v>
      </c>
      <c r="X18" s="435">
        <v>44.2621431219874</v>
      </c>
      <c r="Y18" s="95">
        <v>1</v>
      </c>
      <c r="Z18" s="96">
        <v>1.2284225230179247</v>
      </c>
      <c r="AA18" s="432" t="s">
        <v>3154</v>
      </c>
      <c r="AB18" s="435">
        <v>0</v>
      </c>
      <c r="AC18" s="95">
        <v>1</v>
      </c>
      <c r="AD18" s="96">
        <v>1.2284225230179247</v>
      </c>
      <c r="AE18" s="432" t="s">
        <v>3154</v>
      </c>
      <c r="AF18" s="494">
        <v>3.8594927779981698</v>
      </c>
      <c r="AG18" s="77" t="s">
        <v>1861</v>
      </c>
      <c r="AH18" s="339">
        <v>3</v>
      </c>
      <c r="AI18" s="339">
        <v>1</v>
      </c>
      <c r="AJ18" s="339">
        <v>1</v>
      </c>
      <c r="AK18" s="339">
        <v>1</v>
      </c>
      <c r="AL18" s="339">
        <v>1</v>
      </c>
      <c r="AM18" s="339" t="s">
        <v>106</v>
      </c>
      <c r="AN18" s="104">
        <v>9</v>
      </c>
      <c r="AO18" s="104">
        <v>1.2</v>
      </c>
      <c r="AP18" s="107">
        <v>1.1000000000000001</v>
      </c>
      <c r="AQ18" s="107">
        <v>1.2284225230179247</v>
      </c>
      <c r="AR18" s="107" t="s">
        <v>3155</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v>1</v>
      </c>
      <c r="N19" s="96">
        <v>1.2284225230179247</v>
      </c>
      <c r="O19" s="432" t="s">
        <v>3154</v>
      </c>
      <c r="P19" s="435">
        <v>0</v>
      </c>
      <c r="Q19" s="95">
        <v>1</v>
      </c>
      <c r="R19" s="96">
        <v>1.2284225230179247</v>
      </c>
      <c r="S19" s="432" t="s">
        <v>3154</v>
      </c>
      <c r="T19" s="435">
        <v>0</v>
      </c>
      <c r="U19" s="95">
        <v>1</v>
      </c>
      <c r="V19" s="96">
        <v>1.2284225230179247</v>
      </c>
      <c r="W19" s="432" t="s">
        <v>3154</v>
      </c>
      <c r="X19" s="435">
        <v>0</v>
      </c>
      <c r="Y19" s="95">
        <v>1</v>
      </c>
      <c r="Z19" s="96">
        <v>1.2284225230179247</v>
      </c>
      <c r="AA19" s="432" t="s">
        <v>3154</v>
      </c>
      <c r="AB19" s="435">
        <v>44.2621431219874</v>
      </c>
      <c r="AC19" s="95">
        <v>1</v>
      </c>
      <c r="AD19" s="96">
        <v>1.2284225230179247</v>
      </c>
      <c r="AE19" s="432" t="s">
        <v>3154</v>
      </c>
      <c r="AF19" s="494">
        <v>4.4770909637727101</v>
      </c>
      <c r="AG19" s="77" t="s">
        <v>1861</v>
      </c>
      <c r="AH19" s="339">
        <v>3</v>
      </c>
      <c r="AI19" s="339">
        <v>1</v>
      </c>
      <c r="AJ19" s="339">
        <v>1</v>
      </c>
      <c r="AK19" s="339">
        <v>1</v>
      </c>
      <c r="AL19" s="339">
        <v>1</v>
      </c>
      <c r="AM19" s="339" t="s">
        <v>106</v>
      </c>
      <c r="AN19" s="104">
        <v>9</v>
      </c>
      <c r="AO19" s="104">
        <v>1.2</v>
      </c>
      <c r="AP19" s="107">
        <v>1.1000000000000001</v>
      </c>
      <c r="AQ19" s="107">
        <v>1.2284225230179247</v>
      </c>
      <c r="AR19" s="107" t="s">
        <v>3155</v>
      </c>
      <c r="AS19" s="108">
        <v>1.1000000000000001</v>
      </c>
      <c r="AT19" s="108">
        <v>1</v>
      </c>
      <c r="AU19" s="108">
        <v>1</v>
      </c>
      <c r="AV19" s="108">
        <v>1</v>
      </c>
      <c r="AW19" s="108">
        <v>1</v>
      </c>
      <c r="AX19" s="108">
        <v>1</v>
      </c>
    </row>
    <row r="20" spans="1:50" ht="24" customHeight="1">
      <c r="A20" s="330" t="s">
        <v>1267</v>
      </c>
      <c r="B20" s="331"/>
      <c r="C20" s="88"/>
      <c r="D20" s="340">
        <v>5</v>
      </c>
      <c r="E20" s="341" t="s">
        <v>98</v>
      </c>
      <c r="F20" s="432" t="s">
        <v>1256</v>
      </c>
      <c r="G20" s="433" t="s">
        <v>372</v>
      </c>
      <c r="H20" s="434" t="s">
        <v>98</v>
      </c>
      <c r="I20" s="434" t="s">
        <v>98</v>
      </c>
      <c r="J20" s="94">
        <v>1</v>
      </c>
      <c r="K20" s="433" t="s">
        <v>679</v>
      </c>
      <c r="L20" s="435">
        <v>45.590007415647001</v>
      </c>
      <c r="M20" s="95">
        <v>1</v>
      </c>
      <c r="N20" s="96">
        <v>1.3582005896413567</v>
      </c>
      <c r="O20" s="432" t="s">
        <v>3156</v>
      </c>
      <c r="P20" s="435">
        <v>0</v>
      </c>
      <c r="Q20" s="95">
        <v>1</v>
      </c>
      <c r="R20" s="96">
        <v>1.3582005896413567</v>
      </c>
      <c r="S20" s="432" t="s">
        <v>3156</v>
      </c>
      <c r="T20" s="435">
        <v>0</v>
      </c>
      <c r="U20" s="95">
        <v>1</v>
      </c>
      <c r="V20" s="96">
        <v>1.3582005896413567</v>
      </c>
      <c r="W20" s="432" t="s">
        <v>3156</v>
      </c>
      <c r="X20" s="435">
        <v>45.590007415647001</v>
      </c>
      <c r="Y20" s="95">
        <v>1</v>
      </c>
      <c r="Z20" s="96">
        <v>1.3582005896413567</v>
      </c>
      <c r="AA20" s="432" t="s">
        <v>3156</v>
      </c>
      <c r="AB20" s="435">
        <v>0</v>
      </c>
      <c r="AC20" s="95">
        <v>1</v>
      </c>
      <c r="AD20" s="96">
        <v>1.3582005896413567</v>
      </c>
      <c r="AE20" s="432" t="s">
        <v>3156</v>
      </c>
      <c r="AF20" s="545">
        <v>11.11626864216</v>
      </c>
      <c r="AG20" s="77" t="s">
        <v>1862</v>
      </c>
      <c r="AH20" s="339">
        <v>3</v>
      </c>
      <c r="AI20" s="339">
        <v>4</v>
      </c>
      <c r="AJ20" s="339">
        <v>3</v>
      </c>
      <c r="AK20" s="339">
        <v>1</v>
      </c>
      <c r="AL20" s="339">
        <v>1</v>
      </c>
      <c r="AM20" s="339">
        <v>5</v>
      </c>
      <c r="AN20" s="104">
        <v>9</v>
      </c>
      <c r="AO20" s="104">
        <v>1.2</v>
      </c>
      <c r="AP20" s="107">
        <v>1.2788404103505406</v>
      </c>
      <c r="AQ20" s="107">
        <v>1.3582005896413567</v>
      </c>
      <c r="AR20" s="107" t="s">
        <v>3151</v>
      </c>
      <c r="AS20" s="108">
        <v>1.1000000000000001</v>
      </c>
      <c r="AT20" s="108">
        <v>1.1000000000000001</v>
      </c>
      <c r="AU20" s="108">
        <v>1.1000000000000001</v>
      </c>
      <c r="AV20" s="108">
        <v>1</v>
      </c>
      <c r="AW20" s="108">
        <v>1</v>
      </c>
      <c r="AX20" s="108">
        <v>1.2</v>
      </c>
    </row>
    <row r="21" spans="1:50" ht="24" customHeight="1">
      <c r="A21" s="330" t="s">
        <v>1266</v>
      </c>
      <c r="B21" s="331"/>
      <c r="C21" s="88"/>
      <c r="D21" s="340">
        <v>5</v>
      </c>
      <c r="E21" s="341" t="s">
        <v>98</v>
      </c>
      <c r="F21" s="432" t="s">
        <v>1255</v>
      </c>
      <c r="G21" s="433" t="s">
        <v>372</v>
      </c>
      <c r="H21" s="434" t="s">
        <v>98</v>
      </c>
      <c r="I21" s="434" t="s">
        <v>98</v>
      </c>
      <c r="J21" s="94">
        <v>1</v>
      </c>
      <c r="K21" s="433" t="s">
        <v>679</v>
      </c>
      <c r="L21" s="435">
        <v>0</v>
      </c>
      <c r="M21" s="95">
        <v>1</v>
      </c>
      <c r="N21" s="96">
        <v>1.3582005896413567</v>
      </c>
      <c r="O21" s="432" t="s">
        <v>3156</v>
      </c>
      <c r="P21" s="435">
        <v>0</v>
      </c>
      <c r="Q21" s="95">
        <v>1</v>
      </c>
      <c r="R21" s="96">
        <v>1.3582005896413567</v>
      </c>
      <c r="S21" s="432" t="s">
        <v>3156</v>
      </c>
      <c r="T21" s="435">
        <v>0</v>
      </c>
      <c r="U21" s="95">
        <v>1</v>
      </c>
      <c r="V21" s="96">
        <v>1.3582005896413567</v>
      </c>
      <c r="W21" s="432" t="s">
        <v>3156</v>
      </c>
      <c r="X21" s="435">
        <v>0</v>
      </c>
      <c r="Y21" s="95">
        <v>1</v>
      </c>
      <c r="Z21" s="96">
        <v>1.3582005896413567</v>
      </c>
      <c r="AA21" s="432" t="s">
        <v>3156</v>
      </c>
      <c r="AB21" s="435">
        <v>0</v>
      </c>
      <c r="AC21" s="95">
        <v>1</v>
      </c>
      <c r="AD21" s="96">
        <v>1.3582005896413567</v>
      </c>
      <c r="AE21" s="432" t="s">
        <v>3156</v>
      </c>
      <c r="AF21" s="494">
        <v>11.466093870225601</v>
      </c>
      <c r="AG21" s="77" t="s">
        <v>1862</v>
      </c>
      <c r="AH21" s="339">
        <v>3</v>
      </c>
      <c r="AI21" s="339">
        <v>4</v>
      </c>
      <c r="AJ21" s="339">
        <v>3</v>
      </c>
      <c r="AK21" s="339">
        <v>1</v>
      </c>
      <c r="AL21" s="339">
        <v>1</v>
      </c>
      <c r="AM21" s="339">
        <v>5</v>
      </c>
      <c r="AN21" s="104">
        <v>9</v>
      </c>
      <c r="AO21" s="104">
        <v>1.2</v>
      </c>
      <c r="AP21" s="107">
        <v>1.2788404103505406</v>
      </c>
      <c r="AQ21" s="107">
        <v>1.3582005896413567</v>
      </c>
      <c r="AR21" s="107" t="s">
        <v>3151</v>
      </c>
      <c r="AS21" s="108">
        <v>1.1000000000000001</v>
      </c>
      <c r="AT21" s="108">
        <v>1.1000000000000001</v>
      </c>
      <c r="AU21" s="108">
        <v>1.1000000000000001</v>
      </c>
      <c r="AV21" s="108">
        <v>1</v>
      </c>
      <c r="AW21" s="108">
        <v>1</v>
      </c>
      <c r="AX21" s="108">
        <v>1.2</v>
      </c>
    </row>
    <row r="22" spans="1:50" ht="24" customHeight="1">
      <c r="A22" s="330" t="s">
        <v>1166</v>
      </c>
      <c r="B22" s="331"/>
      <c r="C22" s="88"/>
      <c r="D22" s="340">
        <v>5</v>
      </c>
      <c r="E22" s="341" t="s">
        <v>98</v>
      </c>
      <c r="F22" s="432" t="s">
        <v>1140</v>
      </c>
      <c r="G22" s="433" t="s">
        <v>93</v>
      </c>
      <c r="H22" s="434" t="s">
        <v>98</v>
      </c>
      <c r="I22" s="434" t="s">
        <v>98</v>
      </c>
      <c r="J22" s="94">
        <v>1</v>
      </c>
      <c r="K22" s="433" t="s">
        <v>679</v>
      </c>
      <c r="L22" s="435">
        <v>0</v>
      </c>
      <c r="M22" s="95">
        <v>1</v>
      </c>
      <c r="N22" s="96">
        <v>1.3582005896413567</v>
      </c>
      <c r="O22" s="432" t="s">
        <v>3156</v>
      </c>
      <c r="P22" s="435">
        <v>44.3965517241379</v>
      </c>
      <c r="Q22" s="95">
        <v>1</v>
      </c>
      <c r="R22" s="96">
        <v>1.3582005896413567</v>
      </c>
      <c r="S22" s="432" t="s">
        <v>3156</v>
      </c>
      <c r="T22" s="435">
        <v>44.3965517241379</v>
      </c>
      <c r="U22" s="95">
        <v>1</v>
      </c>
      <c r="V22" s="96">
        <v>1.3582005896413567</v>
      </c>
      <c r="W22" s="432" t="s">
        <v>3156</v>
      </c>
      <c r="X22" s="435">
        <v>0</v>
      </c>
      <c r="Y22" s="95">
        <v>1</v>
      </c>
      <c r="Z22" s="96">
        <v>1.3582005896413567</v>
      </c>
      <c r="AA22" s="432" t="s">
        <v>3156</v>
      </c>
      <c r="AB22" s="435">
        <v>44.3965517241379</v>
      </c>
      <c r="AC22" s="95">
        <v>1</v>
      </c>
      <c r="AD22" s="96">
        <v>1.3582005896413567</v>
      </c>
      <c r="AE22" s="432" t="s">
        <v>3156</v>
      </c>
      <c r="AF22" s="494">
        <v>12.5652930742927</v>
      </c>
      <c r="AG22" s="77" t="s">
        <v>1862</v>
      </c>
      <c r="AH22" s="339">
        <v>3</v>
      </c>
      <c r="AI22" s="339">
        <v>4</v>
      </c>
      <c r="AJ22" s="339">
        <v>3</v>
      </c>
      <c r="AK22" s="339">
        <v>1</v>
      </c>
      <c r="AL22" s="339">
        <v>1</v>
      </c>
      <c r="AM22" s="339">
        <v>5</v>
      </c>
      <c r="AN22" s="104">
        <v>9</v>
      </c>
      <c r="AO22" s="104">
        <v>1.2</v>
      </c>
      <c r="AP22" s="107">
        <v>1.2788404103505406</v>
      </c>
      <c r="AQ22" s="107">
        <v>1.3582005896413567</v>
      </c>
      <c r="AR22" s="107" t="s">
        <v>3151</v>
      </c>
      <c r="AS22" s="108">
        <v>1.1000000000000001</v>
      </c>
      <c r="AT22" s="108">
        <v>1.1000000000000001</v>
      </c>
      <c r="AU22" s="108">
        <v>1.1000000000000001</v>
      </c>
      <c r="AV22" s="108">
        <v>1</v>
      </c>
      <c r="AW22" s="108">
        <v>1</v>
      </c>
      <c r="AX22" s="108">
        <v>1.2</v>
      </c>
    </row>
    <row r="23" spans="1:50">
      <c r="A23" s="330">
        <v>259361</v>
      </c>
      <c r="B23" s="331"/>
      <c r="C23" s="88"/>
      <c r="D23" s="340">
        <v>5</v>
      </c>
      <c r="E23" s="341" t="s">
        <v>98</v>
      </c>
      <c r="F23" s="432" t="s">
        <v>1578</v>
      </c>
      <c r="G23" s="433" t="s">
        <v>93</v>
      </c>
      <c r="H23" s="434" t="s">
        <v>98</v>
      </c>
      <c r="I23" s="434" t="s">
        <v>98</v>
      </c>
      <c r="J23" s="94">
        <v>0</v>
      </c>
      <c r="K23" s="433" t="s">
        <v>96</v>
      </c>
      <c r="L23" s="435">
        <v>506.79076983039863</v>
      </c>
      <c r="M23" s="95">
        <v>1</v>
      </c>
      <c r="N23" s="96">
        <v>1.2849840792941758</v>
      </c>
      <c r="O23" s="432" t="s">
        <v>3157</v>
      </c>
      <c r="P23" s="435">
        <v>557.85568390178764</v>
      </c>
      <c r="Q23" s="95">
        <v>1</v>
      </c>
      <c r="R23" s="96">
        <v>1.2849840792941758</v>
      </c>
      <c r="S23" s="432" t="s">
        <v>3157</v>
      </c>
      <c r="T23" s="435">
        <v>557.85568390178764</v>
      </c>
      <c r="U23" s="95">
        <v>1</v>
      </c>
      <c r="V23" s="96">
        <v>1.2849840792941758</v>
      </c>
      <c r="W23" s="432" t="s">
        <v>3157</v>
      </c>
      <c r="X23" s="435">
        <v>506.79076983039863</v>
      </c>
      <c r="Y23" s="95">
        <v>1</v>
      </c>
      <c r="Z23" s="96">
        <v>1.2849840792941758</v>
      </c>
      <c r="AA23" s="432" t="s">
        <v>3157</v>
      </c>
      <c r="AB23" s="435">
        <v>557.85568390178764</v>
      </c>
      <c r="AC23" s="95">
        <v>1</v>
      </c>
      <c r="AD23" s="96">
        <v>1.2849840792941758</v>
      </c>
      <c r="AE23" s="432" t="s">
        <v>3157</v>
      </c>
      <c r="AG23" s="77" t="s">
        <v>1863</v>
      </c>
      <c r="AH23" s="339">
        <v>3</v>
      </c>
      <c r="AI23" s="339">
        <v>4</v>
      </c>
      <c r="AJ23" s="339">
        <v>3</v>
      </c>
      <c r="AK23" s="339">
        <v>1</v>
      </c>
      <c r="AL23" s="339">
        <v>1</v>
      </c>
      <c r="AM23" s="339">
        <v>5</v>
      </c>
      <c r="AN23" s="104">
        <v>6</v>
      </c>
      <c r="AO23" s="104">
        <v>1.05</v>
      </c>
      <c r="AP23" s="107">
        <v>1.2788404103505406</v>
      </c>
      <c r="AQ23" s="107">
        <v>1.2849840792941758</v>
      </c>
      <c r="AR23" s="107" t="s">
        <v>3151</v>
      </c>
      <c r="AS23" s="108">
        <v>1.1000000000000001</v>
      </c>
      <c r="AT23" s="108">
        <v>1.1000000000000001</v>
      </c>
      <c r="AU23" s="108">
        <v>1.1000000000000001</v>
      </c>
      <c r="AV23" s="108">
        <v>1</v>
      </c>
      <c r="AW23" s="108">
        <v>1</v>
      </c>
      <c r="AX23" s="108">
        <v>1.2</v>
      </c>
    </row>
    <row r="24" spans="1:50" ht="24" customHeight="1">
      <c r="A24" s="330">
        <v>266207</v>
      </c>
      <c r="B24" s="331"/>
      <c r="C24" s="88"/>
      <c r="D24" s="340">
        <v>5</v>
      </c>
      <c r="E24" s="341" t="s">
        <v>98</v>
      </c>
      <c r="F24" s="432" t="s">
        <v>1864</v>
      </c>
      <c r="G24" s="433" t="s">
        <v>93</v>
      </c>
      <c r="H24" s="434" t="s">
        <v>98</v>
      </c>
      <c r="I24" s="434" t="s">
        <v>98</v>
      </c>
      <c r="J24" s="94">
        <v>0</v>
      </c>
      <c r="K24" s="433" t="s">
        <v>115</v>
      </c>
      <c r="L24" s="435">
        <v>72.555227395559925</v>
      </c>
      <c r="M24" s="95">
        <v>1</v>
      </c>
      <c r="N24" s="96">
        <v>2.0865051432908035</v>
      </c>
      <c r="O24" s="432" t="s">
        <v>3158</v>
      </c>
      <c r="P24" s="435">
        <v>82.997078038795394</v>
      </c>
      <c r="Q24" s="95">
        <v>1</v>
      </c>
      <c r="R24" s="96">
        <v>2.0865051432908035</v>
      </c>
      <c r="S24" s="432" t="s">
        <v>3158</v>
      </c>
      <c r="T24" s="435">
        <v>84.137096037152844</v>
      </c>
      <c r="U24" s="95">
        <v>1</v>
      </c>
      <c r="V24" s="96">
        <v>2.0865051432908035</v>
      </c>
      <c r="W24" s="432" t="s">
        <v>3158</v>
      </c>
      <c r="X24" s="435">
        <v>75.156964702593243</v>
      </c>
      <c r="Y24" s="95">
        <v>1</v>
      </c>
      <c r="Z24" s="96">
        <v>2.0865051432908035</v>
      </c>
      <c r="AA24" s="432" t="s">
        <v>3158</v>
      </c>
      <c r="AB24" s="435">
        <v>82.997078038795394</v>
      </c>
      <c r="AC24" s="95">
        <v>1</v>
      </c>
      <c r="AD24" s="96">
        <v>2.0865051432908035</v>
      </c>
      <c r="AE24" s="432" t="s">
        <v>3158</v>
      </c>
      <c r="AG24" s="77" t="s">
        <v>1865</v>
      </c>
      <c r="AH24" s="339">
        <v>3</v>
      </c>
      <c r="AI24" s="339">
        <v>4</v>
      </c>
      <c r="AJ24" s="339">
        <v>3</v>
      </c>
      <c r="AK24" s="339">
        <v>1</v>
      </c>
      <c r="AL24" s="339">
        <v>1</v>
      </c>
      <c r="AM24" s="339">
        <v>5</v>
      </c>
      <c r="AN24" s="104">
        <v>5</v>
      </c>
      <c r="AO24" s="104">
        <v>2</v>
      </c>
      <c r="AP24" s="107">
        <v>1.2788404103505406</v>
      </c>
      <c r="AQ24" s="107">
        <v>2.0865051432908035</v>
      </c>
      <c r="AR24" s="107" t="s">
        <v>3151</v>
      </c>
      <c r="AS24" s="108">
        <v>1.1000000000000001</v>
      </c>
      <c r="AT24" s="108">
        <v>1.1000000000000001</v>
      </c>
      <c r="AU24" s="108">
        <v>1.1000000000000001</v>
      </c>
      <c r="AV24" s="108">
        <v>1</v>
      </c>
      <c r="AW24" s="108">
        <v>1</v>
      </c>
      <c r="AX24" s="108">
        <v>1.2</v>
      </c>
    </row>
    <row r="25" spans="1:50">
      <c r="A25" s="330">
        <v>21844</v>
      </c>
      <c r="B25" s="331" t="s">
        <v>594</v>
      </c>
      <c r="C25" s="88"/>
      <c r="D25" s="340" t="s">
        <v>98</v>
      </c>
      <c r="E25" s="341">
        <v>4</v>
      </c>
      <c r="F25" s="432" t="s">
        <v>121</v>
      </c>
      <c r="G25" s="433" t="s">
        <v>98</v>
      </c>
      <c r="H25" s="434" t="s">
        <v>247</v>
      </c>
      <c r="I25" s="434" t="s">
        <v>258</v>
      </c>
      <c r="J25" s="94" t="s">
        <v>98</v>
      </c>
      <c r="K25" s="433" t="s">
        <v>104</v>
      </c>
      <c r="L25" s="435">
        <v>0.48</v>
      </c>
      <c r="M25" s="95">
        <v>1</v>
      </c>
      <c r="N25" s="96">
        <v>1.2849840792941758</v>
      </c>
      <c r="O25" s="432" t="s">
        <v>3159</v>
      </c>
      <c r="P25" s="435">
        <v>0.48</v>
      </c>
      <c r="Q25" s="95">
        <v>1</v>
      </c>
      <c r="R25" s="96">
        <v>1.2849840792941758</v>
      </c>
      <c r="S25" s="432" t="s">
        <v>3159</v>
      </c>
      <c r="T25" s="435">
        <v>12.240000000000002</v>
      </c>
      <c r="U25" s="95">
        <v>1</v>
      </c>
      <c r="V25" s="96">
        <v>1.2849840792941758</v>
      </c>
      <c r="W25" s="432" t="s">
        <v>3159</v>
      </c>
      <c r="X25" s="435">
        <v>2.7600000000000002</v>
      </c>
      <c r="Y25" s="95">
        <v>1</v>
      </c>
      <c r="Z25" s="96">
        <v>1.2849840792941758</v>
      </c>
      <c r="AA25" s="432" t="s">
        <v>3159</v>
      </c>
      <c r="AB25" s="435">
        <v>2.7600000000000002</v>
      </c>
      <c r="AC25" s="95">
        <v>1</v>
      </c>
      <c r="AD25" s="96">
        <v>1.2849840792941758</v>
      </c>
      <c r="AE25" s="432" t="s">
        <v>3159</v>
      </c>
      <c r="AG25" s="77" t="s">
        <v>1866</v>
      </c>
      <c r="AH25" s="339">
        <v>3</v>
      </c>
      <c r="AI25" s="339">
        <v>4</v>
      </c>
      <c r="AJ25" s="339">
        <v>3</v>
      </c>
      <c r="AK25" s="339">
        <v>1</v>
      </c>
      <c r="AL25" s="339">
        <v>1</v>
      </c>
      <c r="AM25" s="339">
        <v>5</v>
      </c>
      <c r="AN25" s="104">
        <v>13</v>
      </c>
      <c r="AO25" s="104">
        <v>1.05</v>
      </c>
      <c r="AP25" s="107">
        <v>1.2788404103505406</v>
      </c>
      <c r="AQ25" s="107">
        <v>1.2849840792941758</v>
      </c>
      <c r="AR25" s="107" t="s">
        <v>3151</v>
      </c>
      <c r="AS25" s="108">
        <v>1.1000000000000001</v>
      </c>
      <c r="AT25" s="108">
        <v>1.1000000000000001</v>
      </c>
      <c r="AU25" s="108">
        <v>1.1000000000000001</v>
      </c>
      <c r="AV25" s="108">
        <v>1</v>
      </c>
      <c r="AW25" s="108">
        <v>1</v>
      </c>
      <c r="AX25" s="108">
        <v>1.2</v>
      </c>
    </row>
    <row r="26" spans="1:50">
      <c r="L26" s="487"/>
      <c r="P26" s="487"/>
      <c r="T26" s="487"/>
      <c r="X26" s="487"/>
      <c r="AB26" s="199"/>
      <c r="AC26" s="407"/>
      <c r="AK26" s="378"/>
      <c r="AL26" s="378"/>
      <c r="AM26" s="378"/>
      <c r="AN26" s="378"/>
    </row>
    <row r="27" spans="1:50">
      <c r="AB27" s="199"/>
      <c r="AC27" s="407"/>
    </row>
    <row r="28" spans="1:50">
      <c r="F28" s="378" t="s">
        <v>1243</v>
      </c>
      <c r="K28" s="378" t="s">
        <v>902</v>
      </c>
      <c r="L28" s="494">
        <v>11.11626864216</v>
      </c>
      <c r="M28" s="496"/>
      <c r="N28" s="496"/>
      <c r="O28" s="496"/>
      <c r="P28" s="494">
        <v>12.1378267171555</v>
      </c>
      <c r="Q28" s="496"/>
      <c r="R28" s="496"/>
      <c r="S28" s="496"/>
      <c r="T28" s="494">
        <v>12.1378267171555</v>
      </c>
      <c r="U28" s="496"/>
      <c r="V28" s="496"/>
      <c r="W28" s="496"/>
      <c r="X28" s="494">
        <v>11.11626864216</v>
      </c>
      <c r="Y28" s="496"/>
      <c r="Z28" s="496"/>
      <c r="AA28" s="496"/>
      <c r="AB28" s="497">
        <v>12.1378267171555</v>
      </c>
      <c r="AC28" s="407"/>
    </row>
  </sheetData>
  <mergeCells count="1">
    <mergeCell ref="AH1:AM1"/>
  </mergeCells>
  <conditionalFormatting sqref="D12:AE25">
    <cfRule type="expression" dxfId="74" priority="5">
      <formula>MOD(ROW(),2)=0</formula>
    </cfRule>
  </conditionalFormatting>
  <conditionalFormatting sqref="AG12:AM25">
    <cfRule type="expression" dxfId="73" priority="28">
      <formula>MOD(ROW(),2)=0</formula>
    </cfRule>
  </conditionalFormatting>
  <conditionalFormatting sqref="AN12:AX25">
    <cfRule type="expression" dxfId="72" priority="27">
      <formula>MOD(ROW(),2)=0</formula>
    </cfRule>
  </conditionalFormatting>
  <dataValidations disablePrompts="1"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49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49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49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49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49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4900-000005000000}"/>
    <dataValidation allowBlank="1" showInputMessage="1" showErrorMessage="1" prompt="Do not change." sqref="AN3:AX4 AP7:AX11" xr:uid="{00000000-0002-0000-4900-000006000000}"/>
    <dataValidation allowBlank="1" showInputMessage="1" showErrorMessage="1" promptTitle="Remarks" prompt="A general comment (data source, calculation procedure, ...) can be made about each individual exchange. The remarks are added to the GeneralComment-field." sqref="AG3" xr:uid="{00000000-0002-0000-4900-000007000000}"/>
    <dataValidation allowBlank="1" showInputMessage="1" showErrorMessage="1" promptTitle="Do not change" prompt="This field is automatically updated from the names-list" sqref="AN12:AN25" xr:uid="{00000000-0002-0000-4900-000008000000}"/>
  </dataValidations>
  <pageMargins left="0.78740157499999996" right="0.78740157499999996" top="0.984251969" bottom="0.984251969" header="0.4921259845" footer="0.4921259845"/>
  <pageSetup paperSize="9" scale="38"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Tabelle37">
    <tabColor rgb="FF9CD9F0"/>
    <pageSetUpPr fitToPage="1"/>
  </sheetPr>
  <dimension ref="A1:BS38"/>
  <sheetViews>
    <sheetView topLeftCell="B9" workbookViewId="0">
      <selection activeCell="T22" sqref="T22"/>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2.7109375" style="378" customWidth="1" collapsed="1"/>
    <col min="33" max="34" width="5.7109375" style="116" hidden="1" customWidth="1" outlineLevel="1"/>
    <col min="35" max="35" width="50.7109375" style="116" hidden="1" customWidth="1" outlineLevel="1"/>
    <col min="36" max="36" width="12.7109375" style="378" customWidth="1" collapsed="1"/>
    <col min="37" max="38" width="5.7109375" style="116" hidden="1" customWidth="1" outlineLevel="1"/>
    <col min="39" max="39" width="50.7109375" style="116" hidden="1" customWidth="1" outlineLevel="1"/>
    <col min="40" max="40" width="12.7109375" style="378" customWidth="1" collapsed="1"/>
    <col min="41" max="42" width="5.7109375" style="116" hidden="1" customWidth="1" outlineLevel="1"/>
    <col min="43" max="43" width="50.7109375" style="116" hidden="1" customWidth="1" outlineLevel="1"/>
    <col min="44" max="44" width="12.7109375" style="378" customWidth="1" collapsed="1"/>
    <col min="45" max="46" width="5.7109375" style="116" hidden="1" customWidth="1" outlineLevel="1"/>
    <col min="47" max="47" width="50.7109375" style="116" hidden="1" customWidth="1" outlineLevel="1"/>
    <col min="48" max="48" width="12.7109375" style="378" customWidth="1" collapsed="1"/>
    <col min="49" max="50" width="5.7109375" style="116" hidden="1" customWidth="1" outlineLevel="1"/>
    <col min="51" max="51" width="50.7109375" style="116" hidden="1" customWidth="1" outlineLevel="1"/>
    <col min="52" max="52" width="11.42578125" style="378" customWidth="1" collapsed="1"/>
    <col min="53" max="53" width="30.7109375" style="407" customWidth="1"/>
    <col min="54" max="54" width="4.140625" style="407" customWidth="1"/>
    <col min="55" max="55" width="4.42578125" style="407" customWidth="1"/>
    <col min="56" max="56" width="4.28515625" style="407" customWidth="1"/>
    <col min="57" max="57" width="4" style="407" customWidth="1"/>
    <col min="58" max="58" width="3.7109375" style="407" customWidth="1"/>
    <col min="59" max="59" width="4.28515625" style="407" customWidth="1"/>
    <col min="60" max="60" width="3.42578125" style="407" hidden="1" customWidth="1" outlineLevel="1"/>
    <col min="61" max="61" width="4.7109375" style="378" hidden="1" customWidth="1" outlineLevel="1"/>
    <col min="62" max="63" width="5.42578125" style="378" hidden="1" customWidth="1" outlineLevel="1"/>
    <col min="64" max="64" width="14.85546875" style="378" hidden="1" customWidth="1" outlineLevel="1"/>
    <col min="65" max="65" width="4.28515625" style="378" hidden="1" customWidth="1" outlineLevel="1"/>
    <col min="66" max="66" width="4" style="378" hidden="1" customWidth="1" outlineLevel="1"/>
    <col min="67" max="68" width="4.42578125" style="378" hidden="1" customWidth="1" outlineLevel="1"/>
    <col min="69" max="69" width="4.28515625" style="378" hidden="1" customWidth="1" outlineLevel="1"/>
    <col min="70" max="70" width="4.42578125" style="378" hidden="1" customWidth="1" outlineLevel="1"/>
    <col min="71" max="71" width="11.42578125" style="378" customWidth="1" collapsed="1"/>
    <col min="72" max="73" width="11.42578125" style="378" customWidth="1"/>
    <col min="74" max="16384" width="11.42578125" style="378"/>
  </cols>
  <sheetData>
    <row r="1" spans="1:70">
      <c r="A1" s="77"/>
      <c r="B1" s="78"/>
      <c r="C1" s="79"/>
      <c r="D1" s="77"/>
      <c r="E1" s="77"/>
      <c r="F1" s="80" t="s">
        <v>65</v>
      </c>
      <c r="G1" s="77"/>
      <c r="H1" s="77"/>
      <c r="I1" s="77"/>
      <c r="J1" s="77"/>
      <c r="K1" s="77"/>
      <c r="L1" s="330" t="s">
        <v>1929</v>
      </c>
      <c r="M1" s="81"/>
      <c r="N1" s="81"/>
      <c r="O1" s="81"/>
      <c r="P1" s="330" t="s">
        <v>1930</v>
      </c>
      <c r="Q1" s="81"/>
      <c r="R1" s="81"/>
      <c r="S1" s="81"/>
      <c r="T1" s="330" t="s">
        <v>1931</v>
      </c>
      <c r="U1" s="81"/>
      <c r="V1" s="81"/>
      <c r="W1" s="81"/>
      <c r="X1" s="330" t="s">
        <v>1932</v>
      </c>
      <c r="Y1" s="81"/>
      <c r="Z1" s="81"/>
      <c r="AA1" s="81"/>
      <c r="AB1" s="330" t="str">
        <f>A11</f>
        <v>Z-PV-037</v>
      </c>
      <c r="AC1" s="81"/>
      <c r="AD1" s="81"/>
      <c r="AE1" s="81"/>
      <c r="AF1" s="330" t="str">
        <f>A12</f>
        <v>Z-PV-280</v>
      </c>
      <c r="AG1" s="81"/>
      <c r="AH1" s="81"/>
      <c r="AI1" s="81"/>
      <c r="AJ1" s="330" t="str">
        <f>A13</f>
        <v>Z-PV-247</v>
      </c>
      <c r="AK1" s="81"/>
      <c r="AL1" s="81"/>
      <c r="AM1" s="81"/>
      <c r="AN1" s="330" t="str">
        <f>A14</f>
        <v>Z-PV-248</v>
      </c>
      <c r="AO1" s="81"/>
      <c r="AP1" s="81"/>
      <c r="AQ1" s="81"/>
      <c r="AR1" s="330" t="str">
        <f>A15</f>
        <v>Z-PV-240</v>
      </c>
      <c r="AS1" s="81"/>
      <c r="AT1" s="81"/>
      <c r="AU1" s="81"/>
      <c r="AV1" s="330" t="str">
        <f>A16</f>
        <v>Z-PV-241</v>
      </c>
      <c r="AW1" s="81"/>
      <c r="AX1" s="81"/>
      <c r="AY1" s="81"/>
      <c r="BA1" s="378"/>
      <c r="BB1" s="1586"/>
      <c r="BC1" s="1581"/>
      <c r="BD1" s="1581"/>
      <c r="BE1" s="1581"/>
      <c r="BF1" s="1581"/>
      <c r="BG1" s="1581"/>
      <c r="BH1" s="406"/>
      <c r="BI1" s="406"/>
      <c r="BJ1" s="406"/>
      <c r="BK1" s="406"/>
      <c r="BL1" s="406"/>
    </row>
    <row r="2" spans="1:70">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BA2" s="406"/>
      <c r="BB2" s="406"/>
      <c r="BC2" s="406"/>
      <c r="BD2" s="406"/>
      <c r="BE2" s="406"/>
      <c r="BF2" s="406"/>
      <c r="BG2" s="406"/>
      <c r="BH2" s="406"/>
    </row>
    <row r="3" spans="1:70" ht="102" customHeight="1">
      <c r="A3" s="83" t="s">
        <v>68</v>
      </c>
      <c r="B3" s="84"/>
      <c r="C3" s="79">
        <v>401</v>
      </c>
      <c r="D3" s="85" t="s">
        <v>69</v>
      </c>
      <c r="E3" s="85" t="s">
        <v>70</v>
      </c>
      <c r="F3" s="86" t="s">
        <v>71</v>
      </c>
      <c r="G3" s="85" t="s">
        <v>72</v>
      </c>
      <c r="H3" s="85" t="s">
        <v>73</v>
      </c>
      <c r="I3" s="85" t="s">
        <v>74</v>
      </c>
      <c r="J3" s="85" t="s">
        <v>75</v>
      </c>
      <c r="K3" s="85" t="s">
        <v>76</v>
      </c>
      <c r="L3" s="87" t="s">
        <v>1933</v>
      </c>
      <c r="M3" s="422" t="str">
        <f>$AC3</f>
        <v>UncertaintyType</v>
      </c>
      <c r="N3" s="422" t="str">
        <f>$AD3</f>
        <v>StandardDeviation95%</v>
      </c>
      <c r="O3" s="423" t="str">
        <f>$AE3</f>
        <v>GeneralComment</v>
      </c>
      <c r="P3" s="87" t="s">
        <v>1934</v>
      </c>
      <c r="Q3" s="422" t="str">
        <f>$AC3</f>
        <v>UncertaintyType</v>
      </c>
      <c r="R3" s="422" t="str">
        <f>$AD3</f>
        <v>StandardDeviation95%</v>
      </c>
      <c r="S3" s="423" t="str">
        <f>$AE3</f>
        <v>GeneralComment</v>
      </c>
      <c r="T3" s="87" t="s">
        <v>1935</v>
      </c>
      <c r="U3" s="422" t="str">
        <f>$AC3</f>
        <v>UncertaintyType</v>
      </c>
      <c r="V3" s="422" t="str">
        <f>$AD3</f>
        <v>StandardDeviation95%</v>
      </c>
      <c r="W3" s="423" t="str">
        <f>$AE3</f>
        <v>GeneralComment</v>
      </c>
      <c r="X3" s="87" t="s">
        <v>1936</v>
      </c>
      <c r="Y3" s="422" t="str">
        <f>$AC3</f>
        <v>UncertaintyType</v>
      </c>
      <c r="Z3" s="422" t="str">
        <f>$AD3</f>
        <v>StandardDeviation95%</v>
      </c>
      <c r="AA3" s="423" t="str">
        <f>$AE3</f>
        <v>GeneralComment</v>
      </c>
      <c r="AB3" s="87" t="s">
        <v>1937</v>
      </c>
      <c r="AC3" s="422" t="s">
        <v>78</v>
      </c>
      <c r="AD3" s="422" t="s">
        <v>79</v>
      </c>
      <c r="AE3" s="423" t="s">
        <v>80</v>
      </c>
      <c r="AF3" s="87" t="s">
        <v>1938</v>
      </c>
      <c r="AG3" s="422" t="s">
        <v>78</v>
      </c>
      <c r="AH3" s="422" t="s">
        <v>79</v>
      </c>
      <c r="AI3" s="423" t="s">
        <v>80</v>
      </c>
      <c r="AJ3" s="87" t="s">
        <v>1939</v>
      </c>
      <c r="AK3" s="422" t="s">
        <v>78</v>
      </c>
      <c r="AL3" s="422" t="s">
        <v>79</v>
      </c>
      <c r="AM3" s="423" t="s">
        <v>80</v>
      </c>
      <c r="AN3" s="87" t="s">
        <v>1940</v>
      </c>
      <c r="AO3" s="422" t="s">
        <v>78</v>
      </c>
      <c r="AP3" s="422" t="s">
        <v>79</v>
      </c>
      <c r="AQ3" s="423" t="s">
        <v>80</v>
      </c>
      <c r="AR3" s="87" t="s">
        <v>1941</v>
      </c>
      <c r="AS3" s="422" t="s">
        <v>78</v>
      </c>
      <c r="AT3" s="422" t="s">
        <v>79</v>
      </c>
      <c r="AU3" s="423" t="s">
        <v>80</v>
      </c>
      <c r="AV3" s="87" t="s">
        <v>1942</v>
      </c>
      <c r="AW3" s="422" t="s">
        <v>78</v>
      </c>
      <c r="AX3" s="422" t="s">
        <v>79</v>
      </c>
      <c r="AY3" s="423" t="s">
        <v>80</v>
      </c>
      <c r="AZ3" s="378" t="s">
        <v>1885</v>
      </c>
      <c r="BA3" s="97" t="s">
        <v>363</v>
      </c>
      <c r="BB3" s="98" t="s">
        <v>364</v>
      </c>
      <c r="BC3" s="98" t="s">
        <v>365</v>
      </c>
      <c r="BD3" s="98" t="s">
        <v>366</v>
      </c>
      <c r="BE3" s="98" t="s">
        <v>367</v>
      </c>
      <c r="BF3" s="98" t="s">
        <v>368</v>
      </c>
      <c r="BG3" s="98" t="s">
        <v>369</v>
      </c>
      <c r="BH3" s="99" t="s">
        <v>88</v>
      </c>
      <c r="BI3" s="99" t="s">
        <v>370</v>
      </c>
      <c r="BJ3" s="99" t="s">
        <v>90</v>
      </c>
      <c r="BK3" s="99" t="s">
        <v>91</v>
      </c>
      <c r="BL3" s="99" t="s">
        <v>371</v>
      </c>
      <c r="BM3" s="100" t="s">
        <v>364</v>
      </c>
      <c r="BN3" s="100" t="s">
        <v>365</v>
      </c>
      <c r="BO3" s="100" t="s">
        <v>366</v>
      </c>
      <c r="BP3" s="100" t="s">
        <v>367</v>
      </c>
      <c r="BQ3" s="100" t="s">
        <v>368</v>
      </c>
      <c r="BR3" s="100" t="s">
        <v>369</v>
      </c>
    </row>
    <row r="4" spans="1:70" ht="12" customHeight="1">
      <c r="A4" s="77"/>
      <c r="B4" s="84"/>
      <c r="C4" s="79">
        <v>662</v>
      </c>
      <c r="D4" s="86"/>
      <c r="E4" s="86"/>
      <c r="F4" s="86" t="s">
        <v>72</v>
      </c>
      <c r="G4" s="86"/>
      <c r="H4" s="86"/>
      <c r="I4" s="86"/>
      <c r="J4" s="86"/>
      <c r="K4" s="86"/>
      <c r="L4" s="87" t="s">
        <v>103</v>
      </c>
      <c r="M4" s="425">
        <f>$AC4</f>
        <v>0</v>
      </c>
      <c r="N4" s="425">
        <f>$AD4</f>
        <v>0</v>
      </c>
      <c r="O4" s="426">
        <f>$AE4</f>
        <v>0</v>
      </c>
      <c r="P4" s="87" t="s">
        <v>103</v>
      </c>
      <c r="Q4" s="425">
        <f>$AC4</f>
        <v>0</v>
      </c>
      <c r="R4" s="425">
        <f>$AD4</f>
        <v>0</v>
      </c>
      <c r="S4" s="426">
        <f>$AE4</f>
        <v>0</v>
      </c>
      <c r="T4" s="87" t="s">
        <v>103</v>
      </c>
      <c r="U4" s="425">
        <f>$AC4</f>
        <v>0</v>
      </c>
      <c r="V4" s="425">
        <f>$AD4</f>
        <v>0</v>
      </c>
      <c r="W4" s="426">
        <f>$AE4</f>
        <v>0</v>
      </c>
      <c r="X4" s="87" t="s">
        <v>103</v>
      </c>
      <c r="Y4" s="425">
        <f>$AC4</f>
        <v>0</v>
      </c>
      <c r="Z4" s="425">
        <f>$AD4</f>
        <v>0</v>
      </c>
      <c r="AA4" s="426">
        <f>$AE4</f>
        <v>0</v>
      </c>
      <c r="AB4" s="87" t="s">
        <v>103</v>
      </c>
      <c r="AC4" s="425"/>
      <c r="AD4" s="425"/>
      <c r="AE4" s="426"/>
      <c r="AF4" s="87" t="s">
        <v>154</v>
      </c>
      <c r="AG4" s="425"/>
      <c r="AH4" s="425"/>
      <c r="AI4" s="426"/>
      <c r="AJ4" s="87" t="s">
        <v>154</v>
      </c>
      <c r="AK4" s="425"/>
      <c r="AL4" s="425"/>
      <c r="AM4" s="426"/>
      <c r="AN4" s="87" t="s">
        <v>154</v>
      </c>
      <c r="AO4" s="425"/>
      <c r="AP4" s="425"/>
      <c r="AQ4" s="426"/>
      <c r="AR4" s="87" t="s">
        <v>154</v>
      </c>
      <c r="AS4" s="425"/>
      <c r="AT4" s="425"/>
      <c r="AU4" s="426"/>
      <c r="AV4" s="87" t="s">
        <v>154</v>
      </c>
      <c r="AW4" s="425"/>
      <c r="AX4" s="425"/>
      <c r="AY4" s="426"/>
      <c r="BA4" s="101"/>
      <c r="BB4" s="102" t="s">
        <v>94</v>
      </c>
      <c r="BC4" s="97"/>
      <c r="BD4" s="97"/>
      <c r="BE4" s="97"/>
      <c r="BF4" s="97"/>
      <c r="BG4" s="97"/>
      <c r="BH4" s="103"/>
      <c r="BI4" s="103"/>
      <c r="BJ4" s="103" t="s">
        <v>95</v>
      </c>
      <c r="BK4" s="103" t="s">
        <v>95</v>
      </c>
      <c r="BL4" s="104"/>
      <c r="BM4" s="105"/>
      <c r="BN4" s="105"/>
      <c r="BO4" s="105"/>
      <c r="BP4" s="105"/>
      <c r="BQ4" s="105"/>
      <c r="BR4" s="105"/>
    </row>
    <row r="5" spans="1:70" ht="12" customHeight="1">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F5" s="87">
        <v>1</v>
      </c>
      <c r="AG5" s="425"/>
      <c r="AH5" s="425"/>
      <c r="AI5" s="426"/>
      <c r="AJ5" s="87">
        <v>1</v>
      </c>
      <c r="AK5" s="425"/>
      <c r="AL5" s="425"/>
      <c r="AM5" s="426"/>
      <c r="AN5" s="87">
        <v>1</v>
      </c>
      <c r="AO5" s="425"/>
      <c r="AP5" s="425"/>
      <c r="AQ5" s="426"/>
      <c r="AR5" s="87">
        <v>1</v>
      </c>
      <c r="AS5" s="425"/>
      <c r="AT5" s="425"/>
      <c r="AU5" s="426"/>
      <c r="AV5" s="87">
        <v>1</v>
      </c>
      <c r="AW5" s="425"/>
      <c r="AX5" s="425"/>
      <c r="AY5" s="426"/>
      <c r="BA5" s="101"/>
      <c r="BB5" s="97"/>
      <c r="BC5" s="97"/>
      <c r="BD5" s="97"/>
      <c r="BE5" s="97"/>
      <c r="BF5" s="97"/>
      <c r="BG5" s="97"/>
      <c r="BH5" s="104"/>
      <c r="BI5" s="104"/>
      <c r="BJ5" s="104"/>
      <c r="BK5" s="104"/>
      <c r="BL5" s="104"/>
      <c r="BM5" s="105"/>
      <c r="BN5" s="105"/>
      <c r="BO5" s="105"/>
      <c r="BP5" s="105"/>
      <c r="BQ5" s="105"/>
      <c r="BR5" s="105"/>
    </row>
    <row r="6" spans="1:70" ht="12" customHeight="1">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87" t="s">
        <v>144</v>
      </c>
      <c r="AG6" s="425"/>
      <c r="AH6" s="425"/>
      <c r="AI6" s="426"/>
      <c r="AJ6" s="87" t="s">
        <v>144</v>
      </c>
      <c r="AK6" s="425"/>
      <c r="AL6" s="425"/>
      <c r="AM6" s="426"/>
      <c r="AN6" s="87" t="s">
        <v>144</v>
      </c>
      <c r="AO6" s="425"/>
      <c r="AP6" s="425"/>
      <c r="AQ6" s="426"/>
      <c r="AR6" s="87" t="s">
        <v>144</v>
      </c>
      <c r="AS6" s="425"/>
      <c r="AT6" s="425"/>
      <c r="AU6" s="426"/>
      <c r="AV6" s="87" t="s">
        <v>144</v>
      </c>
      <c r="AW6" s="425"/>
      <c r="AX6" s="425"/>
      <c r="AY6" s="426"/>
      <c r="AZ6" s="378" t="s">
        <v>96</v>
      </c>
      <c r="BA6" s="101"/>
      <c r="BB6" s="106"/>
      <c r="BC6" s="106"/>
      <c r="BD6" s="106"/>
      <c r="BE6" s="106"/>
      <c r="BF6" s="106"/>
      <c r="BG6" s="106"/>
      <c r="BH6" s="104"/>
      <c r="BI6" s="104"/>
      <c r="BJ6" s="428"/>
      <c r="BK6" s="428"/>
      <c r="BL6" s="107"/>
      <c r="BM6" s="105"/>
      <c r="BN6" s="105"/>
      <c r="BO6" s="105"/>
      <c r="BP6" s="105"/>
      <c r="BQ6" s="105"/>
      <c r="BR6" s="105"/>
    </row>
    <row r="7" spans="1:70" ht="24" customHeight="1">
      <c r="A7" s="330" t="s">
        <v>1929</v>
      </c>
      <c r="B7" s="331" t="s">
        <v>97</v>
      </c>
      <c r="C7" s="88"/>
      <c r="D7" s="294" t="s">
        <v>98</v>
      </c>
      <c r="E7" s="295">
        <v>0</v>
      </c>
      <c r="F7" s="429" t="s">
        <v>1933</v>
      </c>
      <c r="G7" s="430" t="s">
        <v>103</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F7" s="90">
        <v>0</v>
      </c>
      <c r="AG7" s="91"/>
      <c r="AH7" s="92"/>
      <c r="AI7" s="93"/>
      <c r="AJ7" s="90">
        <v>0</v>
      </c>
      <c r="AK7" s="91"/>
      <c r="AL7" s="92"/>
      <c r="AM7" s="93"/>
      <c r="AN7" s="90">
        <v>0</v>
      </c>
      <c r="AO7" s="91"/>
      <c r="AP7" s="92"/>
      <c r="AQ7" s="93"/>
      <c r="AR7" s="90">
        <v>0</v>
      </c>
      <c r="AS7" s="91"/>
      <c r="AT7" s="92"/>
      <c r="AU7" s="93"/>
      <c r="AV7" s="90">
        <v>0</v>
      </c>
      <c r="AW7" s="91"/>
      <c r="AX7" s="92"/>
      <c r="AY7" s="93"/>
      <c r="BA7" s="101"/>
      <c r="BB7" s="97"/>
      <c r="BC7" s="97"/>
      <c r="BD7" s="97"/>
      <c r="BE7" s="97"/>
      <c r="BF7" s="97"/>
      <c r="BG7" s="97"/>
      <c r="BH7" s="104"/>
      <c r="BI7" s="104"/>
      <c r="BJ7" s="104"/>
      <c r="BK7" s="104"/>
      <c r="BL7" s="104"/>
      <c r="BM7" s="104"/>
      <c r="BN7" s="104"/>
      <c r="BO7" s="104"/>
      <c r="BP7" s="104"/>
      <c r="BQ7" s="104"/>
      <c r="BR7" s="104"/>
    </row>
    <row r="8" spans="1:70" ht="24" customHeight="1">
      <c r="A8" s="330" t="s">
        <v>1930</v>
      </c>
      <c r="B8" s="331"/>
      <c r="C8" s="88"/>
      <c r="D8" s="294" t="s">
        <v>98</v>
      </c>
      <c r="E8" s="295">
        <v>0</v>
      </c>
      <c r="F8" s="429" t="s">
        <v>1934</v>
      </c>
      <c r="G8" s="430" t="s">
        <v>103</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F8" s="90">
        <f>AB7</f>
        <v>0</v>
      </c>
      <c r="AG8" s="91"/>
      <c r="AH8" s="92"/>
      <c r="AI8" s="93"/>
      <c r="AJ8" s="90">
        <f>AB7</f>
        <v>0</v>
      </c>
      <c r="AK8" s="91"/>
      <c r="AL8" s="92"/>
      <c r="AM8" s="93"/>
      <c r="AN8" s="90">
        <f>AJ7</f>
        <v>0</v>
      </c>
      <c r="AO8" s="91"/>
      <c r="AP8" s="92"/>
      <c r="AQ8" s="93"/>
      <c r="AR8" s="90">
        <f>AN7</f>
        <v>0</v>
      </c>
      <c r="AS8" s="91"/>
      <c r="AT8" s="92"/>
      <c r="AU8" s="93"/>
      <c r="AV8" s="90">
        <f>AR7</f>
        <v>0</v>
      </c>
      <c r="AW8" s="91"/>
      <c r="AX8" s="92"/>
      <c r="AY8" s="93"/>
      <c r="BA8" s="101"/>
      <c r="BB8" s="97"/>
      <c r="BC8" s="97"/>
      <c r="BD8" s="97"/>
      <c r="BE8" s="97"/>
      <c r="BF8" s="97"/>
      <c r="BG8" s="97"/>
      <c r="BH8" s="104"/>
      <c r="BI8" s="104"/>
      <c r="BJ8" s="104"/>
      <c r="BK8" s="104"/>
      <c r="BL8" s="104"/>
      <c r="BM8" s="104"/>
      <c r="BN8" s="104"/>
      <c r="BO8" s="104"/>
      <c r="BP8" s="104"/>
      <c r="BQ8" s="104"/>
      <c r="BR8" s="104"/>
    </row>
    <row r="9" spans="1:70" ht="24" customHeight="1">
      <c r="A9" s="330" t="s">
        <v>1931</v>
      </c>
      <c r="B9" s="331"/>
      <c r="C9" s="88"/>
      <c r="D9" s="294" t="s">
        <v>98</v>
      </c>
      <c r="E9" s="295">
        <v>0</v>
      </c>
      <c r="F9" s="429" t="s">
        <v>1935</v>
      </c>
      <c r="G9" s="430" t="s">
        <v>103</v>
      </c>
      <c r="H9" s="431" t="s">
        <v>98</v>
      </c>
      <c r="I9" s="431" t="s">
        <v>98</v>
      </c>
      <c r="J9" s="89">
        <v>1</v>
      </c>
      <c r="K9" s="430" t="s">
        <v>144</v>
      </c>
      <c r="L9" s="90">
        <v>0</v>
      </c>
      <c r="M9" s="91"/>
      <c r="N9" s="92"/>
      <c r="O9" s="93"/>
      <c r="P9" s="90">
        <v>0</v>
      </c>
      <c r="Q9" s="91"/>
      <c r="R9" s="92"/>
      <c r="S9" s="93"/>
      <c r="T9" s="90">
        <f>P8</f>
        <v>1</v>
      </c>
      <c r="U9" s="91"/>
      <c r="V9" s="92"/>
      <c r="W9" s="93"/>
      <c r="X9" s="90">
        <f>T8</f>
        <v>0</v>
      </c>
      <c r="Y9" s="91"/>
      <c r="Z9" s="92"/>
      <c r="AA9" s="93"/>
      <c r="AB9" s="90">
        <f>X8</f>
        <v>0</v>
      </c>
      <c r="AC9" s="91"/>
      <c r="AD9" s="92"/>
      <c r="AE9" s="93"/>
      <c r="AF9" s="90">
        <f>AB8</f>
        <v>0</v>
      </c>
      <c r="AG9" s="91"/>
      <c r="AH9" s="92"/>
      <c r="AI9" s="93"/>
      <c r="AJ9" s="90">
        <f>AB8</f>
        <v>0</v>
      </c>
      <c r="AK9" s="91"/>
      <c r="AL9" s="92"/>
      <c r="AM9" s="93"/>
      <c r="AN9" s="90">
        <f>AJ8</f>
        <v>0</v>
      </c>
      <c r="AO9" s="91"/>
      <c r="AP9" s="92"/>
      <c r="AQ9" s="93"/>
      <c r="AR9" s="90">
        <f>AN8</f>
        <v>0</v>
      </c>
      <c r="AS9" s="91"/>
      <c r="AT9" s="92"/>
      <c r="AU9" s="93"/>
      <c r="AV9" s="90">
        <f>AR8</f>
        <v>0</v>
      </c>
      <c r="AW9" s="91"/>
      <c r="AX9" s="92"/>
      <c r="AY9" s="93"/>
      <c r="BA9" s="101"/>
      <c r="BB9" s="97"/>
      <c r="BC9" s="97"/>
      <c r="BD9" s="97"/>
      <c r="BE9" s="97"/>
      <c r="BF9" s="97"/>
      <c r="BG9" s="97"/>
      <c r="BH9" s="104"/>
      <c r="BI9" s="104"/>
      <c r="BJ9" s="104"/>
      <c r="BK9" s="104"/>
      <c r="BL9" s="104"/>
      <c r="BM9" s="104"/>
      <c r="BN9" s="104"/>
      <c r="BO9" s="104"/>
      <c r="BP9" s="104"/>
      <c r="BQ9" s="104"/>
      <c r="BR9" s="104"/>
    </row>
    <row r="10" spans="1:70" ht="24" customHeight="1">
      <c r="A10" s="330" t="s">
        <v>1932</v>
      </c>
      <c r="B10" s="331"/>
      <c r="C10" s="88"/>
      <c r="D10" s="294" t="s">
        <v>98</v>
      </c>
      <c r="E10" s="295">
        <v>0</v>
      </c>
      <c r="F10" s="429" t="s">
        <v>1936</v>
      </c>
      <c r="G10" s="430" t="s">
        <v>103</v>
      </c>
      <c r="H10" s="431" t="s">
        <v>98</v>
      </c>
      <c r="I10" s="431" t="s">
        <v>98</v>
      </c>
      <c r="J10" s="89">
        <v>1</v>
      </c>
      <c r="K10" s="430" t="s">
        <v>144</v>
      </c>
      <c r="L10" s="90">
        <v>0</v>
      </c>
      <c r="M10" s="91"/>
      <c r="N10" s="92"/>
      <c r="O10" s="93"/>
      <c r="P10" s="90">
        <v>0</v>
      </c>
      <c r="Q10" s="91"/>
      <c r="R10" s="92"/>
      <c r="S10" s="93"/>
      <c r="T10" s="90">
        <f>P9</f>
        <v>0</v>
      </c>
      <c r="U10" s="91"/>
      <c r="V10" s="92"/>
      <c r="W10" s="93"/>
      <c r="X10" s="90">
        <f>T9</f>
        <v>1</v>
      </c>
      <c r="Y10" s="91"/>
      <c r="Z10" s="92"/>
      <c r="AA10" s="93"/>
      <c r="AB10" s="90">
        <f>X9</f>
        <v>0</v>
      </c>
      <c r="AC10" s="91"/>
      <c r="AD10" s="92"/>
      <c r="AE10" s="93"/>
      <c r="AF10" s="90">
        <f>AB9</f>
        <v>0</v>
      </c>
      <c r="AG10" s="91"/>
      <c r="AH10" s="92"/>
      <c r="AI10" s="93"/>
      <c r="AJ10" s="90">
        <f>AB9</f>
        <v>0</v>
      </c>
      <c r="AK10" s="91"/>
      <c r="AL10" s="92"/>
      <c r="AM10" s="93"/>
      <c r="AN10" s="90">
        <f>AJ9</f>
        <v>0</v>
      </c>
      <c r="AO10" s="91"/>
      <c r="AP10" s="92"/>
      <c r="AQ10" s="93"/>
      <c r="AR10" s="90">
        <f>AN9</f>
        <v>0</v>
      </c>
      <c r="AS10" s="91"/>
      <c r="AT10" s="92"/>
      <c r="AU10" s="93"/>
      <c r="AV10" s="90">
        <f>AR9</f>
        <v>0</v>
      </c>
      <c r="AW10" s="91"/>
      <c r="AX10" s="92"/>
      <c r="AY10" s="93"/>
      <c r="BA10" s="101"/>
      <c r="BB10" s="97"/>
      <c r="BC10" s="97"/>
      <c r="BD10" s="97"/>
      <c r="BE10" s="97"/>
      <c r="BF10" s="97"/>
      <c r="BG10" s="97"/>
      <c r="BH10" s="104"/>
      <c r="BI10" s="104"/>
      <c r="BJ10" s="104"/>
      <c r="BK10" s="104"/>
      <c r="BL10" s="104"/>
      <c r="BM10" s="104"/>
      <c r="BN10" s="104"/>
      <c r="BO10" s="104"/>
      <c r="BP10" s="104"/>
      <c r="BQ10" s="104"/>
      <c r="BR10" s="104"/>
    </row>
    <row r="11" spans="1:70" ht="24" customHeight="1">
      <c r="A11" s="330" t="s">
        <v>1943</v>
      </c>
      <c r="B11" s="331"/>
      <c r="C11" s="88"/>
      <c r="D11" s="294" t="s">
        <v>98</v>
      </c>
      <c r="E11" s="295">
        <v>0</v>
      </c>
      <c r="F11" s="429" t="s">
        <v>1937</v>
      </c>
      <c r="G11" s="430" t="s">
        <v>103</v>
      </c>
      <c r="H11" s="431" t="s">
        <v>98</v>
      </c>
      <c r="I11" s="431" t="s">
        <v>98</v>
      </c>
      <c r="J11" s="89">
        <v>1</v>
      </c>
      <c r="K11" s="430" t="s">
        <v>144</v>
      </c>
      <c r="L11" s="90">
        <v>0</v>
      </c>
      <c r="M11" s="91"/>
      <c r="N11" s="92"/>
      <c r="O11" s="93"/>
      <c r="P11" s="90">
        <v>0</v>
      </c>
      <c r="Q11" s="91"/>
      <c r="R11" s="92"/>
      <c r="S11" s="93"/>
      <c r="T11" s="90">
        <f>P9</f>
        <v>0</v>
      </c>
      <c r="U11" s="91"/>
      <c r="V11" s="92"/>
      <c r="W11" s="93"/>
      <c r="X11" s="90">
        <v>0</v>
      </c>
      <c r="Y11" s="91"/>
      <c r="Z11" s="92"/>
      <c r="AA11" s="93"/>
      <c r="AB11" s="90">
        <v>1</v>
      </c>
      <c r="AC11" s="91"/>
      <c r="AD11" s="92"/>
      <c r="AE11" s="93"/>
      <c r="AF11" s="90">
        <f>AB9</f>
        <v>0</v>
      </c>
      <c r="AG11" s="91"/>
      <c r="AH11" s="92"/>
      <c r="AI11" s="93"/>
      <c r="AJ11" s="90">
        <f>AB9</f>
        <v>0</v>
      </c>
      <c r="AK11" s="91"/>
      <c r="AL11" s="92"/>
      <c r="AM11" s="93"/>
      <c r="AN11" s="90">
        <f>AJ9</f>
        <v>0</v>
      </c>
      <c r="AO11" s="91"/>
      <c r="AP11" s="92"/>
      <c r="AQ11" s="93"/>
      <c r="AR11" s="90">
        <f>AN9</f>
        <v>0</v>
      </c>
      <c r="AS11" s="91"/>
      <c r="AT11" s="92"/>
      <c r="AU11" s="93"/>
      <c r="AV11" s="90">
        <f>AR9</f>
        <v>0</v>
      </c>
      <c r="AW11" s="91"/>
      <c r="AX11" s="92"/>
      <c r="AY11" s="93"/>
      <c r="BA11" s="101"/>
      <c r="BB11" s="97"/>
      <c r="BC11" s="97"/>
      <c r="BD11" s="97"/>
      <c r="BE11" s="97"/>
      <c r="BF11" s="97"/>
      <c r="BG11" s="97"/>
      <c r="BH11" s="104"/>
      <c r="BI11" s="104"/>
      <c r="BJ11" s="104"/>
      <c r="BK11" s="104"/>
      <c r="BL11" s="104"/>
      <c r="BM11" s="104"/>
      <c r="BN11" s="104"/>
      <c r="BO11" s="104"/>
      <c r="BP11" s="104"/>
      <c r="BQ11" s="104"/>
      <c r="BR11" s="104"/>
    </row>
    <row r="12" spans="1:70" ht="24" customHeight="1">
      <c r="A12" s="330" t="s">
        <v>1944</v>
      </c>
      <c r="B12" s="331"/>
      <c r="C12" s="88"/>
      <c r="D12" s="294" t="s">
        <v>98</v>
      </c>
      <c r="E12" s="295">
        <v>0</v>
      </c>
      <c r="F12" s="429" t="s">
        <v>1938</v>
      </c>
      <c r="G12" s="430" t="s">
        <v>154</v>
      </c>
      <c r="H12" s="431" t="s">
        <v>98</v>
      </c>
      <c r="I12" s="431" t="s">
        <v>98</v>
      </c>
      <c r="J12" s="89">
        <v>1</v>
      </c>
      <c r="K12" s="430" t="s">
        <v>144</v>
      </c>
      <c r="L12" s="90">
        <v>0</v>
      </c>
      <c r="M12" s="91"/>
      <c r="N12" s="92"/>
      <c r="O12" s="93"/>
      <c r="P12" s="90">
        <v>0</v>
      </c>
      <c r="Q12" s="91"/>
      <c r="R12" s="92"/>
      <c r="S12" s="93"/>
      <c r="T12" s="90">
        <f>P10</f>
        <v>0</v>
      </c>
      <c r="U12" s="91"/>
      <c r="V12" s="92"/>
      <c r="W12" s="93"/>
      <c r="X12" s="90">
        <f>T10</f>
        <v>0</v>
      </c>
      <c r="Y12" s="91"/>
      <c r="Z12" s="92"/>
      <c r="AA12" s="93"/>
      <c r="AB12" s="90">
        <v>0</v>
      </c>
      <c r="AC12" s="91"/>
      <c r="AD12" s="92"/>
      <c r="AE12" s="93"/>
      <c r="AF12" s="90">
        <v>1</v>
      </c>
      <c r="AG12" s="91"/>
      <c r="AH12" s="92"/>
      <c r="AI12" s="93"/>
      <c r="AJ12" s="90">
        <f>AB10</f>
        <v>0</v>
      </c>
      <c r="AK12" s="91"/>
      <c r="AL12" s="92"/>
      <c r="AM12" s="93"/>
      <c r="AN12" s="90">
        <f>AJ10</f>
        <v>0</v>
      </c>
      <c r="AO12" s="91"/>
      <c r="AP12" s="92"/>
      <c r="AQ12" s="93"/>
      <c r="AR12" s="90">
        <f>AN10</f>
        <v>0</v>
      </c>
      <c r="AS12" s="91"/>
      <c r="AT12" s="92"/>
      <c r="AU12" s="93"/>
      <c r="AV12" s="90">
        <f>AR10</f>
        <v>0</v>
      </c>
      <c r="AW12" s="91"/>
      <c r="AX12" s="92"/>
      <c r="AY12" s="93"/>
      <c r="BA12" s="101"/>
      <c r="BB12" s="97"/>
      <c r="BC12" s="97"/>
      <c r="BD12" s="97"/>
      <c r="BE12" s="97"/>
      <c r="BF12" s="97"/>
      <c r="BG12" s="97"/>
      <c r="BH12" s="104"/>
      <c r="BI12" s="104"/>
      <c r="BJ12" s="104"/>
      <c r="BK12" s="104"/>
      <c r="BL12" s="104"/>
      <c r="BM12" s="104"/>
      <c r="BN12" s="104"/>
      <c r="BO12" s="104"/>
      <c r="BP12" s="104"/>
      <c r="BQ12" s="104"/>
      <c r="BR12" s="104"/>
    </row>
    <row r="13" spans="1:70" ht="24" customHeight="1">
      <c r="A13" s="330" t="s">
        <v>1945</v>
      </c>
      <c r="B13" s="331"/>
      <c r="C13" s="88"/>
      <c r="D13" s="294" t="s">
        <v>98</v>
      </c>
      <c r="E13" s="295">
        <v>0</v>
      </c>
      <c r="F13" s="429" t="s">
        <v>1939</v>
      </c>
      <c r="G13" s="430" t="s">
        <v>154</v>
      </c>
      <c r="H13" s="431" t="s">
        <v>98</v>
      </c>
      <c r="I13" s="431" t="s">
        <v>98</v>
      </c>
      <c r="J13" s="89">
        <v>1</v>
      </c>
      <c r="K13" s="430" t="s">
        <v>144</v>
      </c>
      <c r="L13" s="90">
        <v>0</v>
      </c>
      <c r="M13" s="91"/>
      <c r="N13" s="92"/>
      <c r="O13" s="93"/>
      <c r="P13" s="90">
        <v>0</v>
      </c>
      <c r="Q13" s="91"/>
      <c r="R13" s="92"/>
      <c r="S13" s="93"/>
      <c r="T13" s="90">
        <f>P12</f>
        <v>0</v>
      </c>
      <c r="U13" s="91"/>
      <c r="V13" s="92"/>
      <c r="W13" s="93"/>
      <c r="X13" s="90">
        <f>T12</f>
        <v>0</v>
      </c>
      <c r="Y13" s="91"/>
      <c r="Z13" s="92"/>
      <c r="AA13" s="93"/>
      <c r="AB13" s="90">
        <f>X12</f>
        <v>0</v>
      </c>
      <c r="AC13" s="91"/>
      <c r="AD13" s="92"/>
      <c r="AE13" s="93"/>
      <c r="AF13" s="90">
        <f>AB12</f>
        <v>0</v>
      </c>
      <c r="AG13" s="91"/>
      <c r="AH13" s="92"/>
      <c r="AI13" s="93"/>
      <c r="AJ13" s="90">
        <v>1</v>
      </c>
      <c r="AK13" s="91"/>
      <c r="AL13" s="92"/>
      <c r="AM13" s="93"/>
      <c r="AN13" s="90">
        <f>AJ12</f>
        <v>0</v>
      </c>
      <c r="AO13" s="91"/>
      <c r="AP13" s="92"/>
      <c r="AQ13" s="93"/>
      <c r="AR13" s="90">
        <f>AN12</f>
        <v>0</v>
      </c>
      <c r="AS13" s="91"/>
      <c r="AT13" s="92"/>
      <c r="AU13" s="93"/>
      <c r="AV13" s="90">
        <f>AR12</f>
        <v>0</v>
      </c>
      <c r="AW13" s="91"/>
      <c r="AX13" s="92"/>
      <c r="AY13" s="93"/>
      <c r="BA13" s="101"/>
      <c r="BB13" s="97"/>
      <c r="BC13" s="97"/>
      <c r="BD13" s="97"/>
      <c r="BE13" s="97"/>
      <c r="BF13" s="97"/>
      <c r="BG13" s="97"/>
      <c r="BH13" s="104"/>
      <c r="BI13" s="104"/>
      <c r="BJ13" s="104"/>
      <c r="BK13" s="104"/>
      <c r="BL13" s="104"/>
      <c r="BM13" s="104"/>
      <c r="BN13" s="104"/>
      <c r="BO13" s="104"/>
      <c r="BP13" s="104"/>
      <c r="BQ13" s="104"/>
      <c r="BR13" s="104"/>
    </row>
    <row r="14" spans="1:70" ht="24" customHeight="1">
      <c r="A14" s="330" t="s">
        <v>1946</v>
      </c>
      <c r="B14" s="331"/>
      <c r="C14" s="88"/>
      <c r="D14" s="294" t="s">
        <v>98</v>
      </c>
      <c r="E14" s="295">
        <v>0</v>
      </c>
      <c r="F14" s="429" t="s">
        <v>1940</v>
      </c>
      <c r="G14" s="430" t="s">
        <v>154</v>
      </c>
      <c r="H14" s="431" t="s">
        <v>98</v>
      </c>
      <c r="I14" s="431" t="s">
        <v>98</v>
      </c>
      <c r="J14" s="89">
        <v>1</v>
      </c>
      <c r="K14" s="430" t="s">
        <v>144</v>
      </c>
      <c r="L14" s="90">
        <v>0</v>
      </c>
      <c r="M14" s="91"/>
      <c r="N14" s="92"/>
      <c r="O14" s="93"/>
      <c r="P14" s="90">
        <v>0</v>
      </c>
      <c r="Q14" s="91"/>
      <c r="R14" s="92"/>
      <c r="S14" s="93"/>
      <c r="T14" s="90">
        <f>P13</f>
        <v>0</v>
      </c>
      <c r="U14" s="91"/>
      <c r="V14" s="92"/>
      <c r="W14" s="93"/>
      <c r="X14" s="90">
        <f>T13</f>
        <v>0</v>
      </c>
      <c r="Y14" s="91"/>
      <c r="Z14" s="92"/>
      <c r="AA14" s="93"/>
      <c r="AB14" s="90">
        <f>X13</f>
        <v>0</v>
      </c>
      <c r="AC14" s="91"/>
      <c r="AD14" s="92"/>
      <c r="AE14" s="93"/>
      <c r="AF14" s="90">
        <f>AB13</f>
        <v>0</v>
      </c>
      <c r="AG14" s="91"/>
      <c r="AH14" s="92"/>
      <c r="AI14" s="93"/>
      <c r="AJ14" s="90">
        <f>AB13</f>
        <v>0</v>
      </c>
      <c r="AK14" s="91"/>
      <c r="AL14" s="92"/>
      <c r="AM14" s="93"/>
      <c r="AN14" s="90">
        <f>AJ13</f>
        <v>1</v>
      </c>
      <c r="AO14" s="91"/>
      <c r="AP14" s="92"/>
      <c r="AQ14" s="93"/>
      <c r="AR14" s="90">
        <f>AN13</f>
        <v>0</v>
      </c>
      <c r="AS14" s="91"/>
      <c r="AT14" s="92"/>
      <c r="AU14" s="93"/>
      <c r="AV14" s="90">
        <f>AR13</f>
        <v>0</v>
      </c>
      <c r="AW14" s="91"/>
      <c r="AX14" s="92"/>
      <c r="AY14" s="93"/>
      <c r="BA14" s="101"/>
      <c r="BB14" s="97"/>
      <c r="BC14" s="97"/>
      <c r="BD14" s="97"/>
      <c r="BE14" s="97"/>
      <c r="BF14" s="97"/>
      <c r="BG14" s="97"/>
      <c r="BH14" s="104"/>
      <c r="BI14" s="104"/>
      <c r="BJ14" s="104"/>
      <c r="BK14" s="104"/>
      <c r="BL14" s="104"/>
      <c r="BM14" s="104"/>
      <c r="BN14" s="104"/>
      <c r="BO14" s="104"/>
      <c r="BP14" s="104"/>
      <c r="BQ14" s="104"/>
      <c r="BR14" s="104"/>
    </row>
    <row r="15" spans="1:70" ht="24" customHeight="1">
      <c r="A15" s="330" t="s">
        <v>1947</v>
      </c>
      <c r="B15" s="331"/>
      <c r="C15" s="88"/>
      <c r="D15" s="294" t="s">
        <v>98</v>
      </c>
      <c r="E15" s="295">
        <v>0</v>
      </c>
      <c r="F15" s="429" t="s">
        <v>1941</v>
      </c>
      <c r="G15" s="430" t="s">
        <v>154</v>
      </c>
      <c r="H15" s="431" t="s">
        <v>98</v>
      </c>
      <c r="I15" s="431" t="s">
        <v>98</v>
      </c>
      <c r="J15" s="89">
        <v>1</v>
      </c>
      <c r="K15" s="430" t="s">
        <v>144</v>
      </c>
      <c r="L15" s="90">
        <v>0</v>
      </c>
      <c r="M15" s="91"/>
      <c r="N15" s="92"/>
      <c r="O15" s="93"/>
      <c r="P15" s="90">
        <v>0</v>
      </c>
      <c r="Q15" s="91"/>
      <c r="R15" s="92"/>
      <c r="S15" s="93"/>
      <c r="T15" s="90">
        <v>0</v>
      </c>
      <c r="U15" s="91"/>
      <c r="V15" s="92"/>
      <c r="W15" s="93"/>
      <c r="X15" s="90">
        <v>0</v>
      </c>
      <c r="Y15" s="91"/>
      <c r="Z15" s="92"/>
      <c r="AA15" s="93"/>
      <c r="AB15" s="90">
        <v>0</v>
      </c>
      <c r="AC15" s="91"/>
      <c r="AD15" s="92"/>
      <c r="AE15" s="93"/>
      <c r="AF15" s="90">
        <v>0</v>
      </c>
      <c r="AG15" s="91"/>
      <c r="AH15" s="92"/>
      <c r="AI15" s="93"/>
      <c r="AJ15" s="90">
        <v>0</v>
      </c>
      <c r="AK15" s="91"/>
      <c r="AL15" s="92"/>
      <c r="AM15" s="93"/>
      <c r="AN15" s="90">
        <v>0</v>
      </c>
      <c r="AO15" s="91"/>
      <c r="AP15" s="92"/>
      <c r="AQ15" s="93"/>
      <c r="AR15" s="90">
        <v>1</v>
      </c>
      <c r="AS15" s="91"/>
      <c r="AT15" s="92"/>
      <c r="AU15" s="93"/>
      <c r="AV15" s="90">
        <v>0</v>
      </c>
      <c r="AW15" s="91"/>
      <c r="AX15" s="92"/>
      <c r="AY15" s="93"/>
      <c r="BA15" s="101"/>
      <c r="BB15" s="97"/>
      <c r="BC15" s="97"/>
      <c r="BD15" s="97"/>
      <c r="BE15" s="97"/>
      <c r="BF15" s="97"/>
      <c r="BG15" s="97"/>
      <c r="BH15" s="104"/>
      <c r="BI15" s="104"/>
      <c r="BJ15" s="104"/>
      <c r="BK15" s="104"/>
      <c r="BL15" s="104"/>
      <c r="BM15" s="104"/>
      <c r="BN15" s="104"/>
      <c r="BO15" s="104"/>
      <c r="BP15" s="104"/>
      <c r="BQ15" s="104"/>
      <c r="BR15" s="104"/>
    </row>
    <row r="16" spans="1:70" ht="24" customHeight="1">
      <c r="A16" s="330" t="s">
        <v>1948</v>
      </c>
      <c r="B16" s="331"/>
      <c r="C16" s="88"/>
      <c r="D16" s="294" t="s">
        <v>98</v>
      </c>
      <c r="E16" s="295">
        <v>0</v>
      </c>
      <c r="F16" s="429" t="s">
        <v>1942</v>
      </c>
      <c r="G16" s="430" t="s">
        <v>154</v>
      </c>
      <c r="H16" s="431" t="s">
        <v>98</v>
      </c>
      <c r="I16" s="431" t="s">
        <v>98</v>
      </c>
      <c r="J16" s="89">
        <v>1</v>
      </c>
      <c r="K16" s="430" t="s">
        <v>144</v>
      </c>
      <c r="L16" s="90">
        <v>0</v>
      </c>
      <c r="M16" s="91"/>
      <c r="N16" s="92"/>
      <c r="O16" s="93"/>
      <c r="P16" s="90">
        <v>0</v>
      </c>
      <c r="Q16" s="91"/>
      <c r="R16" s="92"/>
      <c r="S16" s="93"/>
      <c r="T16" s="90">
        <f>P14</f>
        <v>0</v>
      </c>
      <c r="U16" s="91"/>
      <c r="V16" s="92"/>
      <c r="W16" s="93"/>
      <c r="X16" s="90">
        <f>T14</f>
        <v>0</v>
      </c>
      <c r="Y16" s="91"/>
      <c r="Z16" s="92"/>
      <c r="AA16" s="93"/>
      <c r="AB16" s="90">
        <f>X14</f>
        <v>0</v>
      </c>
      <c r="AC16" s="91"/>
      <c r="AD16" s="92"/>
      <c r="AE16" s="93"/>
      <c r="AF16" s="90">
        <f>AB14</f>
        <v>0</v>
      </c>
      <c r="AG16" s="91"/>
      <c r="AH16" s="92"/>
      <c r="AI16" s="93"/>
      <c r="AJ16" s="90">
        <f>AB14</f>
        <v>0</v>
      </c>
      <c r="AK16" s="91"/>
      <c r="AL16" s="92"/>
      <c r="AM16" s="93"/>
      <c r="AN16" s="90">
        <f>AJ14</f>
        <v>0</v>
      </c>
      <c r="AO16" s="91"/>
      <c r="AP16" s="92"/>
      <c r="AQ16" s="93"/>
      <c r="AR16" s="90">
        <v>0</v>
      </c>
      <c r="AS16" s="91"/>
      <c r="AT16" s="92"/>
      <c r="AU16" s="93"/>
      <c r="AV16" s="90">
        <v>1</v>
      </c>
      <c r="AW16" s="91"/>
      <c r="AX16" s="92"/>
      <c r="AY16" s="93"/>
      <c r="BA16" s="101"/>
      <c r="BB16" s="97"/>
      <c r="BC16" s="97"/>
      <c r="BD16" s="97"/>
      <c r="BE16" s="97"/>
      <c r="BF16" s="97"/>
      <c r="BG16" s="97"/>
      <c r="BH16" s="104"/>
      <c r="BI16" s="104"/>
      <c r="BJ16" s="104"/>
      <c r="BK16" s="104"/>
      <c r="BL16" s="104"/>
      <c r="BM16" s="104"/>
      <c r="BN16" s="104"/>
      <c r="BO16" s="104"/>
      <c r="BP16" s="104"/>
      <c r="BQ16" s="104"/>
      <c r="BR16" s="104"/>
    </row>
    <row r="17" spans="1:70">
      <c r="A17" s="330" t="s">
        <v>1853</v>
      </c>
      <c r="B17" s="331" t="s">
        <v>221</v>
      </c>
      <c r="C17" s="88"/>
      <c r="D17" s="340">
        <v>5</v>
      </c>
      <c r="E17" s="341" t="s">
        <v>98</v>
      </c>
      <c r="F17" s="432" t="s">
        <v>1854</v>
      </c>
      <c r="G17" s="433" t="s">
        <v>154</v>
      </c>
      <c r="H17" s="434" t="s">
        <v>98</v>
      </c>
      <c r="I17" s="434" t="s">
        <v>98</v>
      </c>
      <c r="J17" s="94">
        <v>0</v>
      </c>
      <c r="K17" s="433" t="s">
        <v>109</v>
      </c>
      <c r="L17" s="435">
        <v>0</v>
      </c>
      <c r="M17" s="95">
        <f t="shared" ref="M17:M35" si="0">$AC17</f>
        <v>1</v>
      </c>
      <c r="N17" s="96">
        <f t="shared" ref="N17:N35" si="1">$AD17</f>
        <v>1.2849840792941758</v>
      </c>
      <c r="O17" s="432" t="str">
        <f t="shared" ref="O17:O35" si="2">$AE17</f>
        <v>(3,4,3,1,1,5); Energy use for erection of PV plant</v>
      </c>
      <c r="P17" s="435">
        <v>0</v>
      </c>
      <c r="Q17" s="95">
        <f t="shared" ref="Q17:Q35" si="3">$AC17</f>
        <v>1</v>
      </c>
      <c r="R17" s="96">
        <f t="shared" ref="R17:R35" si="4">$AD17</f>
        <v>1.2849840792941758</v>
      </c>
      <c r="S17" s="432" t="str">
        <f t="shared" ref="S17:S35" si="5">$AE17</f>
        <v>(3,4,3,1,1,5); Energy use for erection of PV plant</v>
      </c>
      <c r="T17" s="435">
        <v>0</v>
      </c>
      <c r="U17" s="95">
        <f t="shared" ref="U17:U35" si="6">$AC17</f>
        <v>1</v>
      </c>
      <c r="V17" s="96">
        <f t="shared" ref="V17:V35" si="7">$AD17</f>
        <v>1.2849840792941758</v>
      </c>
      <c r="W17" s="432" t="str">
        <f t="shared" ref="W17:W35" si="8">$AE17</f>
        <v>(3,4,3,1,1,5); Energy use for erection of PV plant</v>
      </c>
      <c r="X17" s="435">
        <v>0</v>
      </c>
      <c r="Y17" s="95">
        <f t="shared" ref="Y17:Y35" si="9">$AC17</f>
        <v>1</v>
      </c>
      <c r="Z17" s="96">
        <f t="shared" ref="Z17:Z35" si="10">$AD17</f>
        <v>1.2849840792941758</v>
      </c>
      <c r="AA17" s="432" t="str">
        <f t="shared" ref="AA17:AA35" si="11">$AE17</f>
        <v>(3,4,3,1,1,5); Energy use for erection of PV plant</v>
      </c>
      <c r="AB17" s="435">
        <v>0</v>
      </c>
      <c r="AC17" s="95">
        <f>1</f>
        <v>1</v>
      </c>
      <c r="AD17" s="96">
        <f t="shared" ref="AD17:AD22" si="12">$BK17</f>
        <v>1.2849840792941758</v>
      </c>
      <c r="AE17" s="432" t="str">
        <f t="shared" ref="AE17:AE22" si="13">$BL17&amp;"; "&amp;$BA17</f>
        <v>(3,4,3,1,1,5); Energy use for erection of PV plant</v>
      </c>
      <c r="AF17" s="435">
        <f>0.23/3*10</f>
        <v>0.76666666666666672</v>
      </c>
      <c r="AG17" s="95">
        <f>1</f>
        <v>1</v>
      </c>
      <c r="AH17" s="96">
        <f t="shared" ref="AH17:AH22" si="14">$BK17</f>
        <v>1.2849840792941758</v>
      </c>
      <c r="AI17" s="432" t="str">
        <f t="shared" ref="AI17:AI22" si="15">$BL17&amp;"; "&amp;$BA17</f>
        <v>(3,4,3,1,1,5); Energy use for erection of PV plant</v>
      </c>
      <c r="AJ17" s="435">
        <f>0.23/3*250</f>
        <v>19.166666666666668</v>
      </c>
      <c r="AK17" s="95">
        <f>1</f>
        <v>1</v>
      </c>
      <c r="AL17" s="96">
        <f t="shared" ref="AL17:AL22" si="16">$BK17</f>
        <v>1.2849840792941758</v>
      </c>
      <c r="AM17" s="432" t="str">
        <f t="shared" ref="AM17:AM22" si="17">$BL17&amp;"; "&amp;$BA17</f>
        <v>(3,4,3,1,1,5); Energy use for erection of PV plant</v>
      </c>
      <c r="AN17" s="435">
        <f>0.23/3*250</f>
        <v>19.166666666666668</v>
      </c>
      <c r="AO17" s="95">
        <f>1</f>
        <v>1</v>
      </c>
      <c r="AP17" s="96">
        <f t="shared" ref="AP17:AP22" si="18">$BK17</f>
        <v>1.2849840792941758</v>
      </c>
      <c r="AQ17" s="432" t="str">
        <f t="shared" ref="AQ17:AQ22" si="19">$BL17&amp;"; "&amp;$BA17</f>
        <v>(3,4,3,1,1,5); Energy use for erection of PV plant</v>
      </c>
      <c r="AR17" s="435">
        <f>0.23/3*250</f>
        <v>19.166666666666668</v>
      </c>
      <c r="AS17" s="95">
        <f>1</f>
        <v>1</v>
      </c>
      <c r="AT17" s="96">
        <f t="shared" ref="AT17:AT22" si="20">$BK17</f>
        <v>1.2849840792941758</v>
      </c>
      <c r="AU17" s="432" t="str">
        <f t="shared" ref="AU17:AU22" si="21">$BL17&amp;"; "&amp;$BA17</f>
        <v>(3,4,3,1,1,5); Energy use for erection of PV plant</v>
      </c>
      <c r="AV17" s="435">
        <f>0.23/3*10000</f>
        <v>766.66666666666674</v>
      </c>
      <c r="AW17" s="95">
        <f>1</f>
        <v>1</v>
      </c>
      <c r="AX17" s="96">
        <f t="shared" ref="AX17:AX35" si="22">$BK17</f>
        <v>1.2849840792941758</v>
      </c>
      <c r="AY17" s="432" t="str">
        <f t="shared" ref="AY17:AY35" si="23">$BL17&amp;"; "&amp;$BA17</f>
        <v>(3,4,3,1,1,5); Energy use for erection of PV plant</v>
      </c>
      <c r="BA17" s="77" t="s">
        <v>1949</v>
      </c>
      <c r="BB17" s="339">
        <v>3</v>
      </c>
      <c r="BC17" s="339">
        <v>4</v>
      </c>
      <c r="BD17" s="339">
        <v>3</v>
      </c>
      <c r="BE17" s="339">
        <v>1</v>
      </c>
      <c r="BF17" s="339">
        <v>1</v>
      </c>
      <c r="BG17" s="339">
        <v>5</v>
      </c>
      <c r="BH17" s="104">
        <v>3</v>
      </c>
      <c r="BI17" s="104">
        <v>1.05</v>
      </c>
      <c r="BJ17" s="107">
        <f t="shared" ref="BJ17:BJ35" si="24">EXP(SQRT((LN(BM17)^2)+(LN(BN17)^2)+(LN(BO17)^2)+(LN(BP17)^2)+(LN(BQ17)^2)+(LN(BR17)^2)))</f>
        <v>1.2788404103505406</v>
      </c>
      <c r="BK17" s="107">
        <f t="shared" ref="BK17:BK35" si="25">EXP(SQRT((LN(BM17)^2)+(LN(BN17)^2)+(LN(BO17)^2)+(LN(BP17)^2)+(LN(BQ17)^2)+(LN(BR17)^2)+LN(BI17)^2))</f>
        <v>1.2849840792941758</v>
      </c>
      <c r="BL17" s="107" t="str">
        <f t="shared" ref="BL17:BL35" si="26">CONCATENATE("(",BB17,",",BC17,",",BD17,",",BE17,",",BF17,",",BG17,")")</f>
        <v>(3,4,3,1,1,5)</v>
      </c>
      <c r="BM17" s="108">
        <v>1.1000000000000001</v>
      </c>
      <c r="BN17" s="108">
        <v>1.1000000000000001</v>
      </c>
      <c r="BO17" s="108">
        <v>1.1000000000000001</v>
      </c>
      <c r="BP17" s="108">
        <v>1</v>
      </c>
      <c r="BQ17" s="108">
        <v>1</v>
      </c>
      <c r="BR17" s="108">
        <v>1.2</v>
      </c>
    </row>
    <row r="18" spans="1:70">
      <c r="A18" s="330">
        <v>269491</v>
      </c>
      <c r="B18" s="331"/>
      <c r="C18" s="88"/>
      <c r="D18" s="340">
        <v>5</v>
      </c>
      <c r="E18" s="341" t="s">
        <v>98</v>
      </c>
      <c r="F18" s="432" t="s">
        <v>1856</v>
      </c>
      <c r="G18" s="433" t="s">
        <v>103</v>
      </c>
      <c r="H18" s="434" t="s">
        <v>98</v>
      </c>
      <c r="I18" s="434" t="s">
        <v>98</v>
      </c>
      <c r="J18" s="94">
        <v>0</v>
      </c>
      <c r="K18" s="433" t="s">
        <v>109</v>
      </c>
      <c r="L18" s="435">
        <f>0.04/3*10</f>
        <v>0.13333333333333333</v>
      </c>
      <c r="M18" s="95">
        <f t="shared" si="0"/>
        <v>1</v>
      </c>
      <c r="N18" s="96">
        <f t="shared" si="1"/>
        <v>1.2849840792941758</v>
      </c>
      <c r="O18" s="432" t="str">
        <f t="shared" si="2"/>
        <v>(3,4,3,1,1,5); Energy use for erection of PV plant</v>
      </c>
      <c r="P18" s="435">
        <f>0.04/3*10</f>
        <v>0.13333333333333333</v>
      </c>
      <c r="Q18" s="95">
        <f t="shared" si="3"/>
        <v>1</v>
      </c>
      <c r="R18" s="96">
        <f t="shared" si="4"/>
        <v>1.2849840792941758</v>
      </c>
      <c r="S18" s="432" t="str">
        <f t="shared" si="5"/>
        <v>(3,4,3,1,1,5); Energy use for erection of PV plant</v>
      </c>
      <c r="T18" s="435">
        <f>1.02/3*10</f>
        <v>3.4000000000000004</v>
      </c>
      <c r="U18" s="95">
        <f t="shared" si="6"/>
        <v>1</v>
      </c>
      <c r="V18" s="96">
        <f t="shared" si="7"/>
        <v>1.2849840792941758</v>
      </c>
      <c r="W18" s="432" t="str">
        <f t="shared" si="8"/>
        <v>(3,4,3,1,1,5); Energy use for erection of PV plant</v>
      </c>
      <c r="X18" s="435">
        <f>0.23/3*10</f>
        <v>0.76666666666666672</v>
      </c>
      <c r="Y18" s="95">
        <f t="shared" si="9"/>
        <v>1</v>
      </c>
      <c r="Z18" s="96">
        <f t="shared" si="10"/>
        <v>1.2849840792941758</v>
      </c>
      <c r="AA18" s="432" t="str">
        <f t="shared" si="11"/>
        <v>(3,4,3,1,1,5); Energy use for erection of PV plant</v>
      </c>
      <c r="AB18" s="435">
        <f>0.23/3*10</f>
        <v>0.76666666666666672</v>
      </c>
      <c r="AC18" s="95">
        <f>1</f>
        <v>1</v>
      </c>
      <c r="AD18" s="96">
        <f t="shared" si="12"/>
        <v>1.2849840792941758</v>
      </c>
      <c r="AE18" s="432" t="str">
        <f t="shared" si="13"/>
        <v>(3,4,3,1,1,5); Energy use for erection of PV plant</v>
      </c>
      <c r="AF18" s="435">
        <v>0</v>
      </c>
      <c r="AG18" s="95">
        <f>1</f>
        <v>1</v>
      </c>
      <c r="AH18" s="96">
        <f t="shared" si="14"/>
        <v>1.2849840792941758</v>
      </c>
      <c r="AI18" s="432" t="str">
        <f t="shared" si="15"/>
        <v>(3,4,3,1,1,5); Energy use for erection of PV plant</v>
      </c>
      <c r="AJ18" s="435">
        <v>0</v>
      </c>
      <c r="AK18" s="95">
        <f>1</f>
        <v>1</v>
      </c>
      <c r="AL18" s="96">
        <f t="shared" si="16"/>
        <v>1.2849840792941758</v>
      </c>
      <c r="AM18" s="432" t="str">
        <f t="shared" si="17"/>
        <v>(3,4,3,1,1,5); Energy use for erection of PV plant</v>
      </c>
      <c r="AN18" s="435">
        <v>0</v>
      </c>
      <c r="AO18" s="95">
        <f>1</f>
        <v>1</v>
      </c>
      <c r="AP18" s="96">
        <f t="shared" si="18"/>
        <v>1.2849840792941758</v>
      </c>
      <c r="AQ18" s="432" t="str">
        <f t="shared" si="19"/>
        <v>(3,4,3,1,1,5); Energy use for erection of PV plant</v>
      </c>
      <c r="AR18" s="435">
        <v>0</v>
      </c>
      <c r="AS18" s="95">
        <f>1</f>
        <v>1</v>
      </c>
      <c r="AT18" s="96">
        <f t="shared" si="20"/>
        <v>1.2849840792941758</v>
      </c>
      <c r="AU18" s="432" t="str">
        <f t="shared" si="21"/>
        <v>(3,4,3,1,1,5); Energy use for erection of PV plant</v>
      </c>
      <c r="AV18" s="435">
        <v>0</v>
      </c>
      <c r="AW18" s="95">
        <f>1</f>
        <v>1</v>
      </c>
      <c r="AX18" s="96">
        <f t="shared" si="22"/>
        <v>1.2849840792941758</v>
      </c>
      <c r="AY18" s="432" t="str">
        <f t="shared" si="23"/>
        <v>(3,4,3,1,1,5); Energy use for erection of PV plant</v>
      </c>
      <c r="BA18" s="77" t="s">
        <v>1949</v>
      </c>
      <c r="BB18" s="339">
        <v>3</v>
      </c>
      <c r="BC18" s="339">
        <v>4</v>
      </c>
      <c r="BD18" s="339">
        <v>3</v>
      </c>
      <c r="BE18" s="339">
        <v>1</v>
      </c>
      <c r="BF18" s="339">
        <v>1</v>
      </c>
      <c r="BG18" s="339">
        <v>5</v>
      </c>
      <c r="BH18" s="104">
        <v>3</v>
      </c>
      <c r="BI18" s="104">
        <v>1.05</v>
      </c>
      <c r="BJ18" s="107">
        <f t="shared" si="24"/>
        <v>1.2788404103505406</v>
      </c>
      <c r="BK18" s="107">
        <f t="shared" si="25"/>
        <v>1.2849840792941758</v>
      </c>
      <c r="BL18" s="107" t="str">
        <f t="shared" si="26"/>
        <v>(3,4,3,1,1,5)</v>
      </c>
      <c r="BM18" s="108">
        <v>1.1000000000000001</v>
      </c>
      <c r="BN18" s="108">
        <v>1.1000000000000001</v>
      </c>
      <c r="BO18" s="108">
        <v>1.1000000000000001</v>
      </c>
      <c r="BP18" s="108">
        <v>1</v>
      </c>
      <c r="BQ18" s="108">
        <v>1</v>
      </c>
      <c r="BR18" s="108">
        <v>1.2</v>
      </c>
    </row>
    <row r="19" spans="1:70" ht="24">
      <c r="A19" s="330">
        <v>267287</v>
      </c>
      <c r="B19" s="331"/>
      <c r="C19" s="88"/>
      <c r="D19" s="340">
        <v>5</v>
      </c>
      <c r="E19" s="341" t="s">
        <v>98</v>
      </c>
      <c r="F19" s="432" t="s">
        <v>690</v>
      </c>
      <c r="G19" s="433" t="s">
        <v>154</v>
      </c>
      <c r="H19" s="434" t="s">
        <v>98</v>
      </c>
      <c r="I19" s="434" t="s">
        <v>98</v>
      </c>
      <c r="J19" s="94">
        <v>0</v>
      </c>
      <c r="K19" s="433" t="s">
        <v>104</v>
      </c>
      <c r="L19" s="435">
        <v>0</v>
      </c>
      <c r="M19" s="95">
        <f t="shared" si="0"/>
        <v>1</v>
      </c>
      <c r="N19" s="96">
        <f t="shared" si="1"/>
        <v>1.2849840792941758</v>
      </c>
      <c r="O19" s="432" t="str">
        <f t="shared" si="2"/>
        <v>(3,4,3,1,1,5); Diesel use for installation of PV plant</v>
      </c>
      <c r="P19" s="435">
        <v>0</v>
      </c>
      <c r="Q19" s="95">
        <f t="shared" si="3"/>
        <v>1</v>
      </c>
      <c r="R19" s="96">
        <f t="shared" si="4"/>
        <v>1.2849840792941758</v>
      </c>
      <c r="S19" s="432" t="str">
        <f t="shared" si="5"/>
        <v>(3,4,3,1,1,5); Diesel use for installation of PV plant</v>
      </c>
      <c r="T19" s="435">
        <v>0</v>
      </c>
      <c r="U19" s="95">
        <f t="shared" si="6"/>
        <v>1</v>
      </c>
      <c r="V19" s="96">
        <f t="shared" si="7"/>
        <v>1.2849840792941758</v>
      </c>
      <c r="W19" s="432" t="str">
        <f t="shared" si="8"/>
        <v>(3,4,3,1,1,5); Diesel use for installation of PV plant</v>
      </c>
      <c r="X19" s="435">
        <v>0</v>
      </c>
      <c r="Y19" s="95">
        <f t="shared" si="9"/>
        <v>1</v>
      </c>
      <c r="Z19" s="96">
        <f t="shared" si="10"/>
        <v>1.2849840792941758</v>
      </c>
      <c r="AA19" s="432" t="str">
        <f t="shared" si="11"/>
        <v>(3,4,3,1,1,5); Diesel use for installation of PV plant</v>
      </c>
      <c r="AB19" s="435">
        <v>0</v>
      </c>
      <c r="AC19" s="95">
        <f>1</f>
        <v>1</v>
      </c>
      <c r="AD19" s="96">
        <f t="shared" si="12"/>
        <v>1.2849840792941758</v>
      </c>
      <c r="AE19" s="432" t="str">
        <f t="shared" si="13"/>
        <v>(3,4,3,1,1,5); Diesel use for installation of PV plant</v>
      </c>
      <c r="AF19" s="435">
        <v>0</v>
      </c>
      <c r="AG19" s="95">
        <f>1</f>
        <v>1</v>
      </c>
      <c r="AH19" s="96">
        <f t="shared" si="14"/>
        <v>1.2849840792941758</v>
      </c>
      <c r="AI19" s="432" t="str">
        <f t="shared" si="15"/>
        <v>(3,4,3,1,1,5); Diesel use for installation of PV plant</v>
      </c>
      <c r="AJ19" s="435">
        <v>0</v>
      </c>
      <c r="AK19" s="95">
        <f>1</f>
        <v>1</v>
      </c>
      <c r="AL19" s="96">
        <f t="shared" si="16"/>
        <v>1.2849840792941758</v>
      </c>
      <c r="AM19" s="432" t="str">
        <f t="shared" si="17"/>
        <v>(3,4,3,1,1,5); Diesel use for installation of PV plant</v>
      </c>
      <c r="AN19" s="435">
        <f>AJ19</f>
        <v>0</v>
      </c>
      <c r="AO19" s="95">
        <f>1</f>
        <v>1</v>
      </c>
      <c r="AP19" s="96">
        <f t="shared" si="18"/>
        <v>1.2849840792941758</v>
      </c>
      <c r="AQ19" s="432" t="str">
        <f t="shared" si="19"/>
        <v>(3,4,3,1,1,5); Diesel use for installation of PV plant</v>
      </c>
      <c r="AR19" s="435">
        <f>AN19</f>
        <v>0</v>
      </c>
      <c r="AS19" s="95">
        <f>1</f>
        <v>1</v>
      </c>
      <c r="AT19" s="96">
        <f t="shared" si="20"/>
        <v>1.2849840792941758</v>
      </c>
      <c r="AU19" s="432" t="str">
        <f t="shared" si="21"/>
        <v>(3,4,3,1,1,5); Diesel use for installation of PV plant</v>
      </c>
      <c r="AV19" s="435">
        <f>1200*36</f>
        <v>43200</v>
      </c>
      <c r="AW19" s="95">
        <f>1</f>
        <v>1</v>
      </c>
      <c r="AX19" s="96">
        <f t="shared" si="22"/>
        <v>1.2849840792941758</v>
      </c>
      <c r="AY19" s="432" t="str">
        <f t="shared" si="23"/>
        <v>(3,4,3,1,1,5); Diesel use for installation of PV plant</v>
      </c>
      <c r="BA19" s="77" t="s">
        <v>1858</v>
      </c>
      <c r="BB19" s="339">
        <v>3</v>
      </c>
      <c r="BC19" s="339">
        <v>4</v>
      </c>
      <c r="BD19" s="339">
        <v>3</v>
      </c>
      <c r="BE19" s="339">
        <v>1</v>
      </c>
      <c r="BF19" s="339">
        <v>1</v>
      </c>
      <c r="BG19" s="339">
        <v>5</v>
      </c>
      <c r="BH19" s="104">
        <v>1</v>
      </c>
      <c r="BI19" s="104">
        <v>1.05</v>
      </c>
      <c r="BJ19" s="107">
        <f t="shared" si="24"/>
        <v>1.2788404103505406</v>
      </c>
      <c r="BK19" s="107">
        <f t="shared" si="25"/>
        <v>1.2849840792941758</v>
      </c>
      <c r="BL19" s="107" t="str">
        <f t="shared" si="26"/>
        <v>(3,4,3,1,1,5)</v>
      </c>
      <c r="BM19" s="108">
        <v>1.1000000000000001</v>
      </c>
      <c r="BN19" s="108">
        <v>1.1000000000000001</v>
      </c>
      <c r="BO19" s="108">
        <v>1.1000000000000001</v>
      </c>
      <c r="BP19" s="108">
        <v>1</v>
      </c>
      <c r="BQ19" s="108">
        <v>1</v>
      </c>
      <c r="BR19" s="108">
        <v>1.2</v>
      </c>
    </row>
    <row r="20" spans="1:70" ht="24" customHeight="1">
      <c r="A20" s="330" t="s">
        <v>1708</v>
      </c>
      <c r="B20" s="331"/>
      <c r="C20" s="88"/>
      <c r="D20" s="340">
        <v>5</v>
      </c>
      <c r="E20" s="341" t="s">
        <v>98</v>
      </c>
      <c r="F20" s="432" t="s">
        <v>1712</v>
      </c>
      <c r="G20" s="433" t="s">
        <v>154</v>
      </c>
      <c r="H20" s="434" t="s">
        <v>98</v>
      </c>
      <c r="I20" s="434" t="s">
        <v>98</v>
      </c>
      <c r="J20" s="94">
        <v>1</v>
      </c>
      <c r="K20" s="433" t="s">
        <v>144</v>
      </c>
      <c r="L20" s="435">
        <v>2</v>
      </c>
      <c r="M20" s="95">
        <f t="shared" si="0"/>
        <v>1</v>
      </c>
      <c r="N20" s="96">
        <f t="shared" si="1"/>
        <v>1.2354522921220721</v>
      </c>
      <c r="O20" s="432" t="str">
        <f t="shared" si="2"/>
        <v>(2,4,1,1,1,na); 1 replacement during the lifetime of the PV system; demand scaled linearly by power output</v>
      </c>
      <c r="P20" s="435">
        <v>2</v>
      </c>
      <c r="Q20" s="95">
        <f t="shared" si="3"/>
        <v>1</v>
      </c>
      <c r="R20" s="96">
        <f t="shared" si="4"/>
        <v>1.2354522921220721</v>
      </c>
      <c r="S20" s="432" t="str">
        <f t="shared" si="5"/>
        <v>(2,4,1,1,1,na); 1 replacement during the lifetime of the PV system; demand scaled linearly by power output</v>
      </c>
      <c r="T20" s="435">
        <f>P20</f>
        <v>2</v>
      </c>
      <c r="U20" s="95">
        <f t="shared" si="6"/>
        <v>1</v>
      </c>
      <c r="V20" s="96">
        <f t="shared" si="7"/>
        <v>1.2354522921220721</v>
      </c>
      <c r="W20" s="432" t="str">
        <f t="shared" si="8"/>
        <v>(2,4,1,1,1,na); 1 replacement during the lifetime of the PV system; demand scaled linearly by power output</v>
      </c>
      <c r="X20" s="435">
        <f>T20</f>
        <v>2</v>
      </c>
      <c r="Y20" s="95">
        <f t="shared" si="9"/>
        <v>1</v>
      </c>
      <c r="Z20" s="96">
        <f t="shared" si="10"/>
        <v>1.2354522921220721</v>
      </c>
      <c r="AA20" s="432" t="str">
        <f t="shared" si="11"/>
        <v>(2,4,1,1,1,na); 1 replacement during the lifetime of the PV system; demand scaled linearly by power output</v>
      </c>
      <c r="AB20" s="435">
        <f>X20</f>
        <v>2</v>
      </c>
      <c r="AC20" s="95">
        <f>1</f>
        <v>1</v>
      </c>
      <c r="AD20" s="96">
        <f t="shared" si="12"/>
        <v>1.2354522921220721</v>
      </c>
      <c r="AE20" s="432" t="str">
        <f t="shared" si="13"/>
        <v>(2,4,1,1,1,na); 1 replacement during the lifetime of the PV system; demand scaled linearly by power output</v>
      </c>
      <c r="AF20" s="435">
        <f>AB20</f>
        <v>2</v>
      </c>
      <c r="AG20" s="95">
        <f>1</f>
        <v>1</v>
      </c>
      <c r="AH20" s="96">
        <f t="shared" si="14"/>
        <v>1.2354522921220721</v>
      </c>
      <c r="AI20" s="432" t="str">
        <f t="shared" si="15"/>
        <v>(2,4,1,1,1,na); 1 replacement during the lifetime of the PV system; demand scaled linearly by power output</v>
      </c>
      <c r="AJ20" s="435">
        <v>0</v>
      </c>
      <c r="AK20" s="95">
        <f>1</f>
        <v>1</v>
      </c>
      <c r="AL20" s="96">
        <f t="shared" si="16"/>
        <v>1.2354522921220721</v>
      </c>
      <c r="AM20" s="432" t="str">
        <f t="shared" si="17"/>
        <v>(2,4,1,1,1,na); 1 replacement during the lifetime of the PV system; demand scaled linearly by power output</v>
      </c>
      <c r="AN20" s="435">
        <f>AJ20</f>
        <v>0</v>
      </c>
      <c r="AO20" s="95">
        <f>1</f>
        <v>1</v>
      </c>
      <c r="AP20" s="96">
        <f t="shared" si="18"/>
        <v>1.2354522921220721</v>
      </c>
      <c r="AQ20" s="432" t="str">
        <f t="shared" si="19"/>
        <v>(2,4,1,1,1,na); 1 replacement during the lifetime of the PV system; demand scaled linearly by power output</v>
      </c>
      <c r="AR20" s="435">
        <f>AN20</f>
        <v>0</v>
      </c>
      <c r="AS20" s="95">
        <f>1</f>
        <v>1</v>
      </c>
      <c r="AT20" s="96">
        <f t="shared" si="20"/>
        <v>1.2354522921220721</v>
      </c>
      <c r="AU20" s="432" t="str">
        <f t="shared" si="21"/>
        <v>(2,4,1,1,1,na); 1 replacement during the lifetime of the PV system; demand scaled linearly by power output</v>
      </c>
      <c r="AV20" s="435">
        <f>AR20</f>
        <v>0</v>
      </c>
      <c r="AW20" s="95">
        <f>1</f>
        <v>1</v>
      </c>
      <c r="AX20" s="96">
        <f t="shared" si="22"/>
        <v>1.2354522921220721</v>
      </c>
      <c r="AY20" s="432" t="str">
        <f t="shared" si="23"/>
        <v>(2,4,1,1,1,na); 1 replacement during the lifetime of the PV system; demand scaled linearly by power output</v>
      </c>
      <c r="AZ20" s="494">
        <v>0</v>
      </c>
      <c r="BA20" s="77" t="s">
        <v>1893</v>
      </c>
      <c r="BB20" s="339">
        <v>2</v>
      </c>
      <c r="BC20" s="339">
        <v>4</v>
      </c>
      <c r="BD20" s="339">
        <v>1</v>
      </c>
      <c r="BE20" s="339">
        <v>1</v>
      </c>
      <c r="BF20" s="339">
        <v>1</v>
      </c>
      <c r="BG20" s="339" t="s">
        <v>106</v>
      </c>
      <c r="BH20" s="104">
        <v>9</v>
      </c>
      <c r="BI20" s="104">
        <v>1.2</v>
      </c>
      <c r="BJ20" s="107">
        <f t="shared" si="24"/>
        <v>1.1130148943987077</v>
      </c>
      <c r="BK20" s="107">
        <f t="shared" si="25"/>
        <v>1.2354522921220721</v>
      </c>
      <c r="BL20" s="107" t="str">
        <f t="shared" si="26"/>
        <v>(2,4,1,1,1,na)</v>
      </c>
      <c r="BM20" s="108">
        <v>1.05</v>
      </c>
      <c r="BN20" s="108">
        <v>1.1000000000000001</v>
      </c>
      <c r="BO20" s="108">
        <v>1</v>
      </c>
      <c r="BP20" s="108">
        <v>1</v>
      </c>
      <c r="BQ20" s="108">
        <v>1</v>
      </c>
      <c r="BR20" s="108">
        <v>1</v>
      </c>
    </row>
    <row r="21" spans="1:70" ht="24" customHeight="1">
      <c r="A21" s="330" t="s">
        <v>1709</v>
      </c>
      <c r="B21" s="331"/>
      <c r="C21" s="88"/>
      <c r="D21" s="340">
        <v>5</v>
      </c>
      <c r="E21" s="341" t="s">
        <v>98</v>
      </c>
      <c r="F21" s="432" t="s">
        <v>1713</v>
      </c>
      <c r="G21" s="433" t="s">
        <v>154</v>
      </c>
      <c r="H21" s="434" t="s">
        <v>98</v>
      </c>
      <c r="I21" s="434" t="s">
        <v>98</v>
      </c>
      <c r="J21" s="94">
        <v>1</v>
      </c>
      <c r="K21" s="433" t="s">
        <v>144</v>
      </c>
      <c r="L21" s="435">
        <v>0</v>
      </c>
      <c r="M21" s="95">
        <f t="shared" si="0"/>
        <v>1</v>
      </c>
      <c r="N21" s="96">
        <f t="shared" si="1"/>
        <v>1.2354522921220721</v>
      </c>
      <c r="O21" s="432" t="str">
        <f t="shared" si="2"/>
        <v>(2,4,1,1,1,na); 1 replacement during the lifetime of the PV system; demand scaled linearly by power output</v>
      </c>
      <c r="P21" s="435">
        <v>0</v>
      </c>
      <c r="Q21" s="95">
        <f t="shared" si="3"/>
        <v>1</v>
      </c>
      <c r="R21" s="96">
        <f t="shared" si="4"/>
        <v>1.2354522921220721</v>
      </c>
      <c r="S21" s="432" t="str">
        <f t="shared" si="5"/>
        <v>(2,4,1,1,1,na); 1 replacement during the lifetime of the PV system; demand scaled linearly by power output</v>
      </c>
      <c r="T21" s="435">
        <v>0</v>
      </c>
      <c r="U21" s="95">
        <f t="shared" si="6"/>
        <v>1</v>
      </c>
      <c r="V21" s="96">
        <f t="shared" si="7"/>
        <v>1.2354522921220721</v>
      </c>
      <c r="W21" s="432" t="str">
        <f t="shared" si="8"/>
        <v>(2,4,1,1,1,na); 1 replacement during the lifetime of the PV system; demand scaled linearly by power output</v>
      </c>
      <c r="X21" s="435">
        <v>0</v>
      </c>
      <c r="Y21" s="95">
        <f t="shared" si="9"/>
        <v>1</v>
      </c>
      <c r="Z21" s="96">
        <f t="shared" si="10"/>
        <v>1.2354522921220721</v>
      </c>
      <c r="AA21" s="432" t="str">
        <f t="shared" si="11"/>
        <v>(2,4,1,1,1,na); 1 replacement during the lifetime of the PV system; demand scaled linearly by power output</v>
      </c>
      <c r="AB21" s="435">
        <v>0</v>
      </c>
      <c r="AC21" s="95">
        <f>1</f>
        <v>1</v>
      </c>
      <c r="AD21" s="96">
        <f t="shared" si="12"/>
        <v>1.2354522921220721</v>
      </c>
      <c r="AE21" s="432" t="str">
        <f t="shared" si="13"/>
        <v>(2,4,1,1,1,na); 1 replacement during the lifetime of the PV system; demand scaled linearly by power output</v>
      </c>
      <c r="AF21" s="435">
        <v>0</v>
      </c>
      <c r="AG21" s="95">
        <f>1</f>
        <v>1</v>
      </c>
      <c r="AH21" s="96">
        <f t="shared" si="14"/>
        <v>1.2354522921220721</v>
      </c>
      <c r="AI21" s="432" t="str">
        <f t="shared" si="15"/>
        <v>(2,4,1,1,1,na); 1 replacement during the lifetime of the PV system; demand scaled linearly by power output</v>
      </c>
      <c r="AJ21" s="435">
        <f>2*2</f>
        <v>4</v>
      </c>
      <c r="AK21" s="95">
        <f>1</f>
        <v>1</v>
      </c>
      <c r="AL21" s="96">
        <f t="shared" si="16"/>
        <v>1.2354522921220721</v>
      </c>
      <c r="AM21" s="432" t="str">
        <f t="shared" si="17"/>
        <v>(2,4,1,1,1,na); 1 replacement during the lifetime of the PV system; demand scaled linearly by power output</v>
      </c>
      <c r="AN21" s="435">
        <f>2*2</f>
        <v>4</v>
      </c>
      <c r="AO21" s="95">
        <f>1</f>
        <v>1</v>
      </c>
      <c r="AP21" s="96">
        <f t="shared" si="18"/>
        <v>1.2354522921220721</v>
      </c>
      <c r="AQ21" s="432" t="str">
        <f t="shared" si="19"/>
        <v>(2,4,1,1,1,na); 1 replacement during the lifetime of the PV system; demand scaled linearly by power output</v>
      </c>
      <c r="AR21" s="435">
        <f>2*2</f>
        <v>4</v>
      </c>
      <c r="AS21" s="95">
        <f>1</f>
        <v>1</v>
      </c>
      <c r="AT21" s="96">
        <f t="shared" si="20"/>
        <v>1.2354522921220721</v>
      </c>
      <c r="AU21" s="432" t="str">
        <f t="shared" si="21"/>
        <v>(2,4,1,1,1,na); 1 replacement during the lifetime of the PV system; demand scaled linearly by power output</v>
      </c>
      <c r="AV21" s="435">
        <f>2*75</f>
        <v>150</v>
      </c>
      <c r="AW21" s="95">
        <f>1</f>
        <v>1</v>
      </c>
      <c r="AX21" s="96">
        <f t="shared" si="22"/>
        <v>1.2354522921220721</v>
      </c>
      <c r="AY21" s="432" t="str">
        <f t="shared" si="23"/>
        <v>(2,4,1,1,1,na); 1 replacement during the lifetime of the PV system; demand scaled linearly by power output</v>
      </c>
      <c r="AZ21" s="494">
        <v>0</v>
      </c>
      <c r="BA21" s="77" t="s">
        <v>1893</v>
      </c>
      <c r="BB21" s="339">
        <v>2</v>
      </c>
      <c r="BC21" s="339">
        <v>4</v>
      </c>
      <c r="BD21" s="339">
        <v>1</v>
      </c>
      <c r="BE21" s="339">
        <v>1</v>
      </c>
      <c r="BF21" s="339">
        <v>1</v>
      </c>
      <c r="BG21" s="339" t="s">
        <v>106</v>
      </c>
      <c r="BH21" s="104">
        <v>9</v>
      </c>
      <c r="BI21" s="104">
        <v>1.2</v>
      </c>
      <c r="BJ21" s="107">
        <f t="shared" si="24"/>
        <v>1.1130148943987077</v>
      </c>
      <c r="BK21" s="107">
        <f t="shared" si="25"/>
        <v>1.2354522921220721</v>
      </c>
      <c r="BL21" s="107" t="str">
        <f t="shared" si="26"/>
        <v>(2,4,1,1,1,na)</v>
      </c>
      <c r="BM21" s="108">
        <v>1.05</v>
      </c>
      <c r="BN21" s="108">
        <v>1.1000000000000001</v>
      </c>
      <c r="BO21" s="108">
        <v>1</v>
      </c>
      <c r="BP21" s="108">
        <v>1</v>
      </c>
      <c r="BQ21" s="108">
        <v>1</v>
      </c>
      <c r="BR21" s="108">
        <v>1</v>
      </c>
    </row>
    <row r="22" spans="1:70" ht="24" customHeight="1">
      <c r="A22" s="330">
        <v>261084</v>
      </c>
      <c r="B22" s="331"/>
      <c r="C22" s="88"/>
      <c r="D22" s="340">
        <v>5</v>
      </c>
      <c r="E22" s="341" t="s">
        <v>98</v>
      </c>
      <c r="F22" s="432" t="s">
        <v>1674</v>
      </c>
      <c r="G22" s="433" t="s">
        <v>103</v>
      </c>
      <c r="H22" s="434" t="s">
        <v>98</v>
      </c>
      <c r="I22" s="434" t="s">
        <v>98</v>
      </c>
      <c r="J22" s="94">
        <v>1</v>
      </c>
      <c r="K22" s="433" t="s">
        <v>144</v>
      </c>
      <c r="L22" s="435">
        <v>2.26755352255311</v>
      </c>
      <c r="M22" s="95">
        <f t="shared" si="0"/>
        <v>1</v>
      </c>
      <c r="N22" s="96">
        <f t="shared" si="1"/>
        <v>2.0865051432908035</v>
      </c>
      <c r="O22" s="432" t="str">
        <f t="shared" si="2"/>
        <v>(3,4,3,1,1,5); Literature</v>
      </c>
      <c r="P22" s="435">
        <v>2.26755352255311</v>
      </c>
      <c r="Q22" s="95">
        <f t="shared" si="3"/>
        <v>1</v>
      </c>
      <c r="R22" s="96">
        <f t="shared" si="4"/>
        <v>2.0865051432908035</v>
      </c>
      <c r="S22" s="432" t="str">
        <f t="shared" si="5"/>
        <v>(3,4,3,1,1,5); Literature</v>
      </c>
      <c r="T22" s="435">
        <v>2.26755352255311</v>
      </c>
      <c r="U22" s="95">
        <f t="shared" si="6"/>
        <v>1</v>
      </c>
      <c r="V22" s="96">
        <f t="shared" si="7"/>
        <v>2.0865051432908035</v>
      </c>
      <c r="W22" s="432" t="str">
        <f t="shared" si="8"/>
        <v>(3,4,3,1,1,5); Literature</v>
      </c>
      <c r="X22" s="435">
        <v>2.26755352255311</v>
      </c>
      <c r="Y22" s="95">
        <f t="shared" si="9"/>
        <v>1</v>
      </c>
      <c r="Z22" s="96">
        <f t="shared" si="10"/>
        <v>2.0865051432908035</v>
      </c>
      <c r="AA22" s="432" t="str">
        <f t="shared" si="11"/>
        <v>(3,4,3,1,1,5); Literature</v>
      </c>
      <c r="AB22" s="435">
        <v>2.26755352255311</v>
      </c>
      <c r="AC22" s="95">
        <f>1</f>
        <v>1</v>
      </c>
      <c r="AD22" s="96">
        <f t="shared" si="12"/>
        <v>2.0865051432908035</v>
      </c>
      <c r="AE22" s="432" t="str">
        <f t="shared" si="13"/>
        <v>(3,4,3,1,1,5); Literature</v>
      </c>
      <c r="AF22" s="435">
        <v>2.26755352255311</v>
      </c>
      <c r="AG22" s="95">
        <f>1</f>
        <v>1</v>
      </c>
      <c r="AH22" s="96">
        <f t="shared" si="14"/>
        <v>2.0865051432908035</v>
      </c>
      <c r="AI22" s="432" t="str">
        <f t="shared" si="15"/>
        <v>(3,4,3,1,1,5); Literature</v>
      </c>
      <c r="AJ22" s="435">
        <v>0</v>
      </c>
      <c r="AK22" s="95">
        <f>1</f>
        <v>1</v>
      </c>
      <c r="AL22" s="96">
        <f t="shared" si="16"/>
        <v>2.0865051432908035</v>
      </c>
      <c r="AM22" s="432" t="str">
        <f t="shared" si="17"/>
        <v>(3,4,3,1,1,5); Literature</v>
      </c>
      <c r="AN22" s="435">
        <v>0</v>
      </c>
      <c r="AO22" s="95">
        <f>1</f>
        <v>1</v>
      </c>
      <c r="AP22" s="96">
        <f t="shared" si="18"/>
        <v>2.0865051432908035</v>
      </c>
      <c r="AQ22" s="432" t="str">
        <f t="shared" si="19"/>
        <v>(3,4,3,1,1,5); Literature</v>
      </c>
      <c r="AR22" s="435">
        <v>0</v>
      </c>
      <c r="AS22" s="95">
        <f>1</f>
        <v>1</v>
      </c>
      <c r="AT22" s="96">
        <f t="shared" si="20"/>
        <v>2.0865051432908035</v>
      </c>
      <c r="AU22" s="432" t="str">
        <f t="shared" si="21"/>
        <v>(3,4,3,1,1,5); Literature</v>
      </c>
      <c r="AV22" s="435">
        <v>0</v>
      </c>
      <c r="AW22" s="95">
        <f>1</f>
        <v>1</v>
      </c>
      <c r="AX22" s="96">
        <f t="shared" si="22"/>
        <v>2.0865051432908035</v>
      </c>
      <c r="AY22" s="432" t="str">
        <f t="shared" si="23"/>
        <v>(3,4,3,1,1,5); Literature</v>
      </c>
      <c r="AZ22" s="494">
        <v>32.612000000000002</v>
      </c>
      <c r="BA22" s="77" t="s">
        <v>253</v>
      </c>
      <c r="BB22" s="339">
        <v>3</v>
      </c>
      <c r="BC22" s="339">
        <v>4</v>
      </c>
      <c r="BD22" s="339">
        <v>3</v>
      </c>
      <c r="BE22" s="339">
        <v>1</v>
      </c>
      <c r="BF22" s="339">
        <v>1</v>
      </c>
      <c r="BG22" s="339">
        <v>5</v>
      </c>
      <c r="BH22" s="104">
        <v>9</v>
      </c>
      <c r="BI22" s="104">
        <v>2</v>
      </c>
      <c r="BJ22" s="107">
        <f t="shared" si="24"/>
        <v>1.2788404103505406</v>
      </c>
      <c r="BK22" s="107">
        <f t="shared" si="25"/>
        <v>2.0865051432908035</v>
      </c>
      <c r="BL22" s="107" t="str">
        <f t="shared" si="26"/>
        <v>(3,4,3,1,1,5)</v>
      </c>
      <c r="BM22" s="108">
        <v>1.1000000000000001</v>
      </c>
      <c r="BN22" s="108">
        <v>1.1000000000000001</v>
      </c>
      <c r="BO22" s="108">
        <v>1.1000000000000001</v>
      </c>
      <c r="BP22" s="108">
        <v>1</v>
      </c>
      <c r="BQ22" s="108">
        <v>1</v>
      </c>
      <c r="BR22" s="108">
        <v>1.2</v>
      </c>
    </row>
    <row r="23" spans="1:70" ht="24" customHeight="1">
      <c r="A23" s="330">
        <v>257174</v>
      </c>
      <c r="B23" s="331"/>
      <c r="C23" s="88"/>
      <c r="D23" s="340">
        <v>5</v>
      </c>
      <c r="E23" s="341" t="s">
        <v>98</v>
      </c>
      <c r="F23" s="432" t="s">
        <v>1860</v>
      </c>
      <c r="G23" s="433" t="s">
        <v>103</v>
      </c>
      <c r="H23" s="434" t="s">
        <v>98</v>
      </c>
      <c r="I23" s="434" t="s">
        <v>98</v>
      </c>
      <c r="J23" s="94">
        <v>1</v>
      </c>
      <c r="K23" s="433" t="s">
        <v>144</v>
      </c>
      <c r="L23" s="435">
        <v>0</v>
      </c>
      <c r="M23" s="95">
        <f t="shared" si="0"/>
        <v>1</v>
      </c>
      <c r="N23" s="96">
        <f t="shared" si="1"/>
        <v>1.1000000000000001</v>
      </c>
      <c r="O23" s="432" t="str">
        <f t="shared" si="2"/>
        <v>1; 1</v>
      </c>
      <c r="P23" s="435">
        <v>0</v>
      </c>
      <c r="Q23" s="95">
        <f t="shared" si="3"/>
        <v>1</v>
      </c>
      <c r="R23" s="96">
        <f t="shared" si="4"/>
        <v>1.1000000000000001</v>
      </c>
      <c r="S23" s="432" t="str">
        <f t="shared" si="5"/>
        <v>1; 1</v>
      </c>
      <c r="T23" s="435">
        <v>0</v>
      </c>
      <c r="U23" s="95">
        <f t="shared" si="6"/>
        <v>1</v>
      </c>
      <c r="V23" s="96">
        <f t="shared" si="7"/>
        <v>1.1000000000000001</v>
      </c>
      <c r="W23" s="432" t="str">
        <f t="shared" si="8"/>
        <v>1; 1</v>
      </c>
      <c r="X23" s="435">
        <v>0</v>
      </c>
      <c r="Y23" s="95">
        <f t="shared" si="9"/>
        <v>1</v>
      </c>
      <c r="Z23" s="96">
        <f t="shared" si="10"/>
        <v>1.1000000000000001</v>
      </c>
      <c r="AA23" s="432" t="str">
        <f t="shared" si="11"/>
        <v>1; 1</v>
      </c>
      <c r="AB23" s="435">
        <v>0</v>
      </c>
      <c r="AC23" s="95">
        <v>1</v>
      </c>
      <c r="AD23" s="96">
        <f>BO23</f>
        <v>1.1000000000000001</v>
      </c>
      <c r="AE23" s="432" t="str">
        <f>BP23&amp;"; "&amp;BE23</f>
        <v>1; 1</v>
      </c>
      <c r="AF23" s="435">
        <v>0</v>
      </c>
      <c r="AG23" s="95">
        <v>1</v>
      </c>
      <c r="AH23" s="96">
        <f>BS23</f>
        <v>0</v>
      </c>
      <c r="AI23" s="432" t="str">
        <f>BT23&amp;"; "&amp;BI23</f>
        <v>; 2</v>
      </c>
      <c r="AJ23" s="435">
        <f>250/280</f>
        <v>0.8928571428571429</v>
      </c>
      <c r="AK23" s="95">
        <v>1</v>
      </c>
      <c r="AL23" s="96">
        <f>$BO23</f>
        <v>1.1000000000000001</v>
      </c>
      <c r="AM23" s="432" t="str">
        <f>$BP23&amp;"; "&amp;$BE23</f>
        <v>1; 1</v>
      </c>
      <c r="AN23" s="435">
        <f>250/280</f>
        <v>0.8928571428571429</v>
      </c>
      <c r="AO23" s="95">
        <f>1</f>
        <v>1</v>
      </c>
      <c r="AP23" s="96">
        <f>$BO23</f>
        <v>1.1000000000000001</v>
      </c>
      <c r="AQ23" s="432" t="str">
        <f>$BP23&amp;"; "&amp;$BE23</f>
        <v>1; 1</v>
      </c>
      <c r="AR23" s="435">
        <f>250/280</f>
        <v>0.8928571428571429</v>
      </c>
      <c r="AS23" s="95">
        <f>1</f>
        <v>1</v>
      </c>
      <c r="AT23" s="96">
        <f>$BO23</f>
        <v>1.1000000000000001</v>
      </c>
      <c r="AU23" s="432" t="str">
        <f>$BP23&amp;"; "&amp;$BE23</f>
        <v>1; 1</v>
      </c>
      <c r="AV23" s="435">
        <f>1*O46</f>
        <v>0</v>
      </c>
      <c r="AW23" s="95">
        <f>1</f>
        <v>1</v>
      </c>
      <c r="AX23" s="96">
        <f t="shared" si="22"/>
        <v>2.0865051432908035</v>
      </c>
      <c r="AY23" s="432" t="str">
        <f t="shared" si="23"/>
        <v>(3,4,3,1,1,5); Literature</v>
      </c>
      <c r="AZ23" s="494">
        <v>1567.31059553972</v>
      </c>
      <c r="BA23" s="77" t="s">
        <v>253</v>
      </c>
      <c r="BB23" s="339">
        <v>3</v>
      </c>
      <c r="BC23" s="339">
        <v>4</v>
      </c>
      <c r="BD23" s="339">
        <v>3</v>
      </c>
      <c r="BE23" s="339">
        <v>1</v>
      </c>
      <c r="BF23" s="339">
        <v>1</v>
      </c>
      <c r="BG23" s="339">
        <v>5</v>
      </c>
      <c r="BH23" s="104">
        <v>9</v>
      </c>
      <c r="BI23" s="104">
        <v>2</v>
      </c>
      <c r="BJ23" s="107">
        <f t="shared" si="24"/>
        <v>1.2788404103505406</v>
      </c>
      <c r="BK23" s="107">
        <f t="shared" si="25"/>
        <v>2.0865051432908035</v>
      </c>
      <c r="BL23" s="107" t="str">
        <f t="shared" si="26"/>
        <v>(3,4,3,1,1,5)</v>
      </c>
      <c r="BM23" s="108">
        <v>1.1000000000000001</v>
      </c>
      <c r="BN23" s="108">
        <v>1.1000000000000001</v>
      </c>
      <c r="BO23" s="108">
        <v>1.1000000000000001</v>
      </c>
      <c r="BP23" s="108">
        <v>1</v>
      </c>
      <c r="BQ23" s="108">
        <v>1</v>
      </c>
      <c r="BR23" s="108">
        <v>1.2</v>
      </c>
    </row>
    <row r="24" spans="1:70" ht="24" customHeight="1">
      <c r="A24" s="330" t="s">
        <v>1688</v>
      </c>
      <c r="B24" s="331"/>
      <c r="C24" s="88"/>
      <c r="D24" s="340">
        <v>5</v>
      </c>
      <c r="E24" s="341" t="s">
        <v>98</v>
      </c>
      <c r="F24" s="432" t="s">
        <v>1689</v>
      </c>
      <c r="G24" s="433" t="s">
        <v>93</v>
      </c>
      <c r="H24" s="434" t="s">
        <v>98</v>
      </c>
      <c r="I24" s="434" t="s">
        <v>98</v>
      </c>
      <c r="J24" s="94">
        <v>1</v>
      </c>
      <c r="K24" s="433" t="s">
        <v>679</v>
      </c>
      <c r="L24" s="435">
        <v>0</v>
      </c>
      <c r="M24" s="95">
        <f t="shared" si="0"/>
        <v>1</v>
      </c>
      <c r="N24" s="96">
        <f t="shared" si="1"/>
        <v>1.1000000000000001</v>
      </c>
      <c r="O24" s="432" t="str">
        <f t="shared" si="2"/>
        <v>1; 1</v>
      </c>
      <c r="P24" s="435">
        <v>0</v>
      </c>
      <c r="Q24" s="95">
        <f t="shared" si="3"/>
        <v>1</v>
      </c>
      <c r="R24" s="96">
        <f t="shared" si="4"/>
        <v>1.1000000000000001</v>
      </c>
      <c r="S24" s="432" t="str">
        <f t="shared" si="5"/>
        <v>1; 1</v>
      </c>
      <c r="T24" s="435">
        <v>0</v>
      </c>
      <c r="U24" s="95">
        <f t="shared" si="6"/>
        <v>1</v>
      </c>
      <c r="V24" s="96">
        <f t="shared" si="7"/>
        <v>1.1000000000000001</v>
      </c>
      <c r="W24" s="432" t="str">
        <f t="shared" si="8"/>
        <v>1; 1</v>
      </c>
      <c r="X24" s="435">
        <v>0</v>
      </c>
      <c r="Y24" s="95">
        <f t="shared" si="9"/>
        <v>1</v>
      </c>
      <c r="Z24" s="96">
        <f t="shared" si="10"/>
        <v>1.1000000000000001</v>
      </c>
      <c r="AA24" s="432" t="str">
        <f t="shared" si="11"/>
        <v>1; 1</v>
      </c>
      <c r="AB24" s="435">
        <v>0</v>
      </c>
      <c r="AC24" s="95">
        <v>1</v>
      </c>
      <c r="AD24" s="96">
        <f>BO24</f>
        <v>1.1000000000000001</v>
      </c>
      <c r="AE24" s="432" t="str">
        <f>BP24&amp;"; "&amp;BE24</f>
        <v>1; 1</v>
      </c>
      <c r="AF24" s="435">
        <v>0</v>
      </c>
      <c r="AG24" s="95">
        <v>1</v>
      </c>
      <c r="AH24" s="96">
        <f>BS24</f>
        <v>0</v>
      </c>
      <c r="AI24" s="432" t="str">
        <f>BT24&amp;"; "&amp;BI24</f>
        <v>; 3</v>
      </c>
      <c r="AJ24" s="435">
        <v>0</v>
      </c>
      <c r="AK24" s="95">
        <v>1</v>
      </c>
      <c r="AL24" s="96">
        <f>$BO24</f>
        <v>1.1000000000000001</v>
      </c>
      <c r="AM24" s="432" t="str">
        <f>$BP24&amp;"; "&amp;$BE24</f>
        <v>1; 1</v>
      </c>
      <c r="AN24" s="435">
        <v>0</v>
      </c>
      <c r="AO24" s="95">
        <f>1</f>
        <v>1</v>
      </c>
      <c r="AP24" s="96">
        <f>$BO24</f>
        <v>1.1000000000000001</v>
      </c>
      <c r="AQ24" s="432" t="str">
        <f>$BP24&amp;"; "&amp;$BE24</f>
        <v>1; 1</v>
      </c>
      <c r="AR24" s="435">
        <v>0</v>
      </c>
      <c r="AS24" s="95">
        <f>1</f>
        <v>1</v>
      </c>
      <c r="AT24" s="96">
        <f>$BO24</f>
        <v>1.1000000000000001</v>
      </c>
      <c r="AU24" s="432" t="str">
        <f>$BP24&amp;"; "&amp;$BE24</f>
        <v>1; 1</v>
      </c>
      <c r="AV24" s="435">
        <v>55555.555555555598</v>
      </c>
      <c r="AW24" s="95">
        <f>1</f>
        <v>1</v>
      </c>
      <c r="AX24" s="96">
        <f t="shared" si="22"/>
        <v>3.0827046835040277</v>
      </c>
      <c r="AY24" s="432" t="str">
        <f t="shared" si="23"/>
        <v>(3,4,3,1,1,5); Literature</v>
      </c>
      <c r="AZ24" s="494">
        <v>2.5696889776726599</v>
      </c>
      <c r="BA24" s="77" t="s">
        <v>253</v>
      </c>
      <c r="BB24" s="339">
        <v>3</v>
      </c>
      <c r="BC24" s="339">
        <v>4</v>
      </c>
      <c r="BD24" s="339">
        <v>3</v>
      </c>
      <c r="BE24" s="339">
        <v>1</v>
      </c>
      <c r="BF24" s="339">
        <v>1</v>
      </c>
      <c r="BG24" s="339">
        <v>5</v>
      </c>
      <c r="BH24" s="104">
        <v>9</v>
      </c>
      <c r="BI24" s="104">
        <v>3</v>
      </c>
      <c r="BJ24" s="107">
        <f t="shared" si="24"/>
        <v>1.2788404103505406</v>
      </c>
      <c r="BK24" s="107">
        <f t="shared" si="25"/>
        <v>3.0827046835040277</v>
      </c>
      <c r="BL24" s="107" t="str">
        <f t="shared" si="26"/>
        <v>(3,4,3,1,1,5)</v>
      </c>
      <c r="BM24" s="108">
        <v>1.1000000000000001</v>
      </c>
      <c r="BN24" s="108">
        <v>1.1000000000000001</v>
      </c>
      <c r="BO24" s="108">
        <v>1.1000000000000001</v>
      </c>
      <c r="BP24" s="108">
        <v>1</v>
      </c>
      <c r="BQ24" s="108">
        <v>1</v>
      </c>
      <c r="BR24" s="108">
        <v>1.2</v>
      </c>
    </row>
    <row r="25" spans="1:70" ht="24" customHeight="1">
      <c r="A25" s="330">
        <v>258217</v>
      </c>
      <c r="B25" s="331"/>
      <c r="C25" s="88"/>
      <c r="D25" s="340">
        <v>5</v>
      </c>
      <c r="E25" s="341" t="s">
        <v>98</v>
      </c>
      <c r="F25" s="432" t="s">
        <v>1601</v>
      </c>
      <c r="G25" s="433" t="s">
        <v>93</v>
      </c>
      <c r="H25" s="434" t="s">
        <v>98</v>
      </c>
      <c r="I25" s="434" t="s">
        <v>98</v>
      </c>
      <c r="J25" s="94">
        <v>1</v>
      </c>
      <c r="K25" s="433" t="s">
        <v>679</v>
      </c>
      <c r="L25" s="435">
        <v>55.5555555555556</v>
      </c>
      <c r="M25" s="95">
        <f t="shared" si="0"/>
        <v>1</v>
      </c>
      <c r="N25" s="96">
        <f t="shared" si="1"/>
        <v>1.2284225230179247</v>
      </c>
      <c r="O25" s="432" t="str">
        <f t="shared" si="2"/>
        <v>(3,1,1,1,1,na); calculation with m2 panel</v>
      </c>
      <c r="P25" s="435">
        <v>0</v>
      </c>
      <c r="Q25" s="95">
        <f t="shared" si="3"/>
        <v>1</v>
      </c>
      <c r="R25" s="96">
        <f t="shared" si="4"/>
        <v>1.2284225230179247</v>
      </c>
      <c r="S25" s="432" t="str">
        <f t="shared" si="5"/>
        <v>(3,1,1,1,1,na); calculation with m2 panel</v>
      </c>
      <c r="T25" s="435">
        <v>0</v>
      </c>
      <c r="U25" s="95">
        <f t="shared" si="6"/>
        <v>1</v>
      </c>
      <c r="V25" s="96">
        <f t="shared" si="7"/>
        <v>1.2284225230179247</v>
      </c>
      <c r="W25" s="432" t="str">
        <f t="shared" si="8"/>
        <v>(3,1,1,1,1,na); calculation with m2 panel</v>
      </c>
      <c r="X25" s="435">
        <v>0</v>
      </c>
      <c r="Y25" s="95">
        <f t="shared" si="9"/>
        <v>1</v>
      </c>
      <c r="Z25" s="96">
        <f t="shared" si="10"/>
        <v>1.2284225230179247</v>
      </c>
      <c r="AA25" s="432" t="str">
        <f t="shared" si="11"/>
        <v>(3,1,1,1,1,na); calculation with m2 panel</v>
      </c>
      <c r="AB25" s="435">
        <v>0</v>
      </c>
      <c r="AC25" s="95">
        <f>1</f>
        <v>1</v>
      </c>
      <c r="AD25" s="96">
        <f t="shared" ref="AD25:AD35" si="27">$BK25</f>
        <v>1.2284225230179247</v>
      </c>
      <c r="AE25" s="432" t="str">
        <f t="shared" ref="AE25:AE35" si="28">$BL25&amp;"; "&amp;$BA25</f>
        <v>(3,1,1,1,1,na); calculation with m2 panel</v>
      </c>
      <c r="AF25" s="435">
        <v>0</v>
      </c>
      <c r="AG25" s="95">
        <f>1</f>
        <v>1</v>
      </c>
      <c r="AH25" s="96">
        <f t="shared" ref="AH25:AH35" si="29">$BK25</f>
        <v>1.2284225230179247</v>
      </c>
      <c r="AI25" s="432" t="str">
        <f t="shared" ref="AI25:AI35" si="30">$BL25&amp;"; "&amp;$BA25</f>
        <v>(3,1,1,1,1,na); calculation with m2 panel</v>
      </c>
      <c r="AJ25" s="435">
        <v>0</v>
      </c>
      <c r="AK25" s="95">
        <f>1</f>
        <v>1</v>
      </c>
      <c r="AL25" s="96">
        <f t="shared" ref="AL25:AL35" si="31">$BK25</f>
        <v>1.2284225230179247</v>
      </c>
      <c r="AM25" s="432" t="str">
        <f t="shared" ref="AM25:AM35" si="32">$BL25&amp;"; "&amp;$BA25</f>
        <v>(3,1,1,1,1,na); calculation with m2 panel</v>
      </c>
      <c r="AN25" s="435">
        <v>0</v>
      </c>
      <c r="AO25" s="95">
        <f>1</f>
        <v>1</v>
      </c>
      <c r="AP25" s="96">
        <f t="shared" ref="AP25:AP35" si="33">$BK25</f>
        <v>1.2284225230179247</v>
      </c>
      <c r="AQ25" s="432" t="str">
        <f t="shared" ref="AQ25:AQ35" si="34">$BL25&amp;"; "&amp;$BA25</f>
        <v>(3,1,1,1,1,na); calculation with m2 panel</v>
      </c>
      <c r="AR25" s="435">
        <v>0</v>
      </c>
      <c r="AS25" s="95">
        <f>1</f>
        <v>1</v>
      </c>
      <c r="AT25" s="96">
        <f t="shared" ref="AT25:AT35" si="35">$BK25</f>
        <v>1.2284225230179247</v>
      </c>
      <c r="AU25" s="432" t="str">
        <f t="shared" ref="AU25:AU35" si="36">$BL25&amp;"; "&amp;$BA25</f>
        <v>(3,1,1,1,1,na); calculation with m2 panel</v>
      </c>
      <c r="AV25" s="435">
        <v>0</v>
      </c>
      <c r="AW25" s="95">
        <f>1</f>
        <v>1</v>
      </c>
      <c r="AX25" s="96">
        <f t="shared" si="22"/>
        <v>1.2284225230179247</v>
      </c>
      <c r="AY25" s="432" t="str">
        <f t="shared" si="23"/>
        <v>(3,1,1,1,1,na); calculation with m2 panel</v>
      </c>
      <c r="AZ25" s="494">
        <v>3.2716908498667499</v>
      </c>
      <c r="BA25" s="77" t="s">
        <v>1861</v>
      </c>
      <c r="BB25" s="339">
        <v>3</v>
      </c>
      <c r="BC25" s="339">
        <v>1</v>
      </c>
      <c r="BD25" s="339">
        <v>1</v>
      </c>
      <c r="BE25" s="339">
        <v>1</v>
      </c>
      <c r="BF25" s="339">
        <v>1</v>
      </c>
      <c r="BG25" s="339" t="s">
        <v>106</v>
      </c>
      <c r="BH25" s="104">
        <v>9</v>
      </c>
      <c r="BI25" s="104">
        <v>1.2</v>
      </c>
      <c r="BJ25" s="107">
        <f t="shared" si="24"/>
        <v>1.1000000000000001</v>
      </c>
      <c r="BK25" s="107">
        <f t="shared" si="25"/>
        <v>1.2284225230179247</v>
      </c>
      <c r="BL25" s="107" t="str">
        <f t="shared" si="26"/>
        <v>(3,1,1,1,1,na)</v>
      </c>
      <c r="BM25" s="108">
        <v>1.1000000000000001</v>
      </c>
      <c r="BN25" s="108">
        <v>1</v>
      </c>
      <c r="BO25" s="108">
        <v>1</v>
      </c>
      <c r="BP25" s="108">
        <v>1</v>
      </c>
      <c r="BQ25" s="108">
        <v>1</v>
      </c>
      <c r="BR25" s="108">
        <v>1</v>
      </c>
    </row>
    <row r="26" spans="1:70" ht="24" customHeight="1">
      <c r="A26" s="330">
        <v>258205</v>
      </c>
      <c r="B26" s="331"/>
      <c r="C26" s="88"/>
      <c r="D26" s="340">
        <v>5</v>
      </c>
      <c r="E26" s="341" t="s">
        <v>98</v>
      </c>
      <c r="F26" s="432" t="s">
        <v>1600</v>
      </c>
      <c r="G26" s="433" t="s">
        <v>93</v>
      </c>
      <c r="H26" s="434" t="s">
        <v>98</v>
      </c>
      <c r="I26" s="434" t="s">
        <v>98</v>
      </c>
      <c r="J26" s="94">
        <v>1</v>
      </c>
      <c r="K26" s="433" t="s">
        <v>679</v>
      </c>
      <c r="L26" s="435">
        <v>0</v>
      </c>
      <c r="M26" s="95">
        <f t="shared" si="0"/>
        <v>1</v>
      </c>
      <c r="N26" s="96">
        <f t="shared" si="1"/>
        <v>1.2284225230179247</v>
      </c>
      <c r="O26" s="432" t="str">
        <f t="shared" si="2"/>
        <v>(3,1,1,1,1,na); calculation with m2 panel</v>
      </c>
      <c r="P26" s="435">
        <v>55.5555555555556</v>
      </c>
      <c r="Q26" s="95">
        <f t="shared" si="3"/>
        <v>1</v>
      </c>
      <c r="R26" s="96">
        <f t="shared" si="4"/>
        <v>1.2284225230179247</v>
      </c>
      <c r="S26" s="432" t="str">
        <f t="shared" si="5"/>
        <v>(3,1,1,1,1,na); calculation with m2 panel</v>
      </c>
      <c r="T26" s="435">
        <v>0</v>
      </c>
      <c r="U26" s="95">
        <f t="shared" si="6"/>
        <v>1</v>
      </c>
      <c r="V26" s="96">
        <f t="shared" si="7"/>
        <v>1.2284225230179247</v>
      </c>
      <c r="W26" s="432" t="str">
        <f t="shared" si="8"/>
        <v>(3,1,1,1,1,na); calculation with m2 panel</v>
      </c>
      <c r="X26" s="435">
        <v>0</v>
      </c>
      <c r="Y26" s="95">
        <f t="shared" si="9"/>
        <v>1</v>
      </c>
      <c r="Z26" s="96">
        <f t="shared" si="10"/>
        <v>1.2284225230179247</v>
      </c>
      <c r="AA26" s="432" t="str">
        <f t="shared" si="11"/>
        <v>(3,1,1,1,1,na); calculation with m2 panel</v>
      </c>
      <c r="AB26" s="435">
        <v>0</v>
      </c>
      <c r="AC26" s="95">
        <f>1</f>
        <v>1</v>
      </c>
      <c r="AD26" s="96">
        <f t="shared" si="27"/>
        <v>1.2284225230179247</v>
      </c>
      <c r="AE26" s="432" t="str">
        <f t="shared" si="28"/>
        <v>(3,1,1,1,1,na); calculation with m2 panel</v>
      </c>
      <c r="AF26" s="435">
        <v>0</v>
      </c>
      <c r="AG26" s="95">
        <f>1</f>
        <v>1</v>
      </c>
      <c r="AH26" s="96">
        <f t="shared" si="29"/>
        <v>1.2284225230179247</v>
      </c>
      <c r="AI26" s="432" t="str">
        <f t="shared" si="30"/>
        <v>(3,1,1,1,1,na); calculation with m2 panel</v>
      </c>
      <c r="AJ26" s="435">
        <v>0</v>
      </c>
      <c r="AK26" s="95">
        <f>1</f>
        <v>1</v>
      </c>
      <c r="AL26" s="96">
        <f t="shared" si="31"/>
        <v>1.2284225230179247</v>
      </c>
      <c r="AM26" s="432" t="str">
        <f t="shared" si="32"/>
        <v>(3,1,1,1,1,na); calculation with m2 panel</v>
      </c>
      <c r="AN26" s="435">
        <v>0</v>
      </c>
      <c r="AO26" s="95">
        <f>1</f>
        <v>1</v>
      </c>
      <c r="AP26" s="96">
        <f t="shared" si="33"/>
        <v>1.2284225230179247</v>
      </c>
      <c r="AQ26" s="432" t="str">
        <f t="shared" si="34"/>
        <v>(3,1,1,1,1,na); calculation with m2 panel</v>
      </c>
      <c r="AR26" s="435">
        <v>0</v>
      </c>
      <c r="AS26" s="95">
        <f>1</f>
        <v>1</v>
      </c>
      <c r="AT26" s="96">
        <f t="shared" si="35"/>
        <v>1.2284225230179247</v>
      </c>
      <c r="AU26" s="432" t="str">
        <f t="shared" si="36"/>
        <v>(3,1,1,1,1,na); calculation with m2 panel</v>
      </c>
      <c r="AV26" s="435">
        <v>0</v>
      </c>
      <c r="AW26" s="95">
        <f>1</f>
        <v>1</v>
      </c>
      <c r="AX26" s="96">
        <f t="shared" si="22"/>
        <v>1.2284225230179247</v>
      </c>
      <c r="AY26" s="432" t="str">
        <f t="shared" si="23"/>
        <v>(3,1,1,1,1,na); calculation with m2 panel</v>
      </c>
      <c r="AZ26" s="494">
        <v>4.4770909637727101</v>
      </c>
      <c r="BA26" s="77" t="s">
        <v>1861</v>
      </c>
      <c r="BB26" s="339">
        <v>3</v>
      </c>
      <c r="BC26" s="339">
        <v>1</v>
      </c>
      <c r="BD26" s="339">
        <v>1</v>
      </c>
      <c r="BE26" s="339">
        <v>1</v>
      </c>
      <c r="BF26" s="339">
        <v>1</v>
      </c>
      <c r="BG26" s="339" t="s">
        <v>106</v>
      </c>
      <c r="BH26" s="104">
        <v>9</v>
      </c>
      <c r="BI26" s="104">
        <v>1.2</v>
      </c>
      <c r="BJ26" s="107">
        <f t="shared" si="24"/>
        <v>1.1000000000000001</v>
      </c>
      <c r="BK26" s="107">
        <f t="shared" si="25"/>
        <v>1.2284225230179247</v>
      </c>
      <c r="BL26" s="107" t="str">
        <f t="shared" si="26"/>
        <v>(3,1,1,1,1,na)</v>
      </c>
      <c r="BM26" s="108">
        <v>1.1000000000000001</v>
      </c>
      <c r="BN26" s="108">
        <v>1</v>
      </c>
      <c r="BO26" s="108">
        <v>1</v>
      </c>
      <c r="BP26" s="108">
        <v>1</v>
      </c>
      <c r="BQ26" s="108">
        <v>1</v>
      </c>
      <c r="BR26" s="108">
        <v>1</v>
      </c>
    </row>
    <row r="27" spans="1:70">
      <c r="A27" s="330">
        <v>262479</v>
      </c>
      <c r="B27" s="331"/>
      <c r="C27" s="88"/>
      <c r="D27" s="340">
        <v>5</v>
      </c>
      <c r="E27" s="341" t="s">
        <v>98</v>
      </c>
      <c r="F27" s="432" t="s">
        <v>1602</v>
      </c>
      <c r="G27" s="433" t="s">
        <v>93</v>
      </c>
      <c r="H27" s="434" t="s">
        <v>98</v>
      </c>
      <c r="I27" s="434" t="s">
        <v>98</v>
      </c>
      <c r="J27" s="94">
        <v>1</v>
      </c>
      <c r="K27" s="433" t="s">
        <v>679</v>
      </c>
      <c r="L27" s="435">
        <v>0</v>
      </c>
      <c r="M27" s="95">
        <f t="shared" si="0"/>
        <v>1</v>
      </c>
      <c r="N27" s="96">
        <f t="shared" si="1"/>
        <v>1.2284225230179247</v>
      </c>
      <c r="O27" s="432" t="str">
        <f t="shared" si="2"/>
        <v>(3,1,1,1,1,na); calculation with m2 panel</v>
      </c>
      <c r="P27" s="435">
        <v>0</v>
      </c>
      <c r="Q27" s="95">
        <f t="shared" si="3"/>
        <v>1</v>
      </c>
      <c r="R27" s="96">
        <f t="shared" si="4"/>
        <v>1.2284225230179247</v>
      </c>
      <c r="S27" s="432" t="str">
        <f t="shared" si="5"/>
        <v>(3,1,1,1,1,na); calculation with m2 panel</v>
      </c>
      <c r="T27" s="435">
        <v>55.5555555555556</v>
      </c>
      <c r="U27" s="95">
        <f t="shared" si="6"/>
        <v>1</v>
      </c>
      <c r="V27" s="96">
        <f t="shared" si="7"/>
        <v>1.2284225230179247</v>
      </c>
      <c r="W27" s="432" t="str">
        <f t="shared" si="8"/>
        <v>(3,1,1,1,1,na); calculation with m2 panel</v>
      </c>
      <c r="X27" s="435">
        <v>0</v>
      </c>
      <c r="Y27" s="95">
        <f t="shared" si="9"/>
        <v>1</v>
      </c>
      <c r="Z27" s="96">
        <f t="shared" si="10"/>
        <v>1.2284225230179247</v>
      </c>
      <c r="AA27" s="432" t="str">
        <f t="shared" si="11"/>
        <v>(3,1,1,1,1,na); calculation with m2 panel</v>
      </c>
      <c r="AB27" s="435">
        <v>0</v>
      </c>
      <c r="AC27" s="95">
        <f>1</f>
        <v>1</v>
      </c>
      <c r="AD27" s="96">
        <f t="shared" si="27"/>
        <v>1.2284225230179247</v>
      </c>
      <c r="AE27" s="432" t="str">
        <f t="shared" si="28"/>
        <v>(3,1,1,1,1,na); calculation with m2 panel</v>
      </c>
      <c r="AF27" s="435">
        <v>0</v>
      </c>
      <c r="AG27" s="95">
        <f>1</f>
        <v>1</v>
      </c>
      <c r="AH27" s="96">
        <f t="shared" si="29"/>
        <v>1.2284225230179247</v>
      </c>
      <c r="AI27" s="432" t="str">
        <f t="shared" si="30"/>
        <v>(3,1,1,1,1,na); calculation with m2 panel</v>
      </c>
      <c r="AJ27" s="435">
        <v>0</v>
      </c>
      <c r="AK27" s="95">
        <f>1</f>
        <v>1</v>
      </c>
      <c r="AL27" s="96">
        <f t="shared" si="31"/>
        <v>1.2284225230179247</v>
      </c>
      <c r="AM27" s="432" t="str">
        <f t="shared" si="32"/>
        <v>(3,1,1,1,1,na); calculation with m2 panel</v>
      </c>
      <c r="AN27" s="435">
        <v>0</v>
      </c>
      <c r="AO27" s="95">
        <f>1</f>
        <v>1</v>
      </c>
      <c r="AP27" s="96">
        <f t="shared" si="33"/>
        <v>1.2284225230179247</v>
      </c>
      <c r="AQ27" s="432" t="str">
        <f t="shared" si="34"/>
        <v>(3,1,1,1,1,na); calculation with m2 panel</v>
      </c>
      <c r="AR27" s="435">
        <v>1388.8888888888901</v>
      </c>
      <c r="AS27" s="95">
        <f>1</f>
        <v>1</v>
      </c>
      <c r="AT27" s="96">
        <f t="shared" si="35"/>
        <v>1.2284225230179247</v>
      </c>
      <c r="AU27" s="432" t="str">
        <f t="shared" si="36"/>
        <v>(3,1,1,1,1,na); calculation with m2 panel</v>
      </c>
      <c r="AV27" s="435">
        <v>0</v>
      </c>
      <c r="AW27" s="95">
        <f>1</f>
        <v>1</v>
      </c>
      <c r="AX27" s="96">
        <f t="shared" si="22"/>
        <v>1.2284225230179247</v>
      </c>
      <c r="AY27" s="432" t="str">
        <f t="shared" si="23"/>
        <v>(3,1,1,1,1,na); calculation with m2 panel</v>
      </c>
      <c r="AZ27" s="494">
        <v>4.7346514698728202</v>
      </c>
      <c r="BA27" s="77" t="s">
        <v>1861</v>
      </c>
      <c r="BB27" s="339">
        <v>3</v>
      </c>
      <c r="BC27" s="339">
        <v>1</v>
      </c>
      <c r="BD27" s="339">
        <v>1</v>
      </c>
      <c r="BE27" s="339">
        <v>1</v>
      </c>
      <c r="BF27" s="339">
        <v>1</v>
      </c>
      <c r="BG27" s="339" t="s">
        <v>106</v>
      </c>
      <c r="BH27" s="104">
        <v>9</v>
      </c>
      <c r="BI27" s="104">
        <v>1.2</v>
      </c>
      <c r="BJ27" s="107">
        <f t="shared" si="24"/>
        <v>1.1000000000000001</v>
      </c>
      <c r="BK27" s="107">
        <f t="shared" si="25"/>
        <v>1.2284225230179247</v>
      </c>
      <c r="BL27" s="107" t="str">
        <f t="shared" si="26"/>
        <v>(3,1,1,1,1,na)</v>
      </c>
      <c r="BM27" s="108">
        <v>1.1000000000000001</v>
      </c>
      <c r="BN27" s="108">
        <v>1</v>
      </c>
      <c r="BO27" s="108">
        <v>1</v>
      </c>
      <c r="BP27" s="108">
        <v>1</v>
      </c>
      <c r="BQ27" s="108">
        <v>1</v>
      </c>
      <c r="BR27" s="108">
        <v>1</v>
      </c>
    </row>
    <row r="28" spans="1:70" ht="24" customHeight="1">
      <c r="A28" s="330">
        <v>263667</v>
      </c>
      <c r="B28" s="331"/>
      <c r="C28" s="88"/>
      <c r="D28" s="340">
        <v>5</v>
      </c>
      <c r="E28" s="341" t="s">
        <v>98</v>
      </c>
      <c r="F28" s="432" t="s">
        <v>1604</v>
      </c>
      <c r="G28" s="433" t="s">
        <v>93</v>
      </c>
      <c r="H28" s="434" t="s">
        <v>98</v>
      </c>
      <c r="I28" s="434" t="s">
        <v>98</v>
      </c>
      <c r="J28" s="94">
        <v>1</v>
      </c>
      <c r="K28" s="433" t="s">
        <v>679</v>
      </c>
      <c r="L28" s="435">
        <v>0</v>
      </c>
      <c r="M28" s="95">
        <f t="shared" si="0"/>
        <v>1</v>
      </c>
      <c r="N28" s="96">
        <f t="shared" si="1"/>
        <v>1.2284225230179247</v>
      </c>
      <c r="O28" s="432" t="str">
        <f t="shared" si="2"/>
        <v>(3,1,1,1,1,na); calculation with m2 panel</v>
      </c>
      <c r="P28" s="435">
        <v>0</v>
      </c>
      <c r="Q28" s="95">
        <f t="shared" si="3"/>
        <v>1</v>
      </c>
      <c r="R28" s="96">
        <f t="shared" si="4"/>
        <v>1.2284225230179247</v>
      </c>
      <c r="S28" s="432" t="str">
        <f t="shared" si="5"/>
        <v>(3,1,1,1,1,na); calculation with m2 panel</v>
      </c>
      <c r="T28" s="435">
        <v>0</v>
      </c>
      <c r="U28" s="95">
        <f t="shared" si="6"/>
        <v>1</v>
      </c>
      <c r="V28" s="96">
        <f t="shared" si="7"/>
        <v>1.2284225230179247</v>
      </c>
      <c r="W28" s="432" t="str">
        <f t="shared" si="8"/>
        <v>(3,1,1,1,1,na); calculation with m2 panel</v>
      </c>
      <c r="X28" s="435">
        <v>55.5555555555556</v>
      </c>
      <c r="Y28" s="95">
        <f t="shared" si="9"/>
        <v>1</v>
      </c>
      <c r="Z28" s="96">
        <f t="shared" si="10"/>
        <v>1.2284225230179247</v>
      </c>
      <c r="AA28" s="432" t="str">
        <f t="shared" si="11"/>
        <v>(3,1,1,1,1,na); calculation with m2 panel</v>
      </c>
      <c r="AB28" s="435">
        <v>0</v>
      </c>
      <c r="AC28" s="95">
        <f>1</f>
        <v>1</v>
      </c>
      <c r="AD28" s="96">
        <f t="shared" si="27"/>
        <v>1.2284225230179247</v>
      </c>
      <c r="AE28" s="432" t="str">
        <f t="shared" si="28"/>
        <v>(3,1,1,1,1,na); calculation with m2 panel</v>
      </c>
      <c r="AF28" s="435">
        <v>0</v>
      </c>
      <c r="AG28" s="95">
        <f>1</f>
        <v>1</v>
      </c>
      <c r="AH28" s="96">
        <f t="shared" si="29"/>
        <v>1.2284225230179247</v>
      </c>
      <c r="AI28" s="432" t="str">
        <f t="shared" si="30"/>
        <v>(3,1,1,1,1,na); calculation with m2 panel</v>
      </c>
      <c r="AJ28" s="435">
        <v>0</v>
      </c>
      <c r="AK28" s="95">
        <f>1</f>
        <v>1</v>
      </c>
      <c r="AL28" s="96">
        <f t="shared" si="31"/>
        <v>1.2284225230179247</v>
      </c>
      <c r="AM28" s="432" t="str">
        <f t="shared" si="32"/>
        <v>(3,1,1,1,1,na); calculation with m2 panel</v>
      </c>
      <c r="AN28" s="435">
        <v>1388.8888888888901</v>
      </c>
      <c r="AO28" s="95">
        <f>1</f>
        <v>1</v>
      </c>
      <c r="AP28" s="96">
        <f t="shared" si="33"/>
        <v>1.2284225230179247</v>
      </c>
      <c r="AQ28" s="432" t="str">
        <f t="shared" si="34"/>
        <v>(3,1,1,1,1,na); calculation with m2 panel</v>
      </c>
      <c r="AR28" s="435">
        <v>0</v>
      </c>
      <c r="AS28" s="95">
        <f>1</f>
        <v>1</v>
      </c>
      <c r="AT28" s="96">
        <f t="shared" si="35"/>
        <v>1.2284225230179247</v>
      </c>
      <c r="AU28" s="432" t="str">
        <f t="shared" si="36"/>
        <v>(3,1,1,1,1,na); calculation with m2 panel</v>
      </c>
      <c r="AV28" s="435">
        <v>0</v>
      </c>
      <c r="AW28" s="95">
        <f>1</f>
        <v>1</v>
      </c>
      <c r="AX28" s="96">
        <f t="shared" si="22"/>
        <v>1.2284225230179247</v>
      </c>
      <c r="AY28" s="432" t="str">
        <f t="shared" si="23"/>
        <v>(3,1,1,1,1,na); calculation with m2 panel</v>
      </c>
      <c r="AZ28" s="494">
        <v>3.8594927779981698</v>
      </c>
      <c r="BA28" s="77" t="s">
        <v>1861</v>
      </c>
      <c r="BB28" s="339">
        <v>3</v>
      </c>
      <c r="BC28" s="339">
        <v>1</v>
      </c>
      <c r="BD28" s="339">
        <v>1</v>
      </c>
      <c r="BE28" s="339">
        <v>1</v>
      </c>
      <c r="BF28" s="339">
        <v>1</v>
      </c>
      <c r="BG28" s="339" t="s">
        <v>106</v>
      </c>
      <c r="BH28" s="104">
        <v>9</v>
      </c>
      <c r="BI28" s="104">
        <v>1.2</v>
      </c>
      <c r="BJ28" s="107">
        <f t="shared" si="24"/>
        <v>1.1000000000000001</v>
      </c>
      <c r="BK28" s="107">
        <f t="shared" si="25"/>
        <v>1.2284225230179247</v>
      </c>
      <c r="BL28" s="107" t="str">
        <f t="shared" si="26"/>
        <v>(3,1,1,1,1,na)</v>
      </c>
      <c r="BM28" s="108">
        <v>1.1000000000000001</v>
      </c>
      <c r="BN28" s="108">
        <v>1</v>
      </c>
      <c r="BO28" s="108">
        <v>1</v>
      </c>
      <c r="BP28" s="108">
        <v>1</v>
      </c>
      <c r="BQ28" s="108">
        <v>1</v>
      </c>
      <c r="BR28" s="108">
        <v>1</v>
      </c>
    </row>
    <row r="29" spans="1:70" ht="24" customHeight="1">
      <c r="A29" s="330">
        <v>263621</v>
      </c>
      <c r="B29" s="331"/>
      <c r="C29" s="88"/>
      <c r="D29" s="340">
        <v>5</v>
      </c>
      <c r="E29" s="341" t="s">
        <v>98</v>
      </c>
      <c r="F29" s="432" t="s">
        <v>1603</v>
      </c>
      <c r="G29" s="433" t="s">
        <v>93</v>
      </c>
      <c r="H29" s="434" t="s">
        <v>98</v>
      </c>
      <c r="I29" s="434" t="s">
        <v>98</v>
      </c>
      <c r="J29" s="94">
        <v>1</v>
      </c>
      <c r="K29" s="433" t="s">
        <v>679</v>
      </c>
      <c r="L29" s="435">
        <v>0</v>
      </c>
      <c r="M29" s="95">
        <f t="shared" si="0"/>
        <v>1</v>
      </c>
      <c r="N29" s="96">
        <f t="shared" si="1"/>
        <v>1.2284225230179247</v>
      </c>
      <c r="O29" s="432" t="str">
        <f t="shared" si="2"/>
        <v>(3,1,1,1,1,na); calculation with m2 panel</v>
      </c>
      <c r="P29" s="435">
        <v>0</v>
      </c>
      <c r="Q29" s="95">
        <f t="shared" si="3"/>
        <v>1</v>
      </c>
      <c r="R29" s="96">
        <f t="shared" si="4"/>
        <v>1.2284225230179247</v>
      </c>
      <c r="S29" s="432" t="str">
        <f t="shared" si="5"/>
        <v>(3,1,1,1,1,na); calculation with m2 panel</v>
      </c>
      <c r="T29" s="435">
        <v>0</v>
      </c>
      <c r="U29" s="95">
        <f t="shared" si="6"/>
        <v>1</v>
      </c>
      <c r="V29" s="96">
        <f t="shared" si="7"/>
        <v>1.2284225230179247</v>
      </c>
      <c r="W29" s="432" t="str">
        <f t="shared" si="8"/>
        <v>(3,1,1,1,1,na); calculation with m2 panel</v>
      </c>
      <c r="X29" s="435">
        <v>0</v>
      </c>
      <c r="Y29" s="95">
        <f t="shared" si="9"/>
        <v>1</v>
      </c>
      <c r="Z29" s="96">
        <f t="shared" si="10"/>
        <v>1.2284225230179247</v>
      </c>
      <c r="AA29" s="432" t="str">
        <f t="shared" si="11"/>
        <v>(3,1,1,1,1,na); calculation with m2 panel</v>
      </c>
      <c r="AB29" s="435">
        <v>55.5555555555556</v>
      </c>
      <c r="AC29" s="95">
        <f>1</f>
        <v>1</v>
      </c>
      <c r="AD29" s="96">
        <f t="shared" si="27"/>
        <v>1.2284225230179247</v>
      </c>
      <c r="AE29" s="432" t="str">
        <f t="shared" si="28"/>
        <v>(3,1,1,1,1,na); calculation with m2 panel</v>
      </c>
      <c r="AF29" s="435">
        <v>55.5555555555556</v>
      </c>
      <c r="AG29" s="95">
        <f>1</f>
        <v>1</v>
      </c>
      <c r="AH29" s="96">
        <f t="shared" si="29"/>
        <v>1.2284225230179247</v>
      </c>
      <c r="AI29" s="432" t="str">
        <f t="shared" si="30"/>
        <v>(3,1,1,1,1,na); calculation with m2 panel</v>
      </c>
      <c r="AJ29" s="435">
        <v>1388.8888888888901</v>
      </c>
      <c r="AK29" s="95">
        <f>1</f>
        <v>1</v>
      </c>
      <c r="AL29" s="96">
        <f t="shared" si="31"/>
        <v>1.2284225230179247</v>
      </c>
      <c r="AM29" s="432" t="str">
        <f t="shared" si="32"/>
        <v>(3,1,1,1,1,na); calculation with m2 panel</v>
      </c>
      <c r="AN29" s="435">
        <v>0</v>
      </c>
      <c r="AO29" s="95">
        <f>1</f>
        <v>1</v>
      </c>
      <c r="AP29" s="96">
        <f t="shared" si="33"/>
        <v>1.2284225230179247</v>
      </c>
      <c r="AQ29" s="432" t="str">
        <f t="shared" si="34"/>
        <v>(3,1,1,1,1,na); calculation with m2 panel</v>
      </c>
      <c r="AR29" s="435">
        <v>0</v>
      </c>
      <c r="AS29" s="95">
        <f>1</f>
        <v>1</v>
      </c>
      <c r="AT29" s="96">
        <f t="shared" si="35"/>
        <v>1.2284225230179247</v>
      </c>
      <c r="AU29" s="432" t="str">
        <f t="shared" si="36"/>
        <v>(3,1,1,1,1,na); calculation with m2 panel</v>
      </c>
      <c r="AV29" s="435">
        <v>0</v>
      </c>
      <c r="AW29" s="95">
        <f>1</f>
        <v>1</v>
      </c>
      <c r="AX29" s="96">
        <f t="shared" si="22"/>
        <v>1.2284225230179247</v>
      </c>
      <c r="AY29" s="432" t="str">
        <f t="shared" si="23"/>
        <v>(3,1,1,1,1,na); calculation with m2 panel</v>
      </c>
      <c r="AZ29" s="494">
        <v>4.4770909637727101</v>
      </c>
      <c r="BA29" s="77" t="s">
        <v>1861</v>
      </c>
      <c r="BB29" s="339">
        <v>3</v>
      </c>
      <c r="BC29" s="339">
        <v>1</v>
      </c>
      <c r="BD29" s="339">
        <v>1</v>
      </c>
      <c r="BE29" s="339">
        <v>1</v>
      </c>
      <c r="BF29" s="339">
        <v>1</v>
      </c>
      <c r="BG29" s="339" t="s">
        <v>106</v>
      </c>
      <c r="BH29" s="104">
        <v>9</v>
      </c>
      <c r="BI29" s="104">
        <v>1.2</v>
      </c>
      <c r="BJ29" s="107">
        <f t="shared" si="24"/>
        <v>1.1000000000000001</v>
      </c>
      <c r="BK29" s="107">
        <f t="shared" si="25"/>
        <v>1.2284225230179247</v>
      </c>
      <c r="BL29" s="107" t="str">
        <f t="shared" si="26"/>
        <v>(3,1,1,1,1,na)</v>
      </c>
      <c r="BM29" s="108">
        <v>1.1000000000000001</v>
      </c>
      <c r="BN29" s="108">
        <v>1</v>
      </c>
      <c r="BO29" s="108">
        <v>1</v>
      </c>
      <c r="BP29" s="108">
        <v>1</v>
      </c>
      <c r="BQ29" s="108">
        <v>1</v>
      </c>
      <c r="BR29" s="108">
        <v>1</v>
      </c>
    </row>
    <row r="30" spans="1:70" ht="24" customHeight="1">
      <c r="A30" s="330" t="s">
        <v>1645</v>
      </c>
      <c r="B30" s="331"/>
      <c r="C30" s="88"/>
      <c r="D30" s="340">
        <v>5</v>
      </c>
      <c r="E30" s="341" t="s">
        <v>98</v>
      </c>
      <c r="F30" s="432" t="s">
        <v>1643</v>
      </c>
      <c r="G30" s="433" t="s">
        <v>93</v>
      </c>
      <c r="H30" s="434" t="s">
        <v>98</v>
      </c>
      <c r="I30" s="434" t="s">
        <v>98</v>
      </c>
      <c r="J30" s="94">
        <v>1</v>
      </c>
      <c r="K30" s="433" t="s">
        <v>679</v>
      </c>
      <c r="L30" s="435">
        <v>0</v>
      </c>
      <c r="M30" s="95">
        <f t="shared" si="0"/>
        <v>1</v>
      </c>
      <c r="N30" s="96">
        <f t="shared" si="1"/>
        <v>1.2284225230179247</v>
      </c>
      <c r="O30" s="432" t="str">
        <f t="shared" si="2"/>
        <v>(3,1,1,1,1,na); calculation with m2 panel</v>
      </c>
      <c r="P30" s="435">
        <v>0</v>
      </c>
      <c r="Q30" s="95">
        <f t="shared" si="3"/>
        <v>1</v>
      </c>
      <c r="R30" s="96">
        <f t="shared" si="4"/>
        <v>1.2284225230179247</v>
      </c>
      <c r="S30" s="432" t="str">
        <f t="shared" si="5"/>
        <v>(3,1,1,1,1,na); calculation with m2 panel</v>
      </c>
      <c r="T30" s="435">
        <v>0</v>
      </c>
      <c r="U30" s="95">
        <f t="shared" si="6"/>
        <v>1</v>
      </c>
      <c r="V30" s="96">
        <f t="shared" si="7"/>
        <v>1.2284225230179247</v>
      </c>
      <c r="W30" s="432" t="str">
        <f t="shared" si="8"/>
        <v>(3,1,1,1,1,na); calculation with m2 panel</v>
      </c>
      <c r="X30" s="435">
        <v>0</v>
      </c>
      <c r="Y30" s="95">
        <f t="shared" si="9"/>
        <v>1</v>
      </c>
      <c r="Z30" s="96">
        <f t="shared" si="10"/>
        <v>1.2284225230179247</v>
      </c>
      <c r="AA30" s="432" t="str">
        <f t="shared" si="11"/>
        <v>(3,1,1,1,1,na); calculation with m2 panel</v>
      </c>
      <c r="AB30" s="435">
        <v>0</v>
      </c>
      <c r="AC30" s="95">
        <f>1</f>
        <v>1</v>
      </c>
      <c r="AD30" s="96">
        <f t="shared" si="27"/>
        <v>1.2284225230179247</v>
      </c>
      <c r="AE30" s="432" t="str">
        <f t="shared" si="28"/>
        <v>(3,1,1,1,1,na); calculation with m2 panel</v>
      </c>
      <c r="AF30" s="435">
        <v>0</v>
      </c>
      <c r="AG30" s="95">
        <f>1</f>
        <v>1</v>
      </c>
      <c r="AH30" s="96">
        <f t="shared" si="29"/>
        <v>1.2284225230179247</v>
      </c>
      <c r="AI30" s="432" t="str">
        <f t="shared" si="30"/>
        <v>(3,1,1,1,1,na); calculation with m2 panel</v>
      </c>
      <c r="AJ30" s="435">
        <v>0</v>
      </c>
      <c r="AK30" s="95">
        <f>1</f>
        <v>1</v>
      </c>
      <c r="AL30" s="96">
        <f t="shared" si="31"/>
        <v>1.2284225230179247</v>
      </c>
      <c r="AM30" s="432" t="str">
        <f t="shared" si="32"/>
        <v>(3,1,1,1,1,na); calculation with m2 panel</v>
      </c>
      <c r="AN30" s="435">
        <v>0</v>
      </c>
      <c r="AO30" s="95">
        <f>1</f>
        <v>1</v>
      </c>
      <c r="AP30" s="96">
        <f t="shared" si="33"/>
        <v>1.2284225230179247</v>
      </c>
      <c r="AQ30" s="432" t="str">
        <f t="shared" si="34"/>
        <v>(3,1,1,1,1,na); calculation with m2 panel</v>
      </c>
      <c r="AR30" s="435">
        <v>0</v>
      </c>
      <c r="AS30" s="95">
        <f>1</f>
        <v>1</v>
      </c>
      <c r="AT30" s="96">
        <f t="shared" si="35"/>
        <v>1.2284225230179247</v>
      </c>
      <c r="AU30" s="432" t="str">
        <f t="shared" si="36"/>
        <v>(3,1,1,1,1,na); calculation with m2 panel</v>
      </c>
      <c r="AV30" s="435">
        <v>55555.555555555598</v>
      </c>
      <c r="AW30" s="95">
        <f>1</f>
        <v>1</v>
      </c>
      <c r="AX30" s="96">
        <f t="shared" si="22"/>
        <v>1.2284225230179247</v>
      </c>
      <c r="AY30" s="432" t="str">
        <f t="shared" si="23"/>
        <v>(3,1,1,1,1,na); calculation with m2 panel</v>
      </c>
      <c r="AZ30" s="494">
        <v>9.7300564852869407</v>
      </c>
      <c r="BA30" s="77" t="s">
        <v>1861</v>
      </c>
      <c r="BB30" s="339">
        <v>3</v>
      </c>
      <c r="BC30" s="339">
        <v>1</v>
      </c>
      <c r="BD30" s="339">
        <v>1</v>
      </c>
      <c r="BE30" s="339">
        <v>1</v>
      </c>
      <c r="BF30" s="339">
        <v>1</v>
      </c>
      <c r="BG30" s="339" t="s">
        <v>106</v>
      </c>
      <c r="BH30" s="104">
        <v>9</v>
      </c>
      <c r="BI30" s="104">
        <v>1.2</v>
      </c>
      <c r="BJ30" s="107">
        <f t="shared" si="24"/>
        <v>1.1000000000000001</v>
      </c>
      <c r="BK30" s="107">
        <f t="shared" si="25"/>
        <v>1.2284225230179247</v>
      </c>
      <c r="BL30" s="107" t="str">
        <f t="shared" si="26"/>
        <v>(3,1,1,1,1,na)</v>
      </c>
      <c r="BM30" s="108">
        <v>1.1000000000000001</v>
      </c>
      <c r="BN30" s="108">
        <v>1</v>
      </c>
      <c r="BO30" s="108">
        <v>1</v>
      </c>
      <c r="BP30" s="108">
        <v>1</v>
      </c>
      <c r="BQ30" s="108">
        <v>1</v>
      </c>
      <c r="BR30" s="108">
        <v>1</v>
      </c>
    </row>
    <row r="31" spans="1:70" ht="24" customHeight="1">
      <c r="A31" s="330">
        <v>259285</v>
      </c>
      <c r="B31" s="331"/>
      <c r="C31" s="88"/>
      <c r="D31" s="340">
        <v>5</v>
      </c>
      <c r="E31" s="341" t="s">
        <v>98</v>
      </c>
      <c r="F31" s="432" t="s">
        <v>1950</v>
      </c>
      <c r="G31" s="433" t="s">
        <v>93</v>
      </c>
      <c r="H31" s="434" t="s">
        <v>98</v>
      </c>
      <c r="I31" s="434" t="s">
        <v>98</v>
      </c>
      <c r="J31" s="94">
        <v>1</v>
      </c>
      <c r="K31" s="433" t="s">
        <v>679</v>
      </c>
      <c r="L31" s="435">
        <v>57.2222222222222</v>
      </c>
      <c r="M31" s="95">
        <f t="shared" si="0"/>
        <v>1</v>
      </c>
      <c r="N31" s="96">
        <f t="shared" si="1"/>
        <v>1.3582005896413567</v>
      </c>
      <c r="O31" s="432" t="str">
        <f t="shared" si="2"/>
        <v>(3,4,3,1,1,5); Calculation, 2% of modules repaired in the life time, 1% rejects</v>
      </c>
      <c r="P31" s="435">
        <v>0</v>
      </c>
      <c r="Q31" s="95">
        <f t="shared" si="3"/>
        <v>1</v>
      </c>
      <c r="R31" s="96">
        <f t="shared" si="4"/>
        <v>1.3582005896413567</v>
      </c>
      <c r="S31" s="432" t="str">
        <f t="shared" si="5"/>
        <v>(3,4,3,1,1,5); Calculation, 2% of modules repaired in the life time, 1% rejects</v>
      </c>
      <c r="T31" s="435">
        <v>0</v>
      </c>
      <c r="U31" s="95">
        <f t="shared" si="6"/>
        <v>1</v>
      </c>
      <c r="V31" s="96">
        <f t="shared" si="7"/>
        <v>1.3582005896413567</v>
      </c>
      <c r="W31" s="432" t="str">
        <f t="shared" si="8"/>
        <v>(3,4,3,1,1,5); Calculation, 2% of modules repaired in the life time, 1% rejects</v>
      </c>
      <c r="X31" s="435">
        <v>57.2222222222222</v>
      </c>
      <c r="Y31" s="95">
        <f t="shared" si="9"/>
        <v>1</v>
      </c>
      <c r="Z31" s="96">
        <f t="shared" si="10"/>
        <v>1.3582005896413567</v>
      </c>
      <c r="AA31" s="432" t="str">
        <f t="shared" si="11"/>
        <v>(3,4,3,1,1,5); Calculation, 2% of modules repaired in the life time, 1% rejects</v>
      </c>
      <c r="AB31" s="435">
        <v>0</v>
      </c>
      <c r="AC31" s="95">
        <f>1</f>
        <v>1</v>
      </c>
      <c r="AD31" s="96">
        <f t="shared" si="27"/>
        <v>1.3582005896413567</v>
      </c>
      <c r="AE31" s="432" t="str">
        <f t="shared" si="28"/>
        <v>(3,4,3,1,1,5); Calculation, 2% of modules repaired in the life time, 1% rejects</v>
      </c>
      <c r="AF31" s="435">
        <v>0</v>
      </c>
      <c r="AG31" s="95">
        <f>1</f>
        <v>1</v>
      </c>
      <c r="AH31" s="96">
        <f t="shared" si="29"/>
        <v>1.3582005896413567</v>
      </c>
      <c r="AI31" s="432" t="str">
        <f t="shared" si="30"/>
        <v>(3,4,3,1,1,5); Calculation, 2% of modules repaired in the life time, 1% rejects</v>
      </c>
      <c r="AJ31" s="435">
        <v>0</v>
      </c>
      <c r="AK31" s="95">
        <f>1</f>
        <v>1</v>
      </c>
      <c r="AL31" s="96">
        <f t="shared" si="31"/>
        <v>1.3582005896413567</v>
      </c>
      <c r="AM31" s="432" t="str">
        <f t="shared" si="32"/>
        <v>(3,4,3,1,1,5); Calculation, 2% of modules repaired in the life time, 1% rejects</v>
      </c>
      <c r="AN31" s="435">
        <v>1430.55555555556</v>
      </c>
      <c r="AO31" s="95">
        <f>1</f>
        <v>1</v>
      </c>
      <c r="AP31" s="96">
        <f t="shared" si="33"/>
        <v>1.3582005896413567</v>
      </c>
      <c r="AQ31" s="432" t="str">
        <f t="shared" si="34"/>
        <v>(3,4,3,1,1,5); Calculation, 2% of modules repaired in the life time, 1% rejects</v>
      </c>
      <c r="AR31" s="435">
        <v>0</v>
      </c>
      <c r="AS31" s="95">
        <f>1</f>
        <v>1</v>
      </c>
      <c r="AT31" s="96">
        <f t="shared" si="35"/>
        <v>1.3582005896413567</v>
      </c>
      <c r="AU31" s="432" t="str">
        <f t="shared" si="36"/>
        <v>(3,4,3,1,1,5); Calculation, 2% of modules repaired in the life time, 1% rejects</v>
      </c>
      <c r="AV31" s="435">
        <v>0</v>
      </c>
      <c r="AW31" s="95">
        <f>1</f>
        <v>1</v>
      </c>
      <c r="AX31" s="96">
        <f t="shared" si="22"/>
        <v>1.3582005896413567</v>
      </c>
      <c r="AY31" s="432" t="str">
        <f t="shared" si="23"/>
        <v>(3,4,3,1,1,5); Calculation, 2% of modules repaired in the life time, 1% rejects</v>
      </c>
      <c r="AZ31" s="494">
        <f>$L$38</f>
        <v>10.1</v>
      </c>
      <c r="BA31" s="77" t="s">
        <v>1862</v>
      </c>
      <c r="BB31" s="339">
        <v>3</v>
      </c>
      <c r="BC31" s="339">
        <v>4</v>
      </c>
      <c r="BD31" s="339">
        <v>3</v>
      </c>
      <c r="BE31" s="339">
        <v>1</v>
      </c>
      <c r="BF31" s="339">
        <v>1</v>
      </c>
      <c r="BG31" s="339">
        <v>5</v>
      </c>
      <c r="BH31" s="104">
        <v>9</v>
      </c>
      <c r="BI31" s="104">
        <v>1.2</v>
      </c>
      <c r="BJ31" s="107">
        <f t="shared" si="24"/>
        <v>1.2788404103505406</v>
      </c>
      <c r="BK31" s="107">
        <f t="shared" si="25"/>
        <v>1.3582005896413567</v>
      </c>
      <c r="BL31" s="107" t="str">
        <f t="shared" si="26"/>
        <v>(3,4,3,1,1,5)</v>
      </c>
      <c r="BM31" s="108">
        <v>1.1000000000000001</v>
      </c>
      <c r="BN31" s="108">
        <v>1.1000000000000001</v>
      </c>
      <c r="BO31" s="108">
        <v>1.1000000000000001</v>
      </c>
      <c r="BP31" s="108">
        <v>1</v>
      </c>
      <c r="BQ31" s="108">
        <v>1</v>
      </c>
      <c r="BR31" s="108">
        <v>1.2</v>
      </c>
    </row>
    <row r="32" spans="1:70" ht="24" customHeight="1">
      <c r="A32" s="330">
        <v>261208</v>
      </c>
      <c r="B32" s="331"/>
      <c r="C32" s="88"/>
      <c r="D32" s="340">
        <v>5</v>
      </c>
      <c r="E32" s="341" t="s">
        <v>98</v>
      </c>
      <c r="F32" s="432" t="s">
        <v>1951</v>
      </c>
      <c r="G32" s="433" t="s">
        <v>93</v>
      </c>
      <c r="H32" s="434" t="s">
        <v>98</v>
      </c>
      <c r="I32" s="434" t="s">
        <v>98</v>
      </c>
      <c r="J32" s="94">
        <v>1</v>
      </c>
      <c r="K32" s="433" t="s">
        <v>679</v>
      </c>
      <c r="L32" s="435">
        <v>0</v>
      </c>
      <c r="M32" s="95">
        <f t="shared" si="0"/>
        <v>1</v>
      </c>
      <c r="N32" s="96">
        <f t="shared" si="1"/>
        <v>1.3582005896413567</v>
      </c>
      <c r="O32" s="432" t="str">
        <f t="shared" si="2"/>
        <v>(3,4,3,1,1,5); Calculation, 2% of modules repaired in the life time, 1% rejects</v>
      </c>
      <c r="P32" s="435">
        <v>57.2222222222222</v>
      </c>
      <c r="Q32" s="95">
        <f t="shared" si="3"/>
        <v>1</v>
      </c>
      <c r="R32" s="96">
        <f t="shared" si="4"/>
        <v>1.3582005896413567</v>
      </c>
      <c r="S32" s="432" t="str">
        <f t="shared" si="5"/>
        <v>(3,4,3,1,1,5); Calculation, 2% of modules repaired in the life time, 1% rejects</v>
      </c>
      <c r="T32" s="435">
        <v>57.2222222222222</v>
      </c>
      <c r="U32" s="95">
        <f t="shared" si="6"/>
        <v>1</v>
      </c>
      <c r="V32" s="96">
        <f t="shared" si="7"/>
        <v>1.3582005896413567</v>
      </c>
      <c r="W32" s="432" t="str">
        <f t="shared" si="8"/>
        <v>(3,4,3,1,1,5); Calculation, 2% of modules repaired in the life time, 1% rejects</v>
      </c>
      <c r="X32" s="435">
        <v>0</v>
      </c>
      <c r="Y32" s="95">
        <f t="shared" si="9"/>
        <v>1</v>
      </c>
      <c r="Z32" s="96">
        <f t="shared" si="10"/>
        <v>1.3582005896413567</v>
      </c>
      <c r="AA32" s="432" t="str">
        <f t="shared" si="11"/>
        <v>(3,4,3,1,1,5); Calculation, 2% of modules repaired in the life time, 1% rejects</v>
      </c>
      <c r="AB32" s="435">
        <v>57.2222222222222</v>
      </c>
      <c r="AC32" s="95">
        <f>1</f>
        <v>1</v>
      </c>
      <c r="AD32" s="96">
        <f t="shared" si="27"/>
        <v>1.3582005896413567</v>
      </c>
      <c r="AE32" s="432" t="str">
        <f t="shared" si="28"/>
        <v>(3,4,3,1,1,5); Calculation, 2% of modules repaired in the life time, 1% rejects</v>
      </c>
      <c r="AF32" s="435">
        <v>57.2222222222222</v>
      </c>
      <c r="AG32" s="95">
        <f>1</f>
        <v>1</v>
      </c>
      <c r="AH32" s="96">
        <f t="shared" si="29"/>
        <v>1.3582005896413567</v>
      </c>
      <c r="AI32" s="432" t="str">
        <f t="shared" si="30"/>
        <v>(3,4,3,1,1,5); Calculation, 2% of modules repaired in the life time, 1% rejects</v>
      </c>
      <c r="AJ32" s="435">
        <v>1430.55555555556</v>
      </c>
      <c r="AK32" s="95">
        <f>1</f>
        <v>1</v>
      </c>
      <c r="AL32" s="96">
        <f t="shared" si="31"/>
        <v>1.3582005896413567</v>
      </c>
      <c r="AM32" s="432" t="str">
        <f t="shared" si="32"/>
        <v>(3,4,3,1,1,5); Calculation, 2% of modules repaired in the life time, 1% rejects</v>
      </c>
      <c r="AN32" s="435">
        <v>0</v>
      </c>
      <c r="AO32" s="95">
        <f>1</f>
        <v>1</v>
      </c>
      <c r="AP32" s="96">
        <f t="shared" si="33"/>
        <v>1.3582005896413567</v>
      </c>
      <c r="AQ32" s="432" t="str">
        <f t="shared" si="34"/>
        <v>(3,4,3,1,1,5); Calculation, 2% of modules repaired in the life time, 1% rejects</v>
      </c>
      <c r="AR32" s="435">
        <v>1430.55555555556</v>
      </c>
      <c r="AS32" s="95">
        <f>1</f>
        <v>1</v>
      </c>
      <c r="AT32" s="96">
        <f t="shared" si="35"/>
        <v>1.3582005896413567</v>
      </c>
      <c r="AU32" s="432" t="str">
        <f t="shared" si="36"/>
        <v>(3,4,3,1,1,5); Calculation, 2% of modules repaired in the life time, 1% rejects</v>
      </c>
      <c r="AV32" s="435">
        <v>57222.222222222197</v>
      </c>
      <c r="AW32" s="95">
        <f>1</f>
        <v>1</v>
      </c>
      <c r="AX32" s="96">
        <f t="shared" si="22"/>
        <v>1.3582005896413567</v>
      </c>
      <c r="AY32" s="432" t="str">
        <f t="shared" si="23"/>
        <v>(3,4,3,1,1,5); Calculation, 2% of modules repaired in the life time, 1% rejects</v>
      </c>
      <c r="AZ32" s="494">
        <f>$P$38</f>
        <v>12.195967743732901</v>
      </c>
      <c r="BA32" s="77" t="s">
        <v>1862</v>
      </c>
      <c r="BB32" s="339">
        <v>3</v>
      </c>
      <c r="BC32" s="339">
        <v>4</v>
      </c>
      <c r="BD32" s="339">
        <v>3</v>
      </c>
      <c r="BE32" s="339">
        <v>1</v>
      </c>
      <c r="BF32" s="339">
        <v>1</v>
      </c>
      <c r="BG32" s="339">
        <v>5</v>
      </c>
      <c r="BH32" s="104">
        <v>9</v>
      </c>
      <c r="BI32" s="104">
        <v>1.2</v>
      </c>
      <c r="BJ32" s="107">
        <f t="shared" si="24"/>
        <v>1.2788404103505406</v>
      </c>
      <c r="BK32" s="107">
        <f t="shared" si="25"/>
        <v>1.3582005896413567</v>
      </c>
      <c r="BL32" s="107" t="str">
        <f t="shared" si="26"/>
        <v>(3,4,3,1,1,5)</v>
      </c>
      <c r="BM32" s="108">
        <v>1.1000000000000001</v>
      </c>
      <c r="BN32" s="108">
        <v>1.1000000000000001</v>
      </c>
      <c r="BO32" s="108">
        <v>1.1000000000000001</v>
      </c>
      <c r="BP32" s="108">
        <v>1</v>
      </c>
      <c r="BQ32" s="108">
        <v>1</v>
      </c>
      <c r="BR32" s="108">
        <v>1.2</v>
      </c>
    </row>
    <row r="33" spans="1:70">
      <c r="A33" s="330">
        <v>259361</v>
      </c>
      <c r="B33" s="331"/>
      <c r="C33" s="88"/>
      <c r="D33" s="340">
        <v>5</v>
      </c>
      <c r="E33" s="341" t="s">
        <v>98</v>
      </c>
      <c r="F33" s="432" t="s">
        <v>1578</v>
      </c>
      <c r="G33" s="433" t="s">
        <v>93</v>
      </c>
      <c r="H33" s="434" t="s">
        <v>98</v>
      </c>
      <c r="I33" s="434" t="s">
        <v>98</v>
      </c>
      <c r="J33" s="94">
        <v>0</v>
      </c>
      <c r="K33" s="433" t="s">
        <v>96</v>
      </c>
      <c r="L33" s="435">
        <f>SUMPRODUCT(L31:L32,$AZ31:$AZ32)</f>
        <v>577.94444444444423</v>
      </c>
      <c r="M33" s="95">
        <f t="shared" si="0"/>
        <v>1</v>
      </c>
      <c r="N33" s="96">
        <f t="shared" si="1"/>
        <v>1.2849840792941758</v>
      </c>
      <c r="O33" s="432" t="str">
        <f t="shared" si="2"/>
        <v>(3,4,3,1,1,5); recycling of PV modules at the end of life</v>
      </c>
      <c r="P33" s="435">
        <f>SUMPRODUCT(P31:P32,$AZ31:$AZ32)</f>
        <v>697.88037644693793</v>
      </c>
      <c r="Q33" s="95">
        <f t="shared" si="3"/>
        <v>1</v>
      </c>
      <c r="R33" s="96">
        <f t="shared" si="4"/>
        <v>1.2849840792941758</v>
      </c>
      <c r="S33" s="432" t="str">
        <f t="shared" si="5"/>
        <v>(3,4,3,1,1,5); recycling of PV modules at the end of life</v>
      </c>
      <c r="T33" s="435">
        <f>SUMPRODUCT(T31:T32,$AZ31:$AZ32)</f>
        <v>697.88037644693793</v>
      </c>
      <c r="U33" s="95">
        <f t="shared" si="6"/>
        <v>1</v>
      </c>
      <c r="V33" s="96">
        <f t="shared" si="7"/>
        <v>1.2849840792941758</v>
      </c>
      <c r="W33" s="432" t="str">
        <f t="shared" si="8"/>
        <v>(3,4,3,1,1,5); recycling of PV modules at the end of life</v>
      </c>
      <c r="X33" s="435">
        <f>SUMPRODUCT(X31:X32,$AZ31:$AZ32)</f>
        <v>577.94444444444423</v>
      </c>
      <c r="Y33" s="95">
        <f t="shared" si="9"/>
        <v>1</v>
      </c>
      <c r="Z33" s="96">
        <f t="shared" si="10"/>
        <v>1.2849840792941758</v>
      </c>
      <c r="AA33" s="432" t="str">
        <f t="shared" si="11"/>
        <v>(3,4,3,1,1,5); recycling of PV modules at the end of life</v>
      </c>
      <c r="AB33" s="435">
        <f>SUMPRODUCT(AB31:AB32,$AZ31:$AZ32)</f>
        <v>697.88037644693793</v>
      </c>
      <c r="AC33" s="95">
        <f>1</f>
        <v>1</v>
      </c>
      <c r="AD33" s="96">
        <f t="shared" si="27"/>
        <v>1.2849840792941758</v>
      </c>
      <c r="AE33" s="432" t="str">
        <f t="shared" si="28"/>
        <v>(3,4,3,1,1,5); recycling of PV modules at the end of life</v>
      </c>
      <c r="AF33" s="435">
        <f>SUMPRODUCT(AF31:AF32,$AZ31:$AZ32)</f>
        <v>697.88037644693793</v>
      </c>
      <c r="AG33" s="95">
        <f>1</f>
        <v>1</v>
      </c>
      <c r="AH33" s="96">
        <f t="shared" si="29"/>
        <v>1.2849840792941758</v>
      </c>
      <c r="AI33" s="432" t="str">
        <f t="shared" si="30"/>
        <v>(3,4,3,1,1,5); recycling of PV modules at the end of life</v>
      </c>
      <c r="AJ33" s="435">
        <f>SUMPRODUCT(AJ31:AJ32,$AZ31:$AZ32)</f>
        <v>17447.009411173509</v>
      </c>
      <c r="AK33" s="95">
        <f>1</f>
        <v>1</v>
      </c>
      <c r="AL33" s="96">
        <f t="shared" si="31"/>
        <v>1.2849840792941758</v>
      </c>
      <c r="AM33" s="432" t="str">
        <f t="shared" si="32"/>
        <v>(3,4,3,1,1,5); recycling of PV modules at the end of life</v>
      </c>
      <c r="AN33" s="435">
        <f>SUMPRODUCT(AN31:AN32,$AZ31:$AZ32)</f>
        <v>14448.611111111155</v>
      </c>
      <c r="AO33" s="95">
        <f>1</f>
        <v>1</v>
      </c>
      <c r="AP33" s="96">
        <f t="shared" si="33"/>
        <v>1.2849840792941758</v>
      </c>
      <c r="AQ33" s="432" t="str">
        <f t="shared" si="34"/>
        <v>(3,4,3,1,1,5); recycling of PV modules at the end of life</v>
      </c>
      <c r="AR33" s="435">
        <f>SUMPRODUCT(AR31:AR32,$AZ31:$AZ32)</f>
        <v>17447.009411173509</v>
      </c>
      <c r="AS33" s="95">
        <f>1</f>
        <v>1</v>
      </c>
      <c r="AT33" s="96">
        <f t="shared" si="35"/>
        <v>1.2849840792941758</v>
      </c>
      <c r="AU33" s="432" t="str">
        <f t="shared" si="36"/>
        <v>(3,4,3,1,1,5); recycling of PV modules at the end of life</v>
      </c>
      <c r="AV33" s="435">
        <f>SUMPRODUCT(AV31:AV32,$AZ31:$AZ32)</f>
        <v>697880.37644693791</v>
      </c>
      <c r="AW33" s="95">
        <f>1</f>
        <v>1</v>
      </c>
      <c r="AX33" s="96">
        <f t="shared" si="22"/>
        <v>1.2849840792941758</v>
      </c>
      <c r="AY33" s="432" t="str">
        <f t="shared" si="23"/>
        <v>(3,4,3,1,1,5); recycling of PV modules at the end of life</v>
      </c>
      <c r="BA33" s="77" t="s">
        <v>1863</v>
      </c>
      <c r="BB33" s="339">
        <v>3</v>
      </c>
      <c r="BC33" s="339">
        <v>4</v>
      </c>
      <c r="BD33" s="339">
        <v>3</v>
      </c>
      <c r="BE33" s="339">
        <v>1</v>
      </c>
      <c r="BF33" s="339">
        <v>1</v>
      </c>
      <c r="BG33" s="339">
        <v>5</v>
      </c>
      <c r="BH33" s="104">
        <v>6</v>
      </c>
      <c r="BI33" s="104">
        <v>1.05</v>
      </c>
      <c r="BJ33" s="107">
        <f t="shared" si="24"/>
        <v>1.2788404103505406</v>
      </c>
      <c r="BK33" s="107">
        <f t="shared" si="25"/>
        <v>1.2849840792941758</v>
      </c>
      <c r="BL33" s="107" t="str">
        <f t="shared" si="26"/>
        <v>(3,4,3,1,1,5)</v>
      </c>
      <c r="BM33" s="108">
        <v>1.1000000000000001</v>
      </c>
      <c r="BN33" s="108">
        <v>1.1000000000000001</v>
      </c>
      <c r="BO33" s="108">
        <v>1.1000000000000001</v>
      </c>
      <c r="BP33" s="108">
        <v>1</v>
      </c>
      <c r="BQ33" s="108">
        <v>1</v>
      </c>
      <c r="BR33" s="108">
        <v>1.2</v>
      </c>
    </row>
    <row r="34" spans="1:70" ht="24" customHeight="1">
      <c r="A34" s="330">
        <v>266207</v>
      </c>
      <c r="B34" s="331"/>
      <c r="C34" s="88"/>
      <c r="D34" s="340">
        <v>5</v>
      </c>
      <c r="E34" s="341" t="s">
        <v>98</v>
      </c>
      <c r="F34" s="432" t="s">
        <v>1864</v>
      </c>
      <c r="G34" s="433" t="s">
        <v>93</v>
      </c>
      <c r="H34" s="434" t="s">
        <v>98</v>
      </c>
      <c r="I34" s="434" t="s">
        <v>98</v>
      </c>
      <c r="J34" s="94">
        <v>0</v>
      </c>
      <c r="K34" s="433" t="s">
        <v>115</v>
      </c>
      <c r="L34" s="435">
        <f>0.1*SUMPRODUCT(L20:L32,$AZ20:$AZ32)</f>
        <v>83.365450269232142</v>
      </c>
      <c r="M34" s="95">
        <f t="shared" si="0"/>
        <v>1</v>
      </c>
      <c r="N34" s="96">
        <f t="shared" si="1"/>
        <v>2.0865051432908035</v>
      </c>
      <c r="O34" s="432" t="str">
        <f t="shared" si="2"/>
        <v>(3,4,3,1,1,5); transport of inverter, electric installation, mounting structure and module 100km to construction site</v>
      </c>
      <c r="P34" s="435">
        <f>0.1*SUMPRODUCT(P20:P32,$AZ20:$AZ32)</f>
        <v>102.05571076895907</v>
      </c>
      <c r="Q34" s="95">
        <f t="shared" si="3"/>
        <v>1</v>
      </c>
      <c r="R34" s="96">
        <f t="shared" si="4"/>
        <v>2.0865051432908035</v>
      </c>
      <c r="S34" s="432" t="str">
        <f t="shared" si="5"/>
        <v>(3,4,3,1,1,5); transport of inverter, electric installation, mounting structure and module 100km to construction site</v>
      </c>
      <c r="T34" s="435">
        <f>0.1*SUMPRODUCT(T20:T32,$AZ20:$AZ32)</f>
        <v>103.48660246951525</v>
      </c>
      <c r="U34" s="95">
        <f t="shared" si="6"/>
        <v>1</v>
      </c>
      <c r="V34" s="96">
        <f t="shared" si="7"/>
        <v>2.0865051432908035</v>
      </c>
      <c r="W34" s="432" t="str">
        <f t="shared" si="8"/>
        <v>(3,4,3,1,1,5); transport of inverter, electric installation, mounting structure and module 100km to construction site</v>
      </c>
      <c r="X34" s="435">
        <f>0.1*SUMPRODUCT(X20:X32,$AZ20:$AZ32)</f>
        <v>86.63101653662892</v>
      </c>
      <c r="Y34" s="95">
        <f t="shared" si="9"/>
        <v>1</v>
      </c>
      <c r="Z34" s="96">
        <f t="shared" si="10"/>
        <v>2.0865051432908035</v>
      </c>
      <c r="AA34" s="432" t="str">
        <f t="shared" si="11"/>
        <v>(3,4,3,1,1,5); transport of inverter, electric installation, mounting structure and module 100km to construction site</v>
      </c>
      <c r="AB34" s="435">
        <f>0.1*SUMPRODUCT(AB20:AB32,$AZ20:$AZ32)</f>
        <v>102.05571076895907</v>
      </c>
      <c r="AC34" s="95">
        <f>1</f>
        <v>1</v>
      </c>
      <c r="AD34" s="96">
        <f t="shared" si="27"/>
        <v>2.0865051432908035</v>
      </c>
      <c r="AE34" s="432" t="str">
        <f t="shared" si="28"/>
        <v>(3,4,3,1,1,5); transport of inverter, electric installation, mounting structure and module 100km to construction site</v>
      </c>
      <c r="AF34" s="435">
        <f>0.1*SUMPRODUCT(AF20:AF32,$AZ20:$AZ32)</f>
        <v>102.05571076895907</v>
      </c>
      <c r="AG34" s="95">
        <f>1</f>
        <v>1</v>
      </c>
      <c r="AH34" s="96">
        <f t="shared" si="29"/>
        <v>2.0865051432908035</v>
      </c>
      <c r="AI34" s="432" t="str">
        <f t="shared" si="30"/>
        <v>(3,4,3,1,1,5); transport of inverter, electric installation, mounting structure and module 100km to construction site</v>
      </c>
      <c r="AJ34" s="435">
        <f>0.1*SUMPRODUCT(AJ20:AJ32,$AZ20:$AZ32)</f>
        <v>2506.4575765605605</v>
      </c>
      <c r="AK34" s="95">
        <f>1</f>
        <v>1</v>
      </c>
      <c r="AL34" s="96">
        <f t="shared" si="31"/>
        <v>2.0865051432908035</v>
      </c>
      <c r="AM34" s="432" t="str">
        <f t="shared" si="32"/>
        <v>(3,4,3,1,1,5); transport of inverter, electric installation, mounting structure and module 100km to construction site</v>
      </c>
      <c r="AN34" s="435">
        <f>0.1*SUMPRODUCT(AN20:AN32,$AZ20:$AZ32)</f>
        <v>2120.840220752305</v>
      </c>
      <c r="AO34" s="95">
        <f>1</f>
        <v>1</v>
      </c>
      <c r="AP34" s="96">
        <f t="shared" si="33"/>
        <v>2.0865051432908035</v>
      </c>
      <c r="AQ34" s="432" t="str">
        <f t="shared" si="34"/>
        <v>(3,4,3,1,1,5); transport of inverter, electric installation, mounting structure and module 100km to construction site</v>
      </c>
      <c r="AR34" s="435">
        <f>0.1*SUMPRODUCT(AR20:AR32,$AZ20:$AZ32)</f>
        <v>2542.2298690744642</v>
      </c>
      <c r="AS34" s="95">
        <f>1</f>
        <v>1</v>
      </c>
      <c r="AT34" s="96">
        <f t="shared" si="35"/>
        <v>2.0865051432908035</v>
      </c>
      <c r="AU34" s="432" t="str">
        <f t="shared" si="36"/>
        <v>(3,4,3,1,1,5); transport of inverter, electric installation, mounting structure and module 100km to construction site</v>
      </c>
      <c r="AV34" s="435">
        <f>0.1*SUMPRODUCT(AV20:AV32,$AZ20:$AZ32)</f>
        <v>138119.9568833583</v>
      </c>
      <c r="AW34" s="95">
        <f>1</f>
        <v>1</v>
      </c>
      <c r="AX34" s="96">
        <f t="shared" si="22"/>
        <v>2.0865051432908035</v>
      </c>
      <c r="AY34" s="432" t="str">
        <f t="shared" si="23"/>
        <v>(3,4,3,1,1,5); transport of inverter, electric installation, mounting structure and module 100km to construction site</v>
      </c>
      <c r="BA34" s="77" t="s">
        <v>1865</v>
      </c>
      <c r="BB34" s="339">
        <v>3</v>
      </c>
      <c r="BC34" s="339">
        <v>4</v>
      </c>
      <c r="BD34" s="339">
        <v>3</v>
      </c>
      <c r="BE34" s="339">
        <v>1</v>
      </c>
      <c r="BF34" s="339">
        <v>1</v>
      </c>
      <c r="BG34" s="339">
        <v>5</v>
      </c>
      <c r="BH34" s="104">
        <v>5</v>
      </c>
      <c r="BI34" s="104">
        <v>2</v>
      </c>
      <c r="BJ34" s="107">
        <f t="shared" si="24"/>
        <v>1.2788404103505406</v>
      </c>
      <c r="BK34" s="107">
        <f t="shared" si="25"/>
        <v>2.0865051432908035</v>
      </c>
      <c r="BL34" s="107" t="str">
        <f t="shared" si="26"/>
        <v>(3,4,3,1,1,5)</v>
      </c>
      <c r="BM34" s="108">
        <v>1.1000000000000001</v>
      </c>
      <c r="BN34" s="108">
        <v>1.1000000000000001</v>
      </c>
      <c r="BO34" s="108">
        <v>1.1000000000000001</v>
      </c>
      <c r="BP34" s="108">
        <v>1</v>
      </c>
      <c r="BQ34" s="108">
        <v>1</v>
      </c>
      <c r="BR34" s="108">
        <v>1.2</v>
      </c>
    </row>
    <row r="35" spans="1:70">
      <c r="A35" s="330">
        <v>21844</v>
      </c>
      <c r="B35" s="331" t="s">
        <v>594</v>
      </c>
      <c r="C35" s="88"/>
      <c r="D35" s="340" t="s">
        <v>98</v>
      </c>
      <c r="E35" s="341">
        <v>4</v>
      </c>
      <c r="F35" s="432" t="s">
        <v>121</v>
      </c>
      <c r="G35" s="433" t="s">
        <v>98</v>
      </c>
      <c r="H35" s="434" t="s">
        <v>247</v>
      </c>
      <c r="I35" s="434" t="s">
        <v>258</v>
      </c>
      <c r="J35" s="94" t="s">
        <v>98</v>
      </c>
      <c r="K35" s="433" t="s">
        <v>104</v>
      </c>
      <c r="L35" s="435">
        <f>3.6*L18</f>
        <v>0.48</v>
      </c>
      <c r="M35" s="95">
        <f t="shared" si="0"/>
        <v>1</v>
      </c>
      <c r="N35" s="96">
        <f t="shared" si="1"/>
        <v>1.2849840792941758</v>
      </c>
      <c r="O35" s="432" t="str">
        <f t="shared" si="2"/>
        <v>(3,4,3,1,1,5); calculated with electricity use</v>
      </c>
      <c r="P35" s="435">
        <f>3.6*P18</f>
        <v>0.48</v>
      </c>
      <c r="Q35" s="95">
        <f t="shared" si="3"/>
        <v>1</v>
      </c>
      <c r="R35" s="96">
        <f t="shared" si="4"/>
        <v>1.2849840792941758</v>
      </c>
      <c r="S35" s="432" t="str">
        <f t="shared" si="5"/>
        <v>(3,4,3,1,1,5); calculated with electricity use</v>
      </c>
      <c r="T35" s="435">
        <f>3.6*T18</f>
        <v>12.240000000000002</v>
      </c>
      <c r="U35" s="95">
        <f t="shared" si="6"/>
        <v>1</v>
      </c>
      <c r="V35" s="96">
        <f t="shared" si="7"/>
        <v>1.2849840792941758</v>
      </c>
      <c r="W35" s="432" t="str">
        <f t="shared" si="8"/>
        <v>(3,4,3,1,1,5); calculated with electricity use</v>
      </c>
      <c r="X35" s="435">
        <f>3.6*X18</f>
        <v>2.7600000000000002</v>
      </c>
      <c r="Y35" s="95">
        <f t="shared" si="9"/>
        <v>1</v>
      </c>
      <c r="Z35" s="96">
        <f t="shared" si="10"/>
        <v>1.2849840792941758</v>
      </c>
      <c r="AA35" s="432" t="str">
        <f t="shared" si="11"/>
        <v>(3,4,3,1,1,5); calculated with electricity use</v>
      </c>
      <c r="AB35" s="435">
        <f>3.6*AB18</f>
        <v>2.7600000000000002</v>
      </c>
      <c r="AC35" s="95">
        <f>1</f>
        <v>1</v>
      </c>
      <c r="AD35" s="96">
        <f t="shared" si="27"/>
        <v>1.2849840792941758</v>
      </c>
      <c r="AE35" s="432" t="str">
        <f t="shared" si="28"/>
        <v>(3,4,3,1,1,5); calculated with electricity use</v>
      </c>
      <c r="AF35" s="435">
        <f>3.6*AF17</f>
        <v>2.7600000000000002</v>
      </c>
      <c r="AG35" s="95">
        <f>1</f>
        <v>1</v>
      </c>
      <c r="AH35" s="96">
        <f t="shared" si="29"/>
        <v>1.2849840792941758</v>
      </c>
      <c r="AI35" s="432" t="str">
        <f t="shared" si="30"/>
        <v>(3,4,3,1,1,5); calculated with electricity use</v>
      </c>
      <c r="AJ35" s="435">
        <f>3.6*AJ17</f>
        <v>69</v>
      </c>
      <c r="AK35" s="95">
        <f>1</f>
        <v>1</v>
      </c>
      <c r="AL35" s="96">
        <f t="shared" si="31"/>
        <v>1.2849840792941758</v>
      </c>
      <c r="AM35" s="432" t="str">
        <f t="shared" si="32"/>
        <v>(3,4,3,1,1,5); calculated with electricity use</v>
      </c>
      <c r="AN35" s="435">
        <f>3.6*AN17</f>
        <v>69</v>
      </c>
      <c r="AO35" s="95">
        <f>1</f>
        <v>1</v>
      </c>
      <c r="AP35" s="96">
        <f t="shared" si="33"/>
        <v>1.2849840792941758</v>
      </c>
      <c r="AQ35" s="432" t="str">
        <f t="shared" si="34"/>
        <v>(3,4,3,1,1,5); calculated with electricity use</v>
      </c>
      <c r="AR35" s="435">
        <f>3.6*AR17</f>
        <v>69</v>
      </c>
      <c r="AS35" s="95">
        <f>1</f>
        <v>1</v>
      </c>
      <c r="AT35" s="96">
        <f t="shared" si="35"/>
        <v>1.2849840792941758</v>
      </c>
      <c r="AU35" s="432" t="str">
        <f t="shared" si="36"/>
        <v>(3,4,3,1,1,5); calculated with electricity use</v>
      </c>
      <c r="AV35" s="435">
        <f>3.6*AV17</f>
        <v>2760.0000000000005</v>
      </c>
      <c r="AW35" s="95">
        <f>1</f>
        <v>1</v>
      </c>
      <c r="AX35" s="96">
        <f t="shared" si="22"/>
        <v>1.2849840792941758</v>
      </c>
      <c r="AY35" s="432" t="str">
        <f t="shared" si="23"/>
        <v>(3,4,3,1,1,5); calculated with electricity use</v>
      </c>
      <c r="BA35" s="77" t="s">
        <v>1866</v>
      </c>
      <c r="BB35" s="339">
        <v>3</v>
      </c>
      <c r="BC35" s="339">
        <v>4</v>
      </c>
      <c r="BD35" s="339">
        <v>3</v>
      </c>
      <c r="BE35" s="339">
        <v>1</v>
      </c>
      <c r="BF35" s="339">
        <v>1</v>
      </c>
      <c r="BG35" s="339">
        <v>5</v>
      </c>
      <c r="BH35" s="104">
        <v>13</v>
      </c>
      <c r="BI35" s="104">
        <v>1.05</v>
      </c>
      <c r="BJ35" s="107">
        <f t="shared" si="24"/>
        <v>1.2788404103505406</v>
      </c>
      <c r="BK35" s="107">
        <f t="shared" si="25"/>
        <v>1.2849840792941758</v>
      </c>
      <c r="BL35" s="107" t="str">
        <f t="shared" si="26"/>
        <v>(3,4,3,1,1,5)</v>
      </c>
      <c r="BM35" s="108">
        <v>1.1000000000000001</v>
      </c>
      <c r="BN35" s="108">
        <v>1.1000000000000001</v>
      </c>
      <c r="BO35" s="108">
        <v>1.1000000000000001</v>
      </c>
      <c r="BP35" s="108">
        <v>1</v>
      </c>
      <c r="BQ35" s="108">
        <v>1</v>
      </c>
      <c r="BR35" s="108">
        <v>1.2</v>
      </c>
    </row>
    <row r="36" spans="1:70">
      <c r="AB36" s="199"/>
      <c r="AC36" s="407"/>
      <c r="AF36" s="199"/>
      <c r="AG36" s="407"/>
      <c r="AJ36" s="199"/>
      <c r="AK36" s="407"/>
      <c r="AN36" s="199"/>
      <c r="AO36" s="407"/>
      <c r="AR36" s="199"/>
      <c r="AS36" s="407"/>
      <c r="AV36" s="199"/>
      <c r="AW36" s="407"/>
    </row>
    <row r="37" spans="1:70">
      <c r="AB37" s="199"/>
      <c r="AC37" s="407"/>
      <c r="AF37" s="199"/>
      <c r="AG37" s="407"/>
      <c r="AJ37" s="199"/>
      <c r="AK37" s="407"/>
      <c r="AN37" s="199"/>
      <c r="AO37" s="407"/>
      <c r="AR37" s="199"/>
      <c r="AS37" s="407"/>
      <c r="AV37" s="199"/>
      <c r="AW37" s="407"/>
    </row>
    <row r="38" spans="1:70">
      <c r="F38" s="378" t="s">
        <v>1952</v>
      </c>
      <c r="K38" s="378" t="s">
        <v>902</v>
      </c>
      <c r="L38" s="494">
        <v>10.1</v>
      </c>
      <c r="M38" s="496"/>
      <c r="N38" s="496"/>
      <c r="O38" s="496"/>
      <c r="P38" s="494">
        <v>12.195967743732901</v>
      </c>
      <c r="Q38" s="496"/>
      <c r="R38" s="496"/>
      <c r="S38" s="496"/>
      <c r="T38" s="494">
        <v>12.195967743732901</v>
      </c>
      <c r="U38" s="496"/>
      <c r="V38" s="496"/>
      <c r="W38" s="496"/>
      <c r="X38" s="494">
        <v>10.1</v>
      </c>
      <c r="Y38" s="496"/>
      <c r="Z38" s="496"/>
      <c r="AA38" s="496"/>
      <c r="AB38" s="494">
        <v>12.195967743732901</v>
      </c>
      <c r="AC38" s="407"/>
      <c r="AF38" s="494">
        <v>12.195967743732901</v>
      </c>
      <c r="AG38" s="407"/>
      <c r="AJ38" s="494">
        <v>12.195967743732901</v>
      </c>
      <c r="AK38" s="407"/>
      <c r="AN38" s="494">
        <v>10.1</v>
      </c>
      <c r="AO38" s="407"/>
      <c r="AR38" s="494">
        <v>12.195967743732901</v>
      </c>
      <c r="AS38" s="407"/>
      <c r="AV38" s="494">
        <v>12.195967743732901</v>
      </c>
      <c r="AW38" s="407"/>
    </row>
  </sheetData>
  <mergeCells count="1">
    <mergeCell ref="BB1:BG1"/>
  </mergeCells>
  <phoneticPr fontId="31" type="noConversion"/>
  <conditionalFormatting sqref="D17:AY35">
    <cfRule type="expression" dxfId="71" priority="1">
      <formula>MOD(ROW(),2)=0</formula>
    </cfRule>
  </conditionalFormatting>
  <conditionalFormatting sqref="BA17:BG35">
    <cfRule type="expression" dxfId="70" priority="4">
      <formula>MOD(ROW(),2)=0</formula>
    </cfRule>
  </conditionalFormatting>
  <conditionalFormatting sqref="BH17:BR35">
    <cfRule type="expression" dxfId="69" priority="8">
      <formula>MOD(ROW(),2)=0</formula>
    </cfRule>
  </conditionalFormatting>
  <dataValidations disablePrompts="1"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B3" xr:uid="{00000000-0002-0000-4A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G3" xr:uid="{00000000-0002-0000-4A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F3" xr:uid="{00000000-0002-0000-4A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E3" xr:uid="{00000000-0002-0000-4A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D3" xr:uid="{00000000-0002-0000-4A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C3" xr:uid="{00000000-0002-0000-4A00-000005000000}"/>
    <dataValidation allowBlank="1" showInputMessage="1" showErrorMessage="1" prompt="Do not change." sqref="BH3:BR4 BJ7:BR16" xr:uid="{00000000-0002-0000-4A00-000006000000}"/>
    <dataValidation allowBlank="1" showInputMessage="1" showErrorMessage="1" promptTitle="Remarks" prompt="A general comment (data source, calculation procedure, ...) can be made about each individual exchange. The remarks are added to the GeneralComment-field." sqref="BA3" xr:uid="{00000000-0002-0000-4A00-000007000000}"/>
    <dataValidation allowBlank="1" showInputMessage="1" showErrorMessage="1" promptTitle="Do not change" prompt="This field is automatically updated from the names-list" sqref="BH17:BH35" xr:uid="{00000000-0002-0000-4A00-000008000000}"/>
  </dataValidations>
  <pageMargins left="0.78740157499999996" right="0.78740157499999996" top="0.984251969" bottom="0.984251969" header="0.4921259845" footer="0.4921259845"/>
  <pageSetup paperSize="9" scale="3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70">
    <tabColor rgb="FF9CD9F0"/>
    <pageSetUpPr fitToPage="1"/>
  </sheetPr>
  <dimension ref="A1:AY27"/>
  <sheetViews>
    <sheetView workbookViewId="0">
      <selection activeCell="P16" sqref="P16"/>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customWidth="1" outlineLevel="1"/>
    <col min="31" max="31" width="50.7109375" style="116" customWidth="1" outlineLevel="1"/>
    <col min="32" max="32" width="11.42578125" style="378" customWidth="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99" customWidth="1" collapsed="1"/>
    <col min="52" max="52" width="11.42578125" style="399" customWidth="1"/>
    <col min="53" max="16384" width="11.42578125" style="399"/>
  </cols>
  <sheetData>
    <row r="1" spans="1:50">
      <c r="A1" s="77"/>
      <c r="B1" s="78"/>
      <c r="C1" s="79"/>
      <c r="D1" s="77"/>
      <c r="E1" s="77"/>
      <c r="F1" s="80" t="s">
        <v>65</v>
      </c>
      <c r="G1" s="77"/>
      <c r="H1" s="77"/>
      <c r="I1" s="77"/>
      <c r="J1" s="77"/>
      <c r="K1" s="77"/>
      <c r="L1" s="330" t="str">
        <f>A7</f>
        <v>Z-PV-166</v>
      </c>
      <c r="M1" s="81"/>
      <c r="N1" s="81"/>
      <c r="O1" s="81"/>
      <c r="P1" s="330" t="str">
        <f>A8</f>
        <v>Z-PV-167</v>
      </c>
      <c r="Q1" s="81"/>
      <c r="R1" s="81"/>
      <c r="S1" s="81"/>
      <c r="T1" s="330" t="str">
        <f>A9</f>
        <v>Z-PV-170</v>
      </c>
      <c r="U1" s="81"/>
      <c r="V1" s="81"/>
      <c r="W1" s="81"/>
      <c r="X1" s="330" t="str">
        <f>A10</f>
        <v>Z-PV-174</v>
      </c>
      <c r="Y1" s="81"/>
      <c r="Z1" s="81"/>
      <c r="AA1" s="81"/>
      <c r="AB1" s="330" t="str">
        <f>A11</f>
        <v>Z-PV-175</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0" ht="104.25" customHeight="1">
      <c r="A3" s="83" t="s">
        <v>68</v>
      </c>
      <c r="B3" s="84"/>
      <c r="C3" s="79">
        <v>401</v>
      </c>
      <c r="D3" s="85" t="s">
        <v>69</v>
      </c>
      <c r="E3" s="85" t="s">
        <v>70</v>
      </c>
      <c r="F3" s="86" t="s">
        <v>71</v>
      </c>
      <c r="G3" s="85" t="s">
        <v>72</v>
      </c>
      <c r="H3" s="85" t="s">
        <v>73</v>
      </c>
      <c r="I3" s="85" t="s">
        <v>74</v>
      </c>
      <c r="J3" s="85" t="s">
        <v>75</v>
      </c>
      <c r="K3" s="85" t="s">
        <v>76</v>
      </c>
      <c r="L3" s="87" t="s">
        <v>1953</v>
      </c>
      <c r="M3" s="422" t="str">
        <f>$AC3</f>
        <v>UncertaintyType</v>
      </c>
      <c r="N3" s="422" t="str">
        <f>$AD3</f>
        <v>StandardDeviation95%</v>
      </c>
      <c r="O3" s="423" t="str">
        <f>$AE3</f>
        <v>GeneralComment</v>
      </c>
      <c r="P3" s="87" t="s">
        <v>1954</v>
      </c>
      <c r="Q3" s="422" t="str">
        <f>$AC3</f>
        <v>UncertaintyType</v>
      </c>
      <c r="R3" s="422" t="str">
        <f>$AD3</f>
        <v>StandardDeviation95%</v>
      </c>
      <c r="S3" s="423" t="str">
        <f>$AE3</f>
        <v>GeneralComment</v>
      </c>
      <c r="T3" s="87" t="s">
        <v>1955</v>
      </c>
      <c r="U3" s="422" t="str">
        <f>$AC3</f>
        <v>UncertaintyType</v>
      </c>
      <c r="V3" s="422" t="str">
        <f>$AD3</f>
        <v>StandardDeviation95%</v>
      </c>
      <c r="W3" s="423" t="str">
        <f>$AE3</f>
        <v>GeneralComment</v>
      </c>
      <c r="X3" s="87" t="s">
        <v>1956</v>
      </c>
      <c r="Y3" s="422" t="str">
        <f>$AC3</f>
        <v>UncertaintyType</v>
      </c>
      <c r="Z3" s="422" t="str">
        <f>$AD3</f>
        <v>StandardDeviation95%</v>
      </c>
      <c r="AA3" s="423" t="str">
        <f>$AE3</f>
        <v>GeneralComment</v>
      </c>
      <c r="AB3" s="87" t="s">
        <v>1957</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3.5" customHeight="1">
      <c r="A4" s="77"/>
      <c r="B4" s="84"/>
      <c r="C4" s="79">
        <v>662</v>
      </c>
      <c r="D4" s="86"/>
      <c r="E4" s="86"/>
      <c r="F4" s="86" t="s">
        <v>72</v>
      </c>
      <c r="G4" s="86"/>
      <c r="H4" s="86"/>
      <c r="I4" s="86"/>
      <c r="J4" s="86"/>
      <c r="K4" s="86"/>
      <c r="L4" s="87" t="s">
        <v>93</v>
      </c>
      <c r="M4" s="425">
        <f>$AC4</f>
        <v>0</v>
      </c>
      <c r="N4" s="425">
        <f>$AD4</f>
        <v>0</v>
      </c>
      <c r="O4" s="426">
        <f>$AE4</f>
        <v>0</v>
      </c>
      <c r="P4" s="87" t="s">
        <v>93</v>
      </c>
      <c r="Q4" s="425">
        <f>$AC4</f>
        <v>0</v>
      </c>
      <c r="R4" s="425">
        <f>$AD4</f>
        <v>0</v>
      </c>
      <c r="S4" s="426">
        <f>$AE4</f>
        <v>0</v>
      </c>
      <c r="T4" s="87" t="s">
        <v>93</v>
      </c>
      <c r="U4" s="425">
        <f>$AC4</f>
        <v>0</v>
      </c>
      <c r="V4" s="425">
        <f>$AD4</f>
        <v>0</v>
      </c>
      <c r="W4" s="426">
        <f>$AE4</f>
        <v>0</v>
      </c>
      <c r="X4" s="87" t="s">
        <v>93</v>
      </c>
      <c r="Y4" s="425">
        <f>$AC4</f>
        <v>0</v>
      </c>
      <c r="Z4" s="425">
        <f>$AD4</f>
        <v>0</v>
      </c>
      <c r="AA4" s="426">
        <f>$AE4</f>
        <v>0</v>
      </c>
      <c r="AB4" s="87" t="s">
        <v>93</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1958</v>
      </c>
      <c r="B7" s="331" t="s">
        <v>97</v>
      </c>
      <c r="C7" s="88"/>
      <c r="D7" s="294" t="s">
        <v>98</v>
      </c>
      <c r="E7" s="295">
        <v>0</v>
      </c>
      <c r="F7" s="429" t="s">
        <v>1953</v>
      </c>
      <c r="G7" s="430" t="s">
        <v>93</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1959</v>
      </c>
      <c r="B8" s="331"/>
      <c r="C8" s="88"/>
      <c r="D8" s="294" t="s">
        <v>98</v>
      </c>
      <c r="E8" s="295">
        <v>0</v>
      </c>
      <c r="F8" s="429" t="s">
        <v>1954</v>
      </c>
      <c r="G8" s="430" t="s">
        <v>93</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0" ht="24" customHeight="1">
      <c r="A9" s="330" t="s">
        <v>1960</v>
      </c>
      <c r="B9" s="331"/>
      <c r="C9" s="88"/>
      <c r="D9" s="294" t="s">
        <v>98</v>
      </c>
      <c r="E9" s="295">
        <v>0</v>
      </c>
      <c r="F9" s="429" t="s">
        <v>1955</v>
      </c>
      <c r="G9" s="430" t="s">
        <v>93</v>
      </c>
      <c r="H9" s="431" t="s">
        <v>98</v>
      </c>
      <c r="I9" s="431" t="s">
        <v>98</v>
      </c>
      <c r="J9" s="89">
        <v>1</v>
      </c>
      <c r="K9" s="430" t="s">
        <v>144</v>
      </c>
      <c r="L9" s="90">
        <v>0</v>
      </c>
      <c r="M9" s="91"/>
      <c r="N9" s="92"/>
      <c r="O9" s="93"/>
      <c r="P9" s="90">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1961</v>
      </c>
      <c r="B10" s="331"/>
      <c r="C10" s="88"/>
      <c r="D10" s="294" t="s">
        <v>98</v>
      </c>
      <c r="E10" s="295">
        <v>0</v>
      </c>
      <c r="F10" s="429" t="s">
        <v>1956</v>
      </c>
      <c r="G10" s="430" t="s">
        <v>93</v>
      </c>
      <c r="H10" s="431" t="s">
        <v>98</v>
      </c>
      <c r="I10" s="431" t="s">
        <v>98</v>
      </c>
      <c r="J10" s="89">
        <v>1</v>
      </c>
      <c r="K10" s="430" t="s">
        <v>144</v>
      </c>
      <c r="L10" s="90">
        <v>0</v>
      </c>
      <c r="M10" s="91"/>
      <c r="N10" s="92"/>
      <c r="O10" s="93"/>
      <c r="P10" s="90">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1962</v>
      </c>
      <c r="B11" s="331"/>
      <c r="C11" s="88"/>
      <c r="D11" s="294" t="s">
        <v>98</v>
      </c>
      <c r="E11" s="295">
        <v>0</v>
      </c>
      <c r="F11" s="429" t="s">
        <v>1957</v>
      </c>
      <c r="G11" s="430" t="s">
        <v>93</v>
      </c>
      <c r="H11" s="431" t="s">
        <v>98</v>
      </c>
      <c r="I11" s="431" t="s">
        <v>98</v>
      </c>
      <c r="J11" s="89">
        <v>1</v>
      </c>
      <c r="K11" s="430" t="s">
        <v>144</v>
      </c>
      <c r="L11" s="90">
        <v>0</v>
      </c>
      <c r="M11" s="91"/>
      <c r="N11" s="92"/>
      <c r="O11" s="93"/>
      <c r="P11" s="90">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ht="24" customHeight="1">
      <c r="A12" s="330">
        <v>268721</v>
      </c>
      <c r="B12" s="331" t="s">
        <v>221</v>
      </c>
      <c r="C12" s="88"/>
      <c r="D12" s="340">
        <v>5</v>
      </c>
      <c r="E12" s="341" t="s">
        <v>98</v>
      </c>
      <c r="F12" s="432" t="s">
        <v>1891</v>
      </c>
      <c r="G12" s="433" t="s">
        <v>223</v>
      </c>
      <c r="H12" s="434" t="s">
        <v>98</v>
      </c>
      <c r="I12" s="434" t="s">
        <v>98</v>
      </c>
      <c r="J12" s="94">
        <v>0</v>
      </c>
      <c r="K12" s="433" t="s">
        <v>109</v>
      </c>
      <c r="L12" s="435">
        <f>0.04/3*10</f>
        <v>0.13333333333333333</v>
      </c>
      <c r="M12" s="95">
        <f t="shared" ref="M12:M24" si="0">$AC12</f>
        <v>1</v>
      </c>
      <c r="N12" s="96">
        <f t="shared" ref="N12:N24" si="1">$AD12</f>
        <v>1.2849840792941758</v>
      </c>
      <c r="O12" s="432" t="str">
        <f t="shared" ref="O12:O24" si="2">$AE12</f>
        <v>(3,4,3,1,1,5); Energy use for erection of plant</v>
      </c>
      <c r="P12" s="435">
        <f>0.04/3*10</f>
        <v>0.13333333333333333</v>
      </c>
      <c r="Q12" s="95">
        <f t="shared" ref="Q12:Q24" si="3">$AC12</f>
        <v>1</v>
      </c>
      <c r="R12" s="96">
        <f t="shared" ref="R12:R24" si="4">$AD12</f>
        <v>1.2849840792941758</v>
      </c>
      <c r="S12" s="432" t="str">
        <f t="shared" ref="S12:S24" si="5">$AE12</f>
        <v>(3,4,3,1,1,5); Energy use for erection of plant</v>
      </c>
      <c r="T12" s="435">
        <f>1.02/3*10</f>
        <v>3.4000000000000004</v>
      </c>
      <c r="U12" s="95">
        <f t="shared" ref="U12:U24" si="6">$AC12</f>
        <v>1</v>
      </c>
      <c r="V12" s="96">
        <f t="shared" ref="V12:V24" si="7">$AD12</f>
        <v>1.2849840792941758</v>
      </c>
      <c r="W12" s="432" t="str">
        <f t="shared" ref="W12:W24" si="8">$AE12</f>
        <v>(3,4,3,1,1,5); Energy use for erection of plant</v>
      </c>
      <c r="X12" s="435">
        <f>0.23/3*10</f>
        <v>0.76666666666666672</v>
      </c>
      <c r="Y12" s="95">
        <f t="shared" ref="Y12:Y24" si="9">$AC12</f>
        <v>1</v>
      </c>
      <c r="Z12" s="96">
        <f t="shared" ref="Z12:Z24" si="10">$AD12</f>
        <v>1.2849840792941758</v>
      </c>
      <c r="AA12" s="432" t="str">
        <f t="shared" ref="AA12:AA24" si="11">$AE12</f>
        <v>(3,4,3,1,1,5); Energy use for erection of plant</v>
      </c>
      <c r="AB12" s="435">
        <f>0.23/3*10</f>
        <v>0.76666666666666672</v>
      </c>
      <c r="AC12" s="95">
        <v>1</v>
      </c>
      <c r="AD12" s="96">
        <f t="shared" ref="AD12:AD24" si="12">AQ12</f>
        <v>1.2849840792941758</v>
      </c>
      <c r="AE12" s="432" t="str">
        <f t="shared" ref="AE12:AE24" si="13">AR12&amp;"; "&amp;AG12</f>
        <v>(3,4,3,1,1,5); Energy use for erection of plant</v>
      </c>
      <c r="AF12" s="494"/>
      <c r="AG12" s="77" t="s">
        <v>1892</v>
      </c>
      <c r="AH12" s="339">
        <v>3</v>
      </c>
      <c r="AI12" s="339">
        <v>4</v>
      </c>
      <c r="AJ12" s="339">
        <v>3</v>
      </c>
      <c r="AK12" s="339">
        <v>1</v>
      </c>
      <c r="AL12" s="339">
        <v>1</v>
      </c>
      <c r="AM12" s="339">
        <v>5</v>
      </c>
      <c r="AN12" s="104">
        <v>2</v>
      </c>
      <c r="AO12" s="104">
        <v>1.05</v>
      </c>
      <c r="AP12" s="107">
        <f t="shared" ref="AP12:AP24" si="14">EXP(SQRT((LN(AS12)^2)+(LN(AT12)^2)+(LN(AU12)^2)+(LN(AV12)^2)+(LN(AW12)^2)+(LN(AX12)^2)))</f>
        <v>1.2788404103505406</v>
      </c>
      <c r="AQ12" s="107">
        <f t="shared" ref="AQ12:AQ24" si="15">EXP(SQRT((LN(AS12)^2)+(LN(AT12)^2)+(LN(AU12)^2)+(LN(AV12)^2)+(LN(AW12)^2)+(LN(AX12)^2)+LN(AO12)^2))</f>
        <v>1.2849840792941758</v>
      </c>
      <c r="AR12" s="107" t="str">
        <f t="shared" ref="AR12:AR24" si="16">CONCATENATE("(",AH12,",",AI12,",",AJ12,",",AK12,",",AL12,",",AM12,")")</f>
        <v>(3,4,3,1,1,5)</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v>2</v>
      </c>
      <c r="M13" s="95">
        <f t="shared" si="0"/>
        <v>1</v>
      </c>
      <c r="N13" s="96">
        <f t="shared" si="1"/>
        <v>1.2354522921220721</v>
      </c>
      <c r="O13" s="432" t="str">
        <f t="shared" si="2"/>
        <v>(2,4,1,1,1,na); 1 replacement during the lifetime of the PV system; demand scaled linearly by power output</v>
      </c>
      <c r="P13" s="435">
        <f>L13</f>
        <v>2</v>
      </c>
      <c r="Q13" s="95">
        <f t="shared" si="3"/>
        <v>1</v>
      </c>
      <c r="R13" s="96">
        <f t="shared" si="4"/>
        <v>1.2354522921220721</v>
      </c>
      <c r="S13" s="432" t="str">
        <f t="shared" si="5"/>
        <v>(2,4,1,1,1,na); 1 replacement during the lifetime of the PV system; demand scaled linearly by power output</v>
      </c>
      <c r="T13" s="435">
        <f>P13</f>
        <v>2</v>
      </c>
      <c r="U13" s="95">
        <f t="shared" si="6"/>
        <v>1</v>
      </c>
      <c r="V13" s="96">
        <f t="shared" si="7"/>
        <v>1.2354522921220721</v>
      </c>
      <c r="W13" s="432" t="str">
        <f t="shared" si="8"/>
        <v>(2,4,1,1,1,na); 1 replacement during the lifetime of the PV system; demand scaled linearly by power output</v>
      </c>
      <c r="X13" s="435">
        <f>T13</f>
        <v>2</v>
      </c>
      <c r="Y13" s="95">
        <f t="shared" si="9"/>
        <v>1</v>
      </c>
      <c r="Z13" s="96">
        <f t="shared" si="10"/>
        <v>1.2354522921220721</v>
      </c>
      <c r="AA13" s="432" t="str">
        <f t="shared" si="11"/>
        <v>(2,4,1,1,1,na); 1 replacement during the lifetime of the PV system; demand scaled linearly by power output</v>
      </c>
      <c r="AB13" s="435">
        <f>X13</f>
        <v>2</v>
      </c>
      <c r="AC13" s="95">
        <v>1</v>
      </c>
      <c r="AD13" s="96">
        <f t="shared" si="12"/>
        <v>1.2354522921220721</v>
      </c>
      <c r="AE13" s="432" t="str">
        <f t="shared" si="13"/>
        <v>(2,4,1,1,1,na); 1 replacement during the lifetime of the PV system; demand scaled linearly by power output</v>
      </c>
      <c r="AF13" s="494">
        <v>0</v>
      </c>
      <c r="AG13" s="77" t="s">
        <v>1893</v>
      </c>
      <c r="AH13" s="339">
        <v>2</v>
      </c>
      <c r="AI13" s="339">
        <v>4</v>
      </c>
      <c r="AJ13" s="339">
        <v>1</v>
      </c>
      <c r="AK13" s="339">
        <v>1</v>
      </c>
      <c r="AL13" s="339">
        <v>1</v>
      </c>
      <c r="AM13" s="339" t="s">
        <v>106</v>
      </c>
      <c r="AN13" s="104">
        <v>9</v>
      </c>
      <c r="AO13" s="104">
        <v>1.2</v>
      </c>
      <c r="AP13" s="107">
        <f t="shared" si="14"/>
        <v>1.1130148943987077</v>
      </c>
      <c r="AQ13" s="107">
        <f t="shared" si="15"/>
        <v>1.2354522921220721</v>
      </c>
      <c r="AR13" s="107" t="str">
        <f t="shared" si="16"/>
        <v>(2,4,1,1,1,na)</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cabling, lightning protection and fuse box</v>
      </c>
      <c r="P14" s="435">
        <v>2.26755352255311</v>
      </c>
      <c r="Q14" s="95">
        <f t="shared" si="3"/>
        <v>1</v>
      </c>
      <c r="R14" s="96">
        <f t="shared" si="4"/>
        <v>2.0865051432908035</v>
      </c>
      <c r="S14" s="432" t="str">
        <f t="shared" si="5"/>
        <v>(3,4,3,1,1,5); cabling, lightning protection and fuse box</v>
      </c>
      <c r="T14" s="435">
        <v>2.26755352255311</v>
      </c>
      <c r="U14" s="95">
        <f t="shared" si="6"/>
        <v>1</v>
      </c>
      <c r="V14" s="96">
        <f t="shared" si="7"/>
        <v>2.0865051432908035</v>
      </c>
      <c r="W14" s="432" t="str">
        <f t="shared" si="8"/>
        <v>(3,4,3,1,1,5); cabling, lightning protection and fuse box</v>
      </c>
      <c r="X14" s="435">
        <v>2.26755352255311</v>
      </c>
      <c r="Y14" s="95">
        <f t="shared" si="9"/>
        <v>1</v>
      </c>
      <c r="Z14" s="96">
        <f t="shared" si="10"/>
        <v>2.0865051432908035</v>
      </c>
      <c r="AA14" s="432" t="str">
        <f t="shared" si="11"/>
        <v>(3,4,3,1,1,5); cabling, lightning protection and fuse box</v>
      </c>
      <c r="AB14" s="435">
        <v>2.26755352255311</v>
      </c>
      <c r="AC14" s="95">
        <v>1</v>
      </c>
      <c r="AD14" s="96">
        <f t="shared" si="12"/>
        <v>2.0865051432908035</v>
      </c>
      <c r="AE14" s="432" t="str">
        <f t="shared" si="13"/>
        <v>(3,4,3,1,1,5); cabling, lightning protection and fuse box</v>
      </c>
      <c r="AF14" s="494">
        <v>32.612000000000002</v>
      </c>
      <c r="AG14" s="77" t="s">
        <v>1894</v>
      </c>
      <c r="AH14" s="339">
        <v>3</v>
      </c>
      <c r="AI14" s="339">
        <v>4</v>
      </c>
      <c r="AJ14" s="339">
        <v>3</v>
      </c>
      <c r="AK14" s="339">
        <v>1</v>
      </c>
      <c r="AL14" s="339">
        <v>1</v>
      </c>
      <c r="AM14" s="339">
        <v>5</v>
      </c>
      <c r="AN14" s="104">
        <v>9</v>
      </c>
      <c r="AO14" s="104">
        <v>2</v>
      </c>
      <c r="AP14" s="107">
        <f t="shared" si="14"/>
        <v>1.2788404103505406</v>
      </c>
      <c r="AQ14" s="107">
        <f t="shared" si="15"/>
        <v>2.0865051432908035</v>
      </c>
      <c r="AR14" s="107" t="str">
        <f t="shared" si="16"/>
        <v>(3,4,3,1,1,5)</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55.5555555555556</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t="s">
        <v>1861</v>
      </c>
      <c r="AH15" s="339">
        <v>3</v>
      </c>
      <c r="AI15" s="339">
        <v>1</v>
      </c>
      <c r="AJ15" s="339">
        <v>1</v>
      </c>
      <c r="AK15" s="339">
        <v>1</v>
      </c>
      <c r="AL15" s="339">
        <v>1</v>
      </c>
      <c r="AM15" s="339" t="s">
        <v>106</v>
      </c>
      <c r="AN15" s="104">
        <v>9</v>
      </c>
      <c r="AO15" s="104">
        <v>1.2</v>
      </c>
      <c r="AP15" s="107">
        <f t="shared" si="14"/>
        <v>1.1000000000000001</v>
      </c>
      <c r="AQ15" s="107">
        <f t="shared" si="15"/>
        <v>1.2284225230179247</v>
      </c>
      <c r="AR15" s="107" t="str">
        <f t="shared" si="16"/>
        <v>(3,1,1,1,1,na)</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55.5555555555556</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t="s">
        <v>1861</v>
      </c>
      <c r="AH16" s="339">
        <v>3</v>
      </c>
      <c r="AI16" s="339">
        <v>1</v>
      </c>
      <c r="AJ16" s="339">
        <v>1</v>
      </c>
      <c r="AK16" s="339">
        <v>1</v>
      </c>
      <c r="AL16" s="339">
        <v>1</v>
      </c>
      <c r="AM16" s="339" t="s">
        <v>106</v>
      </c>
      <c r="AN16" s="104">
        <v>9</v>
      </c>
      <c r="AO16" s="104">
        <v>1.2</v>
      </c>
      <c r="AP16" s="107">
        <f t="shared" si="14"/>
        <v>1.1000000000000001</v>
      </c>
      <c r="AQ16" s="107">
        <f t="shared" si="15"/>
        <v>1.2284225230179247</v>
      </c>
      <c r="AR16" s="107" t="str">
        <f t="shared" si="16"/>
        <v>(3,1,1,1,1,na)</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55.5555555555556</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t="s">
        <v>1861</v>
      </c>
      <c r="AH17" s="339">
        <v>3</v>
      </c>
      <c r="AI17" s="339">
        <v>1</v>
      </c>
      <c r="AJ17" s="339">
        <v>1</v>
      </c>
      <c r="AK17" s="339">
        <v>1</v>
      </c>
      <c r="AL17" s="339">
        <v>1</v>
      </c>
      <c r="AM17" s="339" t="s">
        <v>106</v>
      </c>
      <c r="AN17" s="104">
        <v>9</v>
      </c>
      <c r="AO17" s="104">
        <v>1.2</v>
      </c>
      <c r="AP17" s="107">
        <f t="shared" si="14"/>
        <v>1.1000000000000001</v>
      </c>
      <c r="AQ17" s="107">
        <f t="shared" si="15"/>
        <v>1.2284225230179247</v>
      </c>
      <c r="AR17" s="107" t="str">
        <f t="shared" si="16"/>
        <v>(3,1,1,1,1,na)</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55.5555555555556</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t="s">
        <v>1861</v>
      </c>
      <c r="AH18" s="339">
        <v>3</v>
      </c>
      <c r="AI18" s="339">
        <v>1</v>
      </c>
      <c r="AJ18" s="339">
        <v>1</v>
      </c>
      <c r="AK18" s="339">
        <v>1</v>
      </c>
      <c r="AL18" s="339">
        <v>1</v>
      </c>
      <c r="AM18" s="339" t="s">
        <v>106</v>
      </c>
      <c r="AN18" s="104">
        <v>9</v>
      </c>
      <c r="AO18" s="104">
        <v>1.2</v>
      </c>
      <c r="AP18" s="107">
        <f t="shared" si="14"/>
        <v>1.1000000000000001</v>
      </c>
      <c r="AQ18" s="107">
        <f t="shared" si="15"/>
        <v>1.2284225230179247</v>
      </c>
      <c r="AR18" s="107" t="str">
        <f t="shared" si="16"/>
        <v>(3,1,1,1,1,na)</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55.5555555555556</v>
      </c>
      <c r="AC19" s="95">
        <v>1</v>
      </c>
      <c r="AD19" s="96">
        <f t="shared" si="12"/>
        <v>1.2284225230179247</v>
      </c>
      <c r="AE19" s="432" t="str">
        <f t="shared" si="13"/>
        <v>(3,1,1,1,1,na); calculation with m2 panel</v>
      </c>
      <c r="AF19" s="494">
        <v>4.4770909637727101</v>
      </c>
      <c r="AG19" s="77" t="s">
        <v>1861</v>
      </c>
      <c r="AH19" s="339">
        <v>3</v>
      </c>
      <c r="AI19" s="339">
        <v>1</v>
      </c>
      <c r="AJ19" s="339">
        <v>1</v>
      </c>
      <c r="AK19" s="339">
        <v>1</v>
      </c>
      <c r="AL19" s="339">
        <v>1</v>
      </c>
      <c r="AM19" s="339" t="s">
        <v>106</v>
      </c>
      <c r="AN19" s="104">
        <v>9</v>
      </c>
      <c r="AO19" s="104">
        <v>1.2</v>
      </c>
      <c r="AP19" s="107">
        <f t="shared" si="14"/>
        <v>1.1000000000000001</v>
      </c>
      <c r="AQ19" s="107">
        <f t="shared" si="15"/>
        <v>1.2284225230179247</v>
      </c>
      <c r="AR19" s="107" t="str">
        <f t="shared" si="16"/>
        <v>(3,1,1,1,1,na)</v>
      </c>
      <c r="AS19" s="108">
        <v>1.1000000000000001</v>
      </c>
      <c r="AT19" s="108">
        <v>1</v>
      </c>
      <c r="AU19" s="108">
        <v>1</v>
      </c>
      <c r="AV19" s="108">
        <v>1</v>
      </c>
      <c r="AW19" s="108">
        <v>1</v>
      </c>
      <c r="AX19" s="108">
        <v>1</v>
      </c>
    </row>
    <row r="20" spans="1:50" ht="24" customHeight="1">
      <c r="A20" s="330">
        <v>259285</v>
      </c>
      <c r="B20" s="331"/>
      <c r="C20" s="88"/>
      <c r="D20" s="340">
        <v>5</v>
      </c>
      <c r="E20" s="341" t="s">
        <v>98</v>
      </c>
      <c r="F20" s="432" t="s">
        <v>1950</v>
      </c>
      <c r="G20" s="433" t="s">
        <v>93</v>
      </c>
      <c r="H20" s="434" t="s">
        <v>98</v>
      </c>
      <c r="I20" s="434" t="s">
        <v>98</v>
      </c>
      <c r="J20" s="94">
        <v>1</v>
      </c>
      <c r="K20" s="433" t="s">
        <v>679</v>
      </c>
      <c r="L20" s="435">
        <v>57.2222222222222</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57.2222222222222</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494">
        <f>$L$27</f>
        <v>10.1</v>
      </c>
      <c r="AG20" s="77" t="s">
        <v>1862</v>
      </c>
      <c r="AH20" s="339">
        <v>3</v>
      </c>
      <c r="AI20" s="339">
        <v>4</v>
      </c>
      <c r="AJ20" s="339">
        <v>3</v>
      </c>
      <c r="AK20" s="339">
        <v>1</v>
      </c>
      <c r="AL20" s="339">
        <v>1</v>
      </c>
      <c r="AM20" s="339">
        <v>5</v>
      </c>
      <c r="AN20" s="104">
        <v>9</v>
      </c>
      <c r="AO20" s="104">
        <v>1.2</v>
      </c>
      <c r="AP20" s="107">
        <f t="shared" si="14"/>
        <v>1.2788404103505406</v>
      </c>
      <c r="AQ20" s="107">
        <f t="shared" si="15"/>
        <v>1.3582005896413567</v>
      </c>
      <c r="AR20" s="107" t="str">
        <f t="shared" si="16"/>
        <v>(3,4,3,1,1,5)</v>
      </c>
      <c r="AS20" s="108">
        <v>1.1000000000000001</v>
      </c>
      <c r="AT20" s="108">
        <v>1.1000000000000001</v>
      </c>
      <c r="AU20" s="108">
        <v>1.1000000000000001</v>
      </c>
      <c r="AV20" s="108">
        <v>1</v>
      </c>
      <c r="AW20" s="108">
        <v>1</v>
      </c>
      <c r="AX20" s="108">
        <v>1.2</v>
      </c>
    </row>
    <row r="21" spans="1:50" ht="24" customHeight="1">
      <c r="A21" s="330">
        <v>261208</v>
      </c>
      <c r="B21" s="331"/>
      <c r="C21" s="88"/>
      <c r="D21" s="340">
        <v>5</v>
      </c>
      <c r="E21" s="341" t="s">
        <v>98</v>
      </c>
      <c r="F21" s="432" t="s">
        <v>1951</v>
      </c>
      <c r="G21" s="433" t="s">
        <v>93</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57.2222222222222</v>
      </c>
      <c r="Q21" s="95">
        <f t="shared" si="3"/>
        <v>1</v>
      </c>
      <c r="R21" s="96">
        <f t="shared" si="4"/>
        <v>1.3582005896413567</v>
      </c>
      <c r="S21" s="432" t="str">
        <f t="shared" si="5"/>
        <v>(3,4,3,1,1,5); Calculation, 2% of modules repaired in the life time, 1% rejects</v>
      </c>
      <c r="T21" s="435">
        <v>57.2222222222222</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57.2222222222222</v>
      </c>
      <c r="AC21" s="95">
        <v>1</v>
      </c>
      <c r="AD21" s="96">
        <f t="shared" si="12"/>
        <v>1.3582005896413567</v>
      </c>
      <c r="AE21" s="432" t="str">
        <f t="shared" si="13"/>
        <v>(3,4,3,1,1,5); Calculation, 2% of modules repaired in the life time, 1% rejects</v>
      </c>
      <c r="AF21" s="494">
        <f>$P$27</f>
        <v>12.195967743732901</v>
      </c>
      <c r="AG21" s="77" t="s">
        <v>1862</v>
      </c>
      <c r="AH21" s="339">
        <v>3</v>
      </c>
      <c r="AI21" s="339">
        <v>4</v>
      </c>
      <c r="AJ21" s="339">
        <v>3</v>
      </c>
      <c r="AK21" s="339">
        <v>1</v>
      </c>
      <c r="AL21" s="339">
        <v>1</v>
      </c>
      <c r="AM21" s="339">
        <v>5</v>
      </c>
      <c r="AN21" s="104">
        <v>9</v>
      </c>
      <c r="AO21" s="104">
        <v>1.2</v>
      </c>
      <c r="AP21" s="107">
        <f t="shared" si="14"/>
        <v>1.2788404103505406</v>
      </c>
      <c r="AQ21" s="107">
        <f t="shared" si="15"/>
        <v>1.3582005896413567</v>
      </c>
      <c r="AR21" s="107" t="str">
        <f t="shared" si="16"/>
        <v>(3,4,3,1,1,5)</v>
      </c>
      <c r="AS21" s="108">
        <v>1.1000000000000001</v>
      </c>
      <c r="AT21" s="108">
        <v>1.1000000000000001</v>
      </c>
      <c r="AU21" s="108">
        <v>1.1000000000000001</v>
      </c>
      <c r="AV21" s="108">
        <v>1</v>
      </c>
      <c r="AW21" s="108">
        <v>1</v>
      </c>
      <c r="AX21" s="108">
        <v>1.2</v>
      </c>
    </row>
    <row r="22" spans="1:50">
      <c r="A22" s="330">
        <v>259361</v>
      </c>
      <c r="B22" s="331"/>
      <c r="C22" s="88"/>
      <c r="D22" s="340">
        <v>5</v>
      </c>
      <c r="E22" s="341" t="s">
        <v>98</v>
      </c>
      <c r="F22" s="432" t="s">
        <v>1578</v>
      </c>
      <c r="G22" s="433" t="s">
        <v>93</v>
      </c>
      <c r="H22" s="434" t="s">
        <v>98</v>
      </c>
      <c r="I22" s="434" t="s">
        <v>98</v>
      </c>
      <c r="J22" s="94">
        <v>0</v>
      </c>
      <c r="K22" s="433" t="s">
        <v>96</v>
      </c>
      <c r="L22" s="435">
        <f>SUMPRODUCT(L20:L21,$AF20:$AF21)</f>
        <v>577.94444444444423</v>
      </c>
      <c r="M22" s="95">
        <f t="shared" si="0"/>
        <v>1</v>
      </c>
      <c r="N22" s="96">
        <f t="shared" si="1"/>
        <v>1.2849840792941758</v>
      </c>
      <c r="O22" s="432" t="str">
        <f t="shared" si="2"/>
        <v>(3,4,3,1,1,5); recycling of PV modules at the end of life</v>
      </c>
      <c r="P22" s="435">
        <f>SUMPRODUCT(P20:P21,$AF20:$AF21)</f>
        <v>697.88037644693793</v>
      </c>
      <c r="Q22" s="95">
        <f t="shared" si="3"/>
        <v>1</v>
      </c>
      <c r="R22" s="96">
        <f t="shared" si="4"/>
        <v>1.2849840792941758</v>
      </c>
      <c r="S22" s="432" t="str">
        <f t="shared" si="5"/>
        <v>(3,4,3,1,1,5); recycling of PV modules at the end of life</v>
      </c>
      <c r="T22" s="435">
        <f>SUMPRODUCT(T20:T21,$AF20:$AF21)</f>
        <v>697.88037644693793</v>
      </c>
      <c r="U22" s="95">
        <f t="shared" si="6"/>
        <v>1</v>
      </c>
      <c r="V22" s="96">
        <f t="shared" si="7"/>
        <v>1.2849840792941758</v>
      </c>
      <c r="W22" s="432" t="str">
        <f t="shared" si="8"/>
        <v>(3,4,3,1,1,5); recycling of PV modules at the end of life</v>
      </c>
      <c r="X22" s="435">
        <f>SUMPRODUCT(X20:X21,$AF20:$AF21)</f>
        <v>577.94444444444423</v>
      </c>
      <c r="Y22" s="95">
        <f t="shared" si="9"/>
        <v>1</v>
      </c>
      <c r="Z22" s="96">
        <f t="shared" si="10"/>
        <v>1.2849840792941758</v>
      </c>
      <c r="AA22" s="432" t="str">
        <f t="shared" si="11"/>
        <v>(3,4,3,1,1,5); recycling of PV modules at the end of life</v>
      </c>
      <c r="AB22" s="435">
        <f>SUMPRODUCT(AB20:AB21,$AF20:$AF21)</f>
        <v>697.88037644693793</v>
      </c>
      <c r="AC22" s="95">
        <v>1</v>
      </c>
      <c r="AD22" s="96">
        <f t="shared" si="12"/>
        <v>1.2849840792941758</v>
      </c>
      <c r="AE22" s="432" t="str">
        <f t="shared" si="13"/>
        <v>(3,4,3,1,1,5); recycling of PV modules at the end of life</v>
      </c>
      <c r="AG22" s="77" t="s">
        <v>1863</v>
      </c>
      <c r="AH22" s="339">
        <v>3</v>
      </c>
      <c r="AI22" s="339">
        <v>4</v>
      </c>
      <c r="AJ22" s="339">
        <v>3</v>
      </c>
      <c r="AK22" s="339">
        <v>1</v>
      </c>
      <c r="AL22" s="339">
        <v>1</v>
      </c>
      <c r="AM22" s="339">
        <v>5</v>
      </c>
      <c r="AN22" s="104">
        <v>6</v>
      </c>
      <c r="AO22" s="104">
        <v>1.05</v>
      </c>
      <c r="AP22" s="107">
        <f t="shared" si="14"/>
        <v>1.2788404103505406</v>
      </c>
      <c r="AQ22" s="107">
        <f t="shared" si="15"/>
        <v>1.2849840792941758</v>
      </c>
      <c r="AR22" s="107" t="str">
        <f t="shared" si="16"/>
        <v>(3,4,3,1,1,5)</v>
      </c>
      <c r="AS22" s="108">
        <v>1.1000000000000001</v>
      </c>
      <c r="AT22" s="108">
        <v>1.1000000000000001</v>
      </c>
      <c r="AU22" s="108">
        <v>1.1000000000000001</v>
      </c>
      <c r="AV22" s="108">
        <v>1</v>
      </c>
      <c r="AW22" s="108">
        <v>1</v>
      </c>
      <c r="AX22" s="108">
        <v>1.2</v>
      </c>
    </row>
    <row r="23" spans="1:50" ht="24" customHeight="1">
      <c r="A23" s="330">
        <v>266207</v>
      </c>
      <c r="B23" s="331"/>
      <c r="C23" s="88"/>
      <c r="D23" s="340">
        <v>5</v>
      </c>
      <c r="E23" s="341" t="s">
        <v>98</v>
      </c>
      <c r="F23" s="432" t="s">
        <v>1864</v>
      </c>
      <c r="G23" s="433" t="s">
        <v>93</v>
      </c>
      <c r="H23" s="434" t="s">
        <v>98</v>
      </c>
      <c r="I23" s="434" t="s">
        <v>98</v>
      </c>
      <c r="J23" s="94">
        <v>0</v>
      </c>
      <c r="K23" s="433" t="s">
        <v>115</v>
      </c>
      <c r="L23" s="435">
        <f>0.1*SUMPRODUCT(L13:L21,$AF13:$AF21)</f>
        <v>83.365450269232142</v>
      </c>
      <c r="M23" s="95">
        <f t="shared" si="0"/>
        <v>1</v>
      </c>
      <c r="N23" s="96">
        <f t="shared" si="1"/>
        <v>2.0865051432908035</v>
      </c>
      <c r="O23" s="432" t="str">
        <f t="shared" si="2"/>
        <v>(3,4,3,1,1,5); transport of inverter, electric installation, mounting structure and module 100km to construction site</v>
      </c>
      <c r="P23" s="435">
        <f>0.1*SUMPRODUCT(P13:P21,$AF13:$AF21)</f>
        <v>102.05571076895907</v>
      </c>
      <c r="Q23" s="95">
        <f t="shared" si="3"/>
        <v>1</v>
      </c>
      <c r="R23" s="96">
        <f t="shared" si="4"/>
        <v>2.0865051432908035</v>
      </c>
      <c r="S23" s="432" t="str">
        <f t="shared" si="5"/>
        <v>(3,4,3,1,1,5); transport of inverter, electric installation, mounting structure and module 100km to construction site</v>
      </c>
      <c r="T23" s="435">
        <f>0.1*SUMPRODUCT(T13:T21,$AF13:$AF21)</f>
        <v>103.48660246951525</v>
      </c>
      <c r="U23" s="95">
        <f t="shared" si="6"/>
        <v>1</v>
      </c>
      <c r="V23" s="96">
        <f t="shared" si="7"/>
        <v>2.0865051432908035</v>
      </c>
      <c r="W23" s="432" t="str">
        <f t="shared" si="8"/>
        <v>(3,4,3,1,1,5); transport of inverter, electric installation, mounting structure and module 100km to construction site</v>
      </c>
      <c r="X23" s="435">
        <f>0.1*SUMPRODUCT(X13:X21,$AF13:$AF21)</f>
        <v>86.63101653662892</v>
      </c>
      <c r="Y23" s="95">
        <f t="shared" si="9"/>
        <v>1</v>
      </c>
      <c r="Z23" s="96">
        <f t="shared" si="10"/>
        <v>2.0865051432908035</v>
      </c>
      <c r="AA23" s="432" t="str">
        <f t="shared" si="11"/>
        <v>(3,4,3,1,1,5); transport of inverter, electric installation, mounting structure and module 100km to construction site</v>
      </c>
      <c r="AB23" s="435">
        <f>0.1*SUMPRODUCT(AB13:AB21,$AF13:$AF21)</f>
        <v>102.05571076895907</v>
      </c>
      <c r="AC23" s="95">
        <v>1</v>
      </c>
      <c r="AD23" s="96">
        <f t="shared" si="12"/>
        <v>2.0865051432908035</v>
      </c>
      <c r="AE23" s="432" t="str">
        <f t="shared" si="13"/>
        <v>(3,4,3,1,1,5); transport of inverter, electric installation, mounting structure and module 100km to construction site</v>
      </c>
      <c r="AG23" s="77" t="s">
        <v>1865</v>
      </c>
      <c r="AH23" s="339">
        <v>3</v>
      </c>
      <c r="AI23" s="339">
        <v>4</v>
      </c>
      <c r="AJ23" s="339">
        <v>3</v>
      </c>
      <c r="AK23" s="339">
        <v>1</v>
      </c>
      <c r="AL23" s="339">
        <v>1</v>
      </c>
      <c r="AM23" s="339">
        <v>5</v>
      </c>
      <c r="AN23" s="104">
        <v>5</v>
      </c>
      <c r="AO23" s="104">
        <v>2</v>
      </c>
      <c r="AP23" s="107">
        <f t="shared" si="14"/>
        <v>1.2788404103505406</v>
      </c>
      <c r="AQ23" s="107">
        <f t="shared" si="15"/>
        <v>2.0865051432908035</v>
      </c>
      <c r="AR23" s="107" t="str">
        <f t="shared" si="16"/>
        <v>(3,4,3,1,1,5)</v>
      </c>
      <c r="AS23" s="108">
        <v>1.1000000000000001</v>
      </c>
      <c r="AT23" s="108">
        <v>1.1000000000000001</v>
      </c>
      <c r="AU23" s="108">
        <v>1.1000000000000001</v>
      </c>
      <c r="AV23" s="108">
        <v>1</v>
      </c>
      <c r="AW23" s="108">
        <v>1</v>
      </c>
      <c r="AX23" s="108">
        <v>1.2</v>
      </c>
    </row>
    <row r="24" spans="1:50">
      <c r="A24" s="330">
        <v>21844</v>
      </c>
      <c r="B24" s="331" t="s">
        <v>594</v>
      </c>
      <c r="C24" s="88"/>
      <c r="D24" s="340" t="s">
        <v>98</v>
      </c>
      <c r="E24" s="341">
        <v>4</v>
      </c>
      <c r="F24" s="432" t="s">
        <v>121</v>
      </c>
      <c r="G24" s="433" t="s">
        <v>98</v>
      </c>
      <c r="H24" s="434" t="s">
        <v>247</v>
      </c>
      <c r="I24" s="434" t="s">
        <v>258</v>
      </c>
      <c r="J24" s="94" t="s">
        <v>98</v>
      </c>
      <c r="K24" s="433" t="s">
        <v>104</v>
      </c>
      <c r="L24" s="435">
        <f>3.6*L12</f>
        <v>0.48</v>
      </c>
      <c r="M24" s="95">
        <f t="shared" si="0"/>
        <v>1</v>
      </c>
      <c r="N24" s="96">
        <f t="shared" si="1"/>
        <v>1.2849840792941758</v>
      </c>
      <c r="O24" s="432" t="str">
        <f t="shared" si="2"/>
        <v>(3,4,3,1,1,5); calculated with electricity use</v>
      </c>
      <c r="P24" s="435">
        <f>3.6*P12</f>
        <v>0.48</v>
      </c>
      <c r="Q24" s="95">
        <f t="shared" si="3"/>
        <v>1</v>
      </c>
      <c r="R24" s="96">
        <f t="shared" si="4"/>
        <v>1.2849840792941758</v>
      </c>
      <c r="S24" s="432" t="str">
        <f t="shared" si="5"/>
        <v>(3,4,3,1,1,5); calculated with electricity use</v>
      </c>
      <c r="T24" s="435">
        <f>3.6*T12</f>
        <v>12.240000000000002</v>
      </c>
      <c r="U24" s="95">
        <f t="shared" si="6"/>
        <v>1</v>
      </c>
      <c r="V24" s="96">
        <f t="shared" si="7"/>
        <v>1.2849840792941758</v>
      </c>
      <c r="W24" s="432" t="str">
        <f t="shared" si="8"/>
        <v>(3,4,3,1,1,5); calculated with electricity use</v>
      </c>
      <c r="X24" s="435">
        <f>3.6*X12</f>
        <v>2.7600000000000002</v>
      </c>
      <c r="Y24" s="95">
        <f t="shared" si="9"/>
        <v>1</v>
      </c>
      <c r="Z24" s="96">
        <f t="shared" si="10"/>
        <v>1.2849840792941758</v>
      </c>
      <c r="AA24" s="432" t="str">
        <f t="shared" si="11"/>
        <v>(3,4,3,1,1,5); calculated with electricity use</v>
      </c>
      <c r="AB24" s="435">
        <f>3.6*AB12</f>
        <v>2.7600000000000002</v>
      </c>
      <c r="AC24" s="95">
        <v>1</v>
      </c>
      <c r="AD24" s="96">
        <f t="shared" si="12"/>
        <v>1.2849840792941758</v>
      </c>
      <c r="AE24" s="432" t="str">
        <f t="shared" si="13"/>
        <v>(3,4,3,1,1,5); calculated with electricity use</v>
      </c>
      <c r="AG24" s="77" t="s">
        <v>1866</v>
      </c>
      <c r="AH24" s="339">
        <v>3</v>
      </c>
      <c r="AI24" s="339">
        <v>4</v>
      </c>
      <c r="AJ24" s="339">
        <v>3</v>
      </c>
      <c r="AK24" s="339">
        <v>1</v>
      </c>
      <c r="AL24" s="339">
        <v>1</v>
      </c>
      <c r="AM24" s="339">
        <v>5</v>
      </c>
      <c r="AN24" s="104">
        <v>13</v>
      </c>
      <c r="AO24" s="104">
        <v>1.05</v>
      </c>
      <c r="AP24" s="107">
        <f t="shared" si="14"/>
        <v>1.2788404103505406</v>
      </c>
      <c r="AQ24" s="107">
        <f t="shared" si="15"/>
        <v>1.2849840792941758</v>
      </c>
      <c r="AR24" s="107" t="str">
        <f t="shared" si="16"/>
        <v>(3,4,3,1,1,5)</v>
      </c>
      <c r="AS24" s="108">
        <v>1.1000000000000001</v>
      </c>
      <c r="AT24" s="108">
        <v>1.1000000000000001</v>
      </c>
      <c r="AU24" s="108">
        <v>1.1000000000000001</v>
      </c>
      <c r="AV24" s="108">
        <v>1</v>
      </c>
      <c r="AW24" s="108">
        <v>1</v>
      </c>
      <c r="AX24" s="108">
        <v>1.2</v>
      </c>
    </row>
    <row r="25" spans="1:50">
      <c r="F25" s="285"/>
      <c r="L25" s="200"/>
      <c r="M25" s="205"/>
      <c r="N25" s="205"/>
      <c r="O25" s="205"/>
      <c r="P25" s="200"/>
      <c r="Q25" s="205"/>
      <c r="R25" s="205"/>
      <c r="S25" s="205"/>
      <c r="T25" s="200"/>
      <c r="U25" s="205"/>
      <c r="V25" s="205"/>
      <c r="W25" s="205"/>
      <c r="X25" s="200"/>
      <c r="AB25" s="200"/>
      <c r="AC25" s="204"/>
    </row>
    <row r="26" spans="1:50">
      <c r="L26" s="382"/>
      <c r="P26" s="382"/>
      <c r="T26" s="382"/>
      <c r="X26" s="382"/>
      <c r="AB26" s="382"/>
    </row>
    <row r="27" spans="1:50">
      <c r="F27" s="378" t="s">
        <v>1952</v>
      </c>
      <c r="K27" s="378" t="s">
        <v>902</v>
      </c>
      <c r="L27" s="494">
        <v>10.1</v>
      </c>
      <c r="M27" s="496"/>
      <c r="N27" s="496"/>
      <c r="O27" s="496"/>
      <c r="P27" s="494">
        <v>12.195967743732901</v>
      </c>
      <c r="Q27" s="496"/>
      <c r="R27" s="496"/>
      <c r="S27" s="496"/>
      <c r="T27" s="494">
        <v>12.195967743732901</v>
      </c>
      <c r="U27" s="496"/>
      <c r="V27" s="496"/>
      <c r="W27" s="496"/>
      <c r="X27" s="494">
        <v>10.1</v>
      </c>
      <c r="Y27" s="496"/>
      <c r="Z27" s="496"/>
      <c r="AA27" s="496"/>
      <c r="AB27" s="494">
        <v>12.195967743732901</v>
      </c>
      <c r="AC27" s="496"/>
      <c r="AD27" s="496"/>
      <c r="AE27" s="496"/>
    </row>
  </sheetData>
  <mergeCells count="1">
    <mergeCell ref="AH1:AM1"/>
  </mergeCells>
  <conditionalFormatting sqref="D12:AE24 AG12:AM24">
    <cfRule type="expression" dxfId="68" priority="4">
      <formula>MOD(ROW(),2)=0</formula>
    </cfRule>
  </conditionalFormatting>
  <conditionalFormatting sqref="AN12:AX24">
    <cfRule type="expression" dxfId="67" priority="1">
      <formula>MOD(ROW(),2)=0</formula>
    </cfRule>
  </conditionalFormatting>
  <dataValidations xWindow="1290" yWindow="705"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4B00-000001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4B00-000002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4B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4B00-000004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4B00-000005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4B00-000006000000}"/>
    <dataValidation allowBlank="1" showInputMessage="1" showErrorMessage="1" prompt="Do not change." sqref="AN3:AX4 AP7:AX11" xr:uid="{00000000-0002-0000-4B00-000007000000}"/>
    <dataValidation allowBlank="1" showInputMessage="1" showErrorMessage="1" promptTitle="Remarks" prompt="A general comment (data source, calculation procedure, ...) can be made about each individual exchange. The remarks are added to the GeneralComment-field." sqref="AG3" xr:uid="{00000000-0002-0000-4B00-000008000000}"/>
    <dataValidation allowBlank="1" showInputMessage="1" showErrorMessage="1" promptTitle="Do not change" prompt="This field is automatically updated from the names-list" sqref="AN12:AN24" xr:uid="{00000000-0002-0000-4B00-000009000000}"/>
  </dataValidations>
  <pageMargins left="0.78740157499999996" right="0.78740157499999996" top="0.984251969" bottom="0.984251969" header="0.4921259845" footer="0.4921259845"/>
  <pageSetup paperSize="9" scale="3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71">
    <tabColor rgb="FF9CD9F0"/>
    <pageSetUpPr fitToPage="1"/>
  </sheetPr>
  <dimension ref="A1:AY27"/>
  <sheetViews>
    <sheetView workbookViewId="0">
      <selection activeCell="X20" sqref="X20"/>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78" customWidth="1" collapsed="1"/>
    <col min="52" max="52" width="11.42578125" style="378" customWidth="1"/>
    <col min="53" max="16384" width="11.42578125" style="378"/>
  </cols>
  <sheetData>
    <row r="1" spans="1:50">
      <c r="A1" s="77"/>
      <c r="B1" s="78"/>
      <c r="C1" s="79"/>
      <c r="D1" s="77"/>
      <c r="E1" s="77"/>
      <c r="F1" s="80" t="s">
        <v>65</v>
      </c>
      <c r="G1" s="77"/>
      <c r="H1" s="77"/>
      <c r="I1" s="77"/>
      <c r="J1" s="77"/>
      <c r="K1" s="77"/>
      <c r="L1" s="330" t="str">
        <f>A7</f>
        <v>Z-PV-184</v>
      </c>
      <c r="M1" s="81"/>
      <c r="N1" s="81"/>
      <c r="O1" s="81"/>
      <c r="P1" s="330" t="str">
        <f>A8</f>
        <v>Z-PV-185</v>
      </c>
      <c r="Q1" s="81"/>
      <c r="R1" s="81"/>
      <c r="S1" s="81"/>
      <c r="T1" s="330" t="str">
        <f>A9</f>
        <v>Z-PV-188</v>
      </c>
      <c r="U1" s="81"/>
      <c r="V1" s="81"/>
      <c r="W1" s="81"/>
      <c r="X1" s="330" t="str">
        <f>A10</f>
        <v>Z-PV-192</v>
      </c>
      <c r="Y1" s="81"/>
      <c r="Z1" s="81"/>
      <c r="AA1" s="81"/>
      <c r="AB1" s="330" t="str">
        <f>A11</f>
        <v>Z-PV-193</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0" ht="102" customHeight="1">
      <c r="A3" s="83" t="s">
        <v>68</v>
      </c>
      <c r="B3" s="84"/>
      <c r="C3" s="79">
        <v>401</v>
      </c>
      <c r="D3" s="85" t="s">
        <v>69</v>
      </c>
      <c r="E3" s="85" t="s">
        <v>70</v>
      </c>
      <c r="F3" s="86" t="s">
        <v>71</v>
      </c>
      <c r="G3" s="85" t="s">
        <v>72</v>
      </c>
      <c r="H3" s="85" t="s">
        <v>73</v>
      </c>
      <c r="I3" s="85" t="s">
        <v>74</v>
      </c>
      <c r="J3" s="85" t="s">
        <v>75</v>
      </c>
      <c r="K3" s="85" t="s">
        <v>76</v>
      </c>
      <c r="L3" s="87" t="s">
        <v>1963</v>
      </c>
      <c r="M3" s="422" t="str">
        <f>$AC3</f>
        <v>UncertaintyType</v>
      </c>
      <c r="N3" s="422" t="str">
        <f>$AD3</f>
        <v>StandardDeviation95%</v>
      </c>
      <c r="O3" s="423" t="str">
        <f>$AE3</f>
        <v>GeneralComment</v>
      </c>
      <c r="P3" s="87" t="s">
        <v>1964</v>
      </c>
      <c r="Q3" s="422" t="str">
        <f>$AC3</f>
        <v>UncertaintyType</v>
      </c>
      <c r="R3" s="422" t="str">
        <f>$AD3</f>
        <v>StandardDeviation95%</v>
      </c>
      <c r="S3" s="423" t="str">
        <f>$AE3</f>
        <v>GeneralComment</v>
      </c>
      <c r="T3" s="87" t="s">
        <v>1965</v>
      </c>
      <c r="U3" s="422" t="str">
        <f>$AC3</f>
        <v>UncertaintyType</v>
      </c>
      <c r="V3" s="422" t="str">
        <f>$AD3</f>
        <v>StandardDeviation95%</v>
      </c>
      <c r="W3" s="423" t="str">
        <f>$AE3</f>
        <v>GeneralComment</v>
      </c>
      <c r="X3" s="87" t="s">
        <v>1966</v>
      </c>
      <c r="Y3" s="422" t="str">
        <f>$AC3</f>
        <v>UncertaintyType</v>
      </c>
      <c r="Z3" s="422" t="str">
        <f>$AD3</f>
        <v>StandardDeviation95%</v>
      </c>
      <c r="AA3" s="423" t="str">
        <f>$AE3</f>
        <v>GeneralComment</v>
      </c>
      <c r="AB3" s="87" t="s">
        <v>1967</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2" customHeight="1">
      <c r="A4" s="77"/>
      <c r="B4" s="84"/>
      <c r="C4" s="79">
        <v>662</v>
      </c>
      <c r="D4" s="86"/>
      <c r="E4" s="86"/>
      <c r="F4" s="86" t="s">
        <v>72</v>
      </c>
      <c r="G4" s="86"/>
      <c r="H4" s="86"/>
      <c r="I4" s="86"/>
      <c r="J4" s="86"/>
      <c r="K4" s="86"/>
      <c r="L4" s="87" t="s">
        <v>215</v>
      </c>
      <c r="M4" s="425">
        <f>$AC4</f>
        <v>0</v>
      </c>
      <c r="N4" s="425">
        <f>$AD4</f>
        <v>0</v>
      </c>
      <c r="O4" s="426">
        <f>$AE4</f>
        <v>0</v>
      </c>
      <c r="P4" s="87" t="s">
        <v>215</v>
      </c>
      <c r="Q4" s="425">
        <f>$AC4</f>
        <v>0</v>
      </c>
      <c r="R4" s="425">
        <f>$AD4</f>
        <v>0</v>
      </c>
      <c r="S4" s="426">
        <f>$AE4</f>
        <v>0</v>
      </c>
      <c r="T4" s="87" t="s">
        <v>215</v>
      </c>
      <c r="U4" s="425">
        <f>$AC4</f>
        <v>0</v>
      </c>
      <c r="V4" s="425">
        <f>$AD4</f>
        <v>0</v>
      </c>
      <c r="W4" s="426">
        <f>$AE4</f>
        <v>0</v>
      </c>
      <c r="X4" s="87" t="s">
        <v>215</v>
      </c>
      <c r="Y4" s="425">
        <f>$AC4</f>
        <v>0</v>
      </c>
      <c r="Z4" s="425">
        <f>$AD4</f>
        <v>0</v>
      </c>
      <c r="AA4" s="426">
        <f>$AE4</f>
        <v>0</v>
      </c>
      <c r="AB4" s="87" t="s">
        <v>215</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ht="12" customHeight="1">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ht="12" customHeight="1">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1968</v>
      </c>
      <c r="B7" s="331" t="s">
        <v>97</v>
      </c>
      <c r="C7" s="88"/>
      <c r="D7" s="294" t="s">
        <v>98</v>
      </c>
      <c r="E7" s="295">
        <v>0</v>
      </c>
      <c r="F7" s="429" t="s">
        <v>1963</v>
      </c>
      <c r="G7" s="430" t="s">
        <v>215</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1969</v>
      </c>
      <c r="B8" s="331"/>
      <c r="C8" s="88"/>
      <c r="D8" s="294" t="s">
        <v>98</v>
      </c>
      <c r="E8" s="295">
        <v>0</v>
      </c>
      <c r="F8" s="429" t="s">
        <v>1964</v>
      </c>
      <c r="G8" s="430" t="s">
        <v>215</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0" ht="24">
      <c r="A9" s="330" t="s">
        <v>1970</v>
      </c>
      <c r="B9" s="331"/>
      <c r="C9" s="88"/>
      <c r="D9" s="294" t="s">
        <v>98</v>
      </c>
      <c r="E9" s="295">
        <v>0</v>
      </c>
      <c r="F9" s="429" t="s">
        <v>1965</v>
      </c>
      <c r="G9" s="430" t="s">
        <v>215</v>
      </c>
      <c r="H9" s="431" t="s">
        <v>98</v>
      </c>
      <c r="I9" s="431" t="s">
        <v>98</v>
      </c>
      <c r="J9" s="89">
        <v>1</v>
      </c>
      <c r="K9" s="430" t="s">
        <v>144</v>
      </c>
      <c r="L9" s="90">
        <v>0</v>
      </c>
      <c r="M9" s="91"/>
      <c r="N9" s="92"/>
      <c r="O9" s="93"/>
      <c r="P9" s="90">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1971</v>
      </c>
      <c r="B10" s="331"/>
      <c r="C10" s="88"/>
      <c r="D10" s="294" t="s">
        <v>98</v>
      </c>
      <c r="E10" s="295">
        <v>0</v>
      </c>
      <c r="F10" s="429" t="s">
        <v>1966</v>
      </c>
      <c r="G10" s="430" t="s">
        <v>215</v>
      </c>
      <c r="H10" s="431" t="s">
        <v>98</v>
      </c>
      <c r="I10" s="431" t="s">
        <v>98</v>
      </c>
      <c r="J10" s="89">
        <v>1</v>
      </c>
      <c r="K10" s="430" t="s">
        <v>144</v>
      </c>
      <c r="L10" s="90">
        <v>0</v>
      </c>
      <c r="M10" s="91"/>
      <c r="N10" s="92"/>
      <c r="O10" s="93"/>
      <c r="P10" s="90">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1972</v>
      </c>
      <c r="B11" s="331"/>
      <c r="C11" s="88"/>
      <c r="D11" s="294" t="s">
        <v>98</v>
      </c>
      <c r="E11" s="295">
        <v>0</v>
      </c>
      <c r="F11" s="429" t="s">
        <v>1967</v>
      </c>
      <c r="G11" s="430" t="s">
        <v>215</v>
      </c>
      <c r="H11" s="431" t="s">
        <v>98</v>
      </c>
      <c r="I11" s="431" t="s">
        <v>98</v>
      </c>
      <c r="J11" s="89">
        <v>1</v>
      </c>
      <c r="K11" s="430" t="s">
        <v>144</v>
      </c>
      <c r="L11" s="90">
        <v>0</v>
      </c>
      <c r="M11" s="91"/>
      <c r="N11" s="92"/>
      <c r="O11" s="93"/>
      <c r="P11" s="90">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c r="A12" s="330">
        <v>269587</v>
      </c>
      <c r="B12" s="331" t="s">
        <v>221</v>
      </c>
      <c r="C12" s="88"/>
      <c r="D12" s="340">
        <v>5</v>
      </c>
      <c r="E12" s="341" t="s">
        <v>98</v>
      </c>
      <c r="F12" s="432" t="s">
        <v>1905</v>
      </c>
      <c r="G12" s="433" t="s">
        <v>215</v>
      </c>
      <c r="H12" s="434" t="s">
        <v>98</v>
      </c>
      <c r="I12" s="434" t="s">
        <v>98</v>
      </c>
      <c r="J12" s="94">
        <v>0</v>
      </c>
      <c r="K12" s="433" t="s">
        <v>109</v>
      </c>
      <c r="L12" s="435">
        <f>0.04/3*10</f>
        <v>0.13333333333333333</v>
      </c>
      <c r="M12" s="95">
        <f t="shared" ref="M12:M24" si="0">$AC12</f>
        <v>1</v>
      </c>
      <c r="N12" s="96">
        <f t="shared" ref="N12:N24" si="1">$AD12</f>
        <v>1.2849840792941758</v>
      </c>
      <c r="O12" s="432" t="str">
        <f t="shared" ref="O12:O24" si="2">$AE12</f>
        <v>(3,4,3,1,1,5); Energy use for erection of 3kWp plant</v>
      </c>
      <c r="P12" s="435">
        <f>0.04/3*10</f>
        <v>0.13333333333333333</v>
      </c>
      <c r="Q12" s="95">
        <f t="shared" ref="Q12:Q24" si="3">$AC12</f>
        <v>1</v>
      </c>
      <c r="R12" s="96">
        <f t="shared" ref="R12:R24" si="4">$AD12</f>
        <v>1.2849840792941758</v>
      </c>
      <c r="S12" s="432" t="str">
        <f t="shared" ref="S12:S24" si="5">$AE12</f>
        <v>(3,4,3,1,1,5); Energy use for erection of 3kWp plant</v>
      </c>
      <c r="T12" s="435">
        <f>1.02/3*10</f>
        <v>3.4000000000000004</v>
      </c>
      <c r="U12" s="95">
        <f t="shared" ref="U12:U24" si="6">$AC12</f>
        <v>1</v>
      </c>
      <c r="V12" s="96">
        <f t="shared" ref="V12:V24" si="7">$AD12</f>
        <v>1.2849840792941758</v>
      </c>
      <c r="W12" s="432" t="str">
        <f t="shared" ref="W12:W24" si="8">$AE12</f>
        <v>(3,4,3,1,1,5); Energy use for erection of 3kWp plant</v>
      </c>
      <c r="X12" s="435">
        <f>0.23/3*10</f>
        <v>0.76666666666666672</v>
      </c>
      <c r="Y12" s="95">
        <f t="shared" ref="Y12:Y24" si="9">$AC12</f>
        <v>1</v>
      </c>
      <c r="Z12" s="96">
        <f t="shared" ref="Z12:Z24" si="10">$AD12</f>
        <v>1.2849840792941758</v>
      </c>
      <c r="AA12" s="432" t="str">
        <f t="shared" ref="AA12:AA24" si="11">$AE12</f>
        <v>(3,4,3,1,1,5); Energy use for erection of 3kWp plant</v>
      </c>
      <c r="AB12" s="435">
        <f>0.23/3*10</f>
        <v>0.76666666666666672</v>
      </c>
      <c r="AC12" s="95">
        <v>1</v>
      </c>
      <c r="AD12" s="96">
        <f t="shared" ref="AD12:AD24" si="12">AQ12</f>
        <v>1.2849840792941758</v>
      </c>
      <c r="AE12" s="432" t="str">
        <f t="shared" ref="AE12:AE24" si="13">AR12&amp;"; "&amp;AG12</f>
        <v>(3,4,3,1,1,5); Energy use for erection of 3kWp plant</v>
      </c>
      <c r="AG12" s="77" t="s">
        <v>1973</v>
      </c>
      <c r="AH12" s="339">
        <v>3</v>
      </c>
      <c r="AI12" s="339">
        <v>4</v>
      </c>
      <c r="AJ12" s="339">
        <v>3</v>
      </c>
      <c r="AK12" s="339">
        <v>1</v>
      </c>
      <c r="AL12" s="339">
        <v>1</v>
      </c>
      <c r="AM12" s="339">
        <v>5</v>
      </c>
      <c r="AN12" s="104">
        <v>3</v>
      </c>
      <c r="AO12" s="104">
        <v>1.05</v>
      </c>
      <c r="AP12" s="107">
        <f t="shared" ref="AP12:AP24" si="14">EXP(SQRT((LN(AS12)^2)+(LN(AT12)^2)+(LN(AU12)^2)+(LN(AV12)^2)+(LN(AW12)^2)+(LN(AX12)^2)))</f>
        <v>1.2788404103505406</v>
      </c>
      <c r="AQ12" s="107">
        <f t="shared" ref="AQ12:AQ24" si="15">EXP(SQRT((LN(AS12)^2)+(LN(AT12)^2)+(LN(AU12)^2)+(LN(AV12)^2)+(LN(AW12)^2)+(LN(AX12)^2)+LN(AO12)^2))</f>
        <v>1.2849840792941758</v>
      </c>
      <c r="AR12" s="107" t="str">
        <f t="shared" ref="AR12:AR24" si="16">CONCATENATE("(",AH12,",",AI12,",",AJ12,",",AK12,",",AL12,",",AM12,")")</f>
        <v>(3,4,3,1,1,5)</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v>2</v>
      </c>
      <c r="M13" s="95">
        <f t="shared" si="0"/>
        <v>1</v>
      </c>
      <c r="N13" s="96">
        <f t="shared" si="1"/>
        <v>1.2354522921220721</v>
      </c>
      <c r="O13" s="432" t="str">
        <f t="shared" si="2"/>
        <v>(2,4,1,1,1,na); 1 replacement during the lifetime of the PV system; demand scaled linearly by power output</v>
      </c>
      <c r="P13" s="435">
        <f>L13</f>
        <v>2</v>
      </c>
      <c r="Q13" s="95">
        <f t="shared" si="3"/>
        <v>1</v>
      </c>
      <c r="R13" s="96">
        <f t="shared" si="4"/>
        <v>1.2354522921220721</v>
      </c>
      <c r="S13" s="432" t="str">
        <f t="shared" si="5"/>
        <v>(2,4,1,1,1,na); 1 replacement during the lifetime of the PV system; demand scaled linearly by power output</v>
      </c>
      <c r="T13" s="435">
        <f>P13</f>
        <v>2</v>
      </c>
      <c r="U13" s="95">
        <f t="shared" si="6"/>
        <v>1</v>
      </c>
      <c r="V13" s="96">
        <f t="shared" si="7"/>
        <v>1.2354522921220721</v>
      </c>
      <c r="W13" s="432" t="str">
        <f t="shared" si="8"/>
        <v>(2,4,1,1,1,na); 1 replacement during the lifetime of the PV system; demand scaled linearly by power output</v>
      </c>
      <c r="X13" s="435">
        <f>T13</f>
        <v>2</v>
      </c>
      <c r="Y13" s="95">
        <f t="shared" si="9"/>
        <v>1</v>
      </c>
      <c r="Z13" s="96">
        <f t="shared" si="10"/>
        <v>1.2354522921220721</v>
      </c>
      <c r="AA13" s="432" t="str">
        <f t="shared" si="11"/>
        <v>(2,4,1,1,1,na); 1 replacement during the lifetime of the PV system; demand scaled linearly by power output</v>
      </c>
      <c r="AB13" s="435">
        <f>X13</f>
        <v>2</v>
      </c>
      <c r="AC13" s="95">
        <v>1</v>
      </c>
      <c r="AD13" s="96">
        <f t="shared" si="12"/>
        <v>1.2354522921220721</v>
      </c>
      <c r="AE13" s="432" t="str">
        <f t="shared" si="13"/>
        <v>(2,4,1,1,1,na); 1 replacement during the lifetime of the PV system; demand scaled linearly by power output</v>
      </c>
      <c r="AF13" s="494">
        <v>0</v>
      </c>
      <c r="AG13" s="77" t="s">
        <v>1893</v>
      </c>
      <c r="AH13" s="339">
        <v>2</v>
      </c>
      <c r="AI13" s="339">
        <v>4</v>
      </c>
      <c r="AJ13" s="339">
        <v>1</v>
      </c>
      <c r="AK13" s="339">
        <v>1</v>
      </c>
      <c r="AL13" s="339">
        <v>1</v>
      </c>
      <c r="AM13" s="339" t="s">
        <v>106</v>
      </c>
      <c r="AN13" s="104">
        <v>9</v>
      </c>
      <c r="AO13" s="104">
        <v>1.2</v>
      </c>
      <c r="AP13" s="107">
        <f t="shared" si="14"/>
        <v>1.1130148943987077</v>
      </c>
      <c r="AQ13" s="107">
        <f t="shared" si="15"/>
        <v>1.2354522921220721</v>
      </c>
      <c r="AR13" s="107" t="str">
        <f t="shared" si="16"/>
        <v>(2,4,1,1,1,na)</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Literature</v>
      </c>
      <c r="P14" s="435">
        <v>2.26755352255311</v>
      </c>
      <c r="Q14" s="95">
        <f t="shared" si="3"/>
        <v>1</v>
      </c>
      <c r="R14" s="96">
        <f t="shared" si="4"/>
        <v>2.0865051432908035</v>
      </c>
      <c r="S14" s="432" t="str">
        <f t="shared" si="5"/>
        <v>(3,4,3,1,1,5); Literature</v>
      </c>
      <c r="T14" s="435">
        <v>2.26755352255311</v>
      </c>
      <c r="U14" s="95">
        <f t="shared" si="6"/>
        <v>1</v>
      </c>
      <c r="V14" s="96">
        <f t="shared" si="7"/>
        <v>2.0865051432908035</v>
      </c>
      <c r="W14" s="432" t="str">
        <f t="shared" si="8"/>
        <v>(3,4,3,1,1,5); Literature</v>
      </c>
      <c r="X14" s="435">
        <v>2.26755352255311</v>
      </c>
      <c r="Y14" s="95">
        <f t="shared" si="9"/>
        <v>1</v>
      </c>
      <c r="Z14" s="96">
        <f t="shared" si="10"/>
        <v>2.0865051432908035</v>
      </c>
      <c r="AA14" s="432" t="str">
        <f t="shared" si="11"/>
        <v>(3,4,3,1,1,5); Literature</v>
      </c>
      <c r="AB14" s="435">
        <v>2.26755352255311</v>
      </c>
      <c r="AC14" s="95">
        <v>1</v>
      </c>
      <c r="AD14" s="96">
        <f t="shared" si="12"/>
        <v>2.0865051432908035</v>
      </c>
      <c r="AE14" s="432" t="str">
        <f t="shared" si="13"/>
        <v>(3,4,3,1,1,5); Literature</v>
      </c>
      <c r="AF14" s="494">
        <v>32.612000000000002</v>
      </c>
      <c r="AG14" s="77" t="s">
        <v>253</v>
      </c>
      <c r="AH14" s="339">
        <v>3</v>
      </c>
      <c r="AI14" s="339">
        <v>4</v>
      </c>
      <c r="AJ14" s="339">
        <v>3</v>
      </c>
      <c r="AK14" s="339">
        <v>1</v>
      </c>
      <c r="AL14" s="339">
        <v>1</v>
      </c>
      <c r="AM14" s="339">
        <v>5</v>
      </c>
      <c r="AN14" s="104">
        <v>9</v>
      </c>
      <c r="AO14" s="104">
        <v>2</v>
      </c>
      <c r="AP14" s="107">
        <f t="shared" si="14"/>
        <v>1.2788404103505406</v>
      </c>
      <c r="AQ14" s="107">
        <f t="shared" si="15"/>
        <v>2.0865051432908035</v>
      </c>
      <c r="AR14" s="107" t="str">
        <f t="shared" si="16"/>
        <v>(3,4,3,1,1,5)</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55.5555555555556</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t="s">
        <v>1861</v>
      </c>
      <c r="AH15" s="339">
        <v>3</v>
      </c>
      <c r="AI15" s="339">
        <v>1</v>
      </c>
      <c r="AJ15" s="339">
        <v>1</v>
      </c>
      <c r="AK15" s="339">
        <v>1</v>
      </c>
      <c r="AL15" s="339">
        <v>1</v>
      </c>
      <c r="AM15" s="339" t="s">
        <v>106</v>
      </c>
      <c r="AN15" s="104">
        <v>9</v>
      </c>
      <c r="AO15" s="104">
        <v>1.2</v>
      </c>
      <c r="AP15" s="107">
        <f t="shared" si="14"/>
        <v>1.1000000000000001</v>
      </c>
      <c r="AQ15" s="107">
        <f t="shared" si="15"/>
        <v>1.2284225230179247</v>
      </c>
      <c r="AR15" s="107" t="str">
        <f t="shared" si="16"/>
        <v>(3,1,1,1,1,na)</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55.5555555555556</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t="s">
        <v>1861</v>
      </c>
      <c r="AH16" s="339">
        <v>3</v>
      </c>
      <c r="AI16" s="339">
        <v>1</v>
      </c>
      <c r="AJ16" s="339">
        <v>1</v>
      </c>
      <c r="AK16" s="339">
        <v>1</v>
      </c>
      <c r="AL16" s="339">
        <v>1</v>
      </c>
      <c r="AM16" s="339" t="s">
        <v>106</v>
      </c>
      <c r="AN16" s="104">
        <v>9</v>
      </c>
      <c r="AO16" s="104">
        <v>1.2</v>
      </c>
      <c r="AP16" s="107">
        <f t="shared" si="14"/>
        <v>1.1000000000000001</v>
      </c>
      <c r="AQ16" s="107">
        <f t="shared" si="15"/>
        <v>1.2284225230179247</v>
      </c>
      <c r="AR16" s="107" t="str">
        <f t="shared" si="16"/>
        <v>(3,1,1,1,1,na)</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55.5555555555556</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t="s">
        <v>1861</v>
      </c>
      <c r="AH17" s="339">
        <v>3</v>
      </c>
      <c r="AI17" s="339">
        <v>1</v>
      </c>
      <c r="AJ17" s="339">
        <v>1</v>
      </c>
      <c r="AK17" s="339">
        <v>1</v>
      </c>
      <c r="AL17" s="339">
        <v>1</v>
      </c>
      <c r="AM17" s="339" t="s">
        <v>106</v>
      </c>
      <c r="AN17" s="104">
        <v>9</v>
      </c>
      <c r="AO17" s="104">
        <v>1.2</v>
      </c>
      <c r="AP17" s="107">
        <f t="shared" si="14"/>
        <v>1.1000000000000001</v>
      </c>
      <c r="AQ17" s="107">
        <f t="shared" si="15"/>
        <v>1.2284225230179247</v>
      </c>
      <c r="AR17" s="107" t="str">
        <f t="shared" si="16"/>
        <v>(3,1,1,1,1,na)</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55.5555555555556</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t="s">
        <v>1861</v>
      </c>
      <c r="AH18" s="339">
        <v>3</v>
      </c>
      <c r="AI18" s="339">
        <v>1</v>
      </c>
      <c r="AJ18" s="339">
        <v>1</v>
      </c>
      <c r="AK18" s="339">
        <v>1</v>
      </c>
      <c r="AL18" s="339">
        <v>1</v>
      </c>
      <c r="AM18" s="339" t="s">
        <v>106</v>
      </c>
      <c r="AN18" s="104">
        <v>9</v>
      </c>
      <c r="AO18" s="104">
        <v>1.2</v>
      </c>
      <c r="AP18" s="107">
        <f t="shared" si="14"/>
        <v>1.1000000000000001</v>
      </c>
      <c r="AQ18" s="107">
        <f t="shared" si="15"/>
        <v>1.2284225230179247</v>
      </c>
      <c r="AR18" s="107" t="str">
        <f t="shared" si="16"/>
        <v>(3,1,1,1,1,na)</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55.5555555555556</v>
      </c>
      <c r="AC19" s="95">
        <v>1</v>
      </c>
      <c r="AD19" s="96">
        <f t="shared" si="12"/>
        <v>1.2284225230179247</v>
      </c>
      <c r="AE19" s="432" t="str">
        <f t="shared" si="13"/>
        <v>(3,1,1,1,1,na); calculation with m2 panel</v>
      </c>
      <c r="AF19" s="494">
        <v>4.4770909637727101</v>
      </c>
      <c r="AG19" s="77" t="s">
        <v>1861</v>
      </c>
      <c r="AH19" s="339">
        <v>3</v>
      </c>
      <c r="AI19" s="339">
        <v>1</v>
      </c>
      <c r="AJ19" s="339">
        <v>1</v>
      </c>
      <c r="AK19" s="339">
        <v>1</v>
      </c>
      <c r="AL19" s="339">
        <v>1</v>
      </c>
      <c r="AM19" s="339" t="s">
        <v>106</v>
      </c>
      <c r="AN19" s="104">
        <v>9</v>
      </c>
      <c r="AO19" s="104">
        <v>1.2</v>
      </c>
      <c r="AP19" s="107">
        <f t="shared" si="14"/>
        <v>1.1000000000000001</v>
      </c>
      <c r="AQ19" s="107">
        <f t="shared" si="15"/>
        <v>1.2284225230179247</v>
      </c>
      <c r="AR19" s="107" t="str">
        <f t="shared" si="16"/>
        <v>(3,1,1,1,1,na)</v>
      </c>
      <c r="AS19" s="108">
        <v>1.1000000000000001</v>
      </c>
      <c r="AT19" s="108">
        <v>1</v>
      </c>
      <c r="AU19" s="108">
        <v>1</v>
      </c>
      <c r="AV19" s="108">
        <v>1</v>
      </c>
      <c r="AW19" s="108">
        <v>1</v>
      </c>
      <c r="AX19" s="108">
        <v>1</v>
      </c>
    </row>
    <row r="20" spans="1:50" ht="24" customHeight="1">
      <c r="A20" s="330">
        <v>258587</v>
      </c>
      <c r="B20" s="331"/>
      <c r="C20" s="88"/>
      <c r="D20" s="340">
        <v>5</v>
      </c>
      <c r="E20" s="341" t="s">
        <v>98</v>
      </c>
      <c r="F20" s="432" t="s">
        <v>1974</v>
      </c>
      <c r="G20" s="433" t="s">
        <v>215</v>
      </c>
      <c r="H20" s="434" t="s">
        <v>98</v>
      </c>
      <c r="I20" s="434" t="s">
        <v>98</v>
      </c>
      <c r="J20" s="94">
        <v>1</v>
      </c>
      <c r="K20" s="433" t="s">
        <v>679</v>
      </c>
      <c r="L20" s="435">
        <v>57.2222222222222</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57.2222222222222</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494">
        <f>$L$27</f>
        <v>10.1</v>
      </c>
      <c r="AG20" s="77" t="s">
        <v>1862</v>
      </c>
      <c r="AH20" s="339">
        <v>3</v>
      </c>
      <c r="AI20" s="339">
        <v>4</v>
      </c>
      <c r="AJ20" s="339">
        <v>3</v>
      </c>
      <c r="AK20" s="339">
        <v>1</v>
      </c>
      <c r="AL20" s="339">
        <v>1</v>
      </c>
      <c r="AM20" s="339">
        <v>5</v>
      </c>
      <c r="AN20" s="104">
        <v>9</v>
      </c>
      <c r="AO20" s="104">
        <v>1.2</v>
      </c>
      <c r="AP20" s="107">
        <f t="shared" si="14"/>
        <v>1.2788404103505406</v>
      </c>
      <c r="AQ20" s="107">
        <f t="shared" si="15"/>
        <v>1.3582005896413567</v>
      </c>
      <c r="AR20" s="107" t="str">
        <f t="shared" si="16"/>
        <v>(3,4,3,1,1,5)</v>
      </c>
      <c r="AS20" s="108">
        <v>1.1000000000000001</v>
      </c>
      <c r="AT20" s="108">
        <v>1.1000000000000001</v>
      </c>
      <c r="AU20" s="108">
        <v>1.1000000000000001</v>
      </c>
      <c r="AV20" s="108">
        <v>1</v>
      </c>
      <c r="AW20" s="108">
        <v>1</v>
      </c>
      <c r="AX20" s="108">
        <v>1.2</v>
      </c>
    </row>
    <row r="21" spans="1:50" ht="24" customHeight="1">
      <c r="A21" s="330">
        <v>261216</v>
      </c>
      <c r="B21" s="331"/>
      <c r="C21" s="88"/>
      <c r="D21" s="340">
        <v>5</v>
      </c>
      <c r="E21" s="341" t="s">
        <v>98</v>
      </c>
      <c r="F21" s="432" t="s">
        <v>1975</v>
      </c>
      <c r="G21" s="433" t="s">
        <v>215</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57.2222222222222</v>
      </c>
      <c r="Q21" s="95">
        <f t="shared" si="3"/>
        <v>1</v>
      </c>
      <c r="R21" s="96">
        <f t="shared" si="4"/>
        <v>1.3582005896413567</v>
      </c>
      <c r="S21" s="432" t="str">
        <f t="shared" si="5"/>
        <v>(3,4,3,1,1,5); Calculation, 2% of modules repaired in the life time, 1% rejects</v>
      </c>
      <c r="T21" s="435">
        <v>57.2222222222222</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57.2222222222222</v>
      </c>
      <c r="AC21" s="95">
        <v>1</v>
      </c>
      <c r="AD21" s="96">
        <f t="shared" si="12"/>
        <v>1.3582005896413567</v>
      </c>
      <c r="AE21" s="432" t="str">
        <f t="shared" si="13"/>
        <v>(3,4,3,1,1,5); Calculation, 2% of modules repaired in the life time, 1% rejects</v>
      </c>
      <c r="AF21" s="494">
        <f>$P$27</f>
        <v>12.195967743732901</v>
      </c>
      <c r="AG21" s="77" t="s">
        <v>1862</v>
      </c>
      <c r="AH21" s="339">
        <v>3</v>
      </c>
      <c r="AI21" s="339">
        <v>4</v>
      </c>
      <c r="AJ21" s="339">
        <v>3</v>
      </c>
      <c r="AK21" s="339">
        <v>1</v>
      </c>
      <c r="AL21" s="339">
        <v>1</v>
      </c>
      <c r="AM21" s="339">
        <v>5</v>
      </c>
      <c r="AN21" s="104">
        <v>9</v>
      </c>
      <c r="AO21" s="104">
        <v>1.2</v>
      </c>
      <c r="AP21" s="107">
        <f t="shared" si="14"/>
        <v>1.2788404103505406</v>
      </c>
      <c r="AQ21" s="107">
        <f t="shared" si="15"/>
        <v>1.3582005896413567</v>
      </c>
      <c r="AR21" s="107" t="str">
        <f t="shared" si="16"/>
        <v>(3,4,3,1,1,5)</v>
      </c>
      <c r="AS21" s="108">
        <v>1.1000000000000001</v>
      </c>
      <c r="AT21" s="108">
        <v>1.1000000000000001</v>
      </c>
      <c r="AU21" s="108">
        <v>1.1000000000000001</v>
      </c>
      <c r="AV21" s="108">
        <v>1</v>
      </c>
      <c r="AW21" s="108">
        <v>1</v>
      </c>
      <c r="AX21" s="108">
        <v>1.2</v>
      </c>
    </row>
    <row r="22" spans="1:50">
      <c r="A22" s="330">
        <v>259361</v>
      </c>
      <c r="B22" s="331"/>
      <c r="C22" s="88"/>
      <c r="D22" s="340">
        <v>5</v>
      </c>
      <c r="E22" s="341" t="s">
        <v>98</v>
      </c>
      <c r="F22" s="432" t="s">
        <v>1578</v>
      </c>
      <c r="G22" s="433" t="s">
        <v>93</v>
      </c>
      <c r="H22" s="434" t="s">
        <v>98</v>
      </c>
      <c r="I22" s="434" t="s">
        <v>98</v>
      </c>
      <c r="J22" s="94">
        <v>0</v>
      </c>
      <c r="K22" s="433" t="s">
        <v>96</v>
      </c>
      <c r="L22" s="435">
        <f>SUMPRODUCT(L20:L21,$AF20:$AF21)</f>
        <v>577.94444444444423</v>
      </c>
      <c r="M22" s="95">
        <f t="shared" si="0"/>
        <v>1</v>
      </c>
      <c r="N22" s="96">
        <f t="shared" si="1"/>
        <v>1.2849840792941758</v>
      </c>
      <c r="O22" s="432" t="str">
        <f t="shared" si="2"/>
        <v>(3,4,3,1,1,5); recycling of PV modules at the end of life</v>
      </c>
      <c r="P22" s="435">
        <f>SUMPRODUCT(P20:P21,$AF20:$AF21)</f>
        <v>697.88037644693793</v>
      </c>
      <c r="Q22" s="95">
        <f t="shared" si="3"/>
        <v>1</v>
      </c>
      <c r="R22" s="96">
        <f t="shared" si="4"/>
        <v>1.2849840792941758</v>
      </c>
      <c r="S22" s="432" t="str">
        <f t="shared" si="5"/>
        <v>(3,4,3,1,1,5); recycling of PV modules at the end of life</v>
      </c>
      <c r="T22" s="435">
        <f>SUMPRODUCT(T20:T21,$AF20:$AF21)</f>
        <v>697.88037644693793</v>
      </c>
      <c r="U22" s="95">
        <f t="shared" si="6"/>
        <v>1</v>
      </c>
      <c r="V22" s="96">
        <f t="shared" si="7"/>
        <v>1.2849840792941758</v>
      </c>
      <c r="W22" s="432" t="str">
        <f t="shared" si="8"/>
        <v>(3,4,3,1,1,5); recycling of PV modules at the end of life</v>
      </c>
      <c r="X22" s="435">
        <f>SUMPRODUCT(X20:X21,$AF20:$AF21)</f>
        <v>577.94444444444423</v>
      </c>
      <c r="Y22" s="95">
        <f t="shared" si="9"/>
        <v>1</v>
      </c>
      <c r="Z22" s="96">
        <f t="shared" si="10"/>
        <v>1.2849840792941758</v>
      </c>
      <c r="AA22" s="432" t="str">
        <f t="shared" si="11"/>
        <v>(3,4,3,1,1,5); recycling of PV modules at the end of life</v>
      </c>
      <c r="AB22" s="435">
        <f>SUMPRODUCT(AB20:AB21,$AF20:$AF21)</f>
        <v>697.88037644693793</v>
      </c>
      <c r="AC22" s="95">
        <v>1</v>
      </c>
      <c r="AD22" s="96">
        <f t="shared" si="12"/>
        <v>1.2849840792941758</v>
      </c>
      <c r="AE22" s="432" t="str">
        <f t="shared" si="13"/>
        <v>(3,4,3,1,1,5); recycling of PV modules at the end of life</v>
      </c>
      <c r="AG22" s="77" t="s">
        <v>1863</v>
      </c>
      <c r="AH22" s="339">
        <v>3</v>
      </c>
      <c r="AI22" s="339">
        <v>4</v>
      </c>
      <c r="AJ22" s="339">
        <v>3</v>
      </c>
      <c r="AK22" s="339">
        <v>1</v>
      </c>
      <c r="AL22" s="339">
        <v>1</v>
      </c>
      <c r="AM22" s="339">
        <v>5</v>
      </c>
      <c r="AN22" s="104">
        <v>6</v>
      </c>
      <c r="AO22" s="104">
        <v>1.05</v>
      </c>
      <c r="AP22" s="107">
        <f t="shared" si="14"/>
        <v>1.2788404103505406</v>
      </c>
      <c r="AQ22" s="107">
        <f t="shared" si="15"/>
        <v>1.2849840792941758</v>
      </c>
      <c r="AR22" s="107" t="str">
        <f t="shared" si="16"/>
        <v>(3,4,3,1,1,5)</v>
      </c>
      <c r="AS22" s="108">
        <v>1.1000000000000001</v>
      </c>
      <c r="AT22" s="108">
        <v>1.1000000000000001</v>
      </c>
      <c r="AU22" s="108">
        <v>1.1000000000000001</v>
      </c>
      <c r="AV22" s="108">
        <v>1</v>
      </c>
      <c r="AW22" s="108">
        <v>1</v>
      </c>
      <c r="AX22" s="108">
        <v>1.2</v>
      </c>
    </row>
    <row r="23" spans="1:50" ht="24" customHeight="1">
      <c r="A23" s="330">
        <v>266207</v>
      </c>
      <c r="B23" s="331"/>
      <c r="C23" s="88"/>
      <c r="D23" s="340">
        <v>5</v>
      </c>
      <c r="E23" s="341" t="s">
        <v>98</v>
      </c>
      <c r="F23" s="432" t="s">
        <v>1864</v>
      </c>
      <c r="G23" s="433" t="s">
        <v>93</v>
      </c>
      <c r="H23" s="434" t="s">
        <v>98</v>
      </c>
      <c r="I23" s="434" t="s">
        <v>98</v>
      </c>
      <c r="J23" s="94">
        <v>0</v>
      </c>
      <c r="K23" s="433" t="s">
        <v>115</v>
      </c>
      <c r="L23" s="435">
        <f>0.1*SUMPRODUCT(L13:L21,$AF13:$AF21)</f>
        <v>83.365450269232142</v>
      </c>
      <c r="M23" s="95">
        <f t="shared" si="0"/>
        <v>1</v>
      </c>
      <c r="N23" s="96">
        <f t="shared" si="1"/>
        <v>2.0865051432908035</v>
      </c>
      <c r="O23" s="432" t="str">
        <f t="shared" si="2"/>
        <v>(3,4,3,1,1,5); transport of inverter, electric installation, mounting structure and module 100km to construction site</v>
      </c>
      <c r="P23" s="435">
        <f>0.1*SUMPRODUCT(P13:P21,$AF13:$AF21)</f>
        <v>102.05571076895907</v>
      </c>
      <c r="Q23" s="95">
        <f t="shared" si="3"/>
        <v>1</v>
      </c>
      <c r="R23" s="96">
        <f t="shared" si="4"/>
        <v>2.0865051432908035</v>
      </c>
      <c r="S23" s="432" t="str">
        <f t="shared" si="5"/>
        <v>(3,4,3,1,1,5); transport of inverter, electric installation, mounting structure and module 100km to construction site</v>
      </c>
      <c r="T23" s="435">
        <f>0.1*SUMPRODUCT(T13:T21,$AF13:$AF21)</f>
        <v>103.48660246951525</v>
      </c>
      <c r="U23" s="95">
        <f t="shared" si="6"/>
        <v>1</v>
      </c>
      <c r="V23" s="96">
        <f t="shared" si="7"/>
        <v>2.0865051432908035</v>
      </c>
      <c r="W23" s="432" t="str">
        <f t="shared" si="8"/>
        <v>(3,4,3,1,1,5); transport of inverter, electric installation, mounting structure and module 100km to construction site</v>
      </c>
      <c r="X23" s="435">
        <f>0.1*SUMPRODUCT(X13:X21,$AF13:$AF21)</f>
        <v>86.63101653662892</v>
      </c>
      <c r="Y23" s="95">
        <f t="shared" si="9"/>
        <v>1</v>
      </c>
      <c r="Z23" s="96">
        <f t="shared" si="10"/>
        <v>2.0865051432908035</v>
      </c>
      <c r="AA23" s="432" t="str">
        <f t="shared" si="11"/>
        <v>(3,4,3,1,1,5); transport of inverter, electric installation, mounting structure and module 100km to construction site</v>
      </c>
      <c r="AB23" s="435">
        <f>0.1*SUMPRODUCT(AB13:AB21,$AF13:$AF21)</f>
        <v>102.05571076895907</v>
      </c>
      <c r="AC23" s="95">
        <v>1</v>
      </c>
      <c r="AD23" s="96">
        <f t="shared" si="12"/>
        <v>2.0865051432908035</v>
      </c>
      <c r="AE23" s="432" t="str">
        <f t="shared" si="13"/>
        <v>(3,4,3,1,1,5); transport of inverter, electric installation, mounting structure and module 100km to construction site</v>
      </c>
      <c r="AG23" s="77" t="s">
        <v>1865</v>
      </c>
      <c r="AH23" s="339">
        <v>3</v>
      </c>
      <c r="AI23" s="339">
        <v>4</v>
      </c>
      <c r="AJ23" s="339">
        <v>3</v>
      </c>
      <c r="AK23" s="339">
        <v>1</v>
      </c>
      <c r="AL23" s="339">
        <v>1</v>
      </c>
      <c r="AM23" s="339">
        <v>5</v>
      </c>
      <c r="AN23" s="104">
        <v>5</v>
      </c>
      <c r="AO23" s="104">
        <v>2</v>
      </c>
      <c r="AP23" s="107">
        <f t="shared" si="14"/>
        <v>1.2788404103505406</v>
      </c>
      <c r="AQ23" s="107">
        <f t="shared" si="15"/>
        <v>2.0865051432908035</v>
      </c>
      <c r="AR23" s="107" t="str">
        <f t="shared" si="16"/>
        <v>(3,4,3,1,1,5)</v>
      </c>
      <c r="AS23" s="108">
        <v>1.1000000000000001</v>
      </c>
      <c r="AT23" s="108">
        <v>1.1000000000000001</v>
      </c>
      <c r="AU23" s="108">
        <v>1.1000000000000001</v>
      </c>
      <c r="AV23" s="108">
        <v>1</v>
      </c>
      <c r="AW23" s="108">
        <v>1</v>
      </c>
      <c r="AX23" s="108">
        <v>1.2</v>
      </c>
    </row>
    <row r="24" spans="1:50">
      <c r="A24" s="330">
        <v>21844</v>
      </c>
      <c r="B24" s="331" t="s">
        <v>594</v>
      </c>
      <c r="C24" s="88"/>
      <c r="D24" s="340" t="s">
        <v>98</v>
      </c>
      <c r="E24" s="341">
        <v>4</v>
      </c>
      <c r="F24" s="432" t="s">
        <v>121</v>
      </c>
      <c r="G24" s="433" t="s">
        <v>98</v>
      </c>
      <c r="H24" s="434" t="s">
        <v>247</v>
      </c>
      <c r="I24" s="434" t="s">
        <v>258</v>
      </c>
      <c r="J24" s="94" t="s">
        <v>98</v>
      </c>
      <c r="K24" s="433" t="s">
        <v>104</v>
      </c>
      <c r="L24" s="435">
        <f>3.6*L12</f>
        <v>0.48</v>
      </c>
      <c r="M24" s="95">
        <f t="shared" si="0"/>
        <v>1</v>
      </c>
      <c r="N24" s="96">
        <f t="shared" si="1"/>
        <v>1.2849840792941758</v>
      </c>
      <c r="O24" s="432" t="str">
        <f t="shared" si="2"/>
        <v>(3,4,3,1,1,5); calculated with electricity use</v>
      </c>
      <c r="P24" s="435">
        <f>3.6*P12</f>
        <v>0.48</v>
      </c>
      <c r="Q24" s="95">
        <f t="shared" si="3"/>
        <v>1</v>
      </c>
      <c r="R24" s="96">
        <f t="shared" si="4"/>
        <v>1.2849840792941758</v>
      </c>
      <c r="S24" s="432" t="str">
        <f t="shared" si="5"/>
        <v>(3,4,3,1,1,5); calculated with electricity use</v>
      </c>
      <c r="T24" s="435">
        <f>3.6*T12</f>
        <v>12.240000000000002</v>
      </c>
      <c r="U24" s="95">
        <f t="shared" si="6"/>
        <v>1</v>
      </c>
      <c r="V24" s="96">
        <f t="shared" si="7"/>
        <v>1.2849840792941758</v>
      </c>
      <c r="W24" s="432" t="str">
        <f t="shared" si="8"/>
        <v>(3,4,3,1,1,5); calculated with electricity use</v>
      </c>
      <c r="X24" s="435">
        <f>3.6*X12</f>
        <v>2.7600000000000002</v>
      </c>
      <c r="Y24" s="95">
        <f t="shared" si="9"/>
        <v>1</v>
      </c>
      <c r="Z24" s="96">
        <f t="shared" si="10"/>
        <v>1.2849840792941758</v>
      </c>
      <c r="AA24" s="432" t="str">
        <f t="shared" si="11"/>
        <v>(3,4,3,1,1,5); calculated with electricity use</v>
      </c>
      <c r="AB24" s="435">
        <f>3.6*AB12</f>
        <v>2.7600000000000002</v>
      </c>
      <c r="AC24" s="95">
        <v>1</v>
      </c>
      <c r="AD24" s="96">
        <f t="shared" si="12"/>
        <v>1.2849840792941758</v>
      </c>
      <c r="AE24" s="432" t="str">
        <f t="shared" si="13"/>
        <v>(3,4,3,1,1,5); calculated with electricity use</v>
      </c>
      <c r="AG24" s="77" t="s">
        <v>1866</v>
      </c>
      <c r="AH24" s="339">
        <v>3</v>
      </c>
      <c r="AI24" s="339">
        <v>4</v>
      </c>
      <c r="AJ24" s="339">
        <v>3</v>
      </c>
      <c r="AK24" s="339">
        <v>1</v>
      </c>
      <c r="AL24" s="339">
        <v>1</v>
      </c>
      <c r="AM24" s="339">
        <v>5</v>
      </c>
      <c r="AN24" s="104">
        <v>13</v>
      </c>
      <c r="AO24" s="104">
        <v>1.05</v>
      </c>
      <c r="AP24" s="107">
        <f t="shared" si="14"/>
        <v>1.2788404103505406</v>
      </c>
      <c r="AQ24" s="107">
        <f t="shared" si="15"/>
        <v>1.2849840792941758</v>
      </c>
      <c r="AR24" s="107" t="str">
        <f t="shared" si="16"/>
        <v>(3,4,3,1,1,5)</v>
      </c>
      <c r="AS24" s="108">
        <v>1.1000000000000001</v>
      </c>
      <c r="AT24" s="108">
        <v>1.1000000000000001</v>
      </c>
      <c r="AU24" s="108">
        <v>1.1000000000000001</v>
      </c>
      <c r="AV24" s="108">
        <v>1</v>
      </c>
      <c r="AW24" s="108">
        <v>1</v>
      </c>
      <c r="AX24" s="108">
        <v>1.2</v>
      </c>
    </row>
    <row r="25" spans="1:50">
      <c r="L25" s="487"/>
      <c r="P25" s="487"/>
      <c r="T25" s="487"/>
      <c r="X25" s="487"/>
      <c r="AB25" s="199"/>
      <c r="AC25" s="407"/>
      <c r="AK25" s="378"/>
      <c r="AL25" s="378"/>
      <c r="AM25" s="378"/>
      <c r="AN25" s="378"/>
    </row>
    <row r="26" spans="1:50">
      <c r="AB26" s="199"/>
      <c r="AC26" s="407"/>
    </row>
    <row r="27" spans="1:50">
      <c r="F27" s="378" t="s">
        <v>1952</v>
      </c>
      <c r="K27" s="378" t="s">
        <v>902</v>
      </c>
      <c r="L27" s="494">
        <v>10.1</v>
      </c>
      <c r="M27" s="496"/>
      <c r="N27" s="496"/>
      <c r="O27" s="496"/>
      <c r="P27" s="494">
        <v>12.195967743732901</v>
      </c>
      <c r="Q27" s="496"/>
      <c r="R27" s="496"/>
      <c r="S27" s="496"/>
      <c r="T27" s="494">
        <v>12.195967743732901</v>
      </c>
      <c r="U27" s="496"/>
      <c r="V27" s="496"/>
      <c r="W27" s="496"/>
      <c r="X27" s="494">
        <v>10.1</v>
      </c>
      <c r="Y27" s="496"/>
      <c r="Z27" s="496"/>
      <c r="AA27" s="496"/>
      <c r="AB27" s="497">
        <v>12.195967743732901</v>
      </c>
      <c r="AC27" s="407"/>
    </row>
  </sheetData>
  <mergeCells count="1">
    <mergeCell ref="AH1:AM1"/>
  </mergeCells>
  <conditionalFormatting sqref="D12:AE24 AG12:AM24">
    <cfRule type="expression" dxfId="66" priority="2">
      <formula>MOD(ROW(),2)=0</formula>
    </cfRule>
  </conditionalFormatting>
  <conditionalFormatting sqref="AN12:AX24">
    <cfRule type="expression" dxfId="65" priority="1">
      <formula>MOD(ROW(),2)=0</formula>
    </cfRule>
  </conditionalFormatting>
  <dataValidations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4C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4C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4C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4C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4C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4C00-000005000000}"/>
    <dataValidation allowBlank="1" showInputMessage="1" showErrorMessage="1" prompt="Do not change." sqref="AN3:AX4 AP7:AX11" xr:uid="{00000000-0002-0000-4C00-000006000000}"/>
    <dataValidation allowBlank="1" showInputMessage="1" showErrorMessage="1" promptTitle="Remarks" prompt="A general comment (data source, calculation procedure, ...) can be made about each individual exchange. The remarks are added to the GeneralComment-field." sqref="AG3" xr:uid="{00000000-0002-0000-4C00-000007000000}"/>
    <dataValidation allowBlank="1" showInputMessage="1" showErrorMessage="1" promptTitle="Do not change" prompt="This field is automatically updated from the names-list" sqref="AN12:AN17 AN18:AN24" xr:uid="{00000000-0002-0000-4C00-000008000000}"/>
  </dataValidations>
  <pageMargins left="0.78740157499999996" right="0.78740157499999996" top="0.984251969" bottom="0.984251969" header="0.4921259845" footer="0.4921259845"/>
  <pageSetup paperSize="9" scale="4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Tabelle72">
    <tabColor rgb="FF9CD9F0"/>
    <pageSetUpPr fitToPage="1"/>
  </sheetPr>
  <dimension ref="A1:AY27"/>
  <sheetViews>
    <sheetView workbookViewId="0">
      <selection activeCell="P3" sqref="P3"/>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78" customWidth="1" collapsed="1"/>
    <col min="52" max="52" width="11.42578125" style="378" customWidth="1"/>
    <col min="53" max="16384" width="11.42578125" style="378"/>
  </cols>
  <sheetData>
    <row r="1" spans="1:51">
      <c r="A1" s="77"/>
      <c r="B1" s="78"/>
      <c r="C1" s="79"/>
      <c r="D1" s="77"/>
      <c r="E1" s="77"/>
      <c r="F1" s="80" t="s">
        <v>65</v>
      </c>
      <c r="G1" s="77"/>
      <c r="H1" s="77"/>
      <c r="I1" s="77"/>
      <c r="J1" s="77"/>
      <c r="K1" s="77"/>
      <c r="L1" s="330" t="str">
        <f>A7</f>
        <v>Z-PV-202</v>
      </c>
      <c r="M1" s="81"/>
      <c r="N1" s="81"/>
      <c r="O1" s="81"/>
      <c r="P1" s="330" t="str">
        <f>A8</f>
        <v>Z-PV-203</v>
      </c>
      <c r="Q1" s="81"/>
      <c r="R1" s="81"/>
      <c r="S1" s="81"/>
      <c r="T1" s="330" t="str">
        <f>A9</f>
        <v>Z-PV-206</v>
      </c>
      <c r="U1" s="81"/>
      <c r="V1" s="81"/>
      <c r="W1" s="81"/>
      <c r="X1" s="330" t="str">
        <f>A10</f>
        <v>Z-PV-210</v>
      </c>
      <c r="Y1" s="81"/>
      <c r="Z1" s="81"/>
      <c r="AA1" s="81"/>
      <c r="AB1" s="330" t="str">
        <f>A11</f>
        <v>Z-PV-211</v>
      </c>
      <c r="AC1" s="81"/>
      <c r="AD1" s="81"/>
      <c r="AE1" s="81"/>
      <c r="AG1" s="378"/>
      <c r="AH1" s="1586"/>
      <c r="AI1" s="1581"/>
      <c r="AJ1" s="1581"/>
      <c r="AK1" s="1581"/>
      <c r="AL1" s="1581"/>
      <c r="AM1" s="1581"/>
      <c r="AN1" s="406"/>
      <c r="AO1" s="406"/>
      <c r="AP1" s="406"/>
      <c r="AQ1" s="406"/>
      <c r="AR1" s="406"/>
    </row>
    <row r="2" spans="1:51">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1" ht="102" customHeight="1">
      <c r="A3" s="83" t="s">
        <v>68</v>
      </c>
      <c r="B3" s="84"/>
      <c r="C3" s="79">
        <v>401</v>
      </c>
      <c r="D3" s="85" t="s">
        <v>69</v>
      </c>
      <c r="E3" s="85" t="s">
        <v>70</v>
      </c>
      <c r="F3" s="86" t="s">
        <v>71</v>
      </c>
      <c r="G3" s="85" t="s">
        <v>72</v>
      </c>
      <c r="H3" s="85" t="s">
        <v>73</v>
      </c>
      <c r="I3" s="85" t="s">
        <v>74</v>
      </c>
      <c r="J3" s="85" t="s">
        <v>75</v>
      </c>
      <c r="K3" s="85" t="s">
        <v>76</v>
      </c>
      <c r="L3" s="87" t="s">
        <v>1976</v>
      </c>
      <c r="M3" s="422" t="str">
        <f>$AC3</f>
        <v>UncertaintyType</v>
      </c>
      <c r="N3" s="422" t="str">
        <f>$AD3</f>
        <v>StandardDeviation95%</v>
      </c>
      <c r="O3" s="423" t="str">
        <f>$AE3</f>
        <v>GeneralComment</v>
      </c>
      <c r="P3" s="87" t="s">
        <v>1977</v>
      </c>
      <c r="Q3" s="422" t="str">
        <f>$AC3</f>
        <v>UncertaintyType</v>
      </c>
      <c r="R3" s="422" t="str">
        <f>$AD3</f>
        <v>StandardDeviation95%</v>
      </c>
      <c r="S3" s="423" t="str">
        <f>$AE3</f>
        <v>GeneralComment</v>
      </c>
      <c r="T3" s="87" t="s">
        <v>1978</v>
      </c>
      <c r="U3" s="422" t="str">
        <f>$AC3</f>
        <v>UncertaintyType</v>
      </c>
      <c r="V3" s="422" t="str">
        <f>$AD3</f>
        <v>StandardDeviation95%</v>
      </c>
      <c r="W3" s="423" t="str">
        <f>$AE3</f>
        <v>GeneralComment</v>
      </c>
      <c r="X3" s="87" t="s">
        <v>1979</v>
      </c>
      <c r="Y3" s="422" t="str">
        <f>$AC3</f>
        <v>UncertaintyType</v>
      </c>
      <c r="Z3" s="422" t="str">
        <f>$AD3</f>
        <v>StandardDeviation95%</v>
      </c>
      <c r="AA3" s="423" t="str">
        <f>$AE3</f>
        <v>GeneralComment</v>
      </c>
      <c r="AB3" s="87" t="s">
        <v>1980</v>
      </c>
      <c r="AC3" s="422" t="s">
        <v>78</v>
      </c>
      <c r="AD3" s="422" t="s">
        <v>79</v>
      </c>
      <c r="AE3" s="423" t="s">
        <v>80</v>
      </c>
      <c r="AF3" s="378" t="s">
        <v>1885</v>
      </c>
      <c r="AG3" s="97" t="s">
        <v>1981</v>
      </c>
      <c r="AH3" s="98" t="s">
        <v>363</v>
      </c>
      <c r="AI3" s="98" t="s">
        <v>364</v>
      </c>
      <c r="AJ3" s="98" t="s">
        <v>365</v>
      </c>
      <c r="AK3" s="98" t="s">
        <v>366</v>
      </c>
      <c r="AL3" s="98" t="s">
        <v>367</v>
      </c>
      <c r="AM3" s="98" t="s">
        <v>368</v>
      </c>
      <c r="AN3" s="99" t="s">
        <v>369</v>
      </c>
      <c r="AO3" s="99" t="s">
        <v>88</v>
      </c>
      <c r="AP3" s="99" t="s">
        <v>370</v>
      </c>
      <c r="AQ3" s="99" t="s">
        <v>90</v>
      </c>
      <c r="AR3" s="99" t="s">
        <v>91</v>
      </c>
      <c r="AS3" s="100" t="s">
        <v>371</v>
      </c>
      <c r="AT3" s="100" t="s">
        <v>364</v>
      </c>
      <c r="AU3" s="100" t="s">
        <v>365</v>
      </c>
      <c r="AV3" s="100" t="s">
        <v>366</v>
      </c>
      <c r="AW3" s="100" t="s">
        <v>367</v>
      </c>
      <c r="AX3" s="100" t="s">
        <v>368</v>
      </c>
      <c r="AY3" s="378" t="s">
        <v>369</v>
      </c>
    </row>
    <row r="4" spans="1:51" ht="12" customHeight="1">
      <c r="A4" s="77"/>
      <c r="B4" s="84"/>
      <c r="C4" s="79">
        <v>662</v>
      </c>
      <c r="D4" s="86"/>
      <c r="E4" s="86"/>
      <c r="F4" s="86" t="s">
        <v>72</v>
      </c>
      <c r="G4" s="86"/>
      <c r="H4" s="86"/>
      <c r="I4" s="86"/>
      <c r="J4" s="86"/>
      <c r="K4" s="86"/>
      <c r="L4" s="87" t="s">
        <v>373</v>
      </c>
      <c r="M4" s="425">
        <f>$AC4</f>
        <v>0</v>
      </c>
      <c r="N4" s="425">
        <f>$AD4</f>
        <v>0</v>
      </c>
      <c r="O4" s="426">
        <f>$AE4</f>
        <v>0</v>
      </c>
      <c r="P4" s="87" t="s">
        <v>373</v>
      </c>
      <c r="Q4" s="425">
        <f>$AC4</f>
        <v>0</v>
      </c>
      <c r="R4" s="425">
        <f>$AD4</f>
        <v>0</v>
      </c>
      <c r="S4" s="426">
        <f>$AE4</f>
        <v>0</v>
      </c>
      <c r="T4" s="87" t="s">
        <v>373</v>
      </c>
      <c r="U4" s="425">
        <f>$AC4</f>
        <v>0</v>
      </c>
      <c r="V4" s="425">
        <f>$AD4</f>
        <v>0</v>
      </c>
      <c r="W4" s="426">
        <f>$AE4</f>
        <v>0</v>
      </c>
      <c r="X4" s="87" t="s">
        <v>373</v>
      </c>
      <c r="Y4" s="425">
        <f>$AC4</f>
        <v>0</v>
      </c>
      <c r="Z4" s="425">
        <f>$AD4</f>
        <v>0</v>
      </c>
      <c r="AA4" s="426">
        <f>$AE4</f>
        <v>0</v>
      </c>
      <c r="AB4" s="87" t="s">
        <v>373</v>
      </c>
      <c r="AC4" s="425"/>
      <c r="AD4" s="425"/>
      <c r="AE4" s="426"/>
      <c r="AG4" s="101"/>
      <c r="AH4" s="102"/>
      <c r="AI4" s="97" t="s">
        <v>94</v>
      </c>
      <c r="AJ4" s="97"/>
      <c r="AK4" s="97"/>
      <c r="AL4" s="97"/>
      <c r="AM4" s="97"/>
      <c r="AN4" s="103"/>
      <c r="AO4" s="103"/>
      <c r="AP4" s="103"/>
      <c r="AQ4" s="103" t="s">
        <v>95</v>
      </c>
      <c r="AR4" s="104" t="s">
        <v>95</v>
      </c>
      <c r="AS4" s="105"/>
      <c r="AT4" s="105"/>
      <c r="AU4" s="105"/>
      <c r="AV4" s="105"/>
      <c r="AW4" s="105"/>
      <c r="AX4" s="105"/>
    </row>
    <row r="5" spans="1:51" ht="12" customHeight="1">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1" ht="12" customHeight="1">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t="s">
        <v>679</v>
      </c>
      <c r="AH6" s="106"/>
      <c r="AI6" s="106"/>
      <c r="AJ6" s="106"/>
      <c r="AK6" s="106"/>
      <c r="AL6" s="106"/>
      <c r="AM6" s="106"/>
      <c r="AN6" s="104"/>
      <c r="AO6" s="104"/>
      <c r="AP6" s="428"/>
      <c r="AQ6" s="428"/>
      <c r="AR6" s="107"/>
      <c r="AS6" s="105"/>
      <c r="AT6" s="105"/>
      <c r="AU6" s="105"/>
      <c r="AV6" s="105"/>
      <c r="AW6" s="105"/>
      <c r="AX6" s="105"/>
    </row>
    <row r="7" spans="1:51" ht="24" customHeight="1">
      <c r="A7" s="330" t="s">
        <v>1982</v>
      </c>
      <c r="B7" s="331" t="s">
        <v>97</v>
      </c>
      <c r="C7" s="88"/>
      <c r="D7" s="294" t="s">
        <v>98</v>
      </c>
      <c r="E7" s="295">
        <v>0</v>
      </c>
      <c r="F7" s="429" t="s">
        <v>1976</v>
      </c>
      <c r="G7" s="430" t="s">
        <v>373</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1" ht="24" customHeight="1">
      <c r="A8" s="330" t="s">
        <v>1983</v>
      </c>
      <c r="B8" s="331"/>
      <c r="C8" s="88"/>
      <c r="D8" s="294" t="s">
        <v>98</v>
      </c>
      <c r="E8" s="295">
        <v>0</v>
      </c>
      <c r="F8" s="429" t="s">
        <v>1977</v>
      </c>
      <c r="G8" s="430" t="s">
        <v>373</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1" ht="24" customHeight="1">
      <c r="A9" s="330" t="s">
        <v>1984</v>
      </c>
      <c r="B9" s="331"/>
      <c r="C9" s="88"/>
      <c r="D9" s="294" t="s">
        <v>98</v>
      </c>
      <c r="E9" s="295">
        <v>0</v>
      </c>
      <c r="F9" s="429" t="s">
        <v>1978</v>
      </c>
      <c r="G9" s="430" t="s">
        <v>373</v>
      </c>
      <c r="H9" s="431" t="s">
        <v>98</v>
      </c>
      <c r="I9" s="431" t="s">
        <v>98</v>
      </c>
      <c r="J9" s="89">
        <v>1</v>
      </c>
      <c r="K9" s="430" t="s">
        <v>144</v>
      </c>
      <c r="L9" s="90">
        <v>0</v>
      </c>
      <c r="M9" s="91"/>
      <c r="N9" s="92"/>
      <c r="O9" s="93"/>
      <c r="P9" s="90">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1" ht="24" customHeight="1">
      <c r="A10" s="330" t="s">
        <v>1985</v>
      </c>
      <c r="B10" s="331"/>
      <c r="C10" s="88"/>
      <c r="D10" s="294" t="s">
        <v>98</v>
      </c>
      <c r="E10" s="295">
        <v>0</v>
      </c>
      <c r="F10" s="429" t="s">
        <v>1979</v>
      </c>
      <c r="G10" s="430" t="s">
        <v>373</v>
      </c>
      <c r="H10" s="431" t="s">
        <v>98</v>
      </c>
      <c r="I10" s="431" t="s">
        <v>98</v>
      </c>
      <c r="J10" s="89">
        <v>1</v>
      </c>
      <c r="K10" s="430" t="s">
        <v>144</v>
      </c>
      <c r="L10" s="90">
        <v>0</v>
      </c>
      <c r="M10" s="91"/>
      <c r="N10" s="92"/>
      <c r="O10" s="93"/>
      <c r="P10" s="90">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1" ht="24" customHeight="1">
      <c r="A11" s="330" t="s">
        <v>1986</v>
      </c>
      <c r="B11" s="331"/>
      <c r="C11" s="88"/>
      <c r="D11" s="294" t="s">
        <v>98</v>
      </c>
      <c r="E11" s="295">
        <v>0</v>
      </c>
      <c r="F11" s="429" t="s">
        <v>1980</v>
      </c>
      <c r="G11" s="430" t="s">
        <v>373</v>
      </c>
      <c r="H11" s="431" t="s">
        <v>98</v>
      </c>
      <c r="I11" s="431" t="s">
        <v>98</v>
      </c>
      <c r="J11" s="89">
        <v>1</v>
      </c>
      <c r="K11" s="430" t="s">
        <v>144</v>
      </c>
      <c r="L11" s="90">
        <v>0</v>
      </c>
      <c r="M11" s="91"/>
      <c r="N11" s="92"/>
      <c r="O11" s="93"/>
      <c r="P11" s="90">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1">
      <c r="A12" s="330">
        <v>257740</v>
      </c>
      <c r="B12" s="331" t="s">
        <v>221</v>
      </c>
      <c r="C12" s="88"/>
      <c r="D12" s="340">
        <v>5</v>
      </c>
      <c r="E12" s="341" t="s">
        <v>98</v>
      </c>
      <c r="F12" s="432" t="s">
        <v>1916</v>
      </c>
      <c r="G12" s="433" t="s">
        <v>992</v>
      </c>
      <c r="H12" s="434" t="s">
        <v>98</v>
      </c>
      <c r="I12" s="434" t="s">
        <v>98</v>
      </c>
      <c r="J12" s="94">
        <v>0</v>
      </c>
      <c r="K12" s="433" t="s">
        <v>109</v>
      </c>
      <c r="L12" s="435">
        <f>0.04/3*10</f>
        <v>0.13333333333333333</v>
      </c>
      <c r="M12" s="95">
        <f t="shared" ref="M12:M24" si="0">$AC12</f>
        <v>1</v>
      </c>
      <c r="N12" s="96">
        <f t="shared" ref="N12:N24" si="1">$AD12</f>
        <v>1.2849840792941758</v>
      </c>
      <c r="O12" s="432" t="str">
        <f t="shared" ref="O12:O24" si="2">$AE12</f>
        <v>(3,4,3,1,1,5); Energy use for erection of 3kWp plant</v>
      </c>
      <c r="P12" s="435">
        <f>0.04/3*10</f>
        <v>0.13333333333333333</v>
      </c>
      <c r="Q12" s="95">
        <f t="shared" ref="Q12:Q24" si="3">$AC12</f>
        <v>1</v>
      </c>
      <c r="R12" s="96">
        <f t="shared" ref="R12:R24" si="4">$AD12</f>
        <v>1.2849840792941758</v>
      </c>
      <c r="S12" s="432" t="str">
        <f t="shared" ref="S12:S24" si="5">$AE12</f>
        <v>(3,4,3,1,1,5); Energy use for erection of 3kWp plant</v>
      </c>
      <c r="T12" s="435">
        <f>1.02/3*10</f>
        <v>3.4000000000000004</v>
      </c>
      <c r="U12" s="95">
        <f t="shared" ref="U12:U24" si="6">$AC12</f>
        <v>1</v>
      </c>
      <c r="V12" s="96">
        <f t="shared" ref="V12:V24" si="7">$AD12</f>
        <v>1.2849840792941758</v>
      </c>
      <c r="W12" s="432" t="str">
        <f t="shared" ref="W12:W24" si="8">$AE12</f>
        <v>(3,4,3,1,1,5); Energy use for erection of 3kWp plant</v>
      </c>
      <c r="X12" s="435">
        <f>0.23/3*10</f>
        <v>0.76666666666666672</v>
      </c>
      <c r="Y12" s="95">
        <f t="shared" ref="Y12:Y24" si="9">$AC12</f>
        <v>1</v>
      </c>
      <c r="Z12" s="96">
        <f t="shared" ref="Z12:Z24" si="10">$AD12</f>
        <v>1.2849840792941758</v>
      </c>
      <c r="AA12" s="432" t="str">
        <f t="shared" ref="AA12:AA24" si="11">$AE12</f>
        <v>(3,4,3,1,1,5); Energy use for erection of 3kWp plant</v>
      </c>
      <c r="AB12" s="435">
        <f>0.23/3*10</f>
        <v>0.76666666666666672</v>
      </c>
      <c r="AC12" s="95">
        <v>1</v>
      </c>
      <c r="AD12" s="96">
        <f t="shared" ref="AD12:AD24" si="12">AR12</f>
        <v>1.2849840792941758</v>
      </c>
      <c r="AE12" s="432" t="str">
        <f t="shared" ref="AE12:AE24" si="13">AS12&amp;"; "&amp;AH12</f>
        <v>(3,4,3,1,1,5); Energy use for erection of 3kWp plant</v>
      </c>
      <c r="AG12" s="77"/>
      <c r="AH12" s="339" t="s">
        <v>1973</v>
      </c>
      <c r="AI12" s="339">
        <v>3</v>
      </c>
      <c r="AJ12" s="339">
        <v>4</v>
      </c>
      <c r="AK12" s="339">
        <v>3</v>
      </c>
      <c r="AL12" s="339">
        <v>1</v>
      </c>
      <c r="AM12" s="339">
        <v>1</v>
      </c>
      <c r="AN12" s="104">
        <v>5</v>
      </c>
      <c r="AO12" s="104">
        <v>3</v>
      </c>
      <c r="AP12" s="107">
        <v>1.05</v>
      </c>
      <c r="AQ12" s="107">
        <f t="shared" ref="AQ12:AQ24" si="14">EXP(SQRT((LN(AT12)^2)+(LN(AU12)^2)+(LN(AV12)^2)+(LN(AW12)^2)+(LN(AX12)^2)+(LN(AY12)^2)))</f>
        <v>1.2788404103505406</v>
      </c>
      <c r="AR12" s="107">
        <f t="shared" ref="AR12:AR24" si="15">EXP(SQRT((LN(AT12)^2)+(LN(AU12)^2)+(LN(AV12)^2)+(LN(AW12)^2)+(LN(AX12)^2)+(LN(AY12)^2)+LN(AP12)^2))</f>
        <v>1.2849840792941758</v>
      </c>
      <c r="AS12" s="108" t="str">
        <f t="shared" ref="AS12:AS24" si="16">CONCATENATE("(",AI12,",",AJ12,",",AK12,",",AL12,",",AM12,",",AN12,")")</f>
        <v>(3,4,3,1,1,5)</v>
      </c>
      <c r="AT12" s="108">
        <v>1.1000000000000001</v>
      </c>
      <c r="AU12" s="108">
        <v>1.1000000000000001</v>
      </c>
      <c r="AV12" s="108">
        <v>1.1000000000000001</v>
      </c>
      <c r="AW12" s="108">
        <v>1</v>
      </c>
      <c r="AX12" s="108">
        <v>1</v>
      </c>
      <c r="AY12" s="378">
        <v>1.2</v>
      </c>
    </row>
    <row r="13" spans="1:51" ht="24" customHeight="1">
      <c r="A13" s="330" t="s">
        <v>1708</v>
      </c>
      <c r="B13" s="331"/>
      <c r="C13" s="88"/>
      <c r="D13" s="340">
        <v>5</v>
      </c>
      <c r="E13" s="341" t="s">
        <v>98</v>
      </c>
      <c r="F13" s="432" t="s">
        <v>1712</v>
      </c>
      <c r="G13" s="433" t="s">
        <v>154</v>
      </c>
      <c r="H13" s="434" t="s">
        <v>98</v>
      </c>
      <c r="I13" s="434" t="s">
        <v>98</v>
      </c>
      <c r="J13" s="94">
        <v>1</v>
      </c>
      <c r="K13" s="433" t="s">
        <v>144</v>
      </c>
      <c r="L13" s="435">
        <v>2</v>
      </c>
      <c r="M13" s="95">
        <f t="shared" si="0"/>
        <v>1</v>
      </c>
      <c r="N13" s="96">
        <f t="shared" si="1"/>
        <v>1.2354522921220721</v>
      </c>
      <c r="O13" s="432" t="str">
        <f t="shared" si="2"/>
        <v>(2,4,1,1,1,na); 1 replacement during the lifetime of the PV system; demand scaled linearly by power output</v>
      </c>
      <c r="P13" s="435">
        <f>L13</f>
        <v>2</v>
      </c>
      <c r="Q13" s="95">
        <f t="shared" si="3"/>
        <v>1</v>
      </c>
      <c r="R13" s="96">
        <f t="shared" si="4"/>
        <v>1.2354522921220721</v>
      </c>
      <c r="S13" s="432" t="str">
        <f t="shared" si="5"/>
        <v>(2,4,1,1,1,na); 1 replacement during the lifetime of the PV system; demand scaled linearly by power output</v>
      </c>
      <c r="T13" s="435">
        <f>P13</f>
        <v>2</v>
      </c>
      <c r="U13" s="95">
        <f t="shared" si="6"/>
        <v>1</v>
      </c>
      <c r="V13" s="96">
        <f t="shared" si="7"/>
        <v>1.2354522921220721</v>
      </c>
      <c r="W13" s="432" t="str">
        <f t="shared" si="8"/>
        <v>(2,4,1,1,1,na); 1 replacement during the lifetime of the PV system; demand scaled linearly by power output</v>
      </c>
      <c r="X13" s="435">
        <f>T13</f>
        <v>2</v>
      </c>
      <c r="Y13" s="95">
        <f t="shared" si="9"/>
        <v>1</v>
      </c>
      <c r="Z13" s="96">
        <f t="shared" si="10"/>
        <v>1.2354522921220721</v>
      </c>
      <c r="AA13" s="432" t="str">
        <f t="shared" si="11"/>
        <v>(2,4,1,1,1,na); 1 replacement during the lifetime of the PV system; demand scaled linearly by power output</v>
      </c>
      <c r="AB13" s="435">
        <f>X13</f>
        <v>2</v>
      </c>
      <c r="AC13" s="95">
        <v>1</v>
      </c>
      <c r="AD13" s="96">
        <f t="shared" si="12"/>
        <v>1.2354522921220721</v>
      </c>
      <c r="AE13" s="432" t="str">
        <f t="shared" si="13"/>
        <v>(2,4,1,1,1,na); 1 replacement during the lifetime of the PV system; demand scaled linearly by power output</v>
      </c>
      <c r="AF13" s="494">
        <v>0</v>
      </c>
      <c r="AG13" s="77"/>
      <c r="AH13" s="339" t="s">
        <v>1893</v>
      </c>
      <c r="AI13" s="339">
        <v>2</v>
      </c>
      <c r="AJ13" s="339">
        <v>4</v>
      </c>
      <c r="AK13" s="339">
        <v>1</v>
      </c>
      <c r="AL13" s="339">
        <v>1</v>
      </c>
      <c r="AM13" s="339">
        <v>1</v>
      </c>
      <c r="AN13" s="104" t="s">
        <v>106</v>
      </c>
      <c r="AO13" s="104">
        <v>9</v>
      </c>
      <c r="AP13" s="107">
        <v>1.2</v>
      </c>
      <c r="AQ13" s="107">
        <f t="shared" si="14"/>
        <v>1.1130148943987077</v>
      </c>
      <c r="AR13" s="107">
        <f t="shared" si="15"/>
        <v>1.2354522921220721</v>
      </c>
      <c r="AS13" s="108" t="str">
        <f t="shared" si="16"/>
        <v>(2,4,1,1,1,na)</v>
      </c>
      <c r="AT13" s="108">
        <v>1.05</v>
      </c>
      <c r="AU13" s="108">
        <v>1.1000000000000001</v>
      </c>
      <c r="AV13" s="108">
        <v>1</v>
      </c>
      <c r="AW13" s="108">
        <v>1</v>
      </c>
      <c r="AX13" s="108">
        <v>1</v>
      </c>
      <c r="AY13" s="378">
        <v>1</v>
      </c>
    </row>
    <row r="14" spans="1:51"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Literature</v>
      </c>
      <c r="P14" s="435">
        <v>2.26755352255311</v>
      </c>
      <c r="Q14" s="95">
        <f t="shared" si="3"/>
        <v>1</v>
      </c>
      <c r="R14" s="96">
        <f t="shared" si="4"/>
        <v>2.0865051432908035</v>
      </c>
      <c r="S14" s="432" t="str">
        <f t="shared" si="5"/>
        <v>(3,4,3,1,1,5); Literature</v>
      </c>
      <c r="T14" s="435">
        <v>2.26755352255311</v>
      </c>
      <c r="U14" s="95">
        <f t="shared" si="6"/>
        <v>1</v>
      </c>
      <c r="V14" s="96">
        <f t="shared" si="7"/>
        <v>2.0865051432908035</v>
      </c>
      <c r="W14" s="432" t="str">
        <f t="shared" si="8"/>
        <v>(3,4,3,1,1,5); Literature</v>
      </c>
      <c r="X14" s="435">
        <v>2.26755352255311</v>
      </c>
      <c r="Y14" s="95">
        <f t="shared" si="9"/>
        <v>1</v>
      </c>
      <c r="Z14" s="96">
        <f t="shared" si="10"/>
        <v>2.0865051432908035</v>
      </c>
      <c r="AA14" s="432" t="str">
        <f t="shared" si="11"/>
        <v>(3,4,3,1,1,5); Literature</v>
      </c>
      <c r="AB14" s="435">
        <v>2.26755352255311</v>
      </c>
      <c r="AC14" s="95">
        <v>1</v>
      </c>
      <c r="AD14" s="96">
        <f t="shared" si="12"/>
        <v>2.0865051432908035</v>
      </c>
      <c r="AE14" s="432" t="str">
        <f t="shared" si="13"/>
        <v>(3,4,3,1,1,5); Literature</v>
      </c>
      <c r="AF14" s="494">
        <v>32.612000000000002</v>
      </c>
      <c r="AG14" s="77"/>
      <c r="AH14" s="339" t="s">
        <v>253</v>
      </c>
      <c r="AI14" s="339">
        <v>3</v>
      </c>
      <c r="AJ14" s="339">
        <v>4</v>
      </c>
      <c r="AK14" s="339">
        <v>3</v>
      </c>
      <c r="AL14" s="339">
        <v>1</v>
      </c>
      <c r="AM14" s="339">
        <v>1</v>
      </c>
      <c r="AN14" s="104">
        <v>5</v>
      </c>
      <c r="AO14" s="104">
        <v>9</v>
      </c>
      <c r="AP14" s="107">
        <v>2</v>
      </c>
      <c r="AQ14" s="107">
        <f t="shared" si="14"/>
        <v>1.2788404103505406</v>
      </c>
      <c r="AR14" s="107">
        <f t="shared" si="15"/>
        <v>2.0865051432908035</v>
      </c>
      <c r="AS14" s="108" t="str">
        <f t="shared" si="16"/>
        <v>(3,4,3,1,1,5)</v>
      </c>
      <c r="AT14" s="108">
        <v>1.1000000000000001</v>
      </c>
      <c r="AU14" s="108">
        <v>1.1000000000000001</v>
      </c>
      <c r="AV14" s="108">
        <v>1.1000000000000001</v>
      </c>
      <c r="AW14" s="108">
        <v>1</v>
      </c>
      <c r="AX14" s="108">
        <v>1</v>
      </c>
      <c r="AY14" s="378">
        <v>1.2</v>
      </c>
    </row>
    <row r="15" spans="1:51" ht="24" customHeight="1">
      <c r="A15" s="330">
        <v>258217</v>
      </c>
      <c r="B15" s="331"/>
      <c r="C15" s="88"/>
      <c r="D15" s="340">
        <v>5</v>
      </c>
      <c r="E15" s="341" t="s">
        <v>98</v>
      </c>
      <c r="F15" s="432" t="s">
        <v>1601</v>
      </c>
      <c r="G15" s="433" t="s">
        <v>93</v>
      </c>
      <c r="H15" s="434" t="s">
        <v>98</v>
      </c>
      <c r="I15" s="434" t="s">
        <v>98</v>
      </c>
      <c r="J15" s="94">
        <v>1</v>
      </c>
      <c r="K15" s="433" t="s">
        <v>679</v>
      </c>
      <c r="L15" s="435">
        <v>55.5555555555556</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v>55.5555555555556</v>
      </c>
      <c r="AH15" s="339" t="s">
        <v>1861</v>
      </c>
      <c r="AI15" s="339">
        <v>3</v>
      </c>
      <c r="AJ15" s="339">
        <v>1</v>
      </c>
      <c r="AK15" s="339">
        <v>1</v>
      </c>
      <c r="AL15" s="339">
        <v>1</v>
      </c>
      <c r="AM15" s="339">
        <v>1</v>
      </c>
      <c r="AN15" s="104" t="s">
        <v>106</v>
      </c>
      <c r="AO15" s="104">
        <v>9</v>
      </c>
      <c r="AP15" s="107">
        <v>1.2</v>
      </c>
      <c r="AQ15" s="107">
        <f t="shared" si="14"/>
        <v>1.1000000000000001</v>
      </c>
      <c r="AR15" s="107">
        <f t="shared" si="15"/>
        <v>1.2284225230179247</v>
      </c>
      <c r="AS15" s="108" t="str">
        <f t="shared" si="16"/>
        <v>(3,1,1,1,1,na)</v>
      </c>
      <c r="AT15" s="108">
        <v>1.1000000000000001</v>
      </c>
      <c r="AU15" s="108">
        <v>1</v>
      </c>
      <c r="AV15" s="108">
        <v>1</v>
      </c>
      <c r="AW15" s="108">
        <v>1</v>
      </c>
      <c r="AX15" s="108">
        <v>1</v>
      </c>
      <c r="AY15" s="378">
        <v>1</v>
      </c>
    </row>
    <row r="16" spans="1:51"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55.5555555555556</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v>55.5555555555556</v>
      </c>
      <c r="AH16" s="339" t="s">
        <v>1861</v>
      </c>
      <c r="AI16" s="339">
        <v>3</v>
      </c>
      <c r="AJ16" s="339">
        <v>1</v>
      </c>
      <c r="AK16" s="339">
        <v>1</v>
      </c>
      <c r="AL16" s="339">
        <v>1</v>
      </c>
      <c r="AM16" s="339">
        <v>1</v>
      </c>
      <c r="AN16" s="104" t="s">
        <v>106</v>
      </c>
      <c r="AO16" s="104">
        <v>9</v>
      </c>
      <c r="AP16" s="107">
        <v>1.2</v>
      </c>
      <c r="AQ16" s="107">
        <f t="shared" si="14"/>
        <v>1.1000000000000001</v>
      </c>
      <c r="AR16" s="107">
        <f t="shared" si="15"/>
        <v>1.2284225230179247</v>
      </c>
      <c r="AS16" s="108" t="str">
        <f t="shared" si="16"/>
        <v>(3,1,1,1,1,na)</v>
      </c>
      <c r="AT16" s="108">
        <v>1.1000000000000001</v>
      </c>
      <c r="AU16" s="108">
        <v>1</v>
      </c>
      <c r="AV16" s="108">
        <v>1</v>
      </c>
      <c r="AW16" s="108">
        <v>1</v>
      </c>
      <c r="AX16" s="108">
        <v>1</v>
      </c>
      <c r="AY16" s="378">
        <v>1</v>
      </c>
    </row>
    <row r="17" spans="1:51">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55.5555555555556</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v>55.5555555555556</v>
      </c>
      <c r="AH17" s="339" t="s">
        <v>1861</v>
      </c>
      <c r="AI17" s="339">
        <v>3</v>
      </c>
      <c r="AJ17" s="339">
        <v>1</v>
      </c>
      <c r="AK17" s="339">
        <v>1</v>
      </c>
      <c r="AL17" s="339">
        <v>1</v>
      </c>
      <c r="AM17" s="339">
        <v>1</v>
      </c>
      <c r="AN17" s="104" t="s">
        <v>106</v>
      </c>
      <c r="AO17" s="104">
        <v>9</v>
      </c>
      <c r="AP17" s="107">
        <v>1.2</v>
      </c>
      <c r="AQ17" s="107">
        <f t="shared" si="14"/>
        <v>1.1000000000000001</v>
      </c>
      <c r="AR17" s="107">
        <f t="shared" si="15"/>
        <v>1.2284225230179247</v>
      </c>
      <c r="AS17" s="108" t="str">
        <f t="shared" si="16"/>
        <v>(3,1,1,1,1,na)</v>
      </c>
      <c r="AT17" s="108">
        <v>1.1000000000000001</v>
      </c>
      <c r="AU17" s="108">
        <v>1</v>
      </c>
      <c r="AV17" s="108">
        <v>1</v>
      </c>
      <c r="AW17" s="108">
        <v>1</v>
      </c>
      <c r="AX17" s="108">
        <v>1</v>
      </c>
      <c r="AY17" s="378">
        <v>1</v>
      </c>
    </row>
    <row r="18" spans="1:51"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55.5555555555556</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v>55.5555555555556</v>
      </c>
      <c r="AH18" s="339" t="s">
        <v>1861</v>
      </c>
      <c r="AI18" s="339">
        <v>3</v>
      </c>
      <c r="AJ18" s="339">
        <v>1</v>
      </c>
      <c r="AK18" s="339">
        <v>1</v>
      </c>
      <c r="AL18" s="339">
        <v>1</v>
      </c>
      <c r="AM18" s="339">
        <v>1</v>
      </c>
      <c r="AN18" s="104" t="s">
        <v>106</v>
      </c>
      <c r="AO18" s="104">
        <v>9</v>
      </c>
      <c r="AP18" s="107">
        <v>1.2</v>
      </c>
      <c r="AQ18" s="107">
        <f t="shared" si="14"/>
        <v>1.1000000000000001</v>
      </c>
      <c r="AR18" s="107">
        <f t="shared" si="15"/>
        <v>1.2284225230179247</v>
      </c>
      <c r="AS18" s="108" t="str">
        <f t="shared" si="16"/>
        <v>(3,1,1,1,1,na)</v>
      </c>
      <c r="AT18" s="108">
        <v>1.1000000000000001</v>
      </c>
      <c r="AU18" s="108">
        <v>1</v>
      </c>
      <c r="AV18" s="108">
        <v>1</v>
      </c>
      <c r="AW18" s="108">
        <v>1</v>
      </c>
      <c r="AX18" s="108">
        <v>1</v>
      </c>
      <c r="AY18" s="378">
        <v>1</v>
      </c>
    </row>
    <row r="19" spans="1:51"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55.5555555555556</v>
      </c>
      <c r="AC19" s="95">
        <v>1</v>
      </c>
      <c r="AD19" s="96">
        <f t="shared" si="12"/>
        <v>1.2284225230179247</v>
      </c>
      <c r="AE19" s="432" t="str">
        <f t="shared" si="13"/>
        <v>(3,1,1,1,1,na); calculation with m2 panel</v>
      </c>
      <c r="AF19" s="494">
        <v>4.4770909637727101</v>
      </c>
      <c r="AG19" s="77">
        <v>55.5555555555556</v>
      </c>
      <c r="AH19" s="339" t="s">
        <v>1861</v>
      </c>
      <c r="AI19" s="339">
        <v>3</v>
      </c>
      <c r="AJ19" s="339">
        <v>1</v>
      </c>
      <c r="AK19" s="339">
        <v>1</v>
      </c>
      <c r="AL19" s="339">
        <v>1</v>
      </c>
      <c r="AM19" s="339">
        <v>1</v>
      </c>
      <c r="AN19" s="104" t="s">
        <v>106</v>
      </c>
      <c r="AO19" s="104">
        <v>9</v>
      </c>
      <c r="AP19" s="107">
        <v>1.2</v>
      </c>
      <c r="AQ19" s="107">
        <f t="shared" si="14"/>
        <v>1.1000000000000001</v>
      </c>
      <c r="AR19" s="107">
        <f t="shared" si="15"/>
        <v>1.2284225230179247</v>
      </c>
      <c r="AS19" s="108" t="str">
        <f t="shared" si="16"/>
        <v>(3,1,1,1,1,na)</v>
      </c>
      <c r="AT19" s="108">
        <v>1.1000000000000001</v>
      </c>
      <c r="AU19" s="108">
        <v>1</v>
      </c>
      <c r="AV19" s="108">
        <v>1</v>
      </c>
      <c r="AW19" s="108">
        <v>1</v>
      </c>
      <c r="AX19" s="108">
        <v>1</v>
      </c>
      <c r="AY19" s="378">
        <v>1</v>
      </c>
    </row>
    <row r="20" spans="1:51" ht="24" customHeight="1">
      <c r="A20" s="330">
        <v>258529</v>
      </c>
      <c r="B20" s="331"/>
      <c r="C20" s="88"/>
      <c r="D20" s="340">
        <v>5</v>
      </c>
      <c r="E20" s="341" t="s">
        <v>98</v>
      </c>
      <c r="F20" s="432" t="s">
        <v>1987</v>
      </c>
      <c r="G20" s="433" t="s">
        <v>373</v>
      </c>
      <c r="H20" s="434" t="s">
        <v>98</v>
      </c>
      <c r="I20" s="434" t="s">
        <v>98</v>
      </c>
      <c r="J20" s="94">
        <v>1</v>
      </c>
      <c r="K20" s="433" t="s">
        <v>679</v>
      </c>
      <c r="L20" s="435">
        <v>57.2222222222222</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57.2222222222222</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494">
        <f>$L$27</f>
        <v>10.1</v>
      </c>
      <c r="AG20" s="77">
        <v>57.2222222222222</v>
      </c>
      <c r="AH20" s="339" t="s">
        <v>1862</v>
      </c>
      <c r="AI20" s="339">
        <v>3</v>
      </c>
      <c r="AJ20" s="339">
        <v>4</v>
      </c>
      <c r="AK20" s="339">
        <v>3</v>
      </c>
      <c r="AL20" s="339">
        <v>1</v>
      </c>
      <c r="AM20" s="339">
        <v>1</v>
      </c>
      <c r="AN20" s="104">
        <v>5</v>
      </c>
      <c r="AO20" s="104">
        <v>9</v>
      </c>
      <c r="AP20" s="107">
        <v>1.2</v>
      </c>
      <c r="AQ20" s="107">
        <f t="shared" si="14"/>
        <v>1.2788404103505406</v>
      </c>
      <c r="AR20" s="107">
        <f t="shared" si="15"/>
        <v>1.3582005896413567</v>
      </c>
      <c r="AS20" s="108" t="str">
        <f t="shared" si="16"/>
        <v>(3,4,3,1,1,5)</v>
      </c>
      <c r="AT20" s="108">
        <v>1.1000000000000001</v>
      </c>
      <c r="AU20" s="108">
        <v>1.1000000000000001</v>
      </c>
      <c r="AV20" s="108">
        <v>1.1000000000000001</v>
      </c>
      <c r="AW20" s="108">
        <v>1</v>
      </c>
      <c r="AX20" s="108">
        <v>1</v>
      </c>
      <c r="AY20" s="378">
        <v>1.2</v>
      </c>
    </row>
    <row r="21" spans="1:51" ht="24" customHeight="1">
      <c r="A21" s="330">
        <v>261190</v>
      </c>
      <c r="B21" s="331"/>
      <c r="C21" s="88"/>
      <c r="D21" s="340">
        <v>5</v>
      </c>
      <c r="E21" s="341" t="s">
        <v>98</v>
      </c>
      <c r="F21" s="432" t="s">
        <v>1988</v>
      </c>
      <c r="G21" s="433" t="s">
        <v>373</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57.2222222222222</v>
      </c>
      <c r="Q21" s="95">
        <f t="shared" si="3"/>
        <v>1</v>
      </c>
      <c r="R21" s="96">
        <f t="shared" si="4"/>
        <v>1.3582005896413567</v>
      </c>
      <c r="S21" s="432" t="str">
        <f t="shared" si="5"/>
        <v>(3,4,3,1,1,5); Calculation, 2% of modules repaired in the life time, 1% rejects</v>
      </c>
      <c r="T21" s="435">
        <v>57.2222222222222</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57.2222222222222</v>
      </c>
      <c r="AC21" s="95">
        <v>1</v>
      </c>
      <c r="AD21" s="96">
        <f t="shared" si="12"/>
        <v>1.3582005896413567</v>
      </c>
      <c r="AE21" s="432" t="str">
        <f t="shared" si="13"/>
        <v>(3,4,3,1,1,5); Calculation, 2% of modules repaired in the life time, 1% rejects</v>
      </c>
      <c r="AF21" s="494">
        <f>$P$27</f>
        <v>12.195967743732901</v>
      </c>
      <c r="AG21" s="77">
        <v>57.2222222222222</v>
      </c>
      <c r="AH21" s="339" t="s">
        <v>1862</v>
      </c>
      <c r="AI21" s="339">
        <v>3</v>
      </c>
      <c r="AJ21" s="339">
        <v>4</v>
      </c>
      <c r="AK21" s="339">
        <v>3</v>
      </c>
      <c r="AL21" s="339">
        <v>1</v>
      </c>
      <c r="AM21" s="339">
        <v>1</v>
      </c>
      <c r="AN21" s="104">
        <v>5</v>
      </c>
      <c r="AO21" s="104">
        <v>9</v>
      </c>
      <c r="AP21" s="107">
        <v>1.2</v>
      </c>
      <c r="AQ21" s="107">
        <f t="shared" si="14"/>
        <v>1.2788404103505406</v>
      </c>
      <c r="AR21" s="107">
        <f t="shared" si="15"/>
        <v>1.3582005896413567</v>
      </c>
      <c r="AS21" s="108" t="str">
        <f t="shared" si="16"/>
        <v>(3,4,3,1,1,5)</v>
      </c>
      <c r="AT21" s="108">
        <v>1.1000000000000001</v>
      </c>
      <c r="AU21" s="108">
        <v>1.1000000000000001</v>
      </c>
      <c r="AV21" s="108">
        <v>1.1000000000000001</v>
      </c>
      <c r="AW21" s="108">
        <v>1</v>
      </c>
      <c r="AX21" s="108">
        <v>1</v>
      </c>
      <c r="AY21" s="378">
        <v>1.2</v>
      </c>
    </row>
    <row r="22" spans="1:51">
      <c r="A22" s="330">
        <v>259361</v>
      </c>
      <c r="B22" s="331"/>
      <c r="C22" s="88"/>
      <c r="D22" s="340">
        <v>5</v>
      </c>
      <c r="E22" s="341" t="s">
        <v>98</v>
      </c>
      <c r="F22" s="432" t="s">
        <v>1578</v>
      </c>
      <c r="G22" s="433" t="s">
        <v>93</v>
      </c>
      <c r="H22" s="434" t="s">
        <v>98</v>
      </c>
      <c r="I22" s="434" t="s">
        <v>98</v>
      </c>
      <c r="J22" s="94">
        <v>0</v>
      </c>
      <c r="K22" s="433" t="s">
        <v>96</v>
      </c>
      <c r="L22" s="435">
        <f>SUMPRODUCT(L20:L21,$AF20:$AF21)</f>
        <v>577.94444444444423</v>
      </c>
      <c r="M22" s="95">
        <f t="shared" si="0"/>
        <v>1</v>
      </c>
      <c r="N22" s="96">
        <f t="shared" si="1"/>
        <v>1.2849840792941758</v>
      </c>
      <c r="O22" s="432" t="str">
        <f t="shared" si="2"/>
        <v>(3,4,3,1,1,5); recycling of PV modules at the end of life</v>
      </c>
      <c r="P22" s="435">
        <f>SUMPRODUCT(P20:P21,$AF20:$AF21)</f>
        <v>697.88037644693793</v>
      </c>
      <c r="Q22" s="95">
        <f t="shared" si="3"/>
        <v>1</v>
      </c>
      <c r="R22" s="96">
        <f t="shared" si="4"/>
        <v>1.2849840792941758</v>
      </c>
      <c r="S22" s="432" t="str">
        <f t="shared" si="5"/>
        <v>(3,4,3,1,1,5); recycling of PV modules at the end of life</v>
      </c>
      <c r="T22" s="435">
        <f>SUMPRODUCT(T20:T21,$AF20:$AF21)</f>
        <v>697.88037644693793</v>
      </c>
      <c r="U22" s="95">
        <f t="shared" si="6"/>
        <v>1</v>
      </c>
      <c r="V22" s="96">
        <f t="shared" si="7"/>
        <v>1.2849840792941758</v>
      </c>
      <c r="W22" s="432" t="str">
        <f t="shared" si="8"/>
        <v>(3,4,3,1,1,5); recycling of PV modules at the end of life</v>
      </c>
      <c r="X22" s="435">
        <f>SUMPRODUCT(X20:X21,$AF20:$AF21)</f>
        <v>577.94444444444423</v>
      </c>
      <c r="Y22" s="95">
        <f t="shared" si="9"/>
        <v>1</v>
      </c>
      <c r="Z22" s="96">
        <f t="shared" si="10"/>
        <v>1.2849840792941758</v>
      </c>
      <c r="AA22" s="432" t="str">
        <f t="shared" si="11"/>
        <v>(3,4,3,1,1,5); recycling of PV modules at the end of life</v>
      </c>
      <c r="AB22" s="435">
        <f>SUMPRODUCT(AB20:AB21,$AF20:$AF21)</f>
        <v>697.88037644693793</v>
      </c>
      <c r="AC22" s="95">
        <v>1</v>
      </c>
      <c r="AD22" s="96">
        <f t="shared" si="12"/>
        <v>1.2849840792941758</v>
      </c>
      <c r="AE22" s="432" t="str">
        <f t="shared" si="13"/>
        <v>(3,4,3,1,1,5); recycling of PV modules at the end of life</v>
      </c>
      <c r="AG22" s="77"/>
      <c r="AH22" s="339" t="s">
        <v>1863</v>
      </c>
      <c r="AI22" s="339">
        <v>3</v>
      </c>
      <c r="AJ22" s="339">
        <v>4</v>
      </c>
      <c r="AK22" s="339">
        <v>3</v>
      </c>
      <c r="AL22" s="339">
        <v>1</v>
      </c>
      <c r="AM22" s="339">
        <v>1</v>
      </c>
      <c r="AN22" s="104">
        <v>5</v>
      </c>
      <c r="AO22" s="104">
        <v>6</v>
      </c>
      <c r="AP22" s="107">
        <v>1.05</v>
      </c>
      <c r="AQ22" s="107">
        <f t="shared" si="14"/>
        <v>1.2788404103505406</v>
      </c>
      <c r="AR22" s="107">
        <f t="shared" si="15"/>
        <v>1.2849840792941758</v>
      </c>
      <c r="AS22" s="108" t="str">
        <f t="shared" si="16"/>
        <v>(3,4,3,1,1,5)</v>
      </c>
      <c r="AT22" s="108">
        <v>1.1000000000000001</v>
      </c>
      <c r="AU22" s="108">
        <v>1.1000000000000001</v>
      </c>
      <c r="AV22" s="108">
        <v>1.1000000000000001</v>
      </c>
      <c r="AW22" s="108">
        <v>1</v>
      </c>
      <c r="AX22" s="108">
        <v>1</v>
      </c>
      <c r="AY22" s="378">
        <v>1.2</v>
      </c>
    </row>
    <row r="23" spans="1:51" ht="24" customHeight="1">
      <c r="A23" s="330">
        <v>266207</v>
      </c>
      <c r="B23" s="331"/>
      <c r="C23" s="88"/>
      <c r="D23" s="340">
        <v>5</v>
      </c>
      <c r="E23" s="341" t="s">
        <v>98</v>
      </c>
      <c r="F23" s="432" t="s">
        <v>1864</v>
      </c>
      <c r="G23" s="433" t="s">
        <v>93</v>
      </c>
      <c r="H23" s="434" t="s">
        <v>98</v>
      </c>
      <c r="I23" s="434" t="s">
        <v>98</v>
      </c>
      <c r="J23" s="94">
        <v>0</v>
      </c>
      <c r="K23" s="433" t="s">
        <v>115</v>
      </c>
      <c r="L23" s="435">
        <f>0.1*SUMPRODUCT(L13:L21,$AF13:$AF21)</f>
        <v>83.365450269232142</v>
      </c>
      <c r="M23" s="95">
        <f t="shared" si="0"/>
        <v>1</v>
      </c>
      <c r="N23" s="96">
        <f t="shared" si="1"/>
        <v>2.0865051432908035</v>
      </c>
      <c r="O23" s="432" t="str">
        <f t="shared" si="2"/>
        <v>(3,4,3,1,1,5); transport of inverter, electric installation, mounting structure and module 100km to construction site</v>
      </c>
      <c r="P23" s="435">
        <f>0.1*SUMPRODUCT(P13:P21,$AF13:$AF21)</f>
        <v>102.05571076895907</v>
      </c>
      <c r="Q23" s="95">
        <f t="shared" si="3"/>
        <v>1</v>
      </c>
      <c r="R23" s="96">
        <f t="shared" si="4"/>
        <v>2.0865051432908035</v>
      </c>
      <c r="S23" s="432" t="str">
        <f t="shared" si="5"/>
        <v>(3,4,3,1,1,5); transport of inverter, electric installation, mounting structure and module 100km to construction site</v>
      </c>
      <c r="T23" s="435">
        <f>0.1*SUMPRODUCT(T13:T21,$AF13:$AF21)</f>
        <v>103.48660246951525</v>
      </c>
      <c r="U23" s="95">
        <f t="shared" si="6"/>
        <v>1</v>
      </c>
      <c r="V23" s="96">
        <f t="shared" si="7"/>
        <v>2.0865051432908035</v>
      </c>
      <c r="W23" s="432" t="str">
        <f t="shared" si="8"/>
        <v>(3,4,3,1,1,5); transport of inverter, electric installation, mounting structure and module 100km to construction site</v>
      </c>
      <c r="X23" s="435">
        <f>0.1*SUMPRODUCT(X13:X21,$AF13:$AF21)</f>
        <v>86.63101653662892</v>
      </c>
      <c r="Y23" s="95">
        <f t="shared" si="9"/>
        <v>1</v>
      </c>
      <c r="Z23" s="96">
        <f t="shared" si="10"/>
        <v>2.0865051432908035</v>
      </c>
      <c r="AA23" s="432" t="str">
        <f t="shared" si="11"/>
        <v>(3,4,3,1,1,5); transport of inverter, electric installation, mounting structure and module 100km to construction site</v>
      </c>
      <c r="AB23" s="435">
        <f>0.1*SUMPRODUCT(AB13:AB21,$AF13:$AF21)</f>
        <v>102.05571076895907</v>
      </c>
      <c r="AC23" s="95">
        <v>1</v>
      </c>
      <c r="AD23" s="96">
        <f t="shared" si="12"/>
        <v>2.0865051432908035</v>
      </c>
      <c r="AE23" s="432" t="str">
        <f t="shared" si="13"/>
        <v>(3,4,3,1,1,5); transport of inverter, electric installation, mounting structure and module 100km to construction site</v>
      </c>
      <c r="AG23" s="77"/>
      <c r="AH23" s="339" t="s">
        <v>1865</v>
      </c>
      <c r="AI23" s="339">
        <v>3</v>
      </c>
      <c r="AJ23" s="339">
        <v>4</v>
      </c>
      <c r="AK23" s="339">
        <v>3</v>
      </c>
      <c r="AL23" s="339">
        <v>1</v>
      </c>
      <c r="AM23" s="339">
        <v>1</v>
      </c>
      <c r="AN23" s="104">
        <v>5</v>
      </c>
      <c r="AO23" s="104">
        <v>5</v>
      </c>
      <c r="AP23" s="107">
        <v>2</v>
      </c>
      <c r="AQ23" s="107">
        <f t="shared" si="14"/>
        <v>1.2788404103505406</v>
      </c>
      <c r="AR23" s="107">
        <f t="shared" si="15"/>
        <v>2.0865051432908035</v>
      </c>
      <c r="AS23" s="108" t="str">
        <f t="shared" si="16"/>
        <v>(3,4,3,1,1,5)</v>
      </c>
      <c r="AT23" s="108">
        <v>1.1000000000000001</v>
      </c>
      <c r="AU23" s="108">
        <v>1.1000000000000001</v>
      </c>
      <c r="AV23" s="108">
        <v>1.1000000000000001</v>
      </c>
      <c r="AW23" s="108">
        <v>1</v>
      </c>
      <c r="AX23" s="108">
        <v>1</v>
      </c>
      <c r="AY23" s="378">
        <v>1.2</v>
      </c>
    </row>
    <row r="24" spans="1:51">
      <c r="A24" s="330">
        <v>21844</v>
      </c>
      <c r="B24" s="331" t="s">
        <v>594</v>
      </c>
      <c r="C24" s="88"/>
      <c r="D24" s="340" t="s">
        <v>98</v>
      </c>
      <c r="E24" s="341">
        <v>4</v>
      </c>
      <c r="F24" s="432" t="s">
        <v>121</v>
      </c>
      <c r="G24" s="433" t="s">
        <v>98</v>
      </c>
      <c r="H24" s="434" t="s">
        <v>247</v>
      </c>
      <c r="I24" s="434" t="s">
        <v>258</v>
      </c>
      <c r="J24" s="94" t="s">
        <v>98</v>
      </c>
      <c r="K24" s="433" t="s">
        <v>104</v>
      </c>
      <c r="L24" s="435">
        <f>3.6*L12</f>
        <v>0.48</v>
      </c>
      <c r="M24" s="95">
        <f t="shared" si="0"/>
        <v>1</v>
      </c>
      <c r="N24" s="96">
        <f t="shared" si="1"/>
        <v>1.2849840792941758</v>
      </c>
      <c r="O24" s="432" t="str">
        <f t="shared" si="2"/>
        <v>(3,4,3,1,1,5); calculated with electricity use</v>
      </c>
      <c r="P24" s="435">
        <f>3.6*P12</f>
        <v>0.48</v>
      </c>
      <c r="Q24" s="95">
        <f t="shared" si="3"/>
        <v>1</v>
      </c>
      <c r="R24" s="96">
        <f t="shared" si="4"/>
        <v>1.2849840792941758</v>
      </c>
      <c r="S24" s="432" t="str">
        <f t="shared" si="5"/>
        <v>(3,4,3,1,1,5); calculated with electricity use</v>
      </c>
      <c r="T24" s="435">
        <f>3.6*T12</f>
        <v>12.240000000000002</v>
      </c>
      <c r="U24" s="95">
        <f t="shared" si="6"/>
        <v>1</v>
      </c>
      <c r="V24" s="96">
        <f t="shared" si="7"/>
        <v>1.2849840792941758</v>
      </c>
      <c r="W24" s="432" t="str">
        <f t="shared" si="8"/>
        <v>(3,4,3,1,1,5); calculated with electricity use</v>
      </c>
      <c r="X24" s="435">
        <f>3.6*X12</f>
        <v>2.7600000000000002</v>
      </c>
      <c r="Y24" s="95">
        <f t="shared" si="9"/>
        <v>1</v>
      </c>
      <c r="Z24" s="96">
        <f t="shared" si="10"/>
        <v>1.2849840792941758</v>
      </c>
      <c r="AA24" s="432" t="str">
        <f t="shared" si="11"/>
        <v>(3,4,3,1,1,5); calculated with electricity use</v>
      </c>
      <c r="AB24" s="435">
        <f>3.6*AB12</f>
        <v>2.7600000000000002</v>
      </c>
      <c r="AC24" s="95">
        <v>1</v>
      </c>
      <c r="AD24" s="96">
        <f t="shared" si="12"/>
        <v>1.2849840792941758</v>
      </c>
      <c r="AE24" s="432" t="str">
        <f t="shared" si="13"/>
        <v>(3,4,3,1,1,5); calculated with electricity use</v>
      </c>
      <c r="AG24" s="77"/>
      <c r="AH24" s="339" t="s">
        <v>1866</v>
      </c>
      <c r="AI24" s="339">
        <v>3</v>
      </c>
      <c r="AJ24" s="339">
        <v>4</v>
      </c>
      <c r="AK24" s="339">
        <v>3</v>
      </c>
      <c r="AL24" s="339">
        <v>1</v>
      </c>
      <c r="AM24" s="339">
        <v>1</v>
      </c>
      <c r="AN24" s="104">
        <v>5</v>
      </c>
      <c r="AO24" s="104">
        <v>13</v>
      </c>
      <c r="AP24" s="107">
        <v>1.05</v>
      </c>
      <c r="AQ24" s="107">
        <f t="shared" si="14"/>
        <v>1.2788404103505406</v>
      </c>
      <c r="AR24" s="107">
        <f t="shared" si="15"/>
        <v>1.2849840792941758</v>
      </c>
      <c r="AS24" s="108" t="str">
        <f t="shared" si="16"/>
        <v>(3,4,3,1,1,5)</v>
      </c>
      <c r="AT24" s="108">
        <v>1.1000000000000001</v>
      </c>
      <c r="AU24" s="108">
        <v>1.1000000000000001</v>
      </c>
      <c r="AV24" s="108">
        <v>1.1000000000000001</v>
      </c>
      <c r="AW24" s="108">
        <v>1</v>
      </c>
      <c r="AX24" s="108">
        <v>1</v>
      </c>
      <c r="AY24" s="378">
        <v>1.2</v>
      </c>
    </row>
    <row r="25" spans="1:51">
      <c r="L25" s="487"/>
      <c r="P25" s="487"/>
      <c r="T25" s="487"/>
      <c r="X25" s="487"/>
      <c r="AB25" s="199"/>
      <c r="AC25" s="407"/>
      <c r="AK25" s="378"/>
      <c r="AL25" s="378"/>
      <c r="AM25" s="378"/>
      <c r="AN25" s="378"/>
    </row>
    <row r="26" spans="1:51">
      <c r="AB26" s="199"/>
      <c r="AC26" s="407"/>
    </row>
    <row r="27" spans="1:51">
      <c r="F27" s="378" t="s">
        <v>1952</v>
      </c>
      <c r="K27" s="378" t="s">
        <v>902</v>
      </c>
      <c r="L27" s="494">
        <v>10.1</v>
      </c>
      <c r="M27" s="496"/>
      <c r="N27" s="496"/>
      <c r="O27" s="496"/>
      <c r="P27" s="494">
        <v>12.195967743732901</v>
      </c>
      <c r="Q27" s="496"/>
      <c r="R27" s="496"/>
      <c r="S27" s="496"/>
      <c r="T27" s="494">
        <v>12.195967743732901</v>
      </c>
      <c r="U27" s="496"/>
      <c r="V27" s="496"/>
      <c r="W27" s="496"/>
      <c r="X27" s="494">
        <v>10.1</v>
      </c>
      <c r="Y27" s="496"/>
      <c r="Z27" s="496"/>
      <c r="AA27" s="496"/>
      <c r="AB27" s="497">
        <v>12.195967743732901</v>
      </c>
      <c r="AC27" s="407"/>
    </row>
  </sheetData>
  <mergeCells count="1">
    <mergeCell ref="AH1:AM1"/>
  </mergeCells>
  <conditionalFormatting sqref="D12:AE24 AG12:AM24">
    <cfRule type="expression" dxfId="64" priority="2">
      <formula>MOD(ROW(),2)=0</formula>
    </cfRule>
  </conditionalFormatting>
  <conditionalFormatting sqref="AN12:AX24">
    <cfRule type="expression" dxfId="63" priority="1">
      <formula>MOD(ROW(),2)=0</formula>
    </cfRule>
  </conditionalFormatting>
  <dataValidations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I3" xr:uid="{00000000-0002-0000-4D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N3" xr:uid="{00000000-0002-0000-4D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M3" xr:uid="{00000000-0002-0000-4D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L3" xr:uid="{00000000-0002-0000-4D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K3" xr:uid="{00000000-0002-0000-4D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J3" xr:uid="{00000000-0002-0000-4D00-000005000000}"/>
    <dataValidation allowBlank="1" showInputMessage="1" showErrorMessage="1" prompt="Do not change." sqref="AO3:AY4 AQ7:AY11" xr:uid="{00000000-0002-0000-4D00-000006000000}"/>
    <dataValidation allowBlank="1" showInputMessage="1" showErrorMessage="1" promptTitle="Remarks" prompt="A general comment (data source, calculation procedure, ...) can be made about each individual exchange. The remarks are added to the GeneralComment-field." sqref="AH3" xr:uid="{00000000-0002-0000-4D00-000007000000}"/>
    <dataValidation allowBlank="1" showInputMessage="1" showErrorMessage="1" promptTitle="Do not change" prompt="This field is automatically updated from the names-list" sqref="AO12:AO16 AO17:AO24" xr:uid="{00000000-0002-0000-4D00-000008000000}"/>
  </dataValidations>
  <pageMargins left="0.78740157499999996" right="0.78740157499999996" top="0.984251969" bottom="0.984251969" header="0.4921259845" footer="0.4921259845"/>
  <pageSetup paperSize="9" scale="3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Tabelle73">
    <tabColor rgb="FF9CD9F0"/>
    <pageSetUpPr fitToPage="1"/>
  </sheetPr>
  <dimension ref="A1:AY27"/>
  <sheetViews>
    <sheetView topLeftCell="A5" workbookViewId="0">
      <selection activeCell="X20" sqref="X20"/>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1.42578125" style="378" customWidth="1" collapsed="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45" width="4.28515625" style="378" hidden="1" customWidth="1" outlineLevel="1"/>
    <col min="46" max="46" width="4" style="378" hidden="1" customWidth="1" outlineLevel="1"/>
    <col min="47" max="48" width="4.42578125" style="378" hidden="1" customWidth="1" outlineLevel="1"/>
    <col min="49" max="49" width="4.28515625" style="378" hidden="1" customWidth="1" outlineLevel="1"/>
    <col min="50" max="50" width="4.42578125" style="378" hidden="1" customWidth="1" outlineLevel="1"/>
    <col min="51" max="51" width="11.42578125" style="378" customWidth="1" collapsed="1"/>
    <col min="52" max="52" width="11.42578125" style="378" customWidth="1"/>
    <col min="53" max="16384" width="11.42578125" style="378"/>
  </cols>
  <sheetData>
    <row r="1" spans="1:50">
      <c r="A1" s="77"/>
      <c r="B1" s="78"/>
      <c r="C1" s="79"/>
      <c r="D1" s="77"/>
      <c r="E1" s="77"/>
      <c r="F1" s="80" t="s">
        <v>65</v>
      </c>
      <c r="G1" s="77"/>
      <c r="H1" s="77"/>
      <c r="I1" s="77"/>
      <c r="J1" s="77"/>
      <c r="K1" s="77"/>
      <c r="L1" s="330" t="str">
        <f>A7</f>
        <v>Z-PV-220</v>
      </c>
      <c r="M1" s="81"/>
      <c r="N1" s="81"/>
      <c r="O1" s="81"/>
      <c r="P1" s="330" t="str">
        <f>A8</f>
        <v>Z-PV-221</v>
      </c>
      <c r="Q1" s="81"/>
      <c r="R1" s="81"/>
      <c r="S1" s="81"/>
      <c r="T1" s="330" t="str">
        <f>A9</f>
        <v>Z-PV-224</v>
      </c>
      <c r="U1" s="81"/>
      <c r="V1" s="81"/>
      <c r="W1" s="81"/>
      <c r="X1" s="330" t="str">
        <f>A10</f>
        <v>Z-PV-228</v>
      </c>
      <c r="Y1" s="81"/>
      <c r="Z1" s="81"/>
      <c r="AA1" s="81"/>
      <c r="AB1" s="330" t="str">
        <f>A11</f>
        <v>Z-PV-229</v>
      </c>
      <c r="AC1" s="81"/>
      <c r="AD1" s="81"/>
      <c r="AE1" s="81"/>
      <c r="AG1" s="378"/>
      <c r="AH1" s="1586"/>
      <c r="AI1" s="1581"/>
      <c r="AJ1" s="1581"/>
      <c r="AK1" s="1581"/>
      <c r="AL1" s="1581"/>
      <c r="AM1" s="1581"/>
      <c r="AN1" s="406"/>
      <c r="AO1" s="406"/>
      <c r="AP1" s="406"/>
      <c r="AQ1" s="406"/>
      <c r="AR1" s="406"/>
    </row>
    <row r="2" spans="1:50">
      <c r="A2" s="77"/>
      <c r="B2" s="82"/>
      <c r="C2" s="79" t="s">
        <v>67</v>
      </c>
      <c r="D2" s="82">
        <v>3503</v>
      </c>
      <c r="E2" s="82">
        <v>3504</v>
      </c>
      <c r="F2" s="82">
        <v>3702</v>
      </c>
      <c r="G2" s="82">
        <v>3703</v>
      </c>
      <c r="H2" s="82">
        <v>3506</v>
      </c>
      <c r="I2" s="82">
        <v>3507</v>
      </c>
      <c r="J2" s="82">
        <v>3508</v>
      </c>
      <c r="K2" s="82">
        <v>3706</v>
      </c>
      <c r="L2" s="82">
        <v>3707</v>
      </c>
      <c r="M2" s="419">
        <f>$AC2</f>
        <v>3708</v>
      </c>
      <c r="N2" s="419">
        <f>$AD2</f>
        <v>3709</v>
      </c>
      <c r="O2" s="420">
        <f>$AE2</f>
        <v>3792</v>
      </c>
      <c r="P2" s="82">
        <v>3707</v>
      </c>
      <c r="Q2" s="419">
        <f>$AC2</f>
        <v>3708</v>
      </c>
      <c r="R2" s="419">
        <f>$AD2</f>
        <v>3709</v>
      </c>
      <c r="S2" s="420">
        <f>$AE2</f>
        <v>3792</v>
      </c>
      <c r="T2" s="82">
        <v>3707</v>
      </c>
      <c r="U2" s="419">
        <f>$AC2</f>
        <v>3708</v>
      </c>
      <c r="V2" s="419">
        <f>$AD2</f>
        <v>3709</v>
      </c>
      <c r="W2" s="420">
        <f>$AE2</f>
        <v>3792</v>
      </c>
      <c r="X2" s="82">
        <v>3707</v>
      </c>
      <c r="Y2" s="419">
        <f>$AC2</f>
        <v>3708</v>
      </c>
      <c r="Z2" s="419">
        <f>$AD2</f>
        <v>3709</v>
      </c>
      <c r="AA2" s="420">
        <f>$AE2</f>
        <v>3792</v>
      </c>
      <c r="AB2" s="82">
        <v>3707</v>
      </c>
      <c r="AC2" s="419">
        <v>3708</v>
      </c>
      <c r="AD2" s="419">
        <v>3709</v>
      </c>
      <c r="AE2" s="420">
        <v>3792</v>
      </c>
      <c r="AG2" s="406"/>
      <c r="AH2" s="406"/>
      <c r="AI2" s="406"/>
      <c r="AJ2" s="406"/>
      <c r="AK2" s="406"/>
      <c r="AL2" s="406"/>
      <c r="AM2" s="406"/>
      <c r="AN2" s="406"/>
    </row>
    <row r="3" spans="1:50" ht="102" customHeight="1">
      <c r="A3" s="83" t="s">
        <v>68</v>
      </c>
      <c r="B3" s="84"/>
      <c r="C3" s="79">
        <v>401</v>
      </c>
      <c r="D3" s="85" t="s">
        <v>69</v>
      </c>
      <c r="E3" s="85" t="s">
        <v>70</v>
      </c>
      <c r="F3" s="86" t="s">
        <v>71</v>
      </c>
      <c r="G3" s="85" t="s">
        <v>72</v>
      </c>
      <c r="H3" s="85" t="s">
        <v>73</v>
      </c>
      <c r="I3" s="85" t="s">
        <v>74</v>
      </c>
      <c r="J3" s="85" t="s">
        <v>75</v>
      </c>
      <c r="K3" s="85" t="s">
        <v>76</v>
      </c>
      <c r="L3" s="87" t="s">
        <v>1989</v>
      </c>
      <c r="M3" s="422" t="str">
        <f>$AC3</f>
        <v>UncertaintyType</v>
      </c>
      <c r="N3" s="422" t="str">
        <f>$AD3</f>
        <v>StandardDeviation95%</v>
      </c>
      <c r="O3" s="423" t="str">
        <f>$AE3</f>
        <v>GeneralComment</v>
      </c>
      <c r="P3" s="87" t="s">
        <v>1990</v>
      </c>
      <c r="Q3" s="422" t="str">
        <f>$AC3</f>
        <v>UncertaintyType</v>
      </c>
      <c r="R3" s="422" t="str">
        <f>$AD3</f>
        <v>StandardDeviation95%</v>
      </c>
      <c r="S3" s="423" t="str">
        <f>$AE3</f>
        <v>GeneralComment</v>
      </c>
      <c r="T3" s="87" t="s">
        <v>1991</v>
      </c>
      <c r="U3" s="422" t="str">
        <f>$AC3</f>
        <v>UncertaintyType</v>
      </c>
      <c r="V3" s="422" t="str">
        <f>$AD3</f>
        <v>StandardDeviation95%</v>
      </c>
      <c r="W3" s="423" t="str">
        <f>$AE3</f>
        <v>GeneralComment</v>
      </c>
      <c r="X3" s="87" t="s">
        <v>1992</v>
      </c>
      <c r="Y3" s="422" t="str">
        <f>$AC3</f>
        <v>UncertaintyType</v>
      </c>
      <c r="Z3" s="422" t="str">
        <f>$AD3</f>
        <v>StandardDeviation95%</v>
      </c>
      <c r="AA3" s="423" t="str">
        <f>$AE3</f>
        <v>GeneralComment</v>
      </c>
      <c r="AB3" s="87" t="s">
        <v>1993</v>
      </c>
      <c r="AC3" s="422" t="s">
        <v>78</v>
      </c>
      <c r="AD3" s="422" t="s">
        <v>79</v>
      </c>
      <c r="AE3" s="423" t="s">
        <v>80</v>
      </c>
      <c r="AF3" s="378" t="s">
        <v>1885</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row>
    <row r="4" spans="1:50" ht="12" customHeight="1">
      <c r="A4" s="77"/>
      <c r="B4" s="84"/>
      <c r="C4" s="79">
        <v>662</v>
      </c>
      <c r="D4" s="86"/>
      <c r="E4" s="86"/>
      <c r="F4" s="86" t="s">
        <v>72</v>
      </c>
      <c r="G4" s="86"/>
      <c r="H4" s="86"/>
      <c r="I4" s="86"/>
      <c r="J4" s="86"/>
      <c r="K4" s="86"/>
      <c r="L4" s="87" t="s">
        <v>372</v>
      </c>
      <c r="M4" s="425">
        <f>$AC4</f>
        <v>0</v>
      </c>
      <c r="N4" s="425">
        <f>$AD4</f>
        <v>0</v>
      </c>
      <c r="O4" s="426">
        <f>$AE4</f>
        <v>0</v>
      </c>
      <c r="P4" s="87" t="s">
        <v>372</v>
      </c>
      <c r="Q4" s="425">
        <f>$AC4</f>
        <v>0</v>
      </c>
      <c r="R4" s="425">
        <f>$AD4</f>
        <v>0</v>
      </c>
      <c r="S4" s="426">
        <f>$AE4</f>
        <v>0</v>
      </c>
      <c r="T4" s="87" t="s">
        <v>372</v>
      </c>
      <c r="U4" s="425">
        <f>$AC4</f>
        <v>0</v>
      </c>
      <c r="V4" s="425">
        <f>$AD4</f>
        <v>0</v>
      </c>
      <c r="W4" s="426">
        <f>$AE4</f>
        <v>0</v>
      </c>
      <c r="X4" s="87" t="s">
        <v>372</v>
      </c>
      <c r="Y4" s="425">
        <f>$AC4</f>
        <v>0</v>
      </c>
      <c r="Z4" s="425">
        <f>$AD4</f>
        <v>0</v>
      </c>
      <c r="AA4" s="426">
        <f>$AE4</f>
        <v>0</v>
      </c>
      <c r="AB4" s="87" t="s">
        <v>372</v>
      </c>
      <c r="AC4" s="425"/>
      <c r="AD4" s="425"/>
      <c r="AE4" s="426"/>
      <c r="AG4" s="101"/>
      <c r="AH4" s="102" t="s">
        <v>94</v>
      </c>
      <c r="AI4" s="97"/>
      <c r="AJ4" s="97"/>
      <c r="AK4" s="97"/>
      <c r="AL4" s="97"/>
      <c r="AM4" s="97"/>
      <c r="AN4" s="103"/>
      <c r="AO4" s="103"/>
      <c r="AP4" s="103" t="s">
        <v>95</v>
      </c>
      <c r="AQ4" s="103" t="s">
        <v>95</v>
      </c>
      <c r="AR4" s="104"/>
      <c r="AS4" s="105"/>
      <c r="AT4" s="105"/>
      <c r="AU4" s="105"/>
      <c r="AV4" s="105"/>
      <c r="AW4" s="105"/>
      <c r="AX4" s="105"/>
    </row>
    <row r="5" spans="1:50" ht="12" customHeight="1">
      <c r="A5" s="77"/>
      <c r="B5" s="84"/>
      <c r="C5" s="79">
        <v>493</v>
      </c>
      <c r="D5" s="86"/>
      <c r="E5" s="86"/>
      <c r="F5" s="86" t="s">
        <v>75</v>
      </c>
      <c r="G5" s="86"/>
      <c r="H5" s="86"/>
      <c r="I5" s="86"/>
      <c r="J5" s="86"/>
      <c r="K5" s="86"/>
      <c r="L5" s="87">
        <v>1</v>
      </c>
      <c r="M5" s="425">
        <f>$AC5</f>
        <v>0</v>
      </c>
      <c r="N5" s="425">
        <f>$AD5</f>
        <v>0</v>
      </c>
      <c r="O5" s="426">
        <f>$AE5</f>
        <v>0</v>
      </c>
      <c r="P5" s="87">
        <v>1</v>
      </c>
      <c r="Q5" s="425">
        <f>$AC5</f>
        <v>0</v>
      </c>
      <c r="R5" s="425">
        <f>$AD5</f>
        <v>0</v>
      </c>
      <c r="S5" s="426">
        <f>$AE5</f>
        <v>0</v>
      </c>
      <c r="T5" s="87">
        <v>1</v>
      </c>
      <c r="U5" s="425">
        <f>$AC5</f>
        <v>0</v>
      </c>
      <c r="V5" s="425">
        <f>$AD5</f>
        <v>0</v>
      </c>
      <c r="W5" s="426">
        <f>$AE5</f>
        <v>0</v>
      </c>
      <c r="X5" s="87">
        <v>1</v>
      </c>
      <c r="Y5" s="425">
        <f>$AC5</f>
        <v>0</v>
      </c>
      <c r="Z5" s="425">
        <f>$AD5</f>
        <v>0</v>
      </c>
      <c r="AA5" s="426">
        <f>$AE5</f>
        <v>0</v>
      </c>
      <c r="AB5" s="87">
        <v>1</v>
      </c>
      <c r="AC5" s="425"/>
      <c r="AD5" s="425"/>
      <c r="AE5" s="426"/>
      <c r="AG5" s="101"/>
      <c r="AH5" s="97"/>
      <c r="AI5" s="97"/>
      <c r="AJ5" s="97"/>
      <c r="AK5" s="97"/>
      <c r="AL5" s="97"/>
      <c r="AM5" s="97"/>
      <c r="AN5" s="104"/>
      <c r="AO5" s="104"/>
      <c r="AP5" s="104"/>
      <c r="AQ5" s="104"/>
      <c r="AR5" s="104"/>
      <c r="AS5" s="105"/>
      <c r="AT5" s="105"/>
      <c r="AU5" s="105"/>
      <c r="AV5" s="105"/>
      <c r="AW5" s="105"/>
      <c r="AX5" s="105"/>
    </row>
    <row r="6" spans="1:50" ht="12" customHeight="1">
      <c r="A6" s="77"/>
      <c r="B6" s="84"/>
      <c r="C6" s="79">
        <v>403</v>
      </c>
      <c r="D6" s="86"/>
      <c r="E6" s="86"/>
      <c r="F6" s="86" t="s">
        <v>76</v>
      </c>
      <c r="G6" s="86"/>
      <c r="H6" s="86"/>
      <c r="I6" s="86"/>
      <c r="J6" s="86"/>
      <c r="K6" s="86"/>
      <c r="L6" s="87" t="s">
        <v>144</v>
      </c>
      <c r="M6" s="425">
        <f>$AC6</f>
        <v>0</v>
      </c>
      <c r="N6" s="425">
        <f>$AD6</f>
        <v>0</v>
      </c>
      <c r="O6" s="426">
        <f>$AE6</f>
        <v>0</v>
      </c>
      <c r="P6" s="87" t="s">
        <v>144</v>
      </c>
      <c r="Q6" s="425">
        <f>$AC6</f>
        <v>0</v>
      </c>
      <c r="R6" s="425">
        <f>$AD6</f>
        <v>0</v>
      </c>
      <c r="S6" s="426">
        <f>$AE6</f>
        <v>0</v>
      </c>
      <c r="T6" s="87" t="s">
        <v>144</v>
      </c>
      <c r="U6" s="425">
        <f>$AC6</f>
        <v>0</v>
      </c>
      <c r="V6" s="425">
        <f>$AD6</f>
        <v>0</v>
      </c>
      <c r="W6" s="426">
        <f>$AE6</f>
        <v>0</v>
      </c>
      <c r="X6" s="87" t="s">
        <v>144</v>
      </c>
      <c r="Y6" s="425">
        <f>$AC6</f>
        <v>0</v>
      </c>
      <c r="Z6" s="425">
        <f>$AD6</f>
        <v>0</v>
      </c>
      <c r="AA6" s="426">
        <f>$AE6</f>
        <v>0</v>
      </c>
      <c r="AB6" s="87" t="s">
        <v>144</v>
      </c>
      <c r="AC6" s="425"/>
      <c r="AD6" s="425"/>
      <c r="AE6" s="426"/>
      <c r="AF6" s="378" t="s">
        <v>96</v>
      </c>
      <c r="AG6" s="101"/>
      <c r="AH6" s="106"/>
      <c r="AI6" s="106"/>
      <c r="AJ6" s="106"/>
      <c r="AK6" s="106"/>
      <c r="AL6" s="106"/>
      <c r="AM6" s="106"/>
      <c r="AN6" s="104"/>
      <c r="AO6" s="104"/>
      <c r="AP6" s="428"/>
      <c r="AQ6" s="428"/>
      <c r="AR6" s="107"/>
      <c r="AS6" s="105"/>
      <c r="AT6" s="105"/>
      <c r="AU6" s="105"/>
      <c r="AV6" s="105"/>
      <c r="AW6" s="105"/>
      <c r="AX6" s="105"/>
    </row>
    <row r="7" spans="1:50" ht="24" customHeight="1">
      <c r="A7" s="330" t="s">
        <v>1994</v>
      </c>
      <c r="B7" s="331" t="s">
        <v>97</v>
      </c>
      <c r="C7" s="88"/>
      <c r="D7" s="294" t="s">
        <v>98</v>
      </c>
      <c r="E7" s="295">
        <v>0</v>
      </c>
      <c r="F7" s="429" t="s">
        <v>1989</v>
      </c>
      <c r="G7" s="430" t="s">
        <v>372</v>
      </c>
      <c r="H7" s="431" t="s">
        <v>98</v>
      </c>
      <c r="I7" s="431" t="s">
        <v>98</v>
      </c>
      <c r="J7" s="89">
        <v>1</v>
      </c>
      <c r="K7" s="430" t="s">
        <v>144</v>
      </c>
      <c r="L7" s="90">
        <v>1</v>
      </c>
      <c r="M7" s="91"/>
      <c r="N7" s="92"/>
      <c r="O7" s="93"/>
      <c r="P7" s="90">
        <v>0</v>
      </c>
      <c r="Q7" s="91"/>
      <c r="R7" s="92"/>
      <c r="S7" s="93"/>
      <c r="T7" s="90">
        <v>0</v>
      </c>
      <c r="U7" s="91"/>
      <c r="V7" s="92"/>
      <c r="W7" s="93"/>
      <c r="X7" s="90">
        <v>0</v>
      </c>
      <c r="Y7" s="91"/>
      <c r="Z7" s="92"/>
      <c r="AA7" s="93"/>
      <c r="AB7" s="90">
        <v>0</v>
      </c>
      <c r="AC7" s="91"/>
      <c r="AD7" s="92"/>
      <c r="AE7" s="93"/>
      <c r="AG7" s="101"/>
      <c r="AH7" s="97"/>
      <c r="AI7" s="97"/>
      <c r="AJ7" s="97"/>
      <c r="AK7" s="97"/>
      <c r="AL7" s="97"/>
      <c r="AM7" s="97"/>
      <c r="AN7" s="104"/>
      <c r="AO7" s="104"/>
      <c r="AP7" s="104"/>
      <c r="AQ7" s="104"/>
      <c r="AR7" s="104"/>
      <c r="AS7" s="104"/>
      <c r="AT7" s="104"/>
      <c r="AU7" s="104"/>
      <c r="AV7" s="104"/>
      <c r="AW7" s="104"/>
      <c r="AX7" s="104"/>
    </row>
    <row r="8" spans="1:50" ht="24" customHeight="1">
      <c r="A8" s="330" t="s">
        <v>1995</v>
      </c>
      <c r="B8" s="331"/>
      <c r="C8" s="88"/>
      <c r="D8" s="294" t="s">
        <v>98</v>
      </c>
      <c r="E8" s="295">
        <v>0</v>
      </c>
      <c r="F8" s="429" t="s">
        <v>1990</v>
      </c>
      <c r="G8" s="430" t="s">
        <v>372</v>
      </c>
      <c r="H8" s="431" t="s">
        <v>98</v>
      </c>
      <c r="I8" s="431" t="s">
        <v>98</v>
      </c>
      <c r="J8" s="89">
        <v>1</v>
      </c>
      <c r="K8" s="430" t="s">
        <v>144</v>
      </c>
      <c r="L8" s="90">
        <v>0</v>
      </c>
      <c r="M8" s="91"/>
      <c r="N8" s="92"/>
      <c r="O8" s="93"/>
      <c r="P8" s="90">
        <f>L7</f>
        <v>1</v>
      </c>
      <c r="Q8" s="91"/>
      <c r="R8" s="92"/>
      <c r="S8" s="93"/>
      <c r="T8" s="90">
        <f>P7</f>
        <v>0</v>
      </c>
      <c r="U8" s="91"/>
      <c r="V8" s="92"/>
      <c r="W8" s="93"/>
      <c r="X8" s="90">
        <f>T7</f>
        <v>0</v>
      </c>
      <c r="Y8" s="91"/>
      <c r="Z8" s="92"/>
      <c r="AA8" s="93"/>
      <c r="AB8" s="90">
        <f>X7</f>
        <v>0</v>
      </c>
      <c r="AC8" s="91"/>
      <c r="AD8" s="92"/>
      <c r="AE8" s="93"/>
      <c r="AG8" s="101"/>
      <c r="AH8" s="97"/>
      <c r="AI8" s="97"/>
      <c r="AJ8" s="97"/>
      <c r="AK8" s="97"/>
      <c r="AL8" s="97"/>
      <c r="AM8" s="97"/>
      <c r="AN8" s="104"/>
      <c r="AO8" s="104"/>
      <c r="AP8" s="104"/>
      <c r="AQ8" s="104"/>
      <c r="AR8" s="104"/>
      <c r="AS8" s="104"/>
      <c r="AT8" s="104"/>
      <c r="AU8" s="104"/>
      <c r="AV8" s="104"/>
      <c r="AW8" s="104"/>
      <c r="AX8" s="104"/>
    </row>
    <row r="9" spans="1:50" ht="24">
      <c r="A9" s="330" t="s">
        <v>1996</v>
      </c>
      <c r="B9" s="331"/>
      <c r="C9" s="88"/>
      <c r="D9" s="294" t="s">
        <v>98</v>
      </c>
      <c r="E9" s="295">
        <v>0</v>
      </c>
      <c r="F9" s="429" t="s">
        <v>1991</v>
      </c>
      <c r="G9" s="430" t="s">
        <v>372</v>
      </c>
      <c r="H9" s="431" t="s">
        <v>98</v>
      </c>
      <c r="I9" s="431" t="s">
        <v>98</v>
      </c>
      <c r="J9" s="89">
        <v>1</v>
      </c>
      <c r="K9" s="430" t="s">
        <v>144</v>
      </c>
      <c r="L9" s="90">
        <v>0</v>
      </c>
      <c r="M9" s="91"/>
      <c r="N9" s="92"/>
      <c r="O9" s="93"/>
      <c r="P9" s="90">
        <v>0</v>
      </c>
      <c r="Q9" s="91"/>
      <c r="R9" s="92"/>
      <c r="S9" s="93"/>
      <c r="T9" s="90">
        <f>P8</f>
        <v>1</v>
      </c>
      <c r="U9" s="91"/>
      <c r="V9" s="92"/>
      <c r="W9" s="93"/>
      <c r="X9" s="90">
        <f>T8</f>
        <v>0</v>
      </c>
      <c r="Y9" s="91"/>
      <c r="Z9" s="92"/>
      <c r="AA9" s="93"/>
      <c r="AB9" s="90">
        <f>X8</f>
        <v>0</v>
      </c>
      <c r="AC9" s="91"/>
      <c r="AD9" s="92"/>
      <c r="AE9" s="93"/>
      <c r="AG9" s="101"/>
      <c r="AH9" s="97"/>
      <c r="AI9" s="97"/>
      <c r="AJ9" s="97"/>
      <c r="AK9" s="97"/>
      <c r="AL9" s="97"/>
      <c r="AM9" s="97"/>
      <c r="AN9" s="104"/>
      <c r="AO9" s="104"/>
      <c r="AP9" s="104"/>
      <c r="AQ9" s="104"/>
      <c r="AR9" s="104"/>
      <c r="AS9" s="104"/>
      <c r="AT9" s="104"/>
      <c r="AU9" s="104"/>
      <c r="AV9" s="104"/>
      <c r="AW9" s="104"/>
      <c r="AX9" s="104"/>
    </row>
    <row r="10" spans="1:50" ht="24" customHeight="1">
      <c r="A10" s="330" t="s">
        <v>1997</v>
      </c>
      <c r="B10" s="331"/>
      <c r="C10" s="88"/>
      <c r="D10" s="294" t="s">
        <v>98</v>
      </c>
      <c r="E10" s="295">
        <v>0</v>
      </c>
      <c r="F10" s="429" t="s">
        <v>1992</v>
      </c>
      <c r="G10" s="430" t="s">
        <v>372</v>
      </c>
      <c r="H10" s="431" t="s">
        <v>98</v>
      </c>
      <c r="I10" s="431" t="s">
        <v>98</v>
      </c>
      <c r="J10" s="89">
        <v>1</v>
      </c>
      <c r="K10" s="430" t="s">
        <v>144</v>
      </c>
      <c r="L10" s="90">
        <v>0</v>
      </c>
      <c r="M10" s="91"/>
      <c r="N10" s="92"/>
      <c r="O10" s="93"/>
      <c r="P10" s="90">
        <v>0</v>
      </c>
      <c r="Q10" s="91"/>
      <c r="R10" s="92"/>
      <c r="S10" s="93"/>
      <c r="T10" s="90">
        <f>P9</f>
        <v>0</v>
      </c>
      <c r="U10" s="91"/>
      <c r="V10" s="92"/>
      <c r="W10" s="93"/>
      <c r="X10" s="90">
        <f>T9</f>
        <v>1</v>
      </c>
      <c r="Y10" s="91"/>
      <c r="Z10" s="92"/>
      <c r="AA10" s="93"/>
      <c r="AB10" s="90">
        <f>X9</f>
        <v>0</v>
      </c>
      <c r="AC10" s="91"/>
      <c r="AD10" s="92"/>
      <c r="AE10" s="93"/>
      <c r="AG10" s="101"/>
      <c r="AH10" s="97"/>
      <c r="AI10" s="97"/>
      <c r="AJ10" s="97"/>
      <c r="AK10" s="97"/>
      <c r="AL10" s="97"/>
      <c r="AM10" s="97"/>
      <c r="AN10" s="104"/>
      <c r="AO10" s="104"/>
      <c r="AP10" s="104"/>
      <c r="AQ10" s="104"/>
      <c r="AR10" s="104"/>
      <c r="AS10" s="104"/>
      <c r="AT10" s="104"/>
      <c r="AU10" s="104"/>
      <c r="AV10" s="104"/>
      <c r="AW10" s="104"/>
      <c r="AX10" s="104"/>
    </row>
    <row r="11" spans="1:50" ht="24" customHeight="1">
      <c r="A11" s="330" t="s">
        <v>1998</v>
      </c>
      <c r="B11" s="331"/>
      <c r="C11" s="88"/>
      <c r="D11" s="294" t="s">
        <v>98</v>
      </c>
      <c r="E11" s="295">
        <v>0</v>
      </c>
      <c r="F11" s="429" t="s">
        <v>1993</v>
      </c>
      <c r="G11" s="430" t="s">
        <v>372</v>
      </c>
      <c r="H11" s="431" t="s">
        <v>98</v>
      </c>
      <c r="I11" s="431" t="s">
        <v>98</v>
      </c>
      <c r="J11" s="89">
        <v>1</v>
      </c>
      <c r="K11" s="430" t="s">
        <v>144</v>
      </c>
      <c r="L11" s="90">
        <v>0</v>
      </c>
      <c r="M11" s="91"/>
      <c r="N11" s="92"/>
      <c r="O11" s="93"/>
      <c r="P11" s="90">
        <v>0</v>
      </c>
      <c r="Q11" s="91"/>
      <c r="R11" s="92"/>
      <c r="S11" s="93"/>
      <c r="T11" s="90">
        <f>P10</f>
        <v>0</v>
      </c>
      <c r="U11" s="91"/>
      <c r="V11" s="92"/>
      <c r="W11" s="93"/>
      <c r="X11" s="90">
        <f>T10</f>
        <v>0</v>
      </c>
      <c r="Y11" s="91"/>
      <c r="Z11" s="92"/>
      <c r="AA11" s="93"/>
      <c r="AB11" s="90">
        <f>X10</f>
        <v>1</v>
      </c>
      <c r="AC11" s="91"/>
      <c r="AD11" s="92"/>
      <c r="AE11" s="93"/>
      <c r="AG11" s="101"/>
      <c r="AH11" s="97"/>
      <c r="AI11" s="97"/>
      <c r="AJ11" s="97"/>
      <c r="AK11" s="97"/>
      <c r="AL11" s="97"/>
      <c r="AM11" s="97"/>
      <c r="AN11" s="104"/>
      <c r="AO11" s="104"/>
      <c r="AP11" s="104"/>
      <c r="AQ11" s="104"/>
      <c r="AR11" s="104"/>
      <c r="AS11" s="104"/>
      <c r="AT11" s="104"/>
      <c r="AU11" s="104"/>
      <c r="AV11" s="104"/>
      <c r="AW11" s="104"/>
      <c r="AX11" s="104"/>
    </row>
    <row r="12" spans="1:50">
      <c r="A12" s="330">
        <v>268703</v>
      </c>
      <c r="B12" s="331" t="s">
        <v>221</v>
      </c>
      <c r="C12" s="88"/>
      <c r="D12" s="340">
        <v>5</v>
      </c>
      <c r="E12" s="341" t="s">
        <v>98</v>
      </c>
      <c r="F12" s="432" t="s">
        <v>1928</v>
      </c>
      <c r="G12" s="433" t="s">
        <v>372</v>
      </c>
      <c r="H12" s="434" t="s">
        <v>98</v>
      </c>
      <c r="I12" s="434" t="s">
        <v>98</v>
      </c>
      <c r="J12" s="94">
        <v>0</v>
      </c>
      <c r="K12" s="433" t="s">
        <v>109</v>
      </c>
      <c r="L12" s="435">
        <f>0.04/3*10</f>
        <v>0.13333333333333333</v>
      </c>
      <c r="M12" s="95">
        <f t="shared" ref="M12:M24" si="0">$AC12</f>
        <v>1</v>
      </c>
      <c r="N12" s="96">
        <f t="shared" ref="N12:N24" si="1">$AD12</f>
        <v>1.2849840792941758</v>
      </c>
      <c r="O12" s="432" t="str">
        <f t="shared" ref="O12:O24" si="2">$AE12</f>
        <v>(3,4,3,1,1,5); Energy use for erection of 3kWp plant</v>
      </c>
      <c r="P12" s="435">
        <f>0.04/3*10</f>
        <v>0.13333333333333333</v>
      </c>
      <c r="Q12" s="95">
        <f t="shared" ref="Q12:Q24" si="3">$AC12</f>
        <v>1</v>
      </c>
      <c r="R12" s="96">
        <f t="shared" ref="R12:R24" si="4">$AD12</f>
        <v>1.2849840792941758</v>
      </c>
      <c r="S12" s="432" t="str">
        <f t="shared" ref="S12:S24" si="5">$AE12</f>
        <v>(3,4,3,1,1,5); Energy use for erection of 3kWp plant</v>
      </c>
      <c r="T12" s="435">
        <f>1.02/3*10</f>
        <v>3.4000000000000004</v>
      </c>
      <c r="U12" s="95">
        <f t="shared" ref="U12:U24" si="6">$AC12</f>
        <v>1</v>
      </c>
      <c r="V12" s="96">
        <f t="shared" ref="V12:V24" si="7">$AD12</f>
        <v>1.2849840792941758</v>
      </c>
      <c r="W12" s="432" t="str">
        <f t="shared" ref="W12:W24" si="8">$AE12</f>
        <v>(3,4,3,1,1,5); Energy use for erection of 3kWp plant</v>
      </c>
      <c r="X12" s="435">
        <f>0.23/3*10</f>
        <v>0.76666666666666672</v>
      </c>
      <c r="Y12" s="95">
        <f t="shared" ref="Y12:Y24" si="9">$AC12</f>
        <v>1</v>
      </c>
      <c r="Z12" s="96">
        <f t="shared" ref="Z12:Z24" si="10">$AD12</f>
        <v>1.2849840792941758</v>
      </c>
      <c r="AA12" s="432" t="str">
        <f t="shared" ref="AA12:AA24" si="11">$AE12</f>
        <v>(3,4,3,1,1,5); Energy use for erection of 3kWp plant</v>
      </c>
      <c r="AB12" s="435">
        <f>0.23/3*10</f>
        <v>0.76666666666666672</v>
      </c>
      <c r="AC12" s="95">
        <v>1</v>
      </c>
      <c r="AD12" s="96">
        <f t="shared" ref="AD12:AD24" si="12">AQ12</f>
        <v>1.2849840792941758</v>
      </c>
      <c r="AE12" s="432" t="str">
        <f t="shared" ref="AE12:AE24" si="13">AR12&amp;"; "&amp;AG12</f>
        <v>(3,4,3,1,1,5); Energy use for erection of 3kWp plant</v>
      </c>
      <c r="AG12" s="77" t="s">
        <v>1973</v>
      </c>
      <c r="AH12" s="339">
        <v>3</v>
      </c>
      <c r="AI12" s="339">
        <v>4</v>
      </c>
      <c r="AJ12" s="339">
        <v>3</v>
      </c>
      <c r="AK12" s="339">
        <v>1</v>
      </c>
      <c r="AL12" s="339">
        <v>1</v>
      </c>
      <c r="AM12" s="339">
        <v>5</v>
      </c>
      <c r="AN12" s="104">
        <v>3</v>
      </c>
      <c r="AO12" s="104">
        <v>1.05</v>
      </c>
      <c r="AP12" s="107">
        <f t="shared" ref="AP12:AP24" si="14">EXP(SQRT((LN(AS12)^2)+(LN(AT12)^2)+(LN(AU12)^2)+(LN(AV12)^2)+(LN(AW12)^2)+(LN(AX12)^2)))</f>
        <v>1.2788404103505406</v>
      </c>
      <c r="AQ12" s="107">
        <f t="shared" ref="AQ12:AQ24" si="15">EXP(SQRT((LN(AS12)^2)+(LN(AT12)^2)+(LN(AU12)^2)+(LN(AV12)^2)+(LN(AW12)^2)+(LN(AX12)^2)+LN(AO12)^2))</f>
        <v>1.2849840792941758</v>
      </c>
      <c r="AR12" s="107" t="str">
        <f t="shared" ref="AR12:AR24" si="16">CONCATENATE("(",AH12,",",AI12,",",AJ12,",",AK12,",",AL12,",",AM12,")")</f>
        <v>(3,4,3,1,1,5)</v>
      </c>
      <c r="AS12" s="108">
        <v>1.1000000000000001</v>
      </c>
      <c r="AT12" s="108">
        <v>1.1000000000000001</v>
      </c>
      <c r="AU12" s="108">
        <v>1.1000000000000001</v>
      </c>
      <c r="AV12" s="108">
        <v>1</v>
      </c>
      <c r="AW12" s="108">
        <v>1</v>
      </c>
      <c r="AX12" s="108">
        <v>1.2</v>
      </c>
    </row>
    <row r="13" spans="1:50" ht="24" customHeight="1">
      <c r="A13" s="330" t="s">
        <v>1708</v>
      </c>
      <c r="B13" s="331"/>
      <c r="C13" s="88"/>
      <c r="D13" s="340">
        <v>5</v>
      </c>
      <c r="E13" s="341" t="s">
        <v>98</v>
      </c>
      <c r="F13" s="432" t="s">
        <v>1712</v>
      </c>
      <c r="G13" s="433" t="s">
        <v>154</v>
      </c>
      <c r="H13" s="434" t="s">
        <v>98</v>
      </c>
      <c r="I13" s="434" t="s">
        <v>98</v>
      </c>
      <c r="J13" s="94">
        <v>1</v>
      </c>
      <c r="K13" s="433" t="s">
        <v>144</v>
      </c>
      <c r="L13" s="435">
        <v>2</v>
      </c>
      <c r="M13" s="95">
        <f t="shared" si="0"/>
        <v>1</v>
      </c>
      <c r="N13" s="96">
        <f t="shared" si="1"/>
        <v>1.2354522921220721</v>
      </c>
      <c r="O13" s="432" t="str">
        <f t="shared" si="2"/>
        <v>(2,4,1,1,1,na); 1 replacement during the lifetime of the PV system; demand scaled linearly by power output</v>
      </c>
      <c r="P13" s="435">
        <f>L13</f>
        <v>2</v>
      </c>
      <c r="Q13" s="95">
        <f t="shared" si="3"/>
        <v>1</v>
      </c>
      <c r="R13" s="96">
        <f t="shared" si="4"/>
        <v>1.2354522921220721</v>
      </c>
      <c r="S13" s="432" t="str">
        <f t="shared" si="5"/>
        <v>(2,4,1,1,1,na); 1 replacement during the lifetime of the PV system; demand scaled linearly by power output</v>
      </c>
      <c r="T13" s="435">
        <f>P13</f>
        <v>2</v>
      </c>
      <c r="U13" s="95">
        <f t="shared" si="6"/>
        <v>1</v>
      </c>
      <c r="V13" s="96">
        <f t="shared" si="7"/>
        <v>1.2354522921220721</v>
      </c>
      <c r="W13" s="432" t="str">
        <f t="shared" si="8"/>
        <v>(2,4,1,1,1,na); 1 replacement during the lifetime of the PV system; demand scaled linearly by power output</v>
      </c>
      <c r="X13" s="435">
        <f>T13</f>
        <v>2</v>
      </c>
      <c r="Y13" s="95">
        <f t="shared" si="9"/>
        <v>1</v>
      </c>
      <c r="Z13" s="96">
        <f t="shared" si="10"/>
        <v>1.2354522921220721</v>
      </c>
      <c r="AA13" s="432" t="str">
        <f t="shared" si="11"/>
        <v>(2,4,1,1,1,na); 1 replacement during the lifetime of the PV system; demand scaled linearly by power output</v>
      </c>
      <c r="AB13" s="435">
        <f>X13</f>
        <v>2</v>
      </c>
      <c r="AC13" s="95">
        <v>1</v>
      </c>
      <c r="AD13" s="96">
        <f t="shared" si="12"/>
        <v>1.2354522921220721</v>
      </c>
      <c r="AE13" s="432" t="str">
        <f t="shared" si="13"/>
        <v>(2,4,1,1,1,na); 1 replacement during the lifetime of the PV system; demand scaled linearly by power output</v>
      </c>
      <c r="AF13" s="494">
        <v>0</v>
      </c>
      <c r="AG13" s="77" t="s">
        <v>1893</v>
      </c>
      <c r="AH13" s="339">
        <v>2</v>
      </c>
      <c r="AI13" s="339">
        <v>4</v>
      </c>
      <c r="AJ13" s="339">
        <v>1</v>
      </c>
      <c r="AK13" s="339">
        <v>1</v>
      </c>
      <c r="AL13" s="339">
        <v>1</v>
      </c>
      <c r="AM13" s="339" t="s">
        <v>106</v>
      </c>
      <c r="AN13" s="104">
        <v>9</v>
      </c>
      <c r="AO13" s="104">
        <v>1.2</v>
      </c>
      <c r="AP13" s="107">
        <f t="shared" si="14"/>
        <v>1.1130148943987077</v>
      </c>
      <c r="AQ13" s="107">
        <f t="shared" si="15"/>
        <v>1.2354522921220721</v>
      </c>
      <c r="AR13" s="107" t="str">
        <f t="shared" si="16"/>
        <v>(2,4,1,1,1,na)</v>
      </c>
      <c r="AS13" s="108">
        <v>1.05</v>
      </c>
      <c r="AT13" s="108">
        <v>1.1000000000000001</v>
      </c>
      <c r="AU13" s="108">
        <v>1</v>
      </c>
      <c r="AV13" s="108">
        <v>1</v>
      </c>
      <c r="AW13" s="108">
        <v>1</v>
      </c>
      <c r="AX13" s="108">
        <v>1</v>
      </c>
    </row>
    <row r="14" spans="1:50" ht="24" customHeight="1">
      <c r="A14" s="330">
        <v>261084</v>
      </c>
      <c r="B14" s="331"/>
      <c r="C14" s="88"/>
      <c r="D14" s="340">
        <v>5</v>
      </c>
      <c r="E14" s="341" t="s">
        <v>98</v>
      </c>
      <c r="F14" s="432" t="s">
        <v>1674</v>
      </c>
      <c r="G14" s="433" t="s">
        <v>103</v>
      </c>
      <c r="H14" s="434" t="s">
        <v>98</v>
      </c>
      <c r="I14" s="434" t="s">
        <v>98</v>
      </c>
      <c r="J14" s="94">
        <v>1</v>
      </c>
      <c r="K14" s="433" t="s">
        <v>144</v>
      </c>
      <c r="L14" s="435">
        <v>2.26755352255311</v>
      </c>
      <c r="M14" s="95">
        <f t="shared" si="0"/>
        <v>1</v>
      </c>
      <c r="N14" s="96">
        <f t="shared" si="1"/>
        <v>2.0865051432908035</v>
      </c>
      <c r="O14" s="432" t="str">
        <f t="shared" si="2"/>
        <v>(3,4,3,1,1,5); Literature</v>
      </c>
      <c r="P14" s="435">
        <v>2.26755352255311</v>
      </c>
      <c r="Q14" s="95">
        <f t="shared" si="3"/>
        <v>1</v>
      </c>
      <c r="R14" s="96">
        <f t="shared" si="4"/>
        <v>2.0865051432908035</v>
      </c>
      <c r="S14" s="432" t="str">
        <f t="shared" si="5"/>
        <v>(3,4,3,1,1,5); Literature</v>
      </c>
      <c r="T14" s="435">
        <v>2.26755352255311</v>
      </c>
      <c r="U14" s="95">
        <f t="shared" si="6"/>
        <v>1</v>
      </c>
      <c r="V14" s="96">
        <f t="shared" si="7"/>
        <v>2.0865051432908035</v>
      </c>
      <c r="W14" s="432" t="str">
        <f t="shared" si="8"/>
        <v>(3,4,3,1,1,5); Literature</v>
      </c>
      <c r="X14" s="435">
        <v>2.26755352255311</v>
      </c>
      <c r="Y14" s="95">
        <f t="shared" si="9"/>
        <v>1</v>
      </c>
      <c r="Z14" s="96">
        <f t="shared" si="10"/>
        <v>2.0865051432908035</v>
      </c>
      <c r="AA14" s="432" t="str">
        <f t="shared" si="11"/>
        <v>(3,4,3,1,1,5); Literature</v>
      </c>
      <c r="AB14" s="435">
        <v>2.26755352255311</v>
      </c>
      <c r="AC14" s="95">
        <v>1</v>
      </c>
      <c r="AD14" s="96">
        <f t="shared" si="12"/>
        <v>2.0865051432908035</v>
      </c>
      <c r="AE14" s="432" t="str">
        <f t="shared" si="13"/>
        <v>(3,4,3,1,1,5); Literature</v>
      </c>
      <c r="AF14" s="494">
        <v>32.612000000000002</v>
      </c>
      <c r="AG14" s="77" t="s">
        <v>253</v>
      </c>
      <c r="AH14" s="339">
        <v>3</v>
      </c>
      <c r="AI14" s="339">
        <v>4</v>
      </c>
      <c r="AJ14" s="339">
        <v>3</v>
      </c>
      <c r="AK14" s="339">
        <v>1</v>
      </c>
      <c r="AL14" s="339">
        <v>1</v>
      </c>
      <c r="AM14" s="339">
        <v>5</v>
      </c>
      <c r="AN14" s="104">
        <v>9</v>
      </c>
      <c r="AO14" s="104">
        <v>2</v>
      </c>
      <c r="AP14" s="107">
        <f t="shared" si="14"/>
        <v>1.2788404103505406</v>
      </c>
      <c r="AQ14" s="107">
        <f t="shared" si="15"/>
        <v>2.0865051432908035</v>
      </c>
      <c r="AR14" s="107" t="str">
        <f t="shared" si="16"/>
        <v>(3,4,3,1,1,5)</v>
      </c>
      <c r="AS14" s="108">
        <v>1.1000000000000001</v>
      </c>
      <c r="AT14" s="108">
        <v>1.1000000000000001</v>
      </c>
      <c r="AU14" s="108">
        <v>1.1000000000000001</v>
      </c>
      <c r="AV14" s="108">
        <v>1</v>
      </c>
      <c r="AW14" s="108">
        <v>1</v>
      </c>
      <c r="AX14" s="108">
        <v>1.2</v>
      </c>
    </row>
    <row r="15" spans="1:50" ht="24" customHeight="1">
      <c r="A15" s="330">
        <v>258217</v>
      </c>
      <c r="B15" s="331"/>
      <c r="C15" s="88"/>
      <c r="D15" s="340">
        <v>5</v>
      </c>
      <c r="E15" s="341" t="s">
        <v>98</v>
      </c>
      <c r="F15" s="432" t="s">
        <v>1601</v>
      </c>
      <c r="G15" s="433" t="s">
        <v>93</v>
      </c>
      <c r="H15" s="434" t="s">
        <v>98</v>
      </c>
      <c r="I15" s="434" t="s">
        <v>98</v>
      </c>
      <c r="J15" s="94">
        <v>1</v>
      </c>
      <c r="K15" s="433" t="s">
        <v>679</v>
      </c>
      <c r="L15" s="435">
        <v>55.5555555555556</v>
      </c>
      <c r="M15" s="95">
        <f t="shared" si="0"/>
        <v>1</v>
      </c>
      <c r="N15" s="96">
        <f t="shared" si="1"/>
        <v>1.2284225230179247</v>
      </c>
      <c r="O15" s="432" t="str">
        <f t="shared" si="2"/>
        <v>(3,1,1,1,1,na); calculation with m2 panel</v>
      </c>
      <c r="P15" s="435">
        <v>0</v>
      </c>
      <c r="Q15" s="95">
        <f t="shared" si="3"/>
        <v>1</v>
      </c>
      <c r="R15" s="96">
        <f t="shared" si="4"/>
        <v>1.2284225230179247</v>
      </c>
      <c r="S15" s="432" t="str">
        <f t="shared" si="5"/>
        <v>(3,1,1,1,1,na); calculation with m2 panel</v>
      </c>
      <c r="T15" s="435">
        <v>0</v>
      </c>
      <c r="U15" s="95">
        <f t="shared" si="6"/>
        <v>1</v>
      </c>
      <c r="V15" s="96">
        <f t="shared" si="7"/>
        <v>1.2284225230179247</v>
      </c>
      <c r="W15" s="432" t="str">
        <f t="shared" si="8"/>
        <v>(3,1,1,1,1,na); calculation with m2 panel</v>
      </c>
      <c r="X15" s="435">
        <v>0</v>
      </c>
      <c r="Y15" s="95">
        <f t="shared" si="9"/>
        <v>1</v>
      </c>
      <c r="Z15" s="96">
        <f t="shared" si="10"/>
        <v>1.2284225230179247</v>
      </c>
      <c r="AA15" s="432" t="str">
        <f t="shared" si="11"/>
        <v>(3,1,1,1,1,na); calculation with m2 panel</v>
      </c>
      <c r="AB15" s="435">
        <v>0</v>
      </c>
      <c r="AC15" s="95">
        <v>1</v>
      </c>
      <c r="AD15" s="96">
        <f t="shared" si="12"/>
        <v>1.2284225230179247</v>
      </c>
      <c r="AE15" s="432" t="str">
        <f t="shared" si="13"/>
        <v>(3,1,1,1,1,na); calculation with m2 panel</v>
      </c>
      <c r="AF15" s="494">
        <v>3.2716908498667499</v>
      </c>
      <c r="AG15" s="77" t="s">
        <v>1861</v>
      </c>
      <c r="AH15" s="339">
        <v>3</v>
      </c>
      <c r="AI15" s="339">
        <v>1</v>
      </c>
      <c r="AJ15" s="339">
        <v>1</v>
      </c>
      <c r="AK15" s="339">
        <v>1</v>
      </c>
      <c r="AL15" s="339">
        <v>1</v>
      </c>
      <c r="AM15" s="339" t="s">
        <v>106</v>
      </c>
      <c r="AN15" s="104">
        <v>9</v>
      </c>
      <c r="AO15" s="104">
        <v>1.2</v>
      </c>
      <c r="AP15" s="107">
        <f t="shared" si="14"/>
        <v>1.1000000000000001</v>
      </c>
      <c r="AQ15" s="107">
        <f t="shared" si="15"/>
        <v>1.2284225230179247</v>
      </c>
      <c r="AR15" s="107" t="str">
        <f t="shared" si="16"/>
        <v>(3,1,1,1,1,na)</v>
      </c>
      <c r="AS15" s="108">
        <v>1.1000000000000001</v>
      </c>
      <c r="AT15" s="108">
        <v>1</v>
      </c>
      <c r="AU15" s="108">
        <v>1</v>
      </c>
      <c r="AV15" s="108">
        <v>1</v>
      </c>
      <c r="AW15" s="108">
        <v>1</v>
      </c>
      <c r="AX15" s="108">
        <v>1</v>
      </c>
    </row>
    <row r="16" spans="1:50" ht="24" customHeight="1">
      <c r="A16" s="330">
        <v>258205</v>
      </c>
      <c r="B16" s="331"/>
      <c r="C16" s="88"/>
      <c r="D16" s="340">
        <v>5</v>
      </c>
      <c r="E16" s="341" t="s">
        <v>98</v>
      </c>
      <c r="F16" s="432" t="s">
        <v>1600</v>
      </c>
      <c r="G16" s="433" t="s">
        <v>93</v>
      </c>
      <c r="H16" s="434" t="s">
        <v>98</v>
      </c>
      <c r="I16" s="434" t="s">
        <v>98</v>
      </c>
      <c r="J16" s="94">
        <v>1</v>
      </c>
      <c r="K16" s="433" t="s">
        <v>679</v>
      </c>
      <c r="L16" s="435">
        <v>0</v>
      </c>
      <c r="M16" s="95">
        <f t="shared" si="0"/>
        <v>1</v>
      </c>
      <c r="N16" s="96">
        <f t="shared" si="1"/>
        <v>1.2284225230179247</v>
      </c>
      <c r="O16" s="432" t="str">
        <f t="shared" si="2"/>
        <v>(3,1,1,1,1,na); calculation with m2 panel</v>
      </c>
      <c r="P16" s="435">
        <v>55.5555555555556</v>
      </c>
      <c r="Q16" s="95">
        <f t="shared" si="3"/>
        <v>1</v>
      </c>
      <c r="R16" s="96">
        <f t="shared" si="4"/>
        <v>1.2284225230179247</v>
      </c>
      <c r="S16" s="432" t="str">
        <f t="shared" si="5"/>
        <v>(3,1,1,1,1,na); calculation with m2 panel</v>
      </c>
      <c r="T16" s="435">
        <v>0</v>
      </c>
      <c r="U16" s="95">
        <f t="shared" si="6"/>
        <v>1</v>
      </c>
      <c r="V16" s="96">
        <f t="shared" si="7"/>
        <v>1.2284225230179247</v>
      </c>
      <c r="W16" s="432" t="str">
        <f t="shared" si="8"/>
        <v>(3,1,1,1,1,na); calculation with m2 panel</v>
      </c>
      <c r="X16" s="435">
        <v>0</v>
      </c>
      <c r="Y16" s="95">
        <f t="shared" si="9"/>
        <v>1</v>
      </c>
      <c r="Z16" s="96">
        <f t="shared" si="10"/>
        <v>1.2284225230179247</v>
      </c>
      <c r="AA16" s="432" t="str">
        <f t="shared" si="11"/>
        <v>(3,1,1,1,1,na); calculation with m2 panel</v>
      </c>
      <c r="AB16" s="435">
        <v>0</v>
      </c>
      <c r="AC16" s="95">
        <v>1</v>
      </c>
      <c r="AD16" s="96">
        <f t="shared" si="12"/>
        <v>1.2284225230179247</v>
      </c>
      <c r="AE16" s="432" t="str">
        <f t="shared" si="13"/>
        <v>(3,1,1,1,1,na); calculation with m2 panel</v>
      </c>
      <c r="AF16" s="494">
        <v>4.4770909637727101</v>
      </c>
      <c r="AG16" s="77" t="s">
        <v>1861</v>
      </c>
      <c r="AH16" s="339">
        <v>3</v>
      </c>
      <c r="AI16" s="339">
        <v>1</v>
      </c>
      <c r="AJ16" s="339">
        <v>1</v>
      </c>
      <c r="AK16" s="339">
        <v>1</v>
      </c>
      <c r="AL16" s="339">
        <v>1</v>
      </c>
      <c r="AM16" s="339" t="s">
        <v>106</v>
      </c>
      <c r="AN16" s="104">
        <v>9</v>
      </c>
      <c r="AO16" s="104">
        <v>1.2</v>
      </c>
      <c r="AP16" s="107">
        <f t="shared" si="14"/>
        <v>1.1000000000000001</v>
      </c>
      <c r="AQ16" s="107">
        <f t="shared" si="15"/>
        <v>1.2284225230179247</v>
      </c>
      <c r="AR16" s="107" t="str">
        <f t="shared" si="16"/>
        <v>(3,1,1,1,1,na)</v>
      </c>
      <c r="AS16" s="108">
        <v>1.1000000000000001</v>
      </c>
      <c r="AT16" s="108">
        <v>1</v>
      </c>
      <c r="AU16" s="108">
        <v>1</v>
      </c>
      <c r="AV16" s="108">
        <v>1</v>
      </c>
      <c r="AW16" s="108">
        <v>1</v>
      </c>
      <c r="AX16" s="108">
        <v>1</v>
      </c>
    </row>
    <row r="17" spans="1:50">
      <c r="A17" s="330">
        <v>262479</v>
      </c>
      <c r="B17" s="331"/>
      <c r="C17" s="88"/>
      <c r="D17" s="340">
        <v>5</v>
      </c>
      <c r="E17" s="341" t="s">
        <v>98</v>
      </c>
      <c r="F17" s="432" t="s">
        <v>1602</v>
      </c>
      <c r="G17" s="433" t="s">
        <v>93</v>
      </c>
      <c r="H17" s="434" t="s">
        <v>98</v>
      </c>
      <c r="I17" s="434" t="s">
        <v>98</v>
      </c>
      <c r="J17" s="94">
        <v>1</v>
      </c>
      <c r="K17" s="433" t="s">
        <v>679</v>
      </c>
      <c r="L17" s="435">
        <v>0</v>
      </c>
      <c r="M17" s="95">
        <f t="shared" si="0"/>
        <v>1</v>
      </c>
      <c r="N17" s="96">
        <f t="shared" si="1"/>
        <v>1.2284225230179247</v>
      </c>
      <c r="O17" s="432" t="str">
        <f t="shared" si="2"/>
        <v>(3,1,1,1,1,na); calculation with m2 panel</v>
      </c>
      <c r="P17" s="435">
        <v>0</v>
      </c>
      <c r="Q17" s="95">
        <f t="shared" si="3"/>
        <v>1</v>
      </c>
      <c r="R17" s="96">
        <f t="shared" si="4"/>
        <v>1.2284225230179247</v>
      </c>
      <c r="S17" s="432" t="str">
        <f t="shared" si="5"/>
        <v>(3,1,1,1,1,na); calculation with m2 panel</v>
      </c>
      <c r="T17" s="435">
        <v>55.5555555555556</v>
      </c>
      <c r="U17" s="95">
        <f t="shared" si="6"/>
        <v>1</v>
      </c>
      <c r="V17" s="96">
        <f t="shared" si="7"/>
        <v>1.2284225230179247</v>
      </c>
      <c r="W17" s="432" t="str">
        <f t="shared" si="8"/>
        <v>(3,1,1,1,1,na); calculation with m2 panel</v>
      </c>
      <c r="X17" s="435">
        <v>0</v>
      </c>
      <c r="Y17" s="95">
        <f t="shared" si="9"/>
        <v>1</v>
      </c>
      <c r="Z17" s="96">
        <f t="shared" si="10"/>
        <v>1.2284225230179247</v>
      </c>
      <c r="AA17" s="432" t="str">
        <f t="shared" si="11"/>
        <v>(3,1,1,1,1,na); calculation with m2 panel</v>
      </c>
      <c r="AB17" s="435">
        <v>0</v>
      </c>
      <c r="AC17" s="95">
        <v>1</v>
      </c>
      <c r="AD17" s="96">
        <f t="shared" si="12"/>
        <v>1.2284225230179247</v>
      </c>
      <c r="AE17" s="432" t="str">
        <f t="shared" si="13"/>
        <v>(3,1,1,1,1,na); calculation with m2 panel</v>
      </c>
      <c r="AF17" s="494">
        <v>4.7346514698728202</v>
      </c>
      <c r="AG17" s="77" t="s">
        <v>1861</v>
      </c>
      <c r="AH17" s="339">
        <v>3</v>
      </c>
      <c r="AI17" s="339">
        <v>1</v>
      </c>
      <c r="AJ17" s="339">
        <v>1</v>
      </c>
      <c r="AK17" s="339">
        <v>1</v>
      </c>
      <c r="AL17" s="339">
        <v>1</v>
      </c>
      <c r="AM17" s="339" t="s">
        <v>106</v>
      </c>
      <c r="AN17" s="104">
        <v>9</v>
      </c>
      <c r="AO17" s="104">
        <v>1.2</v>
      </c>
      <c r="AP17" s="107">
        <f t="shared" si="14"/>
        <v>1.1000000000000001</v>
      </c>
      <c r="AQ17" s="107">
        <f t="shared" si="15"/>
        <v>1.2284225230179247</v>
      </c>
      <c r="AR17" s="107" t="str">
        <f t="shared" si="16"/>
        <v>(3,1,1,1,1,na)</v>
      </c>
      <c r="AS17" s="108">
        <v>1.1000000000000001</v>
      </c>
      <c r="AT17" s="108">
        <v>1</v>
      </c>
      <c r="AU17" s="108">
        <v>1</v>
      </c>
      <c r="AV17" s="108">
        <v>1</v>
      </c>
      <c r="AW17" s="108">
        <v>1</v>
      </c>
      <c r="AX17" s="108">
        <v>1</v>
      </c>
    </row>
    <row r="18" spans="1:50" ht="24" customHeight="1">
      <c r="A18" s="330">
        <v>263667</v>
      </c>
      <c r="B18" s="331"/>
      <c r="C18" s="88"/>
      <c r="D18" s="340">
        <v>5</v>
      </c>
      <c r="E18" s="341" t="s">
        <v>98</v>
      </c>
      <c r="F18" s="432" t="s">
        <v>1604</v>
      </c>
      <c r="G18" s="433" t="s">
        <v>93</v>
      </c>
      <c r="H18" s="434" t="s">
        <v>98</v>
      </c>
      <c r="I18" s="434" t="s">
        <v>98</v>
      </c>
      <c r="J18" s="94">
        <v>1</v>
      </c>
      <c r="K18" s="433" t="s">
        <v>679</v>
      </c>
      <c r="L18" s="435">
        <v>0</v>
      </c>
      <c r="M18" s="95">
        <f t="shared" si="0"/>
        <v>1</v>
      </c>
      <c r="N18" s="96">
        <f t="shared" si="1"/>
        <v>1.2284225230179247</v>
      </c>
      <c r="O18" s="432" t="str">
        <f t="shared" si="2"/>
        <v>(3,1,1,1,1,na); calculation with m2 panel</v>
      </c>
      <c r="P18" s="435">
        <v>0</v>
      </c>
      <c r="Q18" s="95">
        <f t="shared" si="3"/>
        <v>1</v>
      </c>
      <c r="R18" s="96">
        <f t="shared" si="4"/>
        <v>1.2284225230179247</v>
      </c>
      <c r="S18" s="432" t="str">
        <f t="shared" si="5"/>
        <v>(3,1,1,1,1,na); calculation with m2 panel</v>
      </c>
      <c r="T18" s="435">
        <v>0</v>
      </c>
      <c r="U18" s="95">
        <f t="shared" si="6"/>
        <v>1</v>
      </c>
      <c r="V18" s="96">
        <f t="shared" si="7"/>
        <v>1.2284225230179247</v>
      </c>
      <c r="W18" s="432" t="str">
        <f t="shared" si="8"/>
        <v>(3,1,1,1,1,na); calculation with m2 panel</v>
      </c>
      <c r="X18" s="435">
        <v>55.5555555555556</v>
      </c>
      <c r="Y18" s="95">
        <f t="shared" si="9"/>
        <v>1</v>
      </c>
      <c r="Z18" s="96">
        <f t="shared" si="10"/>
        <v>1.2284225230179247</v>
      </c>
      <c r="AA18" s="432" t="str">
        <f t="shared" si="11"/>
        <v>(3,1,1,1,1,na); calculation with m2 panel</v>
      </c>
      <c r="AB18" s="435">
        <v>0</v>
      </c>
      <c r="AC18" s="95">
        <v>1</v>
      </c>
      <c r="AD18" s="96">
        <f t="shared" si="12"/>
        <v>1.2284225230179247</v>
      </c>
      <c r="AE18" s="432" t="str">
        <f t="shared" si="13"/>
        <v>(3,1,1,1,1,na); calculation with m2 panel</v>
      </c>
      <c r="AF18" s="494">
        <v>3.8594927779981698</v>
      </c>
      <c r="AG18" s="77" t="s">
        <v>1861</v>
      </c>
      <c r="AH18" s="339">
        <v>3</v>
      </c>
      <c r="AI18" s="339">
        <v>1</v>
      </c>
      <c r="AJ18" s="339">
        <v>1</v>
      </c>
      <c r="AK18" s="339">
        <v>1</v>
      </c>
      <c r="AL18" s="339">
        <v>1</v>
      </c>
      <c r="AM18" s="339" t="s">
        <v>106</v>
      </c>
      <c r="AN18" s="104">
        <v>9</v>
      </c>
      <c r="AO18" s="104">
        <v>1.2</v>
      </c>
      <c r="AP18" s="107">
        <f t="shared" si="14"/>
        <v>1.1000000000000001</v>
      </c>
      <c r="AQ18" s="107">
        <f t="shared" si="15"/>
        <v>1.2284225230179247</v>
      </c>
      <c r="AR18" s="107" t="str">
        <f t="shared" si="16"/>
        <v>(3,1,1,1,1,na)</v>
      </c>
      <c r="AS18" s="108">
        <v>1.1000000000000001</v>
      </c>
      <c r="AT18" s="108">
        <v>1</v>
      </c>
      <c r="AU18" s="108">
        <v>1</v>
      </c>
      <c r="AV18" s="108">
        <v>1</v>
      </c>
      <c r="AW18" s="108">
        <v>1</v>
      </c>
      <c r="AX18" s="108">
        <v>1</v>
      </c>
    </row>
    <row r="19" spans="1:50" ht="24" customHeight="1">
      <c r="A19" s="330">
        <v>263621</v>
      </c>
      <c r="B19" s="331"/>
      <c r="C19" s="88"/>
      <c r="D19" s="340">
        <v>5</v>
      </c>
      <c r="E19" s="341" t="s">
        <v>98</v>
      </c>
      <c r="F19" s="432" t="s">
        <v>1603</v>
      </c>
      <c r="G19" s="433" t="s">
        <v>93</v>
      </c>
      <c r="H19" s="434" t="s">
        <v>98</v>
      </c>
      <c r="I19" s="434" t="s">
        <v>98</v>
      </c>
      <c r="J19" s="94">
        <v>1</v>
      </c>
      <c r="K19" s="433" t="s">
        <v>679</v>
      </c>
      <c r="L19" s="435">
        <v>0</v>
      </c>
      <c r="M19" s="95">
        <f t="shared" si="0"/>
        <v>1</v>
      </c>
      <c r="N19" s="96">
        <f t="shared" si="1"/>
        <v>1.2284225230179247</v>
      </c>
      <c r="O19" s="432" t="str">
        <f t="shared" si="2"/>
        <v>(3,1,1,1,1,na); calculation with m2 panel</v>
      </c>
      <c r="P19" s="435">
        <v>0</v>
      </c>
      <c r="Q19" s="95">
        <f t="shared" si="3"/>
        <v>1</v>
      </c>
      <c r="R19" s="96">
        <f t="shared" si="4"/>
        <v>1.2284225230179247</v>
      </c>
      <c r="S19" s="432" t="str">
        <f t="shared" si="5"/>
        <v>(3,1,1,1,1,na); calculation with m2 panel</v>
      </c>
      <c r="T19" s="435">
        <v>0</v>
      </c>
      <c r="U19" s="95">
        <f t="shared" si="6"/>
        <v>1</v>
      </c>
      <c r="V19" s="96">
        <f t="shared" si="7"/>
        <v>1.2284225230179247</v>
      </c>
      <c r="W19" s="432" t="str">
        <f t="shared" si="8"/>
        <v>(3,1,1,1,1,na); calculation with m2 panel</v>
      </c>
      <c r="X19" s="435">
        <v>0</v>
      </c>
      <c r="Y19" s="95">
        <f t="shared" si="9"/>
        <v>1</v>
      </c>
      <c r="Z19" s="96">
        <f t="shared" si="10"/>
        <v>1.2284225230179247</v>
      </c>
      <c r="AA19" s="432" t="str">
        <f t="shared" si="11"/>
        <v>(3,1,1,1,1,na); calculation with m2 panel</v>
      </c>
      <c r="AB19" s="435">
        <v>55.5555555555556</v>
      </c>
      <c r="AC19" s="95">
        <v>1</v>
      </c>
      <c r="AD19" s="96">
        <f t="shared" si="12"/>
        <v>1.2284225230179247</v>
      </c>
      <c r="AE19" s="432" t="str">
        <f t="shared" si="13"/>
        <v>(3,1,1,1,1,na); calculation with m2 panel</v>
      </c>
      <c r="AF19" s="494">
        <v>4.4770909637727101</v>
      </c>
      <c r="AG19" s="77" t="s">
        <v>1861</v>
      </c>
      <c r="AH19" s="339">
        <v>3</v>
      </c>
      <c r="AI19" s="339">
        <v>1</v>
      </c>
      <c r="AJ19" s="339">
        <v>1</v>
      </c>
      <c r="AK19" s="339">
        <v>1</v>
      </c>
      <c r="AL19" s="339">
        <v>1</v>
      </c>
      <c r="AM19" s="339" t="s">
        <v>106</v>
      </c>
      <c r="AN19" s="104">
        <v>9</v>
      </c>
      <c r="AO19" s="104">
        <v>1.2</v>
      </c>
      <c r="AP19" s="107">
        <f t="shared" si="14"/>
        <v>1.1000000000000001</v>
      </c>
      <c r="AQ19" s="107">
        <f t="shared" si="15"/>
        <v>1.2284225230179247</v>
      </c>
      <c r="AR19" s="107" t="str">
        <f t="shared" si="16"/>
        <v>(3,1,1,1,1,na)</v>
      </c>
      <c r="AS19" s="108">
        <v>1.1000000000000001</v>
      </c>
      <c r="AT19" s="108">
        <v>1</v>
      </c>
      <c r="AU19" s="108">
        <v>1</v>
      </c>
      <c r="AV19" s="108">
        <v>1</v>
      </c>
      <c r="AW19" s="108">
        <v>1</v>
      </c>
      <c r="AX19" s="108">
        <v>1</v>
      </c>
    </row>
    <row r="20" spans="1:50" ht="24" customHeight="1">
      <c r="A20" s="330">
        <v>258559</v>
      </c>
      <c r="B20" s="331"/>
      <c r="C20" s="88"/>
      <c r="D20" s="340">
        <v>5</v>
      </c>
      <c r="E20" s="341" t="s">
        <v>98</v>
      </c>
      <c r="F20" s="432" t="s">
        <v>1999</v>
      </c>
      <c r="G20" s="433" t="s">
        <v>372</v>
      </c>
      <c r="H20" s="434" t="s">
        <v>98</v>
      </c>
      <c r="I20" s="434" t="s">
        <v>98</v>
      </c>
      <c r="J20" s="94">
        <v>1</v>
      </c>
      <c r="K20" s="433" t="s">
        <v>679</v>
      </c>
      <c r="L20" s="435">
        <v>57.2222222222222</v>
      </c>
      <c r="M20" s="95">
        <f t="shared" si="0"/>
        <v>1</v>
      </c>
      <c r="N20" s="96">
        <f t="shared" si="1"/>
        <v>1.3582005896413567</v>
      </c>
      <c r="O20" s="432" t="str">
        <f t="shared" si="2"/>
        <v>(3,4,3,1,1,5); Calculation, 2% of modules repaired in the life time, 1% rejects</v>
      </c>
      <c r="P20" s="435">
        <v>0</v>
      </c>
      <c r="Q20" s="95">
        <f t="shared" si="3"/>
        <v>1</v>
      </c>
      <c r="R20" s="96">
        <f t="shared" si="4"/>
        <v>1.3582005896413567</v>
      </c>
      <c r="S20" s="432" t="str">
        <f t="shared" si="5"/>
        <v>(3,4,3,1,1,5); Calculation, 2% of modules repaired in the life time, 1% rejects</v>
      </c>
      <c r="T20" s="435">
        <v>0</v>
      </c>
      <c r="U20" s="95">
        <f t="shared" si="6"/>
        <v>1</v>
      </c>
      <c r="V20" s="96">
        <f t="shared" si="7"/>
        <v>1.3582005896413567</v>
      </c>
      <c r="W20" s="432" t="str">
        <f t="shared" si="8"/>
        <v>(3,4,3,1,1,5); Calculation, 2% of modules repaired in the life time, 1% rejects</v>
      </c>
      <c r="X20" s="435">
        <v>57.2222222222222</v>
      </c>
      <c r="Y20" s="95">
        <f t="shared" si="9"/>
        <v>1</v>
      </c>
      <c r="Z20" s="96">
        <f t="shared" si="10"/>
        <v>1.3582005896413567</v>
      </c>
      <c r="AA20" s="432" t="str">
        <f t="shared" si="11"/>
        <v>(3,4,3,1,1,5); Calculation, 2% of modules repaired in the life time, 1% rejects</v>
      </c>
      <c r="AB20" s="435">
        <v>0</v>
      </c>
      <c r="AC20" s="95">
        <v>1</v>
      </c>
      <c r="AD20" s="96">
        <f t="shared" si="12"/>
        <v>1.3582005896413567</v>
      </c>
      <c r="AE20" s="432" t="str">
        <f t="shared" si="13"/>
        <v>(3,4,3,1,1,5); Calculation, 2% of modules repaired in the life time, 1% rejects</v>
      </c>
      <c r="AF20" s="494">
        <f>$L$27</f>
        <v>10.1</v>
      </c>
      <c r="AG20" s="77" t="s">
        <v>1862</v>
      </c>
      <c r="AH20" s="339">
        <v>3</v>
      </c>
      <c r="AI20" s="339">
        <v>4</v>
      </c>
      <c r="AJ20" s="339">
        <v>3</v>
      </c>
      <c r="AK20" s="339">
        <v>1</v>
      </c>
      <c r="AL20" s="339">
        <v>1</v>
      </c>
      <c r="AM20" s="339">
        <v>5</v>
      </c>
      <c r="AN20" s="104">
        <v>9</v>
      </c>
      <c r="AO20" s="104">
        <v>1.2</v>
      </c>
      <c r="AP20" s="107">
        <f t="shared" si="14"/>
        <v>1.2788404103505406</v>
      </c>
      <c r="AQ20" s="107">
        <f t="shared" si="15"/>
        <v>1.3582005896413567</v>
      </c>
      <c r="AR20" s="107" t="str">
        <f t="shared" si="16"/>
        <v>(3,4,3,1,1,5)</v>
      </c>
      <c r="AS20" s="108">
        <v>1.1000000000000001</v>
      </c>
      <c r="AT20" s="108">
        <v>1.1000000000000001</v>
      </c>
      <c r="AU20" s="108">
        <v>1.1000000000000001</v>
      </c>
      <c r="AV20" s="108">
        <v>1</v>
      </c>
      <c r="AW20" s="108">
        <v>1</v>
      </c>
      <c r="AX20" s="108">
        <v>1.2</v>
      </c>
    </row>
    <row r="21" spans="1:50" ht="24" customHeight="1">
      <c r="A21" s="330">
        <v>261863</v>
      </c>
      <c r="B21" s="331"/>
      <c r="C21" s="88"/>
      <c r="D21" s="340">
        <v>5</v>
      </c>
      <c r="E21" s="341" t="s">
        <v>98</v>
      </c>
      <c r="F21" s="432" t="s">
        <v>2000</v>
      </c>
      <c r="G21" s="433" t="s">
        <v>372</v>
      </c>
      <c r="H21" s="434" t="s">
        <v>98</v>
      </c>
      <c r="I21" s="434" t="s">
        <v>98</v>
      </c>
      <c r="J21" s="94">
        <v>1</v>
      </c>
      <c r="K21" s="433" t="s">
        <v>679</v>
      </c>
      <c r="L21" s="435">
        <v>0</v>
      </c>
      <c r="M21" s="95">
        <f t="shared" si="0"/>
        <v>1</v>
      </c>
      <c r="N21" s="96">
        <f t="shared" si="1"/>
        <v>1.3582005896413567</v>
      </c>
      <c r="O21" s="432" t="str">
        <f t="shared" si="2"/>
        <v>(3,4,3,1,1,5); Calculation, 2% of modules repaired in the life time, 1% rejects</v>
      </c>
      <c r="P21" s="435">
        <v>57.2222222222222</v>
      </c>
      <c r="Q21" s="95">
        <f t="shared" si="3"/>
        <v>1</v>
      </c>
      <c r="R21" s="96">
        <f t="shared" si="4"/>
        <v>1.3582005896413567</v>
      </c>
      <c r="S21" s="432" t="str">
        <f t="shared" si="5"/>
        <v>(3,4,3,1,1,5); Calculation, 2% of modules repaired in the life time, 1% rejects</v>
      </c>
      <c r="T21" s="435">
        <v>57.2222222222222</v>
      </c>
      <c r="U21" s="95">
        <f t="shared" si="6"/>
        <v>1</v>
      </c>
      <c r="V21" s="96">
        <f t="shared" si="7"/>
        <v>1.3582005896413567</v>
      </c>
      <c r="W21" s="432" t="str">
        <f t="shared" si="8"/>
        <v>(3,4,3,1,1,5); Calculation, 2% of modules repaired in the life time, 1% rejects</v>
      </c>
      <c r="X21" s="435">
        <v>0</v>
      </c>
      <c r="Y21" s="95">
        <f t="shared" si="9"/>
        <v>1</v>
      </c>
      <c r="Z21" s="96">
        <f t="shared" si="10"/>
        <v>1.3582005896413567</v>
      </c>
      <c r="AA21" s="432" t="str">
        <f t="shared" si="11"/>
        <v>(3,4,3,1,1,5); Calculation, 2% of modules repaired in the life time, 1% rejects</v>
      </c>
      <c r="AB21" s="435">
        <v>57.2222222222222</v>
      </c>
      <c r="AC21" s="95">
        <v>1</v>
      </c>
      <c r="AD21" s="96">
        <f t="shared" si="12"/>
        <v>1.3582005896413567</v>
      </c>
      <c r="AE21" s="432" t="str">
        <f t="shared" si="13"/>
        <v>(3,4,3,1,1,5); Calculation, 2% of modules repaired in the life time, 1% rejects</v>
      </c>
      <c r="AF21" s="494">
        <f>$P$27</f>
        <v>12.195967743732901</v>
      </c>
      <c r="AG21" s="77" t="s">
        <v>1862</v>
      </c>
      <c r="AH21" s="339">
        <v>3</v>
      </c>
      <c r="AI21" s="339">
        <v>4</v>
      </c>
      <c r="AJ21" s="339">
        <v>3</v>
      </c>
      <c r="AK21" s="339">
        <v>1</v>
      </c>
      <c r="AL21" s="339">
        <v>1</v>
      </c>
      <c r="AM21" s="339">
        <v>5</v>
      </c>
      <c r="AN21" s="104">
        <v>9</v>
      </c>
      <c r="AO21" s="104">
        <v>1.2</v>
      </c>
      <c r="AP21" s="107">
        <f t="shared" si="14"/>
        <v>1.2788404103505406</v>
      </c>
      <c r="AQ21" s="107">
        <f t="shared" si="15"/>
        <v>1.3582005896413567</v>
      </c>
      <c r="AR21" s="107" t="str">
        <f t="shared" si="16"/>
        <v>(3,4,3,1,1,5)</v>
      </c>
      <c r="AS21" s="108">
        <v>1.1000000000000001</v>
      </c>
      <c r="AT21" s="108">
        <v>1.1000000000000001</v>
      </c>
      <c r="AU21" s="108">
        <v>1.1000000000000001</v>
      </c>
      <c r="AV21" s="108">
        <v>1</v>
      </c>
      <c r="AW21" s="108">
        <v>1</v>
      </c>
      <c r="AX21" s="108">
        <v>1.2</v>
      </c>
    </row>
    <row r="22" spans="1:50">
      <c r="A22" s="330">
        <v>259361</v>
      </c>
      <c r="B22" s="331"/>
      <c r="C22" s="88"/>
      <c r="D22" s="340">
        <v>5</v>
      </c>
      <c r="E22" s="341" t="s">
        <v>98</v>
      </c>
      <c r="F22" s="432" t="s">
        <v>1578</v>
      </c>
      <c r="G22" s="433" t="s">
        <v>93</v>
      </c>
      <c r="H22" s="434" t="s">
        <v>98</v>
      </c>
      <c r="I22" s="434" t="s">
        <v>98</v>
      </c>
      <c r="J22" s="94">
        <v>0</v>
      </c>
      <c r="K22" s="433" t="s">
        <v>96</v>
      </c>
      <c r="L22" s="435">
        <f>SUMPRODUCT(L20:L21,$AF20:$AF21)</f>
        <v>577.94444444444423</v>
      </c>
      <c r="M22" s="95">
        <f t="shared" si="0"/>
        <v>1</v>
      </c>
      <c r="N22" s="96">
        <f t="shared" si="1"/>
        <v>1.2849840792941758</v>
      </c>
      <c r="O22" s="432" t="str">
        <f t="shared" si="2"/>
        <v>(3,4,3,1,1,5); recycling of PV modules at the end of life</v>
      </c>
      <c r="P22" s="435">
        <f>SUMPRODUCT(P20:P21,$AF20:$AF21)</f>
        <v>697.88037644693793</v>
      </c>
      <c r="Q22" s="95">
        <f t="shared" si="3"/>
        <v>1</v>
      </c>
      <c r="R22" s="96">
        <f t="shared" si="4"/>
        <v>1.2849840792941758</v>
      </c>
      <c r="S22" s="432" t="str">
        <f t="shared" si="5"/>
        <v>(3,4,3,1,1,5); recycling of PV modules at the end of life</v>
      </c>
      <c r="T22" s="435">
        <f>SUMPRODUCT(T20:T21,$AF20:$AF21)</f>
        <v>697.88037644693793</v>
      </c>
      <c r="U22" s="95">
        <f t="shared" si="6"/>
        <v>1</v>
      </c>
      <c r="V22" s="96">
        <f t="shared" si="7"/>
        <v>1.2849840792941758</v>
      </c>
      <c r="W22" s="432" t="str">
        <f t="shared" si="8"/>
        <v>(3,4,3,1,1,5); recycling of PV modules at the end of life</v>
      </c>
      <c r="X22" s="435">
        <f>SUMPRODUCT(X20:X21,$AF20:$AF21)</f>
        <v>577.94444444444423</v>
      </c>
      <c r="Y22" s="95">
        <f t="shared" si="9"/>
        <v>1</v>
      </c>
      <c r="Z22" s="96">
        <f t="shared" si="10"/>
        <v>1.2849840792941758</v>
      </c>
      <c r="AA22" s="432" t="str">
        <f t="shared" si="11"/>
        <v>(3,4,3,1,1,5); recycling of PV modules at the end of life</v>
      </c>
      <c r="AB22" s="435">
        <f>SUMPRODUCT(AB20:AB21,$AF20:$AF21)</f>
        <v>697.88037644693793</v>
      </c>
      <c r="AC22" s="95">
        <v>1</v>
      </c>
      <c r="AD22" s="96">
        <f t="shared" si="12"/>
        <v>1.2849840792941758</v>
      </c>
      <c r="AE22" s="432" t="str">
        <f t="shared" si="13"/>
        <v>(3,4,3,1,1,5); recycling of PV modules at the end of life</v>
      </c>
      <c r="AG22" s="77" t="s">
        <v>1863</v>
      </c>
      <c r="AH22" s="339">
        <v>3</v>
      </c>
      <c r="AI22" s="339">
        <v>4</v>
      </c>
      <c r="AJ22" s="339">
        <v>3</v>
      </c>
      <c r="AK22" s="339">
        <v>1</v>
      </c>
      <c r="AL22" s="339">
        <v>1</v>
      </c>
      <c r="AM22" s="339">
        <v>5</v>
      </c>
      <c r="AN22" s="104">
        <v>6</v>
      </c>
      <c r="AO22" s="104">
        <v>1.05</v>
      </c>
      <c r="AP22" s="107">
        <f t="shared" si="14"/>
        <v>1.2788404103505406</v>
      </c>
      <c r="AQ22" s="107">
        <f t="shared" si="15"/>
        <v>1.2849840792941758</v>
      </c>
      <c r="AR22" s="107" t="str">
        <f t="shared" si="16"/>
        <v>(3,4,3,1,1,5)</v>
      </c>
      <c r="AS22" s="108">
        <v>1.1000000000000001</v>
      </c>
      <c r="AT22" s="108">
        <v>1.1000000000000001</v>
      </c>
      <c r="AU22" s="108">
        <v>1.1000000000000001</v>
      </c>
      <c r="AV22" s="108">
        <v>1</v>
      </c>
      <c r="AW22" s="108">
        <v>1</v>
      </c>
      <c r="AX22" s="108">
        <v>1.2</v>
      </c>
    </row>
    <row r="23" spans="1:50" ht="24" customHeight="1">
      <c r="A23" s="330">
        <v>266207</v>
      </c>
      <c r="B23" s="331"/>
      <c r="C23" s="88"/>
      <c r="D23" s="340">
        <v>5</v>
      </c>
      <c r="E23" s="341" t="s">
        <v>98</v>
      </c>
      <c r="F23" s="432" t="s">
        <v>1864</v>
      </c>
      <c r="G23" s="433" t="s">
        <v>93</v>
      </c>
      <c r="H23" s="434" t="s">
        <v>98</v>
      </c>
      <c r="I23" s="434" t="s">
        <v>98</v>
      </c>
      <c r="J23" s="94">
        <v>0</v>
      </c>
      <c r="K23" s="433" t="s">
        <v>115</v>
      </c>
      <c r="L23" s="435">
        <f>0.1*SUMPRODUCT(L13:L21,$AF13:$AF21)</f>
        <v>83.365450269232142</v>
      </c>
      <c r="M23" s="95">
        <f t="shared" si="0"/>
        <v>1</v>
      </c>
      <c r="N23" s="96">
        <f t="shared" si="1"/>
        <v>2.0865051432908035</v>
      </c>
      <c r="O23" s="432" t="str">
        <f t="shared" si="2"/>
        <v>(3,4,3,1,1,5); transport of inverter, electric installation, mounting structure and module 100km to construction site</v>
      </c>
      <c r="P23" s="435">
        <f>0.1*SUMPRODUCT(P13:P21,$AF13:$AF21)</f>
        <v>102.05571076895907</v>
      </c>
      <c r="Q23" s="95">
        <f t="shared" si="3"/>
        <v>1</v>
      </c>
      <c r="R23" s="96">
        <f t="shared" si="4"/>
        <v>2.0865051432908035</v>
      </c>
      <c r="S23" s="432" t="str">
        <f t="shared" si="5"/>
        <v>(3,4,3,1,1,5); transport of inverter, electric installation, mounting structure and module 100km to construction site</v>
      </c>
      <c r="T23" s="435">
        <f>0.1*SUMPRODUCT(T13:T21,$AF13:$AF21)</f>
        <v>103.48660246951525</v>
      </c>
      <c r="U23" s="95">
        <f t="shared" si="6"/>
        <v>1</v>
      </c>
      <c r="V23" s="96">
        <f t="shared" si="7"/>
        <v>2.0865051432908035</v>
      </c>
      <c r="W23" s="432" t="str">
        <f t="shared" si="8"/>
        <v>(3,4,3,1,1,5); transport of inverter, electric installation, mounting structure and module 100km to construction site</v>
      </c>
      <c r="X23" s="435">
        <f>0.1*SUMPRODUCT(X13:X21,$AF13:$AF21)</f>
        <v>86.63101653662892</v>
      </c>
      <c r="Y23" s="95">
        <f t="shared" si="9"/>
        <v>1</v>
      </c>
      <c r="Z23" s="96">
        <f t="shared" si="10"/>
        <v>2.0865051432908035</v>
      </c>
      <c r="AA23" s="432" t="str">
        <f t="shared" si="11"/>
        <v>(3,4,3,1,1,5); transport of inverter, electric installation, mounting structure and module 100km to construction site</v>
      </c>
      <c r="AB23" s="435">
        <f>0.1*SUMPRODUCT(AB13:AB21,$AF13:$AF21)</f>
        <v>102.05571076895907</v>
      </c>
      <c r="AC23" s="95">
        <v>1</v>
      </c>
      <c r="AD23" s="96">
        <f t="shared" si="12"/>
        <v>2.0865051432908035</v>
      </c>
      <c r="AE23" s="432" t="str">
        <f t="shared" si="13"/>
        <v>(3,4,3,1,1,5); transport of inverter, electric installation, mounting structure and module 100km to construction site</v>
      </c>
      <c r="AG23" s="77" t="s">
        <v>1865</v>
      </c>
      <c r="AH23" s="339">
        <v>3</v>
      </c>
      <c r="AI23" s="339">
        <v>4</v>
      </c>
      <c r="AJ23" s="339">
        <v>3</v>
      </c>
      <c r="AK23" s="339">
        <v>1</v>
      </c>
      <c r="AL23" s="339">
        <v>1</v>
      </c>
      <c r="AM23" s="339">
        <v>5</v>
      </c>
      <c r="AN23" s="104">
        <v>5</v>
      </c>
      <c r="AO23" s="104">
        <v>2</v>
      </c>
      <c r="AP23" s="107">
        <f t="shared" si="14"/>
        <v>1.2788404103505406</v>
      </c>
      <c r="AQ23" s="107">
        <f t="shared" si="15"/>
        <v>2.0865051432908035</v>
      </c>
      <c r="AR23" s="107" t="str">
        <f t="shared" si="16"/>
        <v>(3,4,3,1,1,5)</v>
      </c>
      <c r="AS23" s="108">
        <v>1.1000000000000001</v>
      </c>
      <c r="AT23" s="108">
        <v>1.1000000000000001</v>
      </c>
      <c r="AU23" s="108">
        <v>1.1000000000000001</v>
      </c>
      <c r="AV23" s="108">
        <v>1</v>
      </c>
      <c r="AW23" s="108">
        <v>1</v>
      </c>
      <c r="AX23" s="108">
        <v>1.2</v>
      </c>
    </row>
    <row r="24" spans="1:50">
      <c r="A24" s="330">
        <v>21844</v>
      </c>
      <c r="B24" s="331" t="s">
        <v>594</v>
      </c>
      <c r="C24" s="88"/>
      <c r="D24" s="340" t="s">
        <v>98</v>
      </c>
      <c r="E24" s="341">
        <v>4</v>
      </c>
      <c r="F24" s="432" t="s">
        <v>121</v>
      </c>
      <c r="G24" s="433" t="s">
        <v>98</v>
      </c>
      <c r="H24" s="434" t="s">
        <v>247</v>
      </c>
      <c r="I24" s="434" t="s">
        <v>258</v>
      </c>
      <c r="J24" s="94" t="s">
        <v>98</v>
      </c>
      <c r="K24" s="433" t="s">
        <v>104</v>
      </c>
      <c r="L24" s="435">
        <f>3.6*L12</f>
        <v>0.48</v>
      </c>
      <c r="M24" s="95">
        <f t="shared" si="0"/>
        <v>1</v>
      </c>
      <c r="N24" s="96">
        <f t="shared" si="1"/>
        <v>1.2849840792941758</v>
      </c>
      <c r="O24" s="432" t="str">
        <f t="shared" si="2"/>
        <v>(3,4,3,1,1,5); calculated with electricity use</v>
      </c>
      <c r="P24" s="435">
        <f>3.6*P12</f>
        <v>0.48</v>
      </c>
      <c r="Q24" s="95">
        <f t="shared" si="3"/>
        <v>1</v>
      </c>
      <c r="R24" s="96">
        <f t="shared" si="4"/>
        <v>1.2849840792941758</v>
      </c>
      <c r="S24" s="432" t="str">
        <f t="shared" si="5"/>
        <v>(3,4,3,1,1,5); calculated with electricity use</v>
      </c>
      <c r="T24" s="435">
        <f>3.6*T12</f>
        <v>12.240000000000002</v>
      </c>
      <c r="U24" s="95">
        <f t="shared" si="6"/>
        <v>1</v>
      </c>
      <c r="V24" s="96">
        <f t="shared" si="7"/>
        <v>1.2849840792941758</v>
      </c>
      <c r="W24" s="432" t="str">
        <f t="shared" si="8"/>
        <v>(3,4,3,1,1,5); calculated with electricity use</v>
      </c>
      <c r="X24" s="435">
        <f>3.6*X12</f>
        <v>2.7600000000000002</v>
      </c>
      <c r="Y24" s="95">
        <f t="shared" si="9"/>
        <v>1</v>
      </c>
      <c r="Z24" s="96">
        <f t="shared" si="10"/>
        <v>1.2849840792941758</v>
      </c>
      <c r="AA24" s="432" t="str">
        <f t="shared" si="11"/>
        <v>(3,4,3,1,1,5); calculated with electricity use</v>
      </c>
      <c r="AB24" s="435">
        <f>3.6*AB12</f>
        <v>2.7600000000000002</v>
      </c>
      <c r="AC24" s="95">
        <v>1</v>
      </c>
      <c r="AD24" s="96">
        <f t="shared" si="12"/>
        <v>1.2849840792941758</v>
      </c>
      <c r="AE24" s="432" t="str">
        <f t="shared" si="13"/>
        <v>(3,4,3,1,1,5); calculated with electricity use</v>
      </c>
      <c r="AG24" s="77" t="s">
        <v>1866</v>
      </c>
      <c r="AH24" s="339">
        <v>3</v>
      </c>
      <c r="AI24" s="339">
        <v>4</v>
      </c>
      <c r="AJ24" s="339">
        <v>3</v>
      </c>
      <c r="AK24" s="339">
        <v>1</v>
      </c>
      <c r="AL24" s="339">
        <v>1</v>
      </c>
      <c r="AM24" s="339">
        <v>5</v>
      </c>
      <c r="AN24" s="104">
        <v>13</v>
      </c>
      <c r="AO24" s="104">
        <v>1.05</v>
      </c>
      <c r="AP24" s="107">
        <f t="shared" si="14"/>
        <v>1.2788404103505406</v>
      </c>
      <c r="AQ24" s="107">
        <f t="shared" si="15"/>
        <v>1.2849840792941758</v>
      </c>
      <c r="AR24" s="107" t="str">
        <f t="shared" si="16"/>
        <v>(3,4,3,1,1,5)</v>
      </c>
      <c r="AS24" s="108">
        <v>1.1000000000000001</v>
      </c>
      <c r="AT24" s="108">
        <v>1.1000000000000001</v>
      </c>
      <c r="AU24" s="108">
        <v>1.1000000000000001</v>
      </c>
      <c r="AV24" s="108">
        <v>1</v>
      </c>
      <c r="AW24" s="108">
        <v>1</v>
      </c>
      <c r="AX24" s="108">
        <v>1.2</v>
      </c>
    </row>
    <row r="25" spans="1:50">
      <c r="L25" s="487"/>
      <c r="P25" s="487"/>
      <c r="T25" s="487"/>
      <c r="X25" s="487"/>
      <c r="AB25" s="199"/>
      <c r="AC25" s="407"/>
      <c r="AK25" s="378"/>
      <c r="AL25" s="378"/>
      <c r="AM25" s="378"/>
      <c r="AN25" s="378"/>
    </row>
    <row r="26" spans="1:50">
      <c r="AB26" s="199"/>
      <c r="AC26" s="407"/>
    </row>
    <row r="27" spans="1:50">
      <c r="F27" s="378" t="s">
        <v>1952</v>
      </c>
      <c r="K27" s="378" t="s">
        <v>902</v>
      </c>
      <c r="L27" s="494">
        <v>10.1</v>
      </c>
      <c r="M27" s="496"/>
      <c r="N27" s="496"/>
      <c r="O27" s="496"/>
      <c r="P27" s="494">
        <v>12.195967743732901</v>
      </c>
      <c r="Q27" s="496"/>
      <c r="R27" s="496"/>
      <c r="S27" s="496"/>
      <c r="T27" s="494">
        <v>12.195967743732901</v>
      </c>
      <c r="U27" s="496"/>
      <c r="V27" s="496"/>
      <c r="W27" s="496"/>
      <c r="X27" s="494">
        <v>10.1</v>
      </c>
      <c r="Y27" s="496"/>
      <c r="Z27" s="496"/>
      <c r="AA27" s="496"/>
      <c r="AB27" s="497">
        <v>12.195967743732901</v>
      </c>
      <c r="AC27" s="407"/>
    </row>
  </sheetData>
  <mergeCells count="1">
    <mergeCell ref="AH1:AM1"/>
  </mergeCells>
  <conditionalFormatting sqref="D12:AE24 AG12:AM24">
    <cfRule type="expression" dxfId="62" priority="2">
      <formula>MOD(ROW(),2)=0</formula>
    </cfRule>
  </conditionalFormatting>
  <conditionalFormatting sqref="AN12:AX24">
    <cfRule type="expression" dxfId="61" priority="1">
      <formula>MOD(ROW(),2)=0</formula>
    </cfRule>
  </conditionalFormatting>
  <dataValidations count="9">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4E00-000000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4E00-000001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4E00-000002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4E00-000003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4E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4E00-000005000000}"/>
    <dataValidation allowBlank="1" showInputMessage="1" showErrorMessage="1" prompt="Do not change." sqref="AN3:AX4 AP7:AX11" xr:uid="{00000000-0002-0000-4E00-000006000000}"/>
    <dataValidation allowBlank="1" showInputMessage="1" showErrorMessage="1" promptTitle="Remarks" prompt="A general comment (data source, calculation procedure, ...) can be made about each individual exchange. The remarks are added to the GeneralComment-field." sqref="AG3" xr:uid="{00000000-0002-0000-4E00-000007000000}"/>
    <dataValidation allowBlank="1" showInputMessage="1" showErrorMessage="1" promptTitle="Do not change" prompt="This field is automatically updated from the names-list" sqref="AN12:AN19 AN20:AN24" xr:uid="{00000000-0002-0000-4E00-000008000000}"/>
  </dataValidations>
  <pageMargins left="0.78740157499999996" right="0.78740157499999996" top="0.984251969" bottom="0.984251969" header="0.4921259845" footer="0.4921259845"/>
  <pageSetup paperSize="9" scale="41"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2">
    <tabColor rgb="FF9CD9F0"/>
    <pageSetUpPr fitToPage="1"/>
  </sheetPr>
  <dimension ref="A1:BE33"/>
  <sheetViews>
    <sheetView workbookViewId="0">
      <selection activeCell="T19" sqref="T19"/>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2.7109375" style="378" customWidth="1" collapsed="1"/>
    <col min="33" max="34" width="5.7109375" style="116" hidden="1" customWidth="1" outlineLevel="1"/>
    <col min="35" max="35" width="50.7109375" style="116" hidden="1" customWidth="1" outlineLevel="1"/>
    <col min="36" max="36" width="23.42578125" style="116" hidden="1" customWidth="1" outlineLevel="1"/>
    <col min="37" max="37" width="4.7109375" style="378" customWidth="1" collapsed="1"/>
    <col min="38" max="38" width="11.42578125" style="378" customWidth="1"/>
    <col min="39" max="39" width="30.7109375" style="407" customWidth="1"/>
    <col min="40" max="40" width="4.140625" style="407" customWidth="1"/>
    <col min="41" max="41" width="4.42578125" style="407" customWidth="1"/>
    <col min="42" max="42" width="4.28515625" style="407" customWidth="1"/>
    <col min="43" max="43" width="4" style="407" customWidth="1"/>
    <col min="44" max="44" width="3.7109375" style="407" customWidth="1"/>
    <col min="45" max="45" width="4.28515625" style="407" customWidth="1"/>
    <col min="46" max="46" width="3.42578125" style="407" hidden="1" customWidth="1" outlineLevel="1"/>
    <col min="47" max="47" width="4.7109375" style="378" hidden="1" customWidth="1" outlineLevel="1"/>
    <col min="48" max="49" width="5.42578125" style="378" hidden="1" customWidth="1" outlineLevel="1"/>
    <col min="50" max="50" width="14.85546875" style="378" hidden="1" customWidth="1" outlineLevel="1"/>
    <col min="51" max="51" width="4.28515625" style="378" hidden="1" customWidth="1" outlineLevel="1"/>
    <col min="52" max="52" width="4.85546875" style="378" hidden="1" customWidth="1" outlineLevel="1"/>
    <col min="53" max="54" width="4.42578125" style="378" hidden="1" customWidth="1" outlineLevel="1"/>
    <col min="55" max="55" width="4.28515625" style="378" hidden="1" customWidth="1" outlineLevel="1"/>
    <col min="56" max="56" width="4.42578125" style="378" hidden="1" customWidth="1" outlineLevel="1"/>
    <col min="57" max="57" width="11.42578125" style="38" customWidth="1" collapsed="1"/>
    <col min="58" max="59" width="11.42578125" style="399" customWidth="1"/>
    <col min="60" max="16384" width="11.42578125" style="399"/>
  </cols>
  <sheetData>
    <row r="1" spans="1:56">
      <c r="A1" s="77"/>
      <c r="B1" s="78"/>
      <c r="C1" s="79"/>
      <c r="D1" s="77"/>
      <c r="E1" s="77"/>
      <c r="F1" s="80" t="s">
        <v>65</v>
      </c>
      <c r="G1" s="77"/>
      <c r="H1" s="77"/>
      <c r="I1" s="77"/>
      <c r="J1" s="77"/>
      <c r="K1" s="77"/>
      <c r="L1" s="330" t="s">
        <v>2001</v>
      </c>
      <c r="M1" s="81"/>
      <c r="N1" s="81"/>
      <c r="O1" s="81"/>
      <c r="P1" s="330" t="s">
        <v>2002</v>
      </c>
      <c r="Q1" s="81"/>
      <c r="R1" s="81"/>
      <c r="S1" s="81"/>
      <c r="T1" s="330" t="s">
        <v>2003</v>
      </c>
      <c r="U1" s="81"/>
      <c r="V1" s="81"/>
      <c r="W1" s="81"/>
      <c r="X1" s="330" t="s">
        <v>2014</v>
      </c>
      <c r="Y1" s="81"/>
      <c r="Z1" s="81"/>
      <c r="AA1" s="81"/>
      <c r="AB1" s="330" t="s">
        <v>2015</v>
      </c>
      <c r="AC1" s="81"/>
      <c r="AD1" s="81"/>
      <c r="AE1" s="81"/>
      <c r="AF1" s="330" t="s">
        <v>2016</v>
      </c>
      <c r="AG1" s="81"/>
      <c r="AH1" s="81"/>
      <c r="AI1" s="81"/>
      <c r="AJ1" s="81"/>
      <c r="AM1" s="378"/>
      <c r="AN1" s="1586"/>
      <c r="AO1" s="1581"/>
      <c r="AP1" s="1581"/>
      <c r="AQ1" s="1581"/>
      <c r="AR1" s="1581"/>
      <c r="AS1" s="1581"/>
      <c r="AT1" s="406"/>
      <c r="AU1" s="406"/>
      <c r="AV1" s="406"/>
      <c r="AW1" s="406"/>
      <c r="AX1" s="406"/>
    </row>
    <row r="2" spans="1:56">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420"/>
      <c r="AM2" s="406"/>
      <c r="AN2" s="406"/>
      <c r="AO2" s="406"/>
      <c r="AP2" s="406"/>
      <c r="AQ2" s="406"/>
      <c r="AR2" s="406"/>
      <c r="AS2" s="406"/>
      <c r="AT2" s="406"/>
    </row>
    <row r="3" spans="1:56" ht="93" customHeight="1">
      <c r="A3" s="83" t="s">
        <v>68</v>
      </c>
      <c r="B3" s="84"/>
      <c r="C3" s="79">
        <v>401</v>
      </c>
      <c r="D3" s="85" t="s">
        <v>69</v>
      </c>
      <c r="E3" s="85" t="s">
        <v>70</v>
      </c>
      <c r="F3" s="86" t="s">
        <v>71</v>
      </c>
      <c r="G3" s="85" t="s">
        <v>72</v>
      </c>
      <c r="H3" s="85" t="s">
        <v>73</v>
      </c>
      <c r="I3" s="85" t="s">
        <v>74</v>
      </c>
      <c r="J3" s="85" t="s">
        <v>75</v>
      </c>
      <c r="K3" s="85" t="s">
        <v>76</v>
      </c>
      <c r="L3" s="87" t="s">
        <v>2004</v>
      </c>
      <c r="M3" s="422" t="s">
        <v>365</v>
      </c>
      <c r="N3" s="422" t="s">
        <v>366</v>
      </c>
      <c r="O3" s="423" t="s">
        <v>367</v>
      </c>
      <c r="P3" s="87" t="s">
        <v>2005</v>
      </c>
      <c r="Q3" s="422" t="s">
        <v>365</v>
      </c>
      <c r="R3" s="422" t="s">
        <v>366</v>
      </c>
      <c r="S3" s="423" t="s">
        <v>367</v>
      </c>
      <c r="T3" s="87" t="s">
        <v>2006</v>
      </c>
      <c r="U3" s="422" t="s">
        <v>365</v>
      </c>
      <c r="V3" s="422" t="s">
        <v>366</v>
      </c>
      <c r="W3" s="423" t="s">
        <v>367</v>
      </c>
      <c r="X3" s="87" t="s">
        <v>2007</v>
      </c>
      <c r="Y3" s="422" t="s">
        <v>365</v>
      </c>
      <c r="Z3" s="422" t="s">
        <v>366</v>
      </c>
      <c r="AA3" s="423" t="s">
        <v>367</v>
      </c>
      <c r="AB3" s="87" t="s">
        <v>2008</v>
      </c>
      <c r="AC3" s="422" t="s">
        <v>365</v>
      </c>
      <c r="AD3" s="422" t="s">
        <v>366</v>
      </c>
      <c r="AE3" s="423" t="s">
        <v>367</v>
      </c>
      <c r="AF3" s="87" t="s">
        <v>2009</v>
      </c>
      <c r="AG3" s="422" t="s">
        <v>365</v>
      </c>
      <c r="AH3" s="422" t="s">
        <v>366</v>
      </c>
      <c r="AI3" s="423" t="s">
        <v>367</v>
      </c>
      <c r="AJ3" s="423"/>
      <c r="AK3" s="378" t="s">
        <v>1885</v>
      </c>
      <c r="AM3" s="97" t="s">
        <v>363</v>
      </c>
      <c r="AN3" s="98" t="s">
        <v>364</v>
      </c>
      <c r="AO3" s="98" t="s">
        <v>365</v>
      </c>
      <c r="AP3" s="98" t="s">
        <v>366</v>
      </c>
      <c r="AQ3" s="98" t="s">
        <v>367</v>
      </c>
      <c r="AR3" s="98" t="s">
        <v>368</v>
      </c>
      <c r="AS3" s="98" t="s">
        <v>369</v>
      </c>
      <c r="AT3" s="99" t="s">
        <v>88</v>
      </c>
      <c r="AU3" s="99" t="s">
        <v>370</v>
      </c>
      <c r="AV3" s="99" t="s">
        <v>90</v>
      </c>
      <c r="AW3" s="99" t="s">
        <v>91</v>
      </c>
      <c r="AX3" s="99" t="s">
        <v>371</v>
      </c>
      <c r="AY3" s="100" t="s">
        <v>364</v>
      </c>
      <c r="AZ3" s="100" t="s">
        <v>365</v>
      </c>
      <c r="BA3" s="100" t="s">
        <v>366</v>
      </c>
      <c r="BB3" s="100" t="s">
        <v>367</v>
      </c>
      <c r="BC3" s="100" t="s">
        <v>368</v>
      </c>
      <c r="BD3" s="100" t="s">
        <v>369</v>
      </c>
    </row>
    <row r="4" spans="1:56" ht="13.5" customHeight="1">
      <c r="A4" s="77"/>
      <c r="B4" s="84"/>
      <c r="C4" s="79">
        <v>662</v>
      </c>
      <c r="D4" s="86"/>
      <c r="E4" s="86"/>
      <c r="F4" s="86" t="s">
        <v>72</v>
      </c>
      <c r="G4" s="86"/>
      <c r="H4" s="86"/>
      <c r="I4" s="86"/>
      <c r="J4" s="86"/>
      <c r="K4" s="86"/>
      <c r="L4" s="87" t="s">
        <v>103</v>
      </c>
      <c r="M4" s="425">
        <v>0</v>
      </c>
      <c r="N4" s="425">
        <v>0</v>
      </c>
      <c r="O4" s="426">
        <v>0</v>
      </c>
      <c r="P4" s="87" t="s">
        <v>103</v>
      </c>
      <c r="Q4" s="425">
        <v>0</v>
      </c>
      <c r="R4" s="425">
        <v>0</v>
      </c>
      <c r="S4" s="426">
        <v>0</v>
      </c>
      <c r="T4" s="87" t="s">
        <v>103</v>
      </c>
      <c r="U4" s="425">
        <v>0</v>
      </c>
      <c r="V4" s="425">
        <v>0</v>
      </c>
      <c r="W4" s="426">
        <v>0</v>
      </c>
      <c r="X4" s="87" t="s">
        <v>154</v>
      </c>
      <c r="Y4" s="425">
        <v>0</v>
      </c>
      <c r="Z4" s="425">
        <v>0</v>
      </c>
      <c r="AA4" s="426">
        <v>0</v>
      </c>
      <c r="AB4" s="87" t="s">
        <v>154</v>
      </c>
      <c r="AC4" s="425">
        <v>0</v>
      </c>
      <c r="AD4" s="425">
        <v>0</v>
      </c>
      <c r="AE4" s="426">
        <v>0</v>
      </c>
      <c r="AF4" s="87" t="s">
        <v>154</v>
      </c>
      <c r="AG4" s="425">
        <v>0</v>
      </c>
      <c r="AH4" s="425">
        <v>0</v>
      </c>
      <c r="AI4" s="426">
        <v>0</v>
      </c>
      <c r="AJ4" s="426"/>
      <c r="AM4" s="101"/>
      <c r="AN4" s="102" t="s">
        <v>94</v>
      </c>
      <c r="AO4" s="97"/>
      <c r="AP4" s="97"/>
      <c r="AQ4" s="97"/>
      <c r="AR4" s="97"/>
      <c r="AS4" s="97"/>
      <c r="AT4" s="103"/>
      <c r="AU4" s="103"/>
      <c r="AV4" s="103" t="s">
        <v>95</v>
      </c>
      <c r="AW4" s="103" t="s">
        <v>95</v>
      </c>
      <c r="AX4" s="104"/>
      <c r="AY4" s="105"/>
      <c r="AZ4" s="105"/>
      <c r="BA4" s="105"/>
      <c r="BB4" s="105"/>
      <c r="BC4" s="105"/>
      <c r="BD4" s="105"/>
    </row>
    <row r="5" spans="1:56">
      <c r="A5" s="77"/>
      <c r="B5" s="84"/>
      <c r="C5" s="79">
        <v>493</v>
      </c>
      <c r="D5" s="86"/>
      <c r="E5" s="86"/>
      <c r="F5" s="86" t="s">
        <v>75</v>
      </c>
      <c r="G5" s="86"/>
      <c r="H5" s="86"/>
      <c r="I5" s="86"/>
      <c r="J5" s="86"/>
      <c r="K5" s="86"/>
      <c r="L5" s="87">
        <v>1</v>
      </c>
      <c r="M5" s="425">
        <v>0</v>
      </c>
      <c r="N5" s="425">
        <v>0</v>
      </c>
      <c r="O5" s="426">
        <v>0</v>
      </c>
      <c r="P5" s="87">
        <v>1</v>
      </c>
      <c r="Q5" s="425">
        <v>0</v>
      </c>
      <c r="R5" s="425">
        <v>0</v>
      </c>
      <c r="S5" s="426">
        <v>0</v>
      </c>
      <c r="T5" s="87">
        <v>1</v>
      </c>
      <c r="U5" s="425">
        <v>0</v>
      </c>
      <c r="V5" s="425">
        <v>0</v>
      </c>
      <c r="W5" s="426">
        <v>0</v>
      </c>
      <c r="X5" s="87">
        <v>1</v>
      </c>
      <c r="Y5" s="425">
        <v>0</v>
      </c>
      <c r="Z5" s="425">
        <v>0</v>
      </c>
      <c r="AA5" s="426">
        <v>0</v>
      </c>
      <c r="AB5" s="87">
        <v>1</v>
      </c>
      <c r="AC5" s="425">
        <v>0</v>
      </c>
      <c r="AD5" s="425">
        <v>0</v>
      </c>
      <c r="AE5" s="426">
        <v>0</v>
      </c>
      <c r="AF5" s="87">
        <v>1</v>
      </c>
      <c r="AG5" s="425">
        <v>0</v>
      </c>
      <c r="AH5" s="425">
        <v>0</v>
      </c>
      <c r="AI5" s="426">
        <v>0</v>
      </c>
      <c r="AJ5" s="426"/>
      <c r="AM5" s="101"/>
      <c r="AN5" s="97"/>
      <c r="AO5" s="97"/>
      <c r="AP5" s="97"/>
      <c r="AQ5" s="97"/>
      <c r="AR5" s="97"/>
      <c r="AS5" s="97"/>
      <c r="AT5" s="104"/>
      <c r="AU5" s="104"/>
      <c r="AV5" s="104"/>
      <c r="AW5" s="104"/>
      <c r="AX5" s="104"/>
      <c r="AY5" s="105"/>
      <c r="AZ5" s="105"/>
      <c r="BA5" s="105"/>
      <c r="BB5" s="105"/>
      <c r="BC5" s="105"/>
      <c r="BD5" s="105"/>
    </row>
    <row r="6" spans="1:56">
      <c r="A6" s="77"/>
      <c r="B6" s="84"/>
      <c r="C6" s="79">
        <v>403</v>
      </c>
      <c r="D6" s="86"/>
      <c r="E6" s="86"/>
      <c r="F6" s="86" t="s">
        <v>76</v>
      </c>
      <c r="G6" s="86"/>
      <c r="H6" s="86"/>
      <c r="I6" s="86"/>
      <c r="J6" s="86"/>
      <c r="K6" s="86"/>
      <c r="L6" s="87" t="s">
        <v>144</v>
      </c>
      <c r="M6" s="425">
        <v>0</v>
      </c>
      <c r="N6" s="425">
        <v>0</v>
      </c>
      <c r="O6" s="426">
        <v>0</v>
      </c>
      <c r="P6" s="87" t="s">
        <v>144</v>
      </c>
      <c r="Q6" s="425">
        <v>0</v>
      </c>
      <c r="R6" s="425">
        <v>0</v>
      </c>
      <c r="S6" s="426">
        <v>0</v>
      </c>
      <c r="T6" s="87" t="s">
        <v>144</v>
      </c>
      <c r="U6" s="425">
        <v>0</v>
      </c>
      <c r="V6" s="425">
        <v>0</v>
      </c>
      <c r="W6" s="426">
        <v>0</v>
      </c>
      <c r="X6" s="87" t="s">
        <v>144</v>
      </c>
      <c r="Y6" s="425">
        <v>0</v>
      </c>
      <c r="Z6" s="425">
        <v>0</v>
      </c>
      <c r="AA6" s="426">
        <v>0</v>
      </c>
      <c r="AB6" s="87" t="s">
        <v>144</v>
      </c>
      <c r="AC6" s="425">
        <v>0</v>
      </c>
      <c r="AD6" s="425">
        <v>0</v>
      </c>
      <c r="AE6" s="426">
        <v>0</v>
      </c>
      <c r="AF6" s="87" t="s">
        <v>144</v>
      </c>
      <c r="AG6" s="425">
        <v>0</v>
      </c>
      <c r="AH6" s="425">
        <v>0</v>
      </c>
      <c r="AI6" s="426">
        <v>0</v>
      </c>
      <c r="AJ6" s="426"/>
      <c r="AL6" s="522" t="s">
        <v>96</v>
      </c>
      <c r="AM6" s="101"/>
      <c r="AN6" s="106"/>
      <c r="AO6" s="106"/>
      <c r="AP6" s="106"/>
      <c r="AQ6" s="106"/>
      <c r="AR6" s="106"/>
      <c r="AS6" s="106"/>
      <c r="AT6" s="104"/>
      <c r="AU6" s="104"/>
      <c r="AV6" s="428"/>
      <c r="AW6" s="428"/>
      <c r="AX6" s="107"/>
      <c r="AY6" s="105"/>
      <c r="AZ6" s="105"/>
      <c r="BA6" s="105"/>
      <c r="BB6" s="105"/>
      <c r="BC6" s="105"/>
      <c r="BD6" s="105"/>
    </row>
    <row r="7" spans="1:56" ht="24" customHeight="1">
      <c r="A7" s="330" t="s">
        <v>2010</v>
      </c>
      <c r="B7" s="331"/>
      <c r="C7" s="88"/>
      <c r="D7" s="294" t="s">
        <v>98</v>
      </c>
      <c r="E7" s="295">
        <v>0</v>
      </c>
      <c r="F7" s="429" t="s">
        <v>2011</v>
      </c>
      <c r="G7" s="430" t="s">
        <v>103</v>
      </c>
      <c r="H7" s="431" t="s">
        <v>98</v>
      </c>
      <c r="I7" s="431" t="s">
        <v>98</v>
      </c>
      <c r="J7" s="89">
        <v>1</v>
      </c>
      <c r="K7" s="430" t="s">
        <v>144</v>
      </c>
      <c r="L7" s="90">
        <v>0</v>
      </c>
      <c r="M7" s="91"/>
      <c r="N7" s="92"/>
      <c r="O7" s="93"/>
      <c r="P7" s="90">
        <v>0</v>
      </c>
      <c r="Q7" s="91"/>
      <c r="R7" s="92"/>
      <c r="S7" s="93"/>
      <c r="T7" s="90">
        <v>0</v>
      </c>
      <c r="U7" s="91"/>
      <c r="V7" s="92"/>
      <c r="W7" s="93"/>
      <c r="X7" s="90">
        <v>0</v>
      </c>
      <c r="Y7" s="91"/>
      <c r="Z7" s="92"/>
      <c r="AA7" s="93"/>
      <c r="AB7" s="90">
        <v>0</v>
      </c>
      <c r="AC7" s="91"/>
      <c r="AD7" s="92"/>
      <c r="AE7" s="93"/>
      <c r="AF7" s="90">
        <v>0</v>
      </c>
      <c r="AG7" s="91"/>
      <c r="AH7" s="92"/>
      <c r="AI7" s="93"/>
      <c r="AJ7" s="93"/>
      <c r="AM7" s="101"/>
      <c r="AN7" s="97"/>
      <c r="AO7" s="97"/>
      <c r="AP7" s="97"/>
      <c r="AQ7" s="97"/>
      <c r="AR7" s="97"/>
      <c r="AS7" s="97"/>
      <c r="AT7" s="104"/>
      <c r="AU7" s="104"/>
      <c r="AV7" s="104"/>
      <c r="AW7" s="104"/>
      <c r="AX7" s="104"/>
      <c r="AY7" s="104"/>
      <c r="AZ7" s="104"/>
      <c r="BA7" s="104"/>
      <c r="BB7" s="104"/>
      <c r="BC7" s="104"/>
      <c r="BD7" s="104"/>
    </row>
    <row r="8" spans="1:56" ht="24" customHeight="1">
      <c r="A8" s="330" t="s">
        <v>2012</v>
      </c>
      <c r="B8" s="331"/>
      <c r="C8" s="88"/>
      <c r="D8" s="294" t="s">
        <v>98</v>
      </c>
      <c r="E8" s="295">
        <v>0</v>
      </c>
      <c r="F8" s="429" t="s">
        <v>2013</v>
      </c>
      <c r="G8" s="430" t="s">
        <v>103</v>
      </c>
      <c r="H8" s="431" t="s">
        <v>98</v>
      </c>
      <c r="I8" s="431" t="s">
        <v>98</v>
      </c>
      <c r="J8" s="89">
        <v>1</v>
      </c>
      <c r="K8" s="430" t="s">
        <v>144</v>
      </c>
      <c r="L8" s="90">
        <v>0</v>
      </c>
      <c r="M8" s="91"/>
      <c r="N8" s="92"/>
      <c r="O8" s="93"/>
      <c r="P8" s="90">
        <v>0</v>
      </c>
      <c r="Q8" s="91"/>
      <c r="R8" s="92"/>
      <c r="S8" s="93"/>
      <c r="T8" s="90">
        <v>0</v>
      </c>
      <c r="U8" s="91"/>
      <c r="V8" s="92"/>
      <c r="W8" s="93"/>
      <c r="X8" s="90">
        <v>0</v>
      </c>
      <c r="Y8" s="91"/>
      <c r="Z8" s="92"/>
      <c r="AA8" s="93"/>
      <c r="AB8" s="90">
        <v>0</v>
      </c>
      <c r="AC8" s="91"/>
      <c r="AD8" s="92"/>
      <c r="AE8" s="93"/>
      <c r="AF8" s="90">
        <v>0</v>
      </c>
      <c r="AG8" s="91"/>
      <c r="AH8" s="92"/>
      <c r="AI8" s="93"/>
      <c r="AJ8" s="93"/>
      <c r="AM8" s="101"/>
      <c r="AN8" s="97"/>
      <c r="AO8" s="97"/>
      <c r="AP8" s="97"/>
      <c r="AQ8" s="97"/>
      <c r="AR8" s="97"/>
      <c r="AS8" s="97"/>
      <c r="AT8" s="104"/>
      <c r="AU8" s="104"/>
      <c r="AV8" s="104"/>
      <c r="AW8" s="104"/>
      <c r="AX8" s="104"/>
      <c r="AY8" s="104"/>
      <c r="AZ8" s="104"/>
      <c r="BA8" s="104"/>
      <c r="BB8" s="104"/>
      <c r="BC8" s="104"/>
      <c r="BD8" s="104"/>
    </row>
    <row r="9" spans="1:56" ht="24" customHeight="1">
      <c r="A9" s="330" t="s">
        <v>2001</v>
      </c>
      <c r="B9" s="331"/>
      <c r="C9" s="88"/>
      <c r="D9" s="294" t="s">
        <v>98</v>
      </c>
      <c r="E9" s="295">
        <v>0</v>
      </c>
      <c r="F9" s="429" t="s">
        <v>2004</v>
      </c>
      <c r="G9" s="430" t="s">
        <v>103</v>
      </c>
      <c r="H9" s="431" t="s">
        <v>98</v>
      </c>
      <c r="I9" s="431" t="s">
        <v>98</v>
      </c>
      <c r="J9" s="89">
        <v>1</v>
      </c>
      <c r="K9" s="430" t="s">
        <v>144</v>
      </c>
      <c r="L9" s="90">
        <v>1</v>
      </c>
      <c r="M9" s="91"/>
      <c r="N9" s="92"/>
      <c r="O9" s="93"/>
      <c r="P9" s="90">
        <v>0</v>
      </c>
      <c r="Q9" s="91"/>
      <c r="R9" s="92"/>
      <c r="S9" s="93"/>
      <c r="T9" s="90">
        <v>0</v>
      </c>
      <c r="U9" s="91"/>
      <c r="V9" s="92"/>
      <c r="W9" s="93"/>
      <c r="X9" s="90">
        <v>0</v>
      </c>
      <c r="Y9" s="91"/>
      <c r="Z9" s="92"/>
      <c r="AA9" s="93"/>
      <c r="AB9" s="90">
        <v>0</v>
      </c>
      <c r="AC9" s="91"/>
      <c r="AD9" s="92"/>
      <c r="AE9" s="93"/>
      <c r="AF9" s="90">
        <v>0</v>
      </c>
      <c r="AG9" s="91"/>
      <c r="AH9" s="92"/>
      <c r="AI9" s="93"/>
      <c r="AJ9" s="93"/>
      <c r="AM9" s="101"/>
      <c r="AN9" s="97"/>
      <c r="AO9" s="97"/>
      <c r="AP9" s="97"/>
      <c r="AQ9" s="97"/>
      <c r="AR9" s="97"/>
      <c r="AS9" s="97"/>
      <c r="AT9" s="104"/>
      <c r="AU9" s="104"/>
      <c r="AV9" s="104"/>
      <c r="AW9" s="104"/>
      <c r="AX9" s="104"/>
      <c r="AY9" s="104"/>
      <c r="AZ9" s="104"/>
      <c r="BA9" s="104"/>
      <c r="BB9" s="104"/>
      <c r="BC9" s="104"/>
      <c r="BD9" s="104"/>
    </row>
    <row r="10" spans="1:56" ht="24" customHeight="1">
      <c r="A10" s="330" t="s">
        <v>2002</v>
      </c>
      <c r="B10" s="331"/>
      <c r="C10" s="88"/>
      <c r="D10" s="294" t="s">
        <v>98</v>
      </c>
      <c r="E10" s="295">
        <v>0</v>
      </c>
      <c r="F10" s="429" t="s">
        <v>2005</v>
      </c>
      <c r="G10" s="430" t="s">
        <v>103</v>
      </c>
      <c r="H10" s="431" t="s">
        <v>98</v>
      </c>
      <c r="I10" s="431" t="s">
        <v>98</v>
      </c>
      <c r="J10" s="89">
        <v>1</v>
      </c>
      <c r="K10" s="430" t="s">
        <v>144</v>
      </c>
      <c r="L10" s="90">
        <v>0</v>
      </c>
      <c r="M10" s="91"/>
      <c r="N10" s="92"/>
      <c r="O10" s="93"/>
      <c r="P10" s="90">
        <v>1</v>
      </c>
      <c r="Q10" s="91"/>
      <c r="R10" s="92"/>
      <c r="S10" s="93"/>
      <c r="T10" s="90">
        <v>0</v>
      </c>
      <c r="U10" s="91"/>
      <c r="V10" s="92"/>
      <c r="W10" s="93"/>
      <c r="X10" s="90">
        <v>0</v>
      </c>
      <c r="Y10" s="91"/>
      <c r="Z10" s="92"/>
      <c r="AA10" s="93"/>
      <c r="AB10" s="90">
        <v>0</v>
      </c>
      <c r="AC10" s="91"/>
      <c r="AD10" s="92"/>
      <c r="AE10" s="93"/>
      <c r="AF10" s="90">
        <v>0</v>
      </c>
      <c r="AG10" s="91"/>
      <c r="AH10" s="92"/>
      <c r="AI10" s="93"/>
      <c r="AJ10" s="93"/>
      <c r="AM10" s="101"/>
      <c r="AN10" s="97"/>
      <c r="AO10" s="97"/>
      <c r="AP10" s="97"/>
      <c r="AQ10" s="97"/>
      <c r="AR10" s="97"/>
      <c r="AS10" s="97"/>
      <c r="AT10" s="104"/>
      <c r="AU10" s="104"/>
      <c r="AV10" s="104"/>
      <c r="AW10" s="104"/>
      <c r="AX10" s="104"/>
      <c r="AY10" s="104"/>
      <c r="AZ10" s="104"/>
      <c r="BA10" s="104"/>
      <c r="BB10" s="104"/>
      <c r="BC10" s="104"/>
      <c r="BD10" s="104"/>
    </row>
    <row r="11" spans="1:56" ht="24" customHeight="1">
      <c r="A11" s="330" t="s">
        <v>2003</v>
      </c>
      <c r="B11" s="331"/>
      <c r="C11" s="88"/>
      <c r="D11" s="294" t="s">
        <v>98</v>
      </c>
      <c r="E11" s="295">
        <v>0</v>
      </c>
      <c r="F11" s="429" t="s">
        <v>2006</v>
      </c>
      <c r="G11" s="430" t="s">
        <v>103</v>
      </c>
      <c r="H11" s="431" t="s">
        <v>98</v>
      </c>
      <c r="I11" s="431" t="s">
        <v>98</v>
      </c>
      <c r="J11" s="89">
        <v>1</v>
      </c>
      <c r="K11" s="430" t="s">
        <v>144</v>
      </c>
      <c r="L11" s="90">
        <v>0</v>
      </c>
      <c r="M11" s="91"/>
      <c r="N11" s="92"/>
      <c r="O11" s="93"/>
      <c r="P11" s="90">
        <v>0</v>
      </c>
      <c r="Q11" s="91"/>
      <c r="R11" s="92"/>
      <c r="S11" s="93"/>
      <c r="T11" s="90">
        <v>1</v>
      </c>
      <c r="U11" s="91"/>
      <c r="V11" s="92"/>
      <c r="W11" s="93"/>
      <c r="X11" s="90">
        <v>0</v>
      </c>
      <c r="Y11" s="91"/>
      <c r="Z11" s="92"/>
      <c r="AA11" s="93"/>
      <c r="AB11" s="90">
        <v>0</v>
      </c>
      <c r="AC11" s="91"/>
      <c r="AD11" s="92"/>
      <c r="AE11" s="93"/>
      <c r="AF11" s="90">
        <v>0</v>
      </c>
      <c r="AG11" s="91"/>
      <c r="AH11" s="92"/>
      <c r="AI11" s="93"/>
      <c r="AJ11" s="93"/>
      <c r="AM11" s="101"/>
      <c r="AN11" s="97"/>
      <c r="AO11" s="97"/>
      <c r="AP11" s="97"/>
      <c r="AQ11" s="97"/>
      <c r="AR11" s="97"/>
      <c r="AS11" s="97"/>
      <c r="AT11" s="104"/>
      <c r="AU11" s="104"/>
      <c r="AV11" s="104"/>
      <c r="AW11" s="104"/>
      <c r="AX11" s="104"/>
      <c r="AY11" s="104"/>
      <c r="AZ11" s="104"/>
      <c r="BA11" s="104"/>
      <c r="BB11" s="104"/>
      <c r="BC11" s="104"/>
      <c r="BD11" s="104"/>
    </row>
    <row r="12" spans="1:56" ht="24" customHeight="1">
      <c r="A12" s="330" t="s">
        <v>2014</v>
      </c>
      <c r="B12" s="331"/>
      <c r="C12" s="88"/>
      <c r="D12" s="294" t="s">
        <v>98</v>
      </c>
      <c r="E12" s="295">
        <v>0</v>
      </c>
      <c r="F12" s="429" t="s">
        <v>2007</v>
      </c>
      <c r="G12" s="430" t="s">
        <v>154</v>
      </c>
      <c r="H12" s="431" t="s">
        <v>98</v>
      </c>
      <c r="I12" s="431" t="s">
        <v>98</v>
      </c>
      <c r="J12" s="89">
        <v>1</v>
      </c>
      <c r="K12" s="430" t="s">
        <v>144</v>
      </c>
      <c r="L12" s="90">
        <v>0</v>
      </c>
      <c r="M12" s="91"/>
      <c r="N12" s="92"/>
      <c r="O12" s="93"/>
      <c r="P12" s="90">
        <v>0</v>
      </c>
      <c r="Q12" s="91"/>
      <c r="R12" s="92"/>
      <c r="S12" s="93"/>
      <c r="T12" s="90">
        <v>0</v>
      </c>
      <c r="U12" s="91"/>
      <c r="V12" s="92"/>
      <c r="W12" s="93"/>
      <c r="X12" s="90">
        <v>1</v>
      </c>
      <c r="Y12" s="91"/>
      <c r="Z12" s="92"/>
      <c r="AA12" s="93"/>
      <c r="AB12" s="90">
        <v>0</v>
      </c>
      <c r="AC12" s="91"/>
      <c r="AD12" s="92"/>
      <c r="AE12" s="93"/>
      <c r="AF12" s="90">
        <v>0</v>
      </c>
      <c r="AG12" s="91"/>
      <c r="AH12" s="92"/>
      <c r="AI12" s="93"/>
      <c r="AJ12" s="93"/>
      <c r="AM12" s="101"/>
      <c r="AN12" s="97"/>
      <c r="AO12" s="97"/>
      <c r="AP12" s="97"/>
      <c r="AQ12" s="97"/>
      <c r="AR12" s="97"/>
      <c r="AS12" s="97"/>
      <c r="AT12" s="104"/>
      <c r="AU12" s="104"/>
      <c r="AV12" s="104"/>
      <c r="AW12" s="104"/>
      <c r="AX12" s="104"/>
      <c r="AY12" s="104"/>
      <c r="AZ12" s="104"/>
      <c r="BA12" s="104"/>
      <c r="BB12" s="104"/>
      <c r="BC12" s="104"/>
      <c r="BD12" s="104"/>
    </row>
    <row r="13" spans="1:56" ht="24" customHeight="1">
      <c r="A13" s="333" t="s">
        <v>2015</v>
      </c>
      <c r="B13" s="216"/>
      <c r="C13" s="165"/>
      <c r="D13" s="535" t="s">
        <v>98</v>
      </c>
      <c r="E13" s="536">
        <v>0</v>
      </c>
      <c r="F13" s="537" t="s">
        <v>2008</v>
      </c>
      <c r="G13" s="430" t="s">
        <v>154</v>
      </c>
      <c r="H13" s="539" t="s">
        <v>98</v>
      </c>
      <c r="I13" s="539" t="s">
        <v>98</v>
      </c>
      <c r="J13" s="540">
        <v>1</v>
      </c>
      <c r="K13" s="430" t="s">
        <v>144</v>
      </c>
      <c r="L13" s="532">
        <v>0</v>
      </c>
      <c r="M13" s="533"/>
      <c r="N13" s="534"/>
      <c r="O13" s="538"/>
      <c r="P13" s="532">
        <v>0</v>
      </c>
      <c r="Q13" s="533"/>
      <c r="R13" s="534"/>
      <c r="S13" s="538"/>
      <c r="T13" s="532">
        <v>0</v>
      </c>
      <c r="U13" s="533"/>
      <c r="V13" s="534"/>
      <c r="W13" s="538"/>
      <c r="X13" s="532">
        <v>0</v>
      </c>
      <c r="Y13" s="533"/>
      <c r="Z13" s="534"/>
      <c r="AA13" s="538"/>
      <c r="AB13" s="532">
        <v>1</v>
      </c>
      <c r="AC13" s="533"/>
      <c r="AD13" s="534"/>
      <c r="AE13" s="538"/>
      <c r="AF13" s="532">
        <v>0</v>
      </c>
      <c r="AG13" s="533"/>
      <c r="AH13" s="534"/>
      <c r="AI13" s="538"/>
      <c r="AJ13" s="538"/>
      <c r="AM13" s="101"/>
      <c r="AN13" s="97"/>
      <c r="AO13" s="97"/>
      <c r="AP13" s="97"/>
      <c r="AQ13" s="97"/>
      <c r="AR13" s="97"/>
      <c r="AS13" s="97"/>
      <c r="AT13" s="104"/>
      <c r="AU13" s="104"/>
      <c r="AV13" s="104"/>
      <c r="AW13" s="104"/>
      <c r="AX13" s="104"/>
      <c r="AY13" s="104"/>
      <c r="AZ13" s="104"/>
      <c r="BA13" s="104"/>
      <c r="BB13" s="104"/>
      <c r="BC13" s="104"/>
      <c r="BD13" s="104"/>
    </row>
    <row r="14" spans="1:56" ht="24" customHeight="1">
      <c r="A14" s="330" t="s">
        <v>2016</v>
      </c>
      <c r="B14" s="331"/>
      <c r="C14" s="88"/>
      <c r="D14" s="294" t="s">
        <v>98</v>
      </c>
      <c r="E14" s="295">
        <v>0</v>
      </c>
      <c r="F14" s="429" t="s">
        <v>2009</v>
      </c>
      <c r="G14" s="430" t="s">
        <v>154</v>
      </c>
      <c r="H14" s="431" t="s">
        <v>98</v>
      </c>
      <c r="I14" s="431" t="s">
        <v>98</v>
      </c>
      <c r="J14" s="89">
        <v>1</v>
      </c>
      <c r="K14" s="430" t="s">
        <v>144</v>
      </c>
      <c r="L14" s="90">
        <v>0</v>
      </c>
      <c r="M14" s="91"/>
      <c r="N14" s="92"/>
      <c r="O14" s="93"/>
      <c r="P14" s="90">
        <v>0</v>
      </c>
      <c r="Q14" s="91"/>
      <c r="R14" s="92"/>
      <c r="S14" s="93"/>
      <c r="T14" s="90">
        <v>0</v>
      </c>
      <c r="U14" s="91"/>
      <c r="V14" s="92"/>
      <c r="W14" s="93"/>
      <c r="X14" s="90">
        <v>0</v>
      </c>
      <c r="Y14" s="91"/>
      <c r="Z14" s="92"/>
      <c r="AA14" s="93"/>
      <c r="AB14" s="90">
        <v>0</v>
      </c>
      <c r="AC14" s="91"/>
      <c r="AD14" s="92"/>
      <c r="AE14" s="93"/>
      <c r="AF14" s="90">
        <v>1</v>
      </c>
      <c r="AG14" s="91"/>
      <c r="AH14" s="92"/>
      <c r="AI14" s="93"/>
      <c r="AJ14" s="93"/>
      <c r="AM14" s="101"/>
      <c r="AN14" s="97"/>
      <c r="AO14" s="97"/>
      <c r="AP14" s="97"/>
      <c r="AQ14" s="97"/>
      <c r="AR14" s="97"/>
      <c r="AS14" s="97"/>
      <c r="AT14" s="104"/>
      <c r="AU14" s="104"/>
      <c r="AV14" s="104"/>
      <c r="AW14" s="104"/>
      <c r="AX14" s="104"/>
      <c r="AY14" s="104"/>
      <c r="AZ14" s="104"/>
      <c r="BA14" s="104"/>
      <c r="BB14" s="104"/>
      <c r="BC14" s="104"/>
      <c r="BD14" s="104"/>
    </row>
    <row r="15" spans="1:56">
      <c r="A15" s="330" t="s">
        <v>1853</v>
      </c>
      <c r="B15" s="331" t="s">
        <v>221</v>
      </c>
      <c r="C15" s="88"/>
      <c r="D15" s="340">
        <v>5</v>
      </c>
      <c r="E15" s="341" t="s">
        <v>98</v>
      </c>
      <c r="F15" s="432" t="s">
        <v>1854</v>
      </c>
      <c r="G15" s="433" t="s">
        <v>154</v>
      </c>
      <c r="H15" s="434" t="s">
        <v>98</v>
      </c>
      <c r="I15" s="434" t="s">
        <v>98</v>
      </c>
      <c r="J15" s="94">
        <v>0</v>
      </c>
      <c r="K15" s="433" t="s">
        <v>109</v>
      </c>
      <c r="L15" s="435">
        <v>0</v>
      </c>
      <c r="M15" s="95">
        <v>1</v>
      </c>
      <c r="N15" s="96">
        <v>1.05</v>
      </c>
      <c r="O15" s="432" t="s">
        <v>3161</v>
      </c>
      <c r="P15" s="435">
        <v>0</v>
      </c>
      <c r="Q15" s="95">
        <v>1</v>
      </c>
      <c r="R15" s="96">
        <v>1.05</v>
      </c>
      <c r="S15" s="432" t="s">
        <v>3161</v>
      </c>
      <c r="T15" s="435">
        <v>0</v>
      </c>
      <c r="U15" s="95">
        <v>1</v>
      </c>
      <c r="V15" s="96">
        <v>1.05</v>
      </c>
      <c r="W15" s="432" t="s">
        <v>3161</v>
      </c>
      <c r="X15" s="435">
        <v>0.76666666666666672</v>
      </c>
      <c r="Y15" s="95">
        <v>1</v>
      </c>
      <c r="Z15" s="96">
        <v>1.05</v>
      </c>
      <c r="AA15" s="432" t="s">
        <v>3161</v>
      </c>
      <c r="AB15" s="435">
        <v>19.166666666666668</v>
      </c>
      <c r="AC15" s="95">
        <v>1</v>
      </c>
      <c r="AD15" s="96">
        <v>1.05</v>
      </c>
      <c r="AE15" s="432" t="s">
        <v>3161</v>
      </c>
      <c r="AF15" s="435">
        <v>766.66666666666674</v>
      </c>
      <c r="AG15" s="95">
        <v>1</v>
      </c>
      <c r="AH15" s="96">
        <v>1.05</v>
      </c>
      <c r="AI15" s="432" t="s">
        <v>3161</v>
      </c>
      <c r="AJ15" s="432"/>
      <c r="AK15" s="494"/>
      <c r="AL15" s="494"/>
      <c r="AM15" s="77" t="s">
        <v>1949</v>
      </c>
      <c r="AN15" s="339">
        <v>0</v>
      </c>
      <c r="AO15" s="339">
        <v>0</v>
      </c>
      <c r="AP15" s="339">
        <v>0</v>
      </c>
      <c r="AQ15" s="339">
        <v>0</v>
      </c>
      <c r="AR15" s="339">
        <v>0</v>
      </c>
      <c r="AS15" s="339">
        <v>0</v>
      </c>
      <c r="AT15" s="104">
        <v>3</v>
      </c>
      <c r="AU15" s="104">
        <v>1.05</v>
      </c>
      <c r="AV15" s="107">
        <v>1</v>
      </c>
      <c r="AW15" s="107">
        <v>1.05</v>
      </c>
      <c r="AX15" s="107" t="s">
        <v>3162</v>
      </c>
      <c r="AY15" s="108">
        <v>1</v>
      </c>
      <c r="AZ15" s="108">
        <v>1</v>
      </c>
      <c r="BA15" s="108">
        <v>1</v>
      </c>
      <c r="BB15" s="108">
        <v>1</v>
      </c>
      <c r="BC15" s="108">
        <v>1</v>
      </c>
      <c r="BD15" s="108">
        <v>1</v>
      </c>
    </row>
    <row r="16" spans="1:56">
      <c r="A16" s="330">
        <v>269491</v>
      </c>
      <c r="B16" s="331"/>
      <c r="C16" s="88"/>
      <c r="D16" s="340">
        <v>5</v>
      </c>
      <c r="E16" s="341" t="s">
        <v>98</v>
      </c>
      <c r="F16" s="432" t="s">
        <v>1856</v>
      </c>
      <c r="G16" s="433" t="s">
        <v>103</v>
      </c>
      <c r="H16" s="434" t="s">
        <v>98</v>
      </c>
      <c r="I16" s="434" t="s">
        <v>98</v>
      </c>
      <c r="J16" s="94">
        <v>0</v>
      </c>
      <c r="K16" s="433" t="s">
        <v>109</v>
      </c>
      <c r="L16" s="435">
        <v>0.76666666666666672</v>
      </c>
      <c r="M16" s="95">
        <v>1</v>
      </c>
      <c r="N16" s="96">
        <v>1.05</v>
      </c>
      <c r="O16" s="432" t="s">
        <v>3161</v>
      </c>
      <c r="P16" s="435">
        <v>0.76666666666666672</v>
      </c>
      <c r="Q16" s="95">
        <v>1</v>
      </c>
      <c r="R16" s="96">
        <v>1.05</v>
      </c>
      <c r="S16" s="432" t="s">
        <v>3161</v>
      </c>
      <c r="T16" s="435">
        <v>0.76666666666666672</v>
      </c>
      <c r="U16" s="95">
        <v>1</v>
      </c>
      <c r="V16" s="96">
        <v>1.05</v>
      </c>
      <c r="W16" s="432" t="s">
        <v>3161</v>
      </c>
      <c r="X16" s="435">
        <v>0</v>
      </c>
      <c r="Y16" s="95">
        <v>1</v>
      </c>
      <c r="Z16" s="96">
        <v>1.05</v>
      </c>
      <c r="AA16" s="432" t="s">
        <v>3161</v>
      </c>
      <c r="AB16" s="435">
        <v>0</v>
      </c>
      <c r="AC16" s="95">
        <v>1</v>
      </c>
      <c r="AD16" s="96">
        <v>1.05</v>
      </c>
      <c r="AE16" s="432" t="s">
        <v>3161</v>
      </c>
      <c r="AF16" s="435">
        <v>0</v>
      </c>
      <c r="AG16" s="95">
        <v>1</v>
      </c>
      <c r="AH16" s="96">
        <v>1.05</v>
      </c>
      <c r="AI16" s="432" t="s">
        <v>3161</v>
      </c>
      <c r="AJ16" s="432"/>
      <c r="AK16" s="494"/>
      <c r="AL16" s="494"/>
      <c r="AM16" s="77" t="s">
        <v>1949</v>
      </c>
      <c r="AN16" s="339">
        <v>0</v>
      </c>
      <c r="AO16" s="339">
        <v>0</v>
      </c>
      <c r="AP16" s="339">
        <v>0</v>
      </c>
      <c r="AQ16" s="339">
        <v>0</v>
      </c>
      <c r="AR16" s="339">
        <v>0</v>
      </c>
      <c r="AS16" s="339">
        <v>0</v>
      </c>
      <c r="AT16" s="104">
        <v>3</v>
      </c>
      <c r="AU16" s="104">
        <v>1.05</v>
      </c>
      <c r="AV16" s="107">
        <v>1</v>
      </c>
      <c r="AW16" s="107">
        <v>1.05</v>
      </c>
      <c r="AX16" s="107" t="s">
        <v>3162</v>
      </c>
      <c r="AY16" s="108">
        <v>1</v>
      </c>
      <c r="AZ16" s="108">
        <v>1</v>
      </c>
      <c r="BA16" s="108">
        <v>1</v>
      </c>
      <c r="BB16" s="108">
        <v>1</v>
      </c>
      <c r="BC16" s="108">
        <v>1</v>
      </c>
      <c r="BD16" s="108">
        <v>1</v>
      </c>
    </row>
    <row r="17" spans="1:56" ht="24">
      <c r="A17" s="330">
        <v>267287</v>
      </c>
      <c r="B17" s="331"/>
      <c r="C17" s="88"/>
      <c r="D17" s="340">
        <v>5</v>
      </c>
      <c r="E17" s="341" t="s">
        <v>98</v>
      </c>
      <c r="F17" s="432" t="s">
        <v>690</v>
      </c>
      <c r="G17" s="433" t="s">
        <v>154</v>
      </c>
      <c r="H17" s="434" t="s">
        <v>98</v>
      </c>
      <c r="I17" s="434" t="s">
        <v>98</v>
      </c>
      <c r="J17" s="94">
        <v>0</v>
      </c>
      <c r="K17" s="433" t="s">
        <v>104</v>
      </c>
      <c r="L17" s="435">
        <v>0</v>
      </c>
      <c r="M17" s="95">
        <v>1</v>
      </c>
      <c r="N17" s="96">
        <v>1.05</v>
      </c>
      <c r="O17" s="432" t="s">
        <v>3163</v>
      </c>
      <c r="P17" s="435">
        <v>0</v>
      </c>
      <c r="Q17" s="95">
        <v>1</v>
      </c>
      <c r="R17" s="96">
        <v>1.05</v>
      </c>
      <c r="S17" s="432" t="s">
        <v>3163</v>
      </c>
      <c r="T17" s="435">
        <v>0</v>
      </c>
      <c r="U17" s="95">
        <v>1</v>
      </c>
      <c r="V17" s="96">
        <v>1.05</v>
      </c>
      <c r="W17" s="432" t="s">
        <v>3163</v>
      </c>
      <c r="X17" s="435">
        <v>0</v>
      </c>
      <c r="Y17" s="95">
        <v>1</v>
      </c>
      <c r="Z17" s="96">
        <v>1.05</v>
      </c>
      <c r="AA17" s="432" t="s">
        <v>3163</v>
      </c>
      <c r="AB17" s="435">
        <v>0</v>
      </c>
      <c r="AC17" s="95">
        <v>1</v>
      </c>
      <c r="AD17" s="96">
        <v>1.05</v>
      </c>
      <c r="AE17" s="432" t="s">
        <v>3163</v>
      </c>
      <c r="AF17" s="435">
        <v>43200</v>
      </c>
      <c r="AG17" s="95">
        <v>1</v>
      </c>
      <c r="AH17" s="96">
        <v>1.05</v>
      </c>
      <c r="AI17" s="432" t="s">
        <v>3163</v>
      </c>
      <c r="AJ17" s="432"/>
      <c r="AK17" s="494"/>
      <c r="AL17" s="494"/>
      <c r="AM17" s="77" t="s">
        <v>1858</v>
      </c>
      <c r="AN17" s="339">
        <v>0</v>
      </c>
      <c r="AO17" s="339">
        <v>0</v>
      </c>
      <c r="AP17" s="339">
        <v>0</v>
      </c>
      <c r="AQ17" s="339">
        <v>0</v>
      </c>
      <c r="AR17" s="339">
        <v>0</v>
      </c>
      <c r="AS17" s="339">
        <v>0</v>
      </c>
      <c r="AT17" s="104">
        <v>1</v>
      </c>
      <c r="AU17" s="104">
        <v>1.05</v>
      </c>
      <c r="AV17" s="107">
        <v>1</v>
      </c>
      <c r="AW17" s="107">
        <v>1.05</v>
      </c>
      <c r="AX17" s="107" t="s">
        <v>3162</v>
      </c>
      <c r="AY17" s="108">
        <v>1</v>
      </c>
      <c r="AZ17" s="108">
        <v>1</v>
      </c>
      <c r="BA17" s="108">
        <v>1</v>
      </c>
      <c r="BB17" s="108">
        <v>1</v>
      </c>
      <c r="BC17" s="108">
        <v>1</v>
      </c>
      <c r="BD17" s="108">
        <v>1</v>
      </c>
    </row>
    <row r="18" spans="1:56" ht="24" customHeight="1">
      <c r="A18" s="330" t="s">
        <v>1708</v>
      </c>
      <c r="B18" s="331"/>
      <c r="C18" s="88"/>
      <c r="D18" s="340">
        <v>5</v>
      </c>
      <c r="E18" s="341" t="s">
        <v>98</v>
      </c>
      <c r="F18" s="432" t="s">
        <v>1712</v>
      </c>
      <c r="G18" s="433" t="s">
        <v>154</v>
      </c>
      <c r="H18" s="434" t="s">
        <v>98</v>
      </c>
      <c r="I18" s="434" t="s">
        <v>98</v>
      </c>
      <c r="J18" s="94">
        <v>1</v>
      </c>
      <c r="K18" s="433" t="s">
        <v>144</v>
      </c>
      <c r="L18" s="435">
        <v>2</v>
      </c>
      <c r="M18" s="95">
        <v>1</v>
      </c>
      <c r="N18" s="96">
        <v>3.0156568896139588</v>
      </c>
      <c r="O18" s="432" t="s">
        <v>3164</v>
      </c>
      <c r="P18" s="435">
        <v>2</v>
      </c>
      <c r="Q18" s="95">
        <v>1</v>
      </c>
      <c r="R18" s="96">
        <v>3.0156568896139588</v>
      </c>
      <c r="S18" s="432" t="s">
        <v>3164</v>
      </c>
      <c r="T18" s="435">
        <v>2</v>
      </c>
      <c r="U18" s="95">
        <v>1</v>
      </c>
      <c r="V18" s="96">
        <v>3.0156568896139588</v>
      </c>
      <c r="W18" s="432" t="s">
        <v>3164</v>
      </c>
      <c r="X18" s="435">
        <v>2</v>
      </c>
      <c r="Y18" s="95">
        <v>1</v>
      </c>
      <c r="Z18" s="96">
        <v>3.0156568896139588</v>
      </c>
      <c r="AA18" s="432" t="s">
        <v>3164</v>
      </c>
      <c r="AB18" s="435">
        <v>0</v>
      </c>
      <c r="AC18" s="95">
        <v>1</v>
      </c>
      <c r="AD18" s="96">
        <v>3.0156568896139588</v>
      </c>
      <c r="AE18" s="432" t="s">
        <v>3164</v>
      </c>
      <c r="AF18" s="435">
        <v>0</v>
      </c>
      <c r="AG18" s="95">
        <v>1</v>
      </c>
      <c r="AH18" s="96">
        <v>3.0156568896139588</v>
      </c>
      <c r="AI18" s="432" t="s">
        <v>3164</v>
      </c>
      <c r="AJ18" s="432"/>
      <c r="AL18" s="494">
        <v>0</v>
      </c>
      <c r="AM18" s="77" t="s">
        <v>1859</v>
      </c>
      <c r="AN18" s="339">
        <v>2</v>
      </c>
      <c r="AO18" s="339">
        <v>4</v>
      </c>
      <c r="AP18" s="339">
        <v>1</v>
      </c>
      <c r="AQ18" s="339">
        <v>1</v>
      </c>
      <c r="AR18" s="339">
        <v>1</v>
      </c>
      <c r="AS18" s="339" t="s">
        <v>106</v>
      </c>
      <c r="AT18" s="104">
        <v>9</v>
      </c>
      <c r="AU18" s="104">
        <v>3</v>
      </c>
      <c r="AV18" s="107">
        <v>1.1130148943987077</v>
      </c>
      <c r="AW18" s="107">
        <v>3.0156568896139588</v>
      </c>
      <c r="AX18" s="107" t="s">
        <v>3153</v>
      </c>
      <c r="AY18" s="108">
        <v>1.05</v>
      </c>
      <c r="AZ18" s="108">
        <v>1.1000000000000001</v>
      </c>
      <c r="BA18" s="108">
        <v>1</v>
      </c>
      <c r="BB18" s="108">
        <v>1</v>
      </c>
      <c r="BC18" s="108">
        <v>1</v>
      </c>
      <c r="BD18" s="108">
        <v>1</v>
      </c>
    </row>
    <row r="19" spans="1:56" ht="24" customHeight="1">
      <c r="A19" s="330" t="s">
        <v>1709</v>
      </c>
      <c r="B19" s="331"/>
      <c r="C19" s="88"/>
      <c r="D19" s="340">
        <v>5</v>
      </c>
      <c r="E19" s="341" t="s">
        <v>98</v>
      </c>
      <c r="F19" s="432" t="s">
        <v>1713</v>
      </c>
      <c r="G19" s="433" t="s">
        <v>154</v>
      </c>
      <c r="H19" s="434" t="s">
        <v>98</v>
      </c>
      <c r="I19" s="434" t="s">
        <v>98</v>
      </c>
      <c r="J19" s="94">
        <v>1</v>
      </c>
      <c r="K19" s="433" t="s">
        <v>144</v>
      </c>
      <c r="L19" s="435">
        <v>0</v>
      </c>
      <c r="M19" s="95">
        <v>1</v>
      </c>
      <c r="N19" s="96">
        <v>3.0156568896139588</v>
      </c>
      <c r="O19" s="432" t="s">
        <v>3164</v>
      </c>
      <c r="P19" s="435">
        <v>0</v>
      </c>
      <c r="Q19" s="95">
        <v>1</v>
      </c>
      <c r="R19" s="96">
        <v>3.0156568896139588</v>
      </c>
      <c r="S19" s="432" t="s">
        <v>3164</v>
      </c>
      <c r="T19" s="435">
        <v>0</v>
      </c>
      <c r="U19" s="95">
        <v>1</v>
      </c>
      <c r="V19" s="96">
        <v>3.0156568896139588</v>
      </c>
      <c r="W19" s="432" t="s">
        <v>3164</v>
      </c>
      <c r="X19" s="435">
        <v>0</v>
      </c>
      <c r="Y19" s="95">
        <v>1</v>
      </c>
      <c r="Z19" s="96">
        <v>3.0156568896139588</v>
      </c>
      <c r="AA19" s="432" t="s">
        <v>3164</v>
      </c>
      <c r="AB19" s="435">
        <v>4</v>
      </c>
      <c r="AC19" s="95">
        <v>1</v>
      </c>
      <c r="AD19" s="96">
        <v>3.0156568896139588</v>
      </c>
      <c r="AE19" s="432" t="s">
        <v>3164</v>
      </c>
      <c r="AF19" s="435">
        <v>150</v>
      </c>
      <c r="AG19" s="95">
        <v>1</v>
      </c>
      <c r="AH19" s="96">
        <v>3.0156568896139588</v>
      </c>
      <c r="AI19" s="432" t="s">
        <v>3164</v>
      </c>
      <c r="AJ19" s="432"/>
      <c r="AL19" s="494">
        <v>0</v>
      </c>
      <c r="AM19" s="77" t="s">
        <v>1859</v>
      </c>
      <c r="AN19" s="339">
        <v>2</v>
      </c>
      <c r="AO19" s="339">
        <v>4</v>
      </c>
      <c r="AP19" s="339">
        <v>1</v>
      </c>
      <c r="AQ19" s="339">
        <v>1</v>
      </c>
      <c r="AR19" s="339">
        <v>1</v>
      </c>
      <c r="AS19" s="339" t="s">
        <v>106</v>
      </c>
      <c r="AT19" s="104">
        <v>9</v>
      </c>
      <c r="AU19" s="104">
        <v>3</v>
      </c>
      <c r="AV19" s="107">
        <v>1.1130148943987077</v>
      </c>
      <c r="AW19" s="107">
        <v>3.0156568896139588</v>
      </c>
      <c r="AX19" s="107" t="s">
        <v>3153</v>
      </c>
      <c r="AY19" s="108">
        <v>1.05</v>
      </c>
      <c r="AZ19" s="108">
        <v>1.1000000000000001</v>
      </c>
      <c r="BA19" s="108">
        <v>1</v>
      </c>
      <c r="BB19" s="108">
        <v>1</v>
      </c>
      <c r="BC19" s="108">
        <v>1</v>
      </c>
      <c r="BD19" s="108">
        <v>1</v>
      </c>
    </row>
    <row r="20" spans="1:56" ht="24" customHeight="1">
      <c r="A20" s="330">
        <v>261084</v>
      </c>
      <c r="B20" s="331"/>
      <c r="C20" s="88"/>
      <c r="D20" s="340">
        <v>5</v>
      </c>
      <c r="E20" s="341" t="s">
        <v>98</v>
      </c>
      <c r="F20" s="432" t="s">
        <v>1674</v>
      </c>
      <c r="G20" s="433" t="s">
        <v>103</v>
      </c>
      <c r="H20" s="434" t="s">
        <v>98</v>
      </c>
      <c r="I20" s="434" t="s">
        <v>98</v>
      </c>
      <c r="J20" s="94">
        <v>1</v>
      </c>
      <c r="K20" s="433" t="s">
        <v>144</v>
      </c>
      <c r="L20" s="435">
        <v>2.26755352255311</v>
      </c>
      <c r="M20" s="95">
        <v>1</v>
      </c>
      <c r="N20" s="96">
        <v>3.0827046835040277</v>
      </c>
      <c r="O20" s="432" t="s">
        <v>2026</v>
      </c>
      <c r="P20" s="435">
        <v>2.26755352255311</v>
      </c>
      <c r="Q20" s="95">
        <v>1</v>
      </c>
      <c r="R20" s="96">
        <v>3.0827046835040277</v>
      </c>
      <c r="S20" s="432" t="s">
        <v>2026</v>
      </c>
      <c r="T20" s="435">
        <v>2.26755352255311</v>
      </c>
      <c r="U20" s="95">
        <v>1</v>
      </c>
      <c r="V20" s="96">
        <v>3.0827046835040277</v>
      </c>
      <c r="W20" s="432" t="s">
        <v>2026</v>
      </c>
      <c r="X20" s="435">
        <v>2.26755352255311</v>
      </c>
      <c r="Y20" s="95">
        <v>1</v>
      </c>
      <c r="Z20" s="96">
        <v>3.0827046835040277</v>
      </c>
      <c r="AA20" s="432" t="s">
        <v>2026</v>
      </c>
      <c r="AB20" s="435">
        <v>0</v>
      </c>
      <c r="AC20" s="95">
        <v>1</v>
      </c>
      <c r="AD20" s="96">
        <v>3.0827046835040277</v>
      </c>
      <c r="AE20" s="432" t="s">
        <v>2026</v>
      </c>
      <c r="AF20" s="435">
        <v>0</v>
      </c>
      <c r="AG20" s="95">
        <v>1</v>
      </c>
      <c r="AH20" s="96">
        <v>3.0827046835040277</v>
      </c>
      <c r="AI20" s="432" t="s">
        <v>2026</v>
      </c>
      <c r="AJ20" s="432"/>
      <c r="AL20" s="494">
        <v>32.612000000000002</v>
      </c>
      <c r="AM20" s="77" t="s">
        <v>253</v>
      </c>
      <c r="AN20" s="339">
        <v>3</v>
      </c>
      <c r="AO20" s="339">
        <v>4</v>
      </c>
      <c r="AP20" s="339">
        <v>3</v>
      </c>
      <c r="AQ20" s="339">
        <v>1</v>
      </c>
      <c r="AR20" s="339">
        <v>1</v>
      </c>
      <c r="AS20" s="339">
        <v>5</v>
      </c>
      <c r="AT20" s="104">
        <v>9</v>
      </c>
      <c r="AU20" s="104">
        <v>3</v>
      </c>
      <c r="AV20" s="107">
        <v>1.2788404103505406</v>
      </c>
      <c r="AW20" s="107">
        <v>3.0827046835040277</v>
      </c>
      <c r="AX20" s="107" t="s">
        <v>3151</v>
      </c>
      <c r="AY20" s="108">
        <v>1.1000000000000001</v>
      </c>
      <c r="AZ20" s="108">
        <v>1.1000000000000001</v>
      </c>
      <c r="BA20" s="108">
        <v>1.1000000000000001</v>
      </c>
      <c r="BB20" s="108">
        <v>1</v>
      </c>
      <c r="BC20" s="108">
        <v>1</v>
      </c>
      <c r="BD20" s="108">
        <v>1.2</v>
      </c>
    </row>
    <row r="21" spans="1:56" ht="24" customHeight="1">
      <c r="A21" s="330">
        <v>257174</v>
      </c>
      <c r="B21" s="331"/>
      <c r="C21" s="88"/>
      <c r="D21" s="340">
        <v>5</v>
      </c>
      <c r="E21" s="341" t="s">
        <v>98</v>
      </c>
      <c r="F21" s="432" t="s">
        <v>1860</v>
      </c>
      <c r="G21" s="433" t="s">
        <v>103</v>
      </c>
      <c r="H21" s="434" t="s">
        <v>98</v>
      </c>
      <c r="I21" s="434" t="s">
        <v>98</v>
      </c>
      <c r="J21" s="94">
        <v>1</v>
      </c>
      <c r="K21" s="433" t="s">
        <v>144</v>
      </c>
      <c r="L21" s="435">
        <v>0</v>
      </c>
      <c r="M21" s="95">
        <v>1</v>
      </c>
      <c r="N21" s="96">
        <v>3.0827046835040277</v>
      </c>
      <c r="O21" s="432" t="s">
        <v>2026</v>
      </c>
      <c r="P21" s="435">
        <v>0</v>
      </c>
      <c r="Q21" s="95">
        <v>1</v>
      </c>
      <c r="R21" s="96">
        <v>3.0827046835040277</v>
      </c>
      <c r="S21" s="432" t="s">
        <v>2026</v>
      </c>
      <c r="T21" s="435">
        <v>0</v>
      </c>
      <c r="U21" s="95">
        <v>1</v>
      </c>
      <c r="V21" s="96">
        <v>3.0827046835040277</v>
      </c>
      <c r="W21" s="432" t="s">
        <v>2026</v>
      </c>
      <c r="X21" s="435">
        <v>0</v>
      </c>
      <c r="Y21" s="95">
        <v>1</v>
      </c>
      <c r="Z21" s="96">
        <v>3.0827046835040277</v>
      </c>
      <c r="AA21" s="432" t="s">
        <v>2026</v>
      </c>
      <c r="AB21" s="435">
        <v>0.89285714285714279</v>
      </c>
      <c r="AC21" s="95">
        <v>1</v>
      </c>
      <c r="AD21" s="96">
        <v>3.0827046835040277</v>
      </c>
      <c r="AE21" s="432" t="s">
        <v>2026</v>
      </c>
      <c r="AF21" s="435">
        <v>0</v>
      </c>
      <c r="AG21" s="95">
        <v>1</v>
      </c>
      <c r="AH21" s="96">
        <v>3.0827046835040277</v>
      </c>
      <c r="AI21" s="432" t="s">
        <v>2026</v>
      </c>
      <c r="AJ21" s="432"/>
      <c r="AL21" s="494">
        <v>0</v>
      </c>
      <c r="AM21" s="77" t="s">
        <v>253</v>
      </c>
      <c r="AN21" s="339">
        <v>3</v>
      </c>
      <c r="AO21" s="339">
        <v>4</v>
      </c>
      <c r="AP21" s="339">
        <v>3</v>
      </c>
      <c r="AQ21" s="339">
        <v>1</v>
      </c>
      <c r="AR21" s="339">
        <v>1</v>
      </c>
      <c r="AS21" s="339">
        <v>5</v>
      </c>
      <c r="AT21" s="104">
        <v>9</v>
      </c>
      <c r="AU21" s="104">
        <v>3</v>
      </c>
      <c r="AV21" s="107">
        <v>1.2788404103505406</v>
      </c>
      <c r="AW21" s="107">
        <v>3.0827046835040277</v>
      </c>
      <c r="AX21" s="107" t="s">
        <v>3151</v>
      </c>
      <c r="AY21" s="108">
        <v>1.1000000000000001</v>
      </c>
      <c r="AZ21" s="108">
        <v>1.1000000000000001</v>
      </c>
      <c r="BA21" s="108">
        <v>1.1000000000000001</v>
      </c>
      <c r="BB21" s="108">
        <v>1</v>
      </c>
      <c r="BC21" s="108">
        <v>1</v>
      </c>
      <c r="BD21" s="108">
        <v>1.2</v>
      </c>
    </row>
    <row r="22" spans="1:56" ht="24" customHeight="1">
      <c r="A22" s="330" t="s">
        <v>1688</v>
      </c>
      <c r="B22" s="331"/>
      <c r="C22" s="88"/>
      <c r="D22" s="340">
        <v>5</v>
      </c>
      <c r="E22" s="341" t="s">
        <v>98</v>
      </c>
      <c r="F22" s="432" t="s">
        <v>1689</v>
      </c>
      <c r="G22" s="433" t="s">
        <v>93</v>
      </c>
      <c r="H22" s="434" t="s">
        <v>98</v>
      </c>
      <c r="I22" s="434" t="s">
        <v>98</v>
      </c>
      <c r="J22" s="94">
        <v>1</v>
      </c>
      <c r="K22" s="433" t="s">
        <v>679</v>
      </c>
      <c r="L22" s="435">
        <v>0</v>
      </c>
      <c r="M22" s="95">
        <v>1</v>
      </c>
      <c r="N22" s="96">
        <v>3.0827046835040277</v>
      </c>
      <c r="O22" s="432" t="s">
        <v>2026</v>
      </c>
      <c r="P22" s="435">
        <v>0</v>
      </c>
      <c r="Q22" s="95">
        <v>1</v>
      </c>
      <c r="R22" s="96">
        <v>3.0827046835040277</v>
      </c>
      <c r="S22" s="432" t="s">
        <v>2026</v>
      </c>
      <c r="T22" s="435">
        <v>0</v>
      </c>
      <c r="U22" s="95">
        <v>1</v>
      </c>
      <c r="V22" s="96">
        <v>3.0827046835040277</v>
      </c>
      <c r="W22" s="432" t="s">
        <v>2026</v>
      </c>
      <c r="X22" s="435">
        <v>0</v>
      </c>
      <c r="Y22" s="95">
        <v>1</v>
      </c>
      <c r="Z22" s="96">
        <v>3.0827046835040277</v>
      </c>
      <c r="AA22" s="432" t="s">
        <v>2026</v>
      </c>
      <c r="AB22" s="435">
        <v>0</v>
      </c>
      <c r="AC22" s="95">
        <v>1</v>
      </c>
      <c r="AD22" s="96">
        <v>3.0827046835040277</v>
      </c>
      <c r="AE22" s="432" t="s">
        <v>2026</v>
      </c>
      <c r="AF22" s="435">
        <v>54347.826086956506</v>
      </c>
      <c r="AG22" s="95">
        <v>1</v>
      </c>
      <c r="AH22" s="96">
        <v>3.0827046835040277</v>
      </c>
      <c r="AI22" s="432" t="s">
        <v>2026</v>
      </c>
      <c r="AJ22" s="432"/>
      <c r="AL22" s="494">
        <v>2.5696889776726599</v>
      </c>
      <c r="AM22" s="77" t="s">
        <v>253</v>
      </c>
      <c r="AN22" s="339">
        <v>3</v>
      </c>
      <c r="AO22" s="339">
        <v>4</v>
      </c>
      <c r="AP22" s="339">
        <v>3</v>
      </c>
      <c r="AQ22" s="339">
        <v>1</v>
      </c>
      <c r="AR22" s="339">
        <v>1</v>
      </c>
      <c r="AS22" s="339">
        <v>5</v>
      </c>
      <c r="AT22" s="104">
        <v>9</v>
      </c>
      <c r="AU22" s="104">
        <v>3</v>
      </c>
      <c r="AV22" s="107">
        <v>1.2788404103505406</v>
      </c>
      <c r="AW22" s="107">
        <v>3.0827046835040277</v>
      </c>
      <c r="AX22" s="107" t="s">
        <v>3151</v>
      </c>
      <c r="AY22" s="108">
        <v>1.1000000000000001</v>
      </c>
      <c r="AZ22" s="108">
        <v>1.1000000000000001</v>
      </c>
      <c r="BA22" s="108">
        <v>1.1000000000000001</v>
      </c>
      <c r="BB22" s="108">
        <v>1</v>
      </c>
      <c r="BC22" s="108">
        <v>1</v>
      </c>
      <c r="BD22" s="108">
        <v>1.2</v>
      </c>
    </row>
    <row r="23" spans="1:56" ht="24" customHeight="1">
      <c r="A23" s="330">
        <v>263621</v>
      </c>
      <c r="B23" s="331"/>
      <c r="C23" s="88"/>
      <c r="D23" s="340">
        <v>5</v>
      </c>
      <c r="E23" s="341" t="s">
        <v>98</v>
      </c>
      <c r="F23" s="432" t="s">
        <v>1603</v>
      </c>
      <c r="G23" s="433" t="s">
        <v>93</v>
      </c>
      <c r="H23" s="434" t="s">
        <v>98</v>
      </c>
      <c r="I23" s="434" t="s">
        <v>98</v>
      </c>
      <c r="J23" s="94">
        <v>1</v>
      </c>
      <c r="K23" s="433" t="s">
        <v>679</v>
      </c>
      <c r="L23" s="435">
        <v>0</v>
      </c>
      <c r="M23" s="95">
        <v>1</v>
      </c>
      <c r="N23" s="96">
        <v>3.0124052890931288</v>
      </c>
      <c r="O23" s="432" t="s">
        <v>3165</v>
      </c>
      <c r="P23" s="435">
        <v>54.347826086956502</v>
      </c>
      <c r="Q23" s="95">
        <v>1</v>
      </c>
      <c r="R23" s="96">
        <v>3.0124052890931288</v>
      </c>
      <c r="S23" s="432" t="s">
        <v>3165</v>
      </c>
      <c r="T23" s="435">
        <v>53.475935828876999</v>
      </c>
      <c r="U23" s="95">
        <v>1</v>
      </c>
      <c r="V23" s="96">
        <v>3.0124052890931288</v>
      </c>
      <c r="W23" s="432" t="s">
        <v>3165</v>
      </c>
      <c r="X23" s="435">
        <v>54.347826086956502</v>
      </c>
      <c r="Y23" s="95">
        <v>1</v>
      </c>
      <c r="Z23" s="96">
        <v>3.0124052890931288</v>
      </c>
      <c r="AA23" s="432" t="s">
        <v>3165</v>
      </c>
      <c r="AB23" s="435">
        <v>0</v>
      </c>
      <c r="AC23" s="95">
        <v>1</v>
      </c>
      <c r="AD23" s="96">
        <v>3.0124052890931288</v>
      </c>
      <c r="AE23" s="432" t="s">
        <v>3165</v>
      </c>
      <c r="AF23" s="435">
        <v>0</v>
      </c>
      <c r="AG23" s="95">
        <v>1</v>
      </c>
      <c r="AH23" s="96">
        <v>3.0124052890931288</v>
      </c>
      <c r="AI23" s="432" t="s">
        <v>3165</v>
      </c>
      <c r="AJ23" s="432"/>
      <c r="AL23" s="494">
        <v>4.4770909637727101</v>
      </c>
      <c r="AM23" s="77" t="s">
        <v>2017</v>
      </c>
      <c r="AN23" s="339">
        <v>3</v>
      </c>
      <c r="AO23" s="339">
        <v>1</v>
      </c>
      <c r="AP23" s="339">
        <v>1</v>
      </c>
      <c r="AQ23" s="339">
        <v>1</v>
      </c>
      <c r="AR23" s="339">
        <v>1</v>
      </c>
      <c r="AS23" s="339" t="s">
        <v>106</v>
      </c>
      <c r="AT23" s="104">
        <v>9</v>
      </c>
      <c r="AU23" s="104">
        <v>3</v>
      </c>
      <c r="AV23" s="107">
        <v>1.1000000000000001</v>
      </c>
      <c r="AW23" s="107">
        <v>3.0124052890931288</v>
      </c>
      <c r="AX23" s="107" t="s">
        <v>3155</v>
      </c>
      <c r="AY23" s="108">
        <v>1.1000000000000001</v>
      </c>
      <c r="AZ23" s="108">
        <v>1</v>
      </c>
      <c r="BA23" s="108">
        <v>1</v>
      </c>
      <c r="BB23" s="108">
        <v>1</v>
      </c>
      <c r="BC23" s="108">
        <v>1</v>
      </c>
      <c r="BD23" s="108">
        <v>1</v>
      </c>
    </row>
    <row r="24" spans="1:56" ht="24" customHeight="1">
      <c r="A24" s="330">
        <v>263667</v>
      </c>
      <c r="B24" s="331"/>
      <c r="C24" s="88"/>
      <c r="D24" s="340">
        <v>5</v>
      </c>
      <c r="E24" s="341" t="s">
        <v>98</v>
      </c>
      <c r="F24" s="432" t="s">
        <v>1604</v>
      </c>
      <c r="G24" s="433" t="s">
        <v>93</v>
      </c>
      <c r="H24" s="434" t="s">
        <v>98</v>
      </c>
      <c r="I24" s="434" t="s">
        <v>98</v>
      </c>
      <c r="J24" s="94">
        <v>1</v>
      </c>
      <c r="K24" s="433" t="s">
        <v>679</v>
      </c>
      <c r="L24" s="435">
        <v>54.347826086956502</v>
      </c>
      <c r="M24" s="95">
        <v>1</v>
      </c>
      <c r="N24" s="96">
        <v>3.0124052890931288</v>
      </c>
      <c r="O24" s="432" t="s">
        <v>3165</v>
      </c>
      <c r="P24" s="435">
        <v>0</v>
      </c>
      <c r="Q24" s="95">
        <v>1</v>
      </c>
      <c r="R24" s="96">
        <v>3.0124052890931288</v>
      </c>
      <c r="S24" s="432" t="s">
        <v>3165</v>
      </c>
      <c r="T24" s="435">
        <v>0</v>
      </c>
      <c r="U24" s="95">
        <v>1</v>
      </c>
      <c r="V24" s="96">
        <v>3.0124052890931288</v>
      </c>
      <c r="W24" s="432" t="s">
        <v>3165</v>
      </c>
      <c r="X24" s="435">
        <v>0</v>
      </c>
      <c r="Y24" s="95">
        <v>1</v>
      </c>
      <c r="Z24" s="96">
        <v>3.0124052890931288</v>
      </c>
      <c r="AA24" s="432" t="s">
        <v>3165</v>
      </c>
      <c r="AB24" s="435">
        <v>0</v>
      </c>
      <c r="AC24" s="95">
        <v>1</v>
      </c>
      <c r="AD24" s="96">
        <v>3.0124052890931288</v>
      </c>
      <c r="AE24" s="432" t="s">
        <v>3165</v>
      </c>
      <c r="AF24" s="435">
        <v>0</v>
      </c>
      <c r="AG24" s="95">
        <v>1</v>
      </c>
      <c r="AH24" s="96">
        <v>3.0124052890931288</v>
      </c>
      <c r="AI24" s="432" t="s">
        <v>3165</v>
      </c>
      <c r="AJ24" s="432"/>
      <c r="AL24" s="494">
        <v>3.8594927779981698</v>
      </c>
      <c r="AM24" s="77" t="s">
        <v>2017</v>
      </c>
      <c r="AN24" s="339">
        <v>3</v>
      </c>
      <c r="AO24" s="339">
        <v>1</v>
      </c>
      <c r="AP24" s="339">
        <v>1</v>
      </c>
      <c r="AQ24" s="339">
        <v>1</v>
      </c>
      <c r="AR24" s="339">
        <v>1</v>
      </c>
      <c r="AS24" s="339" t="s">
        <v>106</v>
      </c>
      <c r="AT24" s="104">
        <v>9</v>
      </c>
      <c r="AU24" s="104">
        <v>3</v>
      </c>
      <c r="AV24" s="107">
        <v>1.1000000000000001</v>
      </c>
      <c r="AW24" s="107">
        <v>3.0124052890931288</v>
      </c>
      <c r="AX24" s="107" t="s">
        <v>3155</v>
      </c>
      <c r="AY24" s="108">
        <v>1.1000000000000001</v>
      </c>
      <c r="AZ24" s="108">
        <v>1</v>
      </c>
      <c r="BA24" s="108">
        <v>1</v>
      </c>
      <c r="BB24" s="108">
        <v>1</v>
      </c>
      <c r="BC24" s="108">
        <v>1</v>
      </c>
      <c r="BD24" s="108">
        <v>1</v>
      </c>
    </row>
    <row r="25" spans="1:56" ht="24" customHeight="1">
      <c r="A25" s="330">
        <v>262479</v>
      </c>
      <c r="B25" s="331"/>
      <c r="C25" s="88"/>
      <c r="D25" s="541">
        <v>5</v>
      </c>
      <c r="E25" s="341" t="s">
        <v>98</v>
      </c>
      <c r="F25" s="432" t="s">
        <v>1602</v>
      </c>
      <c r="G25" s="433" t="s">
        <v>93</v>
      </c>
      <c r="H25" s="457" t="s">
        <v>98</v>
      </c>
      <c r="I25" s="457" t="s">
        <v>98</v>
      </c>
      <c r="J25" s="95">
        <v>1</v>
      </c>
      <c r="K25" s="433" t="s">
        <v>679</v>
      </c>
      <c r="L25" s="435">
        <v>0</v>
      </c>
      <c r="M25" s="95">
        <v>1</v>
      </c>
      <c r="N25" s="96">
        <v>3.0124052890931288</v>
      </c>
      <c r="O25" s="432" t="s">
        <v>3165</v>
      </c>
      <c r="P25" s="435">
        <v>0</v>
      </c>
      <c r="Q25" s="95">
        <v>1</v>
      </c>
      <c r="R25" s="96">
        <v>3.0124052890931288</v>
      </c>
      <c r="S25" s="432" t="s">
        <v>3165</v>
      </c>
      <c r="T25" s="435">
        <v>0</v>
      </c>
      <c r="U25" s="95">
        <v>1</v>
      </c>
      <c r="V25" s="96">
        <v>3.0124052890931288</v>
      </c>
      <c r="W25" s="432" t="s">
        <v>3165</v>
      </c>
      <c r="X25" s="435">
        <v>0</v>
      </c>
      <c r="Y25" s="95">
        <v>1</v>
      </c>
      <c r="Z25" s="96">
        <v>3.0124052890931288</v>
      </c>
      <c r="AA25" s="432" t="s">
        <v>3165</v>
      </c>
      <c r="AB25" s="435">
        <v>1358.69565217391</v>
      </c>
      <c r="AC25" s="95">
        <v>1</v>
      </c>
      <c r="AD25" s="96">
        <v>3.0124052890931288</v>
      </c>
      <c r="AE25" s="432" t="s">
        <v>3165</v>
      </c>
      <c r="AF25" s="435">
        <v>0</v>
      </c>
      <c r="AG25" s="95">
        <v>1</v>
      </c>
      <c r="AH25" s="96">
        <v>3.0124052890931288</v>
      </c>
      <c r="AI25" s="432" t="s">
        <v>3165</v>
      </c>
      <c r="AJ25" s="432"/>
      <c r="AL25" s="494">
        <v>4.7346514698728202</v>
      </c>
      <c r="AM25" s="77" t="s">
        <v>2017</v>
      </c>
      <c r="AN25" s="339">
        <v>3</v>
      </c>
      <c r="AO25" s="339">
        <v>1</v>
      </c>
      <c r="AP25" s="339">
        <v>1</v>
      </c>
      <c r="AQ25" s="339">
        <v>1</v>
      </c>
      <c r="AR25" s="339">
        <v>1</v>
      </c>
      <c r="AS25" s="339" t="s">
        <v>106</v>
      </c>
      <c r="AT25" s="104">
        <v>9</v>
      </c>
      <c r="AU25" s="104">
        <v>3</v>
      </c>
      <c r="AV25" s="107">
        <v>1.1000000000000001</v>
      </c>
      <c r="AW25" s="107">
        <v>3.0124052890931288</v>
      </c>
      <c r="AX25" s="107" t="s">
        <v>3155</v>
      </c>
      <c r="AY25" s="108">
        <v>1.1000000000000001</v>
      </c>
      <c r="AZ25" s="108">
        <v>1</v>
      </c>
      <c r="BA25" s="108">
        <v>1</v>
      </c>
      <c r="BB25" s="108">
        <v>1</v>
      </c>
      <c r="BC25" s="108">
        <v>1</v>
      </c>
      <c r="BD25" s="108">
        <v>1</v>
      </c>
    </row>
    <row r="26" spans="1:56" ht="24" customHeight="1">
      <c r="A26" s="330" t="s">
        <v>1645</v>
      </c>
      <c r="B26" s="331"/>
      <c r="C26" s="88"/>
      <c r="D26" s="340">
        <v>5</v>
      </c>
      <c r="E26" s="341" t="s">
        <v>98</v>
      </c>
      <c r="F26" s="432" t="s">
        <v>1643</v>
      </c>
      <c r="G26" s="433" t="s">
        <v>93</v>
      </c>
      <c r="H26" s="434" t="s">
        <v>98</v>
      </c>
      <c r="I26" s="434" t="s">
        <v>98</v>
      </c>
      <c r="J26" s="94">
        <v>1</v>
      </c>
      <c r="K26" s="433" t="s">
        <v>679</v>
      </c>
      <c r="L26" s="435">
        <v>0</v>
      </c>
      <c r="M26" s="95">
        <v>1</v>
      </c>
      <c r="N26" s="96">
        <v>3.0124052890931288</v>
      </c>
      <c r="O26" s="432" t="s">
        <v>3154</v>
      </c>
      <c r="P26" s="435">
        <v>0</v>
      </c>
      <c r="Q26" s="95">
        <v>1</v>
      </c>
      <c r="R26" s="96">
        <v>3.0124052890931288</v>
      </c>
      <c r="S26" s="432" t="s">
        <v>3154</v>
      </c>
      <c r="T26" s="435">
        <v>0</v>
      </c>
      <c r="U26" s="95">
        <v>1</v>
      </c>
      <c r="V26" s="96">
        <v>3.0124052890931288</v>
      </c>
      <c r="W26" s="432" t="s">
        <v>3154</v>
      </c>
      <c r="X26" s="435">
        <v>0</v>
      </c>
      <c r="Y26" s="95">
        <v>1</v>
      </c>
      <c r="Z26" s="96">
        <v>3.0124052890931288</v>
      </c>
      <c r="AA26" s="432" t="s">
        <v>3154</v>
      </c>
      <c r="AB26" s="435">
        <v>0</v>
      </c>
      <c r="AC26" s="95">
        <v>1</v>
      </c>
      <c r="AD26" s="96">
        <v>3.0124052890931288</v>
      </c>
      <c r="AE26" s="432" t="s">
        <v>3154</v>
      </c>
      <c r="AF26" s="435">
        <v>54347.826086956498</v>
      </c>
      <c r="AG26" s="95">
        <v>1</v>
      </c>
      <c r="AH26" s="96">
        <v>3.0124052890931288</v>
      </c>
      <c r="AI26" s="432" t="s">
        <v>3154</v>
      </c>
      <c r="AJ26" s="432"/>
      <c r="AK26" s="494"/>
      <c r="AL26" s="494">
        <v>9.7300564852869407</v>
      </c>
      <c r="AM26" s="77" t="s">
        <v>1861</v>
      </c>
      <c r="AN26" s="339">
        <v>3</v>
      </c>
      <c r="AO26" s="339">
        <v>1</v>
      </c>
      <c r="AP26" s="339">
        <v>1</v>
      </c>
      <c r="AQ26" s="339">
        <v>1</v>
      </c>
      <c r="AR26" s="339">
        <v>1</v>
      </c>
      <c r="AS26" s="339" t="s">
        <v>106</v>
      </c>
      <c r="AT26" s="104">
        <v>9</v>
      </c>
      <c r="AU26" s="104">
        <v>3</v>
      </c>
      <c r="AV26" s="107">
        <v>1.1000000000000001</v>
      </c>
      <c r="AW26" s="107">
        <v>3.0124052890931288</v>
      </c>
      <c r="AX26" s="107" t="s">
        <v>3155</v>
      </c>
      <c r="AY26" s="108">
        <v>1.1000000000000001</v>
      </c>
      <c r="AZ26" s="108">
        <v>1</v>
      </c>
      <c r="BA26" s="108">
        <v>1</v>
      </c>
      <c r="BB26" s="108">
        <v>1</v>
      </c>
      <c r="BC26" s="108">
        <v>1</v>
      </c>
      <c r="BD26" s="108">
        <v>1</v>
      </c>
    </row>
    <row r="27" spans="1:56" ht="24" customHeight="1">
      <c r="A27" s="330">
        <v>258623</v>
      </c>
      <c r="B27" s="331"/>
      <c r="C27" s="88"/>
      <c r="D27" s="340">
        <v>5</v>
      </c>
      <c r="E27" s="341" t="s">
        <v>98</v>
      </c>
      <c r="F27" s="432" t="s">
        <v>1430</v>
      </c>
      <c r="G27" s="433" t="s">
        <v>93</v>
      </c>
      <c r="H27" s="434" t="s">
        <v>98</v>
      </c>
      <c r="I27" s="434" t="s">
        <v>98</v>
      </c>
      <c r="J27" s="94">
        <v>1</v>
      </c>
      <c r="K27" s="433" t="s">
        <v>679</v>
      </c>
      <c r="L27" s="435">
        <v>55.978260869565197</v>
      </c>
      <c r="M27" s="95">
        <v>1</v>
      </c>
      <c r="N27" s="96">
        <v>3.0827046835040277</v>
      </c>
      <c r="O27" s="432" t="s">
        <v>3156</v>
      </c>
      <c r="P27" s="435">
        <v>55.978260869565197</v>
      </c>
      <c r="Q27" s="95">
        <v>1</v>
      </c>
      <c r="R27" s="96">
        <v>3.0827046835040277</v>
      </c>
      <c r="S27" s="432" t="s">
        <v>3156</v>
      </c>
      <c r="T27" s="435">
        <v>0</v>
      </c>
      <c r="U27" s="95">
        <v>1</v>
      </c>
      <c r="V27" s="96">
        <v>3.0827046835040277</v>
      </c>
      <c r="W27" s="432" t="s">
        <v>3156</v>
      </c>
      <c r="X27" s="435">
        <v>55.978260869565197</v>
      </c>
      <c r="Y27" s="95">
        <v>1</v>
      </c>
      <c r="Z27" s="96">
        <v>3.0827046835040277</v>
      </c>
      <c r="AA27" s="432" t="s">
        <v>3156</v>
      </c>
      <c r="AB27" s="435">
        <v>1399.45652173913</v>
      </c>
      <c r="AC27" s="95">
        <v>1</v>
      </c>
      <c r="AD27" s="96">
        <v>3.0827046835040277</v>
      </c>
      <c r="AE27" s="432" t="s">
        <v>3156</v>
      </c>
      <c r="AF27" s="435">
        <v>55978.260869565202</v>
      </c>
      <c r="AG27" s="95">
        <v>1</v>
      </c>
      <c r="AH27" s="96">
        <v>3.0827046835040277</v>
      </c>
      <c r="AI27" s="432" t="s">
        <v>3156</v>
      </c>
      <c r="AJ27" s="432"/>
      <c r="AL27" s="494">
        <v>12.8939545502814</v>
      </c>
      <c r="AM27" s="77" t="s">
        <v>1862</v>
      </c>
      <c r="AN27" s="339">
        <v>3</v>
      </c>
      <c r="AO27" s="339">
        <v>4</v>
      </c>
      <c r="AP27" s="339">
        <v>3</v>
      </c>
      <c r="AQ27" s="339">
        <v>1</v>
      </c>
      <c r="AR27" s="339">
        <v>1</v>
      </c>
      <c r="AS27" s="339">
        <v>5</v>
      </c>
      <c r="AT27" s="104">
        <v>9</v>
      </c>
      <c r="AU27" s="104">
        <v>3</v>
      </c>
      <c r="AV27" s="107">
        <v>1.2788404103505406</v>
      </c>
      <c r="AW27" s="107">
        <v>3.0827046835040277</v>
      </c>
      <c r="AX27" s="107" t="s">
        <v>3151</v>
      </c>
      <c r="AY27" s="108">
        <v>1.1000000000000001</v>
      </c>
      <c r="AZ27" s="108">
        <v>1.1000000000000001</v>
      </c>
      <c r="BA27" s="108">
        <v>1.1000000000000001</v>
      </c>
      <c r="BB27" s="108">
        <v>1</v>
      </c>
      <c r="BC27" s="108">
        <v>1</v>
      </c>
      <c r="BD27" s="108">
        <v>1.2</v>
      </c>
    </row>
    <row r="28" spans="1:56" ht="24" customHeight="1">
      <c r="A28" s="330" t="s">
        <v>1414</v>
      </c>
      <c r="B28" s="331"/>
      <c r="C28" s="88"/>
      <c r="D28" s="340">
        <v>5</v>
      </c>
      <c r="E28" s="341" t="s">
        <v>98</v>
      </c>
      <c r="F28" s="432" t="s">
        <v>1412</v>
      </c>
      <c r="G28" s="433" t="s">
        <v>215</v>
      </c>
      <c r="H28" s="434" t="s">
        <v>98</v>
      </c>
      <c r="I28" s="434" t="s">
        <v>98</v>
      </c>
      <c r="J28" s="94">
        <v>1</v>
      </c>
      <c r="K28" s="433" t="s">
        <v>679</v>
      </c>
      <c r="L28" s="435">
        <v>0</v>
      </c>
      <c r="M28" s="95">
        <v>1</v>
      </c>
      <c r="N28" s="96">
        <v>3.0827046835040277</v>
      </c>
      <c r="O28" s="432" t="s">
        <v>3156</v>
      </c>
      <c r="P28" s="435">
        <v>0</v>
      </c>
      <c r="Q28" s="95">
        <v>1</v>
      </c>
      <c r="R28" s="96">
        <v>3.0827046835040277</v>
      </c>
      <c r="S28" s="432" t="s">
        <v>3156</v>
      </c>
      <c r="T28" s="435">
        <v>55.080213903743299</v>
      </c>
      <c r="U28" s="95">
        <v>1</v>
      </c>
      <c r="V28" s="96">
        <v>3.0827046835040277</v>
      </c>
      <c r="W28" s="432" t="s">
        <v>3156</v>
      </c>
      <c r="X28" s="435">
        <v>0</v>
      </c>
      <c r="Y28" s="95">
        <v>1</v>
      </c>
      <c r="Z28" s="96">
        <v>3.0827046835040277</v>
      </c>
      <c r="AA28" s="432" t="s">
        <v>3156</v>
      </c>
      <c r="AB28" s="435">
        <v>0</v>
      </c>
      <c r="AC28" s="95">
        <v>1</v>
      </c>
      <c r="AD28" s="96">
        <v>3.0827046835040277</v>
      </c>
      <c r="AE28" s="432" t="s">
        <v>3156</v>
      </c>
      <c r="AF28" s="435">
        <v>0</v>
      </c>
      <c r="AG28" s="95">
        <v>1</v>
      </c>
      <c r="AH28" s="96">
        <v>3.0827046835040277</v>
      </c>
      <c r="AI28" s="432" t="s">
        <v>3156</v>
      </c>
      <c r="AJ28" s="432"/>
      <c r="AL28" s="494">
        <v>12.5373137481011</v>
      </c>
      <c r="AM28" s="77" t="s">
        <v>1862</v>
      </c>
      <c r="AN28" s="339">
        <v>3</v>
      </c>
      <c r="AO28" s="339">
        <v>4</v>
      </c>
      <c r="AP28" s="339">
        <v>3</v>
      </c>
      <c r="AQ28" s="339">
        <v>1</v>
      </c>
      <c r="AR28" s="339">
        <v>1</v>
      </c>
      <c r="AS28" s="339">
        <v>5</v>
      </c>
      <c r="AT28" s="104">
        <v>9</v>
      </c>
      <c r="AU28" s="104">
        <v>3</v>
      </c>
      <c r="AV28" s="107">
        <v>1.2788404103505406</v>
      </c>
      <c r="AW28" s="107">
        <v>3.0827046835040277</v>
      </c>
      <c r="AX28" s="107" t="s">
        <v>3151</v>
      </c>
      <c r="AY28" s="108">
        <v>1.1000000000000001</v>
      </c>
      <c r="AZ28" s="108">
        <v>1.1000000000000001</v>
      </c>
      <c r="BA28" s="108">
        <v>1.1000000000000001</v>
      </c>
      <c r="BB28" s="108">
        <v>1</v>
      </c>
      <c r="BC28" s="108">
        <v>1</v>
      </c>
      <c r="BD28" s="108">
        <v>1.2</v>
      </c>
    </row>
    <row r="29" spans="1:56">
      <c r="A29" s="330">
        <v>257244</v>
      </c>
      <c r="B29" s="331"/>
      <c r="C29" s="88"/>
      <c r="D29" s="340">
        <v>5</v>
      </c>
      <c r="E29" s="341" t="s">
        <v>98</v>
      </c>
      <c r="F29" s="432" t="s">
        <v>1594</v>
      </c>
      <c r="G29" s="433" t="s">
        <v>340</v>
      </c>
      <c r="H29" s="434" t="s">
        <v>98</v>
      </c>
      <c r="I29" s="434" t="s">
        <v>98</v>
      </c>
      <c r="J29" s="94">
        <v>0</v>
      </c>
      <c r="K29" s="433" t="s">
        <v>96</v>
      </c>
      <c r="L29" s="435">
        <v>721.78115145596939</v>
      </c>
      <c r="M29" s="95">
        <v>1</v>
      </c>
      <c r="N29" s="96">
        <v>1.2849840792941758</v>
      </c>
      <c r="O29" s="432" t="s">
        <v>3157</v>
      </c>
      <c r="P29" s="435">
        <v>721.78115145596939</v>
      </c>
      <c r="Q29" s="95">
        <v>1</v>
      </c>
      <c r="R29" s="96">
        <v>1.2849840792941758</v>
      </c>
      <c r="S29" s="432" t="s">
        <v>3157</v>
      </c>
      <c r="T29" s="435">
        <v>690.55792302375028</v>
      </c>
      <c r="U29" s="95">
        <v>1</v>
      </c>
      <c r="V29" s="96">
        <v>1.2849840792941758</v>
      </c>
      <c r="W29" s="432" t="s">
        <v>3157</v>
      </c>
      <c r="X29" s="435">
        <v>721.78115145596939</v>
      </c>
      <c r="Y29" s="95">
        <v>1</v>
      </c>
      <c r="Z29" s="96">
        <v>1.2849840792941758</v>
      </c>
      <c r="AA29" s="432" t="s">
        <v>3157</v>
      </c>
      <c r="AB29" s="435">
        <v>18044.528786399238</v>
      </c>
      <c r="AC29" s="95">
        <v>1</v>
      </c>
      <c r="AD29" s="96">
        <v>1.2849840792941758</v>
      </c>
      <c r="AE29" s="432" t="s">
        <v>3157</v>
      </c>
      <c r="AF29" s="435">
        <v>721781.15145596943</v>
      </c>
      <c r="AG29" s="95">
        <v>1</v>
      </c>
      <c r="AH29" s="96">
        <v>1.2849840792941758</v>
      </c>
      <c r="AI29" s="432" t="s">
        <v>3157</v>
      </c>
      <c r="AJ29" s="432"/>
      <c r="AK29" s="494"/>
      <c r="AL29" s="494"/>
      <c r="AM29" s="77" t="s">
        <v>1863</v>
      </c>
      <c r="AN29" s="339">
        <v>3</v>
      </c>
      <c r="AO29" s="339">
        <v>4</v>
      </c>
      <c r="AP29" s="339">
        <v>3</v>
      </c>
      <c r="AQ29" s="339">
        <v>1</v>
      </c>
      <c r="AR29" s="339">
        <v>1</v>
      </c>
      <c r="AS29" s="339">
        <v>5</v>
      </c>
      <c r="AT29" s="104">
        <v>6</v>
      </c>
      <c r="AU29" s="104">
        <v>1.05</v>
      </c>
      <c r="AV29" s="107">
        <v>1.2788404103505406</v>
      </c>
      <c r="AW29" s="107">
        <v>1.2849840792941758</v>
      </c>
      <c r="AX29" s="107" t="s">
        <v>3151</v>
      </c>
      <c r="AY29" s="108">
        <v>1.1000000000000001</v>
      </c>
      <c r="AZ29" s="108">
        <v>1.1000000000000001</v>
      </c>
      <c r="BA29" s="108">
        <v>1.1000000000000001</v>
      </c>
      <c r="BB29" s="108">
        <v>1</v>
      </c>
      <c r="BC29" s="108">
        <v>1</v>
      </c>
      <c r="BD29" s="108">
        <v>1.2</v>
      </c>
    </row>
    <row r="30" spans="1:56" ht="24" customHeight="1">
      <c r="A30" s="330">
        <v>266207</v>
      </c>
      <c r="B30" s="331"/>
      <c r="C30" s="88"/>
      <c r="D30" s="340">
        <v>5</v>
      </c>
      <c r="E30" s="341" t="s">
        <v>98</v>
      </c>
      <c r="F30" s="432" t="s">
        <v>1864</v>
      </c>
      <c r="G30" s="433" t="s">
        <v>93</v>
      </c>
      <c r="H30" s="434" t="s">
        <v>98</v>
      </c>
      <c r="I30" s="434" t="s">
        <v>98</v>
      </c>
      <c r="J30" s="94">
        <v>0</v>
      </c>
      <c r="K30" s="433" t="s">
        <v>115</v>
      </c>
      <c r="L30" s="435">
        <v>100.54856492159807</v>
      </c>
      <c r="M30" s="95">
        <v>1</v>
      </c>
      <c r="N30" s="96">
        <v>2.0865051432908035</v>
      </c>
      <c r="O30" s="432" t="s">
        <v>3158</v>
      </c>
      <c r="P30" s="435">
        <v>103.90507680080751</v>
      </c>
      <c r="Q30" s="95">
        <v>1</v>
      </c>
      <c r="R30" s="96">
        <v>2.0865051432908035</v>
      </c>
      <c r="S30" s="432" t="s">
        <v>3158</v>
      </c>
      <c r="T30" s="435">
        <v>100.39240075800069</v>
      </c>
      <c r="U30" s="95">
        <v>1</v>
      </c>
      <c r="V30" s="96">
        <v>2.0865051432908035</v>
      </c>
      <c r="W30" s="432" t="s">
        <v>3158</v>
      </c>
      <c r="X30" s="435">
        <v>103.90507680080751</v>
      </c>
      <c r="Y30" s="95">
        <v>1</v>
      </c>
      <c r="Z30" s="96">
        <v>2.0865051432908035</v>
      </c>
      <c r="AA30" s="432" t="s">
        <v>3158</v>
      </c>
      <c r="AB30" s="435">
        <v>2447.747915307425</v>
      </c>
      <c r="AC30" s="95">
        <v>1</v>
      </c>
      <c r="AD30" s="96">
        <v>2.0865051432908035</v>
      </c>
      <c r="AE30" s="432" t="s">
        <v>3158</v>
      </c>
      <c r="AF30" s="435">
        <v>139024.55787907302</v>
      </c>
      <c r="AG30" s="95">
        <v>1</v>
      </c>
      <c r="AH30" s="96">
        <v>2.0865051432908035</v>
      </c>
      <c r="AI30" s="432" t="s">
        <v>3158</v>
      </c>
      <c r="AJ30" s="432"/>
      <c r="AM30" s="77" t="s">
        <v>1865</v>
      </c>
      <c r="AN30" s="339">
        <v>3</v>
      </c>
      <c r="AO30" s="339">
        <v>4</v>
      </c>
      <c r="AP30" s="339">
        <v>3</v>
      </c>
      <c r="AQ30" s="339">
        <v>1</v>
      </c>
      <c r="AR30" s="339">
        <v>1</v>
      </c>
      <c r="AS30" s="339">
        <v>5</v>
      </c>
      <c r="AT30" s="104">
        <v>5</v>
      </c>
      <c r="AU30" s="104">
        <v>2</v>
      </c>
      <c r="AV30" s="107">
        <v>1.2788404103505406</v>
      </c>
      <c r="AW30" s="107">
        <v>2.0865051432908035</v>
      </c>
      <c r="AX30" s="107" t="s">
        <v>3151</v>
      </c>
      <c r="AY30" s="108">
        <v>1.1000000000000001</v>
      </c>
      <c r="AZ30" s="108">
        <v>1.1000000000000001</v>
      </c>
      <c r="BA30" s="108">
        <v>1.1000000000000001</v>
      </c>
      <c r="BB30" s="108">
        <v>1</v>
      </c>
      <c r="BC30" s="108">
        <v>1</v>
      </c>
      <c r="BD30" s="108">
        <v>1.2</v>
      </c>
    </row>
    <row r="31" spans="1:56" ht="24" customHeight="1">
      <c r="A31" s="330">
        <v>269641</v>
      </c>
      <c r="B31" s="331"/>
      <c r="C31" s="88"/>
      <c r="D31" s="340">
        <v>5</v>
      </c>
      <c r="E31" s="341" t="s">
        <v>98</v>
      </c>
      <c r="F31" s="432" t="s">
        <v>240</v>
      </c>
      <c r="G31" s="433" t="s">
        <v>93</v>
      </c>
      <c r="H31" s="434" t="s">
        <v>98</v>
      </c>
      <c r="I31" s="434" t="s">
        <v>98</v>
      </c>
      <c r="J31" s="94">
        <v>0</v>
      </c>
      <c r="K31" s="433" t="s">
        <v>115</v>
      </c>
      <c r="L31" s="435">
        <v>0</v>
      </c>
      <c r="M31" s="95">
        <v>1</v>
      </c>
      <c r="N31" s="96">
        <v>2.0865051432908035</v>
      </c>
      <c r="O31" s="432" t="s">
        <v>3166</v>
      </c>
      <c r="P31" s="435">
        <v>0</v>
      </c>
      <c r="Q31" s="95">
        <v>1</v>
      </c>
      <c r="R31" s="96">
        <v>2.0865051432908035</v>
      </c>
      <c r="S31" s="432" t="s">
        <v>3166</v>
      </c>
      <c r="T31" s="435">
        <v>345.27896151187514</v>
      </c>
      <c r="U31" s="95">
        <v>1</v>
      </c>
      <c r="V31" s="96">
        <v>2.0865051432908035</v>
      </c>
      <c r="W31" s="432" t="s">
        <v>3166</v>
      </c>
      <c r="X31" s="435">
        <v>0</v>
      </c>
      <c r="Y31" s="95">
        <v>1</v>
      </c>
      <c r="Z31" s="96">
        <v>2.0865051432908035</v>
      </c>
      <c r="AA31" s="432" t="s">
        <v>3166</v>
      </c>
      <c r="AB31" s="435">
        <v>0</v>
      </c>
      <c r="AC31" s="95">
        <v>1</v>
      </c>
      <c r="AD31" s="96">
        <v>2.0865051432908035</v>
      </c>
      <c r="AE31" s="432" t="s">
        <v>3166</v>
      </c>
      <c r="AF31" s="435">
        <v>0</v>
      </c>
      <c r="AG31" s="95">
        <v>1</v>
      </c>
      <c r="AH31" s="96">
        <v>2.0865051432908035</v>
      </c>
      <c r="AI31" s="432" t="s">
        <v>3166</v>
      </c>
      <c r="AJ31" s="432"/>
      <c r="AM31" s="77" t="s">
        <v>2018</v>
      </c>
      <c r="AN31" s="339">
        <v>3</v>
      </c>
      <c r="AO31" s="339">
        <v>4</v>
      </c>
      <c r="AP31" s="339">
        <v>3</v>
      </c>
      <c r="AQ31" s="339">
        <v>1</v>
      </c>
      <c r="AR31" s="339">
        <v>1</v>
      </c>
      <c r="AS31" s="339">
        <v>5</v>
      </c>
      <c r="AT31" s="104">
        <v>5</v>
      </c>
      <c r="AU31" s="104">
        <v>2</v>
      </c>
      <c r="AV31" s="107">
        <v>1.2788404103505406</v>
      </c>
      <c r="AW31" s="107">
        <v>2.0865051432908035</v>
      </c>
      <c r="AX31" s="107" t="s">
        <v>3151</v>
      </c>
      <c r="AY31" s="108">
        <v>1.1000000000000001</v>
      </c>
      <c r="AZ31" s="108">
        <v>1.1000000000000001</v>
      </c>
      <c r="BA31" s="108">
        <v>1.1000000000000001</v>
      </c>
      <c r="BB31" s="108">
        <v>1</v>
      </c>
      <c r="BC31" s="108">
        <v>1</v>
      </c>
      <c r="BD31" s="108">
        <v>1.2</v>
      </c>
    </row>
    <row r="32" spans="1:56" ht="24" customHeight="1">
      <c r="A32" s="330">
        <v>269599</v>
      </c>
      <c r="B32" s="331"/>
      <c r="C32" s="88"/>
      <c r="D32" s="340">
        <v>5</v>
      </c>
      <c r="E32" s="341" t="s">
        <v>98</v>
      </c>
      <c r="F32" s="432" t="s">
        <v>244</v>
      </c>
      <c r="G32" s="433" t="s">
        <v>245</v>
      </c>
      <c r="H32" s="434" t="s">
        <v>98</v>
      </c>
      <c r="I32" s="434" t="s">
        <v>98</v>
      </c>
      <c r="J32" s="94">
        <v>0</v>
      </c>
      <c r="K32" s="433" t="s">
        <v>115</v>
      </c>
      <c r="L32" s="435">
        <v>0</v>
      </c>
      <c r="M32" s="95">
        <v>1</v>
      </c>
      <c r="N32" s="96">
        <v>2.0865051432908035</v>
      </c>
      <c r="O32" s="432" t="s">
        <v>3167</v>
      </c>
      <c r="P32" s="435">
        <v>0</v>
      </c>
      <c r="Q32" s="95">
        <v>1</v>
      </c>
      <c r="R32" s="96">
        <v>2.0865051432908035</v>
      </c>
      <c r="S32" s="432" t="s">
        <v>3167</v>
      </c>
      <c r="T32" s="435">
        <v>1381.1158460475006</v>
      </c>
      <c r="U32" s="95">
        <v>1</v>
      </c>
      <c r="V32" s="96">
        <v>2.0865051432908035</v>
      </c>
      <c r="W32" s="432" t="s">
        <v>3167</v>
      </c>
      <c r="X32" s="435">
        <v>0</v>
      </c>
      <c r="Y32" s="95">
        <v>1</v>
      </c>
      <c r="Z32" s="96">
        <v>2.0865051432908035</v>
      </c>
      <c r="AA32" s="432" t="s">
        <v>3167</v>
      </c>
      <c r="AB32" s="435">
        <v>0</v>
      </c>
      <c r="AC32" s="95">
        <v>1</v>
      </c>
      <c r="AD32" s="96">
        <v>2.0865051432908035</v>
      </c>
      <c r="AE32" s="432" t="s">
        <v>3167</v>
      </c>
      <c r="AF32" s="435">
        <v>0</v>
      </c>
      <c r="AG32" s="95">
        <v>1</v>
      </c>
      <c r="AH32" s="96">
        <v>2.0865051432908035</v>
      </c>
      <c r="AI32" s="432" t="s">
        <v>3167</v>
      </c>
      <c r="AJ32" s="432"/>
      <c r="AM32" s="77" t="s">
        <v>2019</v>
      </c>
      <c r="AN32" s="339">
        <v>3</v>
      </c>
      <c r="AO32" s="339">
        <v>4</v>
      </c>
      <c r="AP32" s="339">
        <v>3</v>
      </c>
      <c r="AQ32" s="339">
        <v>1</v>
      </c>
      <c r="AR32" s="339">
        <v>1</v>
      </c>
      <c r="AS32" s="339">
        <v>5</v>
      </c>
      <c r="AT32" s="104">
        <v>5</v>
      </c>
      <c r="AU32" s="104">
        <v>2</v>
      </c>
      <c r="AV32" s="107">
        <v>1.2788404103505406</v>
      </c>
      <c r="AW32" s="107">
        <v>2.0865051432908035</v>
      </c>
      <c r="AX32" s="107" t="s">
        <v>3151</v>
      </c>
      <c r="AY32" s="108">
        <v>1.1000000000000001</v>
      </c>
      <c r="AZ32" s="108">
        <v>1.1000000000000001</v>
      </c>
      <c r="BA32" s="108">
        <v>1.1000000000000001</v>
      </c>
      <c r="BB32" s="108">
        <v>1</v>
      </c>
      <c r="BC32" s="108">
        <v>1</v>
      </c>
      <c r="BD32" s="108">
        <v>1.2</v>
      </c>
    </row>
    <row r="33" spans="1:56">
      <c r="A33" s="330">
        <v>21844</v>
      </c>
      <c r="B33" s="331" t="s">
        <v>594</v>
      </c>
      <c r="C33" s="88"/>
      <c r="D33" s="340" t="s">
        <v>98</v>
      </c>
      <c r="E33" s="341">
        <v>4</v>
      </c>
      <c r="F33" s="432" t="s">
        <v>121</v>
      </c>
      <c r="G33" s="433" t="s">
        <v>98</v>
      </c>
      <c r="H33" s="434" t="s">
        <v>247</v>
      </c>
      <c r="I33" s="434" t="s">
        <v>258</v>
      </c>
      <c r="J33" s="94" t="s">
        <v>98</v>
      </c>
      <c r="K33" s="433" t="s">
        <v>104</v>
      </c>
      <c r="L33" s="435">
        <v>2.7600000000000002</v>
      </c>
      <c r="M33" s="95">
        <v>1</v>
      </c>
      <c r="N33" s="96">
        <v>1.2849840792941758</v>
      </c>
      <c r="O33" s="432" t="s">
        <v>3159</v>
      </c>
      <c r="P33" s="435">
        <v>2.7600000000000002</v>
      </c>
      <c r="Q33" s="95">
        <v>1</v>
      </c>
      <c r="R33" s="96">
        <v>1.2849840792941758</v>
      </c>
      <c r="S33" s="432" t="s">
        <v>3159</v>
      </c>
      <c r="T33" s="435">
        <v>2.7600000000000002</v>
      </c>
      <c r="U33" s="95">
        <v>1</v>
      </c>
      <c r="V33" s="96">
        <v>1.2849840792941758</v>
      </c>
      <c r="W33" s="432" t="s">
        <v>3159</v>
      </c>
      <c r="X33" s="435">
        <v>2.7600000000000002</v>
      </c>
      <c r="Y33" s="95">
        <v>1</v>
      </c>
      <c r="Z33" s="96">
        <v>1.2849840792941758</v>
      </c>
      <c r="AA33" s="432" t="s">
        <v>3159</v>
      </c>
      <c r="AB33" s="435">
        <v>69</v>
      </c>
      <c r="AC33" s="95">
        <v>1</v>
      </c>
      <c r="AD33" s="96">
        <v>1.2849840792941758</v>
      </c>
      <c r="AE33" s="432" t="s">
        <v>3159</v>
      </c>
      <c r="AF33" s="435">
        <v>2760.0000000000005</v>
      </c>
      <c r="AG33" s="95">
        <v>1</v>
      </c>
      <c r="AH33" s="96">
        <v>1.2849840792941758</v>
      </c>
      <c r="AI33" s="432" t="s">
        <v>3159</v>
      </c>
      <c r="AJ33" s="432"/>
      <c r="AM33" s="77" t="s">
        <v>1866</v>
      </c>
      <c r="AN33" s="339">
        <v>3</v>
      </c>
      <c r="AO33" s="339">
        <v>4</v>
      </c>
      <c r="AP33" s="339">
        <v>3</v>
      </c>
      <c r="AQ33" s="339">
        <v>1</v>
      </c>
      <c r="AR33" s="339">
        <v>1</v>
      </c>
      <c r="AS33" s="339">
        <v>5</v>
      </c>
      <c r="AT33" s="104">
        <v>13</v>
      </c>
      <c r="AU33" s="104">
        <v>1.05</v>
      </c>
      <c r="AV33" s="107">
        <v>1.2788404103505406</v>
      </c>
      <c r="AW33" s="107">
        <v>1.2849840792941758</v>
      </c>
      <c r="AX33" s="107" t="s">
        <v>3151</v>
      </c>
      <c r="AY33" s="108">
        <v>1.1000000000000001</v>
      </c>
      <c r="AZ33" s="108">
        <v>1.1000000000000001</v>
      </c>
      <c r="BA33" s="108">
        <v>1.1000000000000001</v>
      </c>
      <c r="BB33" s="108">
        <v>1</v>
      </c>
      <c r="BC33" s="108">
        <v>1</v>
      </c>
      <c r="BD33" s="108">
        <v>1.2</v>
      </c>
    </row>
  </sheetData>
  <mergeCells count="1">
    <mergeCell ref="AN1:AS1"/>
  </mergeCells>
  <conditionalFormatting sqref="D15:L15">
    <cfRule type="expression" dxfId="60" priority="21">
      <formula>MOD(ROW(),2)=0</formula>
    </cfRule>
  </conditionalFormatting>
  <conditionalFormatting sqref="D16:AJ33">
    <cfRule type="expression" dxfId="59" priority="5">
      <formula>MOD(ROW(),2)=0</formula>
    </cfRule>
  </conditionalFormatting>
  <conditionalFormatting sqref="M15:O33">
    <cfRule type="expression" dxfId="58" priority="24">
      <formula>MOD(ROW(),2)=0</formula>
    </cfRule>
  </conditionalFormatting>
  <conditionalFormatting sqref="P15:AJ15">
    <cfRule type="expression" dxfId="57" priority="1">
      <formula>MOD(ROW(),2)=0</formula>
    </cfRule>
  </conditionalFormatting>
  <conditionalFormatting sqref="AM15:AS33">
    <cfRule type="expression" dxfId="56" priority="10">
      <formula>MOD(ROW(),2)=0</formula>
    </cfRule>
  </conditionalFormatting>
  <conditionalFormatting sqref="AT15:BD33">
    <cfRule type="expression" dxfId="55" priority="25">
      <formula>MOD(ROW(),2)=0</formula>
    </cfRule>
  </conditionalFormatting>
  <dataValidations disablePrompts="1" count="10">
    <dataValidation allowBlank="1" showInputMessage="1" showErrorMessage="1" promptTitle="Remarks" prompt="A general comment (data source, calculation procedure, ...) can be made about each individual exchange. The remarks are added to the GeneralComment-field." sqref="AM3" xr:uid="{00000000-0002-0000-5200-000000000000}"/>
    <dataValidation allowBlank="1" showInputMessage="1" showErrorMessage="1" prompt="Do not change." sqref="AT3:BD4 AV7:BD13" xr:uid="{00000000-0002-0000-52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O3" xr:uid="{00000000-0002-0000-52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P3" xr:uid="{00000000-0002-0000-52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Q3" xr:uid="{00000000-0002-0000-52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R3" xr:uid="{00000000-0002-0000-52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S3" xr:uid="{00000000-0002-0000-52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N3" xr:uid="{00000000-0002-0000-5200-000007000000}"/>
    <dataValidation allowBlank="1" showInputMessage="1" showErrorMessage="1" promptTitle="Do not change" prompt="This field is automatically updated from the names-list" sqref="AT15:AT33" xr:uid="{00000000-0002-0000-5200-000008000000}"/>
    <dataValidation allowBlank="1" showInputMessage="1" showErrorMessage="1" promptTitle="Do not change" prompt="This field is automatically calculated from your inputs." sqref="AU15:AU33" xr:uid="{00000000-0002-0000-5200-000009000000}"/>
  </dataValidations>
  <pageMargins left="0.78740157499999996" right="0.78740157499999996" top="0.984251969" bottom="0.984251969" header="0.4921259845" footer="0.4921259845"/>
  <pageSetup paperSize="9" scale="6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Tabelle91">
    <tabColor rgb="FF9CD9F0"/>
    <pageSetUpPr fitToPage="1"/>
  </sheetPr>
  <dimension ref="A1:AM20"/>
  <sheetViews>
    <sheetView topLeftCell="A3" workbookViewId="0">
      <selection activeCell="S29" sqref="S29"/>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customWidth="1" outlineLevel="1"/>
    <col min="19" max="19" width="50.7109375" style="116" customWidth="1" outlineLevel="1"/>
    <col min="20" max="20" width="12.42578125" style="179" customWidth="1" outlineLevel="1"/>
    <col min="21" max="21" width="30.7109375" style="407" customWidth="1"/>
    <col min="22" max="22" width="4.140625" style="407" customWidth="1"/>
    <col min="23" max="23" width="4.42578125" style="407" customWidth="1"/>
    <col min="24" max="24" width="4.28515625" style="407" customWidth="1"/>
    <col min="25" max="25" width="4" style="407" customWidth="1"/>
    <col min="26" max="26" width="3.7109375" style="407" customWidth="1"/>
    <col min="27" max="27" width="4.28515625" style="407" customWidth="1"/>
    <col min="28" max="28" width="3.42578125" style="407" hidden="1" customWidth="1" outlineLevel="1"/>
    <col min="29" max="29" width="4.7109375" style="378" hidden="1" customWidth="1" outlineLevel="1"/>
    <col min="30" max="31" width="5.42578125" style="378" hidden="1" customWidth="1" outlineLevel="1"/>
    <col min="32" max="32" width="14.85546875" style="378" hidden="1" customWidth="1" outlineLevel="1"/>
    <col min="33" max="33" width="4.28515625" style="378" hidden="1" customWidth="1" outlineLevel="1"/>
    <col min="34" max="34" width="4" style="378" hidden="1" customWidth="1" outlineLevel="1"/>
    <col min="35" max="36" width="4.42578125" style="378" hidden="1" customWidth="1" outlineLevel="1"/>
    <col min="37" max="37" width="4.28515625" style="378" hidden="1" customWidth="1" outlineLevel="1"/>
    <col min="38" max="38" width="4.42578125" style="378" hidden="1" customWidth="1" outlineLevel="1"/>
    <col min="39" max="39" width="11.42578125" style="161" customWidth="1" collapsed="1"/>
    <col min="40" max="40" width="11.42578125" style="161" customWidth="1"/>
    <col min="41" max="16384" width="11.42578125" style="161"/>
  </cols>
  <sheetData>
    <row r="1" spans="1:38">
      <c r="A1" s="77"/>
      <c r="B1" s="78"/>
      <c r="C1" s="79"/>
      <c r="D1" s="77"/>
      <c r="E1" s="77"/>
      <c r="F1" s="80" t="s">
        <v>65</v>
      </c>
      <c r="G1" s="77"/>
      <c r="H1" s="77"/>
      <c r="I1" s="77"/>
      <c r="J1" s="77"/>
      <c r="K1" s="77"/>
      <c r="L1" s="330" t="str">
        <f>A7</f>
        <v>Z-PV-172</v>
      </c>
      <c r="M1" s="81"/>
      <c r="N1" s="81"/>
      <c r="O1" s="81"/>
      <c r="P1" s="330" t="str">
        <f>A8</f>
        <v>Z-PV-178</v>
      </c>
      <c r="Q1" s="81"/>
      <c r="R1" s="81"/>
      <c r="S1" s="81"/>
      <c r="U1" s="378"/>
      <c r="V1" s="1586"/>
      <c r="W1" s="1581"/>
      <c r="X1" s="1581"/>
      <c r="Y1" s="1581"/>
      <c r="Z1" s="1581"/>
      <c r="AA1" s="1581"/>
      <c r="AB1" s="406"/>
      <c r="AC1" s="406"/>
      <c r="AD1" s="406"/>
      <c r="AE1" s="406"/>
      <c r="AF1" s="406"/>
    </row>
    <row r="2" spans="1:38">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U2" s="406"/>
      <c r="V2" s="406"/>
      <c r="W2" s="406"/>
      <c r="X2" s="406"/>
      <c r="Y2" s="406"/>
      <c r="Z2" s="406"/>
      <c r="AA2" s="406"/>
      <c r="AB2" s="406"/>
    </row>
    <row r="3" spans="1:38" ht="86.25" customHeight="1">
      <c r="A3" s="83" t="s">
        <v>68</v>
      </c>
      <c r="B3" s="84"/>
      <c r="C3" s="79">
        <v>401</v>
      </c>
      <c r="D3" s="85" t="s">
        <v>69</v>
      </c>
      <c r="E3" s="85" t="s">
        <v>70</v>
      </c>
      <c r="F3" s="86" t="s">
        <v>71</v>
      </c>
      <c r="G3" s="85" t="s">
        <v>72</v>
      </c>
      <c r="H3" s="85" t="s">
        <v>73</v>
      </c>
      <c r="I3" s="85" t="s">
        <v>74</v>
      </c>
      <c r="J3" s="85" t="s">
        <v>75</v>
      </c>
      <c r="K3" s="85" t="s">
        <v>76</v>
      </c>
      <c r="L3" s="87" t="s">
        <v>2020</v>
      </c>
      <c r="M3" s="422" t="s">
        <v>78</v>
      </c>
      <c r="N3" s="422" t="s">
        <v>79</v>
      </c>
      <c r="O3" s="423" t="s">
        <v>80</v>
      </c>
      <c r="P3" s="87" t="s">
        <v>2021</v>
      </c>
      <c r="Q3" s="422" t="s">
        <v>78</v>
      </c>
      <c r="R3" s="422" t="s">
        <v>79</v>
      </c>
      <c r="S3" s="423" t="s">
        <v>80</v>
      </c>
      <c r="U3" s="97" t="s">
        <v>363</v>
      </c>
      <c r="V3" s="98" t="s">
        <v>364</v>
      </c>
      <c r="W3" s="98" t="s">
        <v>365</v>
      </c>
      <c r="X3" s="98" t="s">
        <v>366</v>
      </c>
      <c r="Y3" s="98" t="s">
        <v>367</v>
      </c>
      <c r="Z3" s="98" t="s">
        <v>368</v>
      </c>
      <c r="AA3" s="98" t="s">
        <v>369</v>
      </c>
      <c r="AB3" s="99" t="s">
        <v>88</v>
      </c>
      <c r="AC3" s="99" t="s">
        <v>370</v>
      </c>
      <c r="AD3" s="99" t="s">
        <v>90</v>
      </c>
      <c r="AE3" s="99" t="s">
        <v>91</v>
      </c>
      <c r="AF3" s="99" t="s">
        <v>371</v>
      </c>
      <c r="AG3" s="100" t="s">
        <v>364</v>
      </c>
      <c r="AH3" s="100" t="s">
        <v>365</v>
      </c>
      <c r="AI3" s="100" t="s">
        <v>366</v>
      </c>
      <c r="AJ3" s="100" t="s">
        <v>367</v>
      </c>
      <c r="AK3" s="100" t="s">
        <v>368</v>
      </c>
      <c r="AL3" s="100" t="s">
        <v>369</v>
      </c>
    </row>
    <row r="4" spans="1:38" ht="12.75" customHeight="1">
      <c r="A4" s="77"/>
      <c r="B4" s="84"/>
      <c r="C4" s="79">
        <v>662</v>
      </c>
      <c r="D4" s="86"/>
      <c r="E4" s="86"/>
      <c r="F4" s="86" t="s">
        <v>72</v>
      </c>
      <c r="G4" s="86"/>
      <c r="H4" s="86"/>
      <c r="I4" s="86"/>
      <c r="J4" s="86"/>
      <c r="K4" s="86"/>
      <c r="L4" s="87" t="s">
        <v>93</v>
      </c>
      <c r="M4" s="425"/>
      <c r="N4" s="425"/>
      <c r="O4" s="426"/>
      <c r="P4" s="87" t="s">
        <v>93</v>
      </c>
      <c r="Q4" s="425"/>
      <c r="R4" s="425"/>
      <c r="S4" s="426"/>
      <c r="U4" s="101"/>
      <c r="V4" s="102" t="s">
        <v>94</v>
      </c>
      <c r="W4" s="97"/>
      <c r="X4" s="97"/>
      <c r="Y4" s="97"/>
      <c r="Z4" s="97"/>
      <c r="AA4" s="97"/>
      <c r="AB4" s="103"/>
      <c r="AC4" s="103"/>
      <c r="AD4" s="103" t="s">
        <v>95</v>
      </c>
      <c r="AE4" s="103" t="s">
        <v>95</v>
      </c>
      <c r="AF4" s="104"/>
      <c r="AG4" s="105"/>
      <c r="AH4" s="105"/>
      <c r="AI4" s="105"/>
      <c r="AJ4" s="105"/>
      <c r="AK4" s="105"/>
      <c r="AL4" s="105"/>
    </row>
    <row r="5" spans="1:38">
      <c r="A5" s="77"/>
      <c r="B5" s="84"/>
      <c r="C5" s="79">
        <v>493</v>
      </c>
      <c r="D5" s="86"/>
      <c r="E5" s="86"/>
      <c r="F5" s="86" t="s">
        <v>75</v>
      </c>
      <c r="G5" s="86"/>
      <c r="H5" s="86"/>
      <c r="I5" s="86"/>
      <c r="J5" s="86"/>
      <c r="K5" s="86"/>
      <c r="L5" s="87">
        <v>1</v>
      </c>
      <c r="M5" s="425"/>
      <c r="N5" s="425"/>
      <c r="O5" s="426"/>
      <c r="P5" s="87">
        <v>1</v>
      </c>
      <c r="Q5" s="425"/>
      <c r="R5" s="425"/>
      <c r="S5" s="426"/>
      <c r="U5" s="101"/>
      <c r="V5" s="97"/>
      <c r="W5" s="97"/>
      <c r="X5" s="97"/>
      <c r="Y5" s="97"/>
      <c r="Z5" s="97"/>
      <c r="AA5" s="97"/>
      <c r="AB5" s="104"/>
      <c r="AC5" s="104"/>
      <c r="AD5" s="104"/>
      <c r="AE5" s="104"/>
      <c r="AF5" s="104"/>
      <c r="AG5" s="105"/>
      <c r="AH5" s="105"/>
      <c r="AI5" s="105"/>
      <c r="AJ5" s="105"/>
      <c r="AK5" s="105"/>
      <c r="AL5" s="105"/>
    </row>
    <row r="6" spans="1:38" ht="12.75" customHeight="1">
      <c r="A6" s="77"/>
      <c r="B6" s="84"/>
      <c r="C6" s="79">
        <v>403</v>
      </c>
      <c r="D6" s="86"/>
      <c r="E6" s="86"/>
      <c r="F6" s="86" t="s">
        <v>76</v>
      </c>
      <c r="G6" s="86"/>
      <c r="H6" s="86"/>
      <c r="I6" s="86"/>
      <c r="J6" s="86"/>
      <c r="K6" s="86"/>
      <c r="L6" s="87" t="s">
        <v>144</v>
      </c>
      <c r="M6" s="425"/>
      <c r="N6" s="425"/>
      <c r="O6" s="426"/>
      <c r="P6" s="87" t="s">
        <v>144</v>
      </c>
      <c r="Q6" s="425"/>
      <c r="R6" s="425"/>
      <c r="S6" s="426"/>
      <c r="U6" s="101"/>
      <c r="V6" s="106"/>
      <c r="W6" s="106"/>
      <c r="X6" s="106"/>
      <c r="Y6" s="106"/>
      <c r="Z6" s="106"/>
      <c r="AA6" s="106"/>
      <c r="AB6" s="104"/>
      <c r="AC6" s="104"/>
      <c r="AD6" s="428"/>
      <c r="AE6" s="428"/>
      <c r="AF6" s="107"/>
      <c r="AG6" s="105"/>
      <c r="AH6" s="105"/>
      <c r="AI6" s="105"/>
      <c r="AJ6" s="105"/>
      <c r="AK6" s="105"/>
      <c r="AL6" s="105"/>
    </row>
    <row r="7" spans="1:38" ht="24" customHeight="1">
      <c r="A7" s="330" t="s">
        <v>2022</v>
      </c>
      <c r="B7" s="331" t="s">
        <v>97</v>
      </c>
      <c r="C7" s="88"/>
      <c r="D7" s="294" t="s">
        <v>98</v>
      </c>
      <c r="E7" s="295">
        <v>0</v>
      </c>
      <c r="F7" s="429" t="s">
        <v>2020</v>
      </c>
      <c r="G7" s="430" t="s">
        <v>93</v>
      </c>
      <c r="H7" s="431" t="s">
        <v>98</v>
      </c>
      <c r="I7" s="431" t="s">
        <v>98</v>
      </c>
      <c r="J7" s="89">
        <v>1</v>
      </c>
      <c r="K7" s="430" t="s">
        <v>144</v>
      </c>
      <c r="L7" s="90">
        <v>1</v>
      </c>
      <c r="M7" s="91"/>
      <c r="N7" s="92"/>
      <c r="O7" s="93"/>
      <c r="P7" s="90">
        <v>0</v>
      </c>
      <c r="Q7" s="91"/>
      <c r="R7" s="92"/>
      <c r="S7" s="93"/>
      <c r="U7" s="101"/>
      <c r="V7" s="97"/>
      <c r="W7" s="97"/>
      <c r="X7" s="97"/>
      <c r="Y7" s="97"/>
      <c r="Z7" s="97"/>
      <c r="AA7" s="97"/>
      <c r="AB7" s="104"/>
      <c r="AC7" s="104"/>
      <c r="AD7" s="104"/>
      <c r="AE7" s="104"/>
      <c r="AF7" s="104"/>
      <c r="AG7" s="104"/>
      <c r="AH7" s="104"/>
      <c r="AI7" s="104"/>
      <c r="AJ7" s="104"/>
      <c r="AK7" s="104"/>
      <c r="AL7" s="104"/>
    </row>
    <row r="8" spans="1:38" ht="24" customHeight="1">
      <c r="A8" s="330" t="s">
        <v>2023</v>
      </c>
      <c r="B8" s="331"/>
      <c r="C8" s="88"/>
      <c r="D8" s="294" t="s">
        <v>98</v>
      </c>
      <c r="E8" s="295">
        <v>0</v>
      </c>
      <c r="F8" s="429" t="s">
        <v>2021</v>
      </c>
      <c r="G8" s="430" t="s">
        <v>93</v>
      </c>
      <c r="H8" s="431" t="s">
        <v>98</v>
      </c>
      <c r="I8" s="431" t="s">
        <v>98</v>
      </c>
      <c r="J8" s="89">
        <v>1</v>
      </c>
      <c r="K8" s="430" t="s">
        <v>144</v>
      </c>
      <c r="L8" s="90">
        <v>0</v>
      </c>
      <c r="M8" s="91"/>
      <c r="N8" s="92"/>
      <c r="O8" s="93"/>
      <c r="P8" s="90">
        <v>1</v>
      </c>
      <c r="Q8" s="91"/>
      <c r="R8" s="92"/>
      <c r="S8" s="93"/>
      <c r="U8" s="101"/>
      <c r="V8" s="97"/>
      <c r="W8" s="97"/>
      <c r="X8" s="97"/>
      <c r="Y8" s="97"/>
      <c r="Z8" s="97"/>
      <c r="AA8" s="97"/>
      <c r="AB8" s="104"/>
      <c r="AC8" s="104"/>
      <c r="AD8" s="104"/>
      <c r="AE8" s="104"/>
      <c r="AF8" s="104"/>
      <c r="AG8" s="104"/>
      <c r="AH8" s="104"/>
      <c r="AI8" s="104"/>
      <c r="AJ8" s="104"/>
      <c r="AK8" s="104"/>
      <c r="AL8" s="104"/>
    </row>
    <row r="9" spans="1:38" ht="24" customHeight="1">
      <c r="A9" s="330">
        <v>268721</v>
      </c>
      <c r="B9" s="331" t="s">
        <v>500</v>
      </c>
      <c r="C9" s="88"/>
      <c r="D9" s="340">
        <v>5</v>
      </c>
      <c r="E9" s="341" t="s">
        <v>98</v>
      </c>
      <c r="F9" s="432" t="s">
        <v>1891</v>
      </c>
      <c r="G9" s="433" t="s">
        <v>223</v>
      </c>
      <c r="H9" s="434" t="s">
        <v>98</v>
      </c>
      <c r="I9" s="434" t="s">
        <v>98</v>
      </c>
      <c r="J9" s="94">
        <v>0</v>
      </c>
      <c r="K9" s="433" t="s">
        <v>109</v>
      </c>
      <c r="L9" s="1560">
        <v>0.76666666666666672</v>
      </c>
      <c r="M9" s="1557">
        <v>1</v>
      </c>
      <c r="N9" s="1558">
        <v>1.0714359004449265</v>
      </c>
      <c r="O9" s="1559" t="s">
        <v>3239</v>
      </c>
      <c r="P9" s="1560">
        <v>0.76666666666666672</v>
      </c>
      <c r="Q9" s="95">
        <v>1</v>
      </c>
      <c r="R9" s="96">
        <v>1.2849999999999999</v>
      </c>
      <c r="S9" s="432" t="s">
        <v>2024</v>
      </c>
      <c r="U9" s="77" t="s">
        <v>1892</v>
      </c>
      <c r="V9" s="339">
        <v>1</v>
      </c>
      <c r="W9" s="339">
        <v>1</v>
      </c>
      <c r="X9" s="339">
        <v>1</v>
      </c>
      <c r="Y9" s="339">
        <v>1</v>
      </c>
      <c r="Z9" s="339">
        <v>1</v>
      </c>
      <c r="AA9" s="339">
        <v>3</v>
      </c>
      <c r="AB9" s="104">
        <v>2</v>
      </c>
      <c r="AC9" s="104">
        <v>1.05</v>
      </c>
      <c r="AD9" s="107">
        <f t="shared" ref="AD9:AD20" si="0">EXP(SQRT((LN(AG9)^2)+(LN(AH9)^2)+(LN(AI9)^2)+(LN(AJ9)^2)+(LN(AK9)^2)+(LN(AL9)^2)))</f>
        <v>1.05</v>
      </c>
      <c r="AE9" s="107">
        <f t="shared" ref="AE9:AE20" si="1">EXP(SQRT((LN(AG9)^2)+(LN(AH9)^2)+(LN(AI9)^2)+(LN(AJ9)^2)+(LN(AK9)^2)+(LN(AL9)^2)+LN(AC9)^2))</f>
        <v>1.0714359004449265</v>
      </c>
      <c r="AF9" s="107" t="str">
        <f t="shared" ref="AF9:AF20" si="2">CONCATENATE("(",V9,",",W9,",",X9,",",Y9,",",Z9,",",AA9,",BU:",AC9,")")</f>
        <v>(1,1,1,1,1,3,BU:1.05)</v>
      </c>
      <c r="AG9" s="108">
        <v>1</v>
      </c>
      <c r="AH9" s="108">
        <v>1</v>
      </c>
      <c r="AI9" s="108">
        <v>1</v>
      </c>
      <c r="AJ9" s="108">
        <v>1</v>
      </c>
      <c r="AK9" s="108">
        <v>1</v>
      </c>
      <c r="AL9" s="108">
        <v>1.05</v>
      </c>
    </row>
    <row r="10" spans="1:38" ht="24" customHeight="1">
      <c r="A10" s="330">
        <v>77572</v>
      </c>
      <c r="B10" s="331"/>
      <c r="C10" s="88"/>
      <c r="D10" s="340">
        <v>5</v>
      </c>
      <c r="E10" s="341" t="s">
        <v>98</v>
      </c>
      <c r="F10" s="432" t="s">
        <v>687</v>
      </c>
      <c r="G10" s="433" t="s">
        <v>103</v>
      </c>
      <c r="H10" s="434" t="s">
        <v>98</v>
      </c>
      <c r="I10" s="434" t="s">
        <v>98</v>
      </c>
      <c r="J10" s="94">
        <v>0</v>
      </c>
      <c r="K10" s="433" t="s">
        <v>104</v>
      </c>
      <c r="L10" s="1560"/>
      <c r="M10" s="1557">
        <v>1</v>
      </c>
      <c r="N10" s="1558">
        <v>2.0034330064319432</v>
      </c>
      <c r="O10" s="1559" t="s">
        <v>3240</v>
      </c>
      <c r="P10" s="1560"/>
      <c r="Q10" s="95">
        <v>1</v>
      </c>
      <c r="R10" s="96">
        <f>$AE10</f>
        <v>2.0034330064319432</v>
      </c>
      <c r="S10" s="432" t="str">
        <f>$AF10&amp;"; "&amp;$U10</f>
        <v>(1,1,1,1,1,3,BU:2);  Energy use for foundation piling and wheel loader</v>
      </c>
      <c r="U10" s="77" t="s">
        <v>2025</v>
      </c>
      <c r="V10" s="339">
        <f t="shared" ref="V10:AA16" si="3">V$9</f>
        <v>1</v>
      </c>
      <c r="W10" s="339">
        <f t="shared" si="3"/>
        <v>1</v>
      </c>
      <c r="X10" s="339">
        <f t="shared" si="3"/>
        <v>1</v>
      </c>
      <c r="Y10" s="339">
        <f t="shared" si="3"/>
        <v>1</v>
      </c>
      <c r="Z10" s="339">
        <f t="shared" si="3"/>
        <v>1</v>
      </c>
      <c r="AA10" s="339">
        <f t="shared" si="3"/>
        <v>3</v>
      </c>
      <c r="AB10" s="104">
        <v>5</v>
      </c>
      <c r="AC10" s="104">
        <v>2</v>
      </c>
      <c r="AD10" s="107">
        <f t="shared" si="0"/>
        <v>1.05</v>
      </c>
      <c r="AE10" s="107">
        <f t="shared" si="1"/>
        <v>2.0034330064319432</v>
      </c>
      <c r="AF10" s="107" t="str">
        <f t="shared" si="2"/>
        <v>(1,1,1,1,1,3,BU:2)</v>
      </c>
      <c r="AG10" s="108">
        <v>1</v>
      </c>
      <c r="AH10" s="108">
        <v>1</v>
      </c>
      <c r="AI10" s="108">
        <v>1</v>
      </c>
      <c r="AJ10" s="108">
        <v>1</v>
      </c>
      <c r="AK10" s="108">
        <v>1</v>
      </c>
      <c r="AL10" s="108">
        <v>1.05</v>
      </c>
    </row>
    <row r="11" spans="1:38" ht="24" customHeight="1">
      <c r="A11" s="330">
        <v>261084</v>
      </c>
      <c r="B11" s="331" t="s">
        <v>582</v>
      </c>
      <c r="C11" s="88"/>
      <c r="D11" s="340">
        <v>5</v>
      </c>
      <c r="E11" s="341" t="s">
        <v>98</v>
      </c>
      <c r="F11" s="432" t="s">
        <v>1674</v>
      </c>
      <c r="G11" s="433" t="s">
        <v>103</v>
      </c>
      <c r="H11" s="434" t="s">
        <v>98</v>
      </c>
      <c r="I11" s="434" t="s">
        <v>98</v>
      </c>
      <c r="J11" s="94">
        <v>1</v>
      </c>
      <c r="K11" s="433" t="s">
        <v>144</v>
      </c>
      <c r="L11" s="1560">
        <v>2.2675535225531069</v>
      </c>
      <c r="M11" s="1557">
        <v>1</v>
      </c>
      <c r="N11" s="1558">
        <v>3.0032503680908538</v>
      </c>
      <c r="O11" s="1559" t="s">
        <v>3241</v>
      </c>
      <c r="P11" s="1560">
        <v>2.2675535225531069</v>
      </c>
      <c r="Q11" s="95">
        <v>1</v>
      </c>
      <c r="R11" s="96">
        <v>2.0865</v>
      </c>
      <c r="S11" s="432" t="s">
        <v>2026</v>
      </c>
      <c r="U11" s="77" t="s">
        <v>253</v>
      </c>
      <c r="V11" s="339">
        <f t="shared" si="3"/>
        <v>1</v>
      </c>
      <c r="W11" s="339">
        <f t="shared" si="3"/>
        <v>1</v>
      </c>
      <c r="X11" s="339">
        <f t="shared" si="3"/>
        <v>1</v>
      </c>
      <c r="Y11" s="339">
        <f t="shared" si="3"/>
        <v>1</v>
      </c>
      <c r="Z11" s="339">
        <f t="shared" si="3"/>
        <v>1</v>
      </c>
      <c r="AA11" s="339">
        <f t="shared" si="3"/>
        <v>3</v>
      </c>
      <c r="AB11" s="104">
        <v>9</v>
      </c>
      <c r="AC11" s="104">
        <v>3</v>
      </c>
      <c r="AD11" s="107">
        <f t="shared" si="0"/>
        <v>1.05</v>
      </c>
      <c r="AE11" s="107">
        <f t="shared" si="1"/>
        <v>3.0032503680908538</v>
      </c>
      <c r="AF11" s="107" t="str">
        <f t="shared" si="2"/>
        <v>(1,1,1,1,1,3,BU:3)</v>
      </c>
      <c r="AG11" s="108">
        <v>1</v>
      </c>
      <c r="AH11" s="108">
        <v>1</v>
      </c>
      <c r="AI11" s="108">
        <v>1</v>
      </c>
      <c r="AJ11" s="108">
        <v>1</v>
      </c>
      <c r="AK11" s="108">
        <v>1</v>
      </c>
      <c r="AL11" s="108">
        <v>1.05</v>
      </c>
    </row>
    <row r="12" spans="1:38" ht="14.25" customHeight="1">
      <c r="A12" s="330">
        <v>263667</v>
      </c>
      <c r="B12" s="331"/>
      <c r="C12" s="88"/>
      <c r="D12" s="340">
        <v>5</v>
      </c>
      <c r="E12" s="341" t="s">
        <v>98</v>
      </c>
      <c r="F12" s="432" t="s">
        <v>1604</v>
      </c>
      <c r="G12" s="433" t="s">
        <v>93</v>
      </c>
      <c r="H12" s="434" t="s">
        <v>98</v>
      </c>
      <c r="I12" s="434" t="s">
        <v>98</v>
      </c>
      <c r="J12" s="94">
        <v>1</v>
      </c>
      <c r="K12" s="433" t="s">
        <v>679</v>
      </c>
      <c r="L12" s="1560">
        <v>54.347826086956523</v>
      </c>
      <c r="M12" s="1557">
        <v>1</v>
      </c>
      <c r="N12" s="1558">
        <v>3.0032503680908538</v>
      </c>
      <c r="O12" s="1559" t="s">
        <v>3242</v>
      </c>
      <c r="P12" s="1560"/>
      <c r="Q12" s="95">
        <v>1</v>
      </c>
      <c r="R12" s="96">
        <f t="shared" ref="R12:R20" si="4">$AE12</f>
        <v>3.0032503680908538</v>
      </c>
      <c r="S12" s="432" t="str">
        <f t="shared" ref="S12:S20" si="5">$AF12&amp;"; "&amp;$U12</f>
        <v>(1,1,1,1,1,3,BU:3); panel demand based on yield and efficiency</v>
      </c>
      <c r="U12" s="77" t="s">
        <v>2027</v>
      </c>
      <c r="V12" s="339">
        <f t="shared" si="3"/>
        <v>1</v>
      </c>
      <c r="W12" s="339">
        <f t="shared" si="3"/>
        <v>1</v>
      </c>
      <c r="X12" s="339">
        <f t="shared" si="3"/>
        <v>1</v>
      </c>
      <c r="Y12" s="339">
        <f t="shared" si="3"/>
        <v>1</v>
      </c>
      <c r="Z12" s="339">
        <f t="shared" si="3"/>
        <v>1</v>
      </c>
      <c r="AA12" s="339">
        <f t="shared" si="3"/>
        <v>3</v>
      </c>
      <c r="AB12" s="104">
        <v>9</v>
      </c>
      <c r="AC12" s="104">
        <v>3</v>
      </c>
      <c r="AD12" s="107">
        <f t="shared" si="0"/>
        <v>1.05</v>
      </c>
      <c r="AE12" s="107">
        <f t="shared" si="1"/>
        <v>3.0032503680908538</v>
      </c>
      <c r="AF12" s="107" t="str">
        <f t="shared" si="2"/>
        <v>(1,1,1,1,1,3,BU:3)</v>
      </c>
      <c r="AG12" s="108">
        <v>1</v>
      </c>
      <c r="AH12" s="108">
        <v>1</v>
      </c>
      <c r="AI12" s="108">
        <v>1</v>
      </c>
      <c r="AJ12" s="108">
        <v>1</v>
      </c>
      <c r="AK12" s="108">
        <v>1</v>
      </c>
      <c r="AL12" s="108">
        <v>1.05</v>
      </c>
    </row>
    <row r="13" spans="1:38" ht="14.25" customHeight="1">
      <c r="A13" s="330">
        <v>263621</v>
      </c>
      <c r="B13" s="331"/>
      <c r="C13" s="88"/>
      <c r="D13" s="340">
        <v>5</v>
      </c>
      <c r="E13" s="341" t="s">
        <v>98</v>
      </c>
      <c r="F13" s="432" t="s">
        <v>1603</v>
      </c>
      <c r="G13" s="433" t="s">
        <v>93</v>
      </c>
      <c r="H13" s="434" t="s">
        <v>98</v>
      </c>
      <c r="I13" s="434" t="s">
        <v>98</v>
      </c>
      <c r="J13" s="94">
        <v>1</v>
      </c>
      <c r="K13" s="433" t="s">
        <v>679</v>
      </c>
      <c r="L13" s="1560"/>
      <c r="M13" s="1557">
        <v>1</v>
      </c>
      <c r="N13" s="1558">
        <v>3.0032503680908538</v>
      </c>
      <c r="O13" s="1559" t="s">
        <v>3242</v>
      </c>
      <c r="P13" s="1560">
        <v>54.347826086956523</v>
      </c>
      <c r="Q13" s="95">
        <v>1</v>
      </c>
      <c r="R13" s="96">
        <f t="shared" si="4"/>
        <v>3.0032503680908538</v>
      </c>
      <c r="S13" s="432" t="str">
        <f t="shared" si="5"/>
        <v>(1,1,1,1,1,3,BU:3); panel demand based on yield and efficiency</v>
      </c>
      <c r="U13" s="77" t="s">
        <v>2027</v>
      </c>
      <c r="V13" s="339">
        <f t="shared" si="3"/>
        <v>1</v>
      </c>
      <c r="W13" s="339">
        <f t="shared" si="3"/>
        <v>1</v>
      </c>
      <c r="X13" s="339">
        <f t="shared" si="3"/>
        <v>1</v>
      </c>
      <c r="Y13" s="339">
        <f t="shared" si="3"/>
        <v>1</v>
      </c>
      <c r="Z13" s="339">
        <f t="shared" si="3"/>
        <v>1</v>
      </c>
      <c r="AA13" s="339">
        <f t="shared" si="3"/>
        <v>3</v>
      </c>
      <c r="AB13" s="104">
        <v>9</v>
      </c>
      <c r="AC13" s="104">
        <v>3</v>
      </c>
      <c r="AD13" s="107">
        <f t="shared" si="0"/>
        <v>1.05</v>
      </c>
      <c r="AE13" s="107">
        <f t="shared" si="1"/>
        <v>3.0032503680908538</v>
      </c>
      <c r="AF13" s="107" t="str">
        <f t="shared" si="2"/>
        <v>(1,1,1,1,1,3,BU:3)</v>
      </c>
      <c r="AG13" s="108">
        <v>1</v>
      </c>
      <c r="AH13" s="108">
        <v>1</v>
      </c>
      <c r="AI13" s="108">
        <v>1</v>
      </c>
      <c r="AJ13" s="108">
        <v>1</v>
      </c>
      <c r="AK13" s="108">
        <v>1</v>
      </c>
      <c r="AL13" s="108">
        <v>1.05</v>
      </c>
    </row>
    <row r="14" spans="1:38" ht="16.5" customHeight="1">
      <c r="A14" s="330">
        <v>258307</v>
      </c>
      <c r="B14" s="331"/>
      <c r="C14" s="88"/>
      <c r="D14" s="340">
        <v>5</v>
      </c>
      <c r="E14" s="341" t="s">
        <v>98</v>
      </c>
      <c r="F14" s="432" t="s">
        <v>1605</v>
      </c>
      <c r="G14" s="433" t="s">
        <v>93</v>
      </c>
      <c r="H14" s="434" t="s">
        <v>98</v>
      </c>
      <c r="I14" s="434" t="s">
        <v>98</v>
      </c>
      <c r="J14" s="94">
        <v>1</v>
      </c>
      <c r="K14" s="433" t="s">
        <v>679</v>
      </c>
      <c r="L14" s="1560"/>
      <c r="M14" s="1557">
        <v>1</v>
      </c>
      <c r="N14" s="1558">
        <v>3.0032503680908538</v>
      </c>
      <c r="O14" s="1559" t="s">
        <v>3242</v>
      </c>
      <c r="P14" s="1560"/>
      <c r="Q14" s="95">
        <v>1</v>
      </c>
      <c r="R14" s="96">
        <f t="shared" si="4"/>
        <v>3.0032503680908538</v>
      </c>
      <c r="S14" s="432" t="str">
        <f t="shared" si="5"/>
        <v>(1,1,1,1,1,3,BU:3); panel demand based on yield and efficiency</v>
      </c>
      <c r="U14" s="77" t="s">
        <v>2027</v>
      </c>
      <c r="V14" s="339">
        <f t="shared" si="3"/>
        <v>1</v>
      </c>
      <c r="W14" s="339">
        <f t="shared" si="3"/>
        <v>1</v>
      </c>
      <c r="X14" s="339">
        <f t="shared" si="3"/>
        <v>1</v>
      </c>
      <c r="Y14" s="339">
        <f t="shared" si="3"/>
        <v>1</v>
      </c>
      <c r="Z14" s="339">
        <f t="shared" si="3"/>
        <v>1</v>
      </c>
      <c r="AA14" s="339">
        <f t="shared" si="3"/>
        <v>3</v>
      </c>
      <c r="AB14" s="104">
        <v>9</v>
      </c>
      <c r="AC14" s="104">
        <v>3</v>
      </c>
      <c r="AD14" s="107">
        <f t="shared" si="0"/>
        <v>1.05</v>
      </c>
      <c r="AE14" s="107">
        <f t="shared" si="1"/>
        <v>3.0032503680908538</v>
      </c>
      <c r="AF14" s="107" t="str">
        <f t="shared" si="2"/>
        <v>(1,1,1,1,1,3,BU:3)</v>
      </c>
      <c r="AG14" s="108">
        <v>1</v>
      </c>
      <c r="AH14" s="108">
        <v>1</v>
      </c>
      <c r="AI14" s="108">
        <v>1</v>
      </c>
      <c r="AJ14" s="108">
        <v>1</v>
      </c>
      <c r="AK14" s="108">
        <v>1</v>
      </c>
      <c r="AL14" s="108">
        <v>1.05</v>
      </c>
    </row>
    <row r="15" spans="1:38" ht="16.5" customHeight="1">
      <c r="A15" s="330" t="s">
        <v>1708</v>
      </c>
      <c r="B15" s="331"/>
      <c r="C15" s="88"/>
      <c r="D15" s="340">
        <v>5</v>
      </c>
      <c r="E15" s="341" t="s">
        <v>98</v>
      </c>
      <c r="F15" s="432" t="s">
        <v>1712</v>
      </c>
      <c r="G15" s="433" t="s">
        <v>154</v>
      </c>
      <c r="H15" s="434" t="s">
        <v>98</v>
      </c>
      <c r="I15" s="434" t="s">
        <v>98</v>
      </c>
      <c r="J15" s="94">
        <v>1</v>
      </c>
      <c r="K15" s="433" t="s">
        <v>144</v>
      </c>
      <c r="L15" s="1560">
        <v>2</v>
      </c>
      <c r="M15" s="1557">
        <v>1</v>
      </c>
      <c r="N15" s="1558">
        <v>3.0032503680908538</v>
      </c>
      <c r="O15" s="1559" t="s">
        <v>3243</v>
      </c>
      <c r="P15" s="1560">
        <v>2</v>
      </c>
      <c r="Q15" s="95">
        <v>1</v>
      </c>
      <c r="R15" s="96">
        <f t="shared" si="4"/>
        <v>3.0032503680908538</v>
      </c>
      <c r="S15" s="432" t="str">
        <f t="shared" si="5"/>
        <v>(1,1,1,1,1,3,BU:3); 1 replacement during the lifetime of the PV system; demand scaled linearly by power output</v>
      </c>
      <c r="U15" s="77" t="s">
        <v>1893</v>
      </c>
      <c r="V15" s="339">
        <f t="shared" si="3"/>
        <v>1</v>
      </c>
      <c r="W15" s="339">
        <f t="shared" si="3"/>
        <v>1</v>
      </c>
      <c r="X15" s="339">
        <f t="shared" si="3"/>
        <v>1</v>
      </c>
      <c r="Y15" s="339">
        <f t="shared" si="3"/>
        <v>1</v>
      </c>
      <c r="Z15" s="339">
        <f t="shared" si="3"/>
        <v>1</v>
      </c>
      <c r="AA15" s="339">
        <f t="shared" si="3"/>
        <v>3</v>
      </c>
      <c r="AB15" s="104">
        <v>9</v>
      </c>
      <c r="AC15" s="104">
        <v>3</v>
      </c>
      <c r="AD15" s="107">
        <f t="shared" si="0"/>
        <v>1.05</v>
      </c>
      <c r="AE15" s="107">
        <f t="shared" si="1"/>
        <v>3.0032503680908538</v>
      </c>
      <c r="AF15" s="107" t="str">
        <f t="shared" si="2"/>
        <v>(1,1,1,1,1,3,BU:3)</v>
      </c>
      <c r="AG15" s="108">
        <v>1</v>
      </c>
      <c r="AH15" s="108">
        <v>1</v>
      </c>
      <c r="AI15" s="108">
        <v>1</v>
      </c>
      <c r="AJ15" s="108">
        <v>1</v>
      </c>
      <c r="AK15" s="108">
        <v>1</v>
      </c>
      <c r="AL15" s="108">
        <v>1.05</v>
      </c>
    </row>
    <row r="16" spans="1:38" ht="16.5" customHeight="1">
      <c r="A16" s="330">
        <v>259749</v>
      </c>
      <c r="B16" s="331"/>
      <c r="C16" s="88"/>
      <c r="D16" s="340">
        <v>5</v>
      </c>
      <c r="E16" s="341" t="s">
        <v>98</v>
      </c>
      <c r="F16" s="432" t="s">
        <v>2028</v>
      </c>
      <c r="G16" s="433" t="s">
        <v>93</v>
      </c>
      <c r="H16" s="434" t="s">
        <v>98</v>
      </c>
      <c r="I16" s="434" t="s">
        <v>98</v>
      </c>
      <c r="J16" s="94">
        <v>1</v>
      </c>
      <c r="K16" s="433" t="s">
        <v>144</v>
      </c>
      <c r="L16" s="1560"/>
      <c r="M16" s="1557">
        <v>1</v>
      </c>
      <c r="N16" s="1558">
        <v>3.0032503680908538</v>
      </c>
      <c r="O16" s="1559" t="s">
        <v>3243</v>
      </c>
      <c r="P16" s="1560"/>
      <c r="Q16" s="95">
        <v>1</v>
      </c>
      <c r="R16" s="96">
        <f t="shared" si="4"/>
        <v>3.0032503680908538</v>
      </c>
      <c r="S16" s="432" t="str">
        <f t="shared" si="5"/>
        <v>(1,1,1,1,1,3,BU:3); 1 replacement during the lifetime of the PV system; demand scaled linearly by power output</v>
      </c>
      <c r="U16" s="77" t="s">
        <v>1893</v>
      </c>
      <c r="V16" s="339">
        <f t="shared" si="3"/>
        <v>1</v>
      </c>
      <c r="W16" s="339">
        <f t="shared" si="3"/>
        <v>1</v>
      </c>
      <c r="X16" s="339">
        <f t="shared" si="3"/>
        <v>1</v>
      </c>
      <c r="Y16" s="339">
        <f t="shared" si="3"/>
        <v>1</v>
      </c>
      <c r="Z16" s="339">
        <f t="shared" si="3"/>
        <v>1</v>
      </c>
      <c r="AA16" s="339">
        <f t="shared" si="3"/>
        <v>3</v>
      </c>
      <c r="AB16" s="104">
        <v>9</v>
      </c>
      <c r="AC16" s="104">
        <v>3</v>
      </c>
      <c r="AD16" s="107">
        <f t="shared" si="0"/>
        <v>1.05</v>
      </c>
      <c r="AE16" s="107">
        <f t="shared" si="1"/>
        <v>3.0032503680908538</v>
      </c>
      <c r="AF16" s="107" t="str">
        <f t="shared" si="2"/>
        <v>(1,1,1,1,1,3,BU:3)</v>
      </c>
      <c r="AG16" s="108">
        <v>1</v>
      </c>
      <c r="AH16" s="108">
        <v>1</v>
      </c>
      <c r="AI16" s="108">
        <v>1</v>
      </c>
      <c r="AJ16" s="108">
        <v>1</v>
      </c>
      <c r="AK16" s="108">
        <v>1</v>
      </c>
      <c r="AL16" s="108">
        <v>1.05</v>
      </c>
    </row>
    <row r="17" spans="1:38" ht="24.75" customHeight="1">
      <c r="A17" s="330">
        <v>258623</v>
      </c>
      <c r="B17" s="331"/>
      <c r="C17" s="88"/>
      <c r="D17" s="340">
        <v>5</v>
      </c>
      <c r="E17" s="341" t="s">
        <v>98</v>
      </c>
      <c r="F17" s="432" t="s">
        <v>1430</v>
      </c>
      <c r="G17" s="433" t="s">
        <v>93</v>
      </c>
      <c r="H17" s="434" t="s">
        <v>98</v>
      </c>
      <c r="I17" s="434" t="s">
        <v>98</v>
      </c>
      <c r="J17" s="94">
        <v>1</v>
      </c>
      <c r="K17" s="433" t="s">
        <v>679</v>
      </c>
      <c r="L17" s="1560">
        <v>55.978260869565219</v>
      </c>
      <c r="M17" s="1557">
        <v>1</v>
      </c>
      <c r="N17" s="1558">
        <v>3.0161925676538148</v>
      </c>
      <c r="O17" s="1559" t="s">
        <v>3244</v>
      </c>
      <c r="P17" s="1560">
        <v>55.978260869565219</v>
      </c>
      <c r="Q17" s="95">
        <v>1</v>
      </c>
      <c r="R17" s="96">
        <f t="shared" si="4"/>
        <v>3.0161925676538148</v>
      </c>
      <c r="S17" s="432" t="str">
        <f t="shared" si="5"/>
        <v>(1,4,1,3,1,3,BU:3); panel demand based on yield and efficiency. 1% rejects considered</v>
      </c>
      <c r="U17" s="77" t="s">
        <v>2029</v>
      </c>
      <c r="V17" s="339">
        <v>1</v>
      </c>
      <c r="W17" s="339">
        <v>4</v>
      </c>
      <c r="X17" s="339">
        <v>1</v>
      </c>
      <c r="Y17" s="339">
        <v>3</v>
      </c>
      <c r="Z17" s="339">
        <v>1</v>
      </c>
      <c r="AA17" s="339">
        <v>3</v>
      </c>
      <c r="AB17" s="104">
        <v>9</v>
      </c>
      <c r="AC17" s="104">
        <v>3</v>
      </c>
      <c r="AD17" s="107">
        <f t="shared" si="0"/>
        <v>1.1150377561073679</v>
      </c>
      <c r="AE17" s="107">
        <f t="shared" si="1"/>
        <v>3.0161925676538148</v>
      </c>
      <c r="AF17" s="107" t="str">
        <f t="shared" si="2"/>
        <v>(1,4,1,3,1,3,BU:3)</v>
      </c>
      <c r="AG17" s="108">
        <v>1</v>
      </c>
      <c r="AH17" s="108">
        <v>1.1000000000000001</v>
      </c>
      <c r="AI17" s="108">
        <v>1</v>
      </c>
      <c r="AJ17" s="108">
        <v>1.02</v>
      </c>
      <c r="AK17" s="108">
        <v>1</v>
      </c>
      <c r="AL17" s="108">
        <v>1.05</v>
      </c>
    </row>
    <row r="18" spans="1:38" ht="24.75" customHeight="1">
      <c r="A18" s="330">
        <v>257244</v>
      </c>
      <c r="B18" s="331" t="s">
        <v>2030</v>
      </c>
      <c r="C18" s="88"/>
      <c r="D18" s="340">
        <v>5</v>
      </c>
      <c r="E18" s="341" t="s">
        <v>98</v>
      </c>
      <c r="F18" s="432" t="s">
        <v>1594</v>
      </c>
      <c r="G18" s="433" t="s">
        <v>340</v>
      </c>
      <c r="H18" s="434" t="s">
        <v>98</v>
      </c>
      <c r="I18" s="434" t="s">
        <v>98</v>
      </c>
      <c r="J18" s="94">
        <v>0</v>
      </c>
      <c r="K18" s="433" t="s">
        <v>96</v>
      </c>
      <c r="L18" s="1560">
        <v>721.78115145597212</v>
      </c>
      <c r="M18" s="1557">
        <v>1</v>
      </c>
      <c r="N18" s="1558">
        <v>1.3000688016831126</v>
      </c>
      <c r="O18" s="1559" t="s">
        <v>3245</v>
      </c>
      <c r="P18" s="1560">
        <v>721.78115145597212</v>
      </c>
      <c r="Q18" s="95">
        <v>1</v>
      </c>
      <c r="R18" s="96">
        <f t="shared" si="4"/>
        <v>1.3000688016831126</v>
      </c>
      <c r="S18" s="432" t="str">
        <f t="shared" si="5"/>
        <v>(4,5,na,na,na,na,BU:1.05); recycling of PV modules at the end of life</v>
      </c>
      <c r="U18" s="77" t="s">
        <v>1863</v>
      </c>
      <c r="V18" s="339">
        <v>4</v>
      </c>
      <c r="W18" s="339">
        <v>5</v>
      </c>
      <c r="X18" s="339" t="s">
        <v>106</v>
      </c>
      <c r="Y18" s="339" t="s">
        <v>106</v>
      </c>
      <c r="Z18" s="339" t="s">
        <v>106</v>
      </c>
      <c r="AA18" s="339" t="s">
        <v>106</v>
      </c>
      <c r="AB18" s="104">
        <v>6</v>
      </c>
      <c r="AC18" s="104">
        <v>1.05</v>
      </c>
      <c r="AD18" s="107">
        <f t="shared" si="0"/>
        <v>1.2941338353151037</v>
      </c>
      <c r="AE18" s="107">
        <f t="shared" si="1"/>
        <v>1.3000688016831126</v>
      </c>
      <c r="AF18" s="107" t="str">
        <f t="shared" si="2"/>
        <v>(4,5,na,na,na,na,BU:1.05)</v>
      </c>
      <c r="AG18" s="108">
        <v>1.2</v>
      </c>
      <c r="AH18" s="108">
        <v>1.2</v>
      </c>
      <c r="AI18" s="108">
        <v>1</v>
      </c>
      <c r="AJ18" s="108">
        <v>1</v>
      </c>
      <c r="AK18" s="108">
        <v>1</v>
      </c>
      <c r="AL18" s="108">
        <v>1</v>
      </c>
    </row>
    <row r="19" spans="1:38" ht="24" customHeight="1">
      <c r="A19" s="330">
        <v>266207</v>
      </c>
      <c r="B19" s="331" t="s">
        <v>322</v>
      </c>
      <c r="C19" s="88"/>
      <c r="D19" s="340">
        <v>5</v>
      </c>
      <c r="E19" s="341" t="s">
        <v>98</v>
      </c>
      <c r="F19" s="432" t="s">
        <v>1864</v>
      </c>
      <c r="G19" s="433" t="s">
        <v>93</v>
      </c>
      <c r="H19" s="434" t="s">
        <v>98</v>
      </c>
      <c r="I19" s="434" t="s">
        <v>98</v>
      </c>
      <c r="J19" s="94">
        <v>0</v>
      </c>
      <c r="K19" s="433" t="s">
        <v>115</v>
      </c>
      <c r="L19" s="1560">
        <v>100.54856492159836</v>
      </c>
      <c r="M19" s="1557">
        <v>1</v>
      </c>
      <c r="N19" s="1558">
        <v>2.0949941301068096</v>
      </c>
      <c r="O19" s="1559" t="s">
        <v>3246</v>
      </c>
      <c r="P19" s="1560">
        <v>103.90507680080781</v>
      </c>
      <c r="Q19" s="95">
        <v>1</v>
      </c>
      <c r="R19" s="96">
        <f t="shared" si="4"/>
        <v>2.0949941301068096</v>
      </c>
      <c r="S19" s="432" t="str">
        <f t="shared" si="5"/>
        <v>(4,5,na,na,na,na,BU:2); transport panel, electrical installation and mounting structure, 100km to construction place</v>
      </c>
      <c r="U19" s="77" t="s">
        <v>2031</v>
      </c>
      <c r="V19" s="339">
        <v>4</v>
      </c>
      <c r="W19" s="339">
        <v>5</v>
      </c>
      <c r="X19" s="339" t="s">
        <v>106</v>
      </c>
      <c r="Y19" s="339" t="s">
        <v>106</v>
      </c>
      <c r="Z19" s="339" t="s">
        <v>106</v>
      </c>
      <c r="AA19" s="339" t="s">
        <v>106</v>
      </c>
      <c r="AB19" s="104">
        <v>5</v>
      </c>
      <c r="AC19" s="104">
        <v>2</v>
      </c>
      <c r="AD19" s="107">
        <f t="shared" si="0"/>
        <v>1.2941338353151037</v>
      </c>
      <c r="AE19" s="107">
        <f t="shared" si="1"/>
        <v>2.0949941301068096</v>
      </c>
      <c r="AF19" s="107" t="str">
        <f t="shared" si="2"/>
        <v>(4,5,na,na,na,na,BU:2)</v>
      </c>
      <c r="AG19" s="108">
        <v>1.2</v>
      </c>
      <c r="AH19" s="108">
        <v>1.2</v>
      </c>
      <c r="AI19" s="108">
        <v>1</v>
      </c>
      <c r="AJ19" s="108">
        <v>1</v>
      </c>
      <c r="AK19" s="108">
        <v>1</v>
      </c>
      <c r="AL19" s="108">
        <v>1</v>
      </c>
    </row>
    <row r="20" spans="1:38">
      <c r="A20" s="330">
        <v>21844</v>
      </c>
      <c r="B20" s="331" t="s">
        <v>1228</v>
      </c>
      <c r="C20" s="88"/>
      <c r="D20" s="340" t="s">
        <v>98</v>
      </c>
      <c r="E20" s="341">
        <v>4</v>
      </c>
      <c r="F20" s="432" t="s">
        <v>121</v>
      </c>
      <c r="G20" s="433" t="s">
        <v>98</v>
      </c>
      <c r="H20" s="434" t="s">
        <v>247</v>
      </c>
      <c r="I20" s="434" t="s">
        <v>258</v>
      </c>
      <c r="J20" s="94" t="s">
        <v>98</v>
      </c>
      <c r="K20" s="433" t="s">
        <v>104</v>
      </c>
      <c r="L20" s="1560">
        <v>2.7600000000000002</v>
      </c>
      <c r="M20" s="1557">
        <v>1</v>
      </c>
      <c r="N20" s="1558">
        <v>1.0714359004449265</v>
      </c>
      <c r="O20" s="1559" t="s">
        <v>3247</v>
      </c>
      <c r="P20" s="1560">
        <v>2.7600000000000002</v>
      </c>
      <c r="Q20" s="95">
        <v>1</v>
      </c>
      <c r="R20" s="96">
        <f t="shared" si="4"/>
        <v>1.0714359004449265</v>
      </c>
      <c r="S20" s="432" t="str">
        <f t="shared" si="5"/>
        <v>(1,1,1,1,1,3,BU:1.05); calculated with electricty use</v>
      </c>
      <c r="U20" s="77" t="s">
        <v>2032</v>
      </c>
      <c r="V20" s="339">
        <f t="shared" ref="V20:AA20" si="6">V$9</f>
        <v>1</v>
      </c>
      <c r="W20" s="339">
        <f t="shared" si="6"/>
        <v>1</v>
      </c>
      <c r="X20" s="339">
        <f t="shared" si="6"/>
        <v>1</v>
      </c>
      <c r="Y20" s="339">
        <f t="shared" si="6"/>
        <v>1</v>
      </c>
      <c r="Z20" s="339">
        <f t="shared" si="6"/>
        <v>1</v>
      </c>
      <c r="AA20" s="339">
        <f t="shared" si="6"/>
        <v>3</v>
      </c>
      <c r="AB20" s="104">
        <v>13</v>
      </c>
      <c r="AC20" s="104">
        <v>1.05</v>
      </c>
      <c r="AD20" s="107">
        <f t="shared" si="0"/>
        <v>1.05</v>
      </c>
      <c r="AE20" s="107">
        <f t="shared" si="1"/>
        <v>1.0714359004449265</v>
      </c>
      <c r="AF20" s="107" t="str">
        <f t="shared" si="2"/>
        <v>(1,1,1,1,1,3,BU:1.05)</v>
      </c>
      <c r="AG20" s="108">
        <v>1</v>
      </c>
      <c r="AH20" s="108">
        <v>1</v>
      </c>
      <c r="AI20" s="108">
        <v>1</v>
      </c>
      <c r="AJ20" s="108">
        <v>1</v>
      </c>
      <c r="AK20" s="108">
        <v>1</v>
      </c>
      <c r="AL20" s="108">
        <v>1.05</v>
      </c>
    </row>
  </sheetData>
  <mergeCells count="1">
    <mergeCell ref="V1:AA1"/>
  </mergeCells>
  <conditionalFormatting sqref="D9:S20 U9:AA20">
    <cfRule type="expression" dxfId="54" priority="1">
      <formula>MOD(ROW(),2)=0</formula>
    </cfRule>
  </conditionalFormatting>
  <conditionalFormatting sqref="AB9:AL20">
    <cfRule type="expression" dxfId="53" priority="3">
      <formula>MOD(ROW(),2)=0</formula>
    </cfRule>
  </conditionalFormatting>
  <dataValidations count="11">
    <dataValidation allowBlank="1" showInputMessage="1" showErrorMessage="1" promptTitle="Remarks" prompt="A general comment (data source, calculation procedure, ...) can be made about each individual exchange. The remarks are added to the GeneralComment-field." sqref="U3 U18" xr:uid="{00000000-0002-0000-5300-000003000000}"/>
    <dataValidation allowBlank="1" showInputMessage="1" showErrorMessage="1" prompt="Do not change." sqref="AB3:AL4 AD7:AL8" xr:uid="{00000000-0002-0000-5300-000004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W3" xr:uid="{00000000-0002-0000-5300-000005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X3" xr:uid="{00000000-0002-0000-5300-000006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Y3" xr:uid="{00000000-0002-0000-5300-000007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Z3" xr:uid="{00000000-0002-0000-5300-000008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A3" xr:uid="{00000000-0002-0000-5300-000009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V3" xr:uid="{00000000-0002-0000-5300-00000A000000}"/>
    <dataValidation allowBlank="1" showInputMessage="1" showErrorMessage="1" promptTitle="Do not change" prompt="This field is automatically updated from the names-list" sqref="AB9:AB20" xr:uid="{00000000-0002-0000-5300-000000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9:K20" xr:uid="{00000000-0002-0000-5300-000001000000}"/>
    <dataValidation allowBlank="1" showInputMessage="1" showErrorMessage="1" promptTitle="Do not change" prompt="This field is automatically calculated from your inputs." sqref="AC9:AL20" xr:uid="{00000000-0002-0000-5300-000002000000}"/>
  </dataValidations>
  <pageMargins left="0.78740157499999996" right="0.78740157499999996" top="0.984251969" bottom="0.984251969" header="0.4921259845" footer="0.4921259845"/>
  <pageSetup paperSize="9" scale="67"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92">
    <tabColor rgb="FF9CD9F0"/>
  </sheetPr>
  <dimension ref="A1:AL85"/>
  <sheetViews>
    <sheetView topLeftCell="A15" workbookViewId="0">
      <selection activeCell="N39" sqref="N39"/>
    </sheetView>
  </sheetViews>
  <sheetFormatPr baseColWidth="10" defaultColWidth="11.42578125" defaultRowHeight="15" outlineLevelRow="1" outlineLevelCol="1"/>
  <cols>
    <col min="1" max="1" width="20.7109375" style="56" customWidth="1"/>
    <col min="2" max="2" width="10.7109375" style="56" hidden="1" customWidth="1" outlineLevel="1"/>
    <col min="3" max="3" width="12.7109375" style="56" hidden="1" customWidth="1" outlineLevel="1"/>
    <col min="4" max="4" width="15.7109375" style="56" hidden="1" customWidth="1" outlineLevel="1"/>
    <col min="5" max="5" width="15.7109375" style="56" hidden="1" customWidth="1" outlineLevel="1" collapsed="1"/>
    <col min="6" max="10" width="15.7109375" style="56" hidden="1" customWidth="1" outlineLevel="1"/>
    <col min="11" max="14" width="15.7109375" style="56" customWidth="1" collapsed="1"/>
    <col min="15" max="25" width="15.7109375" style="56" customWidth="1"/>
    <col min="26" max="26" width="15.7109375" style="56" customWidth="1" collapsed="1"/>
    <col min="27" max="38" width="15.7109375" style="56" customWidth="1"/>
    <col min="39" max="40" width="11.42578125" style="56" customWidth="1"/>
    <col min="41" max="16384" width="11.42578125" style="56"/>
  </cols>
  <sheetData>
    <row r="1" spans="1:38" ht="18.75" customHeight="1">
      <c r="A1" s="55" t="s">
        <v>2034</v>
      </c>
      <c r="B1" s="55"/>
      <c r="C1" s="55"/>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row>
    <row r="2" spans="1:38" ht="18.75" customHeight="1">
      <c r="A2" s="55" t="s">
        <v>2035</v>
      </c>
      <c r="B2" s="55"/>
      <c r="C2" s="55"/>
      <c r="D2" s="252"/>
      <c r="E2" s="252"/>
      <c r="F2" s="252"/>
      <c r="G2" s="252"/>
      <c r="H2" s="252"/>
      <c r="I2" s="252"/>
      <c r="J2" s="252"/>
      <c r="K2" s="252"/>
      <c r="L2" s="252"/>
      <c r="M2" s="252"/>
      <c r="N2" s="252"/>
      <c r="O2" s="252"/>
      <c r="P2" s="252"/>
      <c r="Q2" s="252"/>
      <c r="R2" s="252"/>
      <c r="S2" s="252"/>
      <c r="T2" s="252"/>
      <c r="U2" s="252"/>
      <c r="V2" s="252"/>
      <c r="W2" s="252"/>
      <c r="X2" s="252"/>
      <c r="Y2" s="252"/>
      <c r="Z2" s="252"/>
      <c r="AA2" s="252"/>
      <c r="AB2" s="252"/>
      <c r="AC2" s="252"/>
      <c r="AD2" s="252"/>
      <c r="AE2" s="252"/>
      <c r="AF2" s="252"/>
      <c r="AG2" s="252"/>
      <c r="AH2" s="252"/>
      <c r="AI2" s="252"/>
      <c r="AJ2" s="252"/>
      <c r="AK2" s="252"/>
      <c r="AL2" s="252"/>
    </row>
    <row r="4" spans="1:38">
      <c r="A4" s="252"/>
      <c r="B4" s="252"/>
      <c r="C4" s="252"/>
      <c r="D4" s="252"/>
      <c r="E4" s="252"/>
      <c r="F4" s="252"/>
      <c r="G4" s="252"/>
      <c r="H4" s="252"/>
      <c r="I4" s="252"/>
      <c r="J4" s="252"/>
      <c r="K4" s="252"/>
      <c r="L4" s="252"/>
      <c r="M4" s="252"/>
      <c r="N4" s="252"/>
      <c r="O4" s="252" t="s">
        <v>2036</v>
      </c>
      <c r="P4" s="252"/>
      <c r="Q4" s="252"/>
      <c r="R4" s="252"/>
      <c r="S4" s="252"/>
      <c r="T4" s="252"/>
      <c r="U4" s="252"/>
      <c r="V4" s="252"/>
      <c r="W4" s="252"/>
      <c r="X4" s="252"/>
      <c r="Y4" s="252"/>
      <c r="Z4" s="252"/>
      <c r="AA4" s="252"/>
      <c r="AB4" s="252"/>
      <c r="AC4" s="252"/>
      <c r="AD4" s="252"/>
      <c r="AE4" s="1603" t="s">
        <v>2037</v>
      </c>
      <c r="AF4" s="1603"/>
      <c r="AG4" s="1603"/>
      <c r="AH4" s="1603"/>
      <c r="AI4" s="1603"/>
      <c r="AJ4" s="1603"/>
      <c r="AK4" s="1603"/>
      <c r="AL4" s="1603"/>
    </row>
    <row r="5" spans="1:38" s="59" customFormat="1" ht="12" customHeight="1" outlineLevel="1">
      <c r="A5" s="1181"/>
      <c r="B5" s="1181"/>
      <c r="C5" s="1181"/>
      <c r="D5" s="1181"/>
      <c r="E5" s="1180" t="s">
        <v>2038</v>
      </c>
      <c r="F5" s="1181"/>
      <c r="G5" s="1181"/>
      <c r="H5" s="1181"/>
      <c r="I5" s="1181"/>
      <c r="J5" s="1181"/>
      <c r="K5" s="1181"/>
      <c r="L5" s="1181" t="s">
        <v>2039</v>
      </c>
      <c r="M5" s="1181" t="s">
        <v>2040</v>
      </c>
      <c r="N5" s="1181" t="s">
        <v>2041</v>
      </c>
      <c r="O5" s="1181"/>
      <c r="P5" s="1181"/>
      <c r="Q5" s="1181"/>
      <c r="R5" s="1181" t="s">
        <v>2042</v>
      </c>
      <c r="S5" s="1181" t="s">
        <v>2043</v>
      </c>
      <c r="T5" s="1181" t="s">
        <v>2044</v>
      </c>
      <c r="U5" s="1181" t="s">
        <v>2045</v>
      </c>
      <c r="V5" s="1181" t="s">
        <v>2046</v>
      </c>
      <c r="W5" s="1181" t="s">
        <v>2047</v>
      </c>
      <c r="X5" s="1181" t="s">
        <v>2048</v>
      </c>
      <c r="Y5" s="1181" t="s">
        <v>2049</v>
      </c>
      <c r="Z5" s="1181" t="s">
        <v>2050</v>
      </c>
      <c r="AA5" s="1181" t="s">
        <v>2051</v>
      </c>
      <c r="AB5" s="1181" t="s">
        <v>2052</v>
      </c>
      <c r="AC5" s="1181" t="s">
        <v>2053</v>
      </c>
      <c r="AD5" s="1181" t="s">
        <v>2054</v>
      </c>
      <c r="AE5" s="1181" t="s">
        <v>2055</v>
      </c>
      <c r="AF5" s="1181" t="s">
        <v>2056</v>
      </c>
      <c r="AG5" s="1181" t="s">
        <v>2057</v>
      </c>
      <c r="AH5" s="1181" t="s">
        <v>2058</v>
      </c>
      <c r="AI5" s="1181" t="s">
        <v>2059</v>
      </c>
      <c r="AJ5" s="1181" t="s">
        <v>2060</v>
      </c>
      <c r="AK5" s="1181" t="s">
        <v>2061</v>
      </c>
      <c r="AL5" s="1181" t="s">
        <v>2062</v>
      </c>
    </row>
    <row r="6" spans="1:38" s="59" customFormat="1" ht="12" customHeight="1" outlineLevel="1">
      <c r="A6" s="1181"/>
      <c r="B6" s="1181"/>
      <c r="C6" s="1181"/>
      <c r="D6" s="1181"/>
      <c r="E6" s="1181"/>
      <c r="F6" s="1181"/>
      <c r="G6" s="1181"/>
      <c r="H6" s="1181"/>
      <c r="I6" s="1181"/>
      <c r="J6" s="1181"/>
      <c r="K6" s="1181"/>
      <c r="L6" s="1181"/>
      <c r="M6" s="1181"/>
      <c r="N6" s="1181"/>
      <c r="O6" s="1181"/>
      <c r="P6" s="1181"/>
      <c r="Q6" s="1181"/>
      <c r="R6" s="1181"/>
      <c r="S6" s="1181"/>
      <c r="T6" s="1181"/>
      <c r="U6" s="1181"/>
      <c r="V6" s="1181"/>
      <c r="W6" s="1181"/>
      <c r="X6" s="1181"/>
      <c r="Y6" s="1181"/>
      <c r="Z6" s="1181"/>
      <c r="AA6" s="1181"/>
      <c r="AB6" s="1181"/>
      <c r="AC6" s="1181"/>
      <c r="AD6" s="1181"/>
      <c r="AE6" s="1181"/>
      <c r="AF6" s="1181"/>
      <c r="AG6" s="1181"/>
      <c r="AH6" s="1181"/>
      <c r="AI6" s="1181"/>
      <c r="AJ6" s="1181"/>
      <c r="AK6" s="1181"/>
      <c r="AL6" s="1181"/>
    </row>
    <row r="7" spans="1:38" s="1179" customFormat="1" ht="30" customHeight="1">
      <c r="A7" s="1606" t="s">
        <v>1439</v>
      </c>
      <c r="B7" s="1606" t="s">
        <v>88</v>
      </c>
      <c r="C7" s="1606" t="s">
        <v>2063</v>
      </c>
      <c r="D7" s="1601" t="s">
        <v>2064</v>
      </c>
      <c r="E7" s="1601" t="s">
        <v>2065</v>
      </c>
      <c r="F7" s="1601" t="s">
        <v>2066</v>
      </c>
      <c r="G7" s="1601" t="s">
        <v>2067</v>
      </c>
      <c r="H7" s="1601" t="s">
        <v>2068</v>
      </c>
      <c r="I7" s="1601" t="s">
        <v>2069</v>
      </c>
      <c r="J7" s="1601" t="s">
        <v>2070</v>
      </c>
      <c r="K7" s="1601" t="s">
        <v>2071</v>
      </c>
      <c r="L7" s="1601" t="s">
        <v>2072</v>
      </c>
      <c r="M7" s="1601" t="s">
        <v>2073</v>
      </c>
      <c r="N7" s="1601" t="s">
        <v>2074</v>
      </c>
      <c r="O7" s="1601" t="s">
        <v>2075</v>
      </c>
      <c r="P7" s="1604"/>
      <c r="Q7" s="1604"/>
      <c r="R7" s="1604"/>
      <c r="S7" s="1604"/>
      <c r="T7" s="1605"/>
      <c r="U7" s="1601" t="s">
        <v>2076</v>
      </c>
      <c r="V7" s="1604"/>
      <c r="W7" s="1604"/>
      <c r="X7" s="1604"/>
      <c r="Y7" s="1605"/>
      <c r="Z7" s="1601" t="s">
        <v>2077</v>
      </c>
      <c r="AA7" s="1604"/>
      <c r="AB7" s="1604"/>
      <c r="AC7" s="1604"/>
      <c r="AD7" s="1605"/>
      <c r="AE7" s="1601" t="s">
        <v>2078</v>
      </c>
      <c r="AF7" s="1604"/>
      <c r="AG7" s="1604"/>
      <c r="AH7" s="1604"/>
      <c r="AI7" s="1604"/>
      <c r="AJ7" s="1604"/>
      <c r="AK7" s="1604"/>
      <c r="AL7" s="1605"/>
    </row>
    <row r="8" spans="1:38" s="1179" customFormat="1" ht="45" customHeight="1">
      <c r="A8" s="1607"/>
      <c r="B8" s="1607"/>
      <c r="C8" s="1607"/>
      <c r="D8" s="1602"/>
      <c r="E8" s="1602"/>
      <c r="F8" s="1602"/>
      <c r="G8" s="1602"/>
      <c r="H8" s="1602"/>
      <c r="I8" s="1602"/>
      <c r="J8" s="1602"/>
      <c r="K8" s="1602"/>
      <c r="L8" s="1602"/>
      <c r="M8" s="1602"/>
      <c r="N8" s="1602"/>
      <c r="O8" s="1182" t="s">
        <v>2079</v>
      </c>
      <c r="P8" s="1182" t="s">
        <v>2080</v>
      </c>
      <c r="Q8" s="1182" t="s">
        <v>2081</v>
      </c>
      <c r="R8" s="1182" t="s">
        <v>2082</v>
      </c>
      <c r="S8" s="1182" t="s">
        <v>2083</v>
      </c>
      <c r="T8" s="1182" t="s">
        <v>2084</v>
      </c>
      <c r="U8" s="1182" t="s">
        <v>2085</v>
      </c>
      <c r="V8" s="1182" t="s">
        <v>2086</v>
      </c>
      <c r="W8" s="1182" t="s">
        <v>2087</v>
      </c>
      <c r="X8" s="1182" t="s">
        <v>2088</v>
      </c>
      <c r="Y8" s="1182" t="s">
        <v>2089</v>
      </c>
      <c r="Z8" s="1182" t="s">
        <v>2085</v>
      </c>
      <c r="AA8" s="1182" t="s">
        <v>2086</v>
      </c>
      <c r="AB8" s="1182" t="s">
        <v>2087</v>
      </c>
      <c r="AC8" s="1182" t="s">
        <v>2088</v>
      </c>
      <c r="AD8" s="1182" t="s">
        <v>2089</v>
      </c>
      <c r="AE8" s="1182" t="s">
        <v>2090</v>
      </c>
      <c r="AF8" s="1182" t="s">
        <v>2056</v>
      </c>
      <c r="AG8" s="1182" t="s">
        <v>2091</v>
      </c>
      <c r="AH8" s="1182" t="s">
        <v>2058</v>
      </c>
      <c r="AI8" s="1182" t="s">
        <v>2092</v>
      </c>
      <c r="AJ8" s="1182" t="s">
        <v>2060</v>
      </c>
      <c r="AK8" s="1182" t="s">
        <v>2093</v>
      </c>
      <c r="AL8" s="1182" t="s">
        <v>2094</v>
      </c>
    </row>
    <row r="9" spans="1:38" ht="17.25" customHeight="1">
      <c r="A9" s="1602"/>
      <c r="B9" s="1602"/>
      <c r="C9" s="1602"/>
      <c r="D9" s="1183" t="s">
        <v>2095</v>
      </c>
      <c r="E9" s="1183" t="s">
        <v>2096</v>
      </c>
      <c r="F9" s="1183" t="s">
        <v>2095</v>
      </c>
      <c r="G9" s="1183" t="s">
        <v>2095</v>
      </c>
      <c r="H9" s="1183" t="s">
        <v>2095</v>
      </c>
      <c r="I9" s="1183" t="s">
        <v>2095</v>
      </c>
      <c r="J9" s="1183"/>
      <c r="K9" s="1183" t="s">
        <v>2095</v>
      </c>
      <c r="L9" s="1183" t="s">
        <v>2095</v>
      </c>
      <c r="M9" s="1183" t="s">
        <v>2095</v>
      </c>
      <c r="N9" s="1183" t="s">
        <v>2095</v>
      </c>
      <c r="O9" s="1183" t="s">
        <v>2097</v>
      </c>
      <c r="P9" s="1183" t="s">
        <v>2097</v>
      </c>
      <c r="Q9" s="1183" t="s">
        <v>2097</v>
      </c>
      <c r="R9" s="1183" t="s">
        <v>1318</v>
      </c>
      <c r="S9" s="1183" t="s">
        <v>1318</v>
      </c>
      <c r="T9" s="1183" t="s">
        <v>1318</v>
      </c>
      <c r="U9" s="1183" t="s">
        <v>1318</v>
      </c>
      <c r="V9" s="1183" t="s">
        <v>1318</v>
      </c>
      <c r="W9" s="1183" t="s">
        <v>1318</v>
      </c>
      <c r="X9" s="1183" t="s">
        <v>1318</v>
      </c>
      <c r="Y9" s="1183" t="s">
        <v>1318</v>
      </c>
      <c r="Z9" s="1183" t="s">
        <v>1318</v>
      </c>
      <c r="AA9" s="1183" t="s">
        <v>1318</v>
      </c>
      <c r="AB9" s="1183" t="s">
        <v>1318</v>
      </c>
      <c r="AC9" s="1183" t="s">
        <v>1318</v>
      </c>
      <c r="AD9" s="1183" t="s">
        <v>1318</v>
      </c>
      <c r="AE9" s="1183" t="s">
        <v>1318</v>
      </c>
      <c r="AF9" s="1183"/>
      <c r="AG9" s="1183" t="s">
        <v>1318</v>
      </c>
      <c r="AH9" s="1183"/>
      <c r="AI9" s="1183" t="s">
        <v>1318</v>
      </c>
      <c r="AJ9" s="1183"/>
      <c r="AK9" s="1183" t="s">
        <v>1318</v>
      </c>
      <c r="AL9" s="1183" t="s">
        <v>1318</v>
      </c>
    </row>
    <row r="10" spans="1:38">
      <c r="A10" s="1168" t="s">
        <v>2098</v>
      </c>
      <c r="B10" s="1168" t="s">
        <v>2099</v>
      </c>
      <c r="C10" s="1168" t="s">
        <v>2100</v>
      </c>
      <c r="D10" s="1169">
        <v>1400</v>
      </c>
      <c r="E10" s="1170">
        <v>1914</v>
      </c>
      <c r="F10" s="1170">
        <f t="shared" ref="F10:F29" si="0">E10*0.75</f>
        <v>1435.5</v>
      </c>
      <c r="G10" s="1170">
        <f t="shared" ref="G10:G29" si="1">E10*0.8</f>
        <v>1531.2</v>
      </c>
      <c r="H10" s="1170">
        <f t="shared" ref="H10:H29" si="2">(F10*(1-R10)+G10*R10)</f>
        <v>1467.7028937452901</v>
      </c>
      <c r="I10" s="1170">
        <f t="shared" ref="I10:I40" si="3">D10</f>
        <v>1400</v>
      </c>
      <c r="J10" s="1170">
        <f t="shared" ref="J10:J46" si="4">I10*$C$50</f>
        <v>1257.8999999999999</v>
      </c>
      <c r="K10" s="1170">
        <f>I10</f>
        <v>1400</v>
      </c>
      <c r="L10" s="1170">
        <f>($F10/$I10*$K10)/((1-($AK10+$AL10))+($AK10+$AL10)*0.7)</f>
        <v>1444.1649899396377</v>
      </c>
      <c r="M10" s="1170">
        <f t="shared" ref="M10:M46" si="5">L10*0.7</f>
        <v>1010.9154929577463</v>
      </c>
      <c r="N10" s="1170">
        <f>$G10/$H10*$K10</f>
        <v>1460.5680816842632</v>
      </c>
      <c r="O10" s="1171">
        <v>26414</v>
      </c>
      <c r="P10" s="1171">
        <v>13396</v>
      </c>
      <c r="Q10" s="1170">
        <f t="shared" ref="Q10:Q16" si="6">O10+P10</f>
        <v>39810</v>
      </c>
      <c r="R10" s="1172">
        <f t="shared" ref="R10:R16" si="7">P10/Q10</f>
        <v>0.33649836724441096</v>
      </c>
      <c r="S10" s="1172">
        <f t="shared" ref="S10:T29" si="8">(1-$R10)*S$47</f>
        <v>0.26540065310223565</v>
      </c>
      <c r="T10" s="1172">
        <f t="shared" si="8"/>
        <v>0.39810097965335339</v>
      </c>
      <c r="U10" s="1172">
        <f t="shared" ref="U10:AL10" si="9">U$47</f>
        <v>0.79</v>
      </c>
      <c r="V10" s="1172">
        <f t="shared" si="9"/>
        <v>0.17</v>
      </c>
      <c r="W10" s="1172">
        <f t="shared" si="9"/>
        <v>0.04</v>
      </c>
      <c r="X10" s="1172">
        <f t="shared" si="9"/>
        <v>0</v>
      </c>
      <c r="Y10" s="1172">
        <f t="shared" si="9"/>
        <v>0</v>
      </c>
      <c r="Z10" s="1172">
        <f t="shared" si="9"/>
        <v>0.79</v>
      </c>
      <c r="AA10" s="1172">
        <f t="shared" si="9"/>
        <v>0.17</v>
      </c>
      <c r="AB10" s="1172">
        <f t="shared" si="9"/>
        <v>0.04</v>
      </c>
      <c r="AC10" s="1172">
        <f t="shared" si="9"/>
        <v>0</v>
      </c>
      <c r="AD10" s="1172">
        <f t="shared" si="9"/>
        <v>0</v>
      </c>
      <c r="AE10" s="1172">
        <f t="shared" si="9"/>
        <v>0.2</v>
      </c>
      <c r="AF10" s="1172">
        <f t="shared" si="9"/>
        <v>0.3</v>
      </c>
      <c r="AG10" s="1172">
        <f t="shared" si="9"/>
        <v>1.2E-2</v>
      </c>
      <c r="AH10" s="1172">
        <f t="shared" si="9"/>
        <v>1.7999999999999999E-2</v>
      </c>
      <c r="AI10" s="1172">
        <f t="shared" si="9"/>
        <v>0.18000000000000002</v>
      </c>
      <c r="AJ10" s="1172">
        <f t="shared" si="9"/>
        <v>0.27</v>
      </c>
      <c r="AK10" s="1172">
        <f t="shared" si="9"/>
        <v>0.01</v>
      </c>
      <c r="AL10" s="1172">
        <f t="shared" si="9"/>
        <v>0.01</v>
      </c>
    </row>
    <row r="11" spans="1:38">
      <c r="A11" s="1173" t="s">
        <v>2101</v>
      </c>
      <c r="B11" s="1173" t="s">
        <v>2102</v>
      </c>
      <c r="C11" s="1173" t="s">
        <v>1368</v>
      </c>
      <c r="D11" s="1174">
        <v>1050</v>
      </c>
      <c r="E11" s="1175">
        <v>1389</v>
      </c>
      <c r="F11" s="1175">
        <f t="shared" si="0"/>
        <v>1041.75</v>
      </c>
      <c r="G11" s="1175">
        <f t="shared" si="1"/>
        <v>1111.2</v>
      </c>
      <c r="H11" s="1175">
        <f t="shared" si="2"/>
        <v>1048.6848590362799</v>
      </c>
      <c r="I11" s="1175">
        <f t="shared" si="3"/>
        <v>1050</v>
      </c>
      <c r="J11" s="1175">
        <f t="shared" si="4"/>
        <v>943.42499999999995</v>
      </c>
      <c r="K11" s="1175">
        <f>I11</f>
        <v>1050</v>
      </c>
      <c r="L11" s="1175">
        <f>($F11/$I11*$K11)/((1-($AK11+$AL11))+($AK11+$AL11)*0.7)</f>
        <v>1043.8949897048731</v>
      </c>
      <c r="M11" s="1175">
        <f t="shared" si="5"/>
        <v>730.72649279341113</v>
      </c>
      <c r="N11" s="1175">
        <f>$G11/$I11*$K11</f>
        <v>1111.2</v>
      </c>
      <c r="O11" s="1176">
        <v>8014</v>
      </c>
      <c r="P11" s="1176">
        <v>889</v>
      </c>
      <c r="Q11" s="1175">
        <f t="shared" si="6"/>
        <v>8903</v>
      </c>
      <c r="R11" s="1177">
        <f t="shared" si="7"/>
        <v>9.9853981803886327E-2</v>
      </c>
      <c r="S11" s="1177">
        <f t="shared" si="8"/>
        <v>0.36005840727844546</v>
      </c>
      <c r="T11" s="1177">
        <f t="shared" si="8"/>
        <v>0.5400876109176681</v>
      </c>
      <c r="U11" s="1177">
        <f t="shared" ref="U11:AD12" si="10">U$47</f>
        <v>0.79</v>
      </c>
      <c r="V11" s="1177">
        <f t="shared" si="10"/>
        <v>0.17</v>
      </c>
      <c r="W11" s="1177">
        <f t="shared" si="10"/>
        <v>0.04</v>
      </c>
      <c r="X11" s="1177">
        <f t="shared" si="10"/>
        <v>0</v>
      </c>
      <c r="Y11" s="1177">
        <f t="shared" si="10"/>
        <v>0</v>
      </c>
      <c r="Z11" s="1177">
        <f t="shared" si="10"/>
        <v>0.79</v>
      </c>
      <c r="AA11" s="1177">
        <f t="shared" si="10"/>
        <v>0.17</v>
      </c>
      <c r="AB11" s="1177">
        <f t="shared" si="10"/>
        <v>0.04</v>
      </c>
      <c r="AC11" s="1177">
        <f t="shared" si="10"/>
        <v>0</v>
      </c>
      <c r="AD11" s="1177">
        <f t="shared" si="10"/>
        <v>0</v>
      </c>
      <c r="AE11" s="1177">
        <f>0.5*85.7/(85.7+1.3+0.6)*$S11/(1-$R11)</f>
        <v>0.19566210045662102</v>
      </c>
      <c r="AF11" s="1177">
        <f>0.5*85.7/(85.7+1.3+0.6)*$T11/(1-$R11)</f>
        <v>0.29349315068493154</v>
      </c>
      <c r="AG11" s="1177">
        <f>1.3/(85.7+1.3+0.6)*$S11/(1-$R11)</f>
        <v>5.9360730593607317E-3</v>
      </c>
      <c r="AH11" s="1177">
        <f>1.3/(85.7+1.3+0.6)*$T11/(1-$R11)</f>
        <v>8.9041095890410957E-3</v>
      </c>
      <c r="AI11" s="1177">
        <f>0.5*85.7/(85.7+1.3+0.6)*$S11/(1-$R11)</f>
        <v>0.19566210045662102</v>
      </c>
      <c r="AJ11" s="1177">
        <f>0.5*85.7/(85.7+1.3+0.6)*$T11/(1-$R11)</f>
        <v>0.29349315068493154</v>
      </c>
      <c r="AK11" s="1177">
        <v>0</v>
      </c>
      <c r="AL11" s="1177">
        <f>0.6/(85.7+1.3+0.6)</f>
        <v>6.8493150684931512E-3</v>
      </c>
    </row>
    <row r="12" spans="1:38">
      <c r="A12" s="1168" t="s">
        <v>2103</v>
      </c>
      <c r="B12" s="1168" t="s">
        <v>2104</v>
      </c>
      <c r="C12" s="1168" t="s">
        <v>1368</v>
      </c>
      <c r="D12" s="1169">
        <v>853</v>
      </c>
      <c r="E12" s="1170">
        <v>1203</v>
      </c>
      <c r="F12" s="1170">
        <f t="shared" si="0"/>
        <v>902.25</v>
      </c>
      <c r="G12" s="1170">
        <f t="shared" si="1"/>
        <v>962.40000000000009</v>
      </c>
      <c r="H12" s="1170">
        <f t="shared" si="2"/>
        <v>903.71984052130665</v>
      </c>
      <c r="I12" s="1170">
        <f t="shared" si="3"/>
        <v>853</v>
      </c>
      <c r="J12" s="1170">
        <f t="shared" si="4"/>
        <v>766.42049999999995</v>
      </c>
      <c r="K12" s="1170">
        <f>I12</f>
        <v>853</v>
      </c>
      <c r="L12" s="1170">
        <f t="shared" ref="L12:L29" si="11">($F12/$H12*$K12)/((1-($AK12+$AL12))+($AK12+$AL12)*0.7)</f>
        <v>856.75317096897436</v>
      </c>
      <c r="M12" s="1170">
        <f t="shared" si="5"/>
        <v>599.72721967828204</v>
      </c>
      <c r="N12" s="1170">
        <f t="shared" ref="N12:N29" si="12">$G12/$H12*$K12</f>
        <v>908.38682873937125</v>
      </c>
      <c r="O12" s="1171">
        <v>11378</v>
      </c>
      <c r="P12" s="1171">
        <v>285</v>
      </c>
      <c r="Q12" s="1170">
        <f t="shared" si="6"/>
        <v>11663</v>
      </c>
      <c r="R12" s="1172">
        <f t="shared" si="7"/>
        <v>2.4436251393295035E-2</v>
      </c>
      <c r="S12" s="1172">
        <f t="shared" si="8"/>
        <v>0.39022549944268198</v>
      </c>
      <c r="T12" s="1172">
        <f t="shared" si="8"/>
        <v>0.58533824916402288</v>
      </c>
      <c r="U12" s="1172">
        <f t="shared" si="10"/>
        <v>0.79</v>
      </c>
      <c r="V12" s="1172">
        <f t="shared" si="10"/>
        <v>0.17</v>
      </c>
      <c r="W12" s="1172">
        <f t="shared" si="10"/>
        <v>0.04</v>
      </c>
      <c r="X12" s="1172">
        <f t="shared" si="10"/>
        <v>0</v>
      </c>
      <c r="Y12" s="1172">
        <f t="shared" si="10"/>
        <v>0</v>
      </c>
      <c r="Z12" s="1172">
        <f t="shared" si="10"/>
        <v>0.79</v>
      </c>
      <c r="AA12" s="1172">
        <f t="shared" si="10"/>
        <v>0.17</v>
      </c>
      <c r="AB12" s="1172">
        <f t="shared" si="10"/>
        <v>0.04</v>
      </c>
      <c r="AC12" s="1172">
        <f t="shared" si="10"/>
        <v>0</v>
      </c>
      <c r="AD12" s="1172">
        <f t="shared" si="10"/>
        <v>0</v>
      </c>
      <c r="AE12" s="1172">
        <f t="shared" ref="AE12:AL12" si="13">AE$47</f>
        <v>0.2</v>
      </c>
      <c r="AF12" s="1172">
        <f t="shared" si="13"/>
        <v>0.3</v>
      </c>
      <c r="AG12" s="1172">
        <f t="shared" si="13"/>
        <v>1.2E-2</v>
      </c>
      <c r="AH12" s="1172">
        <f t="shared" si="13"/>
        <v>1.7999999999999999E-2</v>
      </c>
      <c r="AI12" s="1172">
        <f t="shared" si="13"/>
        <v>0.18000000000000002</v>
      </c>
      <c r="AJ12" s="1172">
        <f t="shared" si="13"/>
        <v>0.27</v>
      </c>
      <c r="AK12" s="1172">
        <f t="shared" si="13"/>
        <v>0.01</v>
      </c>
      <c r="AL12" s="1172">
        <f t="shared" si="13"/>
        <v>0.01</v>
      </c>
    </row>
    <row r="13" spans="1:38">
      <c r="A13" s="1173" t="s">
        <v>2105</v>
      </c>
      <c r="B13" s="1173"/>
      <c r="C13" s="1173"/>
      <c r="D13" s="1174">
        <v>1506</v>
      </c>
      <c r="E13" s="1175">
        <v>1883</v>
      </c>
      <c r="F13" s="1175">
        <f t="shared" si="0"/>
        <v>1412.25</v>
      </c>
      <c r="G13" s="1175">
        <f t="shared" si="1"/>
        <v>1506.4</v>
      </c>
      <c r="H13" s="1175">
        <f t="shared" si="2"/>
        <v>1443.2161890787734</v>
      </c>
      <c r="I13" s="1175">
        <f t="shared" si="3"/>
        <v>1506</v>
      </c>
      <c r="J13" s="1175">
        <f t="shared" si="4"/>
        <v>1353.1409999999998</v>
      </c>
      <c r="K13" s="1175">
        <v>1506</v>
      </c>
      <c r="L13" s="1175">
        <f t="shared" si="11"/>
        <v>1473.6866978727555</v>
      </c>
      <c r="M13" s="1175">
        <f t="shared" si="5"/>
        <v>1031.5806885109289</v>
      </c>
      <c r="N13" s="1175">
        <f t="shared" si="12"/>
        <v>1571.9324777309394</v>
      </c>
      <c r="O13" s="1176">
        <v>34989</v>
      </c>
      <c r="P13" s="1176">
        <v>17148</v>
      </c>
      <c r="Q13" s="1175">
        <f t="shared" si="6"/>
        <v>52137</v>
      </c>
      <c r="R13" s="1177">
        <f t="shared" si="7"/>
        <v>0.32890269865930144</v>
      </c>
      <c r="S13" s="1177">
        <f t="shared" si="8"/>
        <v>0.26843892053627944</v>
      </c>
      <c r="T13" s="1177">
        <f t="shared" si="8"/>
        <v>0.40265838080441912</v>
      </c>
      <c r="U13" s="1177"/>
      <c r="V13" s="1177"/>
      <c r="W13" s="1177"/>
      <c r="X13" s="1177"/>
      <c r="Y13" s="1177"/>
      <c r="Z13" s="1177"/>
      <c r="AA13" s="1177"/>
      <c r="AB13" s="1177"/>
      <c r="AC13" s="1177"/>
      <c r="AD13" s="1177"/>
      <c r="AE13" s="1177"/>
      <c r="AF13" s="1177"/>
      <c r="AG13" s="1177"/>
      <c r="AH13" s="1177"/>
      <c r="AI13" s="1177"/>
      <c r="AJ13" s="1177"/>
      <c r="AK13" s="1177"/>
      <c r="AL13" s="1177"/>
    </row>
    <row r="14" spans="1:38">
      <c r="A14" s="1168" t="s">
        <v>2106</v>
      </c>
      <c r="B14" s="1168" t="s">
        <v>2107</v>
      </c>
      <c r="C14" s="1168" t="s">
        <v>2108</v>
      </c>
      <c r="D14" s="1169">
        <v>1150</v>
      </c>
      <c r="E14" s="1170">
        <v>1554</v>
      </c>
      <c r="F14" s="1170">
        <f t="shared" si="0"/>
        <v>1165.5</v>
      </c>
      <c r="G14" s="1170">
        <f t="shared" si="1"/>
        <v>1243.2</v>
      </c>
      <c r="H14" s="1170">
        <f t="shared" si="2"/>
        <v>1218.4251974723538</v>
      </c>
      <c r="I14" s="1170">
        <f t="shared" si="3"/>
        <v>1150</v>
      </c>
      <c r="J14" s="1170">
        <f t="shared" si="4"/>
        <v>1033.2749999999999</v>
      </c>
      <c r="K14" s="1170">
        <f>I14</f>
        <v>1150</v>
      </c>
      <c r="L14" s="1170">
        <f t="shared" si="11"/>
        <v>1106.6871366047419</v>
      </c>
      <c r="M14" s="1170">
        <f t="shared" si="5"/>
        <v>774.68099562331929</v>
      </c>
      <c r="N14" s="1170">
        <f t="shared" si="12"/>
        <v>1173.3834813707876</v>
      </c>
      <c r="O14" s="1171">
        <v>2422</v>
      </c>
      <c r="P14" s="1171">
        <v>5174</v>
      </c>
      <c r="Q14" s="1170">
        <f t="shared" si="6"/>
        <v>7596</v>
      </c>
      <c r="R14" s="1172">
        <f t="shared" si="7"/>
        <v>0.68114797261716697</v>
      </c>
      <c r="S14" s="1172">
        <f t="shared" si="8"/>
        <v>0.12754081095313322</v>
      </c>
      <c r="T14" s="1172">
        <f t="shared" si="8"/>
        <v>0.19131121642969981</v>
      </c>
      <c r="U14" s="1172">
        <f t="shared" ref="U14:AD23" si="14">U$47</f>
        <v>0.79</v>
      </c>
      <c r="V14" s="1172">
        <f t="shared" si="14"/>
        <v>0.17</v>
      </c>
      <c r="W14" s="1172">
        <f t="shared" si="14"/>
        <v>0.04</v>
      </c>
      <c r="X14" s="1172">
        <f t="shared" si="14"/>
        <v>0</v>
      </c>
      <c r="Y14" s="1172">
        <f t="shared" si="14"/>
        <v>0</v>
      </c>
      <c r="Z14" s="1172">
        <f t="shared" si="14"/>
        <v>0.79</v>
      </c>
      <c r="AA14" s="1172">
        <f t="shared" si="14"/>
        <v>0.17</v>
      </c>
      <c r="AB14" s="1172">
        <f t="shared" si="14"/>
        <v>0.04</v>
      </c>
      <c r="AC14" s="1172">
        <f t="shared" si="14"/>
        <v>0</v>
      </c>
      <c r="AD14" s="1172">
        <f t="shared" si="14"/>
        <v>0</v>
      </c>
      <c r="AE14" s="1172">
        <f t="shared" ref="AE14:AL23" si="15">AE$47</f>
        <v>0.2</v>
      </c>
      <c r="AF14" s="1172">
        <f t="shared" si="15"/>
        <v>0.3</v>
      </c>
      <c r="AG14" s="1172">
        <f t="shared" si="15"/>
        <v>1.2E-2</v>
      </c>
      <c r="AH14" s="1172">
        <f t="shared" si="15"/>
        <v>1.7999999999999999E-2</v>
      </c>
      <c r="AI14" s="1172">
        <f t="shared" si="15"/>
        <v>0.18000000000000002</v>
      </c>
      <c r="AJ14" s="1172">
        <f t="shared" si="15"/>
        <v>0.27</v>
      </c>
      <c r="AK14" s="1172">
        <f t="shared" si="15"/>
        <v>0.01</v>
      </c>
      <c r="AL14" s="1172">
        <f t="shared" si="15"/>
        <v>0.01</v>
      </c>
    </row>
    <row r="15" spans="1:38" outlineLevel="1">
      <c r="A15" s="1173" t="s">
        <v>2109</v>
      </c>
      <c r="B15" s="1173" t="s">
        <v>2110</v>
      </c>
      <c r="C15" s="1173" t="s">
        <v>2108</v>
      </c>
      <c r="D15" s="1174"/>
      <c r="E15" s="1175">
        <v>2124</v>
      </c>
      <c r="F15" s="1175">
        <f t="shared" si="0"/>
        <v>1593</v>
      </c>
      <c r="G15" s="1175">
        <f t="shared" si="1"/>
        <v>1699.2</v>
      </c>
      <c r="H15" s="1175">
        <f t="shared" si="2"/>
        <v>1698.2145929987348</v>
      </c>
      <c r="I15" s="1175">
        <f t="shared" si="3"/>
        <v>0</v>
      </c>
      <c r="J15" s="1175">
        <f t="shared" si="4"/>
        <v>0</v>
      </c>
      <c r="K15" s="1175">
        <f>H15</f>
        <v>1698.2145929987348</v>
      </c>
      <c r="L15" s="1175">
        <f t="shared" si="11"/>
        <v>1602.6156941649899</v>
      </c>
      <c r="M15" s="1175">
        <f t="shared" si="5"/>
        <v>1121.8309859154929</v>
      </c>
      <c r="N15" s="1175">
        <f t="shared" si="12"/>
        <v>1699.2000000000003</v>
      </c>
      <c r="O15" s="1175">
        <v>22</v>
      </c>
      <c r="P15" s="1175">
        <v>2349</v>
      </c>
      <c r="Q15" s="1175">
        <f t="shared" si="6"/>
        <v>2371</v>
      </c>
      <c r="R15" s="1177">
        <f t="shared" si="7"/>
        <v>0.9907212146773513</v>
      </c>
      <c r="S15" s="1177">
        <f t="shared" si="8"/>
        <v>3.7115141290594792E-3</v>
      </c>
      <c r="T15" s="1177">
        <f t="shared" si="8"/>
        <v>5.5672711935892179E-3</v>
      </c>
      <c r="U15" s="1177">
        <f t="shared" si="14"/>
        <v>0.79</v>
      </c>
      <c r="V15" s="1177">
        <f t="shared" si="14"/>
        <v>0.17</v>
      </c>
      <c r="W15" s="1177">
        <f t="shared" si="14"/>
        <v>0.04</v>
      </c>
      <c r="X15" s="1177">
        <f t="shared" si="14"/>
        <v>0</v>
      </c>
      <c r="Y15" s="1177">
        <f t="shared" si="14"/>
        <v>0</v>
      </c>
      <c r="Z15" s="1177">
        <f t="shared" si="14"/>
        <v>0.79</v>
      </c>
      <c r="AA15" s="1177">
        <f t="shared" si="14"/>
        <v>0.17</v>
      </c>
      <c r="AB15" s="1177">
        <f t="shared" si="14"/>
        <v>0.04</v>
      </c>
      <c r="AC15" s="1177">
        <f t="shared" si="14"/>
        <v>0</v>
      </c>
      <c r="AD15" s="1177">
        <f t="shared" si="14"/>
        <v>0</v>
      </c>
      <c r="AE15" s="1177">
        <f t="shared" si="15"/>
        <v>0.2</v>
      </c>
      <c r="AF15" s="1177">
        <f t="shared" si="15"/>
        <v>0.3</v>
      </c>
      <c r="AG15" s="1177">
        <f t="shared" si="15"/>
        <v>1.2E-2</v>
      </c>
      <c r="AH15" s="1177">
        <f t="shared" si="15"/>
        <v>1.7999999999999999E-2</v>
      </c>
      <c r="AI15" s="1177">
        <f t="shared" si="15"/>
        <v>0.18000000000000002</v>
      </c>
      <c r="AJ15" s="1177">
        <f t="shared" si="15"/>
        <v>0.27</v>
      </c>
      <c r="AK15" s="1177">
        <f t="shared" si="15"/>
        <v>0.01</v>
      </c>
      <c r="AL15" s="1177">
        <f t="shared" si="15"/>
        <v>0.01</v>
      </c>
    </row>
    <row r="16" spans="1:38">
      <c r="A16" s="1168" t="s">
        <v>1365</v>
      </c>
      <c r="B16" s="1168" t="s">
        <v>372</v>
      </c>
      <c r="C16" s="1168" t="s">
        <v>2111</v>
      </c>
      <c r="D16" s="1169">
        <v>940</v>
      </c>
      <c r="E16" s="1170">
        <v>1631</v>
      </c>
      <c r="F16" s="1170">
        <f t="shared" si="0"/>
        <v>1223.25</v>
      </c>
      <c r="G16" s="1170">
        <f t="shared" si="1"/>
        <v>1304.8000000000002</v>
      </c>
      <c r="H16" s="1170">
        <f t="shared" si="2"/>
        <v>1275.6949998474024</v>
      </c>
      <c r="I16" s="1170">
        <f t="shared" si="3"/>
        <v>940</v>
      </c>
      <c r="J16" s="1170">
        <f t="shared" si="4"/>
        <v>844.58999999999992</v>
      </c>
      <c r="K16" s="1170">
        <f>I16</f>
        <v>940</v>
      </c>
      <c r="L16" s="1170">
        <f t="shared" si="11"/>
        <v>906.79651075395157</v>
      </c>
      <c r="M16" s="1170">
        <f t="shared" si="5"/>
        <v>634.75755752776604</v>
      </c>
      <c r="N16" s="1170">
        <f t="shared" si="12"/>
        <v>961.44611380205652</v>
      </c>
      <c r="O16" s="1171">
        <v>374210</v>
      </c>
      <c r="P16" s="1171">
        <v>674298</v>
      </c>
      <c r="Q16" s="1170">
        <f t="shared" si="6"/>
        <v>1048508</v>
      </c>
      <c r="R16" s="1172">
        <f t="shared" si="7"/>
        <v>0.6431023892998432</v>
      </c>
      <c r="S16" s="1172">
        <f t="shared" si="8"/>
        <v>0.14275904428006272</v>
      </c>
      <c r="T16" s="1172">
        <f t="shared" si="8"/>
        <v>0.21413856642009407</v>
      </c>
      <c r="U16" s="1172">
        <f t="shared" si="14"/>
        <v>0.79</v>
      </c>
      <c r="V16" s="1172">
        <f t="shared" si="14"/>
        <v>0.17</v>
      </c>
      <c r="W16" s="1172">
        <f t="shared" si="14"/>
        <v>0.04</v>
      </c>
      <c r="X16" s="1172">
        <f t="shared" si="14"/>
        <v>0</v>
      </c>
      <c r="Y16" s="1172">
        <f t="shared" si="14"/>
        <v>0</v>
      </c>
      <c r="Z16" s="1172">
        <f t="shared" si="14"/>
        <v>0.79</v>
      </c>
      <c r="AA16" s="1172">
        <f t="shared" si="14"/>
        <v>0.17</v>
      </c>
      <c r="AB16" s="1172">
        <f t="shared" si="14"/>
        <v>0.04</v>
      </c>
      <c r="AC16" s="1172">
        <f t="shared" si="14"/>
        <v>0</v>
      </c>
      <c r="AD16" s="1172">
        <f t="shared" si="14"/>
        <v>0</v>
      </c>
      <c r="AE16" s="1172">
        <f t="shared" si="15"/>
        <v>0.2</v>
      </c>
      <c r="AF16" s="1172">
        <f t="shared" si="15"/>
        <v>0.3</v>
      </c>
      <c r="AG16" s="1172">
        <f t="shared" si="15"/>
        <v>1.2E-2</v>
      </c>
      <c r="AH16" s="1172">
        <f t="shared" si="15"/>
        <v>1.7999999999999999E-2</v>
      </c>
      <c r="AI16" s="1172">
        <f t="shared" si="15"/>
        <v>0.18000000000000002</v>
      </c>
      <c r="AJ16" s="1172">
        <f t="shared" si="15"/>
        <v>0.27</v>
      </c>
      <c r="AK16" s="1172">
        <f t="shared" si="15"/>
        <v>0.01</v>
      </c>
      <c r="AL16" s="1172">
        <f t="shared" si="15"/>
        <v>0.01</v>
      </c>
    </row>
    <row r="17" spans="1:38" outlineLevel="1">
      <c r="A17" s="1173" t="s">
        <v>2112</v>
      </c>
      <c r="B17" s="1173" t="s">
        <v>2113</v>
      </c>
      <c r="C17" s="1173" t="s">
        <v>1368</v>
      </c>
      <c r="D17" s="1174"/>
      <c r="E17" s="1175">
        <v>1251</v>
      </c>
      <c r="F17" s="1175">
        <f t="shared" si="0"/>
        <v>938.25</v>
      </c>
      <c r="G17" s="1175">
        <f t="shared" si="1"/>
        <v>1000.8000000000001</v>
      </c>
      <c r="H17" s="1175">
        <f t="shared" si="2"/>
        <v>962.93702119055843</v>
      </c>
      <c r="I17" s="1175">
        <f t="shared" si="3"/>
        <v>0</v>
      </c>
      <c r="J17" s="1175">
        <f t="shared" si="4"/>
        <v>0</v>
      </c>
      <c r="K17" s="1175">
        <f>H17</f>
        <v>962.93702119055843</v>
      </c>
      <c r="L17" s="1175">
        <f t="shared" si="11"/>
        <v>943.91348088531186</v>
      </c>
      <c r="M17" s="1175">
        <f t="shared" si="5"/>
        <v>660.73943661971828</v>
      </c>
      <c r="N17" s="1175">
        <f t="shared" si="12"/>
        <v>1000.8000000000001</v>
      </c>
      <c r="O17" s="1175"/>
      <c r="P17" s="1175"/>
      <c r="Q17" s="1175"/>
      <c r="R17" s="1177">
        <f>SUMIF($C$10:$C$45,$C17,$P$10:$P$45)/SUMIF($C$10:$C$45,$C17,$Q$10:$Q$45)</f>
        <v>0.39467659777071934</v>
      </c>
      <c r="S17" s="1177">
        <f t="shared" si="8"/>
        <v>0.24212936089171225</v>
      </c>
      <c r="T17" s="1177">
        <f t="shared" si="8"/>
        <v>0.36319404133756833</v>
      </c>
      <c r="U17" s="1177">
        <f t="shared" si="14"/>
        <v>0.79</v>
      </c>
      <c r="V17" s="1177">
        <f t="shared" si="14"/>
        <v>0.17</v>
      </c>
      <c r="W17" s="1177">
        <f t="shared" si="14"/>
        <v>0.04</v>
      </c>
      <c r="X17" s="1177">
        <f t="shared" si="14"/>
        <v>0</v>
      </c>
      <c r="Y17" s="1177">
        <f t="shared" si="14"/>
        <v>0</v>
      </c>
      <c r="Z17" s="1177">
        <f t="shared" si="14"/>
        <v>0.79</v>
      </c>
      <c r="AA17" s="1177">
        <f t="shared" si="14"/>
        <v>0.17</v>
      </c>
      <c r="AB17" s="1177">
        <f t="shared" si="14"/>
        <v>0.04</v>
      </c>
      <c r="AC17" s="1177">
        <f t="shared" si="14"/>
        <v>0</v>
      </c>
      <c r="AD17" s="1177">
        <f t="shared" si="14"/>
        <v>0</v>
      </c>
      <c r="AE17" s="1177">
        <f t="shared" si="15"/>
        <v>0.2</v>
      </c>
      <c r="AF17" s="1177">
        <f t="shared" si="15"/>
        <v>0.3</v>
      </c>
      <c r="AG17" s="1177">
        <f t="shared" si="15"/>
        <v>1.2E-2</v>
      </c>
      <c r="AH17" s="1177">
        <f t="shared" si="15"/>
        <v>1.7999999999999999E-2</v>
      </c>
      <c r="AI17" s="1177">
        <f t="shared" si="15"/>
        <v>0.18000000000000002</v>
      </c>
      <c r="AJ17" s="1177">
        <f t="shared" si="15"/>
        <v>0.27</v>
      </c>
      <c r="AK17" s="1177">
        <f t="shared" si="15"/>
        <v>0.01</v>
      </c>
      <c r="AL17" s="1177">
        <f t="shared" si="15"/>
        <v>0.01</v>
      </c>
    </row>
    <row r="18" spans="1:38">
      <c r="A18" s="1168" t="s">
        <v>2114</v>
      </c>
      <c r="B18" s="1168" t="s">
        <v>2115</v>
      </c>
      <c r="C18" s="1168" t="s">
        <v>1368</v>
      </c>
      <c r="D18" s="1169">
        <v>975</v>
      </c>
      <c r="E18" s="1170">
        <v>1287</v>
      </c>
      <c r="F18" s="1170">
        <f t="shared" si="0"/>
        <v>965.25</v>
      </c>
      <c r="G18" s="1170">
        <f t="shared" si="1"/>
        <v>1029.6000000000001</v>
      </c>
      <c r="H18" s="1170">
        <f t="shared" si="2"/>
        <v>989.83259965992829</v>
      </c>
      <c r="I18" s="1170">
        <f t="shared" si="3"/>
        <v>975</v>
      </c>
      <c r="J18" s="1170">
        <f t="shared" si="4"/>
        <v>876.03750000000002</v>
      </c>
      <c r="K18" s="1170">
        <f>I18</f>
        <v>975</v>
      </c>
      <c r="L18" s="1170">
        <f t="shared" si="11"/>
        <v>956.52491907115336</v>
      </c>
      <c r="M18" s="1170">
        <f t="shared" si="5"/>
        <v>669.56744334980726</v>
      </c>
      <c r="N18" s="1170">
        <f t="shared" si="12"/>
        <v>1014.1714875271749</v>
      </c>
      <c r="O18" s="1171">
        <v>3271</v>
      </c>
      <c r="P18" s="1171">
        <v>2022</v>
      </c>
      <c r="Q18" s="1170">
        <f>O18+P18</f>
        <v>5293</v>
      </c>
      <c r="R18" s="1172">
        <f>P18/Q18</f>
        <v>0.38201398072926507</v>
      </c>
      <c r="S18" s="1172">
        <f t="shared" si="8"/>
        <v>0.24719440770829398</v>
      </c>
      <c r="T18" s="1172">
        <f t="shared" si="8"/>
        <v>0.37079161156244095</v>
      </c>
      <c r="U18" s="1172">
        <f t="shared" si="14"/>
        <v>0.79</v>
      </c>
      <c r="V18" s="1172">
        <f t="shared" si="14"/>
        <v>0.17</v>
      </c>
      <c r="W18" s="1172">
        <f t="shared" si="14"/>
        <v>0.04</v>
      </c>
      <c r="X18" s="1172">
        <f t="shared" si="14"/>
        <v>0</v>
      </c>
      <c r="Y18" s="1172">
        <f t="shared" si="14"/>
        <v>0</v>
      </c>
      <c r="Z18" s="1172">
        <f t="shared" si="14"/>
        <v>0.79</v>
      </c>
      <c r="AA18" s="1172">
        <f t="shared" si="14"/>
        <v>0.17</v>
      </c>
      <c r="AB18" s="1172">
        <f t="shared" si="14"/>
        <v>0.04</v>
      </c>
      <c r="AC18" s="1172">
        <f t="shared" si="14"/>
        <v>0</v>
      </c>
      <c r="AD18" s="1172">
        <f t="shared" si="14"/>
        <v>0</v>
      </c>
      <c r="AE18" s="1172">
        <f t="shared" si="15"/>
        <v>0.2</v>
      </c>
      <c r="AF18" s="1172">
        <f t="shared" si="15"/>
        <v>0.3</v>
      </c>
      <c r="AG18" s="1172">
        <f t="shared" si="15"/>
        <v>1.2E-2</v>
      </c>
      <c r="AH18" s="1172">
        <f t="shared" si="15"/>
        <v>1.7999999999999999E-2</v>
      </c>
      <c r="AI18" s="1172">
        <f t="shared" si="15"/>
        <v>0.18000000000000002</v>
      </c>
      <c r="AJ18" s="1172">
        <f t="shared" si="15"/>
        <v>0.27</v>
      </c>
      <c r="AK18" s="1172">
        <f t="shared" si="15"/>
        <v>0.01</v>
      </c>
      <c r="AL18" s="1172">
        <f t="shared" si="15"/>
        <v>0.01</v>
      </c>
    </row>
    <row r="19" spans="1:38">
      <c r="A19" s="1173" t="s">
        <v>2116</v>
      </c>
      <c r="B19" s="1173" t="s">
        <v>2117</v>
      </c>
      <c r="C19" s="1173" t="s">
        <v>1368</v>
      </c>
      <c r="D19" s="1174">
        <v>850</v>
      </c>
      <c r="E19" s="1175">
        <v>1181</v>
      </c>
      <c r="F19" s="1175">
        <f t="shared" si="0"/>
        <v>885.75</v>
      </c>
      <c r="G19" s="1175">
        <f t="shared" si="1"/>
        <v>944.80000000000007</v>
      </c>
      <c r="H19" s="1175">
        <f t="shared" si="2"/>
        <v>890.80872698158521</v>
      </c>
      <c r="I19" s="1175">
        <f t="shared" si="3"/>
        <v>850</v>
      </c>
      <c r="J19" s="1175">
        <f t="shared" si="4"/>
        <v>763.72500000000002</v>
      </c>
      <c r="K19" s="1175">
        <f>I19</f>
        <v>850</v>
      </c>
      <c r="L19" s="1175">
        <f t="shared" si="11"/>
        <v>850.27466572068022</v>
      </c>
      <c r="M19" s="1175">
        <f t="shared" si="5"/>
        <v>595.1922660044761</v>
      </c>
      <c r="N19" s="1175">
        <f t="shared" si="12"/>
        <v>901.51788557477994</v>
      </c>
      <c r="O19" s="1176">
        <v>1142</v>
      </c>
      <c r="P19" s="1176">
        <v>107</v>
      </c>
      <c r="Q19" s="1175">
        <f>O19+P19</f>
        <v>1249</v>
      </c>
      <c r="R19" s="1177">
        <f>P19/Q19</f>
        <v>8.5668534827862283E-2</v>
      </c>
      <c r="S19" s="1177">
        <f t="shared" si="8"/>
        <v>0.36573258606885511</v>
      </c>
      <c r="T19" s="1177">
        <f t="shared" si="8"/>
        <v>0.54859887910328264</v>
      </c>
      <c r="U19" s="1177">
        <f t="shared" si="14"/>
        <v>0.79</v>
      </c>
      <c r="V19" s="1177">
        <f t="shared" si="14"/>
        <v>0.17</v>
      </c>
      <c r="W19" s="1177">
        <f t="shared" si="14"/>
        <v>0.04</v>
      </c>
      <c r="X19" s="1177">
        <f t="shared" si="14"/>
        <v>0</v>
      </c>
      <c r="Y19" s="1177">
        <f t="shared" si="14"/>
        <v>0</v>
      </c>
      <c r="Z19" s="1177">
        <f t="shared" si="14"/>
        <v>0.79</v>
      </c>
      <c r="AA19" s="1177">
        <f t="shared" si="14"/>
        <v>0.17</v>
      </c>
      <c r="AB19" s="1177">
        <f t="shared" si="14"/>
        <v>0.04</v>
      </c>
      <c r="AC19" s="1177">
        <f t="shared" si="14"/>
        <v>0</v>
      </c>
      <c r="AD19" s="1177">
        <f t="shared" si="14"/>
        <v>0</v>
      </c>
      <c r="AE19" s="1177">
        <f t="shared" si="15"/>
        <v>0.2</v>
      </c>
      <c r="AF19" s="1177">
        <f t="shared" si="15"/>
        <v>0.3</v>
      </c>
      <c r="AG19" s="1177">
        <f t="shared" si="15"/>
        <v>1.2E-2</v>
      </c>
      <c r="AH19" s="1177">
        <f t="shared" si="15"/>
        <v>1.7999999999999999E-2</v>
      </c>
      <c r="AI19" s="1177">
        <f t="shared" si="15"/>
        <v>0.18000000000000002</v>
      </c>
      <c r="AJ19" s="1177">
        <f t="shared" si="15"/>
        <v>0.27</v>
      </c>
      <c r="AK19" s="1177">
        <f t="shared" si="15"/>
        <v>0.01</v>
      </c>
      <c r="AL19" s="1177">
        <f t="shared" si="15"/>
        <v>0.01</v>
      </c>
    </row>
    <row r="20" spans="1:38">
      <c r="A20" s="1168" t="s">
        <v>2118</v>
      </c>
      <c r="B20" s="1168" t="s">
        <v>2119</v>
      </c>
      <c r="C20" s="1168" t="s">
        <v>1368</v>
      </c>
      <c r="D20" s="1169">
        <v>1100</v>
      </c>
      <c r="E20" s="1170">
        <v>1441</v>
      </c>
      <c r="F20" s="1170">
        <f t="shared" si="0"/>
        <v>1080.75</v>
      </c>
      <c r="G20" s="1170">
        <f t="shared" si="1"/>
        <v>1152.8</v>
      </c>
      <c r="H20" s="1170">
        <f t="shared" si="2"/>
        <v>1111.901507800128</v>
      </c>
      <c r="I20" s="1170">
        <f t="shared" si="3"/>
        <v>1100</v>
      </c>
      <c r="J20" s="1170">
        <f t="shared" si="4"/>
        <v>988.34999999999991</v>
      </c>
      <c r="K20" s="1170">
        <f>I20</f>
        <v>1100</v>
      </c>
      <c r="L20" s="1170">
        <f t="shared" si="11"/>
        <v>1075.6357443947334</v>
      </c>
      <c r="M20" s="1170">
        <f t="shared" si="5"/>
        <v>752.94502107631331</v>
      </c>
      <c r="N20" s="1170">
        <f t="shared" si="12"/>
        <v>1140.4607252569228</v>
      </c>
      <c r="O20" s="1171">
        <v>16847</v>
      </c>
      <c r="P20" s="1171">
        <v>12832</v>
      </c>
      <c r="Q20" s="1170">
        <f>O20+P20</f>
        <v>29679</v>
      </c>
      <c r="R20" s="1172">
        <f>P20/Q20</f>
        <v>0.43235958084841136</v>
      </c>
      <c r="S20" s="1172">
        <f t="shared" si="8"/>
        <v>0.22705616766063549</v>
      </c>
      <c r="T20" s="1172">
        <f t="shared" si="8"/>
        <v>0.34058425149095323</v>
      </c>
      <c r="U20" s="1172">
        <f t="shared" si="14"/>
        <v>0.79</v>
      </c>
      <c r="V20" s="1172">
        <f t="shared" si="14"/>
        <v>0.17</v>
      </c>
      <c r="W20" s="1172">
        <f t="shared" si="14"/>
        <v>0.04</v>
      </c>
      <c r="X20" s="1172">
        <f t="shared" si="14"/>
        <v>0</v>
      </c>
      <c r="Y20" s="1172">
        <f t="shared" si="14"/>
        <v>0</v>
      </c>
      <c r="Z20" s="1172">
        <f t="shared" si="14"/>
        <v>0.79</v>
      </c>
      <c r="AA20" s="1172">
        <f t="shared" si="14"/>
        <v>0.17</v>
      </c>
      <c r="AB20" s="1172">
        <f t="shared" si="14"/>
        <v>0.04</v>
      </c>
      <c r="AC20" s="1172">
        <f t="shared" si="14"/>
        <v>0</v>
      </c>
      <c r="AD20" s="1172">
        <f t="shared" si="14"/>
        <v>0</v>
      </c>
      <c r="AE20" s="1172">
        <f t="shared" si="15"/>
        <v>0.2</v>
      </c>
      <c r="AF20" s="1172">
        <f t="shared" si="15"/>
        <v>0.3</v>
      </c>
      <c r="AG20" s="1172">
        <f t="shared" si="15"/>
        <v>1.2E-2</v>
      </c>
      <c r="AH20" s="1172">
        <f t="shared" si="15"/>
        <v>1.7999999999999999E-2</v>
      </c>
      <c r="AI20" s="1172">
        <f t="shared" si="15"/>
        <v>0.18000000000000002</v>
      </c>
      <c r="AJ20" s="1172">
        <f t="shared" si="15"/>
        <v>0.27</v>
      </c>
      <c r="AK20" s="1172">
        <f t="shared" si="15"/>
        <v>0.01</v>
      </c>
      <c r="AL20" s="1172">
        <f t="shared" si="15"/>
        <v>0.01</v>
      </c>
    </row>
    <row r="21" spans="1:38">
      <c r="A21" s="1173" t="s">
        <v>1335</v>
      </c>
      <c r="B21" s="1173" t="s">
        <v>340</v>
      </c>
      <c r="C21" s="1173" t="s">
        <v>1368</v>
      </c>
      <c r="D21" s="1174">
        <v>808</v>
      </c>
      <c r="E21" s="1175">
        <v>1222</v>
      </c>
      <c r="F21" s="1175">
        <f t="shared" si="0"/>
        <v>916.5</v>
      </c>
      <c r="G21" s="1175">
        <f t="shared" si="1"/>
        <v>977.6</v>
      </c>
      <c r="H21" s="1175">
        <f t="shared" si="2"/>
        <v>932.61401159085472</v>
      </c>
      <c r="I21" s="1175">
        <f t="shared" si="3"/>
        <v>808</v>
      </c>
      <c r="J21" s="1175">
        <f t="shared" si="4"/>
        <v>725.98799999999994</v>
      </c>
      <c r="K21" s="1175">
        <f>H21</f>
        <v>932.61401159085472</v>
      </c>
      <c r="L21" s="1175">
        <f t="shared" si="11"/>
        <v>922.03219315895376</v>
      </c>
      <c r="M21" s="1175">
        <f t="shared" si="5"/>
        <v>645.42253521126759</v>
      </c>
      <c r="N21" s="1175">
        <f t="shared" si="12"/>
        <v>977.59999999999991</v>
      </c>
      <c r="O21" s="1176">
        <v>73939</v>
      </c>
      <c r="P21" s="1176">
        <v>26485</v>
      </c>
      <c r="Q21" s="1175">
        <f>O21+P21</f>
        <v>100424</v>
      </c>
      <c r="R21" s="1177">
        <f>P21/Q21</f>
        <v>0.26373177726439895</v>
      </c>
      <c r="S21" s="1177">
        <f t="shared" si="8"/>
        <v>0.2945072890942404</v>
      </c>
      <c r="T21" s="1177">
        <f t="shared" si="8"/>
        <v>0.4417609336413606</v>
      </c>
      <c r="U21" s="1177">
        <f t="shared" si="14"/>
        <v>0.79</v>
      </c>
      <c r="V21" s="1177">
        <f t="shared" si="14"/>
        <v>0.17</v>
      </c>
      <c r="W21" s="1177">
        <f t="shared" si="14"/>
        <v>0.04</v>
      </c>
      <c r="X21" s="1177">
        <f t="shared" si="14"/>
        <v>0</v>
      </c>
      <c r="Y21" s="1177">
        <f t="shared" si="14"/>
        <v>0</v>
      </c>
      <c r="Z21" s="1177">
        <f t="shared" si="14"/>
        <v>0.79</v>
      </c>
      <c r="AA21" s="1177">
        <f t="shared" si="14"/>
        <v>0.17</v>
      </c>
      <c r="AB21" s="1177">
        <f t="shared" si="14"/>
        <v>0.04</v>
      </c>
      <c r="AC21" s="1177">
        <f t="shared" si="14"/>
        <v>0</v>
      </c>
      <c r="AD21" s="1177">
        <f t="shared" si="14"/>
        <v>0</v>
      </c>
      <c r="AE21" s="1177">
        <f t="shared" si="15"/>
        <v>0.2</v>
      </c>
      <c r="AF21" s="1177">
        <f t="shared" si="15"/>
        <v>0.3</v>
      </c>
      <c r="AG21" s="1177">
        <f t="shared" si="15"/>
        <v>1.2E-2</v>
      </c>
      <c r="AH21" s="1177">
        <f t="shared" si="15"/>
        <v>1.7999999999999999E-2</v>
      </c>
      <c r="AI21" s="1177">
        <f t="shared" si="15"/>
        <v>0.18000000000000002</v>
      </c>
      <c r="AJ21" s="1177">
        <f t="shared" si="15"/>
        <v>0.27</v>
      </c>
      <c r="AK21" s="1177">
        <f t="shared" si="15"/>
        <v>0.01</v>
      </c>
      <c r="AL21" s="1177">
        <f t="shared" si="15"/>
        <v>0.01</v>
      </c>
    </row>
    <row r="22" spans="1:38">
      <c r="A22" s="1168" t="s">
        <v>2120</v>
      </c>
      <c r="B22" s="1168" t="s">
        <v>2121</v>
      </c>
      <c r="C22" s="1168" t="s">
        <v>1368</v>
      </c>
      <c r="D22" s="1169"/>
      <c r="E22" s="1170">
        <v>1753</v>
      </c>
      <c r="F22" s="1170">
        <f t="shared" si="0"/>
        <v>1314.75</v>
      </c>
      <c r="G22" s="1170">
        <f t="shared" si="1"/>
        <v>1402.4</v>
      </c>
      <c r="H22" s="1170">
        <f t="shared" si="2"/>
        <v>1349.3434037946035</v>
      </c>
      <c r="I22" s="1170">
        <f t="shared" si="3"/>
        <v>0</v>
      </c>
      <c r="J22" s="1170">
        <f t="shared" si="4"/>
        <v>0</v>
      </c>
      <c r="K22" s="1170">
        <f>H22</f>
        <v>1349.3434037946035</v>
      </c>
      <c r="L22" s="1170">
        <f t="shared" si="11"/>
        <v>1322.6861167002012</v>
      </c>
      <c r="M22" s="1170">
        <f t="shared" si="5"/>
        <v>925.88028169014081</v>
      </c>
      <c r="N22" s="1170">
        <f t="shared" si="12"/>
        <v>1402.4</v>
      </c>
      <c r="O22" s="1170"/>
      <c r="P22" s="1170"/>
      <c r="Q22" s="1170"/>
      <c r="R22" s="1172">
        <f>SUMIF($C$10:$C$45,$C22,$P$10:$P$45)/SUMIF($C$10:$C$45,$C22,$Q$10:$Q$45)</f>
        <v>0.39467659777071934</v>
      </c>
      <c r="S22" s="1172">
        <f t="shared" si="8"/>
        <v>0.24212936089171225</v>
      </c>
      <c r="T22" s="1172">
        <f t="shared" si="8"/>
        <v>0.36319404133756833</v>
      </c>
      <c r="U22" s="1172">
        <f t="shared" si="14"/>
        <v>0.79</v>
      </c>
      <c r="V22" s="1172">
        <f t="shared" si="14"/>
        <v>0.17</v>
      </c>
      <c r="W22" s="1172">
        <f t="shared" si="14"/>
        <v>0.04</v>
      </c>
      <c r="X22" s="1172">
        <f t="shared" si="14"/>
        <v>0</v>
      </c>
      <c r="Y22" s="1172">
        <f t="shared" si="14"/>
        <v>0</v>
      </c>
      <c r="Z22" s="1172">
        <f t="shared" si="14"/>
        <v>0.79</v>
      </c>
      <c r="AA22" s="1172">
        <f t="shared" si="14"/>
        <v>0.17</v>
      </c>
      <c r="AB22" s="1172">
        <f t="shared" si="14"/>
        <v>0.04</v>
      </c>
      <c r="AC22" s="1172">
        <f t="shared" si="14"/>
        <v>0</v>
      </c>
      <c r="AD22" s="1172">
        <f t="shared" si="14"/>
        <v>0</v>
      </c>
      <c r="AE22" s="1172">
        <f t="shared" si="15"/>
        <v>0.2</v>
      </c>
      <c r="AF22" s="1172">
        <f t="shared" si="15"/>
        <v>0.3</v>
      </c>
      <c r="AG22" s="1172">
        <f t="shared" si="15"/>
        <v>1.2E-2</v>
      </c>
      <c r="AH22" s="1172">
        <f t="shared" si="15"/>
        <v>1.7999999999999999E-2</v>
      </c>
      <c r="AI22" s="1172">
        <f t="shared" si="15"/>
        <v>0.18000000000000002</v>
      </c>
      <c r="AJ22" s="1172">
        <f t="shared" si="15"/>
        <v>0.27</v>
      </c>
      <c r="AK22" s="1172">
        <f t="shared" si="15"/>
        <v>0.01</v>
      </c>
      <c r="AL22" s="1172">
        <f t="shared" si="15"/>
        <v>0.01</v>
      </c>
    </row>
    <row r="23" spans="1:38">
      <c r="A23" s="1173" t="s">
        <v>2122</v>
      </c>
      <c r="B23" s="1173" t="s">
        <v>2123</v>
      </c>
      <c r="C23" s="1173" t="s">
        <v>1368</v>
      </c>
      <c r="D23" s="1174"/>
      <c r="E23" s="1175">
        <v>1445</v>
      </c>
      <c r="F23" s="1175">
        <f t="shared" si="0"/>
        <v>1083.75</v>
      </c>
      <c r="G23" s="1175">
        <f t="shared" si="1"/>
        <v>1156</v>
      </c>
      <c r="H23" s="1175">
        <f t="shared" si="2"/>
        <v>1112.2653841889344</v>
      </c>
      <c r="I23" s="1175">
        <f t="shared" si="3"/>
        <v>0</v>
      </c>
      <c r="J23" s="1175">
        <f t="shared" si="4"/>
        <v>0</v>
      </c>
      <c r="K23" s="1175">
        <f>H23</f>
        <v>1112.2653841889344</v>
      </c>
      <c r="L23" s="1175">
        <f t="shared" si="11"/>
        <v>1090.2917505030182</v>
      </c>
      <c r="M23" s="1175">
        <f t="shared" si="5"/>
        <v>763.20422535211264</v>
      </c>
      <c r="N23" s="1175">
        <f t="shared" si="12"/>
        <v>1156</v>
      </c>
      <c r="O23" s="1175"/>
      <c r="P23" s="1175"/>
      <c r="Q23" s="1175"/>
      <c r="R23" s="1177">
        <f>SUMIF($C$10:$C$45,$C23,$P$10:$P$45)/SUMIF($C$10:$C$45,$C23,$Q$10:$Q$45)</f>
        <v>0.39467659777071934</v>
      </c>
      <c r="S23" s="1177">
        <f t="shared" si="8"/>
        <v>0.24212936089171225</v>
      </c>
      <c r="T23" s="1177">
        <f t="shared" si="8"/>
        <v>0.36319404133756833</v>
      </c>
      <c r="U23" s="1177">
        <f t="shared" si="14"/>
        <v>0.79</v>
      </c>
      <c r="V23" s="1177">
        <f t="shared" si="14"/>
        <v>0.17</v>
      </c>
      <c r="W23" s="1177">
        <f t="shared" si="14"/>
        <v>0.04</v>
      </c>
      <c r="X23" s="1177">
        <f t="shared" si="14"/>
        <v>0</v>
      </c>
      <c r="Y23" s="1177">
        <f t="shared" si="14"/>
        <v>0</v>
      </c>
      <c r="Z23" s="1177">
        <f t="shared" si="14"/>
        <v>0.79</v>
      </c>
      <c r="AA23" s="1177">
        <f t="shared" si="14"/>
        <v>0.17</v>
      </c>
      <c r="AB23" s="1177">
        <f t="shared" si="14"/>
        <v>0.04</v>
      </c>
      <c r="AC23" s="1177">
        <f t="shared" si="14"/>
        <v>0</v>
      </c>
      <c r="AD23" s="1177">
        <f t="shared" si="14"/>
        <v>0</v>
      </c>
      <c r="AE23" s="1177">
        <f t="shared" si="15"/>
        <v>0.2</v>
      </c>
      <c r="AF23" s="1177">
        <f t="shared" si="15"/>
        <v>0.3</v>
      </c>
      <c r="AG23" s="1177">
        <f t="shared" si="15"/>
        <v>1.2E-2</v>
      </c>
      <c r="AH23" s="1177">
        <f t="shared" si="15"/>
        <v>1.7999999999999999E-2</v>
      </c>
      <c r="AI23" s="1177">
        <f t="shared" si="15"/>
        <v>0.18000000000000002</v>
      </c>
      <c r="AJ23" s="1177">
        <f t="shared" si="15"/>
        <v>0.27</v>
      </c>
      <c r="AK23" s="1177">
        <f t="shared" si="15"/>
        <v>0.01</v>
      </c>
      <c r="AL23" s="1177">
        <f t="shared" si="15"/>
        <v>0.01</v>
      </c>
    </row>
    <row r="24" spans="1:38">
      <c r="A24" s="1168" t="s">
        <v>1027</v>
      </c>
      <c r="B24" s="1168" t="s">
        <v>992</v>
      </c>
      <c r="C24" s="1168" t="s">
        <v>2111</v>
      </c>
      <c r="D24" s="1169">
        <v>1625</v>
      </c>
      <c r="E24" s="1170">
        <v>2032</v>
      </c>
      <c r="F24" s="1170">
        <f t="shared" si="0"/>
        <v>1524</v>
      </c>
      <c r="G24" s="1170">
        <f t="shared" si="1"/>
        <v>1625.6000000000001</v>
      </c>
      <c r="H24" s="1170">
        <f t="shared" si="2"/>
        <v>1588.8198990841502</v>
      </c>
      <c r="I24" s="1170">
        <f t="shared" si="3"/>
        <v>1625</v>
      </c>
      <c r="J24" s="1170">
        <f t="shared" si="4"/>
        <v>1460.0625</v>
      </c>
      <c r="K24" s="1170">
        <f>I24</f>
        <v>1625</v>
      </c>
      <c r="L24" s="1170">
        <f t="shared" si="11"/>
        <v>1558.7040428103519</v>
      </c>
      <c r="M24" s="1170">
        <f t="shared" si="5"/>
        <v>1091.0928299672462</v>
      </c>
      <c r="N24" s="1170">
        <f t="shared" si="12"/>
        <v>1662.6176456643755</v>
      </c>
      <c r="O24" s="1171">
        <v>23750</v>
      </c>
      <c r="P24" s="1171">
        <v>100805</v>
      </c>
      <c r="Q24" s="1170">
        <f>O24+P24</f>
        <v>124555</v>
      </c>
      <c r="R24" s="1172">
        <f>SUMIF($C$10:$C$45,$C24,$P$10:$P$45)/SUMIF($C$10:$C$45,$C24,$Q$10:$Q$45)</f>
        <v>0.63799113271801211</v>
      </c>
      <c r="S24" s="1172">
        <f t="shared" si="8"/>
        <v>0.14480354691279515</v>
      </c>
      <c r="T24" s="1172">
        <f t="shared" si="8"/>
        <v>0.21720532036919274</v>
      </c>
      <c r="U24" s="1172"/>
      <c r="V24" s="1172"/>
      <c r="W24" s="1172"/>
      <c r="X24" s="1172"/>
      <c r="Y24" s="1172"/>
      <c r="Z24" s="1172"/>
      <c r="AA24" s="1172"/>
      <c r="AB24" s="1172"/>
      <c r="AC24" s="1172"/>
      <c r="AD24" s="1172"/>
      <c r="AE24" s="1172"/>
      <c r="AF24" s="1172"/>
      <c r="AG24" s="1172"/>
      <c r="AH24" s="1172"/>
      <c r="AI24" s="1172"/>
      <c r="AJ24" s="1172"/>
      <c r="AK24" s="1172"/>
      <c r="AL24" s="1172"/>
    </row>
    <row r="25" spans="1:38" outlineLevel="1">
      <c r="A25" s="1173" t="s">
        <v>2124</v>
      </c>
      <c r="B25" s="1173" t="s">
        <v>2125</v>
      </c>
      <c r="C25" s="1173" t="s">
        <v>1368</v>
      </c>
      <c r="D25" s="1174"/>
      <c r="E25" s="1175">
        <v>1055</v>
      </c>
      <c r="F25" s="1175">
        <f t="shared" si="0"/>
        <v>791.25</v>
      </c>
      <c r="G25" s="1175">
        <f t="shared" si="1"/>
        <v>844</v>
      </c>
      <c r="H25" s="1175">
        <f t="shared" si="2"/>
        <v>812.0691905324054</v>
      </c>
      <c r="I25" s="1175">
        <f t="shared" si="3"/>
        <v>0</v>
      </c>
      <c r="J25" s="1175">
        <f t="shared" si="4"/>
        <v>0</v>
      </c>
      <c r="K25" s="1175">
        <f>H25</f>
        <v>812.0691905324054</v>
      </c>
      <c r="L25" s="1175">
        <f t="shared" si="11"/>
        <v>796.0261569416499</v>
      </c>
      <c r="M25" s="1175">
        <f t="shared" si="5"/>
        <v>557.21830985915494</v>
      </c>
      <c r="N25" s="1175">
        <f t="shared" si="12"/>
        <v>844.00000000000011</v>
      </c>
      <c r="O25" s="1175"/>
      <c r="P25" s="1175"/>
      <c r="Q25" s="1175"/>
      <c r="R25" s="1177">
        <f>SUMIF($C$10:$C$45,$C25,$P$10:$P$45)/SUMIF($C$10:$C$45,$C25,$Q$10:$Q$45)</f>
        <v>0.39467659777071934</v>
      </c>
      <c r="S25" s="1177">
        <f t="shared" si="8"/>
        <v>0.24212936089171225</v>
      </c>
      <c r="T25" s="1177">
        <f t="shared" si="8"/>
        <v>0.36319404133756833</v>
      </c>
      <c r="U25" s="1177">
        <f t="shared" ref="U25:AD27" si="16">U$47</f>
        <v>0.79</v>
      </c>
      <c r="V25" s="1177">
        <f t="shared" si="16"/>
        <v>0.17</v>
      </c>
      <c r="W25" s="1177">
        <f t="shared" si="16"/>
        <v>0.04</v>
      </c>
      <c r="X25" s="1177">
        <f t="shared" si="16"/>
        <v>0</v>
      </c>
      <c r="Y25" s="1177">
        <f t="shared" si="16"/>
        <v>0</v>
      </c>
      <c r="Z25" s="1177">
        <f t="shared" si="16"/>
        <v>0.79</v>
      </c>
      <c r="AA25" s="1177">
        <f t="shared" si="16"/>
        <v>0.17</v>
      </c>
      <c r="AB25" s="1177">
        <f t="shared" si="16"/>
        <v>0.04</v>
      </c>
      <c r="AC25" s="1177">
        <f t="shared" si="16"/>
        <v>0</v>
      </c>
      <c r="AD25" s="1177">
        <f t="shared" si="16"/>
        <v>0</v>
      </c>
      <c r="AE25" s="1177">
        <f t="shared" ref="AE25:AL27" si="17">AE$47</f>
        <v>0.2</v>
      </c>
      <c r="AF25" s="1177">
        <f t="shared" si="17"/>
        <v>0.3</v>
      </c>
      <c r="AG25" s="1177">
        <f t="shared" si="17"/>
        <v>1.2E-2</v>
      </c>
      <c r="AH25" s="1177">
        <f t="shared" si="17"/>
        <v>1.7999999999999999E-2</v>
      </c>
      <c r="AI25" s="1177">
        <f t="shared" si="17"/>
        <v>0.18000000000000002</v>
      </c>
      <c r="AJ25" s="1177">
        <f t="shared" si="17"/>
        <v>0.27</v>
      </c>
      <c r="AK25" s="1177">
        <f t="shared" si="17"/>
        <v>0.01</v>
      </c>
      <c r="AL25" s="1177">
        <f t="shared" si="17"/>
        <v>0.01</v>
      </c>
    </row>
    <row r="26" spans="1:38">
      <c r="A26" s="1168" t="s">
        <v>2126</v>
      </c>
      <c r="B26" s="1168" t="s">
        <v>2127</v>
      </c>
      <c r="C26" s="1168" t="s">
        <v>2111</v>
      </c>
      <c r="D26" s="1169">
        <v>1650</v>
      </c>
      <c r="E26" s="1170">
        <v>2247</v>
      </c>
      <c r="F26" s="1170">
        <f t="shared" si="0"/>
        <v>1685.25</v>
      </c>
      <c r="G26" s="1170">
        <f t="shared" si="1"/>
        <v>1797.6000000000001</v>
      </c>
      <c r="H26" s="1170">
        <f t="shared" si="2"/>
        <v>1719.4963632204942</v>
      </c>
      <c r="I26" s="1170">
        <f t="shared" si="3"/>
        <v>1650</v>
      </c>
      <c r="J26" s="1170">
        <f t="shared" si="4"/>
        <v>1482.5249999999999</v>
      </c>
      <c r="K26" s="1170">
        <f>I26</f>
        <v>1650</v>
      </c>
      <c r="L26" s="1170">
        <f t="shared" si="11"/>
        <v>1626.8991565990709</v>
      </c>
      <c r="M26" s="1170">
        <f t="shared" si="5"/>
        <v>1138.8294096193495</v>
      </c>
      <c r="N26" s="1170">
        <f t="shared" si="12"/>
        <v>1724.9469457701082</v>
      </c>
      <c r="O26" s="1171">
        <v>4559</v>
      </c>
      <c r="P26" s="1171">
        <v>1999</v>
      </c>
      <c r="Q26" s="1170">
        <f>O26+P26</f>
        <v>6558</v>
      </c>
      <c r="R26" s="1172">
        <f>P26/Q26</f>
        <v>0.30481854223848737</v>
      </c>
      <c r="S26" s="1172">
        <f t="shared" si="8"/>
        <v>0.27807258310460509</v>
      </c>
      <c r="T26" s="1172">
        <f t="shared" si="8"/>
        <v>0.41710887465690755</v>
      </c>
      <c r="U26" s="1172">
        <f t="shared" si="16"/>
        <v>0.79</v>
      </c>
      <c r="V26" s="1172">
        <f t="shared" si="16"/>
        <v>0.17</v>
      </c>
      <c r="W26" s="1172">
        <f t="shared" si="16"/>
        <v>0.04</v>
      </c>
      <c r="X26" s="1172">
        <f t="shared" si="16"/>
        <v>0</v>
      </c>
      <c r="Y26" s="1172">
        <f t="shared" si="16"/>
        <v>0</v>
      </c>
      <c r="Z26" s="1172">
        <f t="shared" si="16"/>
        <v>0.79</v>
      </c>
      <c r="AA26" s="1172">
        <f t="shared" si="16"/>
        <v>0.17</v>
      </c>
      <c r="AB26" s="1172">
        <f t="shared" si="16"/>
        <v>0.04</v>
      </c>
      <c r="AC26" s="1172">
        <f t="shared" si="16"/>
        <v>0</v>
      </c>
      <c r="AD26" s="1172">
        <f t="shared" si="16"/>
        <v>0</v>
      </c>
      <c r="AE26" s="1172">
        <f t="shared" si="17"/>
        <v>0.2</v>
      </c>
      <c r="AF26" s="1172">
        <f t="shared" si="17"/>
        <v>0.3</v>
      </c>
      <c r="AG26" s="1172">
        <f t="shared" si="17"/>
        <v>1.2E-2</v>
      </c>
      <c r="AH26" s="1172">
        <f t="shared" si="17"/>
        <v>1.7999999999999999E-2</v>
      </c>
      <c r="AI26" s="1172">
        <f t="shared" si="17"/>
        <v>0.18000000000000002</v>
      </c>
      <c r="AJ26" s="1172">
        <f t="shared" si="17"/>
        <v>0.27</v>
      </c>
      <c r="AK26" s="1172">
        <f t="shared" si="17"/>
        <v>0.01</v>
      </c>
      <c r="AL26" s="1172">
        <f t="shared" si="17"/>
        <v>0.01</v>
      </c>
    </row>
    <row r="27" spans="1:38">
      <c r="A27" s="1173" t="s">
        <v>1337</v>
      </c>
      <c r="B27" s="1173" t="s">
        <v>1670</v>
      </c>
      <c r="C27" s="1173" t="s">
        <v>1368</v>
      </c>
      <c r="D27" s="1174">
        <v>1066</v>
      </c>
      <c r="E27" s="1175">
        <v>1720</v>
      </c>
      <c r="F27" s="1175">
        <f t="shared" si="0"/>
        <v>1290</v>
      </c>
      <c r="G27" s="1175">
        <f t="shared" si="1"/>
        <v>1376</v>
      </c>
      <c r="H27" s="1175">
        <f t="shared" si="2"/>
        <v>1316.8871961102107</v>
      </c>
      <c r="I27" s="1175">
        <f t="shared" si="3"/>
        <v>1066</v>
      </c>
      <c r="J27" s="1175">
        <f t="shared" si="4"/>
        <v>957.80099999999993</v>
      </c>
      <c r="K27" s="1175">
        <f>I27</f>
        <v>1066</v>
      </c>
      <c r="L27" s="1175">
        <f t="shared" si="11"/>
        <v>1050.5384576215431</v>
      </c>
      <c r="M27" s="1175">
        <f t="shared" si="5"/>
        <v>735.37692033508017</v>
      </c>
      <c r="N27" s="1175">
        <f t="shared" si="12"/>
        <v>1113.8509086675344</v>
      </c>
      <c r="O27" s="1176">
        <v>25446</v>
      </c>
      <c r="P27" s="1176">
        <v>11574</v>
      </c>
      <c r="Q27" s="1175">
        <f>O27+P27</f>
        <v>37020</v>
      </c>
      <c r="R27" s="1177">
        <f>P27/Q27</f>
        <v>0.31264181523500811</v>
      </c>
      <c r="S27" s="1177">
        <f t="shared" si="8"/>
        <v>0.27494327390599677</v>
      </c>
      <c r="T27" s="1177">
        <f t="shared" si="8"/>
        <v>0.41241491085899512</v>
      </c>
      <c r="U27" s="1177">
        <f t="shared" si="16"/>
        <v>0.79</v>
      </c>
      <c r="V27" s="1177">
        <f t="shared" si="16"/>
        <v>0.17</v>
      </c>
      <c r="W27" s="1177">
        <f t="shared" si="16"/>
        <v>0.04</v>
      </c>
      <c r="X27" s="1177">
        <f t="shared" si="16"/>
        <v>0</v>
      </c>
      <c r="Y27" s="1177">
        <f t="shared" si="16"/>
        <v>0</v>
      </c>
      <c r="Z27" s="1177">
        <f t="shared" si="16"/>
        <v>0.79</v>
      </c>
      <c r="AA27" s="1177">
        <f t="shared" si="16"/>
        <v>0.17</v>
      </c>
      <c r="AB27" s="1177">
        <f t="shared" si="16"/>
        <v>0.04</v>
      </c>
      <c r="AC27" s="1177">
        <f t="shared" si="16"/>
        <v>0</v>
      </c>
      <c r="AD27" s="1177">
        <f t="shared" si="16"/>
        <v>0</v>
      </c>
      <c r="AE27" s="1177">
        <f t="shared" si="17"/>
        <v>0.2</v>
      </c>
      <c r="AF27" s="1177">
        <f t="shared" si="17"/>
        <v>0.3</v>
      </c>
      <c r="AG27" s="1177">
        <f t="shared" si="17"/>
        <v>1.2E-2</v>
      </c>
      <c r="AH27" s="1177">
        <f t="shared" si="17"/>
        <v>1.7999999999999999E-2</v>
      </c>
      <c r="AI27" s="1177">
        <f t="shared" si="17"/>
        <v>0.18000000000000002</v>
      </c>
      <c r="AJ27" s="1177">
        <f t="shared" si="17"/>
        <v>0.27</v>
      </c>
      <c r="AK27" s="1177">
        <f t="shared" si="17"/>
        <v>0.01</v>
      </c>
      <c r="AL27" s="1177">
        <f t="shared" si="17"/>
        <v>0.01</v>
      </c>
    </row>
    <row r="28" spans="1:38">
      <c r="A28" s="1168" t="s">
        <v>2128</v>
      </c>
      <c r="B28" s="1168" t="s">
        <v>2129</v>
      </c>
      <c r="C28" s="1168" t="s">
        <v>2111</v>
      </c>
      <c r="D28" s="1169">
        <v>1100</v>
      </c>
      <c r="E28" s="1170">
        <v>1578</v>
      </c>
      <c r="F28" s="1170">
        <f t="shared" si="0"/>
        <v>1183.5</v>
      </c>
      <c r="G28" s="1170">
        <f t="shared" si="1"/>
        <v>1262.4000000000001</v>
      </c>
      <c r="H28" s="1170">
        <f t="shared" si="2"/>
        <v>1215.3291251030505</v>
      </c>
      <c r="I28" s="1170">
        <f t="shared" si="3"/>
        <v>1100</v>
      </c>
      <c r="J28" s="1170">
        <f t="shared" si="4"/>
        <v>988.34999999999991</v>
      </c>
      <c r="K28" s="1170">
        <f>I28</f>
        <v>1100</v>
      </c>
      <c r="L28" s="1170">
        <f t="shared" si="11"/>
        <v>1077.6572555075802</v>
      </c>
      <c r="M28" s="1170">
        <f t="shared" si="5"/>
        <v>754.36007885530614</v>
      </c>
      <c r="N28" s="1170">
        <f t="shared" si="12"/>
        <v>1142.6040661061704</v>
      </c>
      <c r="O28" s="1171">
        <v>57893</v>
      </c>
      <c r="P28" s="1171">
        <v>39147</v>
      </c>
      <c r="Q28" s="1170">
        <f>O28+P28</f>
        <v>97040</v>
      </c>
      <c r="R28" s="1172">
        <f>P28/Q28</f>
        <v>0.40341096455070075</v>
      </c>
      <c r="S28" s="1172">
        <f t="shared" si="8"/>
        <v>0.23863561417971973</v>
      </c>
      <c r="T28" s="1172">
        <f t="shared" si="8"/>
        <v>0.35795342126957957</v>
      </c>
      <c r="U28" s="1172">
        <f t="shared" ref="U28:AD32" si="18">U$47</f>
        <v>0.79</v>
      </c>
      <c r="V28" s="1172">
        <f t="shared" si="18"/>
        <v>0.17</v>
      </c>
      <c r="W28" s="1172">
        <f t="shared" si="18"/>
        <v>0.04</v>
      </c>
      <c r="X28" s="1172">
        <f t="shared" si="18"/>
        <v>0</v>
      </c>
      <c r="Y28" s="1172">
        <f t="shared" si="18"/>
        <v>0</v>
      </c>
      <c r="Z28" s="1172">
        <f t="shared" si="18"/>
        <v>0.79</v>
      </c>
      <c r="AA28" s="1172">
        <f t="shared" si="18"/>
        <v>0.17</v>
      </c>
      <c r="AB28" s="1172">
        <f t="shared" si="18"/>
        <v>0.04</v>
      </c>
      <c r="AC28" s="1172">
        <f t="shared" si="18"/>
        <v>0</v>
      </c>
      <c r="AD28" s="1172">
        <f t="shared" si="18"/>
        <v>0</v>
      </c>
      <c r="AE28" s="1172">
        <f>50%*$S28/(1-$R28)</f>
        <v>0.2</v>
      </c>
      <c r="AF28" s="1172">
        <f>50%*$T28/(1-$R28)</f>
        <v>0.3</v>
      </c>
      <c r="AG28" s="1172">
        <f>3%*$S28/(1-$R28)</f>
        <v>1.2E-2</v>
      </c>
      <c r="AH28" s="1172">
        <f>3%*$T28/(1-$R28)</f>
        <v>1.7999999999999999E-2</v>
      </c>
      <c r="AI28" s="1172">
        <f>45%*$S28/(1-$R28)</f>
        <v>0.18000000000000002</v>
      </c>
      <c r="AJ28" s="1172">
        <f>45%*$T28/(1-$R28)</f>
        <v>0.27</v>
      </c>
      <c r="AK28" s="1172">
        <v>0.01</v>
      </c>
      <c r="AL28" s="1172">
        <v>0.01</v>
      </c>
    </row>
    <row r="29" spans="1:38">
      <c r="A29" s="1173" t="s">
        <v>1025</v>
      </c>
      <c r="B29" s="1173" t="s">
        <v>485</v>
      </c>
      <c r="C29" s="1173" t="s">
        <v>2111</v>
      </c>
      <c r="D29" s="1174">
        <v>1261</v>
      </c>
      <c r="E29" s="1175">
        <v>1770</v>
      </c>
      <c r="F29" s="1175">
        <f t="shared" si="0"/>
        <v>1327.5</v>
      </c>
      <c r="G29" s="1175">
        <f t="shared" si="1"/>
        <v>1416</v>
      </c>
      <c r="H29" s="1175">
        <f t="shared" si="2"/>
        <v>1403.4862189314372</v>
      </c>
      <c r="I29" s="1175">
        <f t="shared" si="3"/>
        <v>1261</v>
      </c>
      <c r="J29" s="1175">
        <f t="shared" si="4"/>
        <v>1133.0084999999999</v>
      </c>
      <c r="K29" s="1175">
        <f>I29</f>
        <v>1261</v>
      </c>
      <c r="L29" s="1175">
        <f t="shared" si="11"/>
        <v>1199.92770091744</v>
      </c>
      <c r="M29" s="1175">
        <f t="shared" si="5"/>
        <v>839.94939064220796</v>
      </c>
      <c r="N29" s="1175">
        <f t="shared" si="12"/>
        <v>1272.2433436927311</v>
      </c>
      <c r="O29" s="1176">
        <v>4335</v>
      </c>
      <c r="P29" s="1176">
        <v>26323</v>
      </c>
      <c r="Q29" s="1175">
        <f>O29+P29</f>
        <v>30658</v>
      </c>
      <c r="R29" s="1177">
        <f>P29/Q29</f>
        <v>0.85860134385804687</v>
      </c>
      <c r="S29" s="1177">
        <f t="shared" si="8"/>
        <v>5.6559462456781257E-2</v>
      </c>
      <c r="T29" s="1177">
        <f t="shared" si="8"/>
        <v>8.4839193685171871E-2</v>
      </c>
      <c r="U29" s="1177">
        <f t="shared" si="18"/>
        <v>0.79</v>
      </c>
      <c r="V29" s="1177">
        <f t="shared" si="18"/>
        <v>0.17</v>
      </c>
      <c r="W29" s="1177">
        <f t="shared" si="18"/>
        <v>0.04</v>
      </c>
      <c r="X29" s="1177">
        <f t="shared" si="18"/>
        <v>0</v>
      </c>
      <c r="Y29" s="1177">
        <f t="shared" si="18"/>
        <v>0</v>
      </c>
      <c r="Z29" s="1177">
        <f t="shared" si="18"/>
        <v>0.79</v>
      </c>
      <c r="AA29" s="1177">
        <f t="shared" si="18"/>
        <v>0.17</v>
      </c>
      <c r="AB29" s="1177">
        <f t="shared" si="18"/>
        <v>0.04</v>
      </c>
      <c r="AC29" s="1177">
        <f t="shared" si="18"/>
        <v>0</v>
      </c>
      <c r="AD29" s="1177">
        <f t="shared" si="18"/>
        <v>0</v>
      </c>
      <c r="AE29" s="1177">
        <f t="shared" ref="AE29:AL32" si="19">AE$47</f>
        <v>0.2</v>
      </c>
      <c r="AF29" s="1177">
        <f t="shared" si="19"/>
        <v>0.3</v>
      </c>
      <c r="AG29" s="1177">
        <f t="shared" si="19"/>
        <v>1.2E-2</v>
      </c>
      <c r="AH29" s="1177">
        <f t="shared" si="19"/>
        <v>1.7999999999999999E-2</v>
      </c>
      <c r="AI29" s="1177">
        <f t="shared" si="19"/>
        <v>0.18000000000000002</v>
      </c>
      <c r="AJ29" s="1177">
        <f t="shared" si="19"/>
        <v>0.27</v>
      </c>
      <c r="AK29" s="1177">
        <f t="shared" si="19"/>
        <v>0.01</v>
      </c>
      <c r="AL29" s="1177">
        <f t="shared" si="19"/>
        <v>0.01</v>
      </c>
    </row>
    <row r="30" spans="1:38" outlineLevel="1">
      <c r="A30" s="1168" t="s">
        <v>2130</v>
      </c>
      <c r="B30" s="1168" t="s">
        <v>2131</v>
      </c>
      <c r="C30" s="1168" t="s">
        <v>1368</v>
      </c>
      <c r="D30" s="1169"/>
      <c r="E30" s="1178" t="s">
        <v>2132</v>
      </c>
      <c r="F30" s="1170"/>
      <c r="G30" s="1170"/>
      <c r="H30" s="1170"/>
      <c r="I30" s="1170">
        <f t="shared" si="3"/>
        <v>0</v>
      </c>
      <c r="J30" s="1170">
        <f t="shared" si="4"/>
        <v>0</v>
      </c>
      <c r="K30" s="1170">
        <f>K$12</f>
        <v>853</v>
      </c>
      <c r="L30" s="1170">
        <f>L$12</f>
        <v>856.75317096897436</v>
      </c>
      <c r="M30" s="1170">
        <f t="shared" si="5"/>
        <v>599.72721967828204</v>
      </c>
      <c r="N30" s="1170">
        <f>N$12</f>
        <v>908.38682873937125</v>
      </c>
      <c r="O30" s="1170"/>
      <c r="P30" s="1170"/>
      <c r="Q30" s="1170"/>
      <c r="R30" s="1172">
        <f>SUMIF($C$10:$C$45,$C30,$P$10:$P$45)/SUMIF($C$10:$C$45,$C30,$Q$10:$Q$45)</f>
        <v>0.39467659777071934</v>
      </c>
      <c r="S30" s="1172">
        <f t="shared" ref="S30:T46" si="20">(1-$R30)*S$47</f>
        <v>0.24212936089171225</v>
      </c>
      <c r="T30" s="1172">
        <f t="shared" si="20"/>
        <v>0.36319404133756833</v>
      </c>
      <c r="U30" s="1172">
        <f t="shared" si="18"/>
        <v>0.79</v>
      </c>
      <c r="V30" s="1172">
        <f t="shared" si="18"/>
        <v>0.17</v>
      </c>
      <c r="W30" s="1172">
        <f t="shared" si="18"/>
        <v>0.04</v>
      </c>
      <c r="X30" s="1172">
        <f t="shared" si="18"/>
        <v>0</v>
      </c>
      <c r="Y30" s="1172">
        <f t="shared" si="18"/>
        <v>0</v>
      </c>
      <c r="Z30" s="1172">
        <f t="shared" si="18"/>
        <v>0.79</v>
      </c>
      <c r="AA30" s="1172">
        <f t="shared" si="18"/>
        <v>0.17</v>
      </c>
      <c r="AB30" s="1172">
        <f t="shared" si="18"/>
        <v>0.04</v>
      </c>
      <c r="AC30" s="1172">
        <f t="shared" si="18"/>
        <v>0</v>
      </c>
      <c r="AD30" s="1172">
        <f t="shared" si="18"/>
        <v>0</v>
      </c>
      <c r="AE30" s="1172">
        <f t="shared" si="19"/>
        <v>0.2</v>
      </c>
      <c r="AF30" s="1172">
        <f t="shared" si="19"/>
        <v>0.3</v>
      </c>
      <c r="AG30" s="1172">
        <f t="shared" si="19"/>
        <v>1.2E-2</v>
      </c>
      <c r="AH30" s="1172">
        <f t="shared" si="19"/>
        <v>1.7999999999999999E-2</v>
      </c>
      <c r="AI30" s="1172">
        <f t="shared" si="19"/>
        <v>0.18000000000000002</v>
      </c>
      <c r="AJ30" s="1172">
        <f t="shared" si="19"/>
        <v>0.27</v>
      </c>
      <c r="AK30" s="1172">
        <f t="shared" si="19"/>
        <v>0.01</v>
      </c>
      <c r="AL30" s="1172">
        <f t="shared" si="19"/>
        <v>0.01</v>
      </c>
    </row>
    <row r="31" spans="1:38">
      <c r="A31" s="1173" t="s">
        <v>548</v>
      </c>
      <c r="B31" s="1173" t="s">
        <v>382</v>
      </c>
      <c r="C31" s="1173" t="s">
        <v>2111</v>
      </c>
      <c r="D31" s="1174">
        <v>1314</v>
      </c>
      <c r="E31" s="1175">
        <v>1766</v>
      </c>
      <c r="F31" s="1175">
        <f t="shared" ref="F31:F46" si="21">E31*0.75</f>
        <v>1324.5</v>
      </c>
      <c r="G31" s="1175">
        <f t="shared" ref="G31:G46" si="22">E31*0.8</f>
        <v>1412.8000000000002</v>
      </c>
      <c r="H31" s="1175">
        <f t="shared" ref="H31:H46" si="23">(F31*(1-R31)+G31*R31)</f>
        <v>1383.3611906976746</v>
      </c>
      <c r="I31" s="1175">
        <f t="shared" si="3"/>
        <v>1314</v>
      </c>
      <c r="J31" s="1175">
        <f t="shared" si="4"/>
        <v>1180.6289999999999</v>
      </c>
      <c r="K31" s="1175">
        <f>I31</f>
        <v>1314</v>
      </c>
      <c r="L31" s="1175">
        <f t="shared" ref="L31:L46" si="24">($F31/$H31*$K31)/((1-($AK31+$AL31))+($AK31+$AL31)*0.7)</f>
        <v>1265.6841916022065</v>
      </c>
      <c r="M31" s="1175">
        <f t="shared" si="5"/>
        <v>885.97893412154451</v>
      </c>
      <c r="N31" s="1175">
        <f t="shared" ref="N31:N46" si="25">$G31/$H31*$K31</f>
        <v>1341.9627588827666</v>
      </c>
      <c r="O31" s="1176">
        <v>1792</v>
      </c>
      <c r="P31" s="1176">
        <v>3583</v>
      </c>
      <c r="Q31" s="1175">
        <f>O31+P31</f>
        <v>5375</v>
      </c>
      <c r="R31" s="1177">
        <f>P31/Q31</f>
        <v>0.66660465116279066</v>
      </c>
      <c r="S31" s="1177">
        <f t="shared" si="20"/>
        <v>0.13335813953488374</v>
      </c>
      <c r="T31" s="1177">
        <f t="shared" si="20"/>
        <v>0.2000372093023256</v>
      </c>
      <c r="U31" s="1177">
        <f t="shared" si="18"/>
        <v>0.79</v>
      </c>
      <c r="V31" s="1177">
        <f t="shared" si="18"/>
        <v>0.17</v>
      </c>
      <c r="W31" s="1177">
        <f t="shared" si="18"/>
        <v>0.04</v>
      </c>
      <c r="X31" s="1177">
        <f t="shared" si="18"/>
        <v>0</v>
      </c>
      <c r="Y31" s="1177">
        <f t="shared" si="18"/>
        <v>0</v>
      </c>
      <c r="Z31" s="1177">
        <f t="shared" si="18"/>
        <v>0.79</v>
      </c>
      <c r="AA31" s="1177">
        <f t="shared" si="18"/>
        <v>0.17</v>
      </c>
      <c r="AB31" s="1177">
        <f t="shared" si="18"/>
        <v>0.04</v>
      </c>
      <c r="AC31" s="1177">
        <f t="shared" si="18"/>
        <v>0</v>
      </c>
      <c r="AD31" s="1177">
        <f t="shared" si="18"/>
        <v>0</v>
      </c>
      <c r="AE31" s="1177">
        <f t="shared" si="19"/>
        <v>0.2</v>
      </c>
      <c r="AF31" s="1177">
        <f t="shared" si="19"/>
        <v>0.3</v>
      </c>
      <c r="AG31" s="1177">
        <f t="shared" si="19"/>
        <v>1.2E-2</v>
      </c>
      <c r="AH31" s="1177">
        <f t="shared" si="19"/>
        <v>1.7999999999999999E-2</v>
      </c>
      <c r="AI31" s="1177">
        <f t="shared" si="19"/>
        <v>0.18000000000000002</v>
      </c>
      <c r="AJ31" s="1177">
        <f t="shared" si="19"/>
        <v>0.27</v>
      </c>
      <c r="AK31" s="1177">
        <f t="shared" si="19"/>
        <v>0.01</v>
      </c>
      <c r="AL31" s="1177">
        <f t="shared" si="19"/>
        <v>0.01</v>
      </c>
    </row>
    <row r="32" spans="1:38" outlineLevel="1">
      <c r="A32" s="1168" t="s">
        <v>2133</v>
      </c>
      <c r="B32" s="1168" t="s">
        <v>2134</v>
      </c>
      <c r="C32" s="1168" t="s">
        <v>2108</v>
      </c>
      <c r="D32" s="1169"/>
      <c r="E32" s="1170">
        <v>2136</v>
      </c>
      <c r="F32" s="1170">
        <f t="shared" si="21"/>
        <v>1602</v>
      </c>
      <c r="G32" s="1170">
        <f t="shared" si="22"/>
        <v>1708.8000000000002</v>
      </c>
      <c r="H32" s="1170">
        <f t="shared" si="23"/>
        <v>1693.8684326710818</v>
      </c>
      <c r="I32" s="1170">
        <f t="shared" si="3"/>
        <v>0</v>
      </c>
      <c r="J32" s="1170">
        <f t="shared" si="4"/>
        <v>0</v>
      </c>
      <c r="K32" s="1170">
        <f>H32</f>
        <v>1693.8684326710818</v>
      </c>
      <c r="L32" s="1170">
        <f t="shared" si="24"/>
        <v>1611.6700201207243</v>
      </c>
      <c r="M32" s="1170">
        <f t="shared" si="5"/>
        <v>1128.1690140845069</v>
      </c>
      <c r="N32" s="1170">
        <f t="shared" si="25"/>
        <v>1708.8000000000002</v>
      </c>
      <c r="O32" s="1170">
        <v>570</v>
      </c>
      <c r="P32" s="1170">
        <v>3507</v>
      </c>
      <c r="Q32" s="1170">
        <f>O32+P32</f>
        <v>4077</v>
      </c>
      <c r="R32" s="1172">
        <f>P32/Q32</f>
        <v>0.86019131714495956</v>
      </c>
      <c r="S32" s="1172">
        <f t="shared" si="20"/>
        <v>5.5923473142016178E-2</v>
      </c>
      <c r="T32" s="1172">
        <f t="shared" si="20"/>
        <v>8.3885209713024267E-2</v>
      </c>
      <c r="U32" s="1172">
        <f t="shared" si="18"/>
        <v>0.79</v>
      </c>
      <c r="V32" s="1172">
        <f t="shared" si="18"/>
        <v>0.17</v>
      </c>
      <c r="W32" s="1172">
        <f t="shared" si="18"/>
        <v>0.04</v>
      </c>
      <c r="X32" s="1172">
        <f t="shared" si="18"/>
        <v>0</v>
      </c>
      <c r="Y32" s="1172">
        <f t="shared" si="18"/>
        <v>0</v>
      </c>
      <c r="Z32" s="1172">
        <f t="shared" si="18"/>
        <v>0.79</v>
      </c>
      <c r="AA32" s="1172">
        <f t="shared" si="18"/>
        <v>0.17</v>
      </c>
      <c r="AB32" s="1172">
        <f t="shared" si="18"/>
        <v>0.04</v>
      </c>
      <c r="AC32" s="1172">
        <f t="shared" si="18"/>
        <v>0</v>
      </c>
      <c r="AD32" s="1172">
        <f t="shared" si="18"/>
        <v>0</v>
      </c>
      <c r="AE32" s="1172">
        <f t="shared" si="19"/>
        <v>0.2</v>
      </c>
      <c r="AF32" s="1172">
        <f t="shared" si="19"/>
        <v>0.3</v>
      </c>
      <c r="AG32" s="1172">
        <f t="shared" si="19"/>
        <v>1.2E-2</v>
      </c>
      <c r="AH32" s="1172">
        <f t="shared" si="19"/>
        <v>1.7999999999999999E-2</v>
      </c>
      <c r="AI32" s="1172">
        <f t="shared" si="19"/>
        <v>0.18000000000000002</v>
      </c>
      <c r="AJ32" s="1172">
        <f t="shared" si="19"/>
        <v>0.27</v>
      </c>
      <c r="AK32" s="1172">
        <f t="shared" si="19"/>
        <v>0.01</v>
      </c>
      <c r="AL32" s="1172">
        <f t="shared" si="19"/>
        <v>0.01</v>
      </c>
    </row>
    <row r="33" spans="1:38" outlineLevel="1">
      <c r="A33" s="1173" t="s">
        <v>2135</v>
      </c>
      <c r="B33" s="1173" t="s">
        <v>2136</v>
      </c>
      <c r="C33" s="1173" t="s">
        <v>2137</v>
      </c>
      <c r="D33" s="1174">
        <v>1750</v>
      </c>
      <c r="E33" s="1175">
        <v>2153</v>
      </c>
      <c r="F33" s="1175">
        <f t="shared" si="21"/>
        <v>1614.75</v>
      </c>
      <c r="G33" s="1175">
        <f t="shared" si="22"/>
        <v>1722.4</v>
      </c>
      <c r="H33" s="1175">
        <f t="shared" si="23"/>
        <v>1617.8357903357903</v>
      </c>
      <c r="I33" s="1175">
        <f t="shared" si="3"/>
        <v>1750</v>
      </c>
      <c r="J33" s="1175">
        <f t="shared" si="4"/>
        <v>1572.375</v>
      </c>
      <c r="K33" s="1175">
        <v>1750</v>
      </c>
      <c r="L33" s="1175">
        <f t="shared" si="24"/>
        <v>1746.6621253405995</v>
      </c>
      <c r="M33" s="1175">
        <f t="shared" si="5"/>
        <v>1222.6634877384195</v>
      </c>
      <c r="N33" s="1175">
        <f t="shared" si="25"/>
        <v>1863.106267029973</v>
      </c>
      <c r="O33" s="1176">
        <v>2372</v>
      </c>
      <c r="P33" s="1176">
        <v>70</v>
      </c>
      <c r="Q33" s="1175">
        <f>O33+P33</f>
        <v>2442</v>
      </c>
      <c r="R33" s="1177">
        <f>P33/Q33</f>
        <v>2.8665028665028666E-2</v>
      </c>
      <c r="S33" s="1177">
        <f t="shared" si="20"/>
        <v>0.38853398853398857</v>
      </c>
      <c r="T33" s="1177">
        <f t="shared" si="20"/>
        <v>0.5828009828009828</v>
      </c>
      <c r="U33" s="1177"/>
      <c r="V33" s="1177"/>
      <c r="W33" s="1177"/>
      <c r="X33" s="1177"/>
      <c r="Y33" s="1177"/>
      <c r="Z33" s="1177"/>
      <c r="AA33" s="1177"/>
      <c r="AB33" s="1177"/>
      <c r="AC33" s="1177"/>
      <c r="AD33" s="1177"/>
      <c r="AE33" s="1177"/>
      <c r="AF33" s="1177"/>
      <c r="AG33" s="1177"/>
      <c r="AH33" s="1177"/>
      <c r="AI33" s="1177"/>
      <c r="AJ33" s="1177"/>
      <c r="AK33" s="1177"/>
      <c r="AL33" s="1177"/>
    </row>
    <row r="34" spans="1:38">
      <c r="A34" s="1168" t="s">
        <v>2138</v>
      </c>
      <c r="B34" s="1168" t="s">
        <v>2139</v>
      </c>
      <c r="C34" s="1168" t="s">
        <v>1368</v>
      </c>
      <c r="D34" s="1169">
        <v>875</v>
      </c>
      <c r="E34" s="1170">
        <v>1242</v>
      </c>
      <c r="F34" s="1170">
        <f t="shared" si="21"/>
        <v>931.5</v>
      </c>
      <c r="G34" s="1170">
        <f t="shared" si="22"/>
        <v>993.6</v>
      </c>
      <c r="H34" s="1170">
        <f t="shared" si="23"/>
        <v>967.37989677226312</v>
      </c>
      <c r="I34" s="1170">
        <f t="shared" si="3"/>
        <v>875</v>
      </c>
      <c r="J34" s="1170">
        <f t="shared" si="4"/>
        <v>786.1875</v>
      </c>
      <c r="K34" s="1170">
        <f>I34</f>
        <v>875</v>
      </c>
      <c r="L34" s="1170">
        <f t="shared" si="24"/>
        <v>847.63224572076706</v>
      </c>
      <c r="M34" s="1170">
        <f t="shared" si="5"/>
        <v>593.34257200453692</v>
      </c>
      <c r="N34" s="1170">
        <f t="shared" si="25"/>
        <v>898.7162157295387</v>
      </c>
      <c r="O34" s="1171">
        <v>11289</v>
      </c>
      <c r="P34" s="1171">
        <v>15448</v>
      </c>
      <c r="Q34" s="1170">
        <f>O34+P34</f>
        <v>26737</v>
      </c>
      <c r="R34" s="1172">
        <f>P34/Q34</f>
        <v>0.57777611549538088</v>
      </c>
      <c r="S34" s="1172">
        <f t="shared" si="20"/>
        <v>0.16888955380184767</v>
      </c>
      <c r="T34" s="1172">
        <f t="shared" si="20"/>
        <v>0.25333433070277145</v>
      </c>
      <c r="U34" s="1172">
        <f t="shared" ref="U34:AD44" si="26">U$47</f>
        <v>0.79</v>
      </c>
      <c r="V34" s="1172">
        <f t="shared" si="26"/>
        <v>0.17</v>
      </c>
      <c r="W34" s="1172">
        <f t="shared" si="26"/>
        <v>0.04</v>
      </c>
      <c r="X34" s="1172">
        <f t="shared" si="26"/>
        <v>0</v>
      </c>
      <c r="Y34" s="1172">
        <f t="shared" si="26"/>
        <v>0</v>
      </c>
      <c r="Z34" s="1172">
        <f t="shared" si="26"/>
        <v>0.79</v>
      </c>
      <c r="AA34" s="1172">
        <f t="shared" si="26"/>
        <v>0.17</v>
      </c>
      <c r="AB34" s="1172">
        <f t="shared" si="26"/>
        <v>0.04</v>
      </c>
      <c r="AC34" s="1172">
        <f t="shared" si="26"/>
        <v>0</v>
      </c>
      <c r="AD34" s="1172">
        <f t="shared" si="26"/>
        <v>0</v>
      </c>
      <c r="AE34" s="1172">
        <f t="shared" ref="AE34:AL44" si="27">AE$47</f>
        <v>0.2</v>
      </c>
      <c r="AF34" s="1172">
        <f t="shared" si="27"/>
        <v>0.3</v>
      </c>
      <c r="AG34" s="1172">
        <f t="shared" si="27"/>
        <v>1.2E-2</v>
      </c>
      <c r="AH34" s="1172">
        <f t="shared" si="27"/>
        <v>1.7999999999999999E-2</v>
      </c>
      <c r="AI34" s="1172">
        <f t="shared" si="27"/>
        <v>0.18000000000000002</v>
      </c>
      <c r="AJ34" s="1172">
        <f t="shared" si="27"/>
        <v>0.27</v>
      </c>
      <c r="AK34" s="1172">
        <f t="shared" si="27"/>
        <v>0.01</v>
      </c>
      <c r="AL34" s="1172">
        <f t="shared" si="27"/>
        <v>0.01</v>
      </c>
    </row>
    <row r="35" spans="1:38" outlineLevel="1">
      <c r="A35" s="1173" t="s">
        <v>2140</v>
      </c>
      <c r="B35" s="1173" t="s">
        <v>2141</v>
      </c>
      <c r="C35" s="1173" t="s">
        <v>2100</v>
      </c>
      <c r="D35" s="1174"/>
      <c r="E35" s="1175">
        <v>1644</v>
      </c>
      <c r="F35" s="1175">
        <f t="shared" si="21"/>
        <v>1233</v>
      </c>
      <c r="G35" s="1175">
        <f t="shared" si="22"/>
        <v>1315.2</v>
      </c>
      <c r="H35" s="1175">
        <f t="shared" si="23"/>
        <v>1260.6601657874905</v>
      </c>
      <c r="I35" s="1175">
        <f t="shared" si="3"/>
        <v>0</v>
      </c>
      <c r="J35" s="1175">
        <f t="shared" si="4"/>
        <v>0</v>
      </c>
      <c r="K35" s="1175">
        <f>H35</f>
        <v>1260.6601657874905</v>
      </c>
      <c r="L35" s="1175">
        <f t="shared" si="24"/>
        <v>1240.4426559356136</v>
      </c>
      <c r="M35" s="1175">
        <f t="shared" si="5"/>
        <v>868.30985915492954</v>
      </c>
      <c r="N35" s="1175">
        <f t="shared" si="25"/>
        <v>1315.2</v>
      </c>
      <c r="O35" s="1175"/>
      <c r="P35" s="1175"/>
      <c r="Q35" s="1175"/>
      <c r="R35" s="1177">
        <f>R10</f>
        <v>0.33649836724441096</v>
      </c>
      <c r="S35" s="1177">
        <f t="shared" si="20"/>
        <v>0.26540065310223565</v>
      </c>
      <c r="T35" s="1177">
        <f t="shared" si="20"/>
        <v>0.39810097965335339</v>
      </c>
      <c r="U35" s="1177">
        <f t="shared" si="26"/>
        <v>0.79</v>
      </c>
      <c r="V35" s="1177">
        <f t="shared" si="26"/>
        <v>0.17</v>
      </c>
      <c r="W35" s="1177">
        <f t="shared" si="26"/>
        <v>0.04</v>
      </c>
      <c r="X35" s="1177">
        <f t="shared" si="26"/>
        <v>0</v>
      </c>
      <c r="Y35" s="1177">
        <f t="shared" si="26"/>
        <v>0</v>
      </c>
      <c r="Z35" s="1177">
        <f t="shared" si="26"/>
        <v>0.79</v>
      </c>
      <c r="AA35" s="1177">
        <f t="shared" si="26"/>
        <v>0.17</v>
      </c>
      <c r="AB35" s="1177">
        <f t="shared" si="26"/>
        <v>0.04</v>
      </c>
      <c r="AC35" s="1177">
        <f t="shared" si="26"/>
        <v>0</v>
      </c>
      <c r="AD35" s="1177">
        <f t="shared" si="26"/>
        <v>0</v>
      </c>
      <c r="AE35" s="1177">
        <f t="shared" si="27"/>
        <v>0.2</v>
      </c>
      <c r="AF35" s="1177">
        <f t="shared" si="27"/>
        <v>0.3</v>
      </c>
      <c r="AG35" s="1177">
        <f t="shared" si="27"/>
        <v>1.2E-2</v>
      </c>
      <c r="AH35" s="1177">
        <f t="shared" si="27"/>
        <v>1.7999999999999999E-2</v>
      </c>
      <c r="AI35" s="1177">
        <f t="shared" si="27"/>
        <v>0.18000000000000002</v>
      </c>
      <c r="AJ35" s="1177">
        <f t="shared" si="27"/>
        <v>0.27</v>
      </c>
      <c r="AK35" s="1177">
        <f t="shared" si="27"/>
        <v>0.01</v>
      </c>
      <c r="AL35" s="1177">
        <f t="shared" si="27"/>
        <v>0.01</v>
      </c>
    </row>
    <row r="36" spans="1:38">
      <c r="A36" s="1168" t="s">
        <v>2142</v>
      </c>
      <c r="B36" s="1168" t="s">
        <v>336</v>
      </c>
      <c r="C36" s="1168" t="s">
        <v>1368</v>
      </c>
      <c r="D36" s="1169">
        <v>760</v>
      </c>
      <c r="E36" s="1170">
        <v>1103</v>
      </c>
      <c r="F36" s="1170">
        <f t="shared" si="21"/>
        <v>827.25</v>
      </c>
      <c r="G36" s="1170">
        <f t="shared" si="22"/>
        <v>882.40000000000009</v>
      </c>
      <c r="H36" s="1170">
        <f t="shared" si="23"/>
        <v>828.05510948905112</v>
      </c>
      <c r="I36" s="1170">
        <f t="shared" si="3"/>
        <v>760</v>
      </c>
      <c r="J36" s="1170">
        <f t="shared" si="4"/>
        <v>682.86</v>
      </c>
      <c r="K36" s="1170">
        <f t="shared" ref="K36:K46" si="28">I36</f>
        <v>760</v>
      </c>
      <c r="L36" s="1170">
        <f t="shared" si="24"/>
        <v>763.84412454307767</v>
      </c>
      <c r="M36" s="1170">
        <f t="shared" si="5"/>
        <v>534.69088718015439</v>
      </c>
      <c r="N36" s="1170">
        <f t="shared" si="25"/>
        <v>809.87846378220718</v>
      </c>
      <c r="O36" s="1171">
        <v>810</v>
      </c>
      <c r="P36" s="1171">
        <v>12</v>
      </c>
      <c r="Q36" s="1170">
        <f t="shared" ref="Q36:Q46" si="29">O36+P36</f>
        <v>822</v>
      </c>
      <c r="R36" s="1172">
        <f t="shared" ref="R36:R43" si="30">P36/Q36</f>
        <v>1.4598540145985401E-2</v>
      </c>
      <c r="S36" s="1172">
        <f t="shared" si="20"/>
        <v>0.39416058394160586</v>
      </c>
      <c r="T36" s="1172">
        <f t="shared" si="20"/>
        <v>0.5912408759124087</v>
      </c>
      <c r="U36" s="1172">
        <f t="shared" si="26"/>
        <v>0.79</v>
      </c>
      <c r="V36" s="1172">
        <f t="shared" si="26"/>
        <v>0.17</v>
      </c>
      <c r="W36" s="1172">
        <f t="shared" si="26"/>
        <v>0.04</v>
      </c>
      <c r="X36" s="1172">
        <f t="shared" si="26"/>
        <v>0</v>
      </c>
      <c r="Y36" s="1172">
        <f t="shared" si="26"/>
        <v>0</v>
      </c>
      <c r="Z36" s="1172">
        <f t="shared" si="26"/>
        <v>0.79</v>
      </c>
      <c r="AA36" s="1172">
        <f t="shared" si="26"/>
        <v>0.17</v>
      </c>
      <c r="AB36" s="1172">
        <f t="shared" si="26"/>
        <v>0.04</v>
      </c>
      <c r="AC36" s="1172">
        <f t="shared" si="26"/>
        <v>0</v>
      </c>
      <c r="AD36" s="1172">
        <f t="shared" si="26"/>
        <v>0</v>
      </c>
      <c r="AE36" s="1172">
        <f t="shared" si="27"/>
        <v>0.2</v>
      </c>
      <c r="AF36" s="1172">
        <f t="shared" si="27"/>
        <v>0.3</v>
      </c>
      <c r="AG36" s="1172">
        <f t="shared" si="27"/>
        <v>1.2E-2</v>
      </c>
      <c r="AH36" s="1172">
        <f t="shared" si="27"/>
        <v>1.7999999999999999E-2</v>
      </c>
      <c r="AI36" s="1172">
        <f t="shared" si="27"/>
        <v>0.18000000000000002</v>
      </c>
      <c r="AJ36" s="1172">
        <f t="shared" si="27"/>
        <v>0.27</v>
      </c>
      <c r="AK36" s="1172">
        <f t="shared" si="27"/>
        <v>0.01</v>
      </c>
      <c r="AL36" s="1172">
        <f t="shared" si="27"/>
        <v>0.01</v>
      </c>
    </row>
    <row r="37" spans="1:38">
      <c r="A37" s="1173" t="s">
        <v>2143</v>
      </c>
      <c r="B37" s="1173" t="s">
        <v>2144</v>
      </c>
      <c r="C37" s="1173" t="s">
        <v>1368</v>
      </c>
      <c r="D37" s="1174">
        <v>1407</v>
      </c>
      <c r="E37" s="1175">
        <v>1891</v>
      </c>
      <c r="F37" s="1175">
        <f t="shared" si="21"/>
        <v>1418.25</v>
      </c>
      <c r="G37" s="1175">
        <f t="shared" si="22"/>
        <v>1512.8000000000002</v>
      </c>
      <c r="H37" s="1175">
        <f t="shared" si="23"/>
        <v>1466.8193611473273</v>
      </c>
      <c r="I37" s="1175">
        <f t="shared" si="3"/>
        <v>1407</v>
      </c>
      <c r="J37" s="1175">
        <f t="shared" si="4"/>
        <v>1264.1895</v>
      </c>
      <c r="K37" s="1175">
        <f t="shared" si="28"/>
        <v>1407</v>
      </c>
      <c r="L37" s="1175">
        <f t="shared" si="24"/>
        <v>1368.6231178143742</v>
      </c>
      <c r="M37" s="1175">
        <f t="shared" si="5"/>
        <v>958.03618247006182</v>
      </c>
      <c r="N37" s="1175">
        <f t="shared" si="25"/>
        <v>1451.1054710479873</v>
      </c>
      <c r="O37" s="1176">
        <v>2611</v>
      </c>
      <c r="P37" s="1176">
        <v>2758</v>
      </c>
      <c r="Q37" s="1175">
        <f t="shared" si="29"/>
        <v>5369</v>
      </c>
      <c r="R37" s="1177">
        <f t="shared" si="30"/>
        <v>0.51368970013037807</v>
      </c>
      <c r="S37" s="1177">
        <f t="shared" si="20"/>
        <v>0.19452411994784879</v>
      </c>
      <c r="T37" s="1177">
        <f t="shared" si="20"/>
        <v>0.29178617992177314</v>
      </c>
      <c r="U37" s="1177">
        <f t="shared" si="26"/>
        <v>0.79</v>
      </c>
      <c r="V37" s="1177">
        <f t="shared" si="26"/>
        <v>0.17</v>
      </c>
      <c r="W37" s="1177">
        <f t="shared" si="26"/>
        <v>0.04</v>
      </c>
      <c r="X37" s="1177">
        <f t="shared" si="26"/>
        <v>0</v>
      </c>
      <c r="Y37" s="1177">
        <f t="shared" si="26"/>
        <v>0</v>
      </c>
      <c r="Z37" s="1177">
        <f t="shared" si="26"/>
        <v>0.79</v>
      </c>
      <c r="AA37" s="1177">
        <f t="shared" si="26"/>
        <v>0.17</v>
      </c>
      <c r="AB37" s="1177">
        <f t="shared" si="26"/>
        <v>0.04</v>
      </c>
      <c r="AC37" s="1177">
        <f t="shared" si="26"/>
        <v>0</v>
      </c>
      <c r="AD37" s="1177">
        <f t="shared" si="26"/>
        <v>0</v>
      </c>
      <c r="AE37" s="1177">
        <f t="shared" si="27"/>
        <v>0.2</v>
      </c>
      <c r="AF37" s="1177">
        <f t="shared" si="27"/>
        <v>0.3</v>
      </c>
      <c r="AG37" s="1177">
        <f t="shared" si="27"/>
        <v>1.2E-2</v>
      </c>
      <c r="AH37" s="1177">
        <f t="shared" si="27"/>
        <v>1.7999999999999999E-2</v>
      </c>
      <c r="AI37" s="1177">
        <f t="shared" si="27"/>
        <v>0.18000000000000002</v>
      </c>
      <c r="AJ37" s="1177">
        <f t="shared" si="27"/>
        <v>0.27</v>
      </c>
      <c r="AK37" s="1177">
        <f t="shared" si="27"/>
        <v>0.01</v>
      </c>
      <c r="AL37" s="1177">
        <f t="shared" si="27"/>
        <v>0.01</v>
      </c>
    </row>
    <row r="38" spans="1:38">
      <c r="A38" s="1168" t="s">
        <v>2145</v>
      </c>
      <c r="B38" s="1168" t="s">
        <v>2146</v>
      </c>
      <c r="C38" s="1168" t="s">
        <v>2137</v>
      </c>
      <c r="D38" s="1169">
        <v>1733</v>
      </c>
      <c r="E38" s="1170">
        <v>2166</v>
      </c>
      <c r="F38" s="1170">
        <f t="shared" si="21"/>
        <v>1624.5</v>
      </c>
      <c r="G38" s="1170">
        <f t="shared" si="22"/>
        <v>1732.8000000000002</v>
      </c>
      <c r="H38" s="1170">
        <f t="shared" si="23"/>
        <v>1660.6413138017856</v>
      </c>
      <c r="I38" s="1170">
        <f t="shared" si="3"/>
        <v>1733</v>
      </c>
      <c r="J38" s="1170">
        <f t="shared" si="4"/>
        <v>1557.1005</v>
      </c>
      <c r="K38" s="1170">
        <f t="shared" si="28"/>
        <v>1733</v>
      </c>
      <c r="L38" s="1170">
        <f t="shared" si="24"/>
        <v>1705.51701233328</v>
      </c>
      <c r="M38" s="1170">
        <f t="shared" si="5"/>
        <v>1193.861908633296</v>
      </c>
      <c r="N38" s="1170">
        <f t="shared" si="25"/>
        <v>1808.3028376098991</v>
      </c>
      <c r="O38" s="1171">
        <v>5822</v>
      </c>
      <c r="P38" s="1171">
        <v>2916</v>
      </c>
      <c r="Q38" s="1170">
        <f t="shared" si="29"/>
        <v>8738</v>
      </c>
      <c r="R38" s="1172">
        <f t="shared" si="30"/>
        <v>0.33371480888075072</v>
      </c>
      <c r="S38" s="1172">
        <f t="shared" si="20"/>
        <v>0.26651407644769975</v>
      </c>
      <c r="T38" s="1172">
        <f t="shared" si="20"/>
        <v>0.39977111467154958</v>
      </c>
      <c r="U38" s="1172">
        <f t="shared" si="26"/>
        <v>0.79</v>
      </c>
      <c r="V38" s="1172">
        <f t="shared" si="26"/>
        <v>0.17</v>
      </c>
      <c r="W38" s="1172">
        <f t="shared" si="26"/>
        <v>0.04</v>
      </c>
      <c r="X38" s="1172">
        <f t="shared" si="26"/>
        <v>0</v>
      </c>
      <c r="Y38" s="1172">
        <f t="shared" si="26"/>
        <v>0</v>
      </c>
      <c r="Z38" s="1172">
        <f t="shared" si="26"/>
        <v>0.79</v>
      </c>
      <c r="AA38" s="1172">
        <f t="shared" si="26"/>
        <v>0.17</v>
      </c>
      <c r="AB38" s="1172">
        <f t="shared" si="26"/>
        <v>0.04</v>
      </c>
      <c r="AC38" s="1172">
        <f t="shared" si="26"/>
        <v>0</v>
      </c>
      <c r="AD38" s="1172">
        <f t="shared" si="26"/>
        <v>0</v>
      </c>
      <c r="AE38" s="1172">
        <f t="shared" si="27"/>
        <v>0.2</v>
      </c>
      <c r="AF38" s="1172">
        <f t="shared" si="27"/>
        <v>0.3</v>
      </c>
      <c r="AG38" s="1172">
        <f t="shared" si="27"/>
        <v>1.2E-2</v>
      </c>
      <c r="AH38" s="1172">
        <f t="shared" si="27"/>
        <v>1.7999999999999999E-2</v>
      </c>
      <c r="AI38" s="1172">
        <f t="shared" si="27"/>
        <v>0.18000000000000002</v>
      </c>
      <c r="AJ38" s="1172">
        <f t="shared" si="27"/>
        <v>0.27</v>
      </c>
      <c r="AK38" s="1172">
        <f t="shared" si="27"/>
        <v>0.01</v>
      </c>
      <c r="AL38" s="1172">
        <f t="shared" si="27"/>
        <v>0.01</v>
      </c>
    </row>
    <row r="39" spans="1:38">
      <c r="A39" s="1173" t="s">
        <v>1338</v>
      </c>
      <c r="B39" s="1173" t="s">
        <v>2147</v>
      </c>
      <c r="C39" s="1173" t="s">
        <v>1368</v>
      </c>
      <c r="D39" s="1174">
        <v>1500</v>
      </c>
      <c r="E39" s="1175">
        <v>1886</v>
      </c>
      <c r="F39" s="1175">
        <f t="shared" si="21"/>
        <v>1414.5</v>
      </c>
      <c r="G39" s="1175">
        <f t="shared" si="22"/>
        <v>1508.8000000000002</v>
      </c>
      <c r="H39" s="1175">
        <f t="shared" si="23"/>
        <v>1489.7574536730642</v>
      </c>
      <c r="I39" s="1175">
        <f t="shared" si="3"/>
        <v>1500</v>
      </c>
      <c r="J39" s="1175">
        <f t="shared" si="4"/>
        <v>1347.75</v>
      </c>
      <c r="K39" s="1175">
        <f t="shared" si="28"/>
        <v>1500</v>
      </c>
      <c r="L39" s="1175">
        <f t="shared" si="24"/>
        <v>1432.8220602632589</v>
      </c>
      <c r="M39" s="1175">
        <f t="shared" si="5"/>
        <v>1002.9754421842812</v>
      </c>
      <c r="N39" s="1175">
        <f t="shared" si="25"/>
        <v>1519.1734697617915</v>
      </c>
      <c r="O39" s="1176">
        <v>9764</v>
      </c>
      <c r="P39" s="1176">
        <v>38588</v>
      </c>
      <c r="Q39" s="1175">
        <f t="shared" si="29"/>
        <v>48352</v>
      </c>
      <c r="R39" s="1177">
        <f t="shared" si="30"/>
        <v>0.79806419589675714</v>
      </c>
      <c r="S39" s="1177">
        <f t="shared" si="20"/>
        <v>8.077432164129715E-2</v>
      </c>
      <c r="T39" s="1177">
        <f t="shared" si="20"/>
        <v>0.1211614824619457</v>
      </c>
      <c r="U39" s="1177">
        <f t="shared" si="26"/>
        <v>0.79</v>
      </c>
      <c r="V39" s="1177">
        <f t="shared" si="26"/>
        <v>0.17</v>
      </c>
      <c r="W39" s="1177">
        <f t="shared" si="26"/>
        <v>0.04</v>
      </c>
      <c r="X39" s="1177">
        <f t="shared" si="26"/>
        <v>0</v>
      </c>
      <c r="Y39" s="1177">
        <f t="shared" si="26"/>
        <v>0</v>
      </c>
      <c r="Z39" s="1177">
        <f t="shared" si="26"/>
        <v>0.79</v>
      </c>
      <c r="AA39" s="1177">
        <f t="shared" si="26"/>
        <v>0.17</v>
      </c>
      <c r="AB39" s="1177">
        <f t="shared" si="26"/>
        <v>0.04</v>
      </c>
      <c r="AC39" s="1177">
        <f t="shared" si="26"/>
        <v>0</v>
      </c>
      <c r="AD39" s="1177">
        <f t="shared" si="26"/>
        <v>0</v>
      </c>
      <c r="AE39" s="1177">
        <f t="shared" si="27"/>
        <v>0.2</v>
      </c>
      <c r="AF39" s="1177">
        <f t="shared" si="27"/>
        <v>0.3</v>
      </c>
      <c r="AG39" s="1177">
        <f t="shared" si="27"/>
        <v>1.2E-2</v>
      </c>
      <c r="AH39" s="1177">
        <f t="shared" si="27"/>
        <v>1.7999999999999999E-2</v>
      </c>
      <c r="AI39" s="1177">
        <f t="shared" si="27"/>
        <v>0.18000000000000002</v>
      </c>
      <c r="AJ39" s="1177">
        <f t="shared" si="27"/>
        <v>0.27</v>
      </c>
      <c r="AK39" s="1177">
        <f t="shared" si="27"/>
        <v>0.01</v>
      </c>
      <c r="AL39" s="1177">
        <f t="shared" si="27"/>
        <v>0.01</v>
      </c>
    </row>
    <row r="40" spans="1:38">
      <c r="A40" s="1168" t="s">
        <v>2148</v>
      </c>
      <c r="B40" s="1168" t="s">
        <v>2149</v>
      </c>
      <c r="C40" s="1168" t="s">
        <v>1368</v>
      </c>
      <c r="D40" s="1169">
        <v>850</v>
      </c>
      <c r="E40" s="1170">
        <v>1218</v>
      </c>
      <c r="F40" s="1170">
        <f t="shared" si="21"/>
        <v>913.5</v>
      </c>
      <c r="G40" s="1170">
        <f t="shared" si="22"/>
        <v>974.40000000000009</v>
      </c>
      <c r="H40" s="1170">
        <f t="shared" si="23"/>
        <v>918.50498620417818</v>
      </c>
      <c r="I40" s="1170">
        <f t="shared" si="3"/>
        <v>850</v>
      </c>
      <c r="J40" s="1170">
        <f t="shared" si="4"/>
        <v>763.72500000000002</v>
      </c>
      <c r="K40" s="1170">
        <f t="shared" si="28"/>
        <v>850</v>
      </c>
      <c r="L40" s="1170">
        <f t="shared" si="24"/>
        <v>850.47112815274181</v>
      </c>
      <c r="M40" s="1170">
        <f t="shared" si="5"/>
        <v>595.3297897069192</v>
      </c>
      <c r="N40" s="1170">
        <f t="shared" si="25"/>
        <v>901.72618814274699</v>
      </c>
      <c r="O40" s="1171">
        <v>4657</v>
      </c>
      <c r="P40" s="1171">
        <v>417</v>
      </c>
      <c r="Q40" s="1170">
        <f t="shared" si="29"/>
        <v>5074</v>
      </c>
      <c r="R40" s="1172">
        <f t="shared" si="30"/>
        <v>8.2183681513598741E-2</v>
      </c>
      <c r="S40" s="1172">
        <f t="shared" si="20"/>
        <v>0.36712652739456053</v>
      </c>
      <c r="T40" s="1172">
        <f t="shared" si="20"/>
        <v>0.55068979109184069</v>
      </c>
      <c r="U40" s="1172">
        <f t="shared" si="26"/>
        <v>0.79</v>
      </c>
      <c r="V40" s="1172">
        <f t="shared" si="26"/>
        <v>0.17</v>
      </c>
      <c r="W40" s="1172">
        <f t="shared" si="26"/>
        <v>0.04</v>
      </c>
      <c r="X40" s="1172">
        <f t="shared" si="26"/>
        <v>0</v>
      </c>
      <c r="Y40" s="1172">
        <f t="shared" si="26"/>
        <v>0</v>
      </c>
      <c r="Z40" s="1172">
        <f t="shared" si="26"/>
        <v>0.79</v>
      </c>
      <c r="AA40" s="1172">
        <f t="shared" si="26"/>
        <v>0.17</v>
      </c>
      <c r="AB40" s="1172">
        <f t="shared" si="26"/>
        <v>0.04</v>
      </c>
      <c r="AC40" s="1172">
        <f t="shared" si="26"/>
        <v>0</v>
      </c>
      <c r="AD40" s="1172">
        <f t="shared" si="26"/>
        <v>0</v>
      </c>
      <c r="AE40" s="1172">
        <f t="shared" si="27"/>
        <v>0.2</v>
      </c>
      <c r="AF40" s="1172">
        <f t="shared" si="27"/>
        <v>0.3</v>
      </c>
      <c r="AG40" s="1172">
        <f t="shared" si="27"/>
        <v>1.2E-2</v>
      </c>
      <c r="AH40" s="1172">
        <f t="shared" si="27"/>
        <v>1.7999999999999999E-2</v>
      </c>
      <c r="AI40" s="1172">
        <f t="shared" si="27"/>
        <v>0.18000000000000002</v>
      </c>
      <c r="AJ40" s="1172">
        <f t="shared" si="27"/>
        <v>0.27</v>
      </c>
      <c r="AK40" s="1172">
        <f t="shared" si="27"/>
        <v>0.01</v>
      </c>
      <c r="AL40" s="1172">
        <f t="shared" si="27"/>
        <v>0.01</v>
      </c>
    </row>
    <row r="41" spans="1:38" s="252" customFormat="1">
      <c r="A41" s="1173" t="s">
        <v>2150</v>
      </c>
      <c r="B41" s="1173" t="s">
        <v>103</v>
      </c>
      <c r="C41" s="1173" t="s">
        <v>1368</v>
      </c>
      <c r="D41" s="1174">
        <v>970</v>
      </c>
      <c r="E41" s="1175">
        <v>1467</v>
      </c>
      <c r="F41" s="1175">
        <f t="shared" si="21"/>
        <v>1100.25</v>
      </c>
      <c r="G41" s="1175">
        <f t="shared" si="22"/>
        <v>1173.6000000000001</v>
      </c>
      <c r="H41" s="1175">
        <f t="shared" si="23"/>
        <v>1100.8603524229075</v>
      </c>
      <c r="I41" s="1175">
        <v>919</v>
      </c>
      <c r="J41" s="1175">
        <f t="shared" si="4"/>
        <v>825.72149999999999</v>
      </c>
      <c r="K41" s="1175">
        <f t="shared" si="28"/>
        <v>919</v>
      </c>
      <c r="L41" s="1175">
        <f t="shared" si="24"/>
        <v>924.03468492121601</v>
      </c>
      <c r="M41" s="1175">
        <f t="shared" si="5"/>
        <v>646.82427944485119</v>
      </c>
      <c r="N41" s="1175">
        <f t="shared" si="25"/>
        <v>979.72317526580139</v>
      </c>
      <c r="O41" s="1176">
        <v>8104</v>
      </c>
      <c r="P41" s="1176">
        <v>68</v>
      </c>
      <c r="Q41" s="1175">
        <f t="shared" si="29"/>
        <v>8172</v>
      </c>
      <c r="R41" s="1177">
        <f t="shared" si="30"/>
        <v>8.321096426823299E-3</v>
      </c>
      <c r="S41" s="1177">
        <f t="shared" si="20"/>
        <v>0.39667156142927068</v>
      </c>
      <c r="T41" s="1177">
        <f t="shared" si="20"/>
        <v>0.59500734214390594</v>
      </c>
      <c r="U41" s="1177">
        <f t="shared" si="26"/>
        <v>0.79</v>
      </c>
      <c r="V41" s="1177">
        <f t="shared" si="26"/>
        <v>0.17</v>
      </c>
      <c r="W41" s="1177">
        <f t="shared" si="26"/>
        <v>0.04</v>
      </c>
      <c r="X41" s="1177">
        <f t="shared" si="26"/>
        <v>0</v>
      </c>
      <c r="Y41" s="1177">
        <f t="shared" si="26"/>
        <v>0</v>
      </c>
      <c r="Z41" s="1177">
        <f t="shared" si="26"/>
        <v>0.79</v>
      </c>
      <c r="AA41" s="1177">
        <f t="shared" si="26"/>
        <v>0.17</v>
      </c>
      <c r="AB41" s="1177">
        <f t="shared" si="26"/>
        <v>0.04</v>
      </c>
      <c r="AC41" s="1177">
        <f t="shared" si="26"/>
        <v>0</v>
      </c>
      <c r="AD41" s="1177">
        <f t="shared" si="26"/>
        <v>0</v>
      </c>
      <c r="AE41" s="1177">
        <f t="shared" si="27"/>
        <v>0.2</v>
      </c>
      <c r="AF41" s="1177">
        <f t="shared" si="27"/>
        <v>0.3</v>
      </c>
      <c r="AG41" s="1177">
        <f t="shared" si="27"/>
        <v>1.2E-2</v>
      </c>
      <c r="AH41" s="1177">
        <f t="shared" si="27"/>
        <v>1.7999999999999999E-2</v>
      </c>
      <c r="AI41" s="1177">
        <f t="shared" si="27"/>
        <v>0.18000000000000002</v>
      </c>
      <c r="AJ41" s="1177">
        <f t="shared" si="27"/>
        <v>0.27</v>
      </c>
      <c r="AK41" s="1177">
        <f t="shared" si="27"/>
        <v>0.01</v>
      </c>
      <c r="AL41" s="1177">
        <f t="shared" si="27"/>
        <v>0.01</v>
      </c>
    </row>
    <row r="42" spans="1:38">
      <c r="A42" s="1168" t="s">
        <v>665</v>
      </c>
      <c r="B42" s="1168" t="s">
        <v>643</v>
      </c>
      <c r="C42" s="1168" t="s">
        <v>2111</v>
      </c>
      <c r="D42" s="1169">
        <v>1522</v>
      </c>
      <c r="E42" s="1170">
        <v>1903</v>
      </c>
      <c r="F42" s="1170">
        <f t="shared" si="21"/>
        <v>1427.25</v>
      </c>
      <c r="G42" s="1170">
        <f t="shared" si="22"/>
        <v>1522.4</v>
      </c>
      <c r="H42" s="1170">
        <f t="shared" si="23"/>
        <v>1493.1563573593803</v>
      </c>
      <c r="I42" s="1170">
        <f t="shared" ref="I42:I47" si="31">D42</f>
        <v>1522</v>
      </c>
      <c r="J42" s="1170">
        <f t="shared" si="4"/>
        <v>1367.5170000000001</v>
      </c>
      <c r="K42" s="1170">
        <f t="shared" si="28"/>
        <v>1522</v>
      </c>
      <c r="L42" s="1170">
        <f t="shared" si="24"/>
        <v>1463.6021272349333</v>
      </c>
      <c r="M42" s="1170">
        <f t="shared" si="5"/>
        <v>1024.5214890644531</v>
      </c>
      <c r="N42" s="1170">
        <f t="shared" si="25"/>
        <v>1551.8085487696255</v>
      </c>
      <c r="O42" s="1171">
        <v>3650</v>
      </c>
      <c r="P42" s="1171">
        <v>8226</v>
      </c>
      <c r="Q42" s="1170">
        <f t="shared" si="29"/>
        <v>11876</v>
      </c>
      <c r="R42" s="1172">
        <f t="shared" si="30"/>
        <v>0.69265746042438536</v>
      </c>
      <c r="S42" s="1172">
        <f t="shared" si="20"/>
        <v>0.12293701583024585</v>
      </c>
      <c r="T42" s="1172">
        <f t="shared" si="20"/>
        <v>0.18440552374536878</v>
      </c>
      <c r="U42" s="1172">
        <f t="shared" si="26"/>
        <v>0.79</v>
      </c>
      <c r="V42" s="1172">
        <f t="shared" si="26"/>
        <v>0.17</v>
      </c>
      <c r="W42" s="1172">
        <f t="shared" si="26"/>
        <v>0.04</v>
      </c>
      <c r="X42" s="1172">
        <f t="shared" si="26"/>
        <v>0</v>
      </c>
      <c r="Y42" s="1172">
        <f t="shared" si="26"/>
        <v>0</v>
      </c>
      <c r="Z42" s="1172">
        <f t="shared" si="26"/>
        <v>0.79</v>
      </c>
      <c r="AA42" s="1172">
        <f t="shared" si="26"/>
        <v>0.17</v>
      </c>
      <c r="AB42" s="1172">
        <f t="shared" si="26"/>
        <v>0.04</v>
      </c>
      <c r="AC42" s="1172">
        <f t="shared" si="26"/>
        <v>0</v>
      </c>
      <c r="AD42" s="1172">
        <f t="shared" si="26"/>
        <v>0</v>
      </c>
      <c r="AE42" s="1172">
        <f t="shared" si="27"/>
        <v>0.2</v>
      </c>
      <c r="AF42" s="1172">
        <f t="shared" si="27"/>
        <v>0.3</v>
      </c>
      <c r="AG42" s="1172">
        <f t="shared" si="27"/>
        <v>1.2E-2</v>
      </c>
      <c r="AH42" s="1172">
        <f t="shared" si="27"/>
        <v>1.7999999999999999E-2</v>
      </c>
      <c r="AI42" s="1172">
        <f t="shared" si="27"/>
        <v>0.18000000000000002</v>
      </c>
      <c r="AJ42" s="1172">
        <f t="shared" si="27"/>
        <v>0.27</v>
      </c>
      <c r="AK42" s="1172">
        <f t="shared" si="27"/>
        <v>0.01</v>
      </c>
      <c r="AL42" s="1172">
        <f t="shared" si="27"/>
        <v>0.01</v>
      </c>
    </row>
    <row r="43" spans="1:38">
      <c r="A43" s="1173" t="s">
        <v>2151</v>
      </c>
      <c r="B43" s="1173" t="s">
        <v>2152</v>
      </c>
      <c r="C43" s="1173" t="s">
        <v>2111</v>
      </c>
      <c r="D43" s="1174">
        <v>1471</v>
      </c>
      <c r="E43" s="1175">
        <v>1839</v>
      </c>
      <c r="F43" s="1175">
        <f t="shared" si="21"/>
        <v>1379.25</v>
      </c>
      <c r="G43" s="1175">
        <f t="shared" si="22"/>
        <v>1471.2</v>
      </c>
      <c r="H43" s="1175">
        <f t="shared" si="23"/>
        <v>1398.0702004464702</v>
      </c>
      <c r="I43" s="1175">
        <f t="shared" si="31"/>
        <v>1471</v>
      </c>
      <c r="J43" s="1175">
        <f t="shared" si="4"/>
        <v>1321.6934999999999</v>
      </c>
      <c r="K43" s="1175">
        <f t="shared" si="28"/>
        <v>1471</v>
      </c>
      <c r="L43" s="1175">
        <f t="shared" si="24"/>
        <v>1459.9577977513909</v>
      </c>
      <c r="M43" s="1175">
        <f t="shared" si="5"/>
        <v>1021.9704584259736</v>
      </c>
      <c r="N43" s="1175">
        <f t="shared" si="25"/>
        <v>1547.9445876958746</v>
      </c>
      <c r="O43" s="1176">
        <v>17101</v>
      </c>
      <c r="P43" s="1176">
        <v>4401</v>
      </c>
      <c r="Q43" s="1175">
        <f t="shared" si="29"/>
        <v>21502</v>
      </c>
      <c r="R43" s="1177">
        <f t="shared" si="30"/>
        <v>0.20467863454562366</v>
      </c>
      <c r="S43" s="1177">
        <f t="shared" si="20"/>
        <v>0.31812854618175057</v>
      </c>
      <c r="T43" s="1177">
        <f t="shared" si="20"/>
        <v>0.4771928192726258</v>
      </c>
      <c r="U43" s="1177">
        <f t="shared" si="26"/>
        <v>0.79</v>
      </c>
      <c r="V43" s="1177">
        <f t="shared" si="26"/>
        <v>0.17</v>
      </c>
      <c r="W43" s="1177">
        <f t="shared" si="26"/>
        <v>0.04</v>
      </c>
      <c r="X43" s="1177">
        <f t="shared" si="26"/>
        <v>0</v>
      </c>
      <c r="Y43" s="1177">
        <f t="shared" si="26"/>
        <v>0</v>
      </c>
      <c r="Z43" s="1177">
        <f t="shared" si="26"/>
        <v>0.79</v>
      </c>
      <c r="AA43" s="1177">
        <f t="shared" si="26"/>
        <v>0.17</v>
      </c>
      <c r="AB43" s="1177">
        <f t="shared" si="26"/>
        <v>0.04</v>
      </c>
      <c r="AC43" s="1177">
        <f t="shared" si="26"/>
        <v>0</v>
      </c>
      <c r="AD43" s="1177">
        <f t="shared" si="26"/>
        <v>0</v>
      </c>
      <c r="AE43" s="1177">
        <f t="shared" si="27"/>
        <v>0.2</v>
      </c>
      <c r="AF43" s="1177">
        <f t="shared" si="27"/>
        <v>0.3</v>
      </c>
      <c r="AG43" s="1177">
        <f t="shared" si="27"/>
        <v>1.2E-2</v>
      </c>
      <c r="AH43" s="1177">
        <f t="shared" si="27"/>
        <v>1.7999999999999999E-2</v>
      </c>
      <c r="AI43" s="1177">
        <f t="shared" si="27"/>
        <v>0.18000000000000002</v>
      </c>
      <c r="AJ43" s="1177">
        <f t="shared" si="27"/>
        <v>0.27</v>
      </c>
      <c r="AK43" s="1177">
        <f t="shared" si="27"/>
        <v>0.01</v>
      </c>
      <c r="AL43" s="1177">
        <f t="shared" si="27"/>
        <v>0.01</v>
      </c>
    </row>
    <row r="44" spans="1:38">
      <c r="A44" s="1168" t="s">
        <v>2153</v>
      </c>
      <c r="B44" s="1168" t="s">
        <v>2154</v>
      </c>
      <c r="C44" s="1168" t="s">
        <v>1368</v>
      </c>
      <c r="D44" s="1169">
        <v>902</v>
      </c>
      <c r="E44" s="1170">
        <v>1128</v>
      </c>
      <c r="F44" s="1170">
        <f t="shared" si="21"/>
        <v>846</v>
      </c>
      <c r="G44" s="1170">
        <f t="shared" si="22"/>
        <v>902.40000000000009</v>
      </c>
      <c r="H44" s="1170">
        <f t="shared" si="23"/>
        <v>868.2597601142686</v>
      </c>
      <c r="I44" s="1170">
        <f t="shared" si="31"/>
        <v>902</v>
      </c>
      <c r="J44" s="1170">
        <f t="shared" si="4"/>
        <v>810.447</v>
      </c>
      <c r="K44" s="1170">
        <f t="shared" si="28"/>
        <v>902</v>
      </c>
      <c r="L44" s="1170">
        <f t="shared" si="24"/>
        <v>884.18031607703995</v>
      </c>
      <c r="M44" s="1170">
        <f t="shared" si="5"/>
        <v>618.92622125392791</v>
      </c>
      <c r="N44" s="1170">
        <f t="shared" si="25"/>
        <v>937.46691645928297</v>
      </c>
      <c r="O44" s="1171">
        <v>8348</v>
      </c>
      <c r="P44" s="1171">
        <v>9541</v>
      </c>
      <c r="Q44" s="1170">
        <f t="shared" si="29"/>
        <v>17889</v>
      </c>
      <c r="R44" s="1172">
        <f>SUMIF($C$10:$C$45,$C44,$P$10:$P$45)/SUMIF($C$10:$C$45,$C44,$Q$10:$Q$45)</f>
        <v>0.39467659777071934</v>
      </c>
      <c r="S44" s="1172">
        <f t="shared" si="20"/>
        <v>0.24212936089171225</v>
      </c>
      <c r="T44" s="1172">
        <f t="shared" si="20"/>
        <v>0.36319404133756833</v>
      </c>
      <c r="U44" s="1172">
        <f t="shared" si="26"/>
        <v>0.79</v>
      </c>
      <c r="V44" s="1172">
        <f t="shared" si="26"/>
        <v>0.17</v>
      </c>
      <c r="W44" s="1172">
        <f t="shared" si="26"/>
        <v>0.04</v>
      </c>
      <c r="X44" s="1172">
        <f t="shared" si="26"/>
        <v>0</v>
      </c>
      <c r="Y44" s="1172">
        <f t="shared" si="26"/>
        <v>0</v>
      </c>
      <c r="Z44" s="1172">
        <f t="shared" si="26"/>
        <v>0.79</v>
      </c>
      <c r="AA44" s="1172">
        <f t="shared" si="26"/>
        <v>0.17</v>
      </c>
      <c r="AB44" s="1172">
        <f t="shared" si="26"/>
        <v>0.04</v>
      </c>
      <c r="AC44" s="1172">
        <f t="shared" si="26"/>
        <v>0</v>
      </c>
      <c r="AD44" s="1172">
        <f t="shared" si="26"/>
        <v>0</v>
      </c>
      <c r="AE44" s="1172">
        <f t="shared" si="27"/>
        <v>0.2</v>
      </c>
      <c r="AF44" s="1172">
        <f t="shared" si="27"/>
        <v>0.3</v>
      </c>
      <c r="AG44" s="1172">
        <f t="shared" si="27"/>
        <v>1.2E-2</v>
      </c>
      <c r="AH44" s="1172">
        <f t="shared" si="27"/>
        <v>1.7999999999999999E-2</v>
      </c>
      <c r="AI44" s="1172">
        <f t="shared" si="27"/>
        <v>0.18000000000000002</v>
      </c>
      <c r="AJ44" s="1172">
        <f t="shared" si="27"/>
        <v>0.27</v>
      </c>
      <c r="AK44" s="1172">
        <f t="shared" si="27"/>
        <v>0.01</v>
      </c>
      <c r="AL44" s="1172">
        <f t="shared" si="27"/>
        <v>0.01</v>
      </c>
    </row>
    <row r="45" spans="1:38">
      <c r="A45" s="1173" t="s">
        <v>1445</v>
      </c>
      <c r="B45" s="1173" t="s">
        <v>215</v>
      </c>
      <c r="C45" s="1173" t="s">
        <v>2108</v>
      </c>
      <c r="D45" s="1174">
        <v>1512</v>
      </c>
      <c r="E45" s="1175">
        <v>1796</v>
      </c>
      <c r="F45" s="1175">
        <f t="shared" si="21"/>
        <v>1347</v>
      </c>
      <c r="G45" s="1175">
        <f t="shared" si="22"/>
        <v>1436.8000000000002</v>
      </c>
      <c r="H45" s="1175">
        <f t="shared" si="23"/>
        <v>1410.0901909197569</v>
      </c>
      <c r="I45" s="1175">
        <f t="shared" si="31"/>
        <v>1512</v>
      </c>
      <c r="J45" s="1175">
        <f t="shared" si="4"/>
        <v>1358.5319999999999</v>
      </c>
      <c r="K45" s="1175">
        <f t="shared" si="28"/>
        <v>1512</v>
      </c>
      <c r="L45" s="1175">
        <f t="shared" si="24"/>
        <v>1453.0685765159485</v>
      </c>
      <c r="M45" s="1175">
        <f t="shared" si="5"/>
        <v>1017.1480035611639</v>
      </c>
      <c r="N45" s="1175">
        <f t="shared" si="25"/>
        <v>1540.6401760606434</v>
      </c>
      <c r="O45" s="1176">
        <v>66928</v>
      </c>
      <c r="P45" s="1176">
        <v>158088</v>
      </c>
      <c r="Q45" s="1175">
        <f t="shared" si="29"/>
        <v>225016</v>
      </c>
      <c r="R45" s="1177">
        <f>P45/Q45</f>
        <v>0.70256337327123408</v>
      </c>
      <c r="S45" s="1177">
        <f t="shared" si="20"/>
        <v>0.11897465069150637</v>
      </c>
      <c r="T45" s="1177">
        <f t="shared" si="20"/>
        <v>0.17846197603725955</v>
      </c>
      <c r="U45" s="1177">
        <v>0.65</v>
      </c>
      <c r="V45" s="1177">
        <v>0.15</v>
      </c>
      <c r="W45" s="1177">
        <v>0.2</v>
      </c>
      <c r="X45" s="1177">
        <f>X$47</f>
        <v>0</v>
      </c>
      <c r="Y45" s="1177">
        <f>Y$47</f>
        <v>0</v>
      </c>
      <c r="Z45" s="1177">
        <v>0.65</v>
      </c>
      <c r="AA45" s="1177">
        <v>0.15</v>
      </c>
      <c r="AB45" s="1177">
        <v>0.2</v>
      </c>
      <c r="AC45" s="1177">
        <f>AC$47</f>
        <v>0</v>
      </c>
      <c r="AD45" s="1177">
        <f>AD$47</f>
        <v>0</v>
      </c>
      <c r="AE45" s="1177">
        <f>(1-$AK45-$AL45)*0.96*7300/(7300+6100)*$S45/(1-$R45)</f>
        <v>0.20501014925373134</v>
      </c>
      <c r="AF45" s="1177">
        <f>(1-$AK45-$AL45)*0.96*7300/(7300+6100)*$T45/(1-$R45)</f>
        <v>0.30751522388059699</v>
      </c>
      <c r="AG45" s="1177">
        <f>(1-$AK45-$AL45)*(1-0.96)*7300/(7300+6100)*$S45/(1-$R45)</f>
        <v>8.5420895522388129E-3</v>
      </c>
      <c r="AH45" s="1177">
        <f>(1-$AK45-$AL45)*(1-0.96)*7300/(7300+6100)*$T45/(1-$R45)</f>
        <v>1.2813134328358219E-2</v>
      </c>
      <c r="AI45" s="1177">
        <f>(1-$AK45-$AL45)*6100/(7300+6100)*$S45/(1-$R45)</f>
        <v>0.17844776119402986</v>
      </c>
      <c r="AJ45" s="1177">
        <f>(1-$AK45-$AL45)*6100/(7300+6100)*$T45/(1-$R45)</f>
        <v>0.26767164179104475</v>
      </c>
      <c r="AK45" s="1177">
        <f>AK$47</f>
        <v>0.01</v>
      </c>
      <c r="AL45" s="1177">
        <f>AL$47</f>
        <v>0.01</v>
      </c>
    </row>
    <row r="46" spans="1:38">
      <c r="A46" s="1184" t="s">
        <v>2155</v>
      </c>
      <c r="B46" s="1184" t="s">
        <v>154</v>
      </c>
      <c r="C46" s="1184" t="s">
        <v>2156</v>
      </c>
      <c r="D46" s="1185">
        <v>1300</v>
      </c>
      <c r="E46" s="752">
        <v>1846</v>
      </c>
      <c r="F46" s="752">
        <f t="shared" si="21"/>
        <v>1384.5</v>
      </c>
      <c r="G46" s="752">
        <f t="shared" si="22"/>
        <v>1476.8000000000002</v>
      </c>
      <c r="H46" s="752">
        <f t="shared" si="23"/>
        <v>1437.5764425881689</v>
      </c>
      <c r="I46" s="752">
        <f t="shared" si="31"/>
        <v>1300</v>
      </c>
      <c r="J46" s="752">
        <f t="shared" si="4"/>
        <v>1168.05</v>
      </c>
      <c r="K46" s="752">
        <f t="shared" si="28"/>
        <v>1300</v>
      </c>
      <c r="L46" s="752">
        <f t="shared" si="24"/>
        <v>1252.0029868878519</v>
      </c>
      <c r="M46" s="752">
        <f t="shared" si="5"/>
        <v>876.40209082149624</v>
      </c>
      <c r="N46" s="752">
        <f t="shared" si="25"/>
        <v>1335.4698526803754</v>
      </c>
      <c r="O46" s="1186">
        <v>960794</v>
      </c>
      <c r="P46" s="1186">
        <v>1300125</v>
      </c>
      <c r="Q46" s="1187">
        <f t="shared" si="29"/>
        <v>2260919</v>
      </c>
      <c r="R46" s="1188">
        <f>P46/Q46</f>
        <v>0.57504271493140624</v>
      </c>
      <c r="S46" s="1189">
        <f t="shared" si="20"/>
        <v>0.16998291402743751</v>
      </c>
      <c r="T46" s="1189">
        <f t="shared" si="20"/>
        <v>0.25497437104115622</v>
      </c>
      <c r="U46" s="1189"/>
      <c r="V46" s="1189"/>
      <c r="W46" s="1189"/>
      <c r="X46" s="1189"/>
      <c r="Y46" s="1189"/>
      <c r="Z46" s="1189"/>
      <c r="AA46" s="1189"/>
      <c r="AB46" s="1189"/>
      <c r="AC46" s="1189"/>
      <c r="AD46" s="1189"/>
      <c r="AE46" s="1189"/>
      <c r="AF46" s="1189"/>
      <c r="AG46" s="1189"/>
      <c r="AH46" s="1189"/>
      <c r="AI46" s="1189"/>
      <c r="AJ46" s="1189"/>
      <c r="AK46" s="1189"/>
      <c r="AL46" s="1189"/>
    </row>
    <row r="47" spans="1:38" s="58" customFormat="1">
      <c r="A47" s="1190" t="s">
        <v>2157</v>
      </c>
      <c r="B47" s="1190"/>
      <c r="C47" s="1190"/>
      <c r="D47" s="1191"/>
      <c r="E47" s="1191"/>
      <c r="F47" s="1191"/>
      <c r="G47" s="1191"/>
      <c r="H47" s="1191"/>
      <c r="I47" s="1169">
        <f t="shared" si="31"/>
        <v>0</v>
      </c>
      <c r="J47" s="1169"/>
      <c r="K47" s="1191"/>
      <c r="L47" s="1191"/>
      <c r="M47" s="1191"/>
      <c r="N47" s="1191"/>
      <c r="O47" s="1191"/>
      <c r="P47" s="1191"/>
      <c r="Q47" s="1191"/>
      <c r="R47" s="1191"/>
      <c r="S47" s="1172">
        <v>0.4</v>
      </c>
      <c r="T47" s="1172">
        <v>0.6</v>
      </c>
      <c r="U47" s="1192">
        <v>0.79</v>
      </c>
      <c r="V47" s="1192">
        <v>0.17</v>
      </c>
      <c r="W47" s="1192">
        <v>0.04</v>
      </c>
      <c r="X47" s="1192">
        <v>0</v>
      </c>
      <c r="Y47" s="1192">
        <v>0</v>
      </c>
      <c r="Z47" s="1192">
        <v>0.79</v>
      </c>
      <c r="AA47" s="1192">
        <v>0.17</v>
      </c>
      <c r="AB47" s="1192">
        <v>0.04</v>
      </c>
      <c r="AC47" s="1192">
        <v>0</v>
      </c>
      <c r="AD47" s="1192">
        <v>0</v>
      </c>
      <c r="AE47" s="1192">
        <f t="shared" ref="AE47:AL47" si="32">AE$28</f>
        <v>0.2</v>
      </c>
      <c r="AF47" s="1192">
        <f t="shared" si="32"/>
        <v>0.3</v>
      </c>
      <c r="AG47" s="1192">
        <f t="shared" si="32"/>
        <v>1.2E-2</v>
      </c>
      <c r="AH47" s="1192">
        <f t="shared" si="32"/>
        <v>1.7999999999999999E-2</v>
      </c>
      <c r="AI47" s="1192">
        <f t="shared" si="32"/>
        <v>0.18000000000000002</v>
      </c>
      <c r="AJ47" s="1192">
        <f t="shared" si="32"/>
        <v>0.27</v>
      </c>
      <c r="AK47" s="1192">
        <f t="shared" si="32"/>
        <v>0.01</v>
      </c>
      <c r="AL47" s="1192">
        <f t="shared" si="32"/>
        <v>0.01</v>
      </c>
    </row>
    <row r="48" spans="1:38">
      <c r="A48" s="252"/>
      <c r="B48" s="252"/>
      <c r="C48" s="252"/>
      <c r="D48" s="252"/>
      <c r="E48" s="25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row>
    <row r="49" spans="1:38">
      <c r="A49" s="252"/>
      <c r="B49" s="252"/>
      <c r="C49" s="252"/>
      <c r="D49" s="252"/>
      <c r="E49" s="252"/>
      <c r="F49" s="252"/>
      <c r="G49" s="252"/>
      <c r="H49" s="252"/>
      <c r="I49" s="252"/>
      <c r="J49" s="252"/>
      <c r="K49" s="252"/>
      <c r="L49" s="252"/>
      <c r="M49" s="252"/>
      <c r="N49" s="252"/>
      <c r="O49" s="252"/>
      <c r="P49" s="252"/>
      <c r="Q49" s="252"/>
      <c r="R49" s="252"/>
      <c r="S49" s="501"/>
      <c r="T49" s="252"/>
      <c r="U49" s="252"/>
      <c r="V49" s="252"/>
      <c r="W49" s="252"/>
      <c r="X49" s="252"/>
      <c r="Y49" s="252"/>
      <c r="Z49" s="252"/>
      <c r="AA49" s="252"/>
      <c r="AB49" s="252"/>
      <c r="AC49" s="252"/>
      <c r="AD49" s="252"/>
      <c r="AE49" s="252"/>
      <c r="AF49" s="252"/>
      <c r="AG49" s="252"/>
      <c r="AH49" s="252"/>
      <c r="AI49" s="252"/>
      <c r="AJ49" s="252"/>
      <c r="AK49" s="252"/>
      <c r="AL49" s="252"/>
    </row>
    <row r="50" spans="1:38" s="73" customFormat="1">
      <c r="A50" s="239" t="s">
        <v>2158</v>
      </c>
      <c r="B50" s="240" t="s">
        <v>1318</v>
      </c>
      <c r="C50" s="502">
        <v>0.89849999999999997</v>
      </c>
      <c r="F50" s="75"/>
      <c r="G50" s="74"/>
      <c r="H50" s="76"/>
      <c r="I50" s="76"/>
      <c r="J50" s="76"/>
    </row>
    <row r="51" spans="1:38">
      <c r="A51" s="252" t="s">
        <v>2159</v>
      </c>
      <c r="B51" s="252" t="s">
        <v>2160</v>
      </c>
      <c r="C51" s="388">
        <v>7.0000000000000001E-3</v>
      </c>
      <c r="D51" s="252"/>
      <c r="E51" s="252"/>
      <c r="F51" s="252"/>
      <c r="G51" s="252"/>
      <c r="H51" s="252"/>
      <c r="I51" s="252"/>
      <c r="J51" s="252"/>
      <c r="K51" s="252"/>
      <c r="L51" s="252"/>
      <c r="M51" s="25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row>
    <row r="52" spans="1:38">
      <c r="A52" s="252" t="s">
        <v>2161</v>
      </c>
      <c r="B52" s="252" t="s">
        <v>374</v>
      </c>
      <c r="C52" s="252">
        <v>30</v>
      </c>
      <c r="D52" s="252"/>
      <c r="E52" s="252"/>
      <c r="F52" s="252"/>
      <c r="G52" s="252"/>
      <c r="H52" s="252"/>
      <c r="I52" s="252"/>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row>
    <row r="53" spans="1:38">
      <c r="A53" s="252"/>
      <c r="B53" s="252"/>
      <c r="C53" s="238" t="s">
        <v>2162</v>
      </c>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row>
    <row r="54" spans="1:38">
      <c r="A54" s="252"/>
      <c r="B54" s="252">
        <v>0</v>
      </c>
      <c r="C54" s="238">
        <f>(1-$C$51)^(B54)</f>
        <v>1</v>
      </c>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row>
    <row r="55" spans="1:38">
      <c r="A55" s="252"/>
      <c r="B55" s="252">
        <f t="shared" ref="B55:B83" si="33">B54+1</f>
        <v>1</v>
      </c>
      <c r="C55" s="503">
        <f t="shared" ref="C55:C83" si="34">C54*(1-$C$51)</f>
        <v>0.99299999999999999</v>
      </c>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row>
    <row r="56" spans="1:38">
      <c r="A56" s="252"/>
      <c r="B56" s="252">
        <f t="shared" si="33"/>
        <v>2</v>
      </c>
      <c r="C56" s="503">
        <f t="shared" si="34"/>
        <v>0.98604899999999995</v>
      </c>
      <c r="D56" s="252"/>
      <c r="E56" s="25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row>
    <row r="57" spans="1:38">
      <c r="A57" s="252"/>
      <c r="B57" s="252">
        <f t="shared" si="33"/>
        <v>3</v>
      </c>
      <c r="C57" s="503">
        <f t="shared" si="34"/>
        <v>0.97914665699999992</v>
      </c>
      <c r="D57" s="252"/>
      <c r="E57" s="252"/>
      <c r="F57" s="252"/>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row>
    <row r="58" spans="1:38">
      <c r="A58" s="252"/>
      <c r="B58" s="252">
        <f t="shared" si="33"/>
        <v>4</v>
      </c>
      <c r="C58" s="503">
        <f t="shared" si="34"/>
        <v>0.97229263040099989</v>
      </c>
      <c r="D58" s="252"/>
      <c r="E58" s="25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row>
    <row r="59" spans="1:38">
      <c r="A59" s="252"/>
      <c r="B59" s="252">
        <f t="shared" si="33"/>
        <v>5</v>
      </c>
      <c r="C59" s="503">
        <f t="shared" si="34"/>
        <v>0.96548658198819293</v>
      </c>
      <c r="D59" s="252"/>
      <c r="E59" s="252"/>
      <c r="F59" s="252"/>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row>
    <row r="60" spans="1:38">
      <c r="A60" s="252"/>
      <c r="B60" s="252">
        <f t="shared" si="33"/>
        <v>6</v>
      </c>
      <c r="C60" s="503">
        <f t="shared" si="34"/>
        <v>0.95872817591427562</v>
      </c>
      <c r="D60" s="252"/>
      <c r="E60" s="252"/>
      <c r="F60" s="252"/>
      <c r="G60" s="252"/>
      <c r="H60" s="252"/>
      <c r="I60" s="252"/>
      <c r="J60" s="252"/>
      <c r="K60" s="252"/>
      <c r="L60" s="252"/>
      <c r="M60" s="25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row>
    <row r="61" spans="1:38">
      <c r="A61" s="252"/>
      <c r="B61" s="252">
        <f t="shared" si="33"/>
        <v>7</v>
      </c>
      <c r="C61" s="503">
        <f t="shared" si="34"/>
        <v>0.95201707868287566</v>
      </c>
      <c r="D61" s="252"/>
      <c r="E61" s="252"/>
      <c r="F61" s="252"/>
      <c r="G61" s="252"/>
      <c r="H61" s="252"/>
      <c r="I61" s="252"/>
      <c r="J61" s="252"/>
      <c r="K61" s="252"/>
      <c r="L61" s="252"/>
      <c r="M61" s="252"/>
      <c r="N61" s="252"/>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252"/>
    </row>
    <row r="62" spans="1:38">
      <c r="A62" s="252"/>
      <c r="B62" s="252">
        <f t="shared" si="33"/>
        <v>8</v>
      </c>
      <c r="C62" s="503">
        <f t="shared" si="34"/>
        <v>0.94535295913209549</v>
      </c>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row>
    <row r="63" spans="1:38">
      <c r="A63" s="252"/>
      <c r="B63" s="252">
        <f t="shared" si="33"/>
        <v>9</v>
      </c>
      <c r="C63" s="503">
        <f t="shared" si="34"/>
        <v>0.93873548841817078</v>
      </c>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row>
    <row r="64" spans="1:38">
      <c r="A64" s="252"/>
      <c r="B64" s="252">
        <f t="shared" si="33"/>
        <v>10</v>
      </c>
      <c r="C64" s="503">
        <f t="shared" si="34"/>
        <v>0.93216433999924353</v>
      </c>
      <c r="D64" s="252"/>
      <c r="E64" s="25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row>
    <row r="65" spans="1:10">
      <c r="A65" s="252"/>
      <c r="B65" s="252">
        <f t="shared" si="33"/>
        <v>11</v>
      </c>
      <c r="C65" s="503">
        <f t="shared" si="34"/>
        <v>0.92563918961924885</v>
      </c>
      <c r="D65" s="252"/>
      <c r="E65" s="252"/>
      <c r="F65" s="252"/>
      <c r="G65" s="252"/>
      <c r="H65" s="252"/>
      <c r="I65" s="252"/>
      <c r="J65" s="252"/>
    </row>
    <row r="66" spans="1:10">
      <c r="A66" s="252"/>
      <c r="B66" s="252">
        <f t="shared" si="33"/>
        <v>12</v>
      </c>
      <c r="C66" s="503">
        <f t="shared" si="34"/>
        <v>0.91915971529191409</v>
      </c>
      <c r="D66" s="252"/>
      <c r="E66" s="252"/>
      <c r="F66" s="252"/>
      <c r="G66" s="252"/>
      <c r="H66" s="252"/>
      <c r="I66" s="252"/>
      <c r="J66" s="252"/>
    </row>
    <row r="67" spans="1:10">
      <c r="A67" s="252"/>
      <c r="B67" s="252">
        <f t="shared" si="33"/>
        <v>13</v>
      </c>
      <c r="C67" s="503">
        <f t="shared" si="34"/>
        <v>0.91272559728487068</v>
      </c>
      <c r="D67" s="252"/>
      <c r="E67" s="252"/>
      <c r="F67" s="252"/>
      <c r="G67" s="252"/>
      <c r="H67" s="252"/>
      <c r="I67" s="252"/>
      <c r="J67" s="252"/>
    </row>
    <row r="68" spans="1:10">
      <c r="A68" s="252"/>
      <c r="B68" s="252">
        <f t="shared" si="33"/>
        <v>14</v>
      </c>
      <c r="C68" s="503">
        <f t="shared" si="34"/>
        <v>0.90633651810387661</v>
      </c>
      <c r="D68" s="252"/>
      <c r="E68" s="252"/>
      <c r="F68" s="252"/>
      <c r="G68" s="252"/>
      <c r="H68" s="252"/>
      <c r="I68" s="252"/>
      <c r="J68" s="252"/>
    </row>
    <row r="69" spans="1:10">
      <c r="A69" s="252"/>
      <c r="B69" s="252">
        <f t="shared" si="33"/>
        <v>15</v>
      </c>
      <c r="C69" s="503">
        <f t="shared" si="34"/>
        <v>0.89999216247714942</v>
      </c>
      <c r="D69" s="252"/>
      <c r="E69" s="252"/>
      <c r="F69" s="252"/>
      <c r="G69" s="252"/>
      <c r="H69" s="252"/>
      <c r="I69" s="252"/>
      <c r="J69" s="252"/>
    </row>
    <row r="70" spans="1:10">
      <c r="A70" s="252"/>
      <c r="B70" s="252">
        <f t="shared" si="33"/>
        <v>16</v>
      </c>
      <c r="C70" s="503">
        <f t="shared" si="34"/>
        <v>0.89369221733980941</v>
      </c>
      <c r="D70" s="252"/>
      <c r="E70" s="252"/>
      <c r="F70" s="252"/>
      <c r="G70" s="252"/>
      <c r="H70" s="252"/>
      <c r="I70" s="252"/>
      <c r="J70" s="252"/>
    </row>
    <row r="71" spans="1:10">
      <c r="A71" s="252"/>
      <c r="B71" s="252">
        <f t="shared" si="33"/>
        <v>17</v>
      </c>
      <c r="C71" s="503">
        <f t="shared" si="34"/>
        <v>0.88743637181843071</v>
      </c>
      <c r="D71" s="252"/>
      <c r="E71" s="252"/>
      <c r="F71" s="252"/>
      <c r="G71" s="252"/>
      <c r="H71" s="252"/>
      <c r="I71" s="252"/>
      <c r="J71" s="252"/>
    </row>
    <row r="72" spans="1:10">
      <c r="A72" s="252"/>
      <c r="B72" s="252">
        <f t="shared" si="33"/>
        <v>18</v>
      </c>
      <c r="C72" s="503">
        <f t="shared" si="34"/>
        <v>0.88122431721570171</v>
      </c>
      <c r="D72" s="252"/>
      <c r="E72" s="252"/>
      <c r="F72" s="252"/>
      <c r="G72" s="252"/>
      <c r="H72" s="252"/>
      <c r="I72" s="252"/>
      <c r="J72" s="252"/>
    </row>
    <row r="73" spans="1:10">
      <c r="A73" s="252"/>
      <c r="B73" s="252">
        <f t="shared" si="33"/>
        <v>19</v>
      </c>
      <c r="C73" s="503">
        <f t="shared" si="34"/>
        <v>0.87505574699519184</v>
      </c>
      <c r="D73" s="252"/>
      <c r="E73" s="252"/>
      <c r="F73" s="252"/>
      <c r="G73" s="252"/>
      <c r="H73" s="252"/>
      <c r="I73" s="252"/>
      <c r="J73" s="252"/>
    </row>
    <row r="74" spans="1:10">
      <c r="A74" s="252"/>
      <c r="B74" s="252">
        <f t="shared" si="33"/>
        <v>20</v>
      </c>
      <c r="C74" s="503">
        <f t="shared" si="34"/>
        <v>0.86893035676622554</v>
      </c>
      <c r="D74" s="252"/>
      <c r="E74" s="252"/>
      <c r="F74" s="252"/>
      <c r="G74" s="252"/>
      <c r="H74" s="252"/>
      <c r="I74" s="252"/>
      <c r="J74" s="252"/>
    </row>
    <row r="75" spans="1:10">
      <c r="A75" s="252"/>
      <c r="B75" s="252">
        <f t="shared" si="33"/>
        <v>21</v>
      </c>
      <c r="C75" s="503">
        <f t="shared" si="34"/>
        <v>0.86284784426886196</v>
      </c>
      <c r="D75" s="252"/>
      <c r="E75" s="252"/>
      <c r="F75" s="252"/>
      <c r="G75" s="252"/>
      <c r="H75" s="252"/>
      <c r="I75" s="252"/>
      <c r="J75" s="252"/>
    </row>
    <row r="76" spans="1:10">
      <c r="A76" s="252"/>
      <c r="B76" s="252">
        <f t="shared" si="33"/>
        <v>22</v>
      </c>
      <c r="C76" s="503">
        <f t="shared" si="34"/>
        <v>0.85680790935897988</v>
      </c>
      <c r="D76" s="252"/>
      <c r="E76" s="252"/>
      <c r="F76" s="252"/>
      <c r="G76" s="252"/>
      <c r="H76" s="252"/>
      <c r="I76" s="252"/>
      <c r="J76" s="252"/>
    </row>
    <row r="77" spans="1:10">
      <c r="A77" s="252"/>
      <c r="B77" s="252">
        <f t="shared" si="33"/>
        <v>23</v>
      </c>
      <c r="C77" s="503">
        <f t="shared" si="34"/>
        <v>0.85081025399346699</v>
      </c>
      <c r="D77" s="252"/>
      <c r="E77" s="252"/>
      <c r="F77" s="252"/>
      <c r="G77" s="252"/>
      <c r="H77" s="252"/>
      <c r="I77" s="252"/>
      <c r="J77" s="252"/>
    </row>
    <row r="78" spans="1:10">
      <c r="A78" s="252"/>
      <c r="B78" s="252">
        <f t="shared" si="33"/>
        <v>24</v>
      </c>
      <c r="C78" s="503">
        <f t="shared" si="34"/>
        <v>0.84485458221551268</v>
      </c>
      <c r="D78" s="252"/>
      <c r="E78" s="252"/>
      <c r="F78" s="252"/>
      <c r="G78" s="252"/>
      <c r="H78" s="252"/>
      <c r="I78" s="252"/>
      <c r="J78" s="252"/>
    </row>
    <row r="79" spans="1:10">
      <c r="A79" s="252"/>
      <c r="B79" s="252">
        <f t="shared" si="33"/>
        <v>25</v>
      </c>
      <c r="C79" s="503">
        <f t="shared" si="34"/>
        <v>0.83894060014000404</v>
      </c>
      <c r="D79" s="252"/>
      <c r="E79" s="252"/>
      <c r="F79" s="252"/>
      <c r="G79" s="252"/>
      <c r="H79" s="252"/>
      <c r="I79" s="252"/>
      <c r="J79" s="252"/>
    </row>
    <row r="80" spans="1:10">
      <c r="A80" s="252"/>
      <c r="B80" s="252">
        <f t="shared" si="33"/>
        <v>26</v>
      </c>
      <c r="C80" s="503">
        <f t="shared" si="34"/>
        <v>0.83306801593902402</v>
      </c>
      <c r="D80" s="252"/>
      <c r="E80" s="252"/>
      <c r="F80" s="252"/>
      <c r="G80" s="252"/>
      <c r="H80" s="252"/>
      <c r="I80" s="252"/>
      <c r="J80" s="252"/>
    </row>
    <row r="81" spans="1:3">
      <c r="A81" s="252"/>
      <c r="B81" s="252">
        <f t="shared" si="33"/>
        <v>27</v>
      </c>
      <c r="C81" s="503">
        <f t="shared" si="34"/>
        <v>0.82723653982745082</v>
      </c>
    </row>
    <row r="82" spans="1:3">
      <c r="A82" s="252"/>
      <c r="B82" s="252">
        <f t="shared" si="33"/>
        <v>28</v>
      </c>
      <c r="C82" s="503">
        <f t="shared" si="34"/>
        <v>0.8214458840486587</v>
      </c>
    </row>
    <row r="83" spans="1:3">
      <c r="A83" s="252"/>
      <c r="B83" s="252">
        <f t="shared" si="33"/>
        <v>29</v>
      </c>
      <c r="C83" s="503">
        <f t="shared" si="34"/>
        <v>0.81569576286031809</v>
      </c>
    </row>
    <row r="84" spans="1:3">
      <c r="A84" s="252" t="s">
        <v>91</v>
      </c>
      <c r="B84" s="252"/>
      <c r="C84" s="503">
        <f>SUM(C54:C83)</f>
        <v>27.14487249710054</v>
      </c>
    </row>
    <row r="85" spans="1:3">
      <c r="A85" s="252"/>
      <c r="B85" s="252"/>
      <c r="C85" s="504">
        <f>C84/C52</f>
        <v>0.90482908323668465</v>
      </c>
    </row>
  </sheetData>
  <mergeCells count="19">
    <mergeCell ref="A7:A9"/>
    <mergeCell ref="F7:F8"/>
    <mergeCell ref="H7:H8"/>
    <mergeCell ref="C7:C9"/>
    <mergeCell ref="G7:G8"/>
    <mergeCell ref="B7:B9"/>
    <mergeCell ref="D7:D8"/>
    <mergeCell ref="E7:E8"/>
    <mergeCell ref="I7:I8"/>
    <mergeCell ref="L7:L8"/>
    <mergeCell ref="M7:M8"/>
    <mergeCell ref="J7:J8"/>
    <mergeCell ref="AE4:AL4"/>
    <mergeCell ref="U7:Y7"/>
    <mergeCell ref="AE7:AL7"/>
    <mergeCell ref="Z7:AD7"/>
    <mergeCell ref="K7:K8"/>
    <mergeCell ref="O7:T7"/>
    <mergeCell ref="N7:N8"/>
  </mergeCells>
  <pageMargins left="0.7" right="0.7" top="0.78740157499999996" bottom="0.78740157499999996" header="0.3" footer="0.3"/>
  <pageSetup paperSize="9" orientation="portrait" horizontalDpi="4294967295" verticalDpi="4294967295"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93">
    <tabColor rgb="FF9CD9F0"/>
  </sheetPr>
  <dimension ref="A1:X58"/>
  <sheetViews>
    <sheetView workbookViewId="0">
      <selection activeCell="S22" sqref="S22"/>
    </sheetView>
  </sheetViews>
  <sheetFormatPr baseColWidth="10" defaultColWidth="11.42578125" defaultRowHeight="15" outlineLevelRow="1" outlineLevelCol="1"/>
  <cols>
    <col min="1" max="1" width="20.7109375" style="56" customWidth="1"/>
    <col min="2" max="2" width="10.7109375" style="56" customWidth="1"/>
    <col min="3" max="8" width="15.7109375" style="56" hidden="1" customWidth="1" outlineLevel="1"/>
    <col min="9" max="9" width="15.7109375" style="56" hidden="1" customWidth="1" outlineLevel="1" collapsed="1"/>
    <col min="10" max="12" width="15.7109375" style="56" hidden="1" customWidth="1" outlineLevel="1"/>
    <col min="13" max="13" width="15.7109375" style="56" customWidth="1" collapsed="1"/>
    <col min="14" max="23" width="15.7109375" style="56" customWidth="1"/>
    <col min="24" max="26" width="11.42578125" style="56" customWidth="1"/>
    <col min="27" max="16384" width="11.42578125" style="56"/>
  </cols>
  <sheetData>
    <row r="1" spans="1:24" ht="18.75" customHeight="1">
      <c r="A1" s="55" t="s">
        <v>2034</v>
      </c>
      <c r="B1" s="55"/>
      <c r="C1" s="252"/>
      <c r="D1" s="252"/>
      <c r="E1" s="252"/>
      <c r="F1" s="252"/>
      <c r="G1" s="252"/>
      <c r="H1" s="252"/>
      <c r="I1" s="252"/>
      <c r="J1" s="252"/>
      <c r="K1" s="252"/>
      <c r="L1" s="252"/>
      <c r="M1" s="252"/>
      <c r="N1" s="252"/>
      <c r="O1" s="252"/>
      <c r="P1" s="252"/>
      <c r="Q1" s="252"/>
      <c r="R1" s="252"/>
      <c r="S1" s="252"/>
      <c r="T1" s="252"/>
      <c r="U1" s="252"/>
      <c r="V1" s="252"/>
      <c r="W1" s="252"/>
      <c r="X1" s="252"/>
    </row>
    <row r="2" spans="1:24" ht="18.75" customHeight="1">
      <c r="A2" s="55" t="s">
        <v>2163</v>
      </c>
      <c r="B2" s="55"/>
      <c r="C2" s="252"/>
      <c r="D2" s="252"/>
      <c r="E2" s="252"/>
      <c r="F2" s="252"/>
      <c r="G2" s="252"/>
      <c r="H2" s="252"/>
      <c r="I2" s="252"/>
      <c r="J2" s="252"/>
      <c r="K2" s="252"/>
      <c r="L2" s="252"/>
      <c r="M2" s="252"/>
      <c r="N2" s="252"/>
      <c r="O2" s="252"/>
      <c r="P2" s="252"/>
      <c r="Q2" s="252"/>
      <c r="R2" s="252"/>
      <c r="S2" s="252"/>
      <c r="T2" s="252"/>
      <c r="U2" s="252"/>
      <c r="V2" s="252"/>
      <c r="W2" s="252"/>
      <c r="X2" s="252"/>
    </row>
    <row r="4" spans="1:24" s="59" customFormat="1" ht="12" customHeight="1" outlineLevel="1"/>
    <row r="5" spans="1:24" ht="30" customHeight="1">
      <c r="A5" s="1614" t="s">
        <v>1439</v>
      </c>
      <c r="B5" s="1614" t="s">
        <v>88</v>
      </c>
      <c r="C5" s="1615" t="s">
        <v>2164</v>
      </c>
      <c r="D5" s="1616"/>
      <c r="E5" s="1616"/>
      <c r="F5" s="1617"/>
      <c r="G5" s="1611" t="s">
        <v>2165</v>
      </c>
      <c r="H5" s="1612"/>
      <c r="I5" s="1612"/>
      <c r="J5" s="1613"/>
      <c r="K5" s="1615" t="s">
        <v>2166</v>
      </c>
      <c r="L5" s="1616"/>
      <c r="M5" s="1611" t="s">
        <v>2167</v>
      </c>
      <c r="N5" s="1612"/>
      <c r="O5" s="1612"/>
      <c r="P5" s="1613"/>
      <c r="Q5" s="1615" t="s">
        <v>2168</v>
      </c>
      <c r="R5" s="1616"/>
      <c r="S5" s="1616"/>
      <c r="T5" s="1617"/>
      <c r="U5" s="1611" t="s">
        <v>2169</v>
      </c>
      <c r="V5" s="1612"/>
      <c r="W5" s="1612"/>
      <c r="X5" s="1608" t="s">
        <v>2170</v>
      </c>
    </row>
    <row r="6" spans="1:24" s="60" customFormat="1" ht="99.95" customHeight="1">
      <c r="A6" s="1568"/>
      <c r="B6" s="1568"/>
      <c r="C6" s="523" t="s">
        <v>2171</v>
      </c>
      <c r="D6" s="523" t="s">
        <v>2172</v>
      </c>
      <c r="E6" s="523" t="s">
        <v>2173</v>
      </c>
      <c r="F6" s="523" t="s">
        <v>2174</v>
      </c>
      <c r="G6" s="526" t="s">
        <v>2175</v>
      </c>
      <c r="H6" s="526" t="s">
        <v>2176</v>
      </c>
      <c r="I6" s="526" t="s">
        <v>2177</v>
      </c>
      <c r="J6" s="526" t="s">
        <v>2178</v>
      </c>
      <c r="K6" s="523" t="s">
        <v>2179</v>
      </c>
      <c r="L6" s="523" t="s">
        <v>2180</v>
      </c>
      <c r="M6" s="526" t="s">
        <v>2181</v>
      </c>
      <c r="N6" s="526" t="s">
        <v>2182</v>
      </c>
      <c r="O6" s="526" t="s">
        <v>2183</v>
      </c>
      <c r="P6" s="526" t="s">
        <v>2184</v>
      </c>
      <c r="Q6" s="523" t="s">
        <v>2185</v>
      </c>
      <c r="R6" s="523" t="s">
        <v>2186</v>
      </c>
      <c r="S6" s="523" t="s">
        <v>2187</v>
      </c>
      <c r="T6" s="523" t="s">
        <v>2188</v>
      </c>
      <c r="U6" s="526" t="s">
        <v>2189</v>
      </c>
      <c r="V6" s="526" t="s">
        <v>2190</v>
      </c>
      <c r="W6" s="526" t="s">
        <v>2191</v>
      </c>
      <c r="X6" s="1609"/>
    </row>
    <row r="7" spans="1:24">
      <c r="A7" s="1569"/>
      <c r="B7" s="1569"/>
      <c r="C7" s="524" t="s">
        <v>1333</v>
      </c>
      <c r="D7" s="524" t="s">
        <v>1333</v>
      </c>
      <c r="E7" s="524" t="s">
        <v>1333</v>
      </c>
      <c r="F7" s="524" t="s">
        <v>1333</v>
      </c>
      <c r="G7" s="527" t="s">
        <v>1333</v>
      </c>
      <c r="H7" s="527" t="s">
        <v>1333</v>
      </c>
      <c r="I7" s="527" t="s">
        <v>1333</v>
      </c>
      <c r="J7" s="527" t="s">
        <v>1333</v>
      </c>
      <c r="K7" s="524" t="s">
        <v>1333</v>
      </c>
      <c r="L7" s="524" t="s">
        <v>1333</v>
      </c>
      <c r="M7" s="527" t="s">
        <v>1333</v>
      </c>
      <c r="N7" s="527" t="s">
        <v>1333</v>
      </c>
      <c r="O7" s="527" t="s">
        <v>1333</v>
      </c>
      <c r="P7" s="527" t="s">
        <v>1333</v>
      </c>
      <c r="Q7" s="524" t="s">
        <v>1333</v>
      </c>
      <c r="R7" s="524" t="s">
        <v>1333</v>
      </c>
      <c r="S7" s="524" t="s">
        <v>1333</v>
      </c>
      <c r="T7" s="524" t="s">
        <v>1333</v>
      </c>
      <c r="U7" s="527" t="s">
        <v>1333</v>
      </c>
      <c r="V7" s="527" t="s">
        <v>1333</v>
      </c>
      <c r="W7" s="527" t="s">
        <v>1333</v>
      </c>
      <c r="X7" s="1610"/>
    </row>
    <row r="8" spans="1:24">
      <c r="A8" s="238" t="s">
        <v>2098</v>
      </c>
      <c r="B8" s="238" t="s">
        <v>2099</v>
      </c>
      <c r="C8" s="525">
        <v>5.4600655195511999E-3</v>
      </c>
      <c r="D8" s="525">
        <v>5.4600655195511999E-3</v>
      </c>
      <c r="E8" s="525">
        <v>1.17495080800469E-3</v>
      </c>
      <c r="F8" s="525">
        <v>1.17495080800469E-3</v>
      </c>
      <c r="G8" s="528">
        <v>9.8281179351921599E-2</v>
      </c>
      <c r="H8" s="528">
        <v>0.14742176902788201</v>
      </c>
      <c r="I8" s="528">
        <v>2.1149114544084399E-2</v>
      </c>
      <c r="J8" s="528">
        <v>3.1723671816126599E-2</v>
      </c>
      <c r="K8" s="525">
        <v>1.5022678477484999E-3</v>
      </c>
      <c r="L8" s="525">
        <v>2.50377974624751E-2</v>
      </c>
      <c r="M8" s="528">
        <v>9.8281179351921606E-3</v>
      </c>
      <c r="N8" s="528">
        <v>0.16380196558653601</v>
      </c>
      <c r="O8" s="528">
        <v>2.1149114544084398E-3</v>
      </c>
      <c r="P8" s="528">
        <v>3.5248524240140702E-2</v>
      </c>
      <c r="Q8" s="525">
        <v>5.31583737375174E-3</v>
      </c>
      <c r="R8" s="525">
        <v>8.8597289562529005E-2</v>
      </c>
      <c r="S8" s="525">
        <v>1.14391437156683E-3</v>
      </c>
      <c r="T8" s="525">
        <v>1.90652395261138E-2</v>
      </c>
      <c r="U8" s="528">
        <v>0.26583371012308499</v>
      </c>
      <c r="V8" s="528">
        <v>5.7204722431549899E-2</v>
      </c>
      <c r="W8" s="528">
        <v>1.3459934689776401E-2</v>
      </c>
      <c r="X8" s="1193">
        <f t="shared" ref="X8:X40" si="0">SUM(C8:W8)</f>
        <v>1</v>
      </c>
    </row>
    <row r="9" spans="1:24">
      <c r="A9" s="238" t="s">
        <v>2101</v>
      </c>
      <c r="B9" s="238" t="s">
        <v>2102</v>
      </c>
      <c r="C9" s="525">
        <v>5.0735969918302599E-3</v>
      </c>
      <c r="D9" s="525">
        <v>0</v>
      </c>
      <c r="E9" s="525">
        <v>1.0917866944444899E-3</v>
      </c>
      <c r="F9" s="525">
        <v>0</v>
      </c>
      <c r="G9" s="528">
        <v>0.14493575406661799</v>
      </c>
      <c r="H9" s="528">
        <v>0.217403631099927</v>
      </c>
      <c r="I9" s="528">
        <v>3.1188706571297499E-2</v>
      </c>
      <c r="J9" s="528">
        <v>4.67830598569463E-2</v>
      </c>
      <c r="K9" s="525">
        <v>1.06019463071796E-3</v>
      </c>
      <c r="L9" s="525">
        <v>3.4945646097126602E-2</v>
      </c>
      <c r="M9" s="528">
        <v>6.5956760893793398E-3</v>
      </c>
      <c r="N9" s="528">
        <v>0.217403631099927</v>
      </c>
      <c r="O9" s="528">
        <v>1.4193227027778301E-3</v>
      </c>
      <c r="P9" s="528">
        <v>4.67830598569463E-2</v>
      </c>
      <c r="Q9" s="525">
        <v>3.5246655613912401E-3</v>
      </c>
      <c r="R9" s="525">
        <v>0.11617839946585699</v>
      </c>
      <c r="S9" s="525">
        <v>7.5847233599558297E-4</v>
      </c>
      <c r="T9" s="525">
        <v>2.5000415074931299E-2</v>
      </c>
      <c r="U9" s="528">
        <v>7.8884645625070193E-2</v>
      </c>
      <c r="V9" s="528">
        <v>1.6975176906660699E-2</v>
      </c>
      <c r="W9" s="528">
        <v>3.9941592721554498E-3</v>
      </c>
      <c r="X9" s="1193">
        <f t="shared" si="0"/>
        <v>0.99999999999999978</v>
      </c>
    </row>
    <row r="10" spans="1:24" ht="15" customHeight="1">
      <c r="A10" s="238" t="s">
        <v>2103</v>
      </c>
      <c r="B10" s="238" t="s">
        <v>2104</v>
      </c>
      <c r="C10" s="525">
        <v>8.0280766812426806E-3</v>
      </c>
      <c r="D10" s="525">
        <v>8.0280766812426806E-3</v>
      </c>
      <c r="E10" s="525">
        <v>1.7275608048243701E-3</v>
      </c>
      <c r="F10" s="525">
        <v>1.7275608048243701E-3</v>
      </c>
      <c r="G10" s="528">
        <v>0.14450538026236801</v>
      </c>
      <c r="H10" s="528">
        <v>0.21675807039355199</v>
      </c>
      <c r="I10" s="528">
        <v>3.1096094486838699E-2</v>
      </c>
      <c r="J10" s="528">
        <v>4.6644141730258097E-2</v>
      </c>
      <c r="K10" s="525">
        <v>2.2088235817510301E-3</v>
      </c>
      <c r="L10" s="525">
        <v>3.6813726362517202E-2</v>
      </c>
      <c r="M10" s="528">
        <v>1.44505380262368E-2</v>
      </c>
      <c r="N10" s="528">
        <v>0.24084230043728</v>
      </c>
      <c r="O10" s="528">
        <v>3.1096094486838702E-3</v>
      </c>
      <c r="P10" s="528">
        <v>5.18268241447312E-2</v>
      </c>
      <c r="Q10" s="525">
        <v>7.8160142783419307E-3</v>
      </c>
      <c r="R10" s="525">
        <v>0.13026690463903201</v>
      </c>
      <c r="S10" s="525">
        <v>1.6819271231875001E-3</v>
      </c>
      <c r="T10" s="525">
        <v>2.80321187197917E-2</v>
      </c>
      <c r="U10" s="528">
        <v>1.9304638600703101E-2</v>
      </c>
      <c r="V10" s="528">
        <v>4.15416273686016E-3</v>
      </c>
      <c r="W10" s="528">
        <v>9.7745005573180105E-4</v>
      </c>
      <c r="X10" s="1193">
        <f t="shared" si="0"/>
        <v>0.99999999999999911</v>
      </c>
    </row>
    <row r="11" spans="1:24">
      <c r="A11" s="238" t="s">
        <v>2106</v>
      </c>
      <c r="B11" s="238" t="s">
        <v>2107</v>
      </c>
      <c r="C11" s="525">
        <v>2.6238864753378999E-3</v>
      </c>
      <c r="D11" s="525">
        <v>2.6238864753378999E-3</v>
      </c>
      <c r="E11" s="525">
        <v>5.6463379849043299E-4</v>
      </c>
      <c r="F11" s="525">
        <v>5.6463379849043299E-4</v>
      </c>
      <c r="G11" s="528">
        <v>4.7229956556082101E-2</v>
      </c>
      <c r="H11" s="528">
        <v>7.0844934834123199E-2</v>
      </c>
      <c r="I11" s="528">
        <v>1.01634083728278E-2</v>
      </c>
      <c r="J11" s="528">
        <v>1.52451125592417E-2</v>
      </c>
      <c r="K11" s="525">
        <v>7.2192911860264101E-4</v>
      </c>
      <c r="L11" s="525">
        <v>1.20321519767107E-2</v>
      </c>
      <c r="M11" s="528">
        <v>4.7229956556082099E-3</v>
      </c>
      <c r="N11" s="528">
        <v>7.8716594260136899E-2</v>
      </c>
      <c r="O11" s="528">
        <v>1.0163408372827799E-3</v>
      </c>
      <c r="P11" s="528">
        <v>1.6939013954712999E-2</v>
      </c>
      <c r="Q11" s="525">
        <v>2.55457626655539E-3</v>
      </c>
      <c r="R11" s="525">
        <v>4.2576271109256499E-2</v>
      </c>
      <c r="S11" s="525">
        <v>5.4971894343596903E-4</v>
      </c>
      <c r="T11" s="525">
        <v>9.1619823905994893E-3</v>
      </c>
      <c r="U11" s="528">
        <v>0.53810689836756198</v>
      </c>
      <c r="V11" s="528">
        <v>0.11579515534491799</v>
      </c>
      <c r="W11" s="528">
        <v>2.7245918904686701E-2</v>
      </c>
      <c r="X11" s="1193">
        <f t="shared" si="0"/>
        <v>0.99999999999999989</v>
      </c>
    </row>
    <row r="12" spans="1:24">
      <c r="A12" s="238" t="s">
        <v>2109</v>
      </c>
      <c r="B12" s="238" t="s">
        <v>2110</v>
      </c>
      <c r="C12" s="525">
        <v>7.6356670884296601E-5</v>
      </c>
      <c r="D12" s="525">
        <v>7.6356670884296601E-5</v>
      </c>
      <c r="E12" s="525">
        <v>1.6431182342190401E-5</v>
      </c>
      <c r="F12" s="525">
        <v>1.6431182342190401E-5</v>
      </c>
      <c r="G12" s="528">
        <v>1.37442007591734E-3</v>
      </c>
      <c r="H12" s="528">
        <v>2.0616301138760098E-3</v>
      </c>
      <c r="I12" s="528">
        <v>2.9576128215942702E-4</v>
      </c>
      <c r="J12" s="528">
        <v>4.43641923239141E-4</v>
      </c>
      <c r="K12" s="525">
        <v>2.1008570541846101E-5</v>
      </c>
      <c r="L12" s="525">
        <v>3.5014284236410198E-4</v>
      </c>
      <c r="M12" s="528">
        <v>1.3744200759173401E-4</v>
      </c>
      <c r="N12" s="528">
        <v>2.2907001265288999E-3</v>
      </c>
      <c r="O12" s="528">
        <v>2.9576128215942701E-5</v>
      </c>
      <c r="P12" s="528">
        <v>4.9293547026571201E-4</v>
      </c>
      <c r="Q12" s="525">
        <v>7.4339702219428406E-5</v>
      </c>
      <c r="R12" s="525">
        <v>1.23899503699047E-3</v>
      </c>
      <c r="S12" s="525">
        <v>1.5997151110509901E-5</v>
      </c>
      <c r="T12" s="525">
        <v>2.6661918517516503E-4</v>
      </c>
      <c r="U12" s="528">
        <v>0.78266975959510798</v>
      </c>
      <c r="V12" s="528">
        <v>0.16842260649515001</v>
      </c>
      <c r="W12" s="528">
        <v>3.9628848587094097E-2</v>
      </c>
      <c r="X12" s="1193">
        <f t="shared" si="0"/>
        <v>1.0000000000000009</v>
      </c>
    </row>
    <row r="13" spans="1:24">
      <c r="A13" s="238" t="s">
        <v>1365</v>
      </c>
      <c r="B13" s="238" t="s">
        <v>372</v>
      </c>
      <c r="C13" s="525">
        <v>2.9369699213867102E-3</v>
      </c>
      <c r="D13" s="525">
        <v>2.9369699213867102E-3</v>
      </c>
      <c r="E13" s="525">
        <v>6.32006185614861E-4</v>
      </c>
      <c r="F13" s="525">
        <v>6.32006185614861E-4</v>
      </c>
      <c r="G13" s="528">
        <v>5.2865458584960702E-2</v>
      </c>
      <c r="H13" s="528">
        <v>7.9298187877441098E-2</v>
      </c>
      <c r="I13" s="528">
        <v>1.13761113410675E-2</v>
      </c>
      <c r="J13" s="528">
        <v>1.7064167011601201E-2</v>
      </c>
      <c r="K13" s="525">
        <v>8.0807006196261899E-4</v>
      </c>
      <c r="L13" s="525">
        <v>1.34678343660437E-2</v>
      </c>
      <c r="M13" s="528">
        <v>5.2865458584960704E-3</v>
      </c>
      <c r="N13" s="528">
        <v>8.81090976416012E-2</v>
      </c>
      <c r="O13" s="528">
        <v>1.13761113410675E-3</v>
      </c>
      <c r="P13" s="528">
        <v>1.8960185568445798E-2</v>
      </c>
      <c r="Q13" s="525">
        <v>2.8593895838406398E-3</v>
      </c>
      <c r="R13" s="525">
        <v>4.7656493064010701E-2</v>
      </c>
      <c r="S13" s="525">
        <v>6.1531168259861999E-4</v>
      </c>
      <c r="T13" s="525">
        <v>1.0255194709977E-2</v>
      </c>
      <c r="U13" s="528">
        <v>0.508050887546876</v>
      </c>
      <c r="V13" s="528">
        <v>0.109327406180973</v>
      </c>
      <c r="W13" s="528">
        <v>2.5724095571993701E-2</v>
      </c>
      <c r="X13" s="1193">
        <f t="shared" si="0"/>
        <v>0.99999999999999956</v>
      </c>
    </row>
    <row r="14" spans="1:24">
      <c r="A14" s="238" t="s">
        <v>2112</v>
      </c>
      <c r="B14" s="238" t="s">
        <v>2113</v>
      </c>
      <c r="C14" s="525">
        <v>4.9813071641784598E-3</v>
      </c>
      <c r="D14" s="525">
        <v>4.9813071641784598E-3</v>
      </c>
      <c r="E14" s="525">
        <v>1.0719268581143499E-3</v>
      </c>
      <c r="F14" s="525">
        <v>1.0719268581143499E-3</v>
      </c>
      <c r="G14" s="528">
        <v>8.9663528955212193E-2</v>
      </c>
      <c r="H14" s="528">
        <v>0.13449529343281799</v>
      </c>
      <c r="I14" s="528">
        <v>1.9294683446058301E-2</v>
      </c>
      <c r="J14" s="528">
        <v>2.8942025169087501E-2</v>
      </c>
      <c r="K14" s="525">
        <v>1.3705435522172399E-3</v>
      </c>
      <c r="L14" s="525">
        <v>2.2842392536954002E-2</v>
      </c>
      <c r="M14" s="528">
        <v>8.96635289552122E-3</v>
      </c>
      <c r="N14" s="528">
        <v>0.149439214925354</v>
      </c>
      <c r="O14" s="528">
        <v>1.9294683446058299E-3</v>
      </c>
      <c r="P14" s="528">
        <v>3.2157805743430502E-2</v>
      </c>
      <c r="Q14" s="525">
        <v>4.8497254655020397E-3</v>
      </c>
      <c r="R14" s="525">
        <v>8.0828757758367398E-2</v>
      </c>
      <c r="S14" s="525">
        <v>1.0436118090320901E-3</v>
      </c>
      <c r="T14" s="525">
        <v>1.7393530150534801E-2</v>
      </c>
      <c r="U14" s="528">
        <v>0.311794512238868</v>
      </c>
      <c r="V14" s="528">
        <v>6.7095021621022294E-2</v>
      </c>
      <c r="W14" s="528">
        <v>1.5787063910828798E-2</v>
      </c>
      <c r="X14" s="1193">
        <f t="shared" si="0"/>
        <v>0.99999999999999989</v>
      </c>
    </row>
    <row r="15" spans="1:24">
      <c r="A15" s="238" t="s">
        <v>2114</v>
      </c>
      <c r="B15" s="238" t="s">
        <v>2115</v>
      </c>
      <c r="C15" s="525">
        <v>5.0855099502487601E-3</v>
      </c>
      <c r="D15" s="525">
        <v>5.0855099502487601E-3</v>
      </c>
      <c r="E15" s="525">
        <v>1.0943502424585901E-3</v>
      </c>
      <c r="F15" s="525">
        <v>1.0943502424585901E-3</v>
      </c>
      <c r="G15" s="528">
        <v>9.1539179104477605E-2</v>
      </c>
      <c r="H15" s="528">
        <v>0.13730876865671601</v>
      </c>
      <c r="I15" s="528">
        <v>1.9698304364254699E-2</v>
      </c>
      <c r="J15" s="528">
        <v>2.9547456546381998E-2</v>
      </c>
      <c r="K15" s="525">
        <v>1.3992136285375101E-3</v>
      </c>
      <c r="L15" s="525">
        <v>2.3320227142291899E-2</v>
      </c>
      <c r="M15" s="528">
        <v>9.1539179104477598E-3</v>
      </c>
      <c r="N15" s="528">
        <v>0.152565298507463</v>
      </c>
      <c r="O15" s="528">
        <v>1.9698304364254701E-3</v>
      </c>
      <c r="P15" s="528">
        <v>3.2830507273757803E-2</v>
      </c>
      <c r="Q15" s="525">
        <v>4.9511757251478501E-3</v>
      </c>
      <c r="R15" s="525">
        <v>8.2519595419130801E-2</v>
      </c>
      <c r="S15" s="525">
        <v>1.06544287756346E-3</v>
      </c>
      <c r="T15" s="525">
        <v>1.7757381292724399E-2</v>
      </c>
      <c r="U15" s="528">
        <v>0.30179104477611901</v>
      </c>
      <c r="V15" s="528">
        <v>6.4942376723975098E-2</v>
      </c>
      <c r="W15" s="528">
        <v>1.52805592291706E-2</v>
      </c>
      <c r="X15" s="1193">
        <f t="shared" si="0"/>
        <v>0.99999999999999956</v>
      </c>
    </row>
    <row r="16" spans="1:24">
      <c r="A16" s="238" t="s">
        <v>2116</v>
      </c>
      <c r="B16" s="238" t="s">
        <v>2117</v>
      </c>
      <c r="C16" s="525">
        <v>7.5241860154790499E-3</v>
      </c>
      <c r="D16" s="525">
        <v>7.5241860154790499E-3</v>
      </c>
      <c r="E16" s="525">
        <v>1.6191286362423299E-3</v>
      </c>
      <c r="F16" s="525">
        <v>1.6191286362423299E-3</v>
      </c>
      <c r="G16" s="528">
        <v>0.135435348278623</v>
      </c>
      <c r="H16" s="528">
        <v>0.20315302241793401</v>
      </c>
      <c r="I16" s="528">
        <v>2.9144315452361898E-2</v>
      </c>
      <c r="J16" s="528">
        <v>4.3716473178542797E-2</v>
      </c>
      <c r="K16" s="525">
        <v>2.07018444944635E-3</v>
      </c>
      <c r="L16" s="525">
        <v>3.4503074157439202E-2</v>
      </c>
      <c r="M16" s="528">
        <v>1.3543534827862301E-2</v>
      </c>
      <c r="N16" s="528">
        <v>0.225725580464371</v>
      </c>
      <c r="O16" s="528">
        <v>2.9144315452361898E-3</v>
      </c>
      <c r="P16" s="528">
        <v>4.85738590872698E-2</v>
      </c>
      <c r="Q16" s="525">
        <v>7.3254339320513104E-3</v>
      </c>
      <c r="R16" s="525">
        <v>0.122090565534189</v>
      </c>
      <c r="S16" s="525">
        <v>1.576359200568E-3</v>
      </c>
      <c r="T16" s="525">
        <v>2.62726533428E-2</v>
      </c>
      <c r="U16" s="528">
        <v>6.7678142514011205E-2</v>
      </c>
      <c r="V16" s="528">
        <v>1.4563650920736601E-2</v>
      </c>
      <c r="W16" s="528">
        <v>3.4267413931144898E-3</v>
      </c>
      <c r="X16" s="1193">
        <f t="shared" si="0"/>
        <v>0.99999999999999989</v>
      </c>
    </row>
    <row r="17" spans="1:24">
      <c r="A17" s="238" t="s">
        <v>2118</v>
      </c>
      <c r="B17" s="238" t="s">
        <v>2119</v>
      </c>
      <c r="C17" s="525">
        <v>4.6712076159349499E-3</v>
      </c>
      <c r="D17" s="525">
        <v>4.6712076159349499E-3</v>
      </c>
      <c r="E17" s="525">
        <v>1.00519657558094E-3</v>
      </c>
      <c r="F17" s="525">
        <v>1.00519657558094E-3</v>
      </c>
      <c r="G17" s="528">
        <v>8.4081737086829103E-2</v>
      </c>
      <c r="H17" s="528">
        <v>0.12612260563024399</v>
      </c>
      <c r="I17" s="528">
        <v>1.80935383604569E-2</v>
      </c>
      <c r="J17" s="528">
        <v>2.7140307540685301E-2</v>
      </c>
      <c r="K17" s="525">
        <v>1.2852235905318999E-3</v>
      </c>
      <c r="L17" s="525">
        <v>2.1420393175531599E-2</v>
      </c>
      <c r="M17" s="528">
        <v>8.4081737086829107E-3</v>
      </c>
      <c r="N17" s="528">
        <v>0.14013622847804799</v>
      </c>
      <c r="O17" s="528">
        <v>1.80935383604569E-3</v>
      </c>
      <c r="P17" s="528">
        <v>3.0155897267428199E-2</v>
      </c>
      <c r="Q17" s="525">
        <v>4.5478172260800696E-3</v>
      </c>
      <c r="R17" s="525">
        <v>7.5796953768001094E-2</v>
      </c>
      <c r="S17" s="525">
        <v>9.7864421320710202E-4</v>
      </c>
      <c r="T17" s="525">
        <v>1.6310736886784999E-2</v>
      </c>
      <c r="U17" s="528">
        <v>0.34156406887024499</v>
      </c>
      <c r="V17" s="528">
        <v>7.3501128744229899E-2</v>
      </c>
      <c r="W17" s="528">
        <v>1.7294383233936499E-2</v>
      </c>
      <c r="X17" s="1193">
        <f t="shared" si="0"/>
        <v>1</v>
      </c>
    </row>
    <row r="18" spans="1:24">
      <c r="A18" s="238" t="s">
        <v>1335</v>
      </c>
      <c r="B18" s="238" t="s">
        <v>340</v>
      </c>
      <c r="C18" s="525">
        <v>6.0588739162617204E-3</v>
      </c>
      <c r="D18" s="525">
        <v>6.0588739162617204E-3</v>
      </c>
      <c r="E18" s="525">
        <v>1.3038083110942899E-3</v>
      </c>
      <c r="F18" s="525">
        <v>1.3038083110942899E-3</v>
      </c>
      <c r="G18" s="528">
        <v>0.109059730492711</v>
      </c>
      <c r="H18" s="528">
        <v>0.16358959573906601</v>
      </c>
      <c r="I18" s="528">
        <v>2.3468549599697301E-2</v>
      </c>
      <c r="J18" s="528">
        <v>3.5202824399545897E-2</v>
      </c>
      <c r="K18" s="525">
        <v>1.6670223910994701E-3</v>
      </c>
      <c r="L18" s="525">
        <v>2.77837065183246E-2</v>
      </c>
      <c r="M18" s="528">
        <v>1.09059730492711E-2</v>
      </c>
      <c r="N18" s="528">
        <v>0.18176621748785099</v>
      </c>
      <c r="O18" s="528">
        <v>2.3468549599697298E-3</v>
      </c>
      <c r="P18" s="528">
        <v>3.9114249332828803E-2</v>
      </c>
      <c r="Q18" s="525">
        <v>5.8988281901717803E-3</v>
      </c>
      <c r="R18" s="525">
        <v>9.8313803169529701E-2</v>
      </c>
      <c r="S18" s="525">
        <v>1.26936809155595E-3</v>
      </c>
      <c r="T18" s="525">
        <v>2.1156134859265902E-2</v>
      </c>
      <c r="U18" s="528">
        <v>0.20834810403887499</v>
      </c>
      <c r="V18" s="528">
        <v>4.4834402134947798E-2</v>
      </c>
      <c r="W18" s="528">
        <v>1.0549271090576001E-2</v>
      </c>
      <c r="X18" s="1193">
        <f t="shared" si="0"/>
        <v>0.999999999999999</v>
      </c>
    </row>
    <row r="19" spans="1:24">
      <c r="A19" s="238" t="s">
        <v>2120</v>
      </c>
      <c r="B19" s="238" t="s">
        <v>2121</v>
      </c>
      <c r="C19" s="525">
        <v>4.9813071641784598E-3</v>
      </c>
      <c r="D19" s="525">
        <v>4.9813071641784598E-3</v>
      </c>
      <c r="E19" s="525">
        <v>1.0719268581143499E-3</v>
      </c>
      <c r="F19" s="525">
        <v>1.0719268581143499E-3</v>
      </c>
      <c r="G19" s="528">
        <v>8.9663528955212193E-2</v>
      </c>
      <c r="H19" s="528">
        <v>0.13449529343281799</v>
      </c>
      <c r="I19" s="528">
        <v>1.9294683446058301E-2</v>
      </c>
      <c r="J19" s="528">
        <v>2.8942025169087501E-2</v>
      </c>
      <c r="K19" s="525">
        <v>1.3705435522172399E-3</v>
      </c>
      <c r="L19" s="525">
        <v>2.2842392536954002E-2</v>
      </c>
      <c r="M19" s="528">
        <v>8.96635289552122E-3</v>
      </c>
      <c r="N19" s="528">
        <v>0.149439214925354</v>
      </c>
      <c r="O19" s="528">
        <v>1.9294683446058299E-3</v>
      </c>
      <c r="P19" s="528">
        <v>3.2157805743430502E-2</v>
      </c>
      <c r="Q19" s="525">
        <v>4.8497254655020397E-3</v>
      </c>
      <c r="R19" s="525">
        <v>8.0828757758367398E-2</v>
      </c>
      <c r="S19" s="525">
        <v>1.0436118090320901E-3</v>
      </c>
      <c r="T19" s="525">
        <v>1.7393530150534801E-2</v>
      </c>
      <c r="U19" s="528">
        <v>0.311794512238868</v>
      </c>
      <c r="V19" s="528">
        <v>6.7095021621022294E-2</v>
      </c>
      <c r="W19" s="528">
        <v>1.5787063910828798E-2</v>
      </c>
      <c r="X19" s="1193">
        <f t="shared" si="0"/>
        <v>0.99999999999999989</v>
      </c>
    </row>
    <row r="20" spans="1:24">
      <c r="A20" s="238" t="s">
        <v>2122</v>
      </c>
      <c r="B20" s="238" t="s">
        <v>2123</v>
      </c>
      <c r="C20" s="525">
        <v>4.9813071641784598E-3</v>
      </c>
      <c r="D20" s="525">
        <v>4.9813071641784598E-3</v>
      </c>
      <c r="E20" s="525">
        <v>1.0719268581143499E-3</v>
      </c>
      <c r="F20" s="525">
        <v>1.0719268581143499E-3</v>
      </c>
      <c r="G20" s="528">
        <v>8.9663528955212193E-2</v>
      </c>
      <c r="H20" s="528">
        <v>0.13449529343281799</v>
      </c>
      <c r="I20" s="528">
        <v>1.9294683446058301E-2</v>
      </c>
      <c r="J20" s="528">
        <v>2.8942025169087501E-2</v>
      </c>
      <c r="K20" s="525">
        <v>1.3705435522172399E-3</v>
      </c>
      <c r="L20" s="525">
        <v>2.2842392536954002E-2</v>
      </c>
      <c r="M20" s="528">
        <v>8.96635289552122E-3</v>
      </c>
      <c r="N20" s="528">
        <v>0.149439214925354</v>
      </c>
      <c r="O20" s="528">
        <v>1.9294683446058299E-3</v>
      </c>
      <c r="P20" s="528">
        <v>3.2157805743430502E-2</v>
      </c>
      <c r="Q20" s="525">
        <v>4.8497254655020397E-3</v>
      </c>
      <c r="R20" s="525">
        <v>8.0828757758367398E-2</v>
      </c>
      <c r="S20" s="525">
        <v>1.0436118090320901E-3</v>
      </c>
      <c r="T20" s="525">
        <v>1.7393530150534801E-2</v>
      </c>
      <c r="U20" s="528">
        <v>0.311794512238868</v>
      </c>
      <c r="V20" s="528">
        <v>6.7095021621022294E-2</v>
      </c>
      <c r="W20" s="528">
        <v>1.5787063910828798E-2</v>
      </c>
      <c r="X20" s="1193">
        <f t="shared" si="0"/>
        <v>0.99999999999999989</v>
      </c>
    </row>
    <row r="21" spans="1:24">
      <c r="A21" s="238" t="s">
        <v>2124</v>
      </c>
      <c r="B21" s="238" t="s">
        <v>2125</v>
      </c>
      <c r="C21" s="525">
        <v>4.9813071641784598E-3</v>
      </c>
      <c r="D21" s="525">
        <v>4.9813071641784598E-3</v>
      </c>
      <c r="E21" s="525">
        <v>1.0719268581143499E-3</v>
      </c>
      <c r="F21" s="525">
        <v>1.0719268581143499E-3</v>
      </c>
      <c r="G21" s="528">
        <v>8.9663528955212193E-2</v>
      </c>
      <c r="H21" s="528">
        <v>0.13449529343281799</v>
      </c>
      <c r="I21" s="528">
        <v>1.9294683446058301E-2</v>
      </c>
      <c r="J21" s="528">
        <v>2.8942025169087501E-2</v>
      </c>
      <c r="K21" s="525">
        <v>1.3705435522172399E-3</v>
      </c>
      <c r="L21" s="525">
        <v>2.2842392536954002E-2</v>
      </c>
      <c r="M21" s="528">
        <v>8.96635289552122E-3</v>
      </c>
      <c r="N21" s="528">
        <v>0.149439214925354</v>
      </c>
      <c r="O21" s="528">
        <v>1.9294683446058299E-3</v>
      </c>
      <c r="P21" s="528">
        <v>3.2157805743430502E-2</v>
      </c>
      <c r="Q21" s="525">
        <v>4.8497254655020397E-3</v>
      </c>
      <c r="R21" s="525">
        <v>8.0828757758367398E-2</v>
      </c>
      <c r="S21" s="525">
        <v>1.0436118090320901E-3</v>
      </c>
      <c r="T21" s="525">
        <v>1.7393530150534801E-2</v>
      </c>
      <c r="U21" s="528">
        <v>0.311794512238868</v>
      </c>
      <c r="V21" s="528">
        <v>6.7095021621022294E-2</v>
      </c>
      <c r="W21" s="528">
        <v>1.5787063910828798E-2</v>
      </c>
      <c r="X21" s="1193">
        <f t="shared" si="0"/>
        <v>0.99999999999999989</v>
      </c>
    </row>
    <row r="22" spans="1:24">
      <c r="A22" s="238" t="s">
        <v>2126</v>
      </c>
      <c r="B22" s="238" t="s">
        <v>2127</v>
      </c>
      <c r="C22" s="525">
        <v>5.7207640794957803E-3</v>
      </c>
      <c r="D22" s="525">
        <v>5.7207640794957803E-3</v>
      </c>
      <c r="E22" s="525">
        <v>1.23105049811935E-3</v>
      </c>
      <c r="F22" s="525">
        <v>1.23105049811935E-3</v>
      </c>
      <c r="G22" s="528">
        <v>0.10297375343092401</v>
      </c>
      <c r="H22" s="528">
        <v>0.154460630146386</v>
      </c>
      <c r="I22" s="528">
        <v>2.2158908966148201E-2</v>
      </c>
      <c r="J22" s="528">
        <v>3.3238363449222298E-2</v>
      </c>
      <c r="K22" s="525">
        <v>1.57399575342229E-3</v>
      </c>
      <c r="L22" s="525">
        <v>2.6233262557038201E-2</v>
      </c>
      <c r="M22" s="528">
        <v>1.0297375343092399E-2</v>
      </c>
      <c r="N22" s="528">
        <v>0.17162292238487301</v>
      </c>
      <c r="O22" s="528">
        <v>2.21589089661482E-3</v>
      </c>
      <c r="P22" s="528">
        <v>3.69315149435804E-2</v>
      </c>
      <c r="Q22" s="525">
        <v>5.5696495566411796E-3</v>
      </c>
      <c r="R22" s="525">
        <v>9.2827492610686305E-2</v>
      </c>
      <c r="S22" s="525">
        <v>1.19853218307468E-3</v>
      </c>
      <c r="T22" s="525">
        <v>1.9975536384578101E-2</v>
      </c>
      <c r="U22" s="528">
        <v>0.24080664836840501</v>
      </c>
      <c r="V22" s="528">
        <v>5.18191521805429E-2</v>
      </c>
      <c r="W22" s="528">
        <v>1.21927416895395E-2</v>
      </c>
      <c r="X22" s="1193">
        <f t="shared" si="0"/>
        <v>0.99999999999999944</v>
      </c>
    </row>
    <row r="23" spans="1:24">
      <c r="A23" s="238" t="s">
        <v>1337</v>
      </c>
      <c r="B23" s="238" t="s">
        <v>1670</v>
      </c>
      <c r="C23" s="525">
        <v>5.6563850621285799E-3</v>
      </c>
      <c r="D23" s="525">
        <v>5.6563850621285799E-3</v>
      </c>
      <c r="E23" s="525">
        <v>1.2171967855213401E-3</v>
      </c>
      <c r="F23" s="525">
        <v>1.2171967855213401E-3</v>
      </c>
      <c r="G23" s="528">
        <v>0.10181493111831399</v>
      </c>
      <c r="H23" s="528">
        <v>0.15272239667747201</v>
      </c>
      <c r="I23" s="528">
        <v>2.1909542139384099E-2</v>
      </c>
      <c r="J23" s="528">
        <v>3.28643132090762E-2</v>
      </c>
      <c r="K23" s="525">
        <v>1.55628268248677E-3</v>
      </c>
      <c r="L23" s="525">
        <v>2.5938044708112899E-2</v>
      </c>
      <c r="M23" s="528">
        <v>1.01814931118314E-2</v>
      </c>
      <c r="N23" s="528">
        <v>0.16969155186385701</v>
      </c>
      <c r="O23" s="528">
        <v>2.1909542139384101E-3</v>
      </c>
      <c r="P23" s="528">
        <v>3.6515903565640197E-2</v>
      </c>
      <c r="Q23" s="525">
        <v>5.5069711170912198E-3</v>
      </c>
      <c r="R23" s="525">
        <v>9.1782851951520306E-2</v>
      </c>
      <c r="S23" s="525">
        <v>1.18504441760191E-3</v>
      </c>
      <c r="T23" s="525">
        <v>1.9750740293365199E-2</v>
      </c>
      <c r="U23" s="528">
        <v>0.246987034035656</v>
      </c>
      <c r="V23" s="528">
        <v>5.3149108589951401E-2</v>
      </c>
      <c r="W23" s="528">
        <v>1.25056726094003E-2</v>
      </c>
      <c r="X23" s="1193">
        <f t="shared" si="0"/>
        <v>0.99999999999999922</v>
      </c>
    </row>
    <row r="24" spans="1:24">
      <c r="A24" s="238" t="s">
        <v>2128</v>
      </c>
      <c r="B24" s="238" t="s">
        <v>2129</v>
      </c>
      <c r="C24" s="525">
        <v>4.9094306042181896E-3</v>
      </c>
      <c r="D24" s="525">
        <v>4.9094306042181896E-3</v>
      </c>
      <c r="E24" s="525">
        <v>1.0564597502748E-3</v>
      </c>
      <c r="F24" s="525">
        <v>1.0564597502748E-3</v>
      </c>
      <c r="G24" s="528">
        <v>8.8369750875927494E-2</v>
      </c>
      <c r="H24" s="528">
        <v>0.13255462631389101</v>
      </c>
      <c r="I24" s="528">
        <v>1.90162755049464E-2</v>
      </c>
      <c r="J24" s="528">
        <v>2.8524413257419601E-2</v>
      </c>
      <c r="K24" s="525">
        <v>1.35076762743238E-3</v>
      </c>
      <c r="L24" s="525">
        <v>2.2512793790539599E-2</v>
      </c>
      <c r="M24" s="528">
        <v>8.8369750875927494E-3</v>
      </c>
      <c r="N24" s="528">
        <v>0.14728291812654601</v>
      </c>
      <c r="O24" s="528">
        <v>1.90162755049464E-3</v>
      </c>
      <c r="P24" s="528">
        <v>3.1693792508244001E-2</v>
      </c>
      <c r="Q24" s="525">
        <v>4.7797475316539396E-3</v>
      </c>
      <c r="R24" s="525">
        <v>7.9662458860898996E-2</v>
      </c>
      <c r="S24" s="525">
        <v>1.0285532663052801E-3</v>
      </c>
      <c r="T24" s="525">
        <v>1.71425544384213E-2</v>
      </c>
      <c r="U24" s="528">
        <v>0.31869466199505397</v>
      </c>
      <c r="V24" s="528">
        <v>6.8579863973619107E-2</v>
      </c>
      <c r="W24" s="528">
        <v>1.6136438582028002E-2</v>
      </c>
      <c r="X24" s="1193">
        <f t="shared" si="0"/>
        <v>1.0000000000000004</v>
      </c>
    </row>
    <row r="25" spans="1:24">
      <c r="A25" s="238" t="s">
        <v>1025</v>
      </c>
      <c r="B25" s="238" t="s">
        <v>485</v>
      </c>
      <c r="C25" s="525">
        <v>1.1635931078348199E-3</v>
      </c>
      <c r="D25" s="525">
        <v>1.1635931078348199E-3</v>
      </c>
      <c r="E25" s="525">
        <v>2.5039345358470898E-4</v>
      </c>
      <c r="F25" s="525">
        <v>2.5039345358470898E-4</v>
      </c>
      <c r="G25" s="528">
        <v>2.0944675941026801E-2</v>
      </c>
      <c r="H25" s="528">
        <v>3.1417013911540198E-2</v>
      </c>
      <c r="I25" s="528">
        <v>4.5070821645247601E-3</v>
      </c>
      <c r="J25" s="528">
        <v>6.7606232467871301E-3</v>
      </c>
      <c r="K25" s="525">
        <v>3.20147900698762E-4</v>
      </c>
      <c r="L25" s="525">
        <v>5.3357983449793603E-3</v>
      </c>
      <c r="M25" s="528">
        <v>2.0944675941026798E-3</v>
      </c>
      <c r="N25" s="528">
        <v>3.4907793235044698E-2</v>
      </c>
      <c r="O25" s="528">
        <v>4.50708216452475E-4</v>
      </c>
      <c r="P25" s="528">
        <v>7.5118036075412604E-3</v>
      </c>
      <c r="Q25" s="525">
        <v>1.1328566861184301E-3</v>
      </c>
      <c r="R25" s="525">
        <v>1.8880944768640499E-2</v>
      </c>
      <c r="S25" s="525">
        <v>2.43779286886245E-4</v>
      </c>
      <c r="T25" s="525">
        <v>4.0629881147707502E-3</v>
      </c>
      <c r="U25" s="528">
        <v>0.67829506164785702</v>
      </c>
      <c r="V25" s="528">
        <v>0.14596222845586801</v>
      </c>
      <c r="W25" s="528">
        <v>3.4344053754321903E-2</v>
      </c>
      <c r="X25" s="1193">
        <f t="shared" si="0"/>
        <v>1</v>
      </c>
    </row>
    <row r="26" spans="1:24">
      <c r="A26" s="238" t="s">
        <v>2130</v>
      </c>
      <c r="B26" s="238" t="s">
        <v>2131</v>
      </c>
      <c r="C26" s="525">
        <v>4.9813071641784598E-3</v>
      </c>
      <c r="D26" s="525">
        <v>4.9813071641784598E-3</v>
      </c>
      <c r="E26" s="525">
        <v>1.0719268581143499E-3</v>
      </c>
      <c r="F26" s="525">
        <v>1.0719268581143499E-3</v>
      </c>
      <c r="G26" s="528">
        <v>8.9663528955212193E-2</v>
      </c>
      <c r="H26" s="528">
        <v>0.13449529343281799</v>
      </c>
      <c r="I26" s="528">
        <v>1.9294683446058301E-2</v>
      </c>
      <c r="J26" s="528">
        <v>2.8942025169087501E-2</v>
      </c>
      <c r="K26" s="525">
        <v>1.3705435522172399E-3</v>
      </c>
      <c r="L26" s="525">
        <v>2.2842392536954002E-2</v>
      </c>
      <c r="M26" s="528">
        <v>8.96635289552122E-3</v>
      </c>
      <c r="N26" s="528">
        <v>0.149439214925354</v>
      </c>
      <c r="O26" s="528">
        <v>1.9294683446058299E-3</v>
      </c>
      <c r="P26" s="528">
        <v>3.2157805743430502E-2</v>
      </c>
      <c r="Q26" s="525">
        <v>4.8497254655020397E-3</v>
      </c>
      <c r="R26" s="525">
        <v>8.0828757758367398E-2</v>
      </c>
      <c r="S26" s="525">
        <v>1.0436118090320901E-3</v>
      </c>
      <c r="T26" s="525">
        <v>1.7393530150534801E-2</v>
      </c>
      <c r="U26" s="528">
        <v>0.311794512238868</v>
      </c>
      <c r="V26" s="528">
        <v>6.7095021621022294E-2</v>
      </c>
      <c r="W26" s="528">
        <v>1.5787063910828798E-2</v>
      </c>
      <c r="X26" s="1193">
        <f t="shared" si="0"/>
        <v>0.99999999999999989</v>
      </c>
    </row>
    <row r="27" spans="1:24">
      <c r="A27" s="238" t="s">
        <v>548</v>
      </c>
      <c r="B27" s="238" t="s">
        <v>382</v>
      </c>
      <c r="C27" s="525">
        <v>2.7435658914728698E-3</v>
      </c>
      <c r="D27" s="525">
        <v>2.7435658914728698E-3</v>
      </c>
      <c r="E27" s="525">
        <v>5.9038759689922498E-4</v>
      </c>
      <c r="F27" s="525">
        <v>5.9038759689922498E-4</v>
      </c>
      <c r="G27" s="528">
        <v>4.9384186046511597E-2</v>
      </c>
      <c r="H27" s="528">
        <v>7.4076279069767506E-2</v>
      </c>
      <c r="I27" s="528">
        <v>1.0626976744186001E-2</v>
      </c>
      <c r="J27" s="528">
        <v>1.5940465116279098E-2</v>
      </c>
      <c r="K27" s="525">
        <v>7.5485739359368103E-4</v>
      </c>
      <c r="L27" s="525">
        <v>1.2580956559894701E-2</v>
      </c>
      <c r="M27" s="528">
        <v>4.9384186046511598E-3</v>
      </c>
      <c r="N27" s="528">
        <v>8.2306976744185995E-2</v>
      </c>
      <c r="O27" s="528">
        <v>1.0626976744186E-3</v>
      </c>
      <c r="P27" s="528">
        <v>1.7711627906976699E-2</v>
      </c>
      <c r="Q27" s="525">
        <v>2.6710943396226401E-3</v>
      </c>
      <c r="R27" s="525">
        <v>4.4518238993710699E-2</v>
      </c>
      <c r="S27" s="525">
        <v>5.74792452830189E-4</v>
      </c>
      <c r="T27" s="525">
        <v>9.5798742138364906E-3</v>
      </c>
      <c r="U27" s="528">
        <v>0.52661767441860496</v>
      </c>
      <c r="V27" s="528">
        <v>0.11332279069767399</v>
      </c>
      <c r="W27" s="528">
        <v>2.66641860465116E-2</v>
      </c>
      <c r="X27" s="1193">
        <f t="shared" si="0"/>
        <v>0.99999999999999989</v>
      </c>
    </row>
    <row r="28" spans="1:24">
      <c r="A28" s="238" t="s">
        <v>2133</v>
      </c>
      <c r="B28" s="238" t="s">
        <v>2134</v>
      </c>
      <c r="C28" s="525">
        <v>1.1505089526612699E-3</v>
      </c>
      <c r="D28" s="525">
        <v>1.1505089526612699E-3</v>
      </c>
      <c r="E28" s="525">
        <v>2.4757787588913403E-4</v>
      </c>
      <c r="F28" s="525">
        <v>2.4757787588913403E-4</v>
      </c>
      <c r="G28" s="528">
        <v>2.0709161147902898E-2</v>
      </c>
      <c r="H28" s="528">
        <v>3.1063741721854301E-2</v>
      </c>
      <c r="I28" s="528">
        <v>4.4564017660044097E-3</v>
      </c>
      <c r="J28" s="528">
        <v>6.6846026490066197E-3</v>
      </c>
      <c r="K28" s="525">
        <v>3.16547961181224E-4</v>
      </c>
      <c r="L28" s="525">
        <v>5.2757993530203901E-3</v>
      </c>
      <c r="M28" s="528">
        <v>2.07091611479029E-3</v>
      </c>
      <c r="N28" s="528">
        <v>3.4515268579838103E-2</v>
      </c>
      <c r="O28" s="528">
        <v>4.45640176600441E-4</v>
      </c>
      <c r="P28" s="528">
        <v>7.4273362766740202E-3</v>
      </c>
      <c r="Q28" s="525">
        <v>1.12011815013814E-3</v>
      </c>
      <c r="R28" s="525">
        <v>1.8668635835635699E-2</v>
      </c>
      <c r="S28" s="525">
        <v>2.4103808294111901E-4</v>
      </c>
      <c r="T28" s="525">
        <v>4.0173013823519904E-3</v>
      </c>
      <c r="U28" s="528">
        <v>0.67955114054451804</v>
      </c>
      <c r="V28" s="528">
        <v>0.146232523914643</v>
      </c>
      <c r="W28" s="528">
        <v>3.4407652685798401E-2</v>
      </c>
      <c r="X28" s="1193">
        <f t="shared" si="0"/>
        <v>0.99999999999999989</v>
      </c>
    </row>
    <row r="29" spans="1:24">
      <c r="A29" s="238" t="s">
        <v>2138</v>
      </c>
      <c r="B29" s="238" t="s">
        <v>2139</v>
      </c>
      <c r="C29" s="525">
        <v>3.4745507162359298E-3</v>
      </c>
      <c r="D29" s="525">
        <v>3.4745507162359298E-3</v>
      </c>
      <c r="E29" s="525">
        <v>7.4768812881026295E-4</v>
      </c>
      <c r="F29" s="525">
        <v>7.4768812881026295E-4</v>
      </c>
      <c r="G29" s="528">
        <v>6.2541912892246698E-2</v>
      </c>
      <c r="H29" s="528">
        <v>9.3812869338370103E-2</v>
      </c>
      <c r="I29" s="528">
        <v>1.34583863185847E-2</v>
      </c>
      <c r="J29" s="528">
        <v>2.01875794778771E-2</v>
      </c>
      <c r="K29" s="525">
        <v>9.5597860642555302E-4</v>
      </c>
      <c r="L29" s="525">
        <v>1.5932976773759201E-2</v>
      </c>
      <c r="M29" s="528">
        <v>6.2541912892246703E-3</v>
      </c>
      <c r="N29" s="528">
        <v>0.104236521487078</v>
      </c>
      <c r="O29" s="528">
        <v>1.3458386318584701E-3</v>
      </c>
      <c r="P29" s="528">
        <v>2.24306438643079E-2</v>
      </c>
      <c r="Q29" s="525">
        <v>3.3827701312787598E-3</v>
      </c>
      <c r="R29" s="525">
        <v>5.6379502187979297E-2</v>
      </c>
      <c r="S29" s="525">
        <v>7.2793787635112405E-4</v>
      </c>
      <c r="T29" s="525">
        <v>1.21322979391854E-2</v>
      </c>
      <c r="U29" s="528">
        <v>0.456443131241351</v>
      </c>
      <c r="V29" s="528">
        <v>9.82219396342148E-2</v>
      </c>
      <c r="W29" s="528">
        <v>2.31110446198152E-2</v>
      </c>
      <c r="X29" s="1193">
        <f t="shared" si="0"/>
        <v>1.0000000000000004</v>
      </c>
    </row>
    <row r="30" spans="1:24">
      <c r="A30" s="238" t="s">
        <v>2140</v>
      </c>
      <c r="B30" s="238" t="s">
        <v>2141</v>
      </c>
      <c r="C30" s="525">
        <v>5.4600655195511999E-3</v>
      </c>
      <c r="D30" s="525">
        <v>5.4600655195511999E-3</v>
      </c>
      <c r="E30" s="525">
        <v>1.17495080800469E-3</v>
      </c>
      <c r="F30" s="525">
        <v>1.17495080800469E-3</v>
      </c>
      <c r="G30" s="528">
        <v>9.8281179351921599E-2</v>
      </c>
      <c r="H30" s="528">
        <v>0.14742176902788201</v>
      </c>
      <c r="I30" s="528">
        <v>2.1149114544084399E-2</v>
      </c>
      <c r="J30" s="528">
        <v>3.1723671816126599E-2</v>
      </c>
      <c r="K30" s="525">
        <v>1.5022678477484999E-3</v>
      </c>
      <c r="L30" s="525">
        <v>2.50377974624751E-2</v>
      </c>
      <c r="M30" s="528">
        <v>9.8281179351921606E-3</v>
      </c>
      <c r="N30" s="528">
        <v>0.16380196558653601</v>
      </c>
      <c r="O30" s="528">
        <v>2.1149114544084398E-3</v>
      </c>
      <c r="P30" s="528">
        <v>3.5248524240140702E-2</v>
      </c>
      <c r="Q30" s="525">
        <v>5.31583737375174E-3</v>
      </c>
      <c r="R30" s="525">
        <v>8.8597289562529005E-2</v>
      </c>
      <c r="S30" s="525">
        <v>1.14391437156683E-3</v>
      </c>
      <c r="T30" s="525">
        <v>1.90652395261138E-2</v>
      </c>
      <c r="U30" s="528">
        <v>0.26583371012308499</v>
      </c>
      <c r="V30" s="528">
        <v>5.7204722431549899E-2</v>
      </c>
      <c r="W30" s="528">
        <v>1.3459934689776401E-2</v>
      </c>
      <c r="X30" s="1193">
        <f t="shared" si="0"/>
        <v>1</v>
      </c>
    </row>
    <row r="31" spans="1:24">
      <c r="A31" s="238" t="s">
        <v>2142</v>
      </c>
      <c r="B31" s="238" t="s">
        <v>336</v>
      </c>
      <c r="C31" s="525">
        <v>8.1090328467153302E-3</v>
      </c>
      <c r="D31" s="525">
        <v>8.1090328467153302E-3</v>
      </c>
      <c r="E31" s="525">
        <v>1.7449817518248199E-3</v>
      </c>
      <c r="F31" s="525">
        <v>1.7449817518248199E-3</v>
      </c>
      <c r="G31" s="528">
        <v>0.14596259124087599</v>
      </c>
      <c r="H31" s="528">
        <v>0.218943886861314</v>
      </c>
      <c r="I31" s="528">
        <v>3.1409671532846697E-2</v>
      </c>
      <c r="J31" s="528">
        <v>4.7114507299270102E-2</v>
      </c>
      <c r="K31" s="525">
        <v>2.2310976449524899E-3</v>
      </c>
      <c r="L31" s="525">
        <v>3.7184960749208101E-2</v>
      </c>
      <c r="M31" s="528">
        <v>1.45962591240876E-2</v>
      </c>
      <c r="N31" s="528">
        <v>0.24327098540146</v>
      </c>
      <c r="O31" s="528">
        <v>3.1409671532846698E-3</v>
      </c>
      <c r="P31" s="528">
        <v>5.2349452554744498E-2</v>
      </c>
      <c r="Q31" s="525">
        <v>7.8948319790662497E-3</v>
      </c>
      <c r="R31" s="525">
        <v>0.131580532984438</v>
      </c>
      <c r="S31" s="525">
        <v>1.6988878942294399E-3</v>
      </c>
      <c r="T31" s="525">
        <v>2.83147982371574E-2</v>
      </c>
      <c r="U31" s="528">
        <v>1.1532846715328501E-2</v>
      </c>
      <c r="V31" s="528">
        <v>2.4817518248175202E-3</v>
      </c>
      <c r="W31" s="528">
        <v>5.83941605839416E-4</v>
      </c>
      <c r="X31" s="1193">
        <f t="shared" si="0"/>
        <v>1.0000000000000009</v>
      </c>
    </row>
    <row r="32" spans="1:24">
      <c r="A32" s="238" t="s">
        <v>2143</v>
      </c>
      <c r="B32" s="238" t="s">
        <v>2144</v>
      </c>
      <c r="C32" s="525">
        <v>4.00192850934376E-3</v>
      </c>
      <c r="D32" s="525">
        <v>4.00192850934376E-3</v>
      </c>
      <c r="E32" s="525">
        <v>8.6117448935245605E-4</v>
      </c>
      <c r="F32" s="525">
        <v>8.6117448935245605E-4</v>
      </c>
      <c r="G32" s="528">
        <v>7.2034713168187797E-2</v>
      </c>
      <c r="H32" s="528">
        <v>0.108052069752282</v>
      </c>
      <c r="I32" s="528">
        <v>1.5501140808344201E-2</v>
      </c>
      <c r="J32" s="528">
        <v>2.3251711212516301E-2</v>
      </c>
      <c r="K32" s="525">
        <v>1.10107992423311E-3</v>
      </c>
      <c r="L32" s="525">
        <v>1.8351332070551798E-2</v>
      </c>
      <c r="M32" s="528">
        <v>7.2034713168187704E-3</v>
      </c>
      <c r="N32" s="528">
        <v>0.120057855280313</v>
      </c>
      <c r="O32" s="528">
        <v>1.5501140808344199E-3</v>
      </c>
      <c r="P32" s="528">
        <v>2.58352346805737E-2</v>
      </c>
      <c r="Q32" s="525">
        <v>3.89621719022902E-3</v>
      </c>
      <c r="R32" s="525">
        <v>6.4936953170483702E-2</v>
      </c>
      <c r="S32" s="525">
        <v>8.3842648397333404E-4</v>
      </c>
      <c r="T32" s="525">
        <v>1.39737747328889E-2</v>
      </c>
      <c r="U32" s="528">
        <v>0.40581486310299902</v>
      </c>
      <c r="V32" s="528">
        <v>8.7327249022164294E-2</v>
      </c>
      <c r="W32" s="528">
        <v>2.0547588005215101E-2</v>
      </c>
      <c r="X32" s="1193">
        <f t="shared" si="0"/>
        <v>1.0000000000000009</v>
      </c>
    </row>
    <row r="33" spans="1:24">
      <c r="A33" s="238" t="s">
        <v>2145</v>
      </c>
      <c r="B33" s="238" t="s">
        <v>2146</v>
      </c>
      <c r="C33" s="525">
        <v>5.4829718852521603E-3</v>
      </c>
      <c r="D33" s="525">
        <v>5.4829718852521603E-3</v>
      </c>
      <c r="E33" s="525">
        <v>1.1798800259403401E-3</v>
      </c>
      <c r="F33" s="525">
        <v>1.1798800259403401E-3</v>
      </c>
      <c r="G33" s="528">
        <v>9.8693493934538801E-2</v>
      </c>
      <c r="H33" s="528">
        <v>0.14804024090180801</v>
      </c>
      <c r="I33" s="528">
        <v>2.1237840466926099E-2</v>
      </c>
      <c r="J33" s="528">
        <v>3.1856760700389099E-2</v>
      </c>
      <c r="K33" s="525">
        <v>1.5085702440435799E-3</v>
      </c>
      <c r="L33" s="525">
        <v>2.5142837400726401E-2</v>
      </c>
      <c r="M33" s="528">
        <v>9.8693493934538801E-3</v>
      </c>
      <c r="N33" s="528">
        <v>0.16448915655756499</v>
      </c>
      <c r="O33" s="528">
        <v>2.1237840466926099E-3</v>
      </c>
      <c r="P33" s="528">
        <v>3.5396400778210102E-2</v>
      </c>
      <c r="Q33" s="525">
        <v>5.3381386656417198E-3</v>
      </c>
      <c r="R33" s="525">
        <v>8.8968977760695303E-2</v>
      </c>
      <c r="S33" s="525">
        <v>1.1487133837456899E-3</v>
      </c>
      <c r="T33" s="525">
        <v>1.91452230624281E-2</v>
      </c>
      <c r="U33" s="528">
        <v>0.26363469901579301</v>
      </c>
      <c r="V33" s="528">
        <v>5.6731517509727603E-2</v>
      </c>
      <c r="W33" s="528">
        <v>1.3348592355229999E-2</v>
      </c>
      <c r="X33" s="1193">
        <f t="shared" si="0"/>
        <v>0.99999999999999989</v>
      </c>
    </row>
    <row r="34" spans="1:24">
      <c r="A34" s="238" t="s">
        <v>1338</v>
      </c>
      <c r="B34" s="238" t="s">
        <v>2147</v>
      </c>
      <c r="C34" s="525">
        <v>1.66176338793294E-3</v>
      </c>
      <c r="D34" s="525">
        <v>1.66176338793294E-3</v>
      </c>
      <c r="E34" s="525">
        <v>3.5759465309949298E-4</v>
      </c>
      <c r="F34" s="525">
        <v>3.5759465309949298E-4</v>
      </c>
      <c r="G34" s="528">
        <v>2.9911740982792801E-2</v>
      </c>
      <c r="H34" s="528">
        <v>4.4867611474189301E-2</v>
      </c>
      <c r="I34" s="528">
        <v>6.4367037557908702E-3</v>
      </c>
      <c r="J34" s="528">
        <v>9.6550556336863005E-3</v>
      </c>
      <c r="K34" s="525">
        <v>4.5721314136583298E-4</v>
      </c>
      <c r="L34" s="525">
        <v>7.6202190227638803E-3</v>
      </c>
      <c r="M34" s="528">
        <v>2.9911740982792802E-3</v>
      </c>
      <c r="N34" s="528">
        <v>4.9852901637988098E-2</v>
      </c>
      <c r="O34" s="528">
        <v>6.43670375579086E-4</v>
      </c>
      <c r="P34" s="528">
        <v>1.07278395929848E-2</v>
      </c>
      <c r="Q34" s="525">
        <v>1.6178677512705599E-3</v>
      </c>
      <c r="R34" s="525">
        <v>2.6964462521176E-2</v>
      </c>
      <c r="S34" s="525">
        <v>3.4814875660252499E-4</v>
      </c>
      <c r="T34" s="525">
        <v>5.8024792767087498E-3</v>
      </c>
      <c r="U34" s="528">
        <v>0.63047071475843797</v>
      </c>
      <c r="V34" s="528">
        <v>0.13567091330244899</v>
      </c>
      <c r="W34" s="528">
        <v>3.1922567835870302E-2</v>
      </c>
      <c r="X34" s="1193">
        <f t="shared" si="0"/>
        <v>1.0000000000000002</v>
      </c>
    </row>
    <row r="35" spans="1:24">
      <c r="A35" s="238" t="s">
        <v>2148</v>
      </c>
      <c r="B35" s="238" t="s">
        <v>2149</v>
      </c>
      <c r="C35" s="525">
        <v>7.5528634542110099E-3</v>
      </c>
      <c r="D35" s="525">
        <v>7.5528634542110099E-3</v>
      </c>
      <c r="E35" s="525">
        <v>1.6252997306530001E-3</v>
      </c>
      <c r="F35" s="525">
        <v>1.6252997306530001E-3</v>
      </c>
      <c r="G35" s="528">
        <v>0.135951542175798</v>
      </c>
      <c r="H35" s="528">
        <v>0.20392731326369701</v>
      </c>
      <c r="I35" s="528">
        <v>2.9255395151753998E-2</v>
      </c>
      <c r="J35" s="528">
        <v>4.38830927276311E-2</v>
      </c>
      <c r="K35" s="525">
        <v>2.0780746833654398E-3</v>
      </c>
      <c r="L35" s="525">
        <v>3.4634578056090597E-2</v>
      </c>
      <c r="M35" s="528">
        <v>1.35951542175798E-2</v>
      </c>
      <c r="N35" s="528">
        <v>0.22658590362632999</v>
      </c>
      <c r="O35" s="528">
        <v>2.9255395151754002E-3</v>
      </c>
      <c r="P35" s="528">
        <v>4.87589919195901E-2</v>
      </c>
      <c r="Q35" s="525">
        <v>7.3533538535337402E-3</v>
      </c>
      <c r="R35" s="525">
        <v>0.122555897558896</v>
      </c>
      <c r="S35" s="525">
        <v>1.58236728493764E-3</v>
      </c>
      <c r="T35" s="525">
        <v>2.6372788082293999E-2</v>
      </c>
      <c r="U35" s="528">
        <v>6.4925108395743003E-2</v>
      </c>
      <c r="V35" s="528">
        <v>1.39712258573118E-2</v>
      </c>
      <c r="W35" s="528">
        <v>3.2873472605439501E-3</v>
      </c>
      <c r="X35" s="1193">
        <f t="shared" si="0"/>
        <v>0.99999999999999967</v>
      </c>
    </row>
    <row r="36" spans="1:24">
      <c r="A36" s="238" t="s">
        <v>2150</v>
      </c>
      <c r="B36" s="238" t="s">
        <v>103</v>
      </c>
      <c r="C36" s="525">
        <v>8.1606909773209307E-3</v>
      </c>
      <c r="D36" s="525">
        <v>8.1606909773209307E-3</v>
      </c>
      <c r="E36" s="525">
        <v>1.75609805841083E-3</v>
      </c>
      <c r="F36" s="525">
        <v>1.75609805841083E-3</v>
      </c>
      <c r="G36" s="528">
        <v>0.146892437591777</v>
      </c>
      <c r="H36" s="528">
        <v>0.22033865638766501</v>
      </c>
      <c r="I36" s="528">
        <v>3.1609765051394997E-2</v>
      </c>
      <c r="J36" s="528">
        <v>4.7414647577092503E-2</v>
      </c>
      <c r="K36" s="525">
        <v>2.2453107250713401E-3</v>
      </c>
      <c r="L36" s="525">
        <v>3.7421845417855697E-2</v>
      </c>
      <c r="M36" s="528">
        <v>1.4689243759177699E-2</v>
      </c>
      <c r="N36" s="528">
        <v>0.24482072931962801</v>
      </c>
      <c r="O36" s="528">
        <v>3.1609765051394999E-3</v>
      </c>
      <c r="P36" s="528">
        <v>5.2682941752324998E-2</v>
      </c>
      <c r="Q36" s="525">
        <v>7.9451255552784907E-3</v>
      </c>
      <c r="R36" s="525">
        <v>0.132418759254641</v>
      </c>
      <c r="S36" s="525">
        <v>1.70971056252828E-3</v>
      </c>
      <c r="T36" s="525">
        <v>2.8495176042138099E-2</v>
      </c>
      <c r="U36" s="528">
        <v>6.5736661771904096E-3</v>
      </c>
      <c r="V36" s="528">
        <v>1.41458639255996E-3</v>
      </c>
      <c r="W36" s="528">
        <v>3.3284385707293198E-4</v>
      </c>
      <c r="X36" s="1193">
        <f t="shared" si="0"/>
        <v>0.99999999999999944</v>
      </c>
    </row>
    <row r="37" spans="1:24">
      <c r="A37" s="238" t="s">
        <v>665</v>
      </c>
      <c r="B37" s="238" t="s">
        <v>643</v>
      </c>
      <c r="C37" s="525">
        <v>2.5291729819243301E-3</v>
      </c>
      <c r="D37" s="525">
        <v>2.5291729819243301E-3</v>
      </c>
      <c r="E37" s="525">
        <v>5.4425241383181805E-4</v>
      </c>
      <c r="F37" s="525">
        <v>5.4425241383181805E-4</v>
      </c>
      <c r="G37" s="528">
        <v>4.55251136746379E-2</v>
      </c>
      <c r="H37" s="528">
        <v>6.8287670511956902E-2</v>
      </c>
      <c r="I37" s="528">
        <v>9.7965434489727197E-3</v>
      </c>
      <c r="J37" s="528">
        <v>1.4694815173459099E-2</v>
      </c>
      <c r="K37" s="525">
        <v>6.9586990092592002E-4</v>
      </c>
      <c r="L37" s="525">
        <v>1.15978316820987E-2</v>
      </c>
      <c r="M37" s="528">
        <v>4.5525113674637898E-3</v>
      </c>
      <c r="N37" s="528">
        <v>7.5875189457729794E-2</v>
      </c>
      <c r="O37" s="528">
        <v>9.7965434489727106E-4</v>
      </c>
      <c r="P37" s="528">
        <v>1.63275724149545E-2</v>
      </c>
      <c r="Q37" s="525">
        <v>2.4623646390055701E-3</v>
      </c>
      <c r="R37" s="525">
        <v>4.1039410650092902E-2</v>
      </c>
      <c r="S37" s="525">
        <v>5.2987593497588303E-4</v>
      </c>
      <c r="T37" s="525">
        <v>8.8312655829313799E-3</v>
      </c>
      <c r="U37" s="528">
        <v>0.54719939373526405</v>
      </c>
      <c r="V37" s="528">
        <v>0.11775176827214601</v>
      </c>
      <c r="W37" s="528">
        <v>2.7706298416975399E-2</v>
      </c>
      <c r="X37" s="1193">
        <f t="shared" si="0"/>
        <v>1.0000000000000002</v>
      </c>
    </row>
    <row r="38" spans="1:24">
      <c r="A38" s="238" t="s">
        <v>2151</v>
      </c>
      <c r="B38" s="238" t="s">
        <v>2152</v>
      </c>
      <c r="C38" s="525">
        <v>6.5448320698849698E-3</v>
      </c>
      <c r="D38" s="525">
        <v>6.5448320698849698E-3</v>
      </c>
      <c r="E38" s="525">
        <v>1.4083815846587899E-3</v>
      </c>
      <c r="F38" s="525">
        <v>1.4083815846587899E-3</v>
      </c>
      <c r="G38" s="528">
        <v>0.11780697725793</v>
      </c>
      <c r="H38" s="528">
        <v>0.17671046588689401</v>
      </c>
      <c r="I38" s="528">
        <v>2.5350868523858198E-2</v>
      </c>
      <c r="J38" s="528">
        <v>3.8026302785787398E-2</v>
      </c>
      <c r="K38" s="525">
        <v>1.8007276198967E-3</v>
      </c>
      <c r="L38" s="525">
        <v>3.0012126998278401E-2</v>
      </c>
      <c r="M38" s="528">
        <v>1.1780697725792899E-2</v>
      </c>
      <c r="N38" s="528">
        <v>0.196344962096549</v>
      </c>
      <c r="O38" s="528">
        <v>2.5350868523858201E-3</v>
      </c>
      <c r="P38" s="528">
        <v>4.2251447539763697E-2</v>
      </c>
      <c r="Q38" s="525">
        <v>6.3719497133219701E-3</v>
      </c>
      <c r="R38" s="525">
        <v>0.1061991618887</v>
      </c>
      <c r="S38" s="525">
        <v>1.37117905223384E-3</v>
      </c>
      <c r="T38" s="525">
        <v>2.2852984203897399E-2</v>
      </c>
      <c r="U38" s="528">
        <v>0.16169612129104299</v>
      </c>
      <c r="V38" s="528">
        <v>3.4795367872756E-2</v>
      </c>
      <c r="W38" s="528">
        <v>8.18714538182495E-3</v>
      </c>
      <c r="X38" s="1193">
        <f t="shared" si="0"/>
        <v>1.0000000000000007</v>
      </c>
    </row>
    <row r="39" spans="1:24">
      <c r="A39" s="238" t="s">
        <v>2153</v>
      </c>
      <c r="B39" s="238" t="s">
        <v>2154</v>
      </c>
      <c r="C39" s="525">
        <v>4.9813071641784598E-3</v>
      </c>
      <c r="D39" s="525">
        <v>4.9813071641784598E-3</v>
      </c>
      <c r="E39" s="525">
        <v>1.0719268581143499E-3</v>
      </c>
      <c r="F39" s="525">
        <v>1.0719268581143499E-3</v>
      </c>
      <c r="G39" s="528">
        <v>8.9663528955212193E-2</v>
      </c>
      <c r="H39" s="528">
        <v>0.13449529343281799</v>
      </c>
      <c r="I39" s="528">
        <v>1.9294683446058301E-2</v>
      </c>
      <c r="J39" s="528">
        <v>2.8942025169087501E-2</v>
      </c>
      <c r="K39" s="525">
        <v>1.3705435522172399E-3</v>
      </c>
      <c r="L39" s="525">
        <v>2.2842392536954002E-2</v>
      </c>
      <c r="M39" s="528">
        <v>8.96635289552122E-3</v>
      </c>
      <c r="N39" s="528">
        <v>0.149439214925354</v>
      </c>
      <c r="O39" s="528">
        <v>1.9294683446058299E-3</v>
      </c>
      <c r="P39" s="528">
        <v>3.2157805743430502E-2</v>
      </c>
      <c r="Q39" s="525">
        <v>4.8497254655020397E-3</v>
      </c>
      <c r="R39" s="525">
        <v>8.0828757758367398E-2</v>
      </c>
      <c r="S39" s="525">
        <v>1.0436118090320901E-3</v>
      </c>
      <c r="T39" s="525">
        <v>1.7393530150534801E-2</v>
      </c>
      <c r="U39" s="528">
        <v>0.311794512238868</v>
      </c>
      <c r="V39" s="528">
        <v>6.7095021621022294E-2</v>
      </c>
      <c r="W39" s="528">
        <v>1.5787063910828798E-2</v>
      </c>
      <c r="X39" s="1193">
        <f t="shared" si="0"/>
        <v>0.99999999999999989</v>
      </c>
    </row>
    <row r="40" spans="1:24">
      <c r="A40" s="238" t="s">
        <v>1445</v>
      </c>
      <c r="B40" s="238" t="s">
        <v>215</v>
      </c>
      <c r="C40" s="525">
        <v>2.41667259217122E-3</v>
      </c>
      <c r="D40" s="525">
        <v>2.41667259217122E-3</v>
      </c>
      <c r="E40" s="525">
        <v>5.5769367511643601E-4</v>
      </c>
      <c r="F40" s="525">
        <v>5.5769367511643601E-4</v>
      </c>
      <c r="G40" s="528">
        <v>4.31249813611927E-2</v>
      </c>
      <c r="H40" s="528">
        <v>6.4687472041789096E-2</v>
      </c>
      <c r="I40" s="528">
        <v>9.9519187756598702E-3</v>
      </c>
      <c r="J40" s="528">
        <v>1.49278781634898E-2</v>
      </c>
      <c r="K40" s="525">
        <v>2.3794930138301301E-3</v>
      </c>
      <c r="L40" s="525">
        <v>5.7107832331923097E-2</v>
      </c>
      <c r="M40" s="528">
        <v>3.0965150551151501E-3</v>
      </c>
      <c r="N40" s="528">
        <v>7.4316361322763605E-2</v>
      </c>
      <c r="O40" s="528">
        <v>7.14580397334266E-4</v>
      </c>
      <c r="P40" s="528">
        <v>1.7149929536022401E-2</v>
      </c>
      <c r="Q40" s="525">
        <v>1.3100529633978901E-4</v>
      </c>
      <c r="R40" s="525">
        <v>3.1441271121549399E-3</v>
      </c>
      <c r="S40" s="525">
        <v>3.0231991463028399E-5</v>
      </c>
      <c r="T40" s="525">
        <v>7.2556779511268E-4</v>
      </c>
      <c r="U40" s="528">
        <v>0.45666619262630198</v>
      </c>
      <c r="V40" s="528">
        <v>0.105384505990685</v>
      </c>
      <c r="W40" s="528">
        <v>0.14051267465424699</v>
      </c>
      <c r="X40" s="1193">
        <f t="shared" si="0"/>
        <v>0.99999999999999989</v>
      </c>
    </row>
    <row r="43" spans="1:24">
      <c r="A43" s="252"/>
      <c r="B43" s="252"/>
      <c r="C43" s="57" t="s">
        <v>2192</v>
      </c>
      <c r="D43" s="252"/>
      <c r="E43" s="252"/>
      <c r="F43" s="252"/>
      <c r="G43" s="252"/>
      <c r="H43" s="252"/>
      <c r="I43" s="252"/>
      <c r="J43" s="252"/>
      <c r="K43" s="252"/>
      <c r="L43" s="252"/>
      <c r="M43" s="252"/>
      <c r="N43" s="252"/>
      <c r="O43" s="252"/>
      <c r="P43" s="252"/>
      <c r="Q43" s="252"/>
      <c r="R43" s="252"/>
      <c r="S43" s="252"/>
      <c r="T43" s="252"/>
      <c r="U43" s="252"/>
      <c r="V43" s="252"/>
      <c r="W43" s="252"/>
      <c r="X43" s="252"/>
    </row>
    <row r="44" spans="1:24">
      <c r="A44" s="252"/>
      <c r="B44" s="252"/>
      <c r="C44" s="57"/>
      <c r="D44" s="252"/>
      <c r="E44" s="252"/>
      <c r="F44" s="252"/>
      <c r="G44" s="252"/>
      <c r="H44" s="252"/>
      <c r="I44" s="252"/>
      <c r="J44" s="252"/>
      <c r="K44" s="252"/>
      <c r="L44" s="252"/>
      <c r="M44" s="252"/>
      <c r="N44" s="252"/>
      <c r="O44" s="252"/>
      <c r="P44" s="252"/>
      <c r="Q44" s="252"/>
      <c r="R44" s="252"/>
      <c r="S44" s="252"/>
      <c r="T44" s="252"/>
      <c r="U44" s="252"/>
      <c r="V44" s="252"/>
      <c r="W44" s="252"/>
      <c r="X44" s="252"/>
    </row>
    <row r="45" spans="1:24" s="72" customFormat="1" ht="38.25" customHeight="1">
      <c r="A45" s="389"/>
      <c r="B45" s="389"/>
      <c r="C45" s="71"/>
      <c r="D45" s="71" t="s">
        <v>2062</v>
      </c>
      <c r="E45" s="71" t="s">
        <v>2061</v>
      </c>
      <c r="F45" s="71" t="s">
        <v>2059</v>
      </c>
      <c r="G45" s="71" t="s">
        <v>2060</v>
      </c>
      <c r="H45" s="71" t="s">
        <v>2058</v>
      </c>
      <c r="I45" s="71" t="s">
        <v>2056</v>
      </c>
      <c r="J45" s="71" t="s">
        <v>2057</v>
      </c>
      <c r="K45" s="71" t="s">
        <v>2055</v>
      </c>
      <c r="L45" s="389"/>
      <c r="M45" s="389"/>
      <c r="N45" s="389"/>
      <c r="O45" s="389"/>
      <c r="P45" s="389"/>
      <c r="Q45" s="389"/>
      <c r="R45" s="389"/>
      <c r="S45" s="389"/>
      <c r="T45" s="389"/>
      <c r="U45" s="389"/>
      <c r="V45" s="389"/>
      <c r="W45" s="389"/>
      <c r="X45" s="389"/>
    </row>
    <row r="46" spans="1:24" ht="17.25" customHeight="1">
      <c r="A46" s="252"/>
      <c r="B46" s="252"/>
      <c r="C46" s="61" t="s">
        <v>2193</v>
      </c>
      <c r="D46" s="61" t="s">
        <v>2194</v>
      </c>
      <c r="E46" s="61" t="s">
        <v>2194</v>
      </c>
      <c r="F46" s="61" t="s">
        <v>2194</v>
      </c>
      <c r="G46" s="61" t="s">
        <v>2194</v>
      </c>
      <c r="H46" s="61" t="s">
        <v>2194</v>
      </c>
      <c r="I46" s="61" t="s">
        <v>2194</v>
      </c>
      <c r="J46" s="61" t="s">
        <v>2194</v>
      </c>
      <c r="K46" s="61" t="s">
        <v>2194</v>
      </c>
      <c r="L46" s="252"/>
      <c r="M46" s="252"/>
      <c r="N46" s="252"/>
      <c r="O46" s="252"/>
      <c r="P46" s="252"/>
      <c r="Q46" s="252"/>
      <c r="R46" s="252"/>
      <c r="S46" s="252"/>
      <c r="T46" s="252"/>
      <c r="U46" s="252"/>
      <c r="V46" s="252"/>
      <c r="W46" s="252"/>
      <c r="X46" s="252"/>
    </row>
    <row r="47" spans="1:24" ht="17.25" customHeight="1">
      <c r="A47" s="252"/>
      <c r="B47" s="252"/>
      <c r="C47" s="61" t="s">
        <v>4</v>
      </c>
      <c r="D47" s="61" t="s">
        <v>2194</v>
      </c>
      <c r="E47" s="61" t="s">
        <v>2194</v>
      </c>
      <c r="F47" s="61" t="s">
        <v>2194</v>
      </c>
      <c r="G47" s="61" t="s">
        <v>2194</v>
      </c>
      <c r="H47" s="61" t="s">
        <v>2194</v>
      </c>
      <c r="I47" s="61" t="s">
        <v>2194</v>
      </c>
      <c r="J47" s="61" t="s">
        <v>2194</v>
      </c>
      <c r="K47" s="61" t="s">
        <v>2194</v>
      </c>
      <c r="L47" s="252"/>
      <c r="M47" s="252"/>
      <c r="N47" s="252"/>
      <c r="O47" s="252"/>
      <c r="P47" s="252"/>
      <c r="Q47" s="252"/>
      <c r="R47" s="252"/>
      <c r="S47" s="252"/>
      <c r="T47" s="252"/>
      <c r="U47" s="252"/>
      <c r="V47" s="252"/>
      <c r="W47" s="252"/>
      <c r="X47" s="252"/>
    </row>
    <row r="48" spans="1:24" ht="17.25" customHeight="1">
      <c r="A48" s="252"/>
      <c r="B48" s="252"/>
      <c r="C48" s="61" t="s">
        <v>2087</v>
      </c>
      <c r="D48" s="61"/>
      <c r="E48" s="61"/>
      <c r="F48" s="61"/>
      <c r="G48" s="252"/>
      <c r="H48" s="252"/>
      <c r="I48" s="252"/>
      <c r="J48" s="61" t="s">
        <v>2194</v>
      </c>
      <c r="K48" s="61" t="s">
        <v>2194</v>
      </c>
      <c r="L48" s="252"/>
      <c r="M48" s="252"/>
      <c r="N48" s="252"/>
      <c r="O48" s="252"/>
      <c r="P48" s="252"/>
      <c r="Q48" s="252"/>
      <c r="R48" s="252"/>
      <c r="S48" s="252"/>
      <c r="T48" s="252"/>
      <c r="U48" s="252"/>
      <c r="V48" s="252"/>
      <c r="W48" s="252"/>
      <c r="X48" s="252"/>
    </row>
    <row r="49" spans="3:12" ht="17.25" customHeight="1">
      <c r="C49" s="252"/>
      <c r="D49" s="252"/>
      <c r="E49" s="252"/>
      <c r="F49" s="252"/>
      <c r="G49" s="252"/>
      <c r="H49" s="252"/>
      <c r="I49" s="252"/>
      <c r="J49" s="252"/>
      <c r="K49" s="252"/>
      <c r="L49" s="252"/>
    </row>
    <row r="50" spans="3:12" ht="17.25" customHeight="1">
      <c r="C50" s="57" t="s">
        <v>2195</v>
      </c>
      <c r="D50" s="252"/>
      <c r="E50" s="252"/>
      <c r="F50" s="252"/>
      <c r="G50" s="252"/>
      <c r="H50" s="252"/>
      <c r="I50" s="252"/>
      <c r="J50" s="252"/>
      <c r="K50" s="252"/>
      <c r="L50" s="252"/>
    </row>
    <row r="51" spans="3:12" ht="17.25" customHeight="1">
      <c r="C51" s="57"/>
      <c r="D51" s="252"/>
      <c r="E51" s="252"/>
      <c r="F51" s="252"/>
      <c r="G51" s="252"/>
      <c r="H51" s="252"/>
      <c r="I51" s="252"/>
      <c r="J51" s="252"/>
      <c r="K51" s="252"/>
      <c r="L51" s="252"/>
    </row>
    <row r="52" spans="3:12" ht="17.25" customHeight="1">
      <c r="C52" s="61" t="s">
        <v>103</v>
      </c>
      <c r="D52" s="71"/>
      <c r="E52" s="252"/>
      <c r="F52" s="61"/>
      <c r="G52" s="61"/>
      <c r="H52" s="61"/>
      <c r="I52" s="61"/>
      <c r="J52" s="61"/>
      <c r="K52" s="61"/>
      <c r="L52" s="61"/>
    </row>
    <row r="53" spans="3:12" s="72" customFormat="1" ht="48" customHeight="1">
      <c r="C53" s="71" t="s">
        <v>2196</v>
      </c>
      <c r="D53" s="71" t="s">
        <v>2062</v>
      </c>
      <c r="E53" s="71" t="s">
        <v>2061</v>
      </c>
      <c r="F53" s="71" t="s">
        <v>2059</v>
      </c>
      <c r="G53" s="71" t="s">
        <v>2060</v>
      </c>
      <c r="H53" s="71" t="s">
        <v>2058</v>
      </c>
      <c r="I53" s="71" t="s">
        <v>2056</v>
      </c>
      <c r="J53" s="71" t="s">
        <v>2057</v>
      </c>
      <c r="K53" s="71" t="s">
        <v>2055</v>
      </c>
      <c r="L53" s="71" t="s">
        <v>91</v>
      </c>
    </row>
    <row r="54" spans="3:12" ht="17.25" customHeight="1">
      <c r="C54" s="61" t="s">
        <v>2193</v>
      </c>
      <c r="D54" s="62">
        <v>8.2291666666666693E-3</v>
      </c>
      <c r="E54" s="62">
        <v>8.2291666666666693E-3</v>
      </c>
      <c r="F54" s="62">
        <v>0.14812500000000001</v>
      </c>
      <c r="G54" s="62">
        <v>0.22218750000000001</v>
      </c>
      <c r="H54" s="62">
        <v>1.4812499999999999E-2</v>
      </c>
      <c r="I54" s="62">
        <v>0.24687500000000001</v>
      </c>
      <c r="J54" s="62">
        <v>8.0117924528301902E-3</v>
      </c>
      <c r="K54" s="62">
        <v>0.133529874213836</v>
      </c>
      <c r="L54" s="62">
        <v>0.79</v>
      </c>
    </row>
    <row r="55" spans="3:12" ht="17.25" customHeight="1">
      <c r="C55" s="61" t="s">
        <v>4</v>
      </c>
      <c r="D55" s="62">
        <v>1.77083333333333E-3</v>
      </c>
      <c r="E55" s="62">
        <v>1.77083333333333E-3</v>
      </c>
      <c r="F55" s="62">
        <v>3.1875000000000001E-2</v>
      </c>
      <c r="G55" s="62">
        <v>4.7812500000000001E-2</v>
      </c>
      <c r="H55" s="62">
        <v>3.1874999999999998E-3</v>
      </c>
      <c r="I55" s="62">
        <v>5.3124999999999999E-2</v>
      </c>
      <c r="J55" s="62">
        <v>1.72405660377359E-3</v>
      </c>
      <c r="K55" s="62">
        <v>2.8734276729559801E-2</v>
      </c>
      <c r="L55" s="62">
        <v>0.17</v>
      </c>
    </row>
    <row r="56" spans="3:12" ht="17.25" customHeight="1">
      <c r="C56" s="61" t="s">
        <v>2087</v>
      </c>
      <c r="D56" s="62"/>
      <c r="E56" s="62"/>
      <c r="F56" s="62"/>
      <c r="G56" s="252"/>
      <c r="H56" s="252"/>
      <c r="I56" s="252"/>
      <c r="J56" s="62">
        <v>2.26415094339623E-3</v>
      </c>
      <c r="K56" s="62">
        <v>3.77358490566038E-2</v>
      </c>
      <c r="L56" s="62">
        <v>0.04</v>
      </c>
    </row>
    <row r="57" spans="3:12" ht="17.25" customHeight="1">
      <c r="C57" s="61" t="s">
        <v>91</v>
      </c>
      <c r="D57" s="62">
        <v>0.01</v>
      </c>
      <c r="E57" s="62">
        <v>0.01</v>
      </c>
      <c r="F57" s="62">
        <v>0.18</v>
      </c>
      <c r="G57" s="62">
        <v>0.27</v>
      </c>
      <c r="H57" s="62">
        <v>1.7999999999999999E-2</v>
      </c>
      <c r="I57" s="62">
        <v>0.3</v>
      </c>
      <c r="J57" s="62">
        <v>1.2E-2</v>
      </c>
      <c r="K57" s="62">
        <v>0.2</v>
      </c>
      <c r="L57" s="62">
        <f>SUM(D54:K56)</f>
        <v>0.99999999999999956</v>
      </c>
    </row>
    <row r="58" spans="3:12" ht="17.25" customHeight="1">
      <c r="C58" s="61" t="s">
        <v>2170</v>
      </c>
      <c r="D58" s="62">
        <f t="shared" ref="D58:K58" si="1">SUM(D54:D56)/D57</f>
        <v>0.99999999999999978</v>
      </c>
      <c r="E58" s="62">
        <f t="shared" si="1"/>
        <v>0.99999999999999978</v>
      </c>
      <c r="F58" s="62">
        <f t="shared" si="1"/>
        <v>1</v>
      </c>
      <c r="G58" s="62">
        <f t="shared" si="1"/>
        <v>1</v>
      </c>
      <c r="H58" s="62">
        <f t="shared" si="1"/>
        <v>1</v>
      </c>
      <c r="I58" s="62">
        <f t="shared" si="1"/>
        <v>1</v>
      </c>
      <c r="J58" s="62">
        <f t="shared" si="1"/>
        <v>1.0000000000000009</v>
      </c>
      <c r="K58" s="62">
        <f t="shared" si="1"/>
        <v>0.99999999999999789</v>
      </c>
      <c r="L58" s="252"/>
    </row>
  </sheetData>
  <mergeCells count="9">
    <mergeCell ref="X5:X7"/>
    <mergeCell ref="M5:P5"/>
    <mergeCell ref="A5:A7"/>
    <mergeCell ref="B5:B7"/>
    <mergeCell ref="Q5:T5"/>
    <mergeCell ref="K5:L5"/>
    <mergeCell ref="U5:W5"/>
    <mergeCell ref="C5:F5"/>
    <mergeCell ref="G5:J5"/>
  </mergeCells>
  <conditionalFormatting sqref="C8:W40">
    <cfRule type="cellIs" dxfId="52" priority="1" operator="lessThan">
      <formula>0</formula>
    </cfRule>
  </conditionalFormatting>
  <conditionalFormatting sqref="D58:K58">
    <cfRule type="cellIs" dxfId="51" priority="17" operator="lessThan">
      <formula>1</formula>
    </cfRule>
    <cfRule type="cellIs" dxfId="50" priority="18" operator="greaterThan">
      <formula>1</formula>
    </cfRule>
    <cfRule type="cellIs" dxfId="49" priority="19" operator="equal">
      <formula>1</formula>
    </cfRule>
  </conditionalFormatting>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0">
    <tabColor rgb="FF9CD9F0"/>
    <pageSetUpPr fitToPage="1"/>
  </sheetPr>
  <dimension ref="A1:AI13"/>
  <sheetViews>
    <sheetView showGridLines="0" workbookViewId="0">
      <selection activeCell="L9" sqref="L9"/>
    </sheetView>
  </sheetViews>
  <sheetFormatPr baseColWidth="10" defaultColWidth="11.42578125" defaultRowHeight="12" outlineLevelCol="1"/>
  <cols>
    <col min="1" max="1" width="11.42578125" style="45" customWidth="1"/>
    <col min="2" max="2" width="16" style="47" customWidth="1"/>
    <col min="3" max="3" width="3.7109375" style="48" hidden="1" customWidth="1" outlineLevel="1"/>
    <col min="4" max="4" width="4.140625" style="45" hidden="1" customWidth="1" outlineLevel="1"/>
    <col min="5" max="5" width="4" style="45" hidden="1" customWidth="1" outlineLevel="1"/>
    <col min="6" max="6" width="48.140625" style="45" customWidth="1" collapsed="1"/>
    <col min="7" max="7" width="9.42578125" style="45" customWidth="1"/>
    <col min="8" max="8" width="8.28515625" style="45" hidden="1" customWidth="1" outlineLevel="1"/>
    <col min="9" max="9" width="19.5703125" style="45" hidden="1" customWidth="1" outlineLevel="1"/>
    <col min="10" max="10" width="2.7109375" style="45" customWidth="1" collapsed="1"/>
    <col min="11" max="11" width="5.140625" style="45" customWidth="1"/>
    <col min="12" max="12" width="14" style="45" customWidth="1"/>
    <col min="13" max="13" width="3.5703125" style="37" hidden="1" customWidth="1" outlineLevel="1"/>
    <col min="14" max="14" width="6.5703125" style="37" hidden="1" customWidth="1" outlineLevel="1"/>
    <col min="15" max="16" width="30.42578125" style="37" hidden="1" customWidth="1" outlineLevel="1"/>
    <col min="17" max="17" width="21.5703125" style="391" customWidth="1" collapsed="1"/>
    <col min="18" max="18" width="20.28515625" style="391" bestFit="1" customWidth="1"/>
    <col min="19" max="19" width="12.140625" style="391" bestFit="1" customWidth="1"/>
    <col min="20" max="20" width="41.5703125" style="391" bestFit="1" customWidth="1"/>
    <col min="21" max="21" width="3.28515625" style="391" bestFit="1" customWidth="1"/>
    <col min="22" max="22" width="3" style="391" bestFit="1" customWidth="1"/>
    <col min="23" max="23" width="3.5703125" style="391" bestFit="1" customWidth="1"/>
    <col min="24" max="24" width="6.85546875" style="391" hidden="1" customWidth="1" outlineLevel="1"/>
    <col min="25" max="25" width="4.7109375" style="45" hidden="1" customWidth="1" outlineLevel="1"/>
    <col min="26" max="27" width="5.42578125" style="45" hidden="1" customWidth="1" outlineLevel="1"/>
    <col min="28" max="28" width="14.42578125" style="45" hidden="1" customWidth="1" outlineLevel="1"/>
    <col min="29" max="29" width="4.42578125" style="45" hidden="1" customWidth="1" outlineLevel="1"/>
    <col min="30" max="30" width="5.85546875" style="45" hidden="1" customWidth="1" outlineLevel="1"/>
    <col min="31" max="31" width="5.5703125" style="45" hidden="1" customWidth="1" outlineLevel="1"/>
    <col min="32" max="32" width="4.42578125" style="45" hidden="1" customWidth="1" outlineLevel="1"/>
    <col min="33" max="33" width="4.85546875" style="45" hidden="1" customWidth="1" outlineLevel="1"/>
    <col min="34" max="34" width="5.7109375" style="45" hidden="1" customWidth="1" outlineLevel="1"/>
    <col min="35" max="35" width="11.42578125" style="45" customWidth="1" collapsed="1"/>
    <col min="36" max="258" width="11.42578125" style="45" customWidth="1"/>
    <col min="259" max="259" width="16" style="45" customWidth="1"/>
    <col min="260" max="262" width="0" style="45" hidden="1"/>
    <col min="263" max="263" width="48.140625" style="45" customWidth="1"/>
    <col min="264" max="264" width="9.42578125" style="45" customWidth="1"/>
    <col min="265" max="266" width="0" style="45" hidden="1"/>
    <col min="267" max="267" width="2.7109375" style="45" customWidth="1"/>
    <col min="268" max="268" width="5.140625" style="45" customWidth="1"/>
    <col min="269" max="269" width="14" style="45" customWidth="1"/>
    <col min="270" max="270" width="3.5703125" style="45" customWidth="1"/>
    <col min="271" max="271" width="6.5703125" style="45" customWidth="1"/>
    <col min="272" max="272" width="30.42578125" style="45" customWidth="1"/>
    <col min="273" max="273" width="21.5703125" style="45" customWidth="1"/>
    <col min="274" max="274" width="6.85546875" style="45" customWidth="1"/>
    <col min="275" max="275" width="10" style="45" customWidth="1"/>
    <col min="276" max="276" width="5.5703125" style="45" customWidth="1"/>
    <col min="277" max="277" width="4" style="45" customWidth="1"/>
    <col min="278" max="278" width="3.7109375" style="45" customWidth="1"/>
    <col min="279" max="279" width="4.28515625" style="45" customWidth="1"/>
    <col min="280" max="280" width="3.42578125" style="45" customWidth="1"/>
    <col min="281" max="281" width="4.7109375" style="45" customWidth="1"/>
    <col min="282" max="283" width="5.42578125" style="45" customWidth="1"/>
    <col min="284" max="284" width="10.28515625" style="45" customWidth="1"/>
    <col min="285" max="285" width="4.42578125" style="45" customWidth="1"/>
    <col min="286" max="286" width="4.28515625" style="45" customWidth="1"/>
    <col min="287" max="287" width="4" style="45" customWidth="1"/>
    <col min="288" max="288" width="4.42578125" style="45" customWidth="1"/>
    <col min="289" max="289" width="3.85546875" style="45" customWidth="1"/>
    <col min="290" max="290" width="4.28515625" style="45" customWidth="1"/>
    <col min="291" max="514" width="11.42578125" style="45" customWidth="1"/>
    <col min="515" max="515" width="16" style="45" customWidth="1"/>
    <col min="516" max="518" width="0" style="45" hidden="1"/>
    <col min="519" max="519" width="48.140625" style="45" customWidth="1"/>
    <col min="520" max="520" width="9.42578125" style="45" customWidth="1"/>
    <col min="521" max="522" width="0" style="45" hidden="1"/>
    <col min="523" max="523" width="2.7109375" style="45" customWidth="1"/>
    <col min="524" max="524" width="5.140625" style="45" customWidth="1"/>
    <col min="525" max="525" width="14" style="45" customWidth="1"/>
    <col min="526" max="526" width="3.5703125" style="45" customWidth="1"/>
    <col min="527" max="527" width="6.5703125" style="45" customWidth="1"/>
    <col min="528" max="528" width="30.42578125" style="45" customWidth="1"/>
    <col min="529" max="529" width="21.5703125" style="45" customWidth="1"/>
    <col min="530" max="530" width="6.85546875" style="45" customWidth="1"/>
    <col min="531" max="531" width="10" style="45" customWidth="1"/>
    <col min="532" max="532" width="5.5703125" style="45" customWidth="1"/>
    <col min="533" max="533" width="4" style="45" customWidth="1"/>
    <col min="534" max="534" width="3.7109375" style="45" customWidth="1"/>
    <col min="535" max="535" width="4.28515625" style="45" customWidth="1"/>
    <col min="536" max="536" width="3.42578125" style="45" customWidth="1"/>
    <col min="537" max="537" width="4.7109375" style="45" customWidth="1"/>
    <col min="538" max="539" width="5.42578125" style="45" customWidth="1"/>
    <col min="540" max="540" width="10.28515625" style="45" customWidth="1"/>
    <col min="541" max="541" width="4.42578125" style="45" customWidth="1"/>
    <col min="542" max="542" width="4.28515625" style="45" customWidth="1"/>
    <col min="543" max="543" width="4" style="45" customWidth="1"/>
    <col min="544" max="544" width="4.42578125" style="45" customWidth="1"/>
    <col min="545" max="545" width="3.85546875" style="45" customWidth="1"/>
    <col min="546" max="546" width="4.28515625" style="45" customWidth="1"/>
    <col min="547" max="770" width="11.42578125" style="45" customWidth="1"/>
    <col min="771" max="771" width="16" style="45" customWidth="1"/>
    <col min="772" max="774" width="0" style="45" hidden="1"/>
    <col min="775" max="775" width="48.140625" style="45" customWidth="1"/>
    <col min="776" max="776" width="9.42578125" style="45" customWidth="1"/>
    <col min="777" max="778" width="0" style="45" hidden="1"/>
    <col min="779" max="779" width="2.7109375" style="45" customWidth="1"/>
    <col min="780" max="780" width="5.140625" style="45" customWidth="1"/>
    <col min="781" max="781" width="14" style="45" customWidth="1"/>
    <col min="782" max="782" width="3.5703125" style="45" customWidth="1"/>
    <col min="783" max="783" width="6.5703125" style="45" customWidth="1"/>
    <col min="784" max="784" width="30.42578125" style="45" customWidth="1"/>
    <col min="785" max="785" width="21.5703125" style="45" customWidth="1"/>
    <col min="786" max="786" width="6.85546875" style="45" customWidth="1"/>
    <col min="787" max="787" width="10" style="45" customWidth="1"/>
    <col min="788" max="788" width="5.5703125" style="45" customWidth="1"/>
    <col min="789" max="789" width="4" style="45" customWidth="1"/>
    <col min="790" max="790" width="3.7109375" style="45" customWidth="1"/>
    <col min="791" max="791" width="4.28515625" style="45" customWidth="1"/>
    <col min="792" max="792" width="3.42578125" style="45" customWidth="1"/>
    <col min="793" max="793" width="4.7109375" style="45" customWidth="1"/>
    <col min="794" max="795" width="5.42578125" style="45" customWidth="1"/>
    <col min="796" max="796" width="10.28515625" style="45" customWidth="1"/>
    <col min="797" max="797" width="4.42578125" style="45" customWidth="1"/>
    <col min="798" max="798" width="4.28515625" style="45" customWidth="1"/>
    <col min="799" max="799" width="4" style="45" customWidth="1"/>
    <col min="800" max="800" width="4.42578125" style="45" customWidth="1"/>
    <col min="801" max="801" width="3.85546875" style="45" customWidth="1"/>
    <col min="802" max="802" width="4.28515625" style="45" customWidth="1"/>
    <col min="803" max="1026" width="11.42578125" style="45" customWidth="1"/>
    <col min="1027" max="1027" width="16" style="45" customWidth="1"/>
    <col min="1028" max="1030" width="0" style="45" hidden="1"/>
    <col min="1031" max="1031" width="48.140625" style="45" customWidth="1"/>
    <col min="1032" max="1032" width="9.42578125" style="45" customWidth="1"/>
    <col min="1033" max="1034" width="0" style="45" hidden="1"/>
    <col min="1035" max="1035" width="2.7109375" style="45" customWidth="1"/>
    <col min="1036" max="1036" width="5.140625" style="45" customWidth="1"/>
    <col min="1037" max="1037" width="14" style="45" customWidth="1"/>
    <col min="1038" max="1038" width="3.5703125" style="45" customWidth="1"/>
    <col min="1039" max="1039" width="6.5703125" style="45" customWidth="1"/>
    <col min="1040" max="1040" width="30.42578125" style="45" customWidth="1"/>
    <col min="1041" max="1041" width="21.5703125" style="45" customWidth="1"/>
    <col min="1042" max="1042" width="6.85546875" style="45" customWidth="1"/>
    <col min="1043" max="1043" width="10" style="45" customWidth="1"/>
    <col min="1044" max="1044" width="5.5703125" style="45" customWidth="1"/>
    <col min="1045" max="1045" width="4" style="45" customWidth="1"/>
    <col min="1046" max="1046" width="3.7109375" style="45" customWidth="1"/>
    <col min="1047" max="1047" width="4.28515625" style="45" customWidth="1"/>
    <col min="1048" max="1048" width="3.42578125" style="45" customWidth="1"/>
    <col min="1049" max="1049" width="4.7109375" style="45" customWidth="1"/>
    <col min="1050" max="1051" width="5.42578125" style="45" customWidth="1"/>
    <col min="1052" max="1052" width="10.28515625" style="45" customWidth="1"/>
    <col min="1053" max="1053" width="4.42578125" style="45" customWidth="1"/>
    <col min="1054" max="1054" width="4.28515625" style="45" customWidth="1"/>
    <col min="1055" max="1055" width="4" style="45" customWidth="1"/>
    <col min="1056" max="1056" width="4.42578125" style="45" customWidth="1"/>
    <col min="1057" max="1057" width="3.85546875" style="45" customWidth="1"/>
    <col min="1058" max="1058" width="4.28515625" style="45" customWidth="1"/>
    <col min="1059" max="1282" width="11.42578125" style="45" customWidth="1"/>
    <col min="1283" max="1283" width="16" style="45" customWidth="1"/>
    <col min="1284" max="1286" width="0" style="45" hidden="1"/>
    <col min="1287" max="1287" width="48.140625" style="45" customWidth="1"/>
    <col min="1288" max="1288" width="9.42578125" style="45" customWidth="1"/>
    <col min="1289" max="1290" width="0" style="45" hidden="1"/>
    <col min="1291" max="1291" width="2.7109375" style="45" customWidth="1"/>
    <col min="1292" max="1292" width="5.140625" style="45" customWidth="1"/>
    <col min="1293" max="1293" width="14" style="45" customWidth="1"/>
    <col min="1294" max="1294" width="3.5703125" style="45" customWidth="1"/>
    <col min="1295" max="1295" width="6.5703125" style="45" customWidth="1"/>
    <col min="1296" max="1296" width="30.42578125" style="45" customWidth="1"/>
    <col min="1297" max="1297" width="21.5703125" style="45" customWidth="1"/>
    <col min="1298" max="1298" width="6.85546875" style="45" customWidth="1"/>
    <col min="1299" max="1299" width="10" style="45" customWidth="1"/>
    <col min="1300" max="1300" width="5.5703125" style="45" customWidth="1"/>
    <col min="1301" max="1301" width="4" style="45" customWidth="1"/>
    <col min="1302" max="1302" width="3.7109375" style="45" customWidth="1"/>
    <col min="1303" max="1303" width="4.28515625" style="45" customWidth="1"/>
    <col min="1304" max="1304" width="3.42578125" style="45" customWidth="1"/>
    <col min="1305" max="1305" width="4.7109375" style="45" customWidth="1"/>
    <col min="1306" max="1307" width="5.42578125" style="45" customWidth="1"/>
    <col min="1308" max="1308" width="10.28515625" style="45" customWidth="1"/>
    <col min="1309" max="1309" width="4.42578125" style="45" customWidth="1"/>
    <col min="1310" max="1310" width="4.28515625" style="45" customWidth="1"/>
    <col min="1311" max="1311" width="4" style="45" customWidth="1"/>
    <col min="1312" max="1312" width="4.42578125" style="45" customWidth="1"/>
    <col min="1313" max="1313" width="3.85546875" style="45" customWidth="1"/>
    <col min="1314" max="1314" width="4.28515625" style="45" customWidth="1"/>
    <col min="1315" max="1538" width="11.42578125" style="45" customWidth="1"/>
    <col min="1539" max="1539" width="16" style="45" customWidth="1"/>
    <col min="1540" max="1542" width="0" style="45" hidden="1"/>
    <col min="1543" max="1543" width="48.140625" style="45" customWidth="1"/>
    <col min="1544" max="1544" width="9.42578125" style="45" customWidth="1"/>
    <col min="1545" max="1546" width="0" style="45" hidden="1"/>
    <col min="1547" max="1547" width="2.7109375" style="45" customWidth="1"/>
    <col min="1548" max="1548" width="5.140625" style="45" customWidth="1"/>
    <col min="1549" max="1549" width="14" style="45" customWidth="1"/>
    <col min="1550" max="1550" width="3.5703125" style="45" customWidth="1"/>
    <col min="1551" max="1551" width="6.5703125" style="45" customWidth="1"/>
    <col min="1552" max="1552" width="30.42578125" style="45" customWidth="1"/>
    <col min="1553" max="1553" width="21.5703125" style="45" customWidth="1"/>
    <col min="1554" max="1554" width="6.85546875" style="45" customWidth="1"/>
    <col min="1555" max="1555" width="10" style="45" customWidth="1"/>
    <col min="1556" max="1556" width="5.5703125" style="45" customWidth="1"/>
    <col min="1557" max="1557" width="4" style="45" customWidth="1"/>
    <col min="1558" max="1558" width="3.7109375" style="45" customWidth="1"/>
    <col min="1559" max="1559" width="4.28515625" style="45" customWidth="1"/>
    <col min="1560" max="1560" width="3.42578125" style="45" customWidth="1"/>
    <col min="1561" max="1561" width="4.7109375" style="45" customWidth="1"/>
    <col min="1562" max="1563" width="5.42578125" style="45" customWidth="1"/>
    <col min="1564" max="1564" width="10.28515625" style="45" customWidth="1"/>
    <col min="1565" max="1565" width="4.42578125" style="45" customWidth="1"/>
    <col min="1566" max="1566" width="4.28515625" style="45" customWidth="1"/>
    <col min="1567" max="1567" width="4" style="45" customWidth="1"/>
    <col min="1568" max="1568" width="4.42578125" style="45" customWidth="1"/>
    <col min="1569" max="1569" width="3.85546875" style="45" customWidth="1"/>
    <col min="1570" max="1570" width="4.28515625" style="45" customWidth="1"/>
    <col min="1571" max="1794" width="11.42578125" style="45" customWidth="1"/>
    <col min="1795" max="1795" width="16" style="45" customWidth="1"/>
    <col min="1796" max="1798" width="0" style="45" hidden="1"/>
    <col min="1799" max="1799" width="48.140625" style="45" customWidth="1"/>
    <col min="1800" max="1800" width="9.42578125" style="45" customWidth="1"/>
    <col min="1801" max="1802" width="0" style="45" hidden="1"/>
    <col min="1803" max="1803" width="2.7109375" style="45" customWidth="1"/>
    <col min="1804" max="1804" width="5.140625" style="45" customWidth="1"/>
    <col min="1805" max="1805" width="14" style="45" customWidth="1"/>
    <col min="1806" max="1806" width="3.5703125" style="45" customWidth="1"/>
    <col min="1807" max="1807" width="6.5703125" style="45" customWidth="1"/>
    <col min="1808" max="1808" width="30.42578125" style="45" customWidth="1"/>
    <col min="1809" max="1809" width="21.5703125" style="45" customWidth="1"/>
    <col min="1810" max="1810" width="6.85546875" style="45" customWidth="1"/>
    <col min="1811" max="1811" width="10" style="45" customWidth="1"/>
    <col min="1812" max="1812" width="5.5703125" style="45" customWidth="1"/>
    <col min="1813" max="1813" width="4" style="45" customWidth="1"/>
    <col min="1814" max="1814" width="3.7109375" style="45" customWidth="1"/>
    <col min="1815" max="1815" width="4.28515625" style="45" customWidth="1"/>
    <col min="1816" max="1816" width="3.42578125" style="45" customWidth="1"/>
    <col min="1817" max="1817" width="4.7109375" style="45" customWidth="1"/>
    <col min="1818" max="1819" width="5.42578125" style="45" customWidth="1"/>
    <col min="1820" max="1820" width="10.28515625" style="45" customWidth="1"/>
    <col min="1821" max="1821" width="4.42578125" style="45" customWidth="1"/>
    <col min="1822" max="1822" width="4.28515625" style="45" customWidth="1"/>
    <col min="1823" max="1823" width="4" style="45" customWidth="1"/>
    <col min="1824" max="1824" width="4.42578125" style="45" customWidth="1"/>
    <col min="1825" max="1825" width="3.85546875" style="45" customWidth="1"/>
    <col min="1826" max="1826" width="4.28515625" style="45" customWidth="1"/>
    <col min="1827" max="2050" width="11.42578125" style="45" customWidth="1"/>
    <col min="2051" max="2051" width="16" style="45" customWidth="1"/>
    <col min="2052" max="2054" width="0" style="45" hidden="1"/>
    <col min="2055" max="2055" width="48.140625" style="45" customWidth="1"/>
    <col min="2056" max="2056" width="9.42578125" style="45" customWidth="1"/>
    <col min="2057" max="2058" width="0" style="45" hidden="1"/>
    <col min="2059" max="2059" width="2.7109375" style="45" customWidth="1"/>
    <col min="2060" max="2060" width="5.140625" style="45" customWidth="1"/>
    <col min="2061" max="2061" width="14" style="45" customWidth="1"/>
    <col min="2062" max="2062" width="3.5703125" style="45" customWidth="1"/>
    <col min="2063" max="2063" width="6.5703125" style="45" customWidth="1"/>
    <col min="2064" max="2064" width="30.42578125" style="45" customWidth="1"/>
    <col min="2065" max="2065" width="21.5703125" style="45" customWidth="1"/>
    <col min="2066" max="2066" width="6.85546875" style="45" customWidth="1"/>
    <col min="2067" max="2067" width="10" style="45" customWidth="1"/>
    <col min="2068" max="2068" width="5.5703125" style="45" customWidth="1"/>
    <col min="2069" max="2069" width="4" style="45" customWidth="1"/>
    <col min="2070" max="2070" width="3.7109375" style="45" customWidth="1"/>
    <col min="2071" max="2071" width="4.28515625" style="45" customWidth="1"/>
    <col min="2072" max="2072" width="3.42578125" style="45" customWidth="1"/>
    <col min="2073" max="2073" width="4.7109375" style="45" customWidth="1"/>
    <col min="2074" max="2075" width="5.42578125" style="45" customWidth="1"/>
    <col min="2076" max="2076" width="10.28515625" style="45" customWidth="1"/>
    <col min="2077" max="2077" width="4.42578125" style="45" customWidth="1"/>
    <col min="2078" max="2078" width="4.28515625" style="45" customWidth="1"/>
    <col min="2079" max="2079" width="4" style="45" customWidth="1"/>
    <col min="2080" max="2080" width="4.42578125" style="45" customWidth="1"/>
    <col min="2081" max="2081" width="3.85546875" style="45" customWidth="1"/>
    <col min="2082" max="2082" width="4.28515625" style="45" customWidth="1"/>
    <col min="2083" max="2306" width="11.42578125" style="45" customWidth="1"/>
    <col min="2307" max="2307" width="16" style="45" customWidth="1"/>
    <col min="2308" max="2310" width="0" style="45" hidden="1"/>
    <col min="2311" max="2311" width="48.140625" style="45" customWidth="1"/>
    <col min="2312" max="2312" width="9.42578125" style="45" customWidth="1"/>
    <col min="2313" max="2314" width="0" style="45" hidden="1"/>
    <col min="2315" max="2315" width="2.7109375" style="45" customWidth="1"/>
    <col min="2316" max="2316" width="5.140625" style="45" customWidth="1"/>
    <col min="2317" max="2317" width="14" style="45" customWidth="1"/>
    <col min="2318" max="2318" width="3.5703125" style="45" customWidth="1"/>
    <col min="2319" max="2319" width="6.5703125" style="45" customWidth="1"/>
    <col min="2320" max="2320" width="30.42578125" style="45" customWidth="1"/>
    <col min="2321" max="2321" width="21.5703125" style="45" customWidth="1"/>
    <col min="2322" max="2322" width="6.85546875" style="45" customWidth="1"/>
    <col min="2323" max="2323" width="10" style="45" customWidth="1"/>
    <col min="2324" max="2324" width="5.5703125" style="45" customWidth="1"/>
    <col min="2325" max="2325" width="4" style="45" customWidth="1"/>
    <col min="2326" max="2326" width="3.7109375" style="45" customWidth="1"/>
    <col min="2327" max="2327" width="4.28515625" style="45" customWidth="1"/>
    <col min="2328" max="2328" width="3.42578125" style="45" customWidth="1"/>
    <col min="2329" max="2329" width="4.7109375" style="45" customWidth="1"/>
    <col min="2330" max="2331" width="5.42578125" style="45" customWidth="1"/>
    <col min="2332" max="2332" width="10.28515625" style="45" customWidth="1"/>
    <col min="2333" max="2333" width="4.42578125" style="45" customWidth="1"/>
    <col min="2334" max="2334" width="4.28515625" style="45" customWidth="1"/>
    <col min="2335" max="2335" width="4" style="45" customWidth="1"/>
    <col min="2336" max="2336" width="4.42578125" style="45" customWidth="1"/>
    <col min="2337" max="2337" width="3.85546875" style="45" customWidth="1"/>
    <col min="2338" max="2338" width="4.28515625" style="45" customWidth="1"/>
    <col min="2339" max="2562" width="11.42578125" style="45" customWidth="1"/>
    <col min="2563" max="2563" width="16" style="45" customWidth="1"/>
    <col min="2564" max="2566" width="0" style="45" hidden="1"/>
    <col min="2567" max="2567" width="48.140625" style="45" customWidth="1"/>
    <col min="2568" max="2568" width="9.42578125" style="45" customWidth="1"/>
    <col min="2569" max="2570" width="0" style="45" hidden="1"/>
    <col min="2571" max="2571" width="2.7109375" style="45" customWidth="1"/>
    <col min="2572" max="2572" width="5.140625" style="45" customWidth="1"/>
    <col min="2573" max="2573" width="14" style="45" customWidth="1"/>
    <col min="2574" max="2574" width="3.5703125" style="45" customWidth="1"/>
    <col min="2575" max="2575" width="6.5703125" style="45" customWidth="1"/>
    <col min="2576" max="2576" width="30.42578125" style="45" customWidth="1"/>
    <col min="2577" max="2577" width="21.5703125" style="45" customWidth="1"/>
    <col min="2578" max="2578" width="6.85546875" style="45" customWidth="1"/>
    <col min="2579" max="2579" width="10" style="45" customWidth="1"/>
    <col min="2580" max="2580" width="5.5703125" style="45" customWidth="1"/>
    <col min="2581" max="2581" width="4" style="45" customWidth="1"/>
    <col min="2582" max="2582" width="3.7109375" style="45" customWidth="1"/>
    <col min="2583" max="2583" width="4.28515625" style="45" customWidth="1"/>
    <col min="2584" max="2584" width="3.42578125" style="45" customWidth="1"/>
    <col min="2585" max="2585" width="4.7109375" style="45" customWidth="1"/>
    <col min="2586" max="2587" width="5.42578125" style="45" customWidth="1"/>
    <col min="2588" max="2588" width="10.28515625" style="45" customWidth="1"/>
    <col min="2589" max="2589" width="4.42578125" style="45" customWidth="1"/>
    <col min="2590" max="2590" width="4.28515625" style="45" customWidth="1"/>
    <col min="2591" max="2591" width="4" style="45" customWidth="1"/>
    <col min="2592" max="2592" width="4.42578125" style="45" customWidth="1"/>
    <col min="2593" max="2593" width="3.85546875" style="45" customWidth="1"/>
    <col min="2594" max="2594" width="4.28515625" style="45" customWidth="1"/>
    <col min="2595" max="2818" width="11.42578125" style="45" customWidth="1"/>
    <col min="2819" max="2819" width="16" style="45" customWidth="1"/>
    <col min="2820" max="2822" width="0" style="45" hidden="1"/>
    <col min="2823" max="2823" width="48.140625" style="45" customWidth="1"/>
    <col min="2824" max="2824" width="9.42578125" style="45" customWidth="1"/>
    <col min="2825" max="2826" width="0" style="45" hidden="1"/>
    <col min="2827" max="2827" width="2.7109375" style="45" customWidth="1"/>
    <col min="2828" max="2828" width="5.140625" style="45" customWidth="1"/>
    <col min="2829" max="2829" width="14" style="45" customWidth="1"/>
    <col min="2830" max="2830" width="3.5703125" style="45" customWidth="1"/>
    <col min="2831" max="2831" width="6.5703125" style="45" customWidth="1"/>
    <col min="2832" max="2832" width="30.42578125" style="45" customWidth="1"/>
    <col min="2833" max="2833" width="21.5703125" style="45" customWidth="1"/>
    <col min="2834" max="2834" width="6.85546875" style="45" customWidth="1"/>
    <col min="2835" max="2835" width="10" style="45" customWidth="1"/>
    <col min="2836" max="2836" width="5.5703125" style="45" customWidth="1"/>
    <col min="2837" max="2837" width="4" style="45" customWidth="1"/>
    <col min="2838" max="2838" width="3.7109375" style="45" customWidth="1"/>
    <col min="2839" max="2839" width="4.28515625" style="45" customWidth="1"/>
    <col min="2840" max="2840" width="3.42578125" style="45" customWidth="1"/>
    <col min="2841" max="2841" width="4.7109375" style="45" customWidth="1"/>
    <col min="2842" max="2843" width="5.42578125" style="45" customWidth="1"/>
    <col min="2844" max="2844" width="10.28515625" style="45" customWidth="1"/>
    <col min="2845" max="2845" width="4.42578125" style="45" customWidth="1"/>
    <col min="2846" max="2846" width="4.28515625" style="45" customWidth="1"/>
    <col min="2847" max="2847" width="4" style="45" customWidth="1"/>
    <col min="2848" max="2848" width="4.42578125" style="45" customWidth="1"/>
    <col min="2849" max="2849" width="3.85546875" style="45" customWidth="1"/>
    <col min="2850" max="2850" width="4.28515625" style="45" customWidth="1"/>
    <col min="2851" max="3074" width="11.42578125" style="45" customWidth="1"/>
    <col min="3075" max="3075" width="16" style="45" customWidth="1"/>
    <col min="3076" max="3078" width="0" style="45" hidden="1"/>
    <col min="3079" max="3079" width="48.140625" style="45" customWidth="1"/>
    <col min="3080" max="3080" width="9.42578125" style="45" customWidth="1"/>
    <col min="3081" max="3082" width="0" style="45" hidden="1"/>
    <col min="3083" max="3083" width="2.7109375" style="45" customWidth="1"/>
    <col min="3084" max="3084" width="5.140625" style="45" customWidth="1"/>
    <col min="3085" max="3085" width="14" style="45" customWidth="1"/>
    <col min="3086" max="3086" width="3.5703125" style="45" customWidth="1"/>
    <col min="3087" max="3087" width="6.5703125" style="45" customWidth="1"/>
    <col min="3088" max="3088" width="30.42578125" style="45" customWidth="1"/>
    <col min="3089" max="3089" width="21.5703125" style="45" customWidth="1"/>
    <col min="3090" max="3090" width="6.85546875" style="45" customWidth="1"/>
    <col min="3091" max="3091" width="10" style="45" customWidth="1"/>
    <col min="3092" max="3092" width="5.5703125" style="45" customWidth="1"/>
    <col min="3093" max="3093" width="4" style="45" customWidth="1"/>
    <col min="3094" max="3094" width="3.7109375" style="45" customWidth="1"/>
    <col min="3095" max="3095" width="4.28515625" style="45" customWidth="1"/>
    <col min="3096" max="3096" width="3.42578125" style="45" customWidth="1"/>
    <col min="3097" max="3097" width="4.7109375" style="45" customWidth="1"/>
    <col min="3098" max="3099" width="5.42578125" style="45" customWidth="1"/>
    <col min="3100" max="3100" width="10.28515625" style="45" customWidth="1"/>
    <col min="3101" max="3101" width="4.42578125" style="45" customWidth="1"/>
    <col min="3102" max="3102" width="4.28515625" style="45" customWidth="1"/>
    <col min="3103" max="3103" width="4" style="45" customWidth="1"/>
    <col min="3104" max="3104" width="4.42578125" style="45" customWidth="1"/>
    <col min="3105" max="3105" width="3.85546875" style="45" customWidth="1"/>
    <col min="3106" max="3106" width="4.28515625" style="45" customWidth="1"/>
    <col min="3107" max="3330" width="11.42578125" style="45" customWidth="1"/>
    <col min="3331" max="3331" width="16" style="45" customWidth="1"/>
    <col min="3332" max="3334" width="0" style="45" hidden="1"/>
    <col min="3335" max="3335" width="48.140625" style="45" customWidth="1"/>
    <col min="3336" max="3336" width="9.42578125" style="45" customWidth="1"/>
    <col min="3337" max="3338" width="0" style="45" hidden="1"/>
    <col min="3339" max="3339" width="2.7109375" style="45" customWidth="1"/>
    <col min="3340" max="3340" width="5.140625" style="45" customWidth="1"/>
    <col min="3341" max="3341" width="14" style="45" customWidth="1"/>
    <col min="3342" max="3342" width="3.5703125" style="45" customWidth="1"/>
    <col min="3343" max="3343" width="6.5703125" style="45" customWidth="1"/>
    <col min="3344" max="3344" width="30.42578125" style="45" customWidth="1"/>
    <col min="3345" max="3345" width="21.5703125" style="45" customWidth="1"/>
    <col min="3346" max="3346" width="6.85546875" style="45" customWidth="1"/>
    <col min="3347" max="3347" width="10" style="45" customWidth="1"/>
    <col min="3348" max="3348" width="5.5703125" style="45" customWidth="1"/>
    <col min="3349" max="3349" width="4" style="45" customWidth="1"/>
    <col min="3350" max="3350" width="3.7109375" style="45" customWidth="1"/>
    <col min="3351" max="3351" width="4.28515625" style="45" customWidth="1"/>
    <col min="3352" max="3352" width="3.42578125" style="45" customWidth="1"/>
    <col min="3353" max="3353" width="4.7109375" style="45" customWidth="1"/>
    <col min="3354" max="3355" width="5.42578125" style="45" customWidth="1"/>
    <col min="3356" max="3356" width="10.28515625" style="45" customWidth="1"/>
    <col min="3357" max="3357" width="4.42578125" style="45" customWidth="1"/>
    <col min="3358" max="3358" width="4.28515625" style="45" customWidth="1"/>
    <col min="3359" max="3359" width="4" style="45" customWidth="1"/>
    <col min="3360" max="3360" width="4.42578125" style="45" customWidth="1"/>
    <col min="3361" max="3361" width="3.85546875" style="45" customWidth="1"/>
    <col min="3362" max="3362" width="4.28515625" style="45" customWidth="1"/>
    <col min="3363" max="3586" width="11.42578125" style="45" customWidth="1"/>
    <col min="3587" max="3587" width="16" style="45" customWidth="1"/>
    <col min="3588" max="3590" width="0" style="45" hidden="1"/>
    <col min="3591" max="3591" width="48.140625" style="45" customWidth="1"/>
    <col min="3592" max="3592" width="9.42578125" style="45" customWidth="1"/>
    <col min="3593" max="3594" width="0" style="45" hidden="1"/>
    <col min="3595" max="3595" width="2.7109375" style="45" customWidth="1"/>
    <col min="3596" max="3596" width="5.140625" style="45" customWidth="1"/>
    <col min="3597" max="3597" width="14" style="45" customWidth="1"/>
    <col min="3598" max="3598" width="3.5703125" style="45" customWidth="1"/>
    <col min="3599" max="3599" width="6.5703125" style="45" customWidth="1"/>
    <col min="3600" max="3600" width="30.42578125" style="45" customWidth="1"/>
    <col min="3601" max="3601" width="21.5703125" style="45" customWidth="1"/>
    <col min="3602" max="3602" width="6.85546875" style="45" customWidth="1"/>
    <col min="3603" max="3603" width="10" style="45" customWidth="1"/>
    <col min="3604" max="3604" width="5.5703125" style="45" customWidth="1"/>
    <col min="3605" max="3605" width="4" style="45" customWidth="1"/>
    <col min="3606" max="3606" width="3.7109375" style="45" customWidth="1"/>
    <col min="3607" max="3607" width="4.28515625" style="45" customWidth="1"/>
    <col min="3608" max="3608" width="3.42578125" style="45" customWidth="1"/>
    <col min="3609" max="3609" width="4.7109375" style="45" customWidth="1"/>
    <col min="3610" max="3611" width="5.42578125" style="45" customWidth="1"/>
    <col min="3612" max="3612" width="10.28515625" style="45" customWidth="1"/>
    <col min="3613" max="3613" width="4.42578125" style="45" customWidth="1"/>
    <col min="3614" max="3614" width="4.28515625" style="45" customWidth="1"/>
    <col min="3615" max="3615" width="4" style="45" customWidth="1"/>
    <col min="3616" max="3616" width="4.42578125" style="45" customWidth="1"/>
    <col min="3617" max="3617" width="3.85546875" style="45" customWidth="1"/>
    <col min="3618" max="3618" width="4.28515625" style="45" customWidth="1"/>
    <col min="3619" max="3842" width="11.42578125" style="45" customWidth="1"/>
    <col min="3843" max="3843" width="16" style="45" customWidth="1"/>
    <col min="3844" max="3846" width="0" style="45" hidden="1"/>
    <col min="3847" max="3847" width="48.140625" style="45" customWidth="1"/>
    <col min="3848" max="3848" width="9.42578125" style="45" customWidth="1"/>
    <col min="3849" max="3850" width="0" style="45" hidden="1"/>
    <col min="3851" max="3851" width="2.7109375" style="45" customWidth="1"/>
    <col min="3852" max="3852" width="5.140625" style="45" customWidth="1"/>
    <col min="3853" max="3853" width="14" style="45" customWidth="1"/>
    <col min="3854" max="3854" width="3.5703125" style="45" customWidth="1"/>
    <col min="3855" max="3855" width="6.5703125" style="45" customWidth="1"/>
    <col min="3856" max="3856" width="30.42578125" style="45" customWidth="1"/>
    <col min="3857" max="3857" width="21.5703125" style="45" customWidth="1"/>
    <col min="3858" max="3858" width="6.85546875" style="45" customWidth="1"/>
    <col min="3859" max="3859" width="10" style="45" customWidth="1"/>
    <col min="3860" max="3860" width="5.5703125" style="45" customWidth="1"/>
    <col min="3861" max="3861" width="4" style="45" customWidth="1"/>
    <col min="3862" max="3862" width="3.7109375" style="45" customWidth="1"/>
    <col min="3863" max="3863" width="4.28515625" style="45" customWidth="1"/>
    <col min="3864" max="3864" width="3.42578125" style="45" customWidth="1"/>
    <col min="3865" max="3865" width="4.7109375" style="45" customWidth="1"/>
    <col min="3866" max="3867" width="5.42578125" style="45" customWidth="1"/>
    <col min="3868" max="3868" width="10.28515625" style="45" customWidth="1"/>
    <col min="3869" max="3869" width="4.42578125" style="45" customWidth="1"/>
    <col min="3870" max="3870" width="4.28515625" style="45" customWidth="1"/>
    <col min="3871" max="3871" width="4" style="45" customWidth="1"/>
    <col min="3872" max="3872" width="4.42578125" style="45" customWidth="1"/>
    <col min="3873" max="3873" width="3.85546875" style="45" customWidth="1"/>
    <col min="3874" max="3874" width="4.28515625" style="45" customWidth="1"/>
    <col min="3875" max="4098" width="11.42578125" style="45" customWidth="1"/>
    <col min="4099" max="4099" width="16" style="45" customWidth="1"/>
    <col min="4100" max="4102" width="0" style="45" hidden="1"/>
    <col min="4103" max="4103" width="48.140625" style="45" customWidth="1"/>
    <col min="4104" max="4104" width="9.42578125" style="45" customWidth="1"/>
    <col min="4105" max="4106" width="0" style="45" hidden="1"/>
    <col min="4107" max="4107" width="2.7109375" style="45" customWidth="1"/>
    <col min="4108" max="4108" width="5.140625" style="45" customWidth="1"/>
    <col min="4109" max="4109" width="14" style="45" customWidth="1"/>
    <col min="4110" max="4110" width="3.5703125" style="45" customWidth="1"/>
    <col min="4111" max="4111" width="6.5703125" style="45" customWidth="1"/>
    <col min="4112" max="4112" width="30.42578125" style="45" customWidth="1"/>
    <col min="4113" max="4113" width="21.5703125" style="45" customWidth="1"/>
    <col min="4114" max="4114" width="6.85546875" style="45" customWidth="1"/>
    <col min="4115" max="4115" width="10" style="45" customWidth="1"/>
    <col min="4116" max="4116" width="5.5703125" style="45" customWidth="1"/>
    <col min="4117" max="4117" width="4" style="45" customWidth="1"/>
    <col min="4118" max="4118" width="3.7109375" style="45" customWidth="1"/>
    <col min="4119" max="4119" width="4.28515625" style="45" customWidth="1"/>
    <col min="4120" max="4120" width="3.42578125" style="45" customWidth="1"/>
    <col min="4121" max="4121" width="4.7109375" style="45" customWidth="1"/>
    <col min="4122" max="4123" width="5.42578125" style="45" customWidth="1"/>
    <col min="4124" max="4124" width="10.28515625" style="45" customWidth="1"/>
    <col min="4125" max="4125" width="4.42578125" style="45" customWidth="1"/>
    <col min="4126" max="4126" width="4.28515625" style="45" customWidth="1"/>
    <col min="4127" max="4127" width="4" style="45" customWidth="1"/>
    <col min="4128" max="4128" width="4.42578125" style="45" customWidth="1"/>
    <col min="4129" max="4129" width="3.85546875" style="45" customWidth="1"/>
    <col min="4130" max="4130" width="4.28515625" style="45" customWidth="1"/>
    <col min="4131" max="4354" width="11.42578125" style="45" customWidth="1"/>
    <col min="4355" max="4355" width="16" style="45" customWidth="1"/>
    <col min="4356" max="4358" width="0" style="45" hidden="1"/>
    <col min="4359" max="4359" width="48.140625" style="45" customWidth="1"/>
    <col min="4360" max="4360" width="9.42578125" style="45" customWidth="1"/>
    <col min="4361" max="4362" width="0" style="45" hidden="1"/>
    <col min="4363" max="4363" width="2.7109375" style="45" customWidth="1"/>
    <col min="4364" max="4364" width="5.140625" style="45" customWidth="1"/>
    <col min="4365" max="4365" width="14" style="45" customWidth="1"/>
    <col min="4366" max="4366" width="3.5703125" style="45" customWidth="1"/>
    <col min="4367" max="4367" width="6.5703125" style="45" customWidth="1"/>
    <col min="4368" max="4368" width="30.42578125" style="45" customWidth="1"/>
    <col min="4369" max="4369" width="21.5703125" style="45" customWidth="1"/>
    <col min="4370" max="4370" width="6.85546875" style="45" customWidth="1"/>
    <col min="4371" max="4371" width="10" style="45" customWidth="1"/>
    <col min="4372" max="4372" width="5.5703125" style="45" customWidth="1"/>
    <col min="4373" max="4373" width="4" style="45" customWidth="1"/>
    <col min="4374" max="4374" width="3.7109375" style="45" customWidth="1"/>
    <col min="4375" max="4375" width="4.28515625" style="45" customWidth="1"/>
    <col min="4376" max="4376" width="3.42578125" style="45" customWidth="1"/>
    <col min="4377" max="4377" width="4.7109375" style="45" customWidth="1"/>
    <col min="4378" max="4379" width="5.42578125" style="45" customWidth="1"/>
    <col min="4380" max="4380" width="10.28515625" style="45" customWidth="1"/>
    <col min="4381" max="4381" width="4.42578125" style="45" customWidth="1"/>
    <col min="4382" max="4382" width="4.28515625" style="45" customWidth="1"/>
    <col min="4383" max="4383" width="4" style="45" customWidth="1"/>
    <col min="4384" max="4384" width="4.42578125" style="45" customWidth="1"/>
    <col min="4385" max="4385" width="3.85546875" style="45" customWidth="1"/>
    <col min="4386" max="4386" width="4.28515625" style="45" customWidth="1"/>
    <col min="4387" max="4610" width="11.42578125" style="45" customWidth="1"/>
    <col min="4611" max="4611" width="16" style="45" customWidth="1"/>
    <col min="4612" max="4614" width="0" style="45" hidden="1"/>
    <col min="4615" max="4615" width="48.140625" style="45" customWidth="1"/>
    <col min="4616" max="4616" width="9.42578125" style="45" customWidth="1"/>
    <col min="4617" max="4618" width="0" style="45" hidden="1"/>
    <col min="4619" max="4619" width="2.7109375" style="45" customWidth="1"/>
    <col min="4620" max="4620" width="5.140625" style="45" customWidth="1"/>
    <col min="4621" max="4621" width="14" style="45" customWidth="1"/>
    <col min="4622" max="4622" width="3.5703125" style="45" customWidth="1"/>
    <col min="4623" max="4623" width="6.5703125" style="45" customWidth="1"/>
    <col min="4624" max="4624" width="30.42578125" style="45" customWidth="1"/>
    <col min="4625" max="4625" width="21.5703125" style="45" customWidth="1"/>
    <col min="4626" max="4626" width="6.85546875" style="45" customWidth="1"/>
    <col min="4627" max="4627" width="10" style="45" customWidth="1"/>
    <col min="4628" max="4628" width="5.5703125" style="45" customWidth="1"/>
    <col min="4629" max="4629" width="4" style="45" customWidth="1"/>
    <col min="4630" max="4630" width="3.7109375" style="45" customWidth="1"/>
    <col min="4631" max="4631" width="4.28515625" style="45" customWidth="1"/>
    <col min="4632" max="4632" width="3.42578125" style="45" customWidth="1"/>
    <col min="4633" max="4633" width="4.7109375" style="45" customWidth="1"/>
    <col min="4634" max="4635" width="5.42578125" style="45" customWidth="1"/>
    <col min="4636" max="4636" width="10.28515625" style="45" customWidth="1"/>
    <col min="4637" max="4637" width="4.42578125" style="45" customWidth="1"/>
    <col min="4638" max="4638" width="4.28515625" style="45" customWidth="1"/>
    <col min="4639" max="4639" width="4" style="45" customWidth="1"/>
    <col min="4640" max="4640" width="4.42578125" style="45" customWidth="1"/>
    <col min="4641" max="4641" width="3.85546875" style="45" customWidth="1"/>
    <col min="4642" max="4642" width="4.28515625" style="45" customWidth="1"/>
    <col min="4643" max="4866" width="11.42578125" style="45" customWidth="1"/>
    <col min="4867" max="4867" width="16" style="45" customWidth="1"/>
    <col min="4868" max="4870" width="0" style="45" hidden="1"/>
    <col min="4871" max="4871" width="48.140625" style="45" customWidth="1"/>
    <col min="4872" max="4872" width="9.42578125" style="45" customWidth="1"/>
    <col min="4873" max="4874" width="0" style="45" hidden="1"/>
    <col min="4875" max="4875" width="2.7109375" style="45" customWidth="1"/>
    <col min="4876" max="4876" width="5.140625" style="45" customWidth="1"/>
    <col min="4877" max="4877" width="14" style="45" customWidth="1"/>
    <col min="4878" max="4878" width="3.5703125" style="45" customWidth="1"/>
    <col min="4879" max="4879" width="6.5703125" style="45" customWidth="1"/>
    <col min="4880" max="4880" width="30.42578125" style="45" customWidth="1"/>
    <col min="4881" max="4881" width="21.5703125" style="45" customWidth="1"/>
    <col min="4882" max="4882" width="6.85546875" style="45" customWidth="1"/>
    <col min="4883" max="4883" width="10" style="45" customWidth="1"/>
    <col min="4884" max="4884" width="5.5703125" style="45" customWidth="1"/>
    <col min="4885" max="4885" width="4" style="45" customWidth="1"/>
    <col min="4886" max="4886" width="3.7109375" style="45" customWidth="1"/>
    <col min="4887" max="4887" width="4.28515625" style="45" customWidth="1"/>
    <col min="4888" max="4888" width="3.42578125" style="45" customWidth="1"/>
    <col min="4889" max="4889" width="4.7109375" style="45" customWidth="1"/>
    <col min="4890" max="4891" width="5.42578125" style="45" customWidth="1"/>
    <col min="4892" max="4892" width="10.28515625" style="45" customWidth="1"/>
    <col min="4893" max="4893" width="4.42578125" style="45" customWidth="1"/>
    <col min="4894" max="4894" width="4.28515625" style="45" customWidth="1"/>
    <col min="4895" max="4895" width="4" style="45" customWidth="1"/>
    <col min="4896" max="4896" width="4.42578125" style="45" customWidth="1"/>
    <col min="4897" max="4897" width="3.85546875" style="45" customWidth="1"/>
    <col min="4898" max="4898" width="4.28515625" style="45" customWidth="1"/>
    <col min="4899" max="5122" width="11.42578125" style="45" customWidth="1"/>
    <col min="5123" max="5123" width="16" style="45" customWidth="1"/>
    <col min="5124" max="5126" width="0" style="45" hidden="1"/>
    <col min="5127" max="5127" width="48.140625" style="45" customWidth="1"/>
    <col min="5128" max="5128" width="9.42578125" style="45" customWidth="1"/>
    <col min="5129" max="5130" width="0" style="45" hidden="1"/>
    <col min="5131" max="5131" width="2.7109375" style="45" customWidth="1"/>
    <col min="5132" max="5132" width="5.140625" style="45" customWidth="1"/>
    <col min="5133" max="5133" width="14" style="45" customWidth="1"/>
    <col min="5134" max="5134" width="3.5703125" style="45" customWidth="1"/>
    <col min="5135" max="5135" width="6.5703125" style="45" customWidth="1"/>
    <col min="5136" max="5136" width="30.42578125" style="45" customWidth="1"/>
    <col min="5137" max="5137" width="21.5703125" style="45" customWidth="1"/>
    <col min="5138" max="5138" width="6.85546875" style="45" customWidth="1"/>
    <col min="5139" max="5139" width="10" style="45" customWidth="1"/>
    <col min="5140" max="5140" width="5.5703125" style="45" customWidth="1"/>
    <col min="5141" max="5141" width="4" style="45" customWidth="1"/>
    <col min="5142" max="5142" width="3.7109375" style="45" customWidth="1"/>
    <col min="5143" max="5143" width="4.28515625" style="45" customWidth="1"/>
    <col min="5144" max="5144" width="3.42578125" style="45" customWidth="1"/>
    <col min="5145" max="5145" width="4.7109375" style="45" customWidth="1"/>
    <col min="5146" max="5147" width="5.42578125" style="45" customWidth="1"/>
    <col min="5148" max="5148" width="10.28515625" style="45" customWidth="1"/>
    <col min="5149" max="5149" width="4.42578125" style="45" customWidth="1"/>
    <col min="5150" max="5150" width="4.28515625" style="45" customWidth="1"/>
    <col min="5151" max="5151" width="4" style="45" customWidth="1"/>
    <col min="5152" max="5152" width="4.42578125" style="45" customWidth="1"/>
    <col min="5153" max="5153" width="3.85546875" style="45" customWidth="1"/>
    <col min="5154" max="5154" width="4.28515625" style="45" customWidth="1"/>
    <col min="5155" max="5378" width="11.42578125" style="45" customWidth="1"/>
    <col min="5379" max="5379" width="16" style="45" customWidth="1"/>
    <col min="5380" max="5382" width="0" style="45" hidden="1"/>
    <col min="5383" max="5383" width="48.140625" style="45" customWidth="1"/>
    <col min="5384" max="5384" width="9.42578125" style="45" customWidth="1"/>
    <col min="5385" max="5386" width="0" style="45" hidden="1"/>
    <col min="5387" max="5387" width="2.7109375" style="45" customWidth="1"/>
    <col min="5388" max="5388" width="5.140625" style="45" customWidth="1"/>
    <col min="5389" max="5389" width="14" style="45" customWidth="1"/>
    <col min="5390" max="5390" width="3.5703125" style="45" customWidth="1"/>
    <col min="5391" max="5391" width="6.5703125" style="45" customWidth="1"/>
    <col min="5392" max="5392" width="30.42578125" style="45" customWidth="1"/>
    <col min="5393" max="5393" width="21.5703125" style="45" customWidth="1"/>
    <col min="5394" max="5394" width="6.85546875" style="45" customWidth="1"/>
    <col min="5395" max="5395" width="10" style="45" customWidth="1"/>
    <col min="5396" max="5396" width="5.5703125" style="45" customWidth="1"/>
    <col min="5397" max="5397" width="4" style="45" customWidth="1"/>
    <col min="5398" max="5398" width="3.7109375" style="45" customWidth="1"/>
    <col min="5399" max="5399" width="4.28515625" style="45" customWidth="1"/>
    <col min="5400" max="5400" width="3.42578125" style="45" customWidth="1"/>
    <col min="5401" max="5401" width="4.7109375" style="45" customWidth="1"/>
    <col min="5402" max="5403" width="5.42578125" style="45" customWidth="1"/>
    <col min="5404" max="5404" width="10.28515625" style="45" customWidth="1"/>
    <col min="5405" max="5405" width="4.42578125" style="45" customWidth="1"/>
    <col min="5406" max="5406" width="4.28515625" style="45" customWidth="1"/>
    <col min="5407" max="5407" width="4" style="45" customWidth="1"/>
    <col min="5408" max="5408" width="4.42578125" style="45" customWidth="1"/>
    <col min="5409" max="5409" width="3.85546875" style="45" customWidth="1"/>
    <col min="5410" max="5410" width="4.28515625" style="45" customWidth="1"/>
    <col min="5411" max="5634" width="11.42578125" style="45" customWidth="1"/>
    <col min="5635" max="5635" width="16" style="45" customWidth="1"/>
    <col min="5636" max="5638" width="0" style="45" hidden="1"/>
    <col min="5639" max="5639" width="48.140625" style="45" customWidth="1"/>
    <col min="5640" max="5640" width="9.42578125" style="45" customWidth="1"/>
    <col min="5641" max="5642" width="0" style="45" hidden="1"/>
    <col min="5643" max="5643" width="2.7109375" style="45" customWidth="1"/>
    <col min="5644" max="5644" width="5.140625" style="45" customWidth="1"/>
    <col min="5645" max="5645" width="14" style="45" customWidth="1"/>
    <col min="5646" max="5646" width="3.5703125" style="45" customWidth="1"/>
    <col min="5647" max="5647" width="6.5703125" style="45" customWidth="1"/>
    <col min="5648" max="5648" width="30.42578125" style="45" customWidth="1"/>
    <col min="5649" max="5649" width="21.5703125" style="45" customWidth="1"/>
    <col min="5650" max="5650" width="6.85546875" style="45" customWidth="1"/>
    <col min="5651" max="5651" width="10" style="45" customWidth="1"/>
    <col min="5652" max="5652" width="5.5703125" style="45" customWidth="1"/>
    <col min="5653" max="5653" width="4" style="45" customWidth="1"/>
    <col min="5654" max="5654" width="3.7109375" style="45" customWidth="1"/>
    <col min="5655" max="5655" width="4.28515625" style="45" customWidth="1"/>
    <col min="5656" max="5656" width="3.42578125" style="45" customWidth="1"/>
    <col min="5657" max="5657" width="4.7109375" style="45" customWidth="1"/>
    <col min="5658" max="5659" width="5.42578125" style="45" customWidth="1"/>
    <col min="5660" max="5660" width="10.28515625" style="45" customWidth="1"/>
    <col min="5661" max="5661" width="4.42578125" style="45" customWidth="1"/>
    <col min="5662" max="5662" width="4.28515625" style="45" customWidth="1"/>
    <col min="5663" max="5663" width="4" style="45" customWidth="1"/>
    <col min="5664" max="5664" width="4.42578125" style="45" customWidth="1"/>
    <col min="5665" max="5665" width="3.85546875" style="45" customWidth="1"/>
    <col min="5666" max="5666" width="4.28515625" style="45" customWidth="1"/>
    <col min="5667" max="5890" width="11.42578125" style="45" customWidth="1"/>
    <col min="5891" max="5891" width="16" style="45" customWidth="1"/>
    <col min="5892" max="5894" width="0" style="45" hidden="1"/>
    <col min="5895" max="5895" width="48.140625" style="45" customWidth="1"/>
    <col min="5896" max="5896" width="9.42578125" style="45" customWidth="1"/>
    <col min="5897" max="5898" width="0" style="45" hidden="1"/>
    <col min="5899" max="5899" width="2.7109375" style="45" customWidth="1"/>
    <col min="5900" max="5900" width="5.140625" style="45" customWidth="1"/>
    <col min="5901" max="5901" width="14" style="45" customWidth="1"/>
    <col min="5902" max="5902" width="3.5703125" style="45" customWidth="1"/>
    <col min="5903" max="5903" width="6.5703125" style="45" customWidth="1"/>
    <col min="5904" max="5904" width="30.42578125" style="45" customWidth="1"/>
    <col min="5905" max="5905" width="21.5703125" style="45" customWidth="1"/>
    <col min="5906" max="5906" width="6.85546875" style="45" customWidth="1"/>
    <col min="5907" max="5907" width="10" style="45" customWidth="1"/>
    <col min="5908" max="5908" width="5.5703125" style="45" customWidth="1"/>
    <col min="5909" max="5909" width="4" style="45" customWidth="1"/>
    <col min="5910" max="5910" width="3.7109375" style="45" customWidth="1"/>
    <col min="5911" max="5911" width="4.28515625" style="45" customWidth="1"/>
    <col min="5912" max="5912" width="3.42578125" style="45" customWidth="1"/>
    <col min="5913" max="5913" width="4.7109375" style="45" customWidth="1"/>
    <col min="5914" max="5915" width="5.42578125" style="45" customWidth="1"/>
    <col min="5916" max="5916" width="10.28515625" style="45" customWidth="1"/>
    <col min="5917" max="5917" width="4.42578125" style="45" customWidth="1"/>
    <col min="5918" max="5918" width="4.28515625" style="45" customWidth="1"/>
    <col min="5919" max="5919" width="4" style="45" customWidth="1"/>
    <col min="5920" max="5920" width="4.42578125" style="45" customWidth="1"/>
    <col min="5921" max="5921" width="3.85546875" style="45" customWidth="1"/>
    <col min="5922" max="5922" width="4.28515625" style="45" customWidth="1"/>
    <col min="5923" max="6146" width="11.42578125" style="45" customWidth="1"/>
    <col min="6147" max="6147" width="16" style="45" customWidth="1"/>
    <col min="6148" max="6150" width="0" style="45" hidden="1"/>
    <col min="6151" max="6151" width="48.140625" style="45" customWidth="1"/>
    <col min="6152" max="6152" width="9.42578125" style="45" customWidth="1"/>
    <col min="6153" max="6154" width="0" style="45" hidden="1"/>
    <col min="6155" max="6155" width="2.7109375" style="45" customWidth="1"/>
    <col min="6156" max="6156" width="5.140625" style="45" customWidth="1"/>
    <col min="6157" max="6157" width="14" style="45" customWidth="1"/>
    <col min="6158" max="6158" width="3.5703125" style="45" customWidth="1"/>
    <col min="6159" max="6159" width="6.5703125" style="45" customWidth="1"/>
    <col min="6160" max="6160" width="30.42578125" style="45" customWidth="1"/>
    <col min="6161" max="6161" width="21.5703125" style="45" customWidth="1"/>
    <col min="6162" max="6162" width="6.85546875" style="45" customWidth="1"/>
    <col min="6163" max="6163" width="10" style="45" customWidth="1"/>
    <col min="6164" max="6164" width="5.5703125" style="45" customWidth="1"/>
    <col min="6165" max="6165" width="4" style="45" customWidth="1"/>
    <col min="6166" max="6166" width="3.7109375" style="45" customWidth="1"/>
    <col min="6167" max="6167" width="4.28515625" style="45" customWidth="1"/>
    <col min="6168" max="6168" width="3.42578125" style="45" customWidth="1"/>
    <col min="6169" max="6169" width="4.7109375" style="45" customWidth="1"/>
    <col min="6170" max="6171" width="5.42578125" style="45" customWidth="1"/>
    <col min="6172" max="6172" width="10.28515625" style="45" customWidth="1"/>
    <col min="6173" max="6173" width="4.42578125" style="45" customWidth="1"/>
    <col min="6174" max="6174" width="4.28515625" style="45" customWidth="1"/>
    <col min="6175" max="6175" width="4" style="45" customWidth="1"/>
    <col min="6176" max="6176" width="4.42578125" style="45" customWidth="1"/>
    <col min="6177" max="6177" width="3.85546875" style="45" customWidth="1"/>
    <col min="6178" max="6178" width="4.28515625" style="45" customWidth="1"/>
    <col min="6179" max="6402" width="11.42578125" style="45" customWidth="1"/>
    <col min="6403" max="6403" width="16" style="45" customWidth="1"/>
    <col min="6404" max="6406" width="0" style="45" hidden="1"/>
    <col min="6407" max="6407" width="48.140625" style="45" customWidth="1"/>
    <col min="6408" max="6408" width="9.42578125" style="45" customWidth="1"/>
    <col min="6409" max="6410" width="0" style="45" hidden="1"/>
    <col min="6411" max="6411" width="2.7109375" style="45" customWidth="1"/>
    <col min="6412" max="6412" width="5.140625" style="45" customWidth="1"/>
    <col min="6413" max="6413" width="14" style="45" customWidth="1"/>
    <col min="6414" max="6414" width="3.5703125" style="45" customWidth="1"/>
    <col min="6415" max="6415" width="6.5703125" style="45" customWidth="1"/>
    <col min="6416" max="6416" width="30.42578125" style="45" customWidth="1"/>
    <col min="6417" max="6417" width="21.5703125" style="45" customWidth="1"/>
    <col min="6418" max="6418" width="6.85546875" style="45" customWidth="1"/>
    <col min="6419" max="6419" width="10" style="45" customWidth="1"/>
    <col min="6420" max="6420" width="5.5703125" style="45" customWidth="1"/>
    <col min="6421" max="6421" width="4" style="45" customWidth="1"/>
    <col min="6422" max="6422" width="3.7109375" style="45" customWidth="1"/>
    <col min="6423" max="6423" width="4.28515625" style="45" customWidth="1"/>
    <col min="6424" max="6424" width="3.42578125" style="45" customWidth="1"/>
    <col min="6425" max="6425" width="4.7109375" style="45" customWidth="1"/>
    <col min="6426" max="6427" width="5.42578125" style="45" customWidth="1"/>
    <col min="6428" max="6428" width="10.28515625" style="45" customWidth="1"/>
    <col min="6429" max="6429" width="4.42578125" style="45" customWidth="1"/>
    <col min="6430" max="6430" width="4.28515625" style="45" customWidth="1"/>
    <col min="6431" max="6431" width="4" style="45" customWidth="1"/>
    <col min="6432" max="6432" width="4.42578125" style="45" customWidth="1"/>
    <col min="6433" max="6433" width="3.85546875" style="45" customWidth="1"/>
    <col min="6434" max="6434" width="4.28515625" style="45" customWidth="1"/>
    <col min="6435" max="6658" width="11.42578125" style="45" customWidth="1"/>
    <col min="6659" max="6659" width="16" style="45" customWidth="1"/>
    <col min="6660" max="6662" width="0" style="45" hidden="1"/>
    <col min="6663" max="6663" width="48.140625" style="45" customWidth="1"/>
    <col min="6664" max="6664" width="9.42578125" style="45" customWidth="1"/>
    <col min="6665" max="6666" width="0" style="45" hidden="1"/>
    <col min="6667" max="6667" width="2.7109375" style="45" customWidth="1"/>
    <col min="6668" max="6668" width="5.140625" style="45" customWidth="1"/>
    <col min="6669" max="6669" width="14" style="45" customWidth="1"/>
    <col min="6670" max="6670" width="3.5703125" style="45" customWidth="1"/>
    <col min="6671" max="6671" width="6.5703125" style="45" customWidth="1"/>
    <col min="6672" max="6672" width="30.42578125" style="45" customWidth="1"/>
    <col min="6673" max="6673" width="21.5703125" style="45" customWidth="1"/>
    <col min="6674" max="6674" width="6.85546875" style="45" customWidth="1"/>
    <col min="6675" max="6675" width="10" style="45" customWidth="1"/>
    <col min="6676" max="6676" width="5.5703125" style="45" customWidth="1"/>
    <col min="6677" max="6677" width="4" style="45" customWidth="1"/>
    <col min="6678" max="6678" width="3.7109375" style="45" customWidth="1"/>
    <col min="6679" max="6679" width="4.28515625" style="45" customWidth="1"/>
    <col min="6680" max="6680" width="3.42578125" style="45" customWidth="1"/>
    <col min="6681" max="6681" width="4.7109375" style="45" customWidth="1"/>
    <col min="6682" max="6683" width="5.42578125" style="45" customWidth="1"/>
    <col min="6684" max="6684" width="10.28515625" style="45" customWidth="1"/>
    <col min="6685" max="6685" width="4.42578125" style="45" customWidth="1"/>
    <col min="6686" max="6686" width="4.28515625" style="45" customWidth="1"/>
    <col min="6687" max="6687" width="4" style="45" customWidth="1"/>
    <col min="6688" max="6688" width="4.42578125" style="45" customWidth="1"/>
    <col min="6689" max="6689" width="3.85546875" style="45" customWidth="1"/>
    <col min="6690" max="6690" width="4.28515625" style="45" customWidth="1"/>
    <col min="6691" max="6914" width="11.42578125" style="45" customWidth="1"/>
    <col min="6915" max="6915" width="16" style="45" customWidth="1"/>
    <col min="6916" max="6918" width="0" style="45" hidden="1"/>
    <col min="6919" max="6919" width="48.140625" style="45" customWidth="1"/>
    <col min="6920" max="6920" width="9.42578125" style="45" customWidth="1"/>
    <col min="6921" max="6922" width="0" style="45" hidden="1"/>
    <col min="6923" max="6923" width="2.7109375" style="45" customWidth="1"/>
    <col min="6924" max="6924" width="5.140625" style="45" customWidth="1"/>
    <col min="6925" max="6925" width="14" style="45" customWidth="1"/>
    <col min="6926" max="6926" width="3.5703125" style="45" customWidth="1"/>
    <col min="6927" max="6927" width="6.5703125" style="45" customWidth="1"/>
    <col min="6928" max="6928" width="30.42578125" style="45" customWidth="1"/>
    <col min="6929" max="6929" width="21.5703125" style="45" customWidth="1"/>
    <col min="6930" max="6930" width="6.85546875" style="45" customWidth="1"/>
    <col min="6931" max="6931" width="10" style="45" customWidth="1"/>
    <col min="6932" max="6932" width="5.5703125" style="45" customWidth="1"/>
    <col min="6933" max="6933" width="4" style="45" customWidth="1"/>
    <col min="6934" max="6934" width="3.7109375" style="45" customWidth="1"/>
    <col min="6935" max="6935" width="4.28515625" style="45" customWidth="1"/>
    <col min="6936" max="6936" width="3.42578125" style="45" customWidth="1"/>
    <col min="6937" max="6937" width="4.7109375" style="45" customWidth="1"/>
    <col min="6938" max="6939" width="5.42578125" style="45" customWidth="1"/>
    <col min="6940" max="6940" width="10.28515625" style="45" customWidth="1"/>
    <col min="6941" max="6941" width="4.42578125" style="45" customWidth="1"/>
    <col min="6942" max="6942" width="4.28515625" style="45" customWidth="1"/>
    <col min="6943" max="6943" width="4" style="45" customWidth="1"/>
    <col min="6944" max="6944" width="4.42578125" style="45" customWidth="1"/>
    <col min="6945" max="6945" width="3.85546875" style="45" customWidth="1"/>
    <col min="6946" max="6946" width="4.28515625" style="45" customWidth="1"/>
    <col min="6947" max="7170" width="11.42578125" style="45" customWidth="1"/>
    <col min="7171" max="7171" width="16" style="45" customWidth="1"/>
    <col min="7172" max="7174" width="0" style="45" hidden="1"/>
    <col min="7175" max="7175" width="48.140625" style="45" customWidth="1"/>
    <col min="7176" max="7176" width="9.42578125" style="45" customWidth="1"/>
    <col min="7177" max="7178" width="0" style="45" hidden="1"/>
    <col min="7179" max="7179" width="2.7109375" style="45" customWidth="1"/>
    <col min="7180" max="7180" width="5.140625" style="45" customWidth="1"/>
    <col min="7181" max="7181" width="14" style="45" customWidth="1"/>
    <col min="7182" max="7182" width="3.5703125" style="45" customWidth="1"/>
    <col min="7183" max="7183" width="6.5703125" style="45" customWidth="1"/>
    <col min="7184" max="7184" width="30.42578125" style="45" customWidth="1"/>
    <col min="7185" max="7185" width="21.5703125" style="45" customWidth="1"/>
    <col min="7186" max="7186" width="6.85546875" style="45" customWidth="1"/>
    <col min="7187" max="7187" width="10" style="45" customWidth="1"/>
    <col min="7188" max="7188" width="5.5703125" style="45" customWidth="1"/>
    <col min="7189" max="7189" width="4" style="45" customWidth="1"/>
    <col min="7190" max="7190" width="3.7109375" style="45" customWidth="1"/>
    <col min="7191" max="7191" width="4.28515625" style="45" customWidth="1"/>
    <col min="7192" max="7192" width="3.42578125" style="45" customWidth="1"/>
    <col min="7193" max="7193" width="4.7109375" style="45" customWidth="1"/>
    <col min="7194" max="7195" width="5.42578125" style="45" customWidth="1"/>
    <col min="7196" max="7196" width="10.28515625" style="45" customWidth="1"/>
    <col min="7197" max="7197" width="4.42578125" style="45" customWidth="1"/>
    <col min="7198" max="7198" width="4.28515625" style="45" customWidth="1"/>
    <col min="7199" max="7199" width="4" style="45" customWidth="1"/>
    <col min="7200" max="7200" width="4.42578125" style="45" customWidth="1"/>
    <col min="7201" max="7201" width="3.85546875" style="45" customWidth="1"/>
    <col min="7202" max="7202" width="4.28515625" style="45" customWidth="1"/>
    <col min="7203" max="7426" width="11.42578125" style="45" customWidth="1"/>
    <col min="7427" max="7427" width="16" style="45" customWidth="1"/>
    <col min="7428" max="7430" width="0" style="45" hidden="1"/>
    <col min="7431" max="7431" width="48.140625" style="45" customWidth="1"/>
    <col min="7432" max="7432" width="9.42578125" style="45" customWidth="1"/>
    <col min="7433" max="7434" width="0" style="45" hidden="1"/>
    <col min="7435" max="7435" width="2.7109375" style="45" customWidth="1"/>
    <col min="7436" max="7436" width="5.140625" style="45" customWidth="1"/>
    <col min="7437" max="7437" width="14" style="45" customWidth="1"/>
    <col min="7438" max="7438" width="3.5703125" style="45" customWidth="1"/>
    <col min="7439" max="7439" width="6.5703125" style="45" customWidth="1"/>
    <col min="7440" max="7440" width="30.42578125" style="45" customWidth="1"/>
    <col min="7441" max="7441" width="21.5703125" style="45" customWidth="1"/>
    <col min="7442" max="7442" width="6.85546875" style="45" customWidth="1"/>
    <col min="7443" max="7443" width="10" style="45" customWidth="1"/>
    <col min="7444" max="7444" width="5.5703125" style="45" customWidth="1"/>
    <col min="7445" max="7445" width="4" style="45" customWidth="1"/>
    <col min="7446" max="7446" width="3.7109375" style="45" customWidth="1"/>
    <col min="7447" max="7447" width="4.28515625" style="45" customWidth="1"/>
    <col min="7448" max="7448" width="3.42578125" style="45" customWidth="1"/>
    <col min="7449" max="7449" width="4.7109375" style="45" customWidth="1"/>
    <col min="7450" max="7451" width="5.42578125" style="45" customWidth="1"/>
    <col min="7452" max="7452" width="10.28515625" style="45" customWidth="1"/>
    <col min="7453" max="7453" width="4.42578125" style="45" customWidth="1"/>
    <col min="7454" max="7454" width="4.28515625" style="45" customWidth="1"/>
    <col min="7455" max="7455" width="4" style="45" customWidth="1"/>
    <col min="7456" max="7456" width="4.42578125" style="45" customWidth="1"/>
    <col min="7457" max="7457" width="3.85546875" style="45" customWidth="1"/>
    <col min="7458" max="7458" width="4.28515625" style="45" customWidth="1"/>
    <col min="7459" max="7682" width="11.42578125" style="45" customWidth="1"/>
    <col min="7683" max="7683" width="16" style="45" customWidth="1"/>
    <col min="7684" max="7686" width="0" style="45" hidden="1"/>
    <col min="7687" max="7687" width="48.140625" style="45" customWidth="1"/>
    <col min="7688" max="7688" width="9.42578125" style="45" customWidth="1"/>
    <col min="7689" max="7690" width="0" style="45" hidden="1"/>
    <col min="7691" max="7691" width="2.7109375" style="45" customWidth="1"/>
    <col min="7692" max="7692" width="5.140625" style="45" customWidth="1"/>
    <col min="7693" max="7693" width="14" style="45" customWidth="1"/>
    <col min="7694" max="7694" width="3.5703125" style="45" customWidth="1"/>
    <col min="7695" max="7695" width="6.5703125" style="45" customWidth="1"/>
    <col min="7696" max="7696" width="30.42578125" style="45" customWidth="1"/>
    <col min="7697" max="7697" width="21.5703125" style="45" customWidth="1"/>
    <col min="7698" max="7698" width="6.85546875" style="45" customWidth="1"/>
    <col min="7699" max="7699" width="10" style="45" customWidth="1"/>
    <col min="7700" max="7700" width="5.5703125" style="45" customWidth="1"/>
    <col min="7701" max="7701" width="4" style="45" customWidth="1"/>
    <col min="7702" max="7702" width="3.7109375" style="45" customWidth="1"/>
    <col min="7703" max="7703" width="4.28515625" style="45" customWidth="1"/>
    <col min="7704" max="7704" width="3.42578125" style="45" customWidth="1"/>
    <col min="7705" max="7705" width="4.7109375" style="45" customWidth="1"/>
    <col min="7706" max="7707" width="5.42578125" style="45" customWidth="1"/>
    <col min="7708" max="7708" width="10.28515625" style="45" customWidth="1"/>
    <col min="7709" max="7709" width="4.42578125" style="45" customWidth="1"/>
    <col min="7710" max="7710" width="4.28515625" style="45" customWidth="1"/>
    <col min="7711" max="7711" width="4" style="45" customWidth="1"/>
    <col min="7712" max="7712" width="4.42578125" style="45" customWidth="1"/>
    <col min="7713" max="7713" width="3.85546875" style="45" customWidth="1"/>
    <col min="7714" max="7714" width="4.28515625" style="45" customWidth="1"/>
    <col min="7715" max="7938" width="11.42578125" style="45" customWidth="1"/>
    <col min="7939" max="7939" width="16" style="45" customWidth="1"/>
    <col min="7940" max="7942" width="0" style="45" hidden="1"/>
    <col min="7943" max="7943" width="48.140625" style="45" customWidth="1"/>
    <col min="7944" max="7944" width="9.42578125" style="45" customWidth="1"/>
    <col min="7945" max="7946" width="0" style="45" hidden="1"/>
    <col min="7947" max="7947" width="2.7109375" style="45" customWidth="1"/>
    <col min="7948" max="7948" width="5.140625" style="45" customWidth="1"/>
    <col min="7949" max="7949" width="14" style="45" customWidth="1"/>
    <col min="7950" max="7950" width="3.5703125" style="45" customWidth="1"/>
    <col min="7951" max="7951" width="6.5703125" style="45" customWidth="1"/>
    <col min="7952" max="7952" width="30.42578125" style="45" customWidth="1"/>
    <col min="7953" max="7953" width="21.5703125" style="45" customWidth="1"/>
    <col min="7954" max="7954" width="6.85546875" style="45" customWidth="1"/>
    <col min="7955" max="7955" width="10" style="45" customWidth="1"/>
    <col min="7956" max="7956" width="5.5703125" style="45" customWidth="1"/>
    <col min="7957" max="7957" width="4" style="45" customWidth="1"/>
    <col min="7958" max="7958" width="3.7109375" style="45" customWidth="1"/>
    <col min="7959" max="7959" width="4.28515625" style="45" customWidth="1"/>
    <col min="7960" max="7960" width="3.42578125" style="45" customWidth="1"/>
    <col min="7961" max="7961" width="4.7109375" style="45" customWidth="1"/>
    <col min="7962" max="7963" width="5.42578125" style="45" customWidth="1"/>
    <col min="7964" max="7964" width="10.28515625" style="45" customWidth="1"/>
    <col min="7965" max="7965" width="4.42578125" style="45" customWidth="1"/>
    <col min="7966" max="7966" width="4.28515625" style="45" customWidth="1"/>
    <col min="7967" max="7967" width="4" style="45" customWidth="1"/>
    <col min="7968" max="7968" width="4.42578125" style="45" customWidth="1"/>
    <col min="7969" max="7969" width="3.85546875" style="45" customWidth="1"/>
    <col min="7970" max="7970" width="4.28515625" style="45" customWidth="1"/>
    <col min="7971" max="8194" width="11.42578125" style="45" customWidth="1"/>
    <col min="8195" max="8195" width="16" style="45" customWidth="1"/>
    <col min="8196" max="8198" width="0" style="45" hidden="1"/>
    <col min="8199" max="8199" width="48.140625" style="45" customWidth="1"/>
    <col min="8200" max="8200" width="9.42578125" style="45" customWidth="1"/>
    <col min="8201" max="8202" width="0" style="45" hidden="1"/>
    <col min="8203" max="8203" width="2.7109375" style="45" customWidth="1"/>
    <col min="8204" max="8204" width="5.140625" style="45" customWidth="1"/>
    <col min="8205" max="8205" width="14" style="45" customWidth="1"/>
    <col min="8206" max="8206" width="3.5703125" style="45" customWidth="1"/>
    <col min="8207" max="8207" width="6.5703125" style="45" customWidth="1"/>
    <col min="8208" max="8208" width="30.42578125" style="45" customWidth="1"/>
    <col min="8209" max="8209" width="21.5703125" style="45" customWidth="1"/>
    <col min="8210" max="8210" width="6.85546875" style="45" customWidth="1"/>
    <col min="8211" max="8211" width="10" style="45" customWidth="1"/>
    <col min="8212" max="8212" width="5.5703125" style="45" customWidth="1"/>
    <col min="8213" max="8213" width="4" style="45" customWidth="1"/>
    <col min="8214" max="8214" width="3.7109375" style="45" customWidth="1"/>
    <col min="8215" max="8215" width="4.28515625" style="45" customWidth="1"/>
    <col min="8216" max="8216" width="3.42578125" style="45" customWidth="1"/>
    <col min="8217" max="8217" width="4.7109375" style="45" customWidth="1"/>
    <col min="8218" max="8219" width="5.42578125" style="45" customWidth="1"/>
    <col min="8220" max="8220" width="10.28515625" style="45" customWidth="1"/>
    <col min="8221" max="8221" width="4.42578125" style="45" customWidth="1"/>
    <col min="8222" max="8222" width="4.28515625" style="45" customWidth="1"/>
    <col min="8223" max="8223" width="4" style="45" customWidth="1"/>
    <col min="8224" max="8224" width="4.42578125" style="45" customWidth="1"/>
    <col min="8225" max="8225" width="3.85546875" style="45" customWidth="1"/>
    <col min="8226" max="8226" width="4.28515625" style="45" customWidth="1"/>
    <col min="8227" max="8450" width="11.42578125" style="45" customWidth="1"/>
    <col min="8451" max="8451" width="16" style="45" customWidth="1"/>
    <col min="8452" max="8454" width="0" style="45" hidden="1"/>
    <col min="8455" max="8455" width="48.140625" style="45" customWidth="1"/>
    <col min="8456" max="8456" width="9.42578125" style="45" customWidth="1"/>
    <col min="8457" max="8458" width="0" style="45" hidden="1"/>
    <col min="8459" max="8459" width="2.7109375" style="45" customWidth="1"/>
    <col min="8460" max="8460" width="5.140625" style="45" customWidth="1"/>
    <col min="8461" max="8461" width="14" style="45" customWidth="1"/>
    <col min="8462" max="8462" width="3.5703125" style="45" customWidth="1"/>
    <col min="8463" max="8463" width="6.5703125" style="45" customWidth="1"/>
    <col min="8464" max="8464" width="30.42578125" style="45" customWidth="1"/>
    <col min="8465" max="8465" width="21.5703125" style="45" customWidth="1"/>
    <col min="8466" max="8466" width="6.85546875" style="45" customWidth="1"/>
    <col min="8467" max="8467" width="10" style="45" customWidth="1"/>
    <col min="8468" max="8468" width="5.5703125" style="45" customWidth="1"/>
    <col min="8469" max="8469" width="4" style="45" customWidth="1"/>
    <col min="8470" max="8470" width="3.7109375" style="45" customWidth="1"/>
    <col min="8471" max="8471" width="4.28515625" style="45" customWidth="1"/>
    <col min="8472" max="8472" width="3.42578125" style="45" customWidth="1"/>
    <col min="8473" max="8473" width="4.7109375" style="45" customWidth="1"/>
    <col min="8474" max="8475" width="5.42578125" style="45" customWidth="1"/>
    <col min="8476" max="8476" width="10.28515625" style="45" customWidth="1"/>
    <col min="8477" max="8477" width="4.42578125" style="45" customWidth="1"/>
    <col min="8478" max="8478" width="4.28515625" style="45" customWidth="1"/>
    <col min="8479" max="8479" width="4" style="45" customWidth="1"/>
    <col min="8480" max="8480" width="4.42578125" style="45" customWidth="1"/>
    <col min="8481" max="8481" width="3.85546875" style="45" customWidth="1"/>
    <col min="8482" max="8482" width="4.28515625" style="45" customWidth="1"/>
    <col min="8483" max="8706" width="11.42578125" style="45" customWidth="1"/>
    <col min="8707" max="8707" width="16" style="45" customWidth="1"/>
    <col min="8708" max="8710" width="0" style="45" hidden="1"/>
    <col min="8711" max="8711" width="48.140625" style="45" customWidth="1"/>
    <col min="8712" max="8712" width="9.42578125" style="45" customWidth="1"/>
    <col min="8713" max="8714" width="0" style="45" hidden="1"/>
    <col min="8715" max="8715" width="2.7109375" style="45" customWidth="1"/>
    <col min="8716" max="8716" width="5.140625" style="45" customWidth="1"/>
    <col min="8717" max="8717" width="14" style="45" customWidth="1"/>
    <col min="8718" max="8718" width="3.5703125" style="45" customWidth="1"/>
    <col min="8719" max="8719" width="6.5703125" style="45" customWidth="1"/>
    <col min="8720" max="8720" width="30.42578125" style="45" customWidth="1"/>
    <col min="8721" max="8721" width="21.5703125" style="45" customWidth="1"/>
    <col min="8722" max="8722" width="6.85546875" style="45" customWidth="1"/>
    <col min="8723" max="8723" width="10" style="45" customWidth="1"/>
    <col min="8724" max="8724" width="5.5703125" style="45" customWidth="1"/>
    <col min="8725" max="8725" width="4" style="45" customWidth="1"/>
    <col min="8726" max="8726" width="3.7109375" style="45" customWidth="1"/>
    <col min="8727" max="8727" width="4.28515625" style="45" customWidth="1"/>
    <col min="8728" max="8728" width="3.42578125" style="45" customWidth="1"/>
    <col min="8729" max="8729" width="4.7109375" style="45" customWidth="1"/>
    <col min="8730" max="8731" width="5.42578125" style="45" customWidth="1"/>
    <col min="8732" max="8732" width="10.28515625" style="45" customWidth="1"/>
    <col min="8733" max="8733" width="4.42578125" style="45" customWidth="1"/>
    <col min="8734" max="8734" width="4.28515625" style="45" customWidth="1"/>
    <col min="8735" max="8735" width="4" style="45" customWidth="1"/>
    <col min="8736" max="8736" width="4.42578125" style="45" customWidth="1"/>
    <col min="8737" max="8737" width="3.85546875" style="45" customWidth="1"/>
    <col min="8738" max="8738" width="4.28515625" style="45" customWidth="1"/>
    <col min="8739" max="8962" width="11.42578125" style="45" customWidth="1"/>
    <col min="8963" max="8963" width="16" style="45" customWidth="1"/>
    <col min="8964" max="8966" width="0" style="45" hidden="1"/>
    <col min="8967" max="8967" width="48.140625" style="45" customWidth="1"/>
    <col min="8968" max="8968" width="9.42578125" style="45" customWidth="1"/>
    <col min="8969" max="8970" width="0" style="45" hidden="1"/>
    <col min="8971" max="8971" width="2.7109375" style="45" customWidth="1"/>
    <col min="8972" max="8972" width="5.140625" style="45" customWidth="1"/>
    <col min="8973" max="8973" width="14" style="45" customWidth="1"/>
    <col min="8974" max="8974" width="3.5703125" style="45" customWidth="1"/>
    <col min="8975" max="8975" width="6.5703125" style="45" customWidth="1"/>
    <col min="8976" max="8976" width="30.42578125" style="45" customWidth="1"/>
    <col min="8977" max="8977" width="21.5703125" style="45" customWidth="1"/>
    <col min="8978" max="8978" width="6.85546875" style="45" customWidth="1"/>
    <col min="8979" max="8979" width="10" style="45" customWidth="1"/>
    <col min="8980" max="8980" width="5.5703125" style="45" customWidth="1"/>
    <col min="8981" max="8981" width="4" style="45" customWidth="1"/>
    <col min="8982" max="8982" width="3.7109375" style="45" customWidth="1"/>
    <col min="8983" max="8983" width="4.28515625" style="45" customWidth="1"/>
    <col min="8984" max="8984" width="3.42578125" style="45" customWidth="1"/>
    <col min="8985" max="8985" width="4.7109375" style="45" customWidth="1"/>
    <col min="8986" max="8987" width="5.42578125" style="45" customWidth="1"/>
    <col min="8988" max="8988" width="10.28515625" style="45" customWidth="1"/>
    <col min="8989" max="8989" width="4.42578125" style="45" customWidth="1"/>
    <col min="8990" max="8990" width="4.28515625" style="45" customWidth="1"/>
    <col min="8991" max="8991" width="4" style="45" customWidth="1"/>
    <col min="8992" max="8992" width="4.42578125" style="45" customWidth="1"/>
    <col min="8993" max="8993" width="3.85546875" style="45" customWidth="1"/>
    <col min="8994" max="8994" width="4.28515625" style="45" customWidth="1"/>
    <col min="8995" max="9218" width="11.42578125" style="45" customWidth="1"/>
    <col min="9219" max="9219" width="16" style="45" customWidth="1"/>
    <col min="9220" max="9222" width="0" style="45" hidden="1"/>
    <col min="9223" max="9223" width="48.140625" style="45" customWidth="1"/>
    <col min="9224" max="9224" width="9.42578125" style="45" customWidth="1"/>
    <col min="9225" max="9226" width="0" style="45" hidden="1"/>
    <col min="9227" max="9227" width="2.7109375" style="45" customWidth="1"/>
    <col min="9228" max="9228" width="5.140625" style="45" customWidth="1"/>
    <col min="9229" max="9229" width="14" style="45" customWidth="1"/>
    <col min="9230" max="9230" width="3.5703125" style="45" customWidth="1"/>
    <col min="9231" max="9231" width="6.5703125" style="45" customWidth="1"/>
    <col min="9232" max="9232" width="30.42578125" style="45" customWidth="1"/>
    <col min="9233" max="9233" width="21.5703125" style="45" customWidth="1"/>
    <col min="9234" max="9234" width="6.85546875" style="45" customWidth="1"/>
    <col min="9235" max="9235" width="10" style="45" customWidth="1"/>
    <col min="9236" max="9236" width="5.5703125" style="45" customWidth="1"/>
    <col min="9237" max="9237" width="4" style="45" customWidth="1"/>
    <col min="9238" max="9238" width="3.7109375" style="45" customWidth="1"/>
    <col min="9239" max="9239" width="4.28515625" style="45" customWidth="1"/>
    <col min="9240" max="9240" width="3.42578125" style="45" customWidth="1"/>
    <col min="9241" max="9241" width="4.7109375" style="45" customWidth="1"/>
    <col min="9242" max="9243" width="5.42578125" style="45" customWidth="1"/>
    <col min="9244" max="9244" width="10.28515625" style="45" customWidth="1"/>
    <col min="9245" max="9245" width="4.42578125" style="45" customWidth="1"/>
    <col min="9246" max="9246" width="4.28515625" style="45" customWidth="1"/>
    <col min="9247" max="9247" width="4" style="45" customWidth="1"/>
    <col min="9248" max="9248" width="4.42578125" style="45" customWidth="1"/>
    <col min="9249" max="9249" width="3.85546875" style="45" customWidth="1"/>
    <col min="9250" max="9250" width="4.28515625" style="45" customWidth="1"/>
    <col min="9251" max="9474" width="11.42578125" style="45" customWidth="1"/>
    <col min="9475" max="9475" width="16" style="45" customWidth="1"/>
    <col min="9476" max="9478" width="0" style="45" hidden="1"/>
    <col min="9479" max="9479" width="48.140625" style="45" customWidth="1"/>
    <col min="9480" max="9480" width="9.42578125" style="45" customWidth="1"/>
    <col min="9481" max="9482" width="0" style="45" hidden="1"/>
    <col min="9483" max="9483" width="2.7109375" style="45" customWidth="1"/>
    <col min="9484" max="9484" width="5.140625" style="45" customWidth="1"/>
    <col min="9485" max="9485" width="14" style="45" customWidth="1"/>
    <col min="9486" max="9486" width="3.5703125" style="45" customWidth="1"/>
    <col min="9487" max="9487" width="6.5703125" style="45" customWidth="1"/>
    <col min="9488" max="9488" width="30.42578125" style="45" customWidth="1"/>
    <col min="9489" max="9489" width="21.5703125" style="45" customWidth="1"/>
    <col min="9490" max="9490" width="6.85546875" style="45" customWidth="1"/>
    <col min="9491" max="9491" width="10" style="45" customWidth="1"/>
    <col min="9492" max="9492" width="5.5703125" style="45" customWidth="1"/>
    <col min="9493" max="9493" width="4" style="45" customWidth="1"/>
    <col min="9494" max="9494" width="3.7109375" style="45" customWidth="1"/>
    <col min="9495" max="9495" width="4.28515625" style="45" customWidth="1"/>
    <col min="9496" max="9496" width="3.42578125" style="45" customWidth="1"/>
    <col min="9497" max="9497" width="4.7109375" style="45" customWidth="1"/>
    <col min="9498" max="9499" width="5.42578125" style="45" customWidth="1"/>
    <col min="9500" max="9500" width="10.28515625" style="45" customWidth="1"/>
    <col min="9501" max="9501" width="4.42578125" style="45" customWidth="1"/>
    <col min="9502" max="9502" width="4.28515625" style="45" customWidth="1"/>
    <col min="9503" max="9503" width="4" style="45" customWidth="1"/>
    <col min="9504" max="9504" width="4.42578125" style="45" customWidth="1"/>
    <col min="9505" max="9505" width="3.85546875" style="45" customWidth="1"/>
    <col min="9506" max="9506" width="4.28515625" style="45" customWidth="1"/>
    <col min="9507" max="9730" width="11.42578125" style="45" customWidth="1"/>
    <col min="9731" max="9731" width="16" style="45" customWidth="1"/>
    <col min="9732" max="9734" width="0" style="45" hidden="1"/>
    <col min="9735" max="9735" width="48.140625" style="45" customWidth="1"/>
    <col min="9736" max="9736" width="9.42578125" style="45" customWidth="1"/>
    <col min="9737" max="9738" width="0" style="45" hidden="1"/>
    <col min="9739" max="9739" width="2.7109375" style="45" customWidth="1"/>
    <col min="9740" max="9740" width="5.140625" style="45" customWidth="1"/>
    <col min="9741" max="9741" width="14" style="45" customWidth="1"/>
    <col min="9742" max="9742" width="3.5703125" style="45" customWidth="1"/>
    <col min="9743" max="9743" width="6.5703125" style="45" customWidth="1"/>
    <col min="9744" max="9744" width="30.42578125" style="45" customWidth="1"/>
    <col min="9745" max="9745" width="21.5703125" style="45" customWidth="1"/>
    <col min="9746" max="9746" width="6.85546875" style="45" customWidth="1"/>
    <col min="9747" max="9747" width="10" style="45" customWidth="1"/>
    <col min="9748" max="9748" width="5.5703125" style="45" customWidth="1"/>
    <col min="9749" max="9749" width="4" style="45" customWidth="1"/>
    <col min="9750" max="9750" width="3.7109375" style="45" customWidth="1"/>
    <col min="9751" max="9751" width="4.28515625" style="45" customWidth="1"/>
    <col min="9752" max="9752" width="3.42578125" style="45" customWidth="1"/>
    <col min="9753" max="9753" width="4.7109375" style="45" customWidth="1"/>
    <col min="9754" max="9755" width="5.42578125" style="45" customWidth="1"/>
    <col min="9756" max="9756" width="10.28515625" style="45" customWidth="1"/>
    <col min="9757" max="9757" width="4.42578125" style="45" customWidth="1"/>
    <col min="9758" max="9758" width="4.28515625" style="45" customWidth="1"/>
    <col min="9759" max="9759" width="4" style="45" customWidth="1"/>
    <col min="9760" max="9760" width="4.42578125" style="45" customWidth="1"/>
    <col min="9761" max="9761" width="3.85546875" style="45" customWidth="1"/>
    <col min="9762" max="9762" width="4.28515625" style="45" customWidth="1"/>
    <col min="9763" max="9986" width="11.42578125" style="45" customWidth="1"/>
    <col min="9987" max="9987" width="16" style="45" customWidth="1"/>
    <col min="9988" max="9990" width="0" style="45" hidden="1"/>
    <col min="9991" max="9991" width="48.140625" style="45" customWidth="1"/>
    <col min="9992" max="9992" width="9.42578125" style="45" customWidth="1"/>
    <col min="9993" max="9994" width="0" style="45" hidden="1"/>
    <col min="9995" max="9995" width="2.7109375" style="45" customWidth="1"/>
    <col min="9996" max="9996" width="5.140625" style="45" customWidth="1"/>
    <col min="9997" max="9997" width="14" style="45" customWidth="1"/>
    <col min="9998" max="9998" width="3.5703125" style="45" customWidth="1"/>
    <col min="9999" max="9999" width="6.5703125" style="45" customWidth="1"/>
    <col min="10000" max="10000" width="30.42578125" style="45" customWidth="1"/>
    <col min="10001" max="10001" width="21.5703125" style="45" customWidth="1"/>
    <col min="10002" max="10002" width="6.85546875" style="45" customWidth="1"/>
    <col min="10003" max="10003" width="10" style="45" customWidth="1"/>
    <col min="10004" max="10004" width="5.5703125" style="45" customWidth="1"/>
    <col min="10005" max="10005" width="4" style="45" customWidth="1"/>
    <col min="10006" max="10006" width="3.7109375" style="45" customWidth="1"/>
    <col min="10007" max="10007" width="4.28515625" style="45" customWidth="1"/>
    <col min="10008" max="10008" width="3.42578125" style="45" customWidth="1"/>
    <col min="10009" max="10009" width="4.7109375" style="45" customWidth="1"/>
    <col min="10010" max="10011" width="5.42578125" style="45" customWidth="1"/>
    <col min="10012" max="10012" width="10.28515625" style="45" customWidth="1"/>
    <col min="10013" max="10013" width="4.42578125" style="45" customWidth="1"/>
    <col min="10014" max="10014" width="4.28515625" style="45" customWidth="1"/>
    <col min="10015" max="10015" width="4" style="45" customWidth="1"/>
    <col min="10016" max="10016" width="4.42578125" style="45" customWidth="1"/>
    <col min="10017" max="10017" width="3.85546875" style="45" customWidth="1"/>
    <col min="10018" max="10018" width="4.28515625" style="45" customWidth="1"/>
    <col min="10019" max="10242" width="11.42578125" style="45" customWidth="1"/>
    <col min="10243" max="10243" width="16" style="45" customWidth="1"/>
    <col min="10244" max="10246" width="0" style="45" hidden="1"/>
    <col min="10247" max="10247" width="48.140625" style="45" customWidth="1"/>
    <col min="10248" max="10248" width="9.42578125" style="45" customWidth="1"/>
    <col min="10249" max="10250" width="0" style="45" hidden="1"/>
    <col min="10251" max="10251" width="2.7109375" style="45" customWidth="1"/>
    <col min="10252" max="10252" width="5.140625" style="45" customWidth="1"/>
    <col min="10253" max="10253" width="14" style="45" customWidth="1"/>
    <col min="10254" max="10254" width="3.5703125" style="45" customWidth="1"/>
    <col min="10255" max="10255" width="6.5703125" style="45" customWidth="1"/>
    <col min="10256" max="10256" width="30.42578125" style="45" customWidth="1"/>
    <col min="10257" max="10257" width="21.5703125" style="45" customWidth="1"/>
    <col min="10258" max="10258" width="6.85546875" style="45" customWidth="1"/>
    <col min="10259" max="10259" width="10" style="45" customWidth="1"/>
    <col min="10260" max="10260" width="5.5703125" style="45" customWidth="1"/>
    <col min="10261" max="10261" width="4" style="45" customWidth="1"/>
    <col min="10262" max="10262" width="3.7109375" style="45" customWidth="1"/>
    <col min="10263" max="10263" width="4.28515625" style="45" customWidth="1"/>
    <col min="10264" max="10264" width="3.42578125" style="45" customWidth="1"/>
    <col min="10265" max="10265" width="4.7109375" style="45" customWidth="1"/>
    <col min="10266" max="10267" width="5.42578125" style="45" customWidth="1"/>
    <col min="10268" max="10268" width="10.28515625" style="45" customWidth="1"/>
    <col min="10269" max="10269" width="4.42578125" style="45" customWidth="1"/>
    <col min="10270" max="10270" width="4.28515625" style="45" customWidth="1"/>
    <col min="10271" max="10271" width="4" style="45" customWidth="1"/>
    <col min="10272" max="10272" width="4.42578125" style="45" customWidth="1"/>
    <col min="10273" max="10273" width="3.85546875" style="45" customWidth="1"/>
    <col min="10274" max="10274" width="4.28515625" style="45" customWidth="1"/>
    <col min="10275" max="10498" width="11.42578125" style="45" customWidth="1"/>
    <col min="10499" max="10499" width="16" style="45" customWidth="1"/>
    <col min="10500" max="10502" width="0" style="45" hidden="1"/>
    <col min="10503" max="10503" width="48.140625" style="45" customWidth="1"/>
    <col min="10504" max="10504" width="9.42578125" style="45" customWidth="1"/>
    <col min="10505" max="10506" width="0" style="45" hidden="1"/>
    <col min="10507" max="10507" width="2.7109375" style="45" customWidth="1"/>
    <col min="10508" max="10508" width="5.140625" style="45" customWidth="1"/>
    <col min="10509" max="10509" width="14" style="45" customWidth="1"/>
    <col min="10510" max="10510" width="3.5703125" style="45" customWidth="1"/>
    <col min="10511" max="10511" width="6.5703125" style="45" customWidth="1"/>
    <col min="10512" max="10512" width="30.42578125" style="45" customWidth="1"/>
    <col min="10513" max="10513" width="21.5703125" style="45" customWidth="1"/>
    <col min="10514" max="10514" width="6.85546875" style="45" customWidth="1"/>
    <col min="10515" max="10515" width="10" style="45" customWidth="1"/>
    <col min="10516" max="10516" width="5.5703125" style="45" customWidth="1"/>
    <col min="10517" max="10517" width="4" style="45" customWidth="1"/>
    <col min="10518" max="10518" width="3.7109375" style="45" customWidth="1"/>
    <col min="10519" max="10519" width="4.28515625" style="45" customWidth="1"/>
    <col min="10520" max="10520" width="3.42578125" style="45" customWidth="1"/>
    <col min="10521" max="10521" width="4.7109375" style="45" customWidth="1"/>
    <col min="10522" max="10523" width="5.42578125" style="45" customWidth="1"/>
    <col min="10524" max="10524" width="10.28515625" style="45" customWidth="1"/>
    <col min="10525" max="10525" width="4.42578125" style="45" customWidth="1"/>
    <col min="10526" max="10526" width="4.28515625" style="45" customWidth="1"/>
    <col min="10527" max="10527" width="4" style="45" customWidth="1"/>
    <col min="10528" max="10528" width="4.42578125" style="45" customWidth="1"/>
    <col min="10529" max="10529" width="3.85546875" style="45" customWidth="1"/>
    <col min="10530" max="10530" width="4.28515625" style="45" customWidth="1"/>
    <col min="10531" max="10754" width="11.42578125" style="45" customWidth="1"/>
    <col min="10755" max="10755" width="16" style="45" customWidth="1"/>
    <col min="10756" max="10758" width="0" style="45" hidden="1"/>
    <col min="10759" max="10759" width="48.140625" style="45" customWidth="1"/>
    <col min="10760" max="10760" width="9.42578125" style="45" customWidth="1"/>
    <col min="10761" max="10762" width="0" style="45" hidden="1"/>
    <col min="10763" max="10763" width="2.7109375" style="45" customWidth="1"/>
    <col min="10764" max="10764" width="5.140625" style="45" customWidth="1"/>
    <col min="10765" max="10765" width="14" style="45" customWidth="1"/>
    <col min="10766" max="10766" width="3.5703125" style="45" customWidth="1"/>
    <col min="10767" max="10767" width="6.5703125" style="45" customWidth="1"/>
    <col min="10768" max="10768" width="30.42578125" style="45" customWidth="1"/>
    <col min="10769" max="10769" width="21.5703125" style="45" customWidth="1"/>
    <col min="10770" max="10770" width="6.85546875" style="45" customWidth="1"/>
    <col min="10771" max="10771" width="10" style="45" customWidth="1"/>
    <col min="10772" max="10772" width="5.5703125" style="45" customWidth="1"/>
    <col min="10773" max="10773" width="4" style="45" customWidth="1"/>
    <col min="10774" max="10774" width="3.7109375" style="45" customWidth="1"/>
    <col min="10775" max="10775" width="4.28515625" style="45" customWidth="1"/>
    <col min="10776" max="10776" width="3.42578125" style="45" customWidth="1"/>
    <col min="10777" max="10777" width="4.7109375" style="45" customWidth="1"/>
    <col min="10778" max="10779" width="5.42578125" style="45" customWidth="1"/>
    <col min="10780" max="10780" width="10.28515625" style="45" customWidth="1"/>
    <col min="10781" max="10781" width="4.42578125" style="45" customWidth="1"/>
    <col min="10782" max="10782" width="4.28515625" style="45" customWidth="1"/>
    <col min="10783" max="10783" width="4" style="45" customWidth="1"/>
    <col min="10784" max="10784" width="4.42578125" style="45" customWidth="1"/>
    <col min="10785" max="10785" width="3.85546875" style="45" customWidth="1"/>
    <col min="10786" max="10786" width="4.28515625" style="45" customWidth="1"/>
    <col min="10787" max="11010" width="11.42578125" style="45" customWidth="1"/>
    <col min="11011" max="11011" width="16" style="45" customWidth="1"/>
    <col min="11012" max="11014" width="0" style="45" hidden="1"/>
    <col min="11015" max="11015" width="48.140625" style="45" customWidth="1"/>
    <col min="11016" max="11016" width="9.42578125" style="45" customWidth="1"/>
    <col min="11017" max="11018" width="0" style="45" hidden="1"/>
    <col min="11019" max="11019" width="2.7109375" style="45" customWidth="1"/>
    <col min="11020" max="11020" width="5.140625" style="45" customWidth="1"/>
    <col min="11021" max="11021" width="14" style="45" customWidth="1"/>
    <col min="11022" max="11022" width="3.5703125" style="45" customWidth="1"/>
    <col min="11023" max="11023" width="6.5703125" style="45" customWidth="1"/>
    <col min="11024" max="11024" width="30.42578125" style="45" customWidth="1"/>
    <col min="11025" max="11025" width="21.5703125" style="45" customWidth="1"/>
    <col min="11026" max="11026" width="6.85546875" style="45" customWidth="1"/>
    <col min="11027" max="11027" width="10" style="45" customWidth="1"/>
    <col min="11028" max="11028" width="5.5703125" style="45" customWidth="1"/>
    <col min="11029" max="11029" width="4" style="45" customWidth="1"/>
    <col min="11030" max="11030" width="3.7109375" style="45" customWidth="1"/>
    <col min="11031" max="11031" width="4.28515625" style="45" customWidth="1"/>
    <col min="11032" max="11032" width="3.42578125" style="45" customWidth="1"/>
    <col min="11033" max="11033" width="4.7109375" style="45" customWidth="1"/>
    <col min="11034" max="11035" width="5.42578125" style="45" customWidth="1"/>
    <col min="11036" max="11036" width="10.28515625" style="45" customWidth="1"/>
    <col min="11037" max="11037" width="4.42578125" style="45" customWidth="1"/>
    <col min="11038" max="11038" width="4.28515625" style="45" customWidth="1"/>
    <col min="11039" max="11039" width="4" style="45" customWidth="1"/>
    <col min="11040" max="11040" width="4.42578125" style="45" customWidth="1"/>
    <col min="11041" max="11041" width="3.85546875" style="45" customWidth="1"/>
    <col min="11042" max="11042" width="4.28515625" style="45" customWidth="1"/>
    <col min="11043" max="11266" width="11.42578125" style="45" customWidth="1"/>
    <col min="11267" max="11267" width="16" style="45" customWidth="1"/>
    <col min="11268" max="11270" width="0" style="45" hidden="1"/>
    <col min="11271" max="11271" width="48.140625" style="45" customWidth="1"/>
    <col min="11272" max="11272" width="9.42578125" style="45" customWidth="1"/>
    <col min="11273" max="11274" width="0" style="45" hidden="1"/>
    <col min="11275" max="11275" width="2.7109375" style="45" customWidth="1"/>
    <col min="11276" max="11276" width="5.140625" style="45" customWidth="1"/>
    <col min="11277" max="11277" width="14" style="45" customWidth="1"/>
    <col min="11278" max="11278" width="3.5703125" style="45" customWidth="1"/>
    <col min="11279" max="11279" width="6.5703125" style="45" customWidth="1"/>
    <col min="11280" max="11280" width="30.42578125" style="45" customWidth="1"/>
    <col min="11281" max="11281" width="21.5703125" style="45" customWidth="1"/>
    <col min="11282" max="11282" width="6.85546875" style="45" customWidth="1"/>
    <col min="11283" max="11283" width="10" style="45" customWidth="1"/>
    <col min="11284" max="11284" width="5.5703125" style="45" customWidth="1"/>
    <col min="11285" max="11285" width="4" style="45" customWidth="1"/>
    <col min="11286" max="11286" width="3.7109375" style="45" customWidth="1"/>
    <col min="11287" max="11287" width="4.28515625" style="45" customWidth="1"/>
    <col min="11288" max="11288" width="3.42578125" style="45" customWidth="1"/>
    <col min="11289" max="11289" width="4.7109375" style="45" customWidth="1"/>
    <col min="11290" max="11291" width="5.42578125" style="45" customWidth="1"/>
    <col min="11292" max="11292" width="10.28515625" style="45" customWidth="1"/>
    <col min="11293" max="11293" width="4.42578125" style="45" customWidth="1"/>
    <col min="11294" max="11294" width="4.28515625" style="45" customWidth="1"/>
    <col min="11295" max="11295" width="4" style="45" customWidth="1"/>
    <col min="11296" max="11296" width="4.42578125" style="45" customWidth="1"/>
    <col min="11297" max="11297" width="3.85546875" style="45" customWidth="1"/>
    <col min="11298" max="11298" width="4.28515625" style="45" customWidth="1"/>
    <col min="11299" max="11522" width="11.42578125" style="45" customWidth="1"/>
    <col min="11523" max="11523" width="16" style="45" customWidth="1"/>
    <col min="11524" max="11526" width="0" style="45" hidden="1"/>
    <col min="11527" max="11527" width="48.140625" style="45" customWidth="1"/>
    <col min="11528" max="11528" width="9.42578125" style="45" customWidth="1"/>
    <col min="11529" max="11530" width="0" style="45" hidden="1"/>
    <col min="11531" max="11531" width="2.7109375" style="45" customWidth="1"/>
    <col min="11532" max="11532" width="5.140625" style="45" customWidth="1"/>
    <col min="11533" max="11533" width="14" style="45" customWidth="1"/>
    <col min="11534" max="11534" width="3.5703125" style="45" customWidth="1"/>
    <col min="11535" max="11535" width="6.5703125" style="45" customWidth="1"/>
    <col min="11536" max="11536" width="30.42578125" style="45" customWidth="1"/>
    <col min="11537" max="11537" width="21.5703125" style="45" customWidth="1"/>
    <col min="11538" max="11538" width="6.85546875" style="45" customWidth="1"/>
    <col min="11539" max="11539" width="10" style="45" customWidth="1"/>
    <col min="11540" max="11540" width="5.5703125" style="45" customWidth="1"/>
    <col min="11541" max="11541" width="4" style="45" customWidth="1"/>
    <col min="11542" max="11542" width="3.7109375" style="45" customWidth="1"/>
    <col min="11543" max="11543" width="4.28515625" style="45" customWidth="1"/>
    <col min="11544" max="11544" width="3.42578125" style="45" customWidth="1"/>
    <col min="11545" max="11545" width="4.7109375" style="45" customWidth="1"/>
    <col min="11546" max="11547" width="5.42578125" style="45" customWidth="1"/>
    <col min="11548" max="11548" width="10.28515625" style="45" customWidth="1"/>
    <col min="11549" max="11549" width="4.42578125" style="45" customWidth="1"/>
    <col min="11550" max="11550" width="4.28515625" style="45" customWidth="1"/>
    <col min="11551" max="11551" width="4" style="45" customWidth="1"/>
    <col min="11552" max="11552" width="4.42578125" style="45" customWidth="1"/>
    <col min="11553" max="11553" width="3.85546875" style="45" customWidth="1"/>
    <col min="11554" max="11554" width="4.28515625" style="45" customWidth="1"/>
    <col min="11555" max="11778" width="11.42578125" style="45" customWidth="1"/>
    <col min="11779" max="11779" width="16" style="45" customWidth="1"/>
    <col min="11780" max="11782" width="0" style="45" hidden="1"/>
    <col min="11783" max="11783" width="48.140625" style="45" customWidth="1"/>
    <col min="11784" max="11784" width="9.42578125" style="45" customWidth="1"/>
    <col min="11785" max="11786" width="0" style="45" hidden="1"/>
    <col min="11787" max="11787" width="2.7109375" style="45" customWidth="1"/>
    <col min="11788" max="11788" width="5.140625" style="45" customWidth="1"/>
    <col min="11789" max="11789" width="14" style="45" customWidth="1"/>
    <col min="11790" max="11790" width="3.5703125" style="45" customWidth="1"/>
    <col min="11791" max="11791" width="6.5703125" style="45" customWidth="1"/>
    <col min="11792" max="11792" width="30.42578125" style="45" customWidth="1"/>
    <col min="11793" max="11793" width="21.5703125" style="45" customWidth="1"/>
    <col min="11794" max="11794" width="6.85546875" style="45" customWidth="1"/>
    <col min="11795" max="11795" width="10" style="45" customWidth="1"/>
    <col min="11796" max="11796" width="5.5703125" style="45" customWidth="1"/>
    <col min="11797" max="11797" width="4" style="45" customWidth="1"/>
    <col min="11798" max="11798" width="3.7109375" style="45" customWidth="1"/>
    <col min="11799" max="11799" width="4.28515625" style="45" customWidth="1"/>
    <col min="11800" max="11800" width="3.42578125" style="45" customWidth="1"/>
    <col min="11801" max="11801" width="4.7109375" style="45" customWidth="1"/>
    <col min="11802" max="11803" width="5.42578125" style="45" customWidth="1"/>
    <col min="11804" max="11804" width="10.28515625" style="45" customWidth="1"/>
    <col min="11805" max="11805" width="4.42578125" style="45" customWidth="1"/>
    <col min="11806" max="11806" width="4.28515625" style="45" customWidth="1"/>
    <col min="11807" max="11807" width="4" style="45" customWidth="1"/>
    <col min="11808" max="11808" width="4.42578125" style="45" customWidth="1"/>
    <col min="11809" max="11809" width="3.85546875" style="45" customWidth="1"/>
    <col min="11810" max="11810" width="4.28515625" style="45" customWidth="1"/>
    <col min="11811" max="12034" width="11.42578125" style="45" customWidth="1"/>
    <col min="12035" max="12035" width="16" style="45" customWidth="1"/>
    <col min="12036" max="12038" width="0" style="45" hidden="1"/>
    <col min="12039" max="12039" width="48.140625" style="45" customWidth="1"/>
    <col min="12040" max="12040" width="9.42578125" style="45" customWidth="1"/>
    <col min="12041" max="12042" width="0" style="45" hidden="1"/>
    <col min="12043" max="12043" width="2.7109375" style="45" customWidth="1"/>
    <col min="12044" max="12044" width="5.140625" style="45" customWidth="1"/>
    <col min="12045" max="12045" width="14" style="45" customWidth="1"/>
    <col min="12046" max="12046" width="3.5703125" style="45" customWidth="1"/>
    <col min="12047" max="12047" width="6.5703125" style="45" customWidth="1"/>
    <col min="12048" max="12048" width="30.42578125" style="45" customWidth="1"/>
    <col min="12049" max="12049" width="21.5703125" style="45" customWidth="1"/>
    <col min="12050" max="12050" width="6.85546875" style="45" customWidth="1"/>
    <col min="12051" max="12051" width="10" style="45" customWidth="1"/>
    <col min="12052" max="12052" width="5.5703125" style="45" customWidth="1"/>
    <col min="12053" max="12053" width="4" style="45" customWidth="1"/>
    <col min="12054" max="12054" width="3.7109375" style="45" customWidth="1"/>
    <col min="12055" max="12055" width="4.28515625" style="45" customWidth="1"/>
    <col min="12056" max="12056" width="3.42578125" style="45" customWidth="1"/>
    <col min="12057" max="12057" width="4.7109375" style="45" customWidth="1"/>
    <col min="12058" max="12059" width="5.42578125" style="45" customWidth="1"/>
    <col min="12060" max="12060" width="10.28515625" style="45" customWidth="1"/>
    <col min="12061" max="12061" width="4.42578125" style="45" customWidth="1"/>
    <col min="12062" max="12062" width="4.28515625" style="45" customWidth="1"/>
    <col min="12063" max="12063" width="4" style="45" customWidth="1"/>
    <col min="12064" max="12064" width="4.42578125" style="45" customWidth="1"/>
    <col min="12065" max="12065" width="3.85546875" style="45" customWidth="1"/>
    <col min="12066" max="12066" width="4.28515625" style="45" customWidth="1"/>
    <col min="12067" max="12290" width="11.42578125" style="45" customWidth="1"/>
    <col min="12291" max="12291" width="16" style="45" customWidth="1"/>
    <col min="12292" max="12294" width="0" style="45" hidden="1"/>
    <col min="12295" max="12295" width="48.140625" style="45" customWidth="1"/>
    <col min="12296" max="12296" width="9.42578125" style="45" customWidth="1"/>
    <col min="12297" max="12298" width="0" style="45" hidden="1"/>
    <col min="12299" max="12299" width="2.7109375" style="45" customWidth="1"/>
    <col min="12300" max="12300" width="5.140625" style="45" customWidth="1"/>
    <col min="12301" max="12301" width="14" style="45" customWidth="1"/>
    <col min="12302" max="12302" width="3.5703125" style="45" customWidth="1"/>
    <col min="12303" max="12303" width="6.5703125" style="45" customWidth="1"/>
    <col min="12304" max="12304" width="30.42578125" style="45" customWidth="1"/>
    <col min="12305" max="12305" width="21.5703125" style="45" customWidth="1"/>
    <col min="12306" max="12306" width="6.85546875" style="45" customWidth="1"/>
    <col min="12307" max="12307" width="10" style="45" customWidth="1"/>
    <col min="12308" max="12308" width="5.5703125" style="45" customWidth="1"/>
    <col min="12309" max="12309" width="4" style="45" customWidth="1"/>
    <col min="12310" max="12310" width="3.7109375" style="45" customWidth="1"/>
    <col min="12311" max="12311" width="4.28515625" style="45" customWidth="1"/>
    <col min="12312" max="12312" width="3.42578125" style="45" customWidth="1"/>
    <col min="12313" max="12313" width="4.7109375" style="45" customWidth="1"/>
    <col min="12314" max="12315" width="5.42578125" style="45" customWidth="1"/>
    <col min="12316" max="12316" width="10.28515625" style="45" customWidth="1"/>
    <col min="12317" max="12317" width="4.42578125" style="45" customWidth="1"/>
    <col min="12318" max="12318" width="4.28515625" style="45" customWidth="1"/>
    <col min="12319" max="12319" width="4" style="45" customWidth="1"/>
    <col min="12320" max="12320" width="4.42578125" style="45" customWidth="1"/>
    <col min="12321" max="12321" width="3.85546875" style="45" customWidth="1"/>
    <col min="12322" max="12322" width="4.28515625" style="45" customWidth="1"/>
    <col min="12323" max="12546" width="11.42578125" style="45" customWidth="1"/>
    <col min="12547" max="12547" width="16" style="45" customWidth="1"/>
    <col min="12548" max="12550" width="0" style="45" hidden="1"/>
    <col min="12551" max="12551" width="48.140625" style="45" customWidth="1"/>
    <col min="12552" max="12552" width="9.42578125" style="45" customWidth="1"/>
    <col min="12553" max="12554" width="0" style="45" hidden="1"/>
    <col min="12555" max="12555" width="2.7109375" style="45" customWidth="1"/>
    <col min="12556" max="12556" width="5.140625" style="45" customWidth="1"/>
    <col min="12557" max="12557" width="14" style="45" customWidth="1"/>
    <col min="12558" max="12558" width="3.5703125" style="45" customWidth="1"/>
    <col min="12559" max="12559" width="6.5703125" style="45" customWidth="1"/>
    <col min="12560" max="12560" width="30.42578125" style="45" customWidth="1"/>
    <col min="12561" max="12561" width="21.5703125" style="45" customWidth="1"/>
    <col min="12562" max="12562" width="6.85546875" style="45" customWidth="1"/>
    <col min="12563" max="12563" width="10" style="45" customWidth="1"/>
    <col min="12564" max="12564" width="5.5703125" style="45" customWidth="1"/>
    <col min="12565" max="12565" width="4" style="45" customWidth="1"/>
    <col min="12566" max="12566" width="3.7109375" style="45" customWidth="1"/>
    <col min="12567" max="12567" width="4.28515625" style="45" customWidth="1"/>
    <col min="12568" max="12568" width="3.42578125" style="45" customWidth="1"/>
    <col min="12569" max="12569" width="4.7109375" style="45" customWidth="1"/>
    <col min="12570" max="12571" width="5.42578125" style="45" customWidth="1"/>
    <col min="12572" max="12572" width="10.28515625" style="45" customWidth="1"/>
    <col min="12573" max="12573" width="4.42578125" style="45" customWidth="1"/>
    <col min="12574" max="12574" width="4.28515625" style="45" customWidth="1"/>
    <col min="12575" max="12575" width="4" style="45" customWidth="1"/>
    <col min="12576" max="12576" width="4.42578125" style="45" customWidth="1"/>
    <col min="12577" max="12577" width="3.85546875" style="45" customWidth="1"/>
    <col min="12578" max="12578" width="4.28515625" style="45" customWidth="1"/>
    <col min="12579" max="12802" width="11.42578125" style="45" customWidth="1"/>
    <col min="12803" max="12803" width="16" style="45" customWidth="1"/>
    <col min="12804" max="12806" width="0" style="45" hidden="1"/>
    <col min="12807" max="12807" width="48.140625" style="45" customWidth="1"/>
    <col min="12808" max="12808" width="9.42578125" style="45" customWidth="1"/>
    <col min="12809" max="12810" width="0" style="45" hidden="1"/>
    <col min="12811" max="12811" width="2.7109375" style="45" customWidth="1"/>
    <col min="12812" max="12812" width="5.140625" style="45" customWidth="1"/>
    <col min="12813" max="12813" width="14" style="45" customWidth="1"/>
    <col min="12814" max="12814" width="3.5703125" style="45" customWidth="1"/>
    <col min="12815" max="12815" width="6.5703125" style="45" customWidth="1"/>
    <col min="12816" max="12816" width="30.42578125" style="45" customWidth="1"/>
    <col min="12817" max="12817" width="21.5703125" style="45" customWidth="1"/>
    <col min="12818" max="12818" width="6.85546875" style="45" customWidth="1"/>
    <col min="12819" max="12819" width="10" style="45" customWidth="1"/>
    <col min="12820" max="12820" width="5.5703125" style="45" customWidth="1"/>
    <col min="12821" max="12821" width="4" style="45" customWidth="1"/>
    <col min="12822" max="12822" width="3.7109375" style="45" customWidth="1"/>
    <col min="12823" max="12823" width="4.28515625" style="45" customWidth="1"/>
    <col min="12824" max="12824" width="3.42578125" style="45" customWidth="1"/>
    <col min="12825" max="12825" width="4.7109375" style="45" customWidth="1"/>
    <col min="12826" max="12827" width="5.42578125" style="45" customWidth="1"/>
    <col min="12828" max="12828" width="10.28515625" style="45" customWidth="1"/>
    <col min="12829" max="12829" width="4.42578125" style="45" customWidth="1"/>
    <col min="12830" max="12830" width="4.28515625" style="45" customWidth="1"/>
    <col min="12831" max="12831" width="4" style="45" customWidth="1"/>
    <col min="12832" max="12832" width="4.42578125" style="45" customWidth="1"/>
    <col min="12833" max="12833" width="3.85546875" style="45" customWidth="1"/>
    <col min="12834" max="12834" width="4.28515625" style="45" customWidth="1"/>
    <col min="12835" max="13058" width="11.42578125" style="45" customWidth="1"/>
    <col min="13059" max="13059" width="16" style="45" customWidth="1"/>
    <col min="13060" max="13062" width="0" style="45" hidden="1"/>
    <col min="13063" max="13063" width="48.140625" style="45" customWidth="1"/>
    <col min="13064" max="13064" width="9.42578125" style="45" customWidth="1"/>
    <col min="13065" max="13066" width="0" style="45" hidden="1"/>
    <col min="13067" max="13067" width="2.7109375" style="45" customWidth="1"/>
    <col min="13068" max="13068" width="5.140625" style="45" customWidth="1"/>
    <col min="13069" max="13069" width="14" style="45" customWidth="1"/>
    <col min="13070" max="13070" width="3.5703125" style="45" customWidth="1"/>
    <col min="13071" max="13071" width="6.5703125" style="45" customWidth="1"/>
    <col min="13072" max="13072" width="30.42578125" style="45" customWidth="1"/>
    <col min="13073" max="13073" width="21.5703125" style="45" customWidth="1"/>
    <col min="13074" max="13074" width="6.85546875" style="45" customWidth="1"/>
    <col min="13075" max="13075" width="10" style="45" customWidth="1"/>
    <col min="13076" max="13076" width="5.5703125" style="45" customWidth="1"/>
    <col min="13077" max="13077" width="4" style="45" customWidth="1"/>
    <col min="13078" max="13078" width="3.7109375" style="45" customWidth="1"/>
    <col min="13079" max="13079" width="4.28515625" style="45" customWidth="1"/>
    <col min="13080" max="13080" width="3.42578125" style="45" customWidth="1"/>
    <col min="13081" max="13081" width="4.7109375" style="45" customWidth="1"/>
    <col min="13082" max="13083" width="5.42578125" style="45" customWidth="1"/>
    <col min="13084" max="13084" width="10.28515625" style="45" customWidth="1"/>
    <col min="13085" max="13085" width="4.42578125" style="45" customWidth="1"/>
    <col min="13086" max="13086" width="4.28515625" style="45" customWidth="1"/>
    <col min="13087" max="13087" width="4" style="45" customWidth="1"/>
    <col min="13088" max="13088" width="4.42578125" style="45" customWidth="1"/>
    <col min="13089" max="13089" width="3.85546875" style="45" customWidth="1"/>
    <col min="13090" max="13090" width="4.28515625" style="45" customWidth="1"/>
    <col min="13091" max="13314" width="11.42578125" style="45" customWidth="1"/>
    <col min="13315" max="13315" width="16" style="45" customWidth="1"/>
    <col min="13316" max="13318" width="0" style="45" hidden="1"/>
    <col min="13319" max="13319" width="48.140625" style="45" customWidth="1"/>
    <col min="13320" max="13320" width="9.42578125" style="45" customWidth="1"/>
    <col min="13321" max="13322" width="0" style="45" hidden="1"/>
    <col min="13323" max="13323" width="2.7109375" style="45" customWidth="1"/>
    <col min="13324" max="13324" width="5.140625" style="45" customWidth="1"/>
    <col min="13325" max="13325" width="14" style="45" customWidth="1"/>
    <col min="13326" max="13326" width="3.5703125" style="45" customWidth="1"/>
    <col min="13327" max="13327" width="6.5703125" style="45" customWidth="1"/>
    <col min="13328" max="13328" width="30.42578125" style="45" customWidth="1"/>
    <col min="13329" max="13329" width="21.5703125" style="45" customWidth="1"/>
    <col min="13330" max="13330" width="6.85546875" style="45" customWidth="1"/>
    <col min="13331" max="13331" width="10" style="45" customWidth="1"/>
    <col min="13332" max="13332" width="5.5703125" style="45" customWidth="1"/>
    <col min="13333" max="13333" width="4" style="45" customWidth="1"/>
    <col min="13334" max="13334" width="3.7109375" style="45" customWidth="1"/>
    <col min="13335" max="13335" width="4.28515625" style="45" customWidth="1"/>
    <col min="13336" max="13336" width="3.42578125" style="45" customWidth="1"/>
    <col min="13337" max="13337" width="4.7109375" style="45" customWidth="1"/>
    <col min="13338" max="13339" width="5.42578125" style="45" customWidth="1"/>
    <col min="13340" max="13340" width="10.28515625" style="45" customWidth="1"/>
    <col min="13341" max="13341" width="4.42578125" style="45" customWidth="1"/>
    <col min="13342" max="13342" width="4.28515625" style="45" customWidth="1"/>
    <col min="13343" max="13343" width="4" style="45" customWidth="1"/>
    <col min="13344" max="13344" width="4.42578125" style="45" customWidth="1"/>
    <col min="13345" max="13345" width="3.85546875" style="45" customWidth="1"/>
    <col min="13346" max="13346" width="4.28515625" style="45" customWidth="1"/>
    <col min="13347" max="13570" width="11.42578125" style="45" customWidth="1"/>
    <col min="13571" max="13571" width="16" style="45" customWidth="1"/>
    <col min="13572" max="13574" width="0" style="45" hidden="1"/>
    <col min="13575" max="13575" width="48.140625" style="45" customWidth="1"/>
    <col min="13576" max="13576" width="9.42578125" style="45" customWidth="1"/>
    <col min="13577" max="13578" width="0" style="45" hidden="1"/>
    <col min="13579" max="13579" width="2.7109375" style="45" customWidth="1"/>
    <col min="13580" max="13580" width="5.140625" style="45" customWidth="1"/>
    <col min="13581" max="13581" width="14" style="45" customWidth="1"/>
    <col min="13582" max="13582" width="3.5703125" style="45" customWidth="1"/>
    <col min="13583" max="13583" width="6.5703125" style="45" customWidth="1"/>
    <col min="13584" max="13584" width="30.42578125" style="45" customWidth="1"/>
    <col min="13585" max="13585" width="21.5703125" style="45" customWidth="1"/>
    <col min="13586" max="13586" width="6.85546875" style="45" customWidth="1"/>
    <col min="13587" max="13587" width="10" style="45" customWidth="1"/>
    <col min="13588" max="13588" width="5.5703125" style="45" customWidth="1"/>
    <col min="13589" max="13589" width="4" style="45" customWidth="1"/>
    <col min="13590" max="13590" width="3.7109375" style="45" customWidth="1"/>
    <col min="13591" max="13591" width="4.28515625" style="45" customWidth="1"/>
    <col min="13592" max="13592" width="3.42578125" style="45" customWidth="1"/>
    <col min="13593" max="13593" width="4.7109375" style="45" customWidth="1"/>
    <col min="13594" max="13595" width="5.42578125" style="45" customWidth="1"/>
    <col min="13596" max="13596" width="10.28515625" style="45" customWidth="1"/>
    <col min="13597" max="13597" width="4.42578125" style="45" customWidth="1"/>
    <col min="13598" max="13598" width="4.28515625" style="45" customWidth="1"/>
    <col min="13599" max="13599" width="4" style="45" customWidth="1"/>
    <col min="13600" max="13600" width="4.42578125" style="45" customWidth="1"/>
    <col min="13601" max="13601" width="3.85546875" style="45" customWidth="1"/>
    <col min="13602" max="13602" width="4.28515625" style="45" customWidth="1"/>
    <col min="13603" max="13826" width="11.42578125" style="45" customWidth="1"/>
    <col min="13827" max="13827" width="16" style="45" customWidth="1"/>
    <col min="13828" max="13830" width="0" style="45" hidden="1"/>
    <col min="13831" max="13831" width="48.140625" style="45" customWidth="1"/>
    <col min="13832" max="13832" width="9.42578125" style="45" customWidth="1"/>
    <col min="13833" max="13834" width="0" style="45" hidden="1"/>
    <col min="13835" max="13835" width="2.7109375" style="45" customWidth="1"/>
    <col min="13836" max="13836" width="5.140625" style="45" customWidth="1"/>
    <col min="13837" max="13837" width="14" style="45" customWidth="1"/>
    <col min="13838" max="13838" width="3.5703125" style="45" customWidth="1"/>
    <col min="13839" max="13839" width="6.5703125" style="45" customWidth="1"/>
    <col min="13840" max="13840" width="30.42578125" style="45" customWidth="1"/>
    <col min="13841" max="13841" width="21.5703125" style="45" customWidth="1"/>
    <col min="13842" max="13842" width="6.85546875" style="45" customWidth="1"/>
    <col min="13843" max="13843" width="10" style="45" customWidth="1"/>
    <col min="13844" max="13844" width="5.5703125" style="45" customWidth="1"/>
    <col min="13845" max="13845" width="4" style="45" customWidth="1"/>
    <col min="13846" max="13846" width="3.7109375" style="45" customWidth="1"/>
    <col min="13847" max="13847" width="4.28515625" style="45" customWidth="1"/>
    <col min="13848" max="13848" width="3.42578125" style="45" customWidth="1"/>
    <col min="13849" max="13849" width="4.7109375" style="45" customWidth="1"/>
    <col min="13850" max="13851" width="5.42578125" style="45" customWidth="1"/>
    <col min="13852" max="13852" width="10.28515625" style="45" customWidth="1"/>
    <col min="13853" max="13853" width="4.42578125" style="45" customWidth="1"/>
    <col min="13854" max="13854" width="4.28515625" style="45" customWidth="1"/>
    <col min="13855" max="13855" width="4" style="45" customWidth="1"/>
    <col min="13856" max="13856" width="4.42578125" style="45" customWidth="1"/>
    <col min="13857" max="13857" width="3.85546875" style="45" customWidth="1"/>
    <col min="13858" max="13858" width="4.28515625" style="45" customWidth="1"/>
    <col min="13859" max="14082" width="11.42578125" style="45" customWidth="1"/>
    <col min="14083" max="14083" width="16" style="45" customWidth="1"/>
    <col min="14084" max="14086" width="0" style="45" hidden="1"/>
    <col min="14087" max="14087" width="48.140625" style="45" customWidth="1"/>
    <col min="14088" max="14088" width="9.42578125" style="45" customWidth="1"/>
    <col min="14089" max="14090" width="0" style="45" hidden="1"/>
    <col min="14091" max="14091" width="2.7109375" style="45" customWidth="1"/>
    <col min="14092" max="14092" width="5.140625" style="45" customWidth="1"/>
    <col min="14093" max="14093" width="14" style="45" customWidth="1"/>
    <col min="14094" max="14094" width="3.5703125" style="45" customWidth="1"/>
    <col min="14095" max="14095" width="6.5703125" style="45" customWidth="1"/>
    <col min="14096" max="14096" width="30.42578125" style="45" customWidth="1"/>
    <col min="14097" max="14097" width="21.5703125" style="45" customWidth="1"/>
    <col min="14098" max="14098" width="6.85546875" style="45" customWidth="1"/>
    <col min="14099" max="14099" width="10" style="45" customWidth="1"/>
    <col min="14100" max="14100" width="5.5703125" style="45" customWidth="1"/>
    <col min="14101" max="14101" width="4" style="45" customWidth="1"/>
    <col min="14102" max="14102" width="3.7109375" style="45" customWidth="1"/>
    <col min="14103" max="14103" width="4.28515625" style="45" customWidth="1"/>
    <col min="14104" max="14104" width="3.42578125" style="45" customWidth="1"/>
    <col min="14105" max="14105" width="4.7109375" style="45" customWidth="1"/>
    <col min="14106" max="14107" width="5.42578125" style="45" customWidth="1"/>
    <col min="14108" max="14108" width="10.28515625" style="45" customWidth="1"/>
    <col min="14109" max="14109" width="4.42578125" style="45" customWidth="1"/>
    <col min="14110" max="14110" width="4.28515625" style="45" customWidth="1"/>
    <col min="14111" max="14111" width="4" style="45" customWidth="1"/>
    <col min="14112" max="14112" width="4.42578125" style="45" customWidth="1"/>
    <col min="14113" max="14113" width="3.85546875" style="45" customWidth="1"/>
    <col min="14114" max="14114" width="4.28515625" style="45" customWidth="1"/>
    <col min="14115" max="14338" width="11.42578125" style="45" customWidth="1"/>
    <col min="14339" max="14339" width="16" style="45" customWidth="1"/>
    <col min="14340" max="14342" width="0" style="45" hidden="1"/>
    <col min="14343" max="14343" width="48.140625" style="45" customWidth="1"/>
    <col min="14344" max="14344" width="9.42578125" style="45" customWidth="1"/>
    <col min="14345" max="14346" width="0" style="45" hidden="1"/>
    <col min="14347" max="14347" width="2.7109375" style="45" customWidth="1"/>
    <col min="14348" max="14348" width="5.140625" style="45" customWidth="1"/>
    <col min="14349" max="14349" width="14" style="45" customWidth="1"/>
    <col min="14350" max="14350" width="3.5703125" style="45" customWidth="1"/>
    <col min="14351" max="14351" width="6.5703125" style="45" customWidth="1"/>
    <col min="14352" max="14352" width="30.42578125" style="45" customWidth="1"/>
    <col min="14353" max="14353" width="21.5703125" style="45" customWidth="1"/>
    <col min="14354" max="14354" width="6.85546875" style="45" customWidth="1"/>
    <col min="14355" max="14355" width="10" style="45" customWidth="1"/>
    <col min="14356" max="14356" width="5.5703125" style="45" customWidth="1"/>
    <col min="14357" max="14357" width="4" style="45" customWidth="1"/>
    <col min="14358" max="14358" width="3.7109375" style="45" customWidth="1"/>
    <col min="14359" max="14359" width="4.28515625" style="45" customWidth="1"/>
    <col min="14360" max="14360" width="3.42578125" style="45" customWidth="1"/>
    <col min="14361" max="14361" width="4.7109375" style="45" customWidth="1"/>
    <col min="14362" max="14363" width="5.42578125" style="45" customWidth="1"/>
    <col min="14364" max="14364" width="10.28515625" style="45" customWidth="1"/>
    <col min="14365" max="14365" width="4.42578125" style="45" customWidth="1"/>
    <col min="14366" max="14366" width="4.28515625" style="45" customWidth="1"/>
    <col min="14367" max="14367" width="4" style="45" customWidth="1"/>
    <col min="14368" max="14368" width="4.42578125" style="45" customWidth="1"/>
    <col min="14369" max="14369" width="3.85546875" style="45" customWidth="1"/>
    <col min="14370" max="14370" width="4.28515625" style="45" customWidth="1"/>
    <col min="14371" max="14594" width="11.42578125" style="45" customWidth="1"/>
    <col min="14595" max="14595" width="16" style="45" customWidth="1"/>
    <col min="14596" max="14598" width="0" style="45" hidden="1"/>
    <col min="14599" max="14599" width="48.140625" style="45" customWidth="1"/>
    <col min="14600" max="14600" width="9.42578125" style="45" customWidth="1"/>
    <col min="14601" max="14602" width="0" style="45" hidden="1"/>
    <col min="14603" max="14603" width="2.7109375" style="45" customWidth="1"/>
    <col min="14604" max="14604" width="5.140625" style="45" customWidth="1"/>
    <col min="14605" max="14605" width="14" style="45" customWidth="1"/>
    <col min="14606" max="14606" width="3.5703125" style="45" customWidth="1"/>
    <col min="14607" max="14607" width="6.5703125" style="45" customWidth="1"/>
    <col min="14608" max="14608" width="30.42578125" style="45" customWidth="1"/>
    <col min="14609" max="14609" width="21.5703125" style="45" customWidth="1"/>
    <col min="14610" max="14610" width="6.85546875" style="45" customWidth="1"/>
    <col min="14611" max="14611" width="10" style="45" customWidth="1"/>
    <col min="14612" max="14612" width="5.5703125" style="45" customWidth="1"/>
    <col min="14613" max="14613" width="4" style="45" customWidth="1"/>
    <col min="14614" max="14614" width="3.7109375" style="45" customWidth="1"/>
    <col min="14615" max="14615" width="4.28515625" style="45" customWidth="1"/>
    <col min="14616" max="14616" width="3.42578125" style="45" customWidth="1"/>
    <col min="14617" max="14617" width="4.7109375" style="45" customWidth="1"/>
    <col min="14618" max="14619" width="5.42578125" style="45" customWidth="1"/>
    <col min="14620" max="14620" width="10.28515625" style="45" customWidth="1"/>
    <col min="14621" max="14621" width="4.42578125" style="45" customWidth="1"/>
    <col min="14622" max="14622" width="4.28515625" style="45" customWidth="1"/>
    <col min="14623" max="14623" width="4" style="45" customWidth="1"/>
    <col min="14624" max="14624" width="4.42578125" style="45" customWidth="1"/>
    <col min="14625" max="14625" width="3.85546875" style="45" customWidth="1"/>
    <col min="14626" max="14626" width="4.28515625" style="45" customWidth="1"/>
    <col min="14627" max="14850" width="11.42578125" style="45" customWidth="1"/>
    <col min="14851" max="14851" width="16" style="45" customWidth="1"/>
    <col min="14852" max="14854" width="0" style="45" hidden="1"/>
    <col min="14855" max="14855" width="48.140625" style="45" customWidth="1"/>
    <col min="14856" max="14856" width="9.42578125" style="45" customWidth="1"/>
    <col min="14857" max="14858" width="0" style="45" hidden="1"/>
    <col min="14859" max="14859" width="2.7109375" style="45" customWidth="1"/>
    <col min="14860" max="14860" width="5.140625" style="45" customWidth="1"/>
    <col min="14861" max="14861" width="14" style="45" customWidth="1"/>
    <col min="14862" max="14862" width="3.5703125" style="45" customWidth="1"/>
    <col min="14863" max="14863" width="6.5703125" style="45" customWidth="1"/>
    <col min="14864" max="14864" width="30.42578125" style="45" customWidth="1"/>
    <col min="14865" max="14865" width="21.5703125" style="45" customWidth="1"/>
    <col min="14866" max="14866" width="6.85546875" style="45" customWidth="1"/>
    <col min="14867" max="14867" width="10" style="45" customWidth="1"/>
    <col min="14868" max="14868" width="5.5703125" style="45" customWidth="1"/>
    <col min="14869" max="14869" width="4" style="45" customWidth="1"/>
    <col min="14870" max="14870" width="3.7109375" style="45" customWidth="1"/>
    <col min="14871" max="14871" width="4.28515625" style="45" customWidth="1"/>
    <col min="14872" max="14872" width="3.42578125" style="45" customWidth="1"/>
    <col min="14873" max="14873" width="4.7109375" style="45" customWidth="1"/>
    <col min="14874" max="14875" width="5.42578125" style="45" customWidth="1"/>
    <col min="14876" max="14876" width="10.28515625" style="45" customWidth="1"/>
    <col min="14877" max="14877" width="4.42578125" style="45" customWidth="1"/>
    <col min="14878" max="14878" width="4.28515625" style="45" customWidth="1"/>
    <col min="14879" max="14879" width="4" style="45" customWidth="1"/>
    <col min="14880" max="14880" width="4.42578125" style="45" customWidth="1"/>
    <col min="14881" max="14881" width="3.85546875" style="45" customWidth="1"/>
    <col min="14882" max="14882" width="4.28515625" style="45" customWidth="1"/>
    <col min="14883" max="15106" width="11.42578125" style="45" customWidth="1"/>
    <col min="15107" max="15107" width="16" style="45" customWidth="1"/>
    <col min="15108" max="15110" width="0" style="45" hidden="1"/>
    <col min="15111" max="15111" width="48.140625" style="45" customWidth="1"/>
    <col min="15112" max="15112" width="9.42578125" style="45" customWidth="1"/>
    <col min="15113" max="15114" width="0" style="45" hidden="1"/>
    <col min="15115" max="15115" width="2.7109375" style="45" customWidth="1"/>
    <col min="15116" max="15116" width="5.140625" style="45" customWidth="1"/>
    <col min="15117" max="15117" width="14" style="45" customWidth="1"/>
    <col min="15118" max="15118" width="3.5703125" style="45" customWidth="1"/>
    <col min="15119" max="15119" width="6.5703125" style="45" customWidth="1"/>
    <col min="15120" max="15120" width="30.42578125" style="45" customWidth="1"/>
    <col min="15121" max="15121" width="21.5703125" style="45" customWidth="1"/>
    <col min="15122" max="15122" width="6.85546875" style="45" customWidth="1"/>
    <col min="15123" max="15123" width="10" style="45" customWidth="1"/>
    <col min="15124" max="15124" width="5.5703125" style="45" customWidth="1"/>
    <col min="15125" max="15125" width="4" style="45" customWidth="1"/>
    <col min="15126" max="15126" width="3.7109375" style="45" customWidth="1"/>
    <col min="15127" max="15127" width="4.28515625" style="45" customWidth="1"/>
    <col min="15128" max="15128" width="3.42578125" style="45" customWidth="1"/>
    <col min="15129" max="15129" width="4.7109375" style="45" customWidth="1"/>
    <col min="15130" max="15131" width="5.42578125" style="45" customWidth="1"/>
    <col min="15132" max="15132" width="10.28515625" style="45" customWidth="1"/>
    <col min="15133" max="15133" width="4.42578125" style="45" customWidth="1"/>
    <col min="15134" max="15134" width="4.28515625" style="45" customWidth="1"/>
    <col min="15135" max="15135" width="4" style="45" customWidth="1"/>
    <col min="15136" max="15136" width="4.42578125" style="45" customWidth="1"/>
    <col min="15137" max="15137" width="3.85546875" style="45" customWidth="1"/>
    <col min="15138" max="15138" width="4.28515625" style="45" customWidth="1"/>
    <col min="15139" max="15362" width="11.42578125" style="45" customWidth="1"/>
    <col min="15363" max="15363" width="16" style="45" customWidth="1"/>
    <col min="15364" max="15366" width="0" style="45" hidden="1"/>
    <col min="15367" max="15367" width="48.140625" style="45" customWidth="1"/>
    <col min="15368" max="15368" width="9.42578125" style="45" customWidth="1"/>
    <col min="15369" max="15370" width="0" style="45" hidden="1"/>
    <col min="15371" max="15371" width="2.7109375" style="45" customWidth="1"/>
    <col min="15372" max="15372" width="5.140625" style="45" customWidth="1"/>
    <col min="15373" max="15373" width="14" style="45" customWidth="1"/>
    <col min="15374" max="15374" width="3.5703125" style="45" customWidth="1"/>
    <col min="15375" max="15375" width="6.5703125" style="45" customWidth="1"/>
    <col min="15376" max="15376" width="30.42578125" style="45" customWidth="1"/>
    <col min="15377" max="15377" width="21.5703125" style="45" customWidth="1"/>
    <col min="15378" max="15378" width="6.85546875" style="45" customWidth="1"/>
    <col min="15379" max="15379" width="10" style="45" customWidth="1"/>
    <col min="15380" max="15380" width="5.5703125" style="45" customWidth="1"/>
    <col min="15381" max="15381" width="4" style="45" customWidth="1"/>
    <col min="15382" max="15382" width="3.7109375" style="45" customWidth="1"/>
    <col min="15383" max="15383" width="4.28515625" style="45" customWidth="1"/>
    <col min="15384" max="15384" width="3.42578125" style="45" customWidth="1"/>
    <col min="15385" max="15385" width="4.7109375" style="45" customWidth="1"/>
    <col min="15386" max="15387" width="5.42578125" style="45" customWidth="1"/>
    <col min="15388" max="15388" width="10.28515625" style="45" customWidth="1"/>
    <col min="15389" max="15389" width="4.42578125" style="45" customWidth="1"/>
    <col min="15390" max="15390" width="4.28515625" style="45" customWidth="1"/>
    <col min="15391" max="15391" width="4" style="45" customWidth="1"/>
    <col min="15392" max="15392" width="4.42578125" style="45" customWidth="1"/>
    <col min="15393" max="15393" width="3.85546875" style="45" customWidth="1"/>
    <col min="15394" max="15394" width="4.28515625" style="45" customWidth="1"/>
    <col min="15395" max="15618" width="11.42578125" style="45" customWidth="1"/>
    <col min="15619" max="15619" width="16" style="45" customWidth="1"/>
    <col min="15620" max="15622" width="0" style="45" hidden="1"/>
    <col min="15623" max="15623" width="48.140625" style="45" customWidth="1"/>
    <col min="15624" max="15624" width="9.42578125" style="45" customWidth="1"/>
    <col min="15625" max="15626" width="0" style="45" hidden="1"/>
    <col min="15627" max="15627" width="2.7109375" style="45" customWidth="1"/>
    <col min="15628" max="15628" width="5.140625" style="45" customWidth="1"/>
    <col min="15629" max="15629" width="14" style="45" customWidth="1"/>
    <col min="15630" max="15630" width="3.5703125" style="45" customWidth="1"/>
    <col min="15631" max="15631" width="6.5703125" style="45" customWidth="1"/>
    <col min="15632" max="15632" width="30.42578125" style="45" customWidth="1"/>
    <col min="15633" max="15633" width="21.5703125" style="45" customWidth="1"/>
    <col min="15634" max="15634" width="6.85546875" style="45" customWidth="1"/>
    <col min="15635" max="15635" width="10" style="45" customWidth="1"/>
    <col min="15636" max="15636" width="5.5703125" style="45" customWidth="1"/>
    <col min="15637" max="15637" width="4" style="45" customWidth="1"/>
    <col min="15638" max="15638" width="3.7109375" style="45" customWidth="1"/>
    <col min="15639" max="15639" width="4.28515625" style="45" customWidth="1"/>
    <col min="15640" max="15640" width="3.42578125" style="45" customWidth="1"/>
    <col min="15641" max="15641" width="4.7109375" style="45" customWidth="1"/>
    <col min="15642" max="15643" width="5.42578125" style="45" customWidth="1"/>
    <col min="15644" max="15644" width="10.28515625" style="45" customWidth="1"/>
    <col min="15645" max="15645" width="4.42578125" style="45" customWidth="1"/>
    <col min="15646" max="15646" width="4.28515625" style="45" customWidth="1"/>
    <col min="15647" max="15647" width="4" style="45" customWidth="1"/>
    <col min="15648" max="15648" width="4.42578125" style="45" customWidth="1"/>
    <col min="15649" max="15649" width="3.85546875" style="45" customWidth="1"/>
    <col min="15650" max="15650" width="4.28515625" style="45" customWidth="1"/>
    <col min="15651" max="15874" width="11.42578125" style="45" customWidth="1"/>
    <col min="15875" max="15875" width="16" style="45" customWidth="1"/>
    <col min="15876" max="15878" width="0" style="45" hidden="1"/>
    <col min="15879" max="15879" width="48.140625" style="45" customWidth="1"/>
    <col min="15880" max="15880" width="9.42578125" style="45" customWidth="1"/>
    <col min="15881" max="15882" width="0" style="45" hidden="1"/>
    <col min="15883" max="15883" width="2.7109375" style="45" customWidth="1"/>
    <col min="15884" max="15884" width="5.140625" style="45" customWidth="1"/>
    <col min="15885" max="15885" width="14" style="45" customWidth="1"/>
    <col min="15886" max="15886" width="3.5703125" style="45" customWidth="1"/>
    <col min="15887" max="15887" width="6.5703125" style="45" customWidth="1"/>
    <col min="15888" max="15888" width="30.42578125" style="45" customWidth="1"/>
    <col min="15889" max="15889" width="21.5703125" style="45" customWidth="1"/>
    <col min="15890" max="15890" width="6.85546875" style="45" customWidth="1"/>
    <col min="15891" max="15891" width="10" style="45" customWidth="1"/>
    <col min="15892" max="15892" width="5.5703125" style="45" customWidth="1"/>
    <col min="15893" max="15893" width="4" style="45" customWidth="1"/>
    <col min="15894" max="15894" width="3.7109375" style="45" customWidth="1"/>
    <col min="15895" max="15895" width="4.28515625" style="45" customWidth="1"/>
    <col min="15896" max="15896" width="3.42578125" style="45" customWidth="1"/>
    <col min="15897" max="15897" width="4.7109375" style="45" customWidth="1"/>
    <col min="15898" max="15899" width="5.42578125" style="45" customWidth="1"/>
    <col min="15900" max="15900" width="10.28515625" style="45" customWidth="1"/>
    <col min="15901" max="15901" width="4.42578125" style="45" customWidth="1"/>
    <col min="15902" max="15902" width="4.28515625" style="45" customWidth="1"/>
    <col min="15903" max="15903" width="4" style="45" customWidth="1"/>
    <col min="15904" max="15904" width="4.42578125" style="45" customWidth="1"/>
    <col min="15905" max="15905" width="3.85546875" style="45" customWidth="1"/>
    <col min="15906" max="15906" width="4.28515625" style="45" customWidth="1"/>
    <col min="15907" max="16130" width="11.42578125" style="45" customWidth="1"/>
    <col min="16131" max="16131" width="16" style="45" customWidth="1"/>
    <col min="16132" max="16134" width="0" style="45" hidden="1"/>
    <col min="16135" max="16135" width="48.140625" style="45" customWidth="1"/>
    <col min="16136" max="16136" width="9.42578125" style="45" customWidth="1"/>
    <col min="16137" max="16138" width="0" style="45" hidden="1"/>
    <col min="16139" max="16139" width="2.7109375" style="45" customWidth="1"/>
    <col min="16140" max="16140" width="5.140625" style="45" customWidth="1"/>
    <col min="16141" max="16141" width="14" style="45" customWidth="1"/>
    <col min="16142" max="16142" width="3.5703125" style="45" customWidth="1"/>
    <col min="16143" max="16143" width="6.5703125" style="45" customWidth="1"/>
    <col min="16144" max="16144" width="30.42578125" style="45" customWidth="1"/>
    <col min="16145" max="16145" width="21.5703125" style="45" customWidth="1"/>
    <col min="16146" max="16146" width="6.85546875" style="45" customWidth="1"/>
    <col min="16147" max="16147" width="10" style="45" customWidth="1"/>
    <col min="16148" max="16148" width="5.5703125" style="45" customWidth="1"/>
    <col min="16149" max="16149" width="4" style="45" customWidth="1"/>
    <col min="16150" max="16150" width="3.7109375" style="45" customWidth="1"/>
    <col min="16151" max="16151" width="4.28515625" style="45" customWidth="1"/>
    <col min="16152" max="16152" width="3.42578125" style="45" customWidth="1"/>
    <col min="16153" max="16153" width="4.7109375" style="45" customWidth="1"/>
    <col min="16154" max="16155" width="5.42578125" style="45" customWidth="1"/>
    <col min="16156" max="16156" width="10.28515625" style="45" customWidth="1"/>
    <col min="16157" max="16157" width="4.42578125" style="45" customWidth="1"/>
    <col min="16158" max="16158" width="4.28515625" style="45" customWidth="1"/>
    <col min="16159" max="16159" width="4" style="45" customWidth="1"/>
    <col min="16160" max="16160" width="4.42578125" style="45" customWidth="1"/>
    <col min="16161" max="16161" width="3.85546875" style="45" customWidth="1"/>
    <col min="16162" max="16162" width="4.28515625" style="45" customWidth="1"/>
    <col min="16163" max="16384" width="11.42578125" style="45" customWidth="1"/>
  </cols>
  <sheetData>
    <row r="1" spans="1:34">
      <c r="A1" s="981"/>
      <c r="B1" s="982"/>
      <c r="C1" s="983"/>
      <c r="D1" s="981"/>
      <c r="E1" s="981"/>
      <c r="F1" s="986" t="s">
        <v>65</v>
      </c>
      <c r="G1" s="981"/>
      <c r="H1" s="981"/>
      <c r="I1" s="981"/>
      <c r="J1" s="981"/>
      <c r="K1" s="981"/>
      <c r="L1" s="988">
        <v>269101</v>
      </c>
      <c r="M1" s="896"/>
      <c r="N1" s="896"/>
      <c r="O1" s="896"/>
      <c r="P1" s="116"/>
      <c r="Q1" s="992"/>
      <c r="R1" s="1584" t="s">
        <v>66</v>
      </c>
      <c r="S1" s="1585"/>
      <c r="T1" s="1585"/>
      <c r="U1" s="1585"/>
      <c r="V1" s="1585"/>
      <c r="W1" s="1585"/>
      <c r="X1" s="1000"/>
      <c r="Y1" s="1000"/>
      <c r="Z1" s="1000"/>
      <c r="AA1" s="1000"/>
      <c r="AB1" s="1000"/>
      <c r="AC1" s="1001"/>
      <c r="AD1" s="1001"/>
      <c r="AE1" s="1001"/>
      <c r="AF1" s="1001"/>
      <c r="AG1" s="1001"/>
      <c r="AH1" s="1001"/>
    </row>
    <row r="2" spans="1:34" ht="48" customHeight="1">
      <c r="A2" s="981"/>
      <c r="B2" s="984"/>
      <c r="C2" s="983" t="s">
        <v>67</v>
      </c>
      <c r="D2" s="746">
        <v>3503</v>
      </c>
      <c r="E2" s="746">
        <v>3504</v>
      </c>
      <c r="F2" s="746">
        <v>3702</v>
      </c>
      <c r="G2" s="746">
        <v>3703</v>
      </c>
      <c r="H2" s="746">
        <v>3506</v>
      </c>
      <c r="I2" s="746">
        <v>3507</v>
      </c>
      <c r="J2" s="746">
        <v>3508</v>
      </c>
      <c r="K2" s="746">
        <v>3706</v>
      </c>
      <c r="L2" s="746">
        <v>3707</v>
      </c>
      <c r="M2" s="989">
        <v>3708</v>
      </c>
      <c r="N2" s="989">
        <v>3709</v>
      </c>
      <c r="O2" s="495">
        <v>3792</v>
      </c>
      <c r="P2" s="495"/>
      <c r="Q2" s="406" t="s">
        <v>81</v>
      </c>
      <c r="R2" s="834" t="s">
        <v>82</v>
      </c>
      <c r="S2" s="834" t="s">
        <v>83</v>
      </c>
      <c r="T2" s="834" t="s">
        <v>84</v>
      </c>
      <c r="U2" s="834" t="s">
        <v>85</v>
      </c>
      <c r="V2" s="834" t="s">
        <v>86</v>
      </c>
      <c r="W2" s="834" t="s">
        <v>87</v>
      </c>
      <c r="X2" s="999" t="s">
        <v>88</v>
      </c>
      <c r="Y2" s="999" t="s">
        <v>89</v>
      </c>
      <c r="Z2" s="999" t="s">
        <v>90</v>
      </c>
      <c r="AA2" s="999" t="s">
        <v>91</v>
      </c>
      <c r="AB2" s="999" t="s">
        <v>92</v>
      </c>
      <c r="AC2" s="1014" t="s">
        <v>82</v>
      </c>
      <c r="AD2" s="1014" t="s">
        <v>83</v>
      </c>
      <c r="AE2" s="1014" t="s">
        <v>84</v>
      </c>
      <c r="AF2" s="1014" t="s">
        <v>85</v>
      </c>
      <c r="AG2" s="1014" t="s">
        <v>86</v>
      </c>
      <c r="AH2" s="1014" t="s">
        <v>87</v>
      </c>
    </row>
    <row r="3" spans="1:34" ht="71.25" customHeight="1">
      <c r="A3" s="981" t="s">
        <v>68</v>
      </c>
      <c r="B3" s="985"/>
      <c r="C3" s="983">
        <v>401</v>
      </c>
      <c r="D3" s="85" t="s">
        <v>69</v>
      </c>
      <c r="E3" s="85" t="s">
        <v>70</v>
      </c>
      <c r="F3" s="86" t="s">
        <v>71</v>
      </c>
      <c r="G3" s="85" t="s">
        <v>72</v>
      </c>
      <c r="H3" s="85" t="s">
        <v>73</v>
      </c>
      <c r="I3" s="85" t="s">
        <v>74</v>
      </c>
      <c r="J3" s="85" t="s">
        <v>75</v>
      </c>
      <c r="K3" s="85" t="s">
        <v>76</v>
      </c>
      <c r="L3" s="987" t="s">
        <v>261</v>
      </c>
      <c r="M3" s="422" t="s">
        <v>78</v>
      </c>
      <c r="N3" s="422" t="s">
        <v>79</v>
      </c>
      <c r="O3" s="423" t="s">
        <v>80</v>
      </c>
      <c r="P3" s="423"/>
      <c r="Q3" s="992"/>
      <c r="R3" s="1075"/>
      <c r="S3" s="834"/>
      <c r="T3" s="834"/>
      <c r="U3" s="834"/>
      <c r="V3" s="834"/>
      <c r="W3" s="834"/>
      <c r="X3" s="999"/>
      <c r="Y3" s="999"/>
      <c r="Z3" s="999" t="s">
        <v>95</v>
      </c>
      <c r="AA3" s="999" t="s">
        <v>95</v>
      </c>
      <c r="AB3" s="1000"/>
      <c r="AC3" s="1001"/>
      <c r="AD3" s="1001"/>
      <c r="AE3" s="1001"/>
      <c r="AF3" s="1001"/>
      <c r="AG3" s="1001"/>
      <c r="AH3" s="1001"/>
    </row>
    <row r="4" spans="1:34" ht="12.75" customHeight="1">
      <c r="A4" s="981"/>
      <c r="B4" s="985"/>
      <c r="C4" s="983">
        <v>662</v>
      </c>
      <c r="D4" s="86"/>
      <c r="E4" s="86"/>
      <c r="F4" s="86" t="s">
        <v>72</v>
      </c>
      <c r="G4" s="86"/>
      <c r="H4" s="86"/>
      <c r="I4" s="86"/>
      <c r="J4" s="86"/>
      <c r="K4" s="86"/>
      <c r="L4" s="987" t="s">
        <v>93</v>
      </c>
      <c r="M4" s="425"/>
      <c r="N4" s="425"/>
      <c r="O4" s="426"/>
      <c r="P4" s="426"/>
      <c r="Q4" s="992"/>
      <c r="R4" s="994" t="s">
        <v>94</v>
      </c>
      <c r="S4" s="995"/>
      <c r="T4" s="995"/>
      <c r="U4" s="995"/>
      <c r="V4" s="995"/>
      <c r="W4" s="995"/>
      <c r="X4" s="1000"/>
      <c r="Y4" s="1000"/>
      <c r="Z4" s="1003"/>
      <c r="AA4" s="1003"/>
      <c r="AB4" s="1003"/>
      <c r="AC4" s="1001"/>
      <c r="AD4" s="1001"/>
      <c r="AE4" s="1001"/>
      <c r="AF4" s="1001"/>
      <c r="AG4" s="1001"/>
      <c r="AH4" s="1001"/>
    </row>
    <row r="5" spans="1:34">
      <c r="A5" s="981"/>
      <c r="B5" s="985"/>
      <c r="C5" s="983">
        <v>493</v>
      </c>
      <c r="D5" s="86"/>
      <c r="E5" s="86"/>
      <c r="F5" s="86" t="s">
        <v>75</v>
      </c>
      <c r="G5" s="86"/>
      <c r="H5" s="86"/>
      <c r="I5" s="86"/>
      <c r="J5" s="86"/>
      <c r="K5" s="86"/>
      <c r="L5" s="987">
        <v>0</v>
      </c>
      <c r="M5" s="425"/>
      <c r="N5" s="425"/>
      <c r="O5" s="426"/>
      <c r="P5" s="426"/>
      <c r="Q5" s="992"/>
      <c r="R5" s="995"/>
      <c r="S5" s="995"/>
      <c r="T5" s="995"/>
      <c r="U5" s="995"/>
      <c r="V5" s="995"/>
      <c r="W5" s="995"/>
      <c r="X5" s="1000"/>
      <c r="Y5" s="1000"/>
      <c r="Z5" s="1000"/>
      <c r="AA5" s="1000"/>
      <c r="AB5" s="1000"/>
      <c r="AC5" s="1001"/>
      <c r="AD5" s="1001"/>
      <c r="AE5" s="1001"/>
      <c r="AF5" s="1001"/>
      <c r="AG5" s="1001"/>
      <c r="AH5" s="1001"/>
    </row>
    <row r="6" spans="1:34" ht="12.75" customHeight="1">
      <c r="A6" s="981"/>
      <c r="B6" s="985"/>
      <c r="C6" s="983">
        <v>403</v>
      </c>
      <c r="D6" s="86"/>
      <c r="E6" s="86"/>
      <c r="F6" s="86" t="s">
        <v>76</v>
      </c>
      <c r="G6" s="86"/>
      <c r="H6" s="86"/>
      <c r="I6" s="86"/>
      <c r="J6" s="86"/>
      <c r="K6" s="86"/>
      <c r="L6" s="987" t="s">
        <v>96</v>
      </c>
      <c r="M6" s="425"/>
      <c r="N6" s="425"/>
      <c r="O6" s="426"/>
      <c r="P6" s="426"/>
      <c r="Q6" s="992"/>
      <c r="R6" s="996"/>
      <c r="S6" s="996"/>
      <c r="T6" s="996"/>
      <c r="U6" s="996"/>
      <c r="V6" s="996"/>
      <c r="W6" s="996"/>
      <c r="X6" s="1000"/>
      <c r="Y6" s="1000"/>
      <c r="Z6" s="1002"/>
      <c r="AA6" s="1002"/>
      <c r="AB6" s="1003"/>
      <c r="AC6" s="1001"/>
      <c r="AD6" s="1001"/>
      <c r="AE6" s="1001"/>
      <c r="AF6" s="1001"/>
      <c r="AG6" s="1001"/>
      <c r="AH6" s="1001"/>
    </row>
    <row r="7" spans="1:34">
      <c r="A7" s="810">
        <v>269101</v>
      </c>
      <c r="B7" s="1006" t="s">
        <v>97</v>
      </c>
      <c r="C7" s="1007"/>
      <c r="D7" s="1008" t="s">
        <v>98</v>
      </c>
      <c r="E7" s="1009">
        <v>0</v>
      </c>
      <c r="F7" s="1010" t="s">
        <v>261</v>
      </c>
      <c r="G7" s="811" t="s">
        <v>93</v>
      </c>
      <c r="H7" s="1011" t="s">
        <v>98</v>
      </c>
      <c r="I7" s="1011" t="s">
        <v>98</v>
      </c>
      <c r="J7" s="812">
        <v>0</v>
      </c>
      <c r="K7" s="811" t="s">
        <v>96</v>
      </c>
      <c r="L7" s="1076">
        <v>1</v>
      </c>
      <c r="M7" s="91"/>
      <c r="N7" s="92"/>
      <c r="O7" s="93"/>
      <c r="P7" s="93"/>
      <c r="Q7" s="378"/>
      <c r="R7" s="853"/>
      <c r="S7" s="853"/>
      <c r="T7" s="853"/>
      <c r="U7" s="853"/>
      <c r="V7" s="853"/>
      <c r="W7" s="853"/>
      <c r="X7" s="1025"/>
      <c r="Y7" s="1015"/>
      <c r="Z7" s="1015"/>
      <c r="AA7" s="1015"/>
      <c r="AB7" s="1015"/>
      <c r="AC7" s="1016"/>
      <c r="AD7" s="1016"/>
      <c r="AE7" s="1016"/>
      <c r="AF7" s="1016"/>
      <c r="AG7" s="1016"/>
      <c r="AH7" s="1016"/>
    </row>
    <row r="8" spans="1:34" ht="21.75" customHeight="1">
      <c r="A8" s="1108">
        <v>255781</v>
      </c>
      <c r="B8" s="1006" t="s">
        <v>221</v>
      </c>
      <c r="C8" s="1007"/>
      <c r="D8" s="1081">
        <v>5</v>
      </c>
      <c r="E8" s="1082" t="s">
        <v>98</v>
      </c>
      <c r="F8" s="1092" t="s">
        <v>262</v>
      </c>
      <c r="G8" s="814" t="s">
        <v>93</v>
      </c>
      <c r="H8" s="822" t="s">
        <v>98</v>
      </c>
      <c r="I8" s="822" t="s">
        <v>98</v>
      </c>
      <c r="J8" s="815">
        <v>0</v>
      </c>
      <c r="K8" s="814" t="s">
        <v>96</v>
      </c>
      <c r="L8" s="1084">
        <v>0.71721311475409821</v>
      </c>
      <c r="M8" s="816">
        <v>1</v>
      </c>
      <c r="N8" s="817">
        <v>1.0779537044351351</v>
      </c>
      <c r="O8" s="1096" t="s">
        <v>263</v>
      </c>
      <c r="P8" s="206"/>
      <c r="Q8" s="378" t="s">
        <v>264</v>
      </c>
      <c r="R8" s="1087">
        <v>1</v>
      </c>
      <c r="S8" s="1087">
        <v>3</v>
      </c>
      <c r="T8" s="1087">
        <v>2</v>
      </c>
      <c r="U8" s="1087">
        <v>1</v>
      </c>
      <c r="V8" s="1087">
        <v>1</v>
      </c>
      <c r="W8" s="1087">
        <v>1</v>
      </c>
      <c r="X8" s="1087">
        <v>3</v>
      </c>
      <c r="Y8" s="1088">
        <v>1.05</v>
      </c>
      <c r="Z8" s="1088">
        <v>1.0587041087527549</v>
      </c>
      <c r="AA8" s="1088">
        <v>1.0779537044351351</v>
      </c>
      <c r="AB8" s="1088" t="s">
        <v>265</v>
      </c>
      <c r="AC8" s="1089">
        <v>1</v>
      </c>
      <c r="AD8" s="1089">
        <v>1.05</v>
      </c>
      <c r="AE8" s="1089">
        <v>1.03</v>
      </c>
      <c r="AF8" s="1089">
        <v>1</v>
      </c>
      <c r="AG8" s="1089">
        <v>1</v>
      </c>
      <c r="AH8" s="1089">
        <v>1</v>
      </c>
    </row>
    <row r="9" spans="1:34">
      <c r="A9" s="810">
        <v>256910</v>
      </c>
      <c r="B9" s="1006"/>
      <c r="C9" s="1007"/>
      <c r="D9" s="1018">
        <v>5</v>
      </c>
      <c r="E9" s="1019" t="s">
        <v>98</v>
      </c>
      <c r="F9" s="1023" t="s">
        <v>266</v>
      </c>
      <c r="G9" s="818" t="s">
        <v>93</v>
      </c>
      <c r="H9" s="821" t="s">
        <v>98</v>
      </c>
      <c r="I9" s="821" t="s">
        <v>98</v>
      </c>
      <c r="J9" s="819">
        <v>0</v>
      </c>
      <c r="K9" s="818" t="s">
        <v>96</v>
      </c>
      <c r="L9" s="1021">
        <v>0.30737704918032782</v>
      </c>
      <c r="M9" s="820">
        <v>1</v>
      </c>
      <c r="N9" s="813">
        <v>1.2179505318205299</v>
      </c>
      <c r="O9" s="1051" t="s">
        <v>267</v>
      </c>
      <c r="P9" s="206"/>
      <c r="Q9" s="378" t="s">
        <v>268</v>
      </c>
      <c r="R9" s="838">
        <v>1</v>
      </c>
      <c r="S9" s="838">
        <v>3</v>
      </c>
      <c r="T9" s="838">
        <v>2</v>
      </c>
      <c r="U9" s="838">
        <v>1</v>
      </c>
      <c r="V9" s="838">
        <v>3</v>
      </c>
      <c r="W9" s="838">
        <v>1</v>
      </c>
      <c r="X9" s="838">
        <v>3</v>
      </c>
      <c r="Y9" s="1090">
        <v>1.05</v>
      </c>
      <c r="Z9" s="1090">
        <v>1.2105049293582959</v>
      </c>
      <c r="AA9" s="1090">
        <v>1.2179505318205299</v>
      </c>
      <c r="AB9" s="1090" t="s">
        <v>269</v>
      </c>
      <c r="AC9" s="1091">
        <v>1</v>
      </c>
      <c r="AD9" s="1091">
        <v>1.05</v>
      </c>
      <c r="AE9" s="1091">
        <v>1.03</v>
      </c>
      <c r="AF9" s="1091">
        <v>1</v>
      </c>
      <c r="AG9" s="1091">
        <v>1.2</v>
      </c>
      <c r="AH9" s="1091">
        <v>1</v>
      </c>
    </row>
    <row r="10" spans="1:34">
      <c r="A10" s="810">
        <v>268919</v>
      </c>
      <c r="B10" s="1006"/>
      <c r="C10" s="1007"/>
      <c r="D10" s="1081">
        <v>5</v>
      </c>
      <c r="E10" s="1082" t="s">
        <v>98</v>
      </c>
      <c r="F10" s="1092" t="s">
        <v>270</v>
      </c>
      <c r="G10" s="814" t="s">
        <v>93</v>
      </c>
      <c r="H10" s="822" t="s">
        <v>98</v>
      </c>
      <c r="I10" s="822" t="s">
        <v>98</v>
      </c>
      <c r="J10" s="815">
        <v>0</v>
      </c>
      <c r="K10" s="814" t="s">
        <v>96</v>
      </c>
      <c r="L10" s="1084">
        <v>1</v>
      </c>
      <c r="M10" s="816">
        <v>1</v>
      </c>
      <c r="N10" s="817">
        <v>1.1194404629424271</v>
      </c>
      <c r="O10" s="1096" t="s">
        <v>271</v>
      </c>
      <c r="P10" s="206"/>
      <c r="Q10" s="378"/>
      <c r="R10" s="1087">
        <v>1</v>
      </c>
      <c r="S10" s="1087">
        <v>4</v>
      </c>
      <c r="T10" s="1087">
        <v>2</v>
      </c>
      <c r="U10" s="1087">
        <v>3</v>
      </c>
      <c r="V10" s="1087">
        <v>1</v>
      </c>
      <c r="W10" s="1087">
        <v>1</v>
      </c>
      <c r="X10" s="1087">
        <v>3</v>
      </c>
      <c r="Y10" s="1088">
        <v>1.05</v>
      </c>
      <c r="Z10" s="1088">
        <v>1.107089439077465</v>
      </c>
      <c r="AA10" s="1088">
        <v>1.1194404629424271</v>
      </c>
      <c r="AB10" s="1088" t="s">
        <v>272</v>
      </c>
      <c r="AC10" s="1089">
        <v>1</v>
      </c>
      <c r="AD10" s="1089">
        <v>1.1000000000000001</v>
      </c>
      <c r="AE10" s="1089">
        <v>1.03</v>
      </c>
      <c r="AF10" s="1089">
        <v>1.02</v>
      </c>
      <c r="AG10" s="1089">
        <v>1</v>
      </c>
      <c r="AH10" s="1089">
        <v>1</v>
      </c>
    </row>
    <row r="11" spans="1:34" s="46" customFormat="1" ht="24" customHeight="1">
      <c r="A11" s="810">
        <v>269641</v>
      </c>
      <c r="B11" s="1006"/>
      <c r="C11" s="1007"/>
      <c r="D11" s="1078">
        <v>5</v>
      </c>
      <c r="E11" s="1079" t="s">
        <v>98</v>
      </c>
      <c r="F11" s="1023" t="s">
        <v>114</v>
      </c>
      <c r="G11" s="818" t="s">
        <v>93</v>
      </c>
      <c r="H11" s="821" t="s">
        <v>98</v>
      </c>
      <c r="I11" s="821" t="s">
        <v>98</v>
      </c>
      <c r="J11" s="819">
        <v>0</v>
      </c>
      <c r="K11" s="818" t="s">
        <v>115</v>
      </c>
      <c r="L11" s="1021">
        <v>0.1024590163934426</v>
      </c>
      <c r="M11" s="820">
        <v>1</v>
      </c>
      <c r="N11" s="813">
        <v>2.09499413010681</v>
      </c>
      <c r="O11" s="1080" t="s">
        <v>273</v>
      </c>
      <c r="P11" s="790"/>
      <c r="Q11" s="378" t="s">
        <v>116</v>
      </c>
      <c r="R11" s="838">
        <v>4</v>
      </c>
      <c r="S11" s="838">
        <v>5</v>
      </c>
      <c r="T11" s="838" t="s">
        <v>106</v>
      </c>
      <c r="U11" s="838" t="s">
        <v>106</v>
      </c>
      <c r="V11" s="838" t="s">
        <v>106</v>
      </c>
      <c r="W11" s="838" t="s">
        <v>106</v>
      </c>
      <c r="X11" s="838">
        <v>5</v>
      </c>
      <c r="Y11" s="1090">
        <v>2</v>
      </c>
      <c r="Z11" s="1090">
        <v>1.294133835315104</v>
      </c>
      <c r="AA11" s="1090">
        <v>2.09499413010681</v>
      </c>
      <c r="AB11" s="1090" t="s">
        <v>274</v>
      </c>
      <c r="AC11" s="1091">
        <v>1.2</v>
      </c>
      <c r="AD11" s="1091">
        <v>1.2</v>
      </c>
      <c r="AE11" s="1091">
        <v>1</v>
      </c>
      <c r="AF11" s="1091">
        <v>1</v>
      </c>
      <c r="AG11" s="1091">
        <v>1</v>
      </c>
      <c r="AH11" s="1091">
        <v>1</v>
      </c>
    </row>
    <row r="12" spans="1:34" s="46" customFormat="1" ht="24" customHeight="1">
      <c r="A12" s="810">
        <v>160371</v>
      </c>
      <c r="B12" s="1006"/>
      <c r="C12" s="1007"/>
      <c r="D12" s="1109">
        <v>5</v>
      </c>
      <c r="E12" s="1110" t="s">
        <v>98</v>
      </c>
      <c r="F12" s="1092" t="s">
        <v>117</v>
      </c>
      <c r="G12" s="814" t="s">
        <v>93</v>
      </c>
      <c r="H12" s="822" t="s">
        <v>98</v>
      </c>
      <c r="I12" s="822" t="s">
        <v>98</v>
      </c>
      <c r="J12" s="815">
        <v>0</v>
      </c>
      <c r="K12" s="814" t="s">
        <v>115</v>
      </c>
      <c r="L12" s="1084">
        <v>0.61475409836065553</v>
      </c>
      <c r="M12" s="816">
        <v>1</v>
      </c>
      <c r="N12" s="817">
        <v>2.09499413010681</v>
      </c>
      <c r="O12" s="1111" t="s">
        <v>273</v>
      </c>
      <c r="P12" s="790"/>
      <c r="Q12" s="378" t="s">
        <v>116</v>
      </c>
      <c r="R12" s="1087">
        <v>4</v>
      </c>
      <c r="S12" s="1087">
        <v>5</v>
      </c>
      <c r="T12" s="1087" t="s">
        <v>106</v>
      </c>
      <c r="U12" s="1087" t="s">
        <v>106</v>
      </c>
      <c r="V12" s="1087" t="s">
        <v>106</v>
      </c>
      <c r="W12" s="1087" t="s">
        <v>106</v>
      </c>
      <c r="X12" s="1087">
        <v>5</v>
      </c>
      <c r="Y12" s="1088">
        <v>2</v>
      </c>
      <c r="Z12" s="1088">
        <v>1.294133835315104</v>
      </c>
      <c r="AA12" s="1088">
        <v>2.09499413010681</v>
      </c>
      <c r="AB12" s="1088" t="s">
        <v>274</v>
      </c>
      <c r="AC12" s="1089">
        <v>1.2</v>
      </c>
      <c r="AD12" s="1089">
        <v>1.2</v>
      </c>
      <c r="AE12" s="1089">
        <v>1</v>
      </c>
      <c r="AF12" s="1089">
        <v>1</v>
      </c>
      <c r="AG12" s="1089">
        <v>1</v>
      </c>
      <c r="AH12" s="1089">
        <v>1</v>
      </c>
    </row>
    <row r="13" spans="1:34">
      <c r="L13" s="417"/>
      <c r="U13" s="45"/>
      <c r="V13" s="45"/>
      <c r="W13" s="45"/>
      <c r="X13" s="45"/>
    </row>
  </sheetData>
  <mergeCells count="1">
    <mergeCell ref="R1:W1"/>
  </mergeCells>
  <dataValidations xWindow="719" yWindow="764" count="28">
    <dataValidation allowBlank="1" showInputMessage="1" showErrorMessage="1" prompt="always 1" sqref="L7 L65531 L131067 L196603 L262139 L327675 L393211 L458747 L524283 L589819 L655355 L720891 L786427 L851963 L917499 L983035 JI7 JI65531 JI131067 JI196603 JI262139 JI327675 JI393211 JI458747 JI524283 JI589819 JI655355 JI720891 JI786427 JI851963 JI917499 JI983035 TE7 TE65531 TE131067 TE196603 TE262139 TE327675 TE393211 TE458747 TE524283 TE589819 TE655355 TE720891 TE786427 TE851963 TE917499 TE983035 ADA7 ADA65531 ADA131067 ADA196603 ADA262139 ADA327675 ADA393211 ADA458747 ADA524283 ADA589819 ADA655355 ADA720891 ADA786427 ADA851963 ADA917499 ADA983035 AMW7 AMW65531 AMW131067 AMW196603 AMW262139 AMW327675 AMW393211 AMW458747 AMW524283 AMW589819 AMW655355 AMW720891 AMW786427 AMW851963 AMW917499 AMW983035 AWS7 AWS65531 AWS131067 AWS196603 AWS262139 AWS327675 AWS393211 AWS458747 AWS524283 AWS589819 AWS655355 AWS720891 AWS786427 AWS851963 AWS917499 AWS983035 BGO7 BGO65531 BGO131067 BGO196603 BGO262139 BGO327675 BGO393211 BGO458747 BGO524283 BGO589819 BGO655355 BGO720891 BGO786427 BGO851963 BGO917499 BGO983035 BQK7 BQK65531 BQK131067 BQK196603 BQK262139 BQK327675 BQK393211 BQK458747 BQK524283 BQK589819 BQK655355 BQK720891 BQK786427 BQK851963 BQK917499 BQK983035 CAG7 CAG65531 CAG131067 CAG196603 CAG262139 CAG327675 CAG393211 CAG458747 CAG524283 CAG589819 CAG655355 CAG720891 CAG786427 CAG851963 CAG917499 CAG983035 CKC7 CKC65531 CKC131067 CKC196603 CKC262139 CKC327675 CKC393211 CKC458747 CKC524283 CKC589819 CKC655355 CKC720891 CKC786427 CKC851963 CKC917499 CKC983035 CTY7 CTY65531 CTY131067 CTY196603 CTY262139 CTY327675 CTY393211 CTY458747 CTY524283 CTY589819 CTY655355 CTY720891 CTY786427 CTY851963 CTY917499 CTY983035 DDU7 DDU65531 DDU131067 DDU196603 DDU262139 DDU327675 DDU393211 DDU458747 DDU524283 DDU589819 DDU655355 DDU720891 DDU786427 DDU851963 DDU917499 DDU983035 DNQ7 DNQ65531 DNQ131067 DNQ196603 DNQ262139 DNQ327675 DNQ393211 DNQ458747 DNQ524283 DNQ589819 DNQ655355 DNQ720891 DNQ786427 DNQ851963 DNQ917499 DNQ983035 DXM7 DXM65531 DXM131067 DXM196603 DXM262139 DXM327675 DXM393211 DXM458747 DXM524283 DXM589819 DXM655355 DXM720891 DXM786427 DXM851963 DXM917499 DXM983035 EHI7 EHI65531 EHI131067 EHI196603 EHI262139 EHI327675 EHI393211 EHI458747 EHI524283 EHI589819 EHI655355 EHI720891 EHI786427 EHI851963 EHI917499 EHI983035 ERE7 ERE65531 ERE131067 ERE196603 ERE262139 ERE327675 ERE393211 ERE458747 ERE524283 ERE589819 ERE655355 ERE720891 ERE786427 ERE851963 ERE917499 ERE983035 FBA7 FBA65531 FBA131067 FBA196603 FBA262139 FBA327675 FBA393211 FBA458747 FBA524283 FBA589819 FBA655355 FBA720891 FBA786427 FBA851963 FBA917499 FBA983035 FKW7 FKW65531 FKW131067 FKW196603 FKW262139 FKW327675 FKW393211 FKW458747 FKW524283 FKW589819 FKW655355 FKW720891 FKW786427 FKW851963 FKW917499 FKW983035 FUS7 FUS65531 FUS131067 FUS196603 FUS262139 FUS327675 FUS393211 FUS458747 FUS524283 FUS589819 FUS655355 FUS720891 FUS786427 FUS851963 FUS917499 FUS983035 GEO7 GEO65531 GEO131067 GEO196603 GEO262139 GEO327675 GEO393211 GEO458747 GEO524283 GEO589819 GEO655355 GEO720891 GEO786427 GEO851963 GEO917499 GEO983035 GOK7 GOK65531 GOK131067 GOK196603 GOK262139 GOK327675 GOK393211 GOK458747 GOK524283 GOK589819 GOK655355 GOK720891 GOK786427 GOK851963 GOK917499 GOK983035 GYG7 GYG65531 GYG131067 GYG196603 GYG262139 GYG327675 GYG393211 GYG458747 GYG524283 GYG589819 GYG655355 GYG720891 GYG786427 GYG851963 GYG917499 GYG983035 HIC7 HIC65531 HIC131067 HIC196603 HIC262139 HIC327675 HIC393211 HIC458747 HIC524283 HIC589819 HIC655355 HIC720891 HIC786427 HIC851963 HIC917499 HIC983035 HRY7 HRY65531 HRY131067 HRY196603 HRY262139 HRY327675 HRY393211 HRY458747 HRY524283 HRY589819 HRY655355 HRY720891 HRY786427 HRY851963 HRY917499 HRY983035 IBU7 IBU65531 IBU131067 IBU196603 IBU262139 IBU327675 IBU393211 IBU458747 IBU524283 IBU589819 IBU655355 IBU720891 IBU786427 IBU851963 IBU917499 IBU983035 ILQ7 ILQ65531 ILQ131067 ILQ196603 ILQ262139 ILQ327675 ILQ393211 ILQ458747 ILQ524283 ILQ589819 ILQ655355 ILQ720891 ILQ786427 ILQ851963 ILQ917499 ILQ983035 IVM7 IVM65531 IVM131067 IVM196603 IVM262139 IVM327675 IVM393211 IVM458747 IVM524283 IVM589819 IVM655355 IVM720891 IVM786427 IVM851963 IVM917499 IVM983035 JFI7 JFI65531 JFI131067 JFI196603 JFI262139 JFI327675 JFI393211 JFI458747 JFI524283 JFI589819 JFI655355 JFI720891 JFI786427 JFI851963 JFI917499 JFI983035 JPE7 JPE65531 JPE131067 JPE196603 JPE262139 JPE327675 JPE393211 JPE458747 JPE524283 JPE589819 JPE655355 JPE720891 JPE786427 JPE851963 JPE917499 JPE983035 JZA7 JZA65531 JZA131067 JZA196603 JZA262139 JZA327675 JZA393211 JZA458747 JZA524283 JZA589819 JZA655355 JZA720891 JZA786427 JZA851963 JZA917499 JZA983035 KIW7 KIW65531 KIW131067 KIW196603 KIW262139 KIW327675 KIW393211 KIW458747 KIW524283 KIW589819 KIW655355 KIW720891 KIW786427 KIW851963 KIW917499 KIW983035 KSS7 KSS65531 KSS131067 KSS196603 KSS262139 KSS327675 KSS393211 KSS458747 KSS524283 KSS589819 KSS655355 KSS720891 KSS786427 KSS851963 KSS917499 KSS983035 LCO7 LCO65531 LCO131067 LCO196603 LCO262139 LCO327675 LCO393211 LCO458747 LCO524283 LCO589819 LCO655355 LCO720891 LCO786427 LCO851963 LCO917499 LCO983035 LMK7 LMK65531 LMK131067 LMK196603 LMK262139 LMK327675 LMK393211 LMK458747 LMK524283 LMK589819 LMK655355 LMK720891 LMK786427 LMK851963 LMK917499 LMK983035 LWG7 LWG65531 LWG131067 LWG196603 LWG262139 LWG327675 LWG393211 LWG458747 LWG524283 LWG589819 LWG655355 LWG720891 LWG786427 LWG851963 LWG917499 LWG983035 MGC7 MGC65531 MGC131067 MGC196603 MGC262139 MGC327675 MGC393211 MGC458747 MGC524283 MGC589819 MGC655355 MGC720891 MGC786427 MGC851963 MGC917499 MGC983035 MPY7 MPY65531 MPY131067 MPY196603 MPY262139 MPY327675 MPY393211 MPY458747 MPY524283 MPY589819 MPY655355 MPY720891 MPY786427 MPY851963 MPY917499 MPY983035 MZU7 MZU65531 MZU131067 MZU196603 MZU262139 MZU327675 MZU393211 MZU458747 MZU524283 MZU589819 MZU655355 MZU720891 MZU786427 MZU851963 MZU917499 MZU983035 NJQ7 NJQ65531 NJQ131067 NJQ196603 NJQ262139 NJQ327675 NJQ393211 NJQ458747 NJQ524283 NJQ589819 NJQ655355 NJQ720891 NJQ786427 NJQ851963 NJQ917499 NJQ983035 NTM7 NTM65531 NTM131067 NTM196603 NTM262139 NTM327675 NTM393211 NTM458747 NTM524283 NTM589819 NTM655355 NTM720891 NTM786427 NTM851963 NTM917499 NTM983035 ODI7 ODI65531 ODI131067 ODI196603 ODI262139 ODI327675 ODI393211 ODI458747 ODI524283 ODI589819 ODI655355 ODI720891 ODI786427 ODI851963 ODI917499 ODI983035 ONE7 ONE65531 ONE131067 ONE196603 ONE262139 ONE327675 ONE393211 ONE458747 ONE524283 ONE589819 ONE655355 ONE720891 ONE786427 ONE851963 ONE917499 ONE983035 OXA7 OXA65531 OXA131067 OXA196603 OXA262139 OXA327675 OXA393211 OXA458747 OXA524283 OXA589819 OXA655355 OXA720891 OXA786427 OXA851963 OXA917499 OXA983035 PGW7 PGW65531 PGW131067 PGW196603 PGW262139 PGW327675 PGW393211 PGW458747 PGW524283 PGW589819 PGW655355 PGW720891 PGW786427 PGW851963 PGW917499 PGW983035 PQS7 PQS65531 PQS131067 PQS196603 PQS262139 PQS327675 PQS393211 PQS458747 PQS524283 PQS589819 PQS655355 PQS720891 PQS786427 PQS851963 PQS917499 PQS983035 QAO7 QAO65531 QAO131067 QAO196603 QAO262139 QAO327675 QAO393211 QAO458747 QAO524283 QAO589819 QAO655355 QAO720891 QAO786427 QAO851963 QAO917499 QAO983035 QKK7 QKK65531 QKK131067 QKK196603 QKK262139 QKK327675 QKK393211 QKK458747 QKK524283 QKK589819 QKK655355 QKK720891 QKK786427 QKK851963 QKK917499 QKK983035 QUG7 QUG65531 QUG131067 QUG196603 QUG262139 QUG327675 QUG393211 QUG458747 QUG524283 QUG589819 QUG655355 QUG720891 QUG786427 QUG851963 QUG917499 QUG983035 REC7 REC65531 REC131067 REC196603 REC262139 REC327675 REC393211 REC458747 REC524283 REC589819 REC655355 REC720891 REC786427 REC851963 REC917499 REC983035 RNY7 RNY65531 RNY131067 RNY196603 RNY262139 RNY327675 RNY393211 RNY458747 RNY524283 RNY589819 RNY655355 RNY720891 RNY786427 RNY851963 RNY917499 RNY983035 RXU7 RXU65531 RXU131067 RXU196603 RXU262139 RXU327675 RXU393211 RXU458747 RXU524283 RXU589819 RXU655355 RXU720891 RXU786427 RXU851963 RXU917499 RXU983035 SHQ7 SHQ65531 SHQ131067 SHQ196603 SHQ262139 SHQ327675 SHQ393211 SHQ458747 SHQ524283 SHQ589819 SHQ655355 SHQ720891 SHQ786427 SHQ851963 SHQ917499 SHQ983035 SRM7 SRM65531 SRM131067 SRM196603 SRM262139 SRM327675 SRM393211 SRM458747 SRM524283 SRM589819 SRM655355 SRM720891 SRM786427 SRM851963 SRM917499 SRM983035 TBI7 TBI65531 TBI131067 TBI196603 TBI262139 TBI327675 TBI393211 TBI458747 TBI524283 TBI589819 TBI655355 TBI720891 TBI786427 TBI851963 TBI917499 TBI983035 TLE7 TLE65531 TLE131067 TLE196603 TLE262139 TLE327675 TLE393211 TLE458747 TLE524283 TLE589819 TLE655355 TLE720891 TLE786427 TLE851963 TLE917499 TLE983035 TVA7 TVA65531 TVA131067 TVA196603 TVA262139 TVA327675 TVA393211 TVA458747 TVA524283 TVA589819 TVA655355 TVA720891 TVA786427 TVA851963 TVA917499 TVA983035 UEW7 UEW65531 UEW131067 UEW196603 UEW262139 UEW327675 UEW393211 UEW458747 UEW524283 UEW589819 UEW655355 UEW720891 UEW786427 UEW851963 UEW917499 UEW983035 UOS7 UOS65531 UOS131067 UOS196603 UOS262139 UOS327675 UOS393211 UOS458747 UOS524283 UOS589819 UOS655355 UOS720891 UOS786427 UOS851963 UOS917499 UOS983035 UYO7 UYO65531 UYO131067 UYO196603 UYO262139 UYO327675 UYO393211 UYO458747 UYO524283 UYO589819 UYO655355 UYO720891 UYO786427 UYO851963 UYO917499 UYO983035 VIK7 VIK65531 VIK131067 VIK196603 VIK262139 VIK327675 VIK393211 VIK458747 VIK524283 VIK589819 VIK655355 VIK720891 VIK786427 VIK851963 VIK917499 VIK983035 VSG7 VSG65531 VSG131067 VSG196603 VSG262139 VSG327675 VSG393211 VSG458747 VSG524283 VSG589819 VSG655355 VSG720891 VSG786427 VSG851963 VSG917499 VSG983035 WCC7 WCC65531 WCC131067 WCC196603 WCC262139 WCC327675 WCC393211 WCC458747 WCC524283 WCC589819 WCC655355 WCC720891 WCC786427 WCC851963 WCC917499 WCC983035 WLY7 WLY65531 WLY131067 WLY196603 WLY262139 WLY327675 WLY393211 WLY458747 WLY524283 WLY589819 WLY655355 WLY720891 WLY786427 WLY851963 WLY917499 WLY983035 WVU7 WVU65531 WVU131067 WVU196603 WVU262139 WVU327675 WVU393211 WVU458747 WVU524283 WVU589819 WVU655355 WVU720891 WVU786427 WVU851963 WVU917499 WVU983035" xr:uid="{00000000-0002-0000-0700-000000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I65526:I65527 I131062:I131063 I196598:I196599 I262134:I262135 I327670:I327671 I393206:I393207 I458742:I458743 I524278:I524279 I589814:I589815 I655350:I655351 I720886:I720887 I786422:I786423 I851958:I851959 I917494:I917495 I983030:I983031 JF2:JF3 JF65526:JF65527 JF131062:JF131063 JF196598:JF196599 JF262134:JF262135 JF327670:JF327671 JF393206:JF393207 JF458742:JF458743 JF524278:JF524279 JF589814:JF589815 JF655350:JF655351 JF720886:JF720887 JF786422:JF786423 JF851958:JF851959 JF917494:JF917495 JF983030:JF983031 TB2:TB3 TB65526:TB65527 TB131062:TB131063 TB196598:TB196599 TB262134:TB262135 TB327670:TB327671 TB393206:TB393207 TB458742:TB458743 TB524278:TB524279 TB589814:TB589815 TB655350:TB655351 TB720886:TB720887 TB786422:TB786423 TB851958:TB851959 TB917494:TB917495 TB983030:TB983031 ACX2:ACX3 ACX65526:ACX65527 ACX131062:ACX131063 ACX196598:ACX196599 ACX262134:ACX262135 ACX327670:ACX327671 ACX393206:ACX393207 ACX458742:ACX458743 ACX524278:ACX524279 ACX589814:ACX589815 ACX655350:ACX655351 ACX720886:ACX720887 ACX786422:ACX786423 ACX851958:ACX851959 ACX917494:ACX917495 ACX983030:ACX983031 AMT2:AMT3 AMT65526:AMT65527 AMT131062:AMT131063 AMT196598:AMT196599 AMT262134:AMT262135 AMT327670:AMT327671 AMT393206:AMT393207 AMT458742:AMT458743 AMT524278:AMT524279 AMT589814:AMT589815 AMT655350:AMT655351 AMT720886:AMT720887 AMT786422:AMT786423 AMT851958:AMT851959 AMT917494:AMT917495 AMT983030:AMT983031 AWP2:AWP3 AWP65526:AWP65527 AWP131062:AWP131063 AWP196598:AWP196599 AWP262134:AWP262135 AWP327670:AWP327671 AWP393206:AWP393207 AWP458742:AWP458743 AWP524278:AWP524279 AWP589814:AWP589815 AWP655350:AWP655351 AWP720886:AWP720887 AWP786422:AWP786423 AWP851958:AWP851959 AWP917494:AWP917495 AWP983030:AWP983031 BGL2:BGL3 BGL65526:BGL65527 BGL131062:BGL131063 BGL196598:BGL196599 BGL262134:BGL262135 BGL327670:BGL327671 BGL393206:BGL393207 BGL458742:BGL458743 BGL524278:BGL524279 BGL589814:BGL589815 BGL655350:BGL655351 BGL720886:BGL720887 BGL786422:BGL786423 BGL851958:BGL851959 BGL917494:BGL917495 BGL983030:BGL983031 BQH2:BQH3 BQH65526:BQH65527 BQH131062:BQH131063 BQH196598:BQH196599 BQH262134:BQH262135 BQH327670:BQH327671 BQH393206:BQH393207 BQH458742:BQH458743 BQH524278:BQH524279 BQH589814:BQH589815 BQH655350:BQH655351 BQH720886:BQH720887 BQH786422:BQH786423 BQH851958:BQH851959 BQH917494:BQH917495 BQH983030:BQH983031 CAD2:CAD3 CAD65526:CAD65527 CAD131062:CAD131063 CAD196598:CAD196599 CAD262134:CAD262135 CAD327670:CAD327671 CAD393206:CAD393207 CAD458742:CAD458743 CAD524278:CAD524279 CAD589814:CAD589815 CAD655350:CAD655351 CAD720886:CAD720887 CAD786422:CAD786423 CAD851958:CAD851959 CAD917494:CAD917495 CAD983030:CAD983031 CJZ2:CJZ3 CJZ65526:CJZ65527 CJZ131062:CJZ131063 CJZ196598:CJZ196599 CJZ262134:CJZ262135 CJZ327670:CJZ327671 CJZ393206:CJZ393207 CJZ458742:CJZ458743 CJZ524278:CJZ524279 CJZ589814:CJZ589815 CJZ655350:CJZ655351 CJZ720886:CJZ720887 CJZ786422:CJZ786423 CJZ851958:CJZ851959 CJZ917494:CJZ917495 CJZ983030:CJZ983031 CTV2:CTV3 CTV65526:CTV65527 CTV131062:CTV131063 CTV196598:CTV196599 CTV262134:CTV262135 CTV327670:CTV327671 CTV393206:CTV393207 CTV458742:CTV458743 CTV524278:CTV524279 CTV589814:CTV589815 CTV655350:CTV655351 CTV720886:CTV720887 CTV786422:CTV786423 CTV851958:CTV851959 CTV917494:CTV917495 CTV983030:CTV983031 DDR2:DDR3 DDR65526:DDR65527 DDR131062:DDR131063 DDR196598:DDR196599 DDR262134:DDR262135 DDR327670:DDR327671 DDR393206:DDR393207 DDR458742:DDR458743 DDR524278:DDR524279 DDR589814:DDR589815 DDR655350:DDR655351 DDR720886:DDR720887 DDR786422:DDR786423 DDR851958:DDR851959 DDR917494:DDR917495 DDR983030:DDR983031 DNN2:DNN3 DNN65526:DNN65527 DNN131062:DNN131063 DNN196598:DNN196599 DNN262134:DNN262135 DNN327670:DNN327671 DNN393206:DNN393207 DNN458742:DNN458743 DNN524278:DNN524279 DNN589814:DNN589815 DNN655350:DNN655351 DNN720886:DNN720887 DNN786422:DNN786423 DNN851958:DNN851959 DNN917494:DNN917495 DNN983030:DNN983031 DXJ2:DXJ3 DXJ65526:DXJ65527 DXJ131062:DXJ131063 DXJ196598:DXJ196599 DXJ262134:DXJ262135 DXJ327670:DXJ327671 DXJ393206:DXJ393207 DXJ458742:DXJ458743 DXJ524278:DXJ524279 DXJ589814:DXJ589815 DXJ655350:DXJ655351 DXJ720886:DXJ720887 DXJ786422:DXJ786423 DXJ851958:DXJ851959 DXJ917494:DXJ917495 DXJ983030:DXJ983031 EHF2:EHF3 EHF65526:EHF65527 EHF131062:EHF131063 EHF196598:EHF196599 EHF262134:EHF262135 EHF327670:EHF327671 EHF393206:EHF393207 EHF458742:EHF458743 EHF524278:EHF524279 EHF589814:EHF589815 EHF655350:EHF655351 EHF720886:EHF720887 EHF786422:EHF786423 EHF851958:EHF851959 EHF917494:EHF917495 EHF983030:EHF983031 ERB2:ERB3 ERB65526:ERB65527 ERB131062:ERB131063 ERB196598:ERB196599 ERB262134:ERB262135 ERB327670:ERB327671 ERB393206:ERB393207 ERB458742:ERB458743 ERB524278:ERB524279 ERB589814:ERB589815 ERB655350:ERB655351 ERB720886:ERB720887 ERB786422:ERB786423 ERB851958:ERB851959 ERB917494:ERB917495 ERB983030:ERB983031 FAX2:FAX3 FAX65526:FAX65527 FAX131062:FAX131063 FAX196598:FAX196599 FAX262134:FAX262135 FAX327670:FAX327671 FAX393206:FAX393207 FAX458742:FAX458743 FAX524278:FAX524279 FAX589814:FAX589815 FAX655350:FAX655351 FAX720886:FAX720887 FAX786422:FAX786423 FAX851958:FAX851959 FAX917494:FAX917495 FAX983030:FAX983031 FKT2:FKT3 FKT65526:FKT65527 FKT131062:FKT131063 FKT196598:FKT196599 FKT262134:FKT262135 FKT327670:FKT327671 FKT393206:FKT393207 FKT458742:FKT458743 FKT524278:FKT524279 FKT589814:FKT589815 FKT655350:FKT655351 FKT720886:FKT720887 FKT786422:FKT786423 FKT851958:FKT851959 FKT917494:FKT917495 FKT983030:FKT983031 FUP2:FUP3 FUP65526:FUP65527 FUP131062:FUP131063 FUP196598:FUP196599 FUP262134:FUP262135 FUP327670:FUP327671 FUP393206:FUP393207 FUP458742:FUP458743 FUP524278:FUP524279 FUP589814:FUP589815 FUP655350:FUP655351 FUP720886:FUP720887 FUP786422:FUP786423 FUP851958:FUP851959 FUP917494:FUP917495 FUP983030:FUP983031 GEL2:GEL3 GEL65526:GEL65527 GEL131062:GEL131063 GEL196598:GEL196599 GEL262134:GEL262135 GEL327670:GEL327671 GEL393206:GEL393207 GEL458742:GEL458743 GEL524278:GEL524279 GEL589814:GEL589815 GEL655350:GEL655351 GEL720886:GEL720887 GEL786422:GEL786423 GEL851958:GEL851959 GEL917494:GEL917495 GEL983030:GEL983031 GOH2:GOH3 GOH65526:GOH65527 GOH131062:GOH131063 GOH196598:GOH196599 GOH262134:GOH262135 GOH327670:GOH327671 GOH393206:GOH393207 GOH458742:GOH458743 GOH524278:GOH524279 GOH589814:GOH589815 GOH655350:GOH655351 GOH720886:GOH720887 GOH786422:GOH786423 GOH851958:GOH851959 GOH917494:GOH917495 GOH983030:GOH983031 GYD2:GYD3 GYD65526:GYD65527 GYD131062:GYD131063 GYD196598:GYD196599 GYD262134:GYD262135 GYD327670:GYD327671 GYD393206:GYD393207 GYD458742:GYD458743 GYD524278:GYD524279 GYD589814:GYD589815 GYD655350:GYD655351 GYD720886:GYD720887 GYD786422:GYD786423 GYD851958:GYD851959 GYD917494:GYD917495 GYD983030:GYD983031 HHZ2:HHZ3 HHZ65526:HHZ65527 HHZ131062:HHZ131063 HHZ196598:HHZ196599 HHZ262134:HHZ262135 HHZ327670:HHZ327671 HHZ393206:HHZ393207 HHZ458742:HHZ458743 HHZ524278:HHZ524279 HHZ589814:HHZ589815 HHZ655350:HHZ655351 HHZ720886:HHZ720887 HHZ786422:HHZ786423 HHZ851958:HHZ851959 HHZ917494:HHZ917495 HHZ983030:HHZ983031 HRV2:HRV3 HRV65526:HRV65527 HRV131062:HRV131063 HRV196598:HRV196599 HRV262134:HRV262135 HRV327670:HRV327671 HRV393206:HRV393207 HRV458742:HRV458743 HRV524278:HRV524279 HRV589814:HRV589815 HRV655350:HRV655351 HRV720886:HRV720887 HRV786422:HRV786423 HRV851958:HRV851959 HRV917494:HRV917495 HRV983030:HRV983031 IBR2:IBR3 IBR65526:IBR65527 IBR131062:IBR131063 IBR196598:IBR196599 IBR262134:IBR262135 IBR327670:IBR327671 IBR393206:IBR393207 IBR458742:IBR458743 IBR524278:IBR524279 IBR589814:IBR589815 IBR655350:IBR655351 IBR720886:IBR720887 IBR786422:IBR786423 IBR851958:IBR851959 IBR917494:IBR917495 IBR983030:IBR983031 ILN2:ILN3 ILN65526:ILN65527 ILN131062:ILN131063 ILN196598:ILN196599 ILN262134:ILN262135 ILN327670:ILN327671 ILN393206:ILN393207 ILN458742:ILN458743 ILN524278:ILN524279 ILN589814:ILN589815 ILN655350:ILN655351 ILN720886:ILN720887 ILN786422:ILN786423 ILN851958:ILN851959 ILN917494:ILN917495 ILN983030:ILN983031 IVJ2:IVJ3 IVJ65526:IVJ65527 IVJ131062:IVJ131063 IVJ196598:IVJ196599 IVJ262134:IVJ262135 IVJ327670:IVJ327671 IVJ393206:IVJ393207 IVJ458742:IVJ458743 IVJ524278:IVJ524279 IVJ589814:IVJ589815 IVJ655350:IVJ655351 IVJ720886:IVJ720887 IVJ786422:IVJ786423 IVJ851958:IVJ851959 IVJ917494:IVJ917495 IVJ983030:IVJ983031 JFF2:JFF3 JFF65526:JFF65527 JFF131062:JFF131063 JFF196598:JFF196599 JFF262134:JFF262135 JFF327670:JFF327671 JFF393206:JFF393207 JFF458742:JFF458743 JFF524278:JFF524279 JFF589814:JFF589815 JFF655350:JFF655351 JFF720886:JFF720887 JFF786422:JFF786423 JFF851958:JFF851959 JFF917494:JFF917495 JFF983030:JFF983031 JPB2:JPB3 JPB65526:JPB65527 JPB131062:JPB131063 JPB196598:JPB196599 JPB262134:JPB262135 JPB327670:JPB327671 JPB393206:JPB393207 JPB458742:JPB458743 JPB524278:JPB524279 JPB589814:JPB589815 JPB655350:JPB655351 JPB720886:JPB720887 JPB786422:JPB786423 JPB851958:JPB851959 JPB917494:JPB917495 JPB983030:JPB983031 JYX2:JYX3 JYX65526:JYX65527 JYX131062:JYX131063 JYX196598:JYX196599 JYX262134:JYX262135 JYX327670:JYX327671 JYX393206:JYX393207 JYX458742:JYX458743 JYX524278:JYX524279 JYX589814:JYX589815 JYX655350:JYX655351 JYX720886:JYX720887 JYX786422:JYX786423 JYX851958:JYX851959 JYX917494:JYX917495 JYX983030:JYX983031 KIT2:KIT3 KIT65526:KIT65527 KIT131062:KIT131063 KIT196598:KIT196599 KIT262134:KIT262135 KIT327670:KIT327671 KIT393206:KIT393207 KIT458742:KIT458743 KIT524278:KIT524279 KIT589814:KIT589815 KIT655350:KIT655351 KIT720886:KIT720887 KIT786422:KIT786423 KIT851958:KIT851959 KIT917494:KIT917495 KIT983030:KIT983031 KSP2:KSP3 KSP65526:KSP65527 KSP131062:KSP131063 KSP196598:KSP196599 KSP262134:KSP262135 KSP327670:KSP327671 KSP393206:KSP393207 KSP458742:KSP458743 KSP524278:KSP524279 KSP589814:KSP589815 KSP655350:KSP655351 KSP720886:KSP720887 KSP786422:KSP786423 KSP851958:KSP851959 KSP917494:KSP917495 KSP983030:KSP983031 LCL2:LCL3 LCL65526:LCL65527 LCL131062:LCL131063 LCL196598:LCL196599 LCL262134:LCL262135 LCL327670:LCL327671 LCL393206:LCL393207 LCL458742:LCL458743 LCL524278:LCL524279 LCL589814:LCL589815 LCL655350:LCL655351 LCL720886:LCL720887 LCL786422:LCL786423 LCL851958:LCL851959 LCL917494:LCL917495 LCL983030:LCL983031 LMH2:LMH3 LMH65526:LMH65527 LMH131062:LMH131063 LMH196598:LMH196599 LMH262134:LMH262135 LMH327670:LMH327671 LMH393206:LMH393207 LMH458742:LMH458743 LMH524278:LMH524279 LMH589814:LMH589815 LMH655350:LMH655351 LMH720886:LMH720887 LMH786422:LMH786423 LMH851958:LMH851959 LMH917494:LMH917495 LMH983030:LMH983031 LWD2:LWD3 LWD65526:LWD65527 LWD131062:LWD131063 LWD196598:LWD196599 LWD262134:LWD262135 LWD327670:LWD327671 LWD393206:LWD393207 LWD458742:LWD458743 LWD524278:LWD524279 LWD589814:LWD589815 LWD655350:LWD655351 LWD720886:LWD720887 LWD786422:LWD786423 LWD851958:LWD851959 LWD917494:LWD917495 LWD983030:LWD983031 MFZ2:MFZ3 MFZ65526:MFZ65527 MFZ131062:MFZ131063 MFZ196598:MFZ196599 MFZ262134:MFZ262135 MFZ327670:MFZ327671 MFZ393206:MFZ393207 MFZ458742:MFZ458743 MFZ524278:MFZ524279 MFZ589814:MFZ589815 MFZ655350:MFZ655351 MFZ720886:MFZ720887 MFZ786422:MFZ786423 MFZ851958:MFZ851959 MFZ917494:MFZ917495 MFZ983030:MFZ983031 MPV2:MPV3 MPV65526:MPV65527 MPV131062:MPV131063 MPV196598:MPV196599 MPV262134:MPV262135 MPV327670:MPV327671 MPV393206:MPV393207 MPV458742:MPV458743 MPV524278:MPV524279 MPV589814:MPV589815 MPV655350:MPV655351 MPV720886:MPV720887 MPV786422:MPV786423 MPV851958:MPV851959 MPV917494:MPV917495 MPV983030:MPV983031 MZR2:MZR3 MZR65526:MZR65527 MZR131062:MZR131063 MZR196598:MZR196599 MZR262134:MZR262135 MZR327670:MZR327671 MZR393206:MZR393207 MZR458742:MZR458743 MZR524278:MZR524279 MZR589814:MZR589815 MZR655350:MZR655351 MZR720886:MZR720887 MZR786422:MZR786423 MZR851958:MZR851959 MZR917494:MZR917495 MZR983030:MZR983031 NJN2:NJN3 NJN65526:NJN65527 NJN131062:NJN131063 NJN196598:NJN196599 NJN262134:NJN262135 NJN327670:NJN327671 NJN393206:NJN393207 NJN458742:NJN458743 NJN524278:NJN524279 NJN589814:NJN589815 NJN655350:NJN655351 NJN720886:NJN720887 NJN786422:NJN786423 NJN851958:NJN851959 NJN917494:NJN917495 NJN983030:NJN983031 NTJ2:NTJ3 NTJ65526:NTJ65527 NTJ131062:NTJ131063 NTJ196598:NTJ196599 NTJ262134:NTJ262135 NTJ327670:NTJ327671 NTJ393206:NTJ393207 NTJ458742:NTJ458743 NTJ524278:NTJ524279 NTJ589814:NTJ589815 NTJ655350:NTJ655351 NTJ720886:NTJ720887 NTJ786422:NTJ786423 NTJ851958:NTJ851959 NTJ917494:NTJ917495 NTJ983030:NTJ983031 ODF2:ODF3 ODF65526:ODF65527 ODF131062:ODF131063 ODF196598:ODF196599 ODF262134:ODF262135 ODF327670:ODF327671 ODF393206:ODF393207 ODF458742:ODF458743 ODF524278:ODF524279 ODF589814:ODF589815 ODF655350:ODF655351 ODF720886:ODF720887 ODF786422:ODF786423 ODF851958:ODF851959 ODF917494:ODF917495 ODF983030:ODF983031 ONB2:ONB3 ONB65526:ONB65527 ONB131062:ONB131063 ONB196598:ONB196599 ONB262134:ONB262135 ONB327670:ONB327671 ONB393206:ONB393207 ONB458742:ONB458743 ONB524278:ONB524279 ONB589814:ONB589815 ONB655350:ONB655351 ONB720886:ONB720887 ONB786422:ONB786423 ONB851958:ONB851959 ONB917494:ONB917495 ONB983030:ONB983031 OWX2:OWX3 OWX65526:OWX65527 OWX131062:OWX131063 OWX196598:OWX196599 OWX262134:OWX262135 OWX327670:OWX327671 OWX393206:OWX393207 OWX458742:OWX458743 OWX524278:OWX524279 OWX589814:OWX589815 OWX655350:OWX655351 OWX720886:OWX720887 OWX786422:OWX786423 OWX851958:OWX851959 OWX917494:OWX917495 OWX983030:OWX983031 PGT2:PGT3 PGT65526:PGT65527 PGT131062:PGT131063 PGT196598:PGT196599 PGT262134:PGT262135 PGT327670:PGT327671 PGT393206:PGT393207 PGT458742:PGT458743 PGT524278:PGT524279 PGT589814:PGT589815 PGT655350:PGT655351 PGT720886:PGT720887 PGT786422:PGT786423 PGT851958:PGT851959 PGT917494:PGT917495 PGT983030:PGT983031 PQP2:PQP3 PQP65526:PQP65527 PQP131062:PQP131063 PQP196598:PQP196599 PQP262134:PQP262135 PQP327670:PQP327671 PQP393206:PQP393207 PQP458742:PQP458743 PQP524278:PQP524279 PQP589814:PQP589815 PQP655350:PQP655351 PQP720886:PQP720887 PQP786422:PQP786423 PQP851958:PQP851959 PQP917494:PQP917495 PQP983030:PQP983031 QAL2:QAL3 QAL65526:QAL65527 QAL131062:QAL131063 QAL196598:QAL196599 QAL262134:QAL262135 QAL327670:QAL327671 QAL393206:QAL393207 QAL458742:QAL458743 QAL524278:QAL524279 QAL589814:QAL589815 QAL655350:QAL655351 QAL720886:QAL720887 QAL786422:QAL786423 QAL851958:QAL851959 QAL917494:QAL917495 QAL983030:QAL983031 QKH2:QKH3 QKH65526:QKH65527 QKH131062:QKH131063 QKH196598:QKH196599 QKH262134:QKH262135 QKH327670:QKH327671 QKH393206:QKH393207 QKH458742:QKH458743 QKH524278:QKH524279 QKH589814:QKH589815 QKH655350:QKH655351 QKH720886:QKH720887 QKH786422:QKH786423 QKH851958:QKH851959 QKH917494:QKH917495 QKH983030:QKH983031 QUD2:QUD3 QUD65526:QUD65527 QUD131062:QUD131063 QUD196598:QUD196599 QUD262134:QUD262135 QUD327670:QUD327671 QUD393206:QUD393207 QUD458742:QUD458743 QUD524278:QUD524279 QUD589814:QUD589815 QUD655350:QUD655351 QUD720886:QUD720887 QUD786422:QUD786423 QUD851958:QUD851959 QUD917494:QUD917495 QUD983030:QUD983031 RDZ2:RDZ3 RDZ65526:RDZ65527 RDZ131062:RDZ131063 RDZ196598:RDZ196599 RDZ262134:RDZ262135 RDZ327670:RDZ327671 RDZ393206:RDZ393207 RDZ458742:RDZ458743 RDZ524278:RDZ524279 RDZ589814:RDZ589815 RDZ655350:RDZ655351 RDZ720886:RDZ720887 RDZ786422:RDZ786423 RDZ851958:RDZ851959 RDZ917494:RDZ917495 RDZ983030:RDZ983031 RNV2:RNV3 RNV65526:RNV65527 RNV131062:RNV131063 RNV196598:RNV196599 RNV262134:RNV262135 RNV327670:RNV327671 RNV393206:RNV393207 RNV458742:RNV458743 RNV524278:RNV524279 RNV589814:RNV589815 RNV655350:RNV655351 RNV720886:RNV720887 RNV786422:RNV786423 RNV851958:RNV851959 RNV917494:RNV917495 RNV983030:RNV983031 RXR2:RXR3 RXR65526:RXR65527 RXR131062:RXR131063 RXR196598:RXR196599 RXR262134:RXR262135 RXR327670:RXR327671 RXR393206:RXR393207 RXR458742:RXR458743 RXR524278:RXR524279 RXR589814:RXR589815 RXR655350:RXR655351 RXR720886:RXR720887 RXR786422:RXR786423 RXR851958:RXR851959 RXR917494:RXR917495 RXR983030:RXR983031 SHN2:SHN3 SHN65526:SHN65527 SHN131062:SHN131063 SHN196598:SHN196599 SHN262134:SHN262135 SHN327670:SHN327671 SHN393206:SHN393207 SHN458742:SHN458743 SHN524278:SHN524279 SHN589814:SHN589815 SHN655350:SHN655351 SHN720886:SHN720887 SHN786422:SHN786423 SHN851958:SHN851959 SHN917494:SHN917495 SHN983030:SHN983031 SRJ2:SRJ3 SRJ65526:SRJ65527 SRJ131062:SRJ131063 SRJ196598:SRJ196599 SRJ262134:SRJ262135 SRJ327670:SRJ327671 SRJ393206:SRJ393207 SRJ458742:SRJ458743 SRJ524278:SRJ524279 SRJ589814:SRJ589815 SRJ655350:SRJ655351 SRJ720886:SRJ720887 SRJ786422:SRJ786423 SRJ851958:SRJ851959 SRJ917494:SRJ917495 SRJ983030:SRJ983031 TBF2:TBF3 TBF65526:TBF65527 TBF131062:TBF131063 TBF196598:TBF196599 TBF262134:TBF262135 TBF327670:TBF327671 TBF393206:TBF393207 TBF458742:TBF458743 TBF524278:TBF524279 TBF589814:TBF589815 TBF655350:TBF655351 TBF720886:TBF720887 TBF786422:TBF786423 TBF851958:TBF851959 TBF917494:TBF917495 TBF983030:TBF983031 TLB2:TLB3 TLB65526:TLB65527 TLB131062:TLB131063 TLB196598:TLB196599 TLB262134:TLB262135 TLB327670:TLB327671 TLB393206:TLB393207 TLB458742:TLB458743 TLB524278:TLB524279 TLB589814:TLB589815 TLB655350:TLB655351 TLB720886:TLB720887 TLB786422:TLB786423 TLB851958:TLB851959 TLB917494:TLB917495 TLB983030:TLB983031 TUX2:TUX3 TUX65526:TUX65527 TUX131062:TUX131063 TUX196598:TUX196599 TUX262134:TUX262135 TUX327670:TUX327671 TUX393206:TUX393207 TUX458742:TUX458743 TUX524278:TUX524279 TUX589814:TUX589815 TUX655350:TUX655351 TUX720886:TUX720887 TUX786422:TUX786423 TUX851958:TUX851959 TUX917494:TUX917495 TUX983030:TUX983031 UET2:UET3 UET65526:UET65527 UET131062:UET131063 UET196598:UET196599 UET262134:UET262135 UET327670:UET327671 UET393206:UET393207 UET458742:UET458743 UET524278:UET524279 UET589814:UET589815 UET655350:UET655351 UET720886:UET720887 UET786422:UET786423 UET851958:UET851959 UET917494:UET917495 UET983030:UET983031 UOP2:UOP3 UOP65526:UOP65527 UOP131062:UOP131063 UOP196598:UOP196599 UOP262134:UOP262135 UOP327670:UOP327671 UOP393206:UOP393207 UOP458742:UOP458743 UOP524278:UOP524279 UOP589814:UOP589815 UOP655350:UOP655351 UOP720886:UOP720887 UOP786422:UOP786423 UOP851958:UOP851959 UOP917494:UOP917495 UOP983030:UOP983031 UYL2:UYL3 UYL65526:UYL65527 UYL131062:UYL131063 UYL196598:UYL196599 UYL262134:UYL262135 UYL327670:UYL327671 UYL393206:UYL393207 UYL458742:UYL458743 UYL524278:UYL524279 UYL589814:UYL589815 UYL655350:UYL655351 UYL720886:UYL720887 UYL786422:UYL786423 UYL851958:UYL851959 UYL917494:UYL917495 UYL983030:UYL983031 VIH2:VIH3 VIH65526:VIH65527 VIH131062:VIH131063 VIH196598:VIH196599 VIH262134:VIH262135 VIH327670:VIH327671 VIH393206:VIH393207 VIH458742:VIH458743 VIH524278:VIH524279 VIH589814:VIH589815 VIH655350:VIH655351 VIH720886:VIH720887 VIH786422:VIH786423 VIH851958:VIH851959 VIH917494:VIH917495 VIH983030:VIH983031 VSD2:VSD3 VSD65526:VSD65527 VSD131062:VSD131063 VSD196598:VSD196599 VSD262134:VSD262135 VSD327670:VSD327671 VSD393206:VSD393207 VSD458742:VSD458743 VSD524278:VSD524279 VSD589814:VSD589815 VSD655350:VSD655351 VSD720886:VSD720887 VSD786422:VSD786423 VSD851958:VSD851959 VSD917494:VSD917495 VSD983030:VSD983031 WBZ2:WBZ3 WBZ65526:WBZ65527 WBZ131062:WBZ131063 WBZ196598:WBZ196599 WBZ262134:WBZ262135 WBZ327670:WBZ327671 WBZ393206:WBZ393207 WBZ458742:WBZ458743 WBZ524278:WBZ524279 WBZ589814:WBZ589815 WBZ655350:WBZ655351 WBZ720886:WBZ720887 WBZ786422:WBZ786423 WBZ851958:WBZ851959 WBZ917494:WBZ917495 WBZ983030:WBZ983031 WLV2:WLV3 WLV65526:WLV65527 WLV131062:WLV131063 WLV196598:WLV196599 WLV262134:WLV262135 WLV327670:WLV327671 WLV393206:WLV393207 WLV458742:WLV458743 WLV524278:WLV524279 WLV589814:WLV589815 WLV655350:WLV655351 WLV720886:WLV720887 WLV786422:WLV786423 WLV851958:WLV851959 WLV917494:WLV917495 WLV983030:WLV983031 WVR2:WVR3 WVR65526:WVR65527 WVR131062:WVR131063 WVR196598:WVR196599 WVR262134:WVR262135 WVR327670:WVR327671 WVR393206:WVR393207 WVR458742:WVR458743 WVR524278:WVR524279 WVR589814:WVR589815 WVR655350:WVR655351 WVR720886:WVR720887 WVR786422:WVR786423 WVR851958:WVR851959 WVR917494:WVR917495 WVR983030:WVR983031" xr:uid="{00000000-0002-0000-0700-000001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H65526:H65527 H131062:H131063 H196598:H196599 H262134:H262135 H327670:H327671 H393206:H393207 H458742:H458743 H524278:H524279 H589814:H589815 H655350:H655351 H720886:H720887 H786422:H786423 H851958:H851959 H917494:H917495 H983030:H983031 JE2:JE3 JE65526:JE65527 JE131062:JE131063 JE196598:JE196599 JE262134:JE262135 JE327670:JE327671 JE393206:JE393207 JE458742:JE458743 JE524278:JE524279 JE589814:JE589815 JE655350:JE655351 JE720886:JE720887 JE786422:JE786423 JE851958:JE851959 JE917494:JE917495 JE983030:JE983031 TA2:TA3 TA65526:TA65527 TA131062:TA131063 TA196598:TA196599 TA262134:TA262135 TA327670:TA327671 TA393206:TA393207 TA458742:TA458743 TA524278:TA524279 TA589814:TA589815 TA655350:TA655351 TA720886:TA720887 TA786422:TA786423 TA851958:TA851959 TA917494:TA917495 TA983030:TA983031 ACW2:ACW3 ACW65526:ACW65527 ACW131062:ACW131063 ACW196598:ACW196599 ACW262134:ACW262135 ACW327670:ACW327671 ACW393206:ACW393207 ACW458742:ACW458743 ACW524278:ACW524279 ACW589814:ACW589815 ACW655350:ACW655351 ACW720886:ACW720887 ACW786422:ACW786423 ACW851958:ACW851959 ACW917494:ACW917495 ACW983030:ACW983031 AMS2:AMS3 AMS65526:AMS65527 AMS131062:AMS131063 AMS196598:AMS196599 AMS262134:AMS262135 AMS327670:AMS327671 AMS393206:AMS393207 AMS458742:AMS458743 AMS524278:AMS524279 AMS589814:AMS589815 AMS655350:AMS655351 AMS720886:AMS720887 AMS786422:AMS786423 AMS851958:AMS851959 AMS917494:AMS917495 AMS983030:AMS983031 AWO2:AWO3 AWO65526:AWO65527 AWO131062:AWO131063 AWO196598:AWO196599 AWO262134:AWO262135 AWO327670:AWO327671 AWO393206:AWO393207 AWO458742:AWO458743 AWO524278:AWO524279 AWO589814:AWO589815 AWO655350:AWO655351 AWO720886:AWO720887 AWO786422:AWO786423 AWO851958:AWO851959 AWO917494:AWO917495 AWO983030:AWO983031 BGK2:BGK3 BGK65526:BGK65527 BGK131062:BGK131063 BGK196598:BGK196599 BGK262134:BGK262135 BGK327670:BGK327671 BGK393206:BGK393207 BGK458742:BGK458743 BGK524278:BGK524279 BGK589814:BGK589815 BGK655350:BGK655351 BGK720886:BGK720887 BGK786422:BGK786423 BGK851958:BGK851959 BGK917494:BGK917495 BGK983030:BGK983031 BQG2:BQG3 BQG65526:BQG65527 BQG131062:BQG131063 BQG196598:BQG196599 BQG262134:BQG262135 BQG327670:BQG327671 BQG393206:BQG393207 BQG458742:BQG458743 BQG524278:BQG524279 BQG589814:BQG589815 BQG655350:BQG655351 BQG720886:BQG720887 BQG786422:BQG786423 BQG851958:BQG851959 BQG917494:BQG917495 BQG983030:BQG983031 CAC2:CAC3 CAC65526:CAC65527 CAC131062:CAC131063 CAC196598:CAC196599 CAC262134:CAC262135 CAC327670:CAC327671 CAC393206:CAC393207 CAC458742:CAC458743 CAC524278:CAC524279 CAC589814:CAC589815 CAC655350:CAC655351 CAC720886:CAC720887 CAC786422:CAC786423 CAC851958:CAC851959 CAC917494:CAC917495 CAC983030:CAC983031 CJY2:CJY3 CJY65526:CJY65527 CJY131062:CJY131063 CJY196598:CJY196599 CJY262134:CJY262135 CJY327670:CJY327671 CJY393206:CJY393207 CJY458742:CJY458743 CJY524278:CJY524279 CJY589814:CJY589815 CJY655350:CJY655351 CJY720886:CJY720887 CJY786422:CJY786423 CJY851958:CJY851959 CJY917494:CJY917495 CJY983030:CJY983031 CTU2:CTU3 CTU65526:CTU65527 CTU131062:CTU131063 CTU196598:CTU196599 CTU262134:CTU262135 CTU327670:CTU327671 CTU393206:CTU393207 CTU458742:CTU458743 CTU524278:CTU524279 CTU589814:CTU589815 CTU655350:CTU655351 CTU720886:CTU720887 CTU786422:CTU786423 CTU851958:CTU851959 CTU917494:CTU917495 CTU983030:CTU983031 DDQ2:DDQ3 DDQ65526:DDQ65527 DDQ131062:DDQ131063 DDQ196598:DDQ196599 DDQ262134:DDQ262135 DDQ327670:DDQ327671 DDQ393206:DDQ393207 DDQ458742:DDQ458743 DDQ524278:DDQ524279 DDQ589814:DDQ589815 DDQ655350:DDQ655351 DDQ720886:DDQ720887 DDQ786422:DDQ786423 DDQ851958:DDQ851959 DDQ917494:DDQ917495 DDQ983030:DDQ983031 DNM2:DNM3 DNM65526:DNM65527 DNM131062:DNM131063 DNM196598:DNM196599 DNM262134:DNM262135 DNM327670:DNM327671 DNM393206:DNM393207 DNM458742:DNM458743 DNM524278:DNM524279 DNM589814:DNM589815 DNM655350:DNM655351 DNM720886:DNM720887 DNM786422:DNM786423 DNM851958:DNM851959 DNM917494:DNM917495 DNM983030:DNM983031 DXI2:DXI3 DXI65526:DXI65527 DXI131062:DXI131063 DXI196598:DXI196599 DXI262134:DXI262135 DXI327670:DXI327671 DXI393206:DXI393207 DXI458742:DXI458743 DXI524278:DXI524279 DXI589814:DXI589815 DXI655350:DXI655351 DXI720886:DXI720887 DXI786422:DXI786423 DXI851958:DXI851959 DXI917494:DXI917495 DXI983030:DXI983031 EHE2:EHE3 EHE65526:EHE65527 EHE131062:EHE131063 EHE196598:EHE196599 EHE262134:EHE262135 EHE327670:EHE327671 EHE393206:EHE393207 EHE458742:EHE458743 EHE524278:EHE524279 EHE589814:EHE589815 EHE655350:EHE655351 EHE720886:EHE720887 EHE786422:EHE786423 EHE851958:EHE851959 EHE917494:EHE917495 EHE983030:EHE983031 ERA2:ERA3 ERA65526:ERA65527 ERA131062:ERA131063 ERA196598:ERA196599 ERA262134:ERA262135 ERA327670:ERA327671 ERA393206:ERA393207 ERA458742:ERA458743 ERA524278:ERA524279 ERA589814:ERA589815 ERA655350:ERA655351 ERA720886:ERA720887 ERA786422:ERA786423 ERA851958:ERA851959 ERA917494:ERA917495 ERA983030:ERA983031 FAW2:FAW3 FAW65526:FAW65527 FAW131062:FAW131063 FAW196598:FAW196599 FAW262134:FAW262135 FAW327670:FAW327671 FAW393206:FAW393207 FAW458742:FAW458743 FAW524278:FAW524279 FAW589814:FAW589815 FAW655350:FAW655351 FAW720886:FAW720887 FAW786422:FAW786423 FAW851958:FAW851959 FAW917494:FAW917495 FAW983030:FAW983031 FKS2:FKS3 FKS65526:FKS65527 FKS131062:FKS131063 FKS196598:FKS196599 FKS262134:FKS262135 FKS327670:FKS327671 FKS393206:FKS393207 FKS458742:FKS458743 FKS524278:FKS524279 FKS589814:FKS589815 FKS655350:FKS655351 FKS720886:FKS720887 FKS786422:FKS786423 FKS851958:FKS851959 FKS917494:FKS917495 FKS983030:FKS983031 FUO2:FUO3 FUO65526:FUO65527 FUO131062:FUO131063 FUO196598:FUO196599 FUO262134:FUO262135 FUO327670:FUO327671 FUO393206:FUO393207 FUO458742:FUO458743 FUO524278:FUO524279 FUO589814:FUO589815 FUO655350:FUO655351 FUO720886:FUO720887 FUO786422:FUO786423 FUO851958:FUO851959 FUO917494:FUO917495 FUO983030:FUO983031 GEK2:GEK3 GEK65526:GEK65527 GEK131062:GEK131063 GEK196598:GEK196599 GEK262134:GEK262135 GEK327670:GEK327671 GEK393206:GEK393207 GEK458742:GEK458743 GEK524278:GEK524279 GEK589814:GEK589815 GEK655350:GEK655351 GEK720886:GEK720887 GEK786422:GEK786423 GEK851958:GEK851959 GEK917494:GEK917495 GEK983030:GEK983031 GOG2:GOG3 GOG65526:GOG65527 GOG131062:GOG131063 GOG196598:GOG196599 GOG262134:GOG262135 GOG327670:GOG327671 GOG393206:GOG393207 GOG458742:GOG458743 GOG524278:GOG524279 GOG589814:GOG589815 GOG655350:GOG655351 GOG720886:GOG720887 GOG786422:GOG786423 GOG851958:GOG851959 GOG917494:GOG917495 GOG983030:GOG983031 GYC2:GYC3 GYC65526:GYC65527 GYC131062:GYC131063 GYC196598:GYC196599 GYC262134:GYC262135 GYC327670:GYC327671 GYC393206:GYC393207 GYC458742:GYC458743 GYC524278:GYC524279 GYC589814:GYC589815 GYC655350:GYC655351 GYC720886:GYC720887 GYC786422:GYC786423 GYC851958:GYC851959 GYC917494:GYC917495 GYC983030:GYC983031 HHY2:HHY3 HHY65526:HHY65527 HHY131062:HHY131063 HHY196598:HHY196599 HHY262134:HHY262135 HHY327670:HHY327671 HHY393206:HHY393207 HHY458742:HHY458743 HHY524278:HHY524279 HHY589814:HHY589815 HHY655350:HHY655351 HHY720886:HHY720887 HHY786422:HHY786423 HHY851958:HHY851959 HHY917494:HHY917495 HHY983030:HHY983031 HRU2:HRU3 HRU65526:HRU65527 HRU131062:HRU131063 HRU196598:HRU196599 HRU262134:HRU262135 HRU327670:HRU327671 HRU393206:HRU393207 HRU458742:HRU458743 HRU524278:HRU524279 HRU589814:HRU589815 HRU655350:HRU655351 HRU720886:HRU720887 HRU786422:HRU786423 HRU851958:HRU851959 HRU917494:HRU917495 HRU983030:HRU983031 IBQ2:IBQ3 IBQ65526:IBQ65527 IBQ131062:IBQ131063 IBQ196598:IBQ196599 IBQ262134:IBQ262135 IBQ327670:IBQ327671 IBQ393206:IBQ393207 IBQ458742:IBQ458743 IBQ524278:IBQ524279 IBQ589814:IBQ589815 IBQ655350:IBQ655351 IBQ720886:IBQ720887 IBQ786422:IBQ786423 IBQ851958:IBQ851959 IBQ917494:IBQ917495 IBQ983030:IBQ983031 ILM2:ILM3 ILM65526:ILM65527 ILM131062:ILM131063 ILM196598:ILM196599 ILM262134:ILM262135 ILM327670:ILM327671 ILM393206:ILM393207 ILM458742:ILM458743 ILM524278:ILM524279 ILM589814:ILM589815 ILM655350:ILM655351 ILM720886:ILM720887 ILM786422:ILM786423 ILM851958:ILM851959 ILM917494:ILM917495 ILM983030:ILM983031 IVI2:IVI3 IVI65526:IVI65527 IVI131062:IVI131063 IVI196598:IVI196599 IVI262134:IVI262135 IVI327670:IVI327671 IVI393206:IVI393207 IVI458742:IVI458743 IVI524278:IVI524279 IVI589814:IVI589815 IVI655350:IVI655351 IVI720886:IVI720887 IVI786422:IVI786423 IVI851958:IVI851959 IVI917494:IVI917495 IVI983030:IVI983031 JFE2:JFE3 JFE65526:JFE65527 JFE131062:JFE131063 JFE196598:JFE196599 JFE262134:JFE262135 JFE327670:JFE327671 JFE393206:JFE393207 JFE458742:JFE458743 JFE524278:JFE524279 JFE589814:JFE589815 JFE655350:JFE655351 JFE720886:JFE720887 JFE786422:JFE786423 JFE851958:JFE851959 JFE917494:JFE917495 JFE983030:JFE983031 JPA2:JPA3 JPA65526:JPA65527 JPA131062:JPA131063 JPA196598:JPA196599 JPA262134:JPA262135 JPA327670:JPA327671 JPA393206:JPA393207 JPA458742:JPA458743 JPA524278:JPA524279 JPA589814:JPA589815 JPA655350:JPA655351 JPA720886:JPA720887 JPA786422:JPA786423 JPA851958:JPA851959 JPA917494:JPA917495 JPA983030:JPA983031 JYW2:JYW3 JYW65526:JYW65527 JYW131062:JYW131063 JYW196598:JYW196599 JYW262134:JYW262135 JYW327670:JYW327671 JYW393206:JYW393207 JYW458742:JYW458743 JYW524278:JYW524279 JYW589814:JYW589815 JYW655350:JYW655351 JYW720886:JYW720887 JYW786422:JYW786423 JYW851958:JYW851959 JYW917494:JYW917495 JYW983030:JYW983031 KIS2:KIS3 KIS65526:KIS65527 KIS131062:KIS131063 KIS196598:KIS196599 KIS262134:KIS262135 KIS327670:KIS327671 KIS393206:KIS393207 KIS458742:KIS458743 KIS524278:KIS524279 KIS589814:KIS589815 KIS655350:KIS655351 KIS720886:KIS720887 KIS786422:KIS786423 KIS851958:KIS851959 KIS917494:KIS917495 KIS983030:KIS983031 KSO2:KSO3 KSO65526:KSO65527 KSO131062:KSO131063 KSO196598:KSO196599 KSO262134:KSO262135 KSO327670:KSO327671 KSO393206:KSO393207 KSO458742:KSO458743 KSO524278:KSO524279 KSO589814:KSO589815 KSO655350:KSO655351 KSO720886:KSO720887 KSO786422:KSO786423 KSO851958:KSO851959 KSO917494:KSO917495 KSO983030:KSO983031 LCK2:LCK3 LCK65526:LCK65527 LCK131062:LCK131063 LCK196598:LCK196599 LCK262134:LCK262135 LCK327670:LCK327671 LCK393206:LCK393207 LCK458742:LCK458743 LCK524278:LCK524279 LCK589814:LCK589815 LCK655350:LCK655351 LCK720886:LCK720887 LCK786422:LCK786423 LCK851958:LCK851959 LCK917494:LCK917495 LCK983030:LCK983031 LMG2:LMG3 LMG65526:LMG65527 LMG131062:LMG131063 LMG196598:LMG196599 LMG262134:LMG262135 LMG327670:LMG327671 LMG393206:LMG393207 LMG458742:LMG458743 LMG524278:LMG524279 LMG589814:LMG589815 LMG655350:LMG655351 LMG720886:LMG720887 LMG786422:LMG786423 LMG851958:LMG851959 LMG917494:LMG917495 LMG983030:LMG983031 LWC2:LWC3 LWC65526:LWC65527 LWC131062:LWC131063 LWC196598:LWC196599 LWC262134:LWC262135 LWC327670:LWC327671 LWC393206:LWC393207 LWC458742:LWC458743 LWC524278:LWC524279 LWC589814:LWC589815 LWC655350:LWC655351 LWC720886:LWC720887 LWC786422:LWC786423 LWC851958:LWC851959 LWC917494:LWC917495 LWC983030:LWC983031 MFY2:MFY3 MFY65526:MFY65527 MFY131062:MFY131063 MFY196598:MFY196599 MFY262134:MFY262135 MFY327670:MFY327671 MFY393206:MFY393207 MFY458742:MFY458743 MFY524278:MFY524279 MFY589814:MFY589815 MFY655350:MFY655351 MFY720886:MFY720887 MFY786422:MFY786423 MFY851958:MFY851959 MFY917494:MFY917495 MFY983030:MFY983031 MPU2:MPU3 MPU65526:MPU65527 MPU131062:MPU131063 MPU196598:MPU196599 MPU262134:MPU262135 MPU327670:MPU327671 MPU393206:MPU393207 MPU458742:MPU458743 MPU524278:MPU524279 MPU589814:MPU589815 MPU655350:MPU655351 MPU720886:MPU720887 MPU786422:MPU786423 MPU851958:MPU851959 MPU917494:MPU917495 MPU983030:MPU983031 MZQ2:MZQ3 MZQ65526:MZQ65527 MZQ131062:MZQ131063 MZQ196598:MZQ196599 MZQ262134:MZQ262135 MZQ327670:MZQ327671 MZQ393206:MZQ393207 MZQ458742:MZQ458743 MZQ524278:MZQ524279 MZQ589814:MZQ589815 MZQ655350:MZQ655351 MZQ720886:MZQ720887 MZQ786422:MZQ786423 MZQ851958:MZQ851959 MZQ917494:MZQ917495 MZQ983030:MZQ983031 NJM2:NJM3 NJM65526:NJM65527 NJM131062:NJM131063 NJM196598:NJM196599 NJM262134:NJM262135 NJM327670:NJM327671 NJM393206:NJM393207 NJM458742:NJM458743 NJM524278:NJM524279 NJM589814:NJM589815 NJM655350:NJM655351 NJM720886:NJM720887 NJM786422:NJM786423 NJM851958:NJM851959 NJM917494:NJM917495 NJM983030:NJM983031 NTI2:NTI3 NTI65526:NTI65527 NTI131062:NTI131063 NTI196598:NTI196599 NTI262134:NTI262135 NTI327670:NTI327671 NTI393206:NTI393207 NTI458742:NTI458743 NTI524278:NTI524279 NTI589814:NTI589815 NTI655350:NTI655351 NTI720886:NTI720887 NTI786422:NTI786423 NTI851958:NTI851959 NTI917494:NTI917495 NTI983030:NTI983031 ODE2:ODE3 ODE65526:ODE65527 ODE131062:ODE131063 ODE196598:ODE196599 ODE262134:ODE262135 ODE327670:ODE327671 ODE393206:ODE393207 ODE458742:ODE458743 ODE524278:ODE524279 ODE589814:ODE589815 ODE655350:ODE655351 ODE720886:ODE720887 ODE786422:ODE786423 ODE851958:ODE851959 ODE917494:ODE917495 ODE983030:ODE983031 ONA2:ONA3 ONA65526:ONA65527 ONA131062:ONA131063 ONA196598:ONA196599 ONA262134:ONA262135 ONA327670:ONA327671 ONA393206:ONA393207 ONA458742:ONA458743 ONA524278:ONA524279 ONA589814:ONA589815 ONA655350:ONA655351 ONA720886:ONA720887 ONA786422:ONA786423 ONA851958:ONA851959 ONA917494:ONA917495 ONA983030:ONA983031 OWW2:OWW3 OWW65526:OWW65527 OWW131062:OWW131063 OWW196598:OWW196599 OWW262134:OWW262135 OWW327670:OWW327671 OWW393206:OWW393207 OWW458742:OWW458743 OWW524278:OWW524279 OWW589814:OWW589815 OWW655350:OWW655351 OWW720886:OWW720887 OWW786422:OWW786423 OWW851958:OWW851959 OWW917494:OWW917495 OWW983030:OWW983031 PGS2:PGS3 PGS65526:PGS65527 PGS131062:PGS131063 PGS196598:PGS196599 PGS262134:PGS262135 PGS327670:PGS327671 PGS393206:PGS393207 PGS458742:PGS458743 PGS524278:PGS524279 PGS589814:PGS589815 PGS655350:PGS655351 PGS720886:PGS720887 PGS786422:PGS786423 PGS851958:PGS851959 PGS917494:PGS917495 PGS983030:PGS983031 PQO2:PQO3 PQO65526:PQO65527 PQO131062:PQO131063 PQO196598:PQO196599 PQO262134:PQO262135 PQO327670:PQO327671 PQO393206:PQO393207 PQO458742:PQO458743 PQO524278:PQO524279 PQO589814:PQO589815 PQO655350:PQO655351 PQO720886:PQO720887 PQO786422:PQO786423 PQO851958:PQO851959 PQO917494:PQO917495 PQO983030:PQO983031 QAK2:QAK3 QAK65526:QAK65527 QAK131062:QAK131063 QAK196598:QAK196599 QAK262134:QAK262135 QAK327670:QAK327671 QAK393206:QAK393207 QAK458742:QAK458743 QAK524278:QAK524279 QAK589814:QAK589815 QAK655350:QAK655351 QAK720886:QAK720887 QAK786422:QAK786423 QAK851958:QAK851959 QAK917494:QAK917495 QAK983030:QAK983031 QKG2:QKG3 QKG65526:QKG65527 QKG131062:QKG131063 QKG196598:QKG196599 QKG262134:QKG262135 QKG327670:QKG327671 QKG393206:QKG393207 QKG458742:QKG458743 QKG524278:QKG524279 QKG589814:QKG589815 QKG655350:QKG655351 QKG720886:QKG720887 QKG786422:QKG786423 QKG851958:QKG851959 QKG917494:QKG917495 QKG983030:QKG983031 QUC2:QUC3 QUC65526:QUC65527 QUC131062:QUC131063 QUC196598:QUC196599 QUC262134:QUC262135 QUC327670:QUC327671 QUC393206:QUC393207 QUC458742:QUC458743 QUC524278:QUC524279 QUC589814:QUC589815 QUC655350:QUC655351 QUC720886:QUC720887 QUC786422:QUC786423 QUC851958:QUC851959 QUC917494:QUC917495 QUC983030:QUC983031 RDY2:RDY3 RDY65526:RDY65527 RDY131062:RDY131063 RDY196598:RDY196599 RDY262134:RDY262135 RDY327670:RDY327671 RDY393206:RDY393207 RDY458742:RDY458743 RDY524278:RDY524279 RDY589814:RDY589815 RDY655350:RDY655351 RDY720886:RDY720887 RDY786422:RDY786423 RDY851958:RDY851959 RDY917494:RDY917495 RDY983030:RDY983031 RNU2:RNU3 RNU65526:RNU65527 RNU131062:RNU131063 RNU196598:RNU196599 RNU262134:RNU262135 RNU327670:RNU327671 RNU393206:RNU393207 RNU458742:RNU458743 RNU524278:RNU524279 RNU589814:RNU589815 RNU655350:RNU655351 RNU720886:RNU720887 RNU786422:RNU786423 RNU851958:RNU851959 RNU917494:RNU917495 RNU983030:RNU983031 RXQ2:RXQ3 RXQ65526:RXQ65527 RXQ131062:RXQ131063 RXQ196598:RXQ196599 RXQ262134:RXQ262135 RXQ327670:RXQ327671 RXQ393206:RXQ393207 RXQ458742:RXQ458743 RXQ524278:RXQ524279 RXQ589814:RXQ589815 RXQ655350:RXQ655351 RXQ720886:RXQ720887 RXQ786422:RXQ786423 RXQ851958:RXQ851959 RXQ917494:RXQ917495 RXQ983030:RXQ983031 SHM2:SHM3 SHM65526:SHM65527 SHM131062:SHM131063 SHM196598:SHM196599 SHM262134:SHM262135 SHM327670:SHM327671 SHM393206:SHM393207 SHM458742:SHM458743 SHM524278:SHM524279 SHM589814:SHM589815 SHM655350:SHM655351 SHM720886:SHM720887 SHM786422:SHM786423 SHM851958:SHM851959 SHM917494:SHM917495 SHM983030:SHM983031 SRI2:SRI3 SRI65526:SRI65527 SRI131062:SRI131063 SRI196598:SRI196599 SRI262134:SRI262135 SRI327670:SRI327671 SRI393206:SRI393207 SRI458742:SRI458743 SRI524278:SRI524279 SRI589814:SRI589815 SRI655350:SRI655351 SRI720886:SRI720887 SRI786422:SRI786423 SRI851958:SRI851959 SRI917494:SRI917495 SRI983030:SRI983031 TBE2:TBE3 TBE65526:TBE65527 TBE131062:TBE131063 TBE196598:TBE196599 TBE262134:TBE262135 TBE327670:TBE327671 TBE393206:TBE393207 TBE458742:TBE458743 TBE524278:TBE524279 TBE589814:TBE589815 TBE655350:TBE655351 TBE720886:TBE720887 TBE786422:TBE786423 TBE851958:TBE851959 TBE917494:TBE917495 TBE983030:TBE983031 TLA2:TLA3 TLA65526:TLA65527 TLA131062:TLA131063 TLA196598:TLA196599 TLA262134:TLA262135 TLA327670:TLA327671 TLA393206:TLA393207 TLA458742:TLA458743 TLA524278:TLA524279 TLA589814:TLA589815 TLA655350:TLA655351 TLA720886:TLA720887 TLA786422:TLA786423 TLA851958:TLA851959 TLA917494:TLA917495 TLA983030:TLA983031 TUW2:TUW3 TUW65526:TUW65527 TUW131062:TUW131063 TUW196598:TUW196599 TUW262134:TUW262135 TUW327670:TUW327671 TUW393206:TUW393207 TUW458742:TUW458743 TUW524278:TUW524279 TUW589814:TUW589815 TUW655350:TUW655351 TUW720886:TUW720887 TUW786422:TUW786423 TUW851958:TUW851959 TUW917494:TUW917495 TUW983030:TUW983031 UES2:UES3 UES65526:UES65527 UES131062:UES131063 UES196598:UES196599 UES262134:UES262135 UES327670:UES327671 UES393206:UES393207 UES458742:UES458743 UES524278:UES524279 UES589814:UES589815 UES655350:UES655351 UES720886:UES720887 UES786422:UES786423 UES851958:UES851959 UES917494:UES917495 UES983030:UES983031 UOO2:UOO3 UOO65526:UOO65527 UOO131062:UOO131063 UOO196598:UOO196599 UOO262134:UOO262135 UOO327670:UOO327671 UOO393206:UOO393207 UOO458742:UOO458743 UOO524278:UOO524279 UOO589814:UOO589815 UOO655350:UOO655351 UOO720886:UOO720887 UOO786422:UOO786423 UOO851958:UOO851959 UOO917494:UOO917495 UOO983030:UOO983031 UYK2:UYK3 UYK65526:UYK65527 UYK131062:UYK131063 UYK196598:UYK196599 UYK262134:UYK262135 UYK327670:UYK327671 UYK393206:UYK393207 UYK458742:UYK458743 UYK524278:UYK524279 UYK589814:UYK589815 UYK655350:UYK655351 UYK720886:UYK720887 UYK786422:UYK786423 UYK851958:UYK851959 UYK917494:UYK917495 UYK983030:UYK983031 VIG2:VIG3 VIG65526:VIG65527 VIG131062:VIG131063 VIG196598:VIG196599 VIG262134:VIG262135 VIG327670:VIG327671 VIG393206:VIG393207 VIG458742:VIG458743 VIG524278:VIG524279 VIG589814:VIG589815 VIG655350:VIG655351 VIG720886:VIG720887 VIG786422:VIG786423 VIG851958:VIG851959 VIG917494:VIG917495 VIG983030:VIG983031 VSC2:VSC3 VSC65526:VSC65527 VSC131062:VSC131063 VSC196598:VSC196599 VSC262134:VSC262135 VSC327670:VSC327671 VSC393206:VSC393207 VSC458742:VSC458743 VSC524278:VSC524279 VSC589814:VSC589815 VSC655350:VSC655351 VSC720886:VSC720887 VSC786422:VSC786423 VSC851958:VSC851959 VSC917494:VSC917495 VSC983030:VSC983031 WBY2:WBY3 WBY65526:WBY65527 WBY131062:WBY131063 WBY196598:WBY196599 WBY262134:WBY262135 WBY327670:WBY327671 WBY393206:WBY393207 WBY458742:WBY458743 WBY524278:WBY524279 WBY589814:WBY589815 WBY655350:WBY655351 WBY720886:WBY720887 WBY786422:WBY786423 WBY851958:WBY851959 WBY917494:WBY917495 WBY983030:WBY983031 WLU2:WLU3 WLU65526:WLU65527 WLU131062:WLU131063 WLU196598:WLU196599 WLU262134:WLU262135 WLU327670:WLU327671 WLU393206:WLU393207 WLU458742:WLU458743 WLU524278:WLU524279 WLU589814:WLU589815 WLU655350:WLU655351 WLU720886:WLU720887 WLU786422:WLU786423 WLU851958:WLU851959 WLU917494:WLU917495 WLU983030:WLU983031 WVQ2:WVQ3 WVQ65526:WVQ65527 WVQ131062:WVQ131063 WVQ196598:WVQ196599 WVQ262134:WVQ262135 WVQ327670:WVQ327671 WVQ393206:WVQ393207 WVQ458742:WVQ458743 WVQ524278:WVQ524279 WVQ589814:WVQ589815 WVQ655350:WVQ655351 WVQ720886:WVQ720887 WVQ786422:WVQ786423 WVQ851958:WVQ851959 WVQ917494:WVQ917495 WVQ983030:WVQ983031" xr:uid="{00000000-0002-0000-0700-000002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8 A65526:A65527 A65532 A131062:A131063 A131068 A196598:A196599 A196604 A262134:A262135 A262140 A327670:A327671 A327676 A393206:A393207 A393212 A458742:A458743 A458748 A524278:A524279 A524284 A589814:A589815 A589820 A655350:A655351 A655356 A720886:A720887 A720892 A786422:A786423 A786428 A851958:A851959 A851964 A917494:A917495 A917500 A983030:A983031 A983036 IX2:IX3 IX8 IX65526:IX65527 IX65532 IX131062:IX131063 IX131068 IX196598:IX196599 IX196604 IX262134:IX262135 IX262140 IX327670:IX327671 IX327676 IX393206:IX393207 IX393212 IX458742:IX458743 IX458748 IX524278:IX524279 IX524284 IX589814:IX589815 IX589820 IX655350:IX655351 IX655356 IX720886:IX720887 IX720892 IX786422:IX786423 IX786428 IX851958:IX851959 IX851964 IX917494:IX917495 IX917500 IX983030:IX983031 IX983036 ST2:ST3 ST8 ST65526:ST65527 ST65532 ST131062:ST131063 ST131068 ST196598:ST196599 ST196604 ST262134:ST262135 ST262140 ST327670:ST327671 ST327676 ST393206:ST393207 ST393212 ST458742:ST458743 ST458748 ST524278:ST524279 ST524284 ST589814:ST589815 ST589820 ST655350:ST655351 ST655356 ST720886:ST720887 ST720892 ST786422:ST786423 ST786428 ST851958:ST851959 ST851964 ST917494:ST917495 ST917500 ST983030:ST983031 ST983036 ACP2:ACP3 ACP8 ACP65526:ACP65527 ACP65532 ACP131062:ACP131063 ACP131068 ACP196598:ACP196599 ACP196604 ACP262134:ACP262135 ACP262140 ACP327670:ACP327671 ACP327676 ACP393206:ACP393207 ACP393212 ACP458742:ACP458743 ACP458748 ACP524278:ACP524279 ACP524284 ACP589814:ACP589815 ACP589820 ACP655350:ACP655351 ACP655356 ACP720886:ACP720887 ACP720892 ACP786422:ACP786423 ACP786428 ACP851958:ACP851959 ACP851964 ACP917494:ACP917495 ACP917500 ACP983030:ACP983031 ACP983036 AML2:AML3 AML8 AML65526:AML65527 AML65532 AML131062:AML131063 AML131068 AML196598:AML196599 AML196604 AML262134:AML262135 AML262140 AML327670:AML327671 AML327676 AML393206:AML393207 AML393212 AML458742:AML458743 AML458748 AML524278:AML524279 AML524284 AML589814:AML589815 AML589820 AML655350:AML655351 AML655356 AML720886:AML720887 AML720892 AML786422:AML786423 AML786428 AML851958:AML851959 AML851964 AML917494:AML917495 AML917500 AML983030:AML983031 AML983036 AWH2:AWH3 AWH8 AWH65526:AWH65527 AWH65532 AWH131062:AWH131063 AWH131068 AWH196598:AWH196599 AWH196604 AWH262134:AWH262135 AWH262140 AWH327670:AWH327671 AWH327676 AWH393206:AWH393207 AWH393212 AWH458742:AWH458743 AWH458748 AWH524278:AWH524279 AWH524284 AWH589814:AWH589815 AWH589820 AWH655350:AWH655351 AWH655356 AWH720886:AWH720887 AWH720892 AWH786422:AWH786423 AWH786428 AWH851958:AWH851959 AWH851964 AWH917494:AWH917495 AWH917500 AWH983030:AWH983031 AWH983036 BGD2:BGD3 BGD8 BGD65526:BGD65527 BGD65532 BGD131062:BGD131063 BGD131068 BGD196598:BGD196599 BGD196604 BGD262134:BGD262135 BGD262140 BGD327670:BGD327671 BGD327676 BGD393206:BGD393207 BGD393212 BGD458742:BGD458743 BGD458748 BGD524278:BGD524279 BGD524284 BGD589814:BGD589815 BGD589820 BGD655350:BGD655351 BGD655356 BGD720886:BGD720887 BGD720892 BGD786422:BGD786423 BGD786428 BGD851958:BGD851959 BGD851964 BGD917494:BGD917495 BGD917500 BGD983030:BGD983031 BGD983036 BPZ2:BPZ3 BPZ8 BPZ65526:BPZ65527 BPZ65532 BPZ131062:BPZ131063 BPZ131068 BPZ196598:BPZ196599 BPZ196604 BPZ262134:BPZ262135 BPZ262140 BPZ327670:BPZ327671 BPZ327676 BPZ393206:BPZ393207 BPZ393212 BPZ458742:BPZ458743 BPZ458748 BPZ524278:BPZ524279 BPZ524284 BPZ589814:BPZ589815 BPZ589820 BPZ655350:BPZ655351 BPZ655356 BPZ720886:BPZ720887 BPZ720892 BPZ786422:BPZ786423 BPZ786428 BPZ851958:BPZ851959 BPZ851964 BPZ917494:BPZ917495 BPZ917500 BPZ983030:BPZ983031 BPZ983036 BZV2:BZV3 BZV8 BZV65526:BZV65527 BZV65532 BZV131062:BZV131063 BZV131068 BZV196598:BZV196599 BZV196604 BZV262134:BZV262135 BZV262140 BZV327670:BZV327671 BZV327676 BZV393206:BZV393207 BZV393212 BZV458742:BZV458743 BZV458748 BZV524278:BZV524279 BZV524284 BZV589814:BZV589815 BZV589820 BZV655350:BZV655351 BZV655356 BZV720886:BZV720887 BZV720892 BZV786422:BZV786423 BZV786428 BZV851958:BZV851959 BZV851964 BZV917494:BZV917495 BZV917500 BZV983030:BZV983031 BZV983036 CJR2:CJR3 CJR8 CJR65526:CJR65527 CJR65532 CJR131062:CJR131063 CJR131068 CJR196598:CJR196599 CJR196604 CJR262134:CJR262135 CJR262140 CJR327670:CJR327671 CJR327676 CJR393206:CJR393207 CJR393212 CJR458742:CJR458743 CJR458748 CJR524278:CJR524279 CJR524284 CJR589814:CJR589815 CJR589820 CJR655350:CJR655351 CJR655356 CJR720886:CJR720887 CJR720892 CJR786422:CJR786423 CJR786428 CJR851958:CJR851959 CJR851964 CJR917494:CJR917495 CJR917500 CJR983030:CJR983031 CJR983036 CTN2:CTN3 CTN8 CTN65526:CTN65527 CTN65532 CTN131062:CTN131063 CTN131068 CTN196598:CTN196599 CTN196604 CTN262134:CTN262135 CTN262140 CTN327670:CTN327671 CTN327676 CTN393206:CTN393207 CTN393212 CTN458742:CTN458743 CTN458748 CTN524278:CTN524279 CTN524284 CTN589814:CTN589815 CTN589820 CTN655350:CTN655351 CTN655356 CTN720886:CTN720887 CTN720892 CTN786422:CTN786423 CTN786428 CTN851958:CTN851959 CTN851964 CTN917494:CTN917495 CTN917500 CTN983030:CTN983031 CTN983036 DDJ2:DDJ3 DDJ8 DDJ65526:DDJ65527 DDJ65532 DDJ131062:DDJ131063 DDJ131068 DDJ196598:DDJ196599 DDJ196604 DDJ262134:DDJ262135 DDJ262140 DDJ327670:DDJ327671 DDJ327676 DDJ393206:DDJ393207 DDJ393212 DDJ458742:DDJ458743 DDJ458748 DDJ524278:DDJ524279 DDJ524284 DDJ589814:DDJ589815 DDJ589820 DDJ655350:DDJ655351 DDJ655356 DDJ720886:DDJ720887 DDJ720892 DDJ786422:DDJ786423 DDJ786428 DDJ851958:DDJ851959 DDJ851964 DDJ917494:DDJ917495 DDJ917500 DDJ983030:DDJ983031 DDJ983036 DNF2:DNF3 DNF8 DNF65526:DNF65527 DNF65532 DNF131062:DNF131063 DNF131068 DNF196598:DNF196599 DNF196604 DNF262134:DNF262135 DNF262140 DNF327670:DNF327671 DNF327676 DNF393206:DNF393207 DNF393212 DNF458742:DNF458743 DNF458748 DNF524278:DNF524279 DNF524284 DNF589814:DNF589815 DNF589820 DNF655350:DNF655351 DNF655356 DNF720886:DNF720887 DNF720892 DNF786422:DNF786423 DNF786428 DNF851958:DNF851959 DNF851964 DNF917494:DNF917495 DNF917500 DNF983030:DNF983031 DNF983036 DXB2:DXB3 DXB8 DXB65526:DXB65527 DXB65532 DXB131062:DXB131063 DXB131068 DXB196598:DXB196599 DXB196604 DXB262134:DXB262135 DXB262140 DXB327670:DXB327671 DXB327676 DXB393206:DXB393207 DXB393212 DXB458742:DXB458743 DXB458748 DXB524278:DXB524279 DXB524284 DXB589814:DXB589815 DXB589820 DXB655350:DXB655351 DXB655356 DXB720886:DXB720887 DXB720892 DXB786422:DXB786423 DXB786428 DXB851958:DXB851959 DXB851964 DXB917494:DXB917495 DXB917500 DXB983030:DXB983031 DXB983036 EGX2:EGX3 EGX8 EGX65526:EGX65527 EGX65532 EGX131062:EGX131063 EGX131068 EGX196598:EGX196599 EGX196604 EGX262134:EGX262135 EGX262140 EGX327670:EGX327671 EGX327676 EGX393206:EGX393207 EGX393212 EGX458742:EGX458743 EGX458748 EGX524278:EGX524279 EGX524284 EGX589814:EGX589815 EGX589820 EGX655350:EGX655351 EGX655356 EGX720886:EGX720887 EGX720892 EGX786422:EGX786423 EGX786428 EGX851958:EGX851959 EGX851964 EGX917494:EGX917495 EGX917500 EGX983030:EGX983031 EGX983036 EQT2:EQT3 EQT8 EQT65526:EQT65527 EQT65532 EQT131062:EQT131063 EQT131068 EQT196598:EQT196599 EQT196604 EQT262134:EQT262135 EQT262140 EQT327670:EQT327671 EQT327676 EQT393206:EQT393207 EQT393212 EQT458742:EQT458743 EQT458748 EQT524278:EQT524279 EQT524284 EQT589814:EQT589815 EQT589820 EQT655350:EQT655351 EQT655356 EQT720886:EQT720887 EQT720892 EQT786422:EQT786423 EQT786428 EQT851958:EQT851959 EQT851964 EQT917494:EQT917495 EQT917500 EQT983030:EQT983031 EQT983036 FAP2:FAP3 FAP8 FAP65526:FAP65527 FAP65532 FAP131062:FAP131063 FAP131068 FAP196598:FAP196599 FAP196604 FAP262134:FAP262135 FAP262140 FAP327670:FAP327671 FAP327676 FAP393206:FAP393207 FAP393212 FAP458742:FAP458743 FAP458748 FAP524278:FAP524279 FAP524284 FAP589814:FAP589815 FAP589820 FAP655350:FAP655351 FAP655356 FAP720886:FAP720887 FAP720892 FAP786422:FAP786423 FAP786428 FAP851958:FAP851959 FAP851964 FAP917494:FAP917495 FAP917500 FAP983030:FAP983031 FAP983036 FKL2:FKL3 FKL8 FKL65526:FKL65527 FKL65532 FKL131062:FKL131063 FKL131068 FKL196598:FKL196599 FKL196604 FKL262134:FKL262135 FKL262140 FKL327670:FKL327671 FKL327676 FKL393206:FKL393207 FKL393212 FKL458742:FKL458743 FKL458748 FKL524278:FKL524279 FKL524284 FKL589814:FKL589815 FKL589820 FKL655350:FKL655351 FKL655356 FKL720886:FKL720887 FKL720892 FKL786422:FKL786423 FKL786428 FKL851958:FKL851959 FKL851964 FKL917494:FKL917495 FKL917500 FKL983030:FKL983031 FKL983036 FUH2:FUH3 FUH8 FUH65526:FUH65527 FUH65532 FUH131062:FUH131063 FUH131068 FUH196598:FUH196599 FUH196604 FUH262134:FUH262135 FUH262140 FUH327670:FUH327671 FUH327676 FUH393206:FUH393207 FUH393212 FUH458742:FUH458743 FUH458748 FUH524278:FUH524279 FUH524284 FUH589814:FUH589815 FUH589820 FUH655350:FUH655351 FUH655356 FUH720886:FUH720887 FUH720892 FUH786422:FUH786423 FUH786428 FUH851958:FUH851959 FUH851964 FUH917494:FUH917495 FUH917500 FUH983030:FUH983031 FUH983036 GED2:GED3 GED8 GED65526:GED65527 GED65532 GED131062:GED131063 GED131068 GED196598:GED196599 GED196604 GED262134:GED262135 GED262140 GED327670:GED327671 GED327676 GED393206:GED393207 GED393212 GED458742:GED458743 GED458748 GED524278:GED524279 GED524284 GED589814:GED589815 GED589820 GED655350:GED655351 GED655356 GED720886:GED720887 GED720892 GED786422:GED786423 GED786428 GED851958:GED851959 GED851964 GED917494:GED917495 GED917500 GED983030:GED983031 GED983036 GNZ2:GNZ3 GNZ8 GNZ65526:GNZ65527 GNZ65532 GNZ131062:GNZ131063 GNZ131068 GNZ196598:GNZ196599 GNZ196604 GNZ262134:GNZ262135 GNZ262140 GNZ327670:GNZ327671 GNZ327676 GNZ393206:GNZ393207 GNZ393212 GNZ458742:GNZ458743 GNZ458748 GNZ524278:GNZ524279 GNZ524284 GNZ589814:GNZ589815 GNZ589820 GNZ655350:GNZ655351 GNZ655356 GNZ720886:GNZ720887 GNZ720892 GNZ786422:GNZ786423 GNZ786428 GNZ851958:GNZ851959 GNZ851964 GNZ917494:GNZ917495 GNZ917500 GNZ983030:GNZ983031 GNZ983036 GXV2:GXV3 GXV8 GXV65526:GXV65527 GXV65532 GXV131062:GXV131063 GXV131068 GXV196598:GXV196599 GXV196604 GXV262134:GXV262135 GXV262140 GXV327670:GXV327671 GXV327676 GXV393206:GXV393207 GXV393212 GXV458742:GXV458743 GXV458748 GXV524278:GXV524279 GXV524284 GXV589814:GXV589815 GXV589820 GXV655350:GXV655351 GXV655356 GXV720886:GXV720887 GXV720892 GXV786422:GXV786423 GXV786428 GXV851958:GXV851959 GXV851964 GXV917494:GXV917495 GXV917500 GXV983030:GXV983031 GXV983036 HHR2:HHR3 HHR8 HHR65526:HHR65527 HHR65532 HHR131062:HHR131063 HHR131068 HHR196598:HHR196599 HHR196604 HHR262134:HHR262135 HHR262140 HHR327670:HHR327671 HHR327676 HHR393206:HHR393207 HHR393212 HHR458742:HHR458743 HHR458748 HHR524278:HHR524279 HHR524284 HHR589814:HHR589815 HHR589820 HHR655350:HHR655351 HHR655356 HHR720886:HHR720887 HHR720892 HHR786422:HHR786423 HHR786428 HHR851958:HHR851959 HHR851964 HHR917494:HHR917495 HHR917500 HHR983030:HHR983031 HHR983036 HRN2:HRN3 HRN8 HRN65526:HRN65527 HRN65532 HRN131062:HRN131063 HRN131068 HRN196598:HRN196599 HRN196604 HRN262134:HRN262135 HRN262140 HRN327670:HRN327671 HRN327676 HRN393206:HRN393207 HRN393212 HRN458742:HRN458743 HRN458748 HRN524278:HRN524279 HRN524284 HRN589814:HRN589815 HRN589820 HRN655350:HRN655351 HRN655356 HRN720886:HRN720887 HRN720892 HRN786422:HRN786423 HRN786428 HRN851958:HRN851959 HRN851964 HRN917494:HRN917495 HRN917500 HRN983030:HRN983031 HRN983036 IBJ2:IBJ3 IBJ8 IBJ65526:IBJ65527 IBJ65532 IBJ131062:IBJ131063 IBJ131068 IBJ196598:IBJ196599 IBJ196604 IBJ262134:IBJ262135 IBJ262140 IBJ327670:IBJ327671 IBJ327676 IBJ393206:IBJ393207 IBJ393212 IBJ458742:IBJ458743 IBJ458748 IBJ524278:IBJ524279 IBJ524284 IBJ589814:IBJ589815 IBJ589820 IBJ655350:IBJ655351 IBJ655356 IBJ720886:IBJ720887 IBJ720892 IBJ786422:IBJ786423 IBJ786428 IBJ851958:IBJ851959 IBJ851964 IBJ917494:IBJ917495 IBJ917500 IBJ983030:IBJ983031 IBJ983036 ILF2:ILF3 ILF8 ILF65526:ILF65527 ILF65532 ILF131062:ILF131063 ILF131068 ILF196598:ILF196599 ILF196604 ILF262134:ILF262135 ILF262140 ILF327670:ILF327671 ILF327676 ILF393206:ILF393207 ILF393212 ILF458742:ILF458743 ILF458748 ILF524278:ILF524279 ILF524284 ILF589814:ILF589815 ILF589820 ILF655350:ILF655351 ILF655356 ILF720886:ILF720887 ILF720892 ILF786422:ILF786423 ILF786428 ILF851958:ILF851959 ILF851964 ILF917494:ILF917495 ILF917500 ILF983030:ILF983031 ILF983036 IVB2:IVB3 IVB8 IVB65526:IVB65527 IVB65532 IVB131062:IVB131063 IVB131068 IVB196598:IVB196599 IVB196604 IVB262134:IVB262135 IVB262140 IVB327670:IVB327671 IVB327676 IVB393206:IVB393207 IVB393212 IVB458742:IVB458743 IVB458748 IVB524278:IVB524279 IVB524284 IVB589814:IVB589815 IVB589820 IVB655350:IVB655351 IVB655356 IVB720886:IVB720887 IVB720892 IVB786422:IVB786423 IVB786428 IVB851958:IVB851959 IVB851964 IVB917494:IVB917495 IVB917500 IVB983030:IVB983031 IVB983036 JEX2:JEX3 JEX8 JEX65526:JEX65527 JEX65532 JEX131062:JEX131063 JEX131068 JEX196598:JEX196599 JEX196604 JEX262134:JEX262135 JEX262140 JEX327670:JEX327671 JEX327676 JEX393206:JEX393207 JEX393212 JEX458742:JEX458743 JEX458748 JEX524278:JEX524279 JEX524284 JEX589814:JEX589815 JEX589820 JEX655350:JEX655351 JEX655356 JEX720886:JEX720887 JEX720892 JEX786422:JEX786423 JEX786428 JEX851958:JEX851959 JEX851964 JEX917494:JEX917495 JEX917500 JEX983030:JEX983031 JEX983036 JOT2:JOT3 JOT8 JOT65526:JOT65527 JOT65532 JOT131062:JOT131063 JOT131068 JOT196598:JOT196599 JOT196604 JOT262134:JOT262135 JOT262140 JOT327670:JOT327671 JOT327676 JOT393206:JOT393207 JOT393212 JOT458742:JOT458743 JOT458748 JOT524278:JOT524279 JOT524284 JOT589814:JOT589815 JOT589820 JOT655350:JOT655351 JOT655356 JOT720886:JOT720887 JOT720892 JOT786422:JOT786423 JOT786428 JOT851958:JOT851959 JOT851964 JOT917494:JOT917495 JOT917500 JOT983030:JOT983031 JOT983036 JYP2:JYP3 JYP8 JYP65526:JYP65527 JYP65532 JYP131062:JYP131063 JYP131068 JYP196598:JYP196599 JYP196604 JYP262134:JYP262135 JYP262140 JYP327670:JYP327671 JYP327676 JYP393206:JYP393207 JYP393212 JYP458742:JYP458743 JYP458748 JYP524278:JYP524279 JYP524284 JYP589814:JYP589815 JYP589820 JYP655350:JYP655351 JYP655356 JYP720886:JYP720887 JYP720892 JYP786422:JYP786423 JYP786428 JYP851958:JYP851959 JYP851964 JYP917494:JYP917495 JYP917500 JYP983030:JYP983031 JYP983036 KIL2:KIL3 KIL8 KIL65526:KIL65527 KIL65532 KIL131062:KIL131063 KIL131068 KIL196598:KIL196599 KIL196604 KIL262134:KIL262135 KIL262140 KIL327670:KIL327671 KIL327676 KIL393206:KIL393207 KIL393212 KIL458742:KIL458743 KIL458748 KIL524278:KIL524279 KIL524284 KIL589814:KIL589815 KIL589820 KIL655350:KIL655351 KIL655356 KIL720886:KIL720887 KIL720892 KIL786422:KIL786423 KIL786428 KIL851958:KIL851959 KIL851964 KIL917494:KIL917495 KIL917500 KIL983030:KIL983031 KIL983036 KSH2:KSH3 KSH8 KSH65526:KSH65527 KSH65532 KSH131062:KSH131063 KSH131068 KSH196598:KSH196599 KSH196604 KSH262134:KSH262135 KSH262140 KSH327670:KSH327671 KSH327676 KSH393206:KSH393207 KSH393212 KSH458742:KSH458743 KSH458748 KSH524278:KSH524279 KSH524284 KSH589814:KSH589815 KSH589820 KSH655350:KSH655351 KSH655356 KSH720886:KSH720887 KSH720892 KSH786422:KSH786423 KSH786428 KSH851958:KSH851959 KSH851964 KSH917494:KSH917495 KSH917500 KSH983030:KSH983031 KSH983036 LCD2:LCD3 LCD8 LCD65526:LCD65527 LCD65532 LCD131062:LCD131063 LCD131068 LCD196598:LCD196599 LCD196604 LCD262134:LCD262135 LCD262140 LCD327670:LCD327671 LCD327676 LCD393206:LCD393207 LCD393212 LCD458742:LCD458743 LCD458748 LCD524278:LCD524279 LCD524284 LCD589814:LCD589815 LCD589820 LCD655350:LCD655351 LCD655356 LCD720886:LCD720887 LCD720892 LCD786422:LCD786423 LCD786428 LCD851958:LCD851959 LCD851964 LCD917494:LCD917495 LCD917500 LCD983030:LCD983031 LCD983036 LLZ2:LLZ3 LLZ8 LLZ65526:LLZ65527 LLZ65532 LLZ131062:LLZ131063 LLZ131068 LLZ196598:LLZ196599 LLZ196604 LLZ262134:LLZ262135 LLZ262140 LLZ327670:LLZ327671 LLZ327676 LLZ393206:LLZ393207 LLZ393212 LLZ458742:LLZ458743 LLZ458748 LLZ524278:LLZ524279 LLZ524284 LLZ589814:LLZ589815 LLZ589820 LLZ655350:LLZ655351 LLZ655356 LLZ720886:LLZ720887 LLZ720892 LLZ786422:LLZ786423 LLZ786428 LLZ851958:LLZ851959 LLZ851964 LLZ917494:LLZ917495 LLZ917500 LLZ983030:LLZ983031 LLZ983036 LVV2:LVV3 LVV8 LVV65526:LVV65527 LVV65532 LVV131062:LVV131063 LVV131068 LVV196598:LVV196599 LVV196604 LVV262134:LVV262135 LVV262140 LVV327670:LVV327671 LVV327676 LVV393206:LVV393207 LVV393212 LVV458742:LVV458743 LVV458748 LVV524278:LVV524279 LVV524284 LVV589814:LVV589815 LVV589820 LVV655350:LVV655351 LVV655356 LVV720886:LVV720887 LVV720892 LVV786422:LVV786423 LVV786428 LVV851958:LVV851959 LVV851964 LVV917494:LVV917495 LVV917500 LVV983030:LVV983031 LVV983036 MFR2:MFR3 MFR8 MFR65526:MFR65527 MFR65532 MFR131062:MFR131063 MFR131068 MFR196598:MFR196599 MFR196604 MFR262134:MFR262135 MFR262140 MFR327670:MFR327671 MFR327676 MFR393206:MFR393207 MFR393212 MFR458742:MFR458743 MFR458748 MFR524278:MFR524279 MFR524284 MFR589814:MFR589815 MFR589820 MFR655350:MFR655351 MFR655356 MFR720886:MFR720887 MFR720892 MFR786422:MFR786423 MFR786428 MFR851958:MFR851959 MFR851964 MFR917494:MFR917495 MFR917500 MFR983030:MFR983031 MFR983036 MPN2:MPN3 MPN8 MPN65526:MPN65527 MPN65532 MPN131062:MPN131063 MPN131068 MPN196598:MPN196599 MPN196604 MPN262134:MPN262135 MPN262140 MPN327670:MPN327671 MPN327676 MPN393206:MPN393207 MPN393212 MPN458742:MPN458743 MPN458748 MPN524278:MPN524279 MPN524284 MPN589814:MPN589815 MPN589820 MPN655350:MPN655351 MPN655356 MPN720886:MPN720887 MPN720892 MPN786422:MPN786423 MPN786428 MPN851958:MPN851959 MPN851964 MPN917494:MPN917495 MPN917500 MPN983030:MPN983031 MPN983036 MZJ2:MZJ3 MZJ8 MZJ65526:MZJ65527 MZJ65532 MZJ131062:MZJ131063 MZJ131068 MZJ196598:MZJ196599 MZJ196604 MZJ262134:MZJ262135 MZJ262140 MZJ327670:MZJ327671 MZJ327676 MZJ393206:MZJ393207 MZJ393212 MZJ458742:MZJ458743 MZJ458748 MZJ524278:MZJ524279 MZJ524284 MZJ589814:MZJ589815 MZJ589820 MZJ655350:MZJ655351 MZJ655356 MZJ720886:MZJ720887 MZJ720892 MZJ786422:MZJ786423 MZJ786428 MZJ851958:MZJ851959 MZJ851964 MZJ917494:MZJ917495 MZJ917500 MZJ983030:MZJ983031 MZJ983036 NJF2:NJF3 NJF8 NJF65526:NJF65527 NJF65532 NJF131062:NJF131063 NJF131068 NJF196598:NJF196599 NJF196604 NJF262134:NJF262135 NJF262140 NJF327670:NJF327671 NJF327676 NJF393206:NJF393207 NJF393212 NJF458742:NJF458743 NJF458748 NJF524278:NJF524279 NJF524284 NJF589814:NJF589815 NJF589820 NJF655350:NJF655351 NJF655356 NJF720886:NJF720887 NJF720892 NJF786422:NJF786423 NJF786428 NJF851958:NJF851959 NJF851964 NJF917494:NJF917495 NJF917500 NJF983030:NJF983031 NJF983036 NTB2:NTB3 NTB8 NTB65526:NTB65527 NTB65532 NTB131062:NTB131063 NTB131068 NTB196598:NTB196599 NTB196604 NTB262134:NTB262135 NTB262140 NTB327670:NTB327671 NTB327676 NTB393206:NTB393207 NTB393212 NTB458742:NTB458743 NTB458748 NTB524278:NTB524279 NTB524284 NTB589814:NTB589815 NTB589820 NTB655350:NTB655351 NTB655356 NTB720886:NTB720887 NTB720892 NTB786422:NTB786423 NTB786428 NTB851958:NTB851959 NTB851964 NTB917494:NTB917495 NTB917500 NTB983030:NTB983031 NTB983036 OCX2:OCX3 OCX8 OCX65526:OCX65527 OCX65532 OCX131062:OCX131063 OCX131068 OCX196598:OCX196599 OCX196604 OCX262134:OCX262135 OCX262140 OCX327670:OCX327671 OCX327676 OCX393206:OCX393207 OCX393212 OCX458742:OCX458743 OCX458748 OCX524278:OCX524279 OCX524284 OCX589814:OCX589815 OCX589820 OCX655350:OCX655351 OCX655356 OCX720886:OCX720887 OCX720892 OCX786422:OCX786423 OCX786428 OCX851958:OCX851959 OCX851964 OCX917494:OCX917495 OCX917500 OCX983030:OCX983031 OCX983036 OMT2:OMT3 OMT8 OMT65526:OMT65527 OMT65532 OMT131062:OMT131063 OMT131068 OMT196598:OMT196599 OMT196604 OMT262134:OMT262135 OMT262140 OMT327670:OMT327671 OMT327676 OMT393206:OMT393207 OMT393212 OMT458742:OMT458743 OMT458748 OMT524278:OMT524279 OMT524284 OMT589814:OMT589815 OMT589820 OMT655350:OMT655351 OMT655356 OMT720886:OMT720887 OMT720892 OMT786422:OMT786423 OMT786428 OMT851958:OMT851959 OMT851964 OMT917494:OMT917495 OMT917500 OMT983030:OMT983031 OMT983036 OWP2:OWP3 OWP8 OWP65526:OWP65527 OWP65532 OWP131062:OWP131063 OWP131068 OWP196598:OWP196599 OWP196604 OWP262134:OWP262135 OWP262140 OWP327670:OWP327671 OWP327676 OWP393206:OWP393207 OWP393212 OWP458742:OWP458743 OWP458748 OWP524278:OWP524279 OWP524284 OWP589814:OWP589815 OWP589820 OWP655350:OWP655351 OWP655356 OWP720886:OWP720887 OWP720892 OWP786422:OWP786423 OWP786428 OWP851958:OWP851959 OWP851964 OWP917494:OWP917495 OWP917500 OWP983030:OWP983031 OWP983036 PGL2:PGL3 PGL8 PGL65526:PGL65527 PGL65532 PGL131062:PGL131063 PGL131068 PGL196598:PGL196599 PGL196604 PGL262134:PGL262135 PGL262140 PGL327670:PGL327671 PGL327676 PGL393206:PGL393207 PGL393212 PGL458742:PGL458743 PGL458748 PGL524278:PGL524279 PGL524284 PGL589814:PGL589815 PGL589820 PGL655350:PGL655351 PGL655356 PGL720886:PGL720887 PGL720892 PGL786422:PGL786423 PGL786428 PGL851958:PGL851959 PGL851964 PGL917494:PGL917495 PGL917500 PGL983030:PGL983031 PGL983036 PQH2:PQH3 PQH8 PQH65526:PQH65527 PQH65532 PQH131062:PQH131063 PQH131068 PQH196598:PQH196599 PQH196604 PQH262134:PQH262135 PQH262140 PQH327670:PQH327671 PQH327676 PQH393206:PQH393207 PQH393212 PQH458742:PQH458743 PQH458748 PQH524278:PQH524279 PQH524284 PQH589814:PQH589815 PQH589820 PQH655350:PQH655351 PQH655356 PQH720886:PQH720887 PQH720892 PQH786422:PQH786423 PQH786428 PQH851958:PQH851959 PQH851964 PQH917494:PQH917495 PQH917500 PQH983030:PQH983031 PQH983036 QAD2:QAD3 QAD8 QAD65526:QAD65527 QAD65532 QAD131062:QAD131063 QAD131068 QAD196598:QAD196599 QAD196604 QAD262134:QAD262135 QAD262140 QAD327670:QAD327671 QAD327676 QAD393206:QAD393207 QAD393212 QAD458742:QAD458743 QAD458748 QAD524278:QAD524279 QAD524284 QAD589814:QAD589815 QAD589820 QAD655350:QAD655351 QAD655356 QAD720886:QAD720887 QAD720892 QAD786422:QAD786423 QAD786428 QAD851958:QAD851959 QAD851964 QAD917494:QAD917495 QAD917500 QAD983030:QAD983031 QAD983036 QJZ2:QJZ3 QJZ8 QJZ65526:QJZ65527 QJZ65532 QJZ131062:QJZ131063 QJZ131068 QJZ196598:QJZ196599 QJZ196604 QJZ262134:QJZ262135 QJZ262140 QJZ327670:QJZ327671 QJZ327676 QJZ393206:QJZ393207 QJZ393212 QJZ458742:QJZ458743 QJZ458748 QJZ524278:QJZ524279 QJZ524284 QJZ589814:QJZ589815 QJZ589820 QJZ655350:QJZ655351 QJZ655356 QJZ720886:QJZ720887 QJZ720892 QJZ786422:QJZ786423 QJZ786428 QJZ851958:QJZ851959 QJZ851964 QJZ917494:QJZ917495 QJZ917500 QJZ983030:QJZ983031 QJZ983036 QTV2:QTV3 QTV8 QTV65526:QTV65527 QTV65532 QTV131062:QTV131063 QTV131068 QTV196598:QTV196599 QTV196604 QTV262134:QTV262135 QTV262140 QTV327670:QTV327671 QTV327676 QTV393206:QTV393207 QTV393212 QTV458742:QTV458743 QTV458748 QTV524278:QTV524279 QTV524284 QTV589814:QTV589815 QTV589820 QTV655350:QTV655351 QTV655356 QTV720886:QTV720887 QTV720892 QTV786422:QTV786423 QTV786428 QTV851958:QTV851959 QTV851964 QTV917494:QTV917495 QTV917500 QTV983030:QTV983031 QTV983036 RDR2:RDR3 RDR8 RDR65526:RDR65527 RDR65532 RDR131062:RDR131063 RDR131068 RDR196598:RDR196599 RDR196604 RDR262134:RDR262135 RDR262140 RDR327670:RDR327671 RDR327676 RDR393206:RDR393207 RDR393212 RDR458742:RDR458743 RDR458748 RDR524278:RDR524279 RDR524284 RDR589814:RDR589815 RDR589820 RDR655350:RDR655351 RDR655356 RDR720886:RDR720887 RDR720892 RDR786422:RDR786423 RDR786428 RDR851958:RDR851959 RDR851964 RDR917494:RDR917495 RDR917500 RDR983030:RDR983031 RDR983036 RNN2:RNN3 RNN8 RNN65526:RNN65527 RNN65532 RNN131062:RNN131063 RNN131068 RNN196598:RNN196599 RNN196604 RNN262134:RNN262135 RNN262140 RNN327670:RNN327671 RNN327676 RNN393206:RNN393207 RNN393212 RNN458742:RNN458743 RNN458748 RNN524278:RNN524279 RNN524284 RNN589814:RNN589815 RNN589820 RNN655350:RNN655351 RNN655356 RNN720886:RNN720887 RNN720892 RNN786422:RNN786423 RNN786428 RNN851958:RNN851959 RNN851964 RNN917494:RNN917495 RNN917500 RNN983030:RNN983031 RNN983036 RXJ2:RXJ3 RXJ8 RXJ65526:RXJ65527 RXJ65532 RXJ131062:RXJ131063 RXJ131068 RXJ196598:RXJ196599 RXJ196604 RXJ262134:RXJ262135 RXJ262140 RXJ327670:RXJ327671 RXJ327676 RXJ393206:RXJ393207 RXJ393212 RXJ458742:RXJ458743 RXJ458748 RXJ524278:RXJ524279 RXJ524284 RXJ589814:RXJ589815 RXJ589820 RXJ655350:RXJ655351 RXJ655356 RXJ720886:RXJ720887 RXJ720892 RXJ786422:RXJ786423 RXJ786428 RXJ851958:RXJ851959 RXJ851964 RXJ917494:RXJ917495 RXJ917500 RXJ983030:RXJ983031 RXJ983036 SHF2:SHF3 SHF8 SHF65526:SHF65527 SHF65532 SHF131062:SHF131063 SHF131068 SHF196598:SHF196599 SHF196604 SHF262134:SHF262135 SHF262140 SHF327670:SHF327671 SHF327676 SHF393206:SHF393207 SHF393212 SHF458742:SHF458743 SHF458748 SHF524278:SHF524279 SHF524284 SHF589814:SHF589815 SHF589820 SHF655350:SHF655351 SHF655356 SHF720886:SHF720887 SHF720892 SHF786422:SHF786423 SHF786428 SHF851958:SHF851959 SHF851964 SHF917494:SHF917495 SHF917500 SHF983030:SHF983031 SHF983036 SRB2:SRB3 SRB8 SRB65526:SRB65527 SRB65532 SRB131062:SRB131063 SRB131068 SRB196598:SRB196599 SRB196604 SRB262134:SRB262135 SRB262140 SRB327670:SRB327671 SRB327676 SRB393206:SRB393207 SRB393212 SRB458742:SRB458743 SRB458748 SRB524278:SRB524279 SRB524284 SRB589814:SRB589815 SRB589820 SRB655350:SRB655351 SRB655356 SRB720886:SRB720887 SRB720892 SRB786422:SRB786423 SRB786428 SRB851958:SRB851959 SRB851964 SRB917494:SRB917495 SRB917500 SRB983030:SRB983031 SRB983036 TAX2:TAX3 TAX8 TAX65526:TAX65527 TAX65532 TAX131062:TAX131063 TAX131068 TAX196598:TAX196599 TAX196604 TAX262134:TAX262135 TAX262140 TAX327670:TAX327671 TAX327676 TAX393206:TAX393207 TAX393212 TAX458742:TAX458743 TAX458748 TAX524278:TAX524279 TAX524284 TAX589814:TAX589815 TAX589820 TAX655350:TAX655351 TAX655356 TAX720886:TAX720887 TAX720892 TAX786422:TAX786423 TAX786428 TAX851958:TAX851959 TAX851964 TAX917494:TAX917495 TAX917500 TAX983030:TAX983031 TAX983036 TKT2:TKT3 TKT8 TKT65526:TKT65527 TKT65532 TKT131062:TKT131063 TKT131068 TKT196598:TKT196599 TKT196604 TKT262134:TKT262135 TKT262140 TKT327670:TKT327671 TKT327676 TKT393206:TKT393207 TKT393212 TKT458742:TKT458743 TKT458748 TKT524278:TKT524279 TKT524284 TKT589814:TKT589815 TKT589820 TKT655350:TKT655351 TKT655356 TKT720886:TKT720887 TKT720892 TKT786422:TKT786423 TKT786428 TKT851958:TKT851959 TKT851964 TKT917494:TKT917495 TKT917500 TKT983030:TKT983031 TKT983036 TUP2:TUP3 TUP8 TUP65526:TUP65527 TUP65532 TUP131062:TUP131063 TUP131068 TUP196598:TUP196599 TUP196604 TUP262134:TUP262135 TUP262140 TUP327670:TUP327671 TUP327676 TUP393206:TUP393207 TUP393212 TUP458742:TUP458743 TUP458748 TUP524278:TUP524279 TUP524284 TUP589814:TUP589815 TUP589820 TUP655350:TUP655351 TUP655356 TUP720886:TUP720887 TUP720892 TUP786422:TUP786423 TUP786428 TUP851958:TUP851959 TUP851964 TUP917494:TUP917495 TUP917500 TUP983030:TUP983031 TUP983036 UEL2:UEL3 UEL8 UEL65526:UEL65527 UEL65532 UEL131062:UEL131063 UEL131068 UEL196598:UEL196599 UEL196604 UEL262134:UEL262135 UEL262140 UEL327670:UEL327671 UEL327676 UEL393206:UEL393207 UEL393212 UEL458742:UEL458743 UEL458748 UEL524278:UEL524279 UEL524284 UEL589814:UEL589815 UEL589820 UEL655350:UEL655351 UEL655356 UEL720886:UEL720887 UEL720892 UEL786422:UEL786423 UEL786428 UEL851958:UEL851959 UEL851964 UEL917494:UEL917495 UEL917500 UEL983030:UEL983031 UEL983036 UOH2:UOH3 UOH8 UOH65526:UOH65527 UOH65532 UOH131062:UOH131063 UOH131068 UOH196598:UOH196599 UOH196604 UOH262134:UOH262135 UOH262140 UOH327670:UOH327671 UOH327676 UOH393206:UOH393207 UOH393212 UOH458742:UOH458743 UOH458748 UOH524278:UOH524279 UOH524284 UOH589814:UOH589815 UOH589820 UOH655350:UOH655351 UOH655356 UOH720886:UOH720887 UOH720892 UOH786422:UOH786423 UOH786428 UOH851958:UOH851959 UOH851964 UOH917494:UOH917495 UOH917500 UOH983030:UOH983031 UOH983036 UYD2:UYD3 UYD8 UYD65526:UYD65527 UYD65532 UYD131062:UYD131063 UYD131068 UYD196598:UYD196599 UYD196604 UYD262134:UYD262135 UYD262140 UYD327670:UYD327671 UYD327676 UYD393206:UYD393207 UYD393212 UYD458742:UYD458743 UYD458748 UYD524278:UYD524279 UYD524284 UYD589814:UYD589815 UYD589820 UYD655350:UYD655351 UYD655356 UYD720886:UYD720887 UYD720892 UYD786422:UYD786423 UYD786428 UYD851958:UYD851959 UYD851964 UYD917494:UYD917495 UYD917500 UYD983030:UYD983031 UYD983036 VHZ2:VHZ3 VHZ8 VHZ65526:VHZ65527 VHZ65532 VHZ131062:VHZ131063 VHZ131068 VHZ196598:VHZ196599 VHZ196604 VHZ262134:VHZ262135 VHZ262140 VHZ327670:VHZ327671 VHZ327676 VHZ393206:VHZ393207 VHZ393212 VHZ458742:VHZ458743 VHZ458748 VHZ524278:VHZ524279 VHZ524284 VHZ589814:VHZ589815 VHZ589820 VHZ655350:VHZ655351 VHZ655356 VHZ720886:VHZ720887 VHZ720892 VHZ786422:VHZ786423 VHZ786428 VHZ851958:VHZ851959 VHZ851964 VHZ917494:VHZ917495 VHZ917500 VHZ983030:VHZ983031 VHZ983036 VRV2:VRV3 VRV8 VRV65526:VRV65527 VRV65532 VRV131062:VRV131063 VRV131068 VRV196598:VRV196599 VRV196604 VRV262134:VRV262135 VRV262140 VRV327670:VRV327671 VRV327676 VRV393206:VRV393207 VRV393212 VRV458742:VRV458743 VRV458748 VRV524278:VRV524279 VRV524284 VRV589814:VRV589815 VRV589820 VRV655350:VRV655351 VRV655356 VRV720886:VRV720887 VRV720892 VRV786422:VRV786423 VRV786428 VRV851958:VRV851959 VRV851964 VRV917494:VRV917495 VRV917500 VRV983030:VRV983031 VRV983036 WBR2:WBR3 WBR8 WBR65526:WBR65527 WBR65532 WBR131062:WBR131063 WBR131068 WBR196598:WBR196599 WBR196604 WBR262134:WBR262135 WBR262140 WBR327670:WBR327671 WBR327676 WBR393206:WBR393207 WBR393212 WBR458742:WBR458743 WBR458748 WBR524278:WBR524279 WBR524284 WBR589814:WBR589815 WBR589820 WBR655350:WBR655351 WBR655356 WBR720886:WBR720887 WBR720892 WBR786422:WBR786423 WBR786428 WBR851958:WBR851959 WBR851964 WBR917494:WBR917495 WBR917500 WBR983030:WBR983031 WBR983036 WLN2:WLN3 WLN8 WLN65526:WLN65527 WLN65532 WLN131062:WLN131063 WLN131068 WLN196598:WLN196599 WLN196604 WLN262134:WLN262135 WLN262140 WLN327670:WLN327671 WLN327676 WLN393206:WLN393207 WLN393212 WLN458742:WLN458743 WLN458748 WLN524278:WLN524279 WLN524284 WLN589814:WLN589815 WLN589820 WLN655350:WLN655351 WLN655356 WLN720886:WLN720887 WLN720892 WLN786422:WLN786423 WLN786428 WLN851958:WLN851959 WLN851964 WLN917494:WLN917495 WLN917500 WLN983030:WLN983031 WLN983036 WVJ2:WVJ3 WVJ8 WVJ65526:WVJ65527 WVJ65532 WVJ131062:WVJ131063 WVJ131068 WVJ196598:WVJ196599 WVJ196604 WVJ262134:WVJ262135 WVJ262140 WVJ327670:WVJ327671 WVJ327676 WVJ393206:WVJ393207 WVJ393212 WVJ458742:WVJ458743 WVJ458748 WVJ524278:WVJ524279 WVJ524284 WVJ589814:WVJ589815 WVJ589820 WVJ655350:WVJ655351 WVJ655356 WVJ720886:WVJ720887 WVJ720892 WVJ786422:WVJ786423 WVJ786428 WVJ851958:WVJ851959 WVJ851964 WVJ917494:WVJ917495 WVJ917500 WVJ983030:WVJ983031 WVJ983036" xr:uid="{00000000-0002-0000-0700-000003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E65526:E65527 E131062:E131063 E196598:E196599 E262134:E262135 E327670:E327671 E393206:E393207 E458742:E458743 E524278:E524279 E589814:E589815 E655350:E655351 E720886:E720887 E786422:E786423 E851958:E851959 E917494:E917495 E983030:E983031 JB2:JB3 JB65526:JB65527 JB131062:JB131063 JB196598:JB196599 JB262134:JB262135 JB327670:JB327671 JB393206:JB393207 JB458742:JB458743 JB524278:JB524279 JB589814:JB589815 JB655350:JB655351 JB720886:JB720887 JB786422:JB786423 JB851958:JB851959 JB917494:JB917495 JB983030:JB983031 SX2:SX3 SX65526:SX65527 SX131062:SX131063 SX196598:SX196599 SX262134:SX262135 SX327670:SX327671 SX393206:SX393207 SX458742:SX458743 SX524278:SX524279 SX589814:SX589815 SX655350:SX655351 SX720886:SX720887 SX786422:SX786423 SX851958:SX851959 SX917494:SX917495 SX983030:SX983031 ACT2:ACT3 ACT65526:ACT65527 ACT131062:ACT131063 ACT196598:ACT196599 ACT262134:ACT262135 ACT327670:ACT327671 ACT393206:ACT393207 ACT458742:ACT458743 ACT524278:ACT524279 ACT589814:ACT589815 ACT655350:ACT655351 ACT720886:ACT720887 ACT786422:ACT786423 ACT851958:ACT851959 ACT917494:ACT917495 ACT983030:ACT983031 AMP2:AMP3 AMP65526:AMP65527 AMP131062:AMP131063 AMP196598:AMP196599 AMP262134:AMP262135 AMP327670:AMP327671 AMP393206:AMP393207 AMP458742:AMP458743 AMP524278:AMP524279 AMP589814:AMP589815 AMP655350:AMP655351 AMP720886:AMP720887 AMP786422:AMP786423 AMP851958:AMP851959 AMP917494:AMP917495 AMP983030:AMP983031 AWL2:AWL3 AWL65526:AWL65527 AWL131062:AWL131063 AWL196598:AWL196599 AWL262134:AWL262135 AWL327670:AWL327671 AWL393206:AWL393207 AWL458742:AWL458743 AWL524278:AWL524279 AWL589814:AWL589815 AWL655350:AWL655351 AWL720886:AWL720887 AWL786422:AWL786423 AWL851958:AWL851959 AWL917494:AWL917495 AWL983030:AWL983031 BGH2:BGH3 BGH65526:BGH65527 BGH131062:BGH131063 BGH196598:BGH196599 BGH262134:BGH262135 BGH327670:BGH327671 BGH393206:BGH393207 BGH458742:BGH458743 BGH524278:BGH524279 BGH589814:BGH589815 BGH655350:BGH655351 BGH720886:BGH720887 BGH786422:BGH786423 BGH851958:BGH851959 BGH917494:BGH917495 BGH983030:BGH983031 BQD2:BQD3 BQD65526:BQD65527 BQD131062:BQD131063 BQD196598:BQD196599 BQD262134:BQD262135 BQD327670:BQD327671 BQD393206:BQD393207 BQD458742:BQD458743 BQD524278:BQD524279 BQD589814:BQD589815 BQD655350:BQD655351 BQD720886:BQD720887 BQD786422:BQD786423 BQD851958:BQD851959 BQD917494:BQD917495 BQD983030:BQD983031 BZZ2:BZZ3 BZZ65526:BZZ65527 BZZ131062:BZZ131063 BZZ196598:BZZ196599 BZZ262134:BZZ262135 BZZ327670:BZZ327671 BZZ393206:BZZ393207 BZZ458742:BZZ458743 BZZ524278:BZZ524279 BZZ589814:BZZ589815 BZZ655350:BZZ655351 BZZ720886:BZZ720887 BZZ786422:BZZ786423 BZZ851958:BZZ851959 BZZ917494:BZZ917495 BZZ983030:BZZ983031 CJV2:CJV3 CJV65526:CJV65527 CJV131062:CJV131063 CJV196598:CJV196599 CJV262134:CJV262135 CJV327670:CJV327671 CJV393206:CJV393207 CJV458742:CJV458743 CJV524278:CJV524279 CJV589814:CJV589815 CJV655350:CJV655351 CJV720886:CJV720887 CJV786422:CJV786423 CJV851958:CJV851959 CJV917494:CJV917495 CJV983030:CJV983031 CTR2:CTR3 CTR65526:CTR65527 CTR131062:CTR131063 CTR196598:CTR196599 CTR262134:CTR262135 CTR327670:CTR327671 CTR393206:CTR393207 CTR458742:CTR458743 CTR524278:CTR524279 CTR589814:CTR589815 CTR655350:CTR655351 CTR720886:CTR720887 CTR786422:CTR786423 CTR851958:CTR851959 CTR917494:CTR917495 CTR983030:CTR983031 DDN2:DDN3 DDN65526:DDN65527 DDN131062:DDN131063 DDN196598:DDN196599 DDN262134:DDN262135 DDN327670:DDN327671 DDN393206:DDN393207 DDN458742:DDN458743 DDN524278:DDN524279 DDN589814:DDN589815 DDN655350:DDN655351 DDN720886:DDN720887 DDN786422:DDN786423 DDN851958:DDN851959 DDN917494:DDN917495 DDN983030:DDN983031 DNJ2:DNJ3 DNJ65526:DNJ65527 DNJ131062:DNJ131063 DNJ196598:DNJ196599 DNJ262134:DNJ262135 DNJ327670:DNJ327671 DNJ393206:DNJ393207 DNJ458742:DNJ458743 DNJ524278:DNJ524279 DNJ589814:DNJ589815 DNJ655350:DNJ655351 DNJ720886:DNJ720887 DNJ786422:DNJ786423 DNJ851958:DNJ851959 DNJ917494:DNJ917495 DNJ983030:DNJ983031 DXF2:DXF3 DXF65526:DXF65527 DXF131062:DXF131063 DXF196598:DXF196599 DXF262134:DXF262135 DXF327670:DXF327671 DXF393206:DXF393207 DXF458742:DXF458743 DXF524278:DXF524279 DXF589814:DXF589815 DXF655350:DXF655351 DXF720886:DXF720887 DXF786422:DXF786423 DXF851958:DXF851959 DXF917494:DXF917495 DXF983030:DXF983031 EHB2:EHB3 EHB65526:EHB65527 EHB131062:EHB131063 EHB196598:EHB196599 EHB262134:EHB262135 EHB327670:EHB327671 EHB393206:EHB393207 EHB458742:EHB458743 EHB524278:EHB524279 EHB589814:EHB589815 EHB655350:EHB655351 EHB720886:EHB720887 EHB786422:EHB786423 EHB851958:EHB851959 EHB917494:EHB917495 EHB983030:EHB983031 EQX2:EQX3 EQX65526:EQX65527 EQX131062:EQX131063 EQX196598:EQX196599 EQX262134:EQX262135 EQX327670:EQX327671 EQX393206:EQX393207 EQX458742:EQX458743 EQX524278:EQX524279 EQX589814:EQX589815 EQX655350:EQX655351 EQX720886:EQX720887 EQX786422:EQX786423 EQX851958:EQX851959 EQX917494:EQX917495 EQX983030:EQX983031 FAT2:FAT3 FAT65526:FAT65527 FAT131062:FAT131063 FAT196598:FAT196599 FAT262134:FAT262135 FAT327670:FAT327671 FAT393206:FAT393207 FAT458742:FAT458743 FAT524278:FAT524279 FAT589814:FAT589815 FAT655350:FAT655351 FAT720886:FAT720887 FAT786422:FAT786423 FAT851958:FAT851959 FAT917494:FAT917495 FAT983030:FAT983031 FKP2:FKP3 FKP65526:FKP65527 FKP131062:FKP131063 FKP196598:FKP196599 FKP262134:FKP262135 FKP327670:FKP327671 FKP393206:FKP393207 FKP458742:FKP458743 FKP524278:FKP524279 FKP589814:FKP589815 FKP655350:FKP655351 FKP720886:FKP720887 FKP786422:FKP786423 FKP851958:FKP851959 FKP917494:FKP917495 FKP983030:FKP983031 FUL2:FUL3 FUL65526:FUL65527 FUL131062:FUL131063 FUL196598:FUL196599 FUL262134:FUL262135 FUL327670:FUL327671 FUL393206:FUL393207 FUL458742:FUL458743 FUL524278:FUL524279 FUL589814:FUL589815 FUL655350:FUL655351 FUL720886:FUL720887 FUL786422:FUL786423 FUL851958:FUL851959 FUL917494:FUL917495 FUL983030:FUL983031 GEH2:GEH3 GEH65526:GEH65527 GEH131062:GEH131063 GEH196598:GEH196599 GEH262134:GEH262135 GEH327670:GEH327671 GEH393206:GEH393207 GEH458742:GEH458743 GEH524278:GEH524279 GEH589814:GEH589815 GEH655350:GEH655351 GEH720886:GEH720887 GEH786422:GEH786423 GEH851958:GEH851959 GEH917494:GEH917495 GEH983030:GEH983031 GOD2:GOD3 GOD65526:GOD65527 GOD131062:GOD131063 GOD196598:GOD196599 GOD262134:GOD262135 GOD327670:GOD327671 GOD393206:GOD393207 GOD458742:GOD458743 GOD524278:GOD524279 GOD589814:GOD589815 GOD655350:GOD655351 GOD720886:GOD720887 GOD786422:GOD786423 GOD851958:GOD851959 GOD917494:GOD917495 GOD983030:GOD983031 GXZ2:GXZ3 GXZ65526:GXZ65527 GXZ131062:GXZ131063 GXZ196598:GXZ196599 GXZ262134:GXZ262135 GXZ327670:GXZ327671 GXZ393206:GXZ393207 GXZ458742:GXZ458743 GXZ524278:GXZ524279 GXZ589814:GXZ589815 GXZ655350:GXZ655351 GXZ720886:GXZ720887 GXZ786422:GXZ786423 GXZ851958:GXZ851959 GXZ917494:GXZ917495 GXZ983030:GXZ983031 HHV2:HHV3 HHV65526:HHV65527 HHV131062:HHV131063 HHV196598:HHV196599 HHV262134:HHV262135 HHV327670:HHV327671 HHV393206:HHV393207 HHV458742:HHV458743 HHV524278:HHV524279 HHV589814:HHV589815 HHV655350:HHV655351 HHV720886:HHV720887 HHV786422:HHV786423 HHV851958:HHV851959 HHV917494:HHV917495 HHV983030:HHV983031 HRR2:HRR3 HRR65526:HRR65527 HRR131062:HRR131063 HRR196598:HRR196599 HRR262134:HRR262135 HRR327670:HRR327671 HRR393206:HRR393207 HRR458742:HRR458743 HRR524278:HRR524279 HRR589814:HRR589815 HRR655350:HRR655351 HRR720886:HRR720887 HRR786422:HRR786423 HRR851958:HRR851959 HRR917494:HRR917495 HRR983030:HRR983031 IBN2:IBN3 IBN65526:IBN65527 IBN131062:IBN131063 IBN196598:IBN196599 IBN262134:IBN262135 IBN327670:IBN327671 IBN393206:IBN393207 IBN458742:IBN458743 IBN524278:IBN524279 IBN589814:IBN589815 IBN655350:IBN655351 IBN720886:IBN720887 IBN786422:IBN786423 IBN851958:IBN851959 IBN917494:IBN917495 IBN983030:IBN983031 ILJ2:ILJ3 ILJ65526:ILJ65527 ILJ131062:ILJ131063 ILJ196598:ILJ196599 ILJ262134:ILJ262135 ILJ327670:ILJ327671 ILJ393206:ILJ393207 ILJ458742:ILJ458743 ILJ524278:ILJ524279 ILJ589814:ILJ589815 ILJ655350:ILJ655351 ILJ720886:ILJ720887 ILJ786422:ILJ786423 ILJ851958:ILJ851959 ILJ917494:ILJ917495 ILJ983030:ILJ983031 IVF2:IVF3 IVF65526:IVF65527 IVF131062:IVF131063 IVF196598:IVF196599 IVF262134:IVF262135 IVF327670:IVF327671 IVF393206:IVF393207 IVF458742:IVF458743 IVF524278:IVF524279 IVF589814:IVF589815 IVF655350:IVF655351 IVF720886:IVF720887 IVF786422:IVF786423 IVF851958:IVF851959 IVF917494:IVF917495 IVF983030:IVF983031 JFB2:JFB3 JFB65526:JFB65527 JFB131062:JFB131063 JFB196598:JFB196599 JFB262134:JFB262135 JFB327670:JFB327671 JFB393206:JFB393207 JFB458742:JFB458743 JFB524278:JFB524279 JFB589814:JFB589815 JFB655350:JFB655351 JFB720886:JFB720887 JFB786422:JFB786423 JFB851958:JFB851959 JFB917494:JFB917495 JFB983030:JFB983031 JOX2:JOX3 JOX65526:JOX65527 JOX131062:JOX131063 JOX196598:JOX196599 JOX262134:JOX262135 JOX327670:JOX327671 JOX393206:JOX393207 JOX458742:JOX458743 JOX524278:JOX524279 JOX589814:JOX589815 JOX655350:JOX655351 JOX720886:JOX720887 JOX786422:JOX786423 JOX851958:JOX851959 JOX917494:JOX917495 JOX983030:JOX983031 JYT2:JYT3 JYT65526:JYT65527 JYT131062:JYT131063 JYT196598:JYT196599 JYT262134:JYT262135 JYT327670:JYT327671 JYT393206:JYT393207 JYT458742:JYT458743 JYT524278:JYT524279 JYT589814:JYT589815 JYT655350:JYT655351 JYT720886:JYT720887 JYT786422:JYT786423 JYT851958:JYT851959 JYT917494:JYT917495 JYT983030:JYT983031 KIP2:KIP3 KIP65526:KIP65527 KIP131062:KIP131063 KIP196598:KIP196599 KIP262134:KIP262135 KIP327670:KIP327671 KIP393206:KIP393207 KIP458742:KIP458743 KIP524278:KIP524279 KIP589814:KIP589815 KIP655350:KIP655351 KIP720886:KIP720887 KIP786422:KIP786423 KIP851958:KIP851959 KIP917494:KIP917495 KIP983030:KIP983031 KSL2:KSL3 KSL65526:KSL65527 KSL131062:KSL131063 KSL196598:KSL196599 KSL262134:KSL262135 KSL327670:KSL327671 KSL393206:KSL393207 KSL458742:KSL458743 KSL524278:KSL524279 KSL589814:KSL589815 KSL655350:KSL655351 KSL720886:KSL720887 KSL786422:KSL786423 KSL851958:KSL851959 KSL917494:KSL917495 KSL983030:KSL983031 LCH2:LCH3 LCH65526:LCH65527 LCH131062:LCH131063 LCH196598:LCH196599 LCH262134:LCH262135 LCH327670:LCH327671 LCH393206:LCH393207 LCH458742:LCH458743 LCH524278:LCH524279 LCH589814:LCH589815 LCH655350:LCH655351 LCH720886:LCH720887 LCH786422:LCH786423 LCH851958:LCH851959 LCH917494:LCH917495 LCH983030:LCH983031 LMD2:LMD3 LMD65526:LMD65527 LMD131062:LMD131063 LMD196598:LMD196599 LMD262134:LMD262135 LMD327670:LMD327671 LMD393206:LMD393207 LMD458742:LMD458743 LMD524278:LMD524279 LMD589814:LMD589815 LMD655350:LMD655351 LMD720886:LMD720887 LMD786422:LMD786423 LMD851958:LMD851959 LMD917494:LMD917495 LMD983030:LMD983031 LVZ2:LVZ3 LVZ65526:LVZ65527 LVZ131062:LVZ131063 LVZ196598:LVZ196599 LVZ262134:LVZ262135 LVZ327670:LVZ327671 LVZ393206:LVZ393207 LVZ458742:LVZ458743 LVZ524278:LVZ524279 LVZ589814:LVZ589815 LVZ655350:LVZ655351 LVZ720886:LVZ720887 LVZ786422:LVZ786423 LVZ851958:LVZ851959 LVZ917494:LVZ917495 LVZ983030:LVZ983031 MFV2:MFV3 MFV65526:MFV65527 MFV131062:MFV131063 MFV196598:MFV196599 MFV262134:MFV262135 MFV327670:MFV327671 MFV393206:MFV393207 MFV458742:MFV458743 MFV524278:MFV524279 MFV589814:MFV589815 MFV655350:MFV655351 MFV720886:MFV720887 MFV786422:MFV786423 MFV851958:MFV851959 MFV917494:MFV917495 MFV983030:MFV983031 MPR2:MPR3 MPR65526:MPR65527 MPR131062:MPR131063 MPR196598:MPR196599 MPR262134:MPR262135 MPR327670:MPR327671 MPR393206:MPR393207 MPR458742:MPR458743 MPR524278:MPR524279 MPR589814:MPR589815 MPR655350:MPR655351 MPR720886:MPR720887 MPR786422:MPR786423 MPR851958:MPR851959 MPR917494:MPR917495 MPR983030:MPR983031 MZN2:MZN3 MZN65526:MZN65527 MZN131062:MZN131063 MZN196598:MZN196599 MZN262134:MZN262135 MZN327670:MZN327671 MZN393206:MZN393207 MZN458742:MZN458743 MZN524278:MZN524279 MZN589814:MZN589815 MZN655350:MZN655351 MZN720886:MZN720887 MZN786422:MZN786423 MZN851958:MZN851959 MZN917494:MZN917495 MZN983030:MZN983031 NJJ2:NJJ3 NJJ65526:NJJ65527 NJJ131062:NJJ131063 NJJ196598:NJJ196599 NJJ262134:NJJ262135 NJJ327670:NJJ327671 NJJ393206:NJJ393207 NJJ458742:NJJ458743 NJJ524278:NJJ524279 NJJ589814:NJJ589815 NJJ655350:NJJ655351 NJJ720886:NJJ720887 NJJ786422:NJJ786423 NJJ851958:NJJ851959 NJJ917494:NJJ917495 NJJ983030:NJJ983031 NTF2:NTF3 NTF65526:NTF65527 NTF131062:NTF131063 NTF196598:NTF196599 NTF262134:NTF262135 NTF327670:NTF327671 NTF393206:NTF393207 NTF458742:NTF458743 NTF524278:NTF524279 NTF589814:NTF589815 NTF655350:NTF655351 NTF720886:NTF720887 NTF786422:NTF786423 NTF851958:NTF851959 NTF917494:NTF917495 NTF983030:NTF983031 ODB2:ODB3 ODB65526:ODB65527 ODB131062:ODB131063 ODB196598:ODB196599 ODB262134:ODB262135 ODB327670:ODB327671 ODB393206:ODB393207 ODB458742:ODB458743 ODB524278:ODB524279 ODB589814:ODB589815 ODB655350:ODB655351 ODB720886:ODB720887 ODB786422:ODB786423 ODB851958:ODB851959 ODB917494:ODB917495 ODB983030:ODB983031 OMX2:OMX3 OMX65526:OMX65527 OMX131062:OMX131063 OMX196598:OMX196599 OMX262134:OMX262135 OMX327670:OMX327671 OMX393206:OMX393207 OMX458742:OMX458743 OMX524278:OMX524279 OMX589814:OMX589815 OMX655350:OMX655351 OMX720886:OMX720887 OMX786422:OMX786423 OMX851958:OMX851959 OMX917494:OMX917495 OMX983030:OMX983031 OWT2:OWT3 OWT65526:OWT65527 OWT131062:OWT131063 OWT196598:OWT196599 OWT262134:OWT262135 OWT327670:OWT327671 OWT393206:OWT393207 OWT458742:OWT458743 OWT524278:OWT524279 OWT589814:OWT589815 OWT655350:OWT655351 OWT720886:OWT720887 OWT786422:OWT786423 OWT851958:OWT851959 OWT917494:OWT917495 OWT983030:OWT983031 PGP2:PGP3 PGP65526:PGP65527 PGP131062:PGP131063 PGP196598:PGP196599 PGP262134:PGP262135 PGP327670:PGP327671 PGP393206:PGP393207 PGP458742:PGP458743 PGP524278:PGP524279 PGP589814:PGP589815 PGP655350:PGP655351 PGP720886:PGP720887 PGP786422:PGP786423 PGP851958:PGP851959 PGP917494:PGP917495 PGP983030:PGP983031 PQL2:PQL3 PQL65526:PQL65527 PQL131062:PQL131063 PQL196598:PQL196599 PQL262134:PQL262135 PQL327670:PQL327671 PQL393206:PQL393207 PQL458742:PQL458743 PQL524278:PQL524279 PQL589814:PQL589815 PQL655350:PQL655351 PQL720886:PQL720887 PQL786422:PQL786423 PQL851958:PQL851959 PQL917494:PQL917495 PQL983030:PQL983031 QAH2:QAH3 QAH65526:QAH65527 QAH131062:QAH131063 QAH196598:QAH196599 QAH262134:QAH262135 QAH327670:QAH327671 QAH393206:QAH393207 QAH458742:QAH458743 QAH524278:QAH524279 QAH589814:QAH589815 QAH655350:QAH655351 QAH720886:QAH720887 QAH786422:QAH786423 QAH851958:QAH851959 QAH917494:QAH917495 QAH983030:QAH983031 QKD2:QKD3 QKD65526:QKD65527 QKD131062:QKD131063 QKD196598:QKD196599 QKD262134:QKD262135 QKD327670:QKD327671 QKD393206:QKD393207 QKD458742:QKD458743 QKD524278:QKD524279 QKD589814:QKD589815 QKD655350:QKD655351 QKD720886:QKD720887 QKD786422:QKD786423 QKD851958:QKD851959 QKD917494:QKD917495 QKD983030:QKD983031 QTZ2:QTZ3 QTZ65526:QTZ65527 QTZ131062:QTZ131063 QTZ196598:QTZ196599 QTZ262134:QTZ262135 QTZ327670:QTZ327671 QTZ393206:QTZ393207 QTZ458742:QTZ458743 QTZ524278:QTZ524279 QTZ589814:QTZ589815 QTZ655350:QTZ655351 QTZ720886:QTZ720887 QTZ786422:QTZ786423 QTZ851958:QTZ851959 QTZ917494:QTZ917495 QTZ983030:QTZ983031 RDV2:RDV3 RDV65526:RDV65527 RDV131062:RDV131063 RDV196598:RDV196599 RDV262134:RDV262135 RDV327670:RDV327671 RDV393206:RDV393207 RDV458742:RDV458743 RDV524278:RDV524279 RDV589814:RDV589815 RDV655350:RDV655351 RDV720886:RDV720887 RDV786422:RDV786423 RDV851958:RDV851959 RDV917494:RDV917495 RDV983030:RDV983031 RNR2:RNR3 RNR65526:RNR65527 RNR131062:RNR131063 RNR196598:RNR196599 RNR262134:RNR262135 RNR327670:RNR327671 RNR393206:RNR393207 RNR458742:RNR458743 RNR524278:RNR524279 RNR589814:RNR589815 RNR655350:RNR655351 RNR720886:RNR720887 RNR786422:RNR786423 RNR851958:RNR851959 RNR917494:RNR917495 RNR983030:RNR983031 RXN2:RXN3 RXN65526:RXN65527 RXN131062:RXN131063 RXN196598:RXN196599 RXN262134:RXN262135 RXN327670:RXN327671 RXN393206:RXN393207 RXN458742:RXN458743 RXN524278:RXN524279 RXN589814:RXN589815 RXN655350:RXN655351 RXN720886:RXN720887 RXN786422:RXN786423 RXN851958:RXN851959 RXN917494:RXN917495 RXN983030:RXN983031 SHJ2:SHJ3 SHJ65526:SHJ65527 SHJ131062:SHJ131063 SHJ196598:SHJ196599 SHJ262134:SHJ262135 SHJ327670:SHJ327671 SHJ393206:SHJ393207 SHJ458742:SHJ458743 SHJ524278:SHJ524279 SHJ589814:SHJ589815 SHJ655350:SHJ655351 SHJ720886:SHJ720887 SHJ786422:SHJ786423 SHJ851958:SHJ851959 SHJ917494:SHJ917495 SHJ983030:SHJ983031 SRF2:SRF3 SRF65526:SRF65527 SRF131062:SRF131063 SRF196598:SRF196599 SRF262134:SRF262135 SRF327670:SRF327671 SRF393206:SRF393207 SRF458742:SRF458743 SRF524278:SRF524279 SRF589814:SRF589815 SRF655350:SRF655351 SRF720886:SRF720887 SRF786422:SRF786423 SRF851958:SRF851959 SRF917494:SRF917495 SRF983030:SRF983031 TBB2:TBB3 TBB65526:TBB65527 TBB131062:TBB131063 TBB196598:TBB196599 TBB262134:TBB262135 TBB327670:TBB327671 TBB393206:TBB393207 TBB458742:TBB458743 TBB524278:TBB524279 TBB589814:TBB589815 TBB655350:TBB655351 TBB720886:TBB720887 TBB786422:TBB786423 TBB851958:TBB851959 TBB917494:TBB917495 TBB983030:TBB983031 TKX2:TKX3 TKX65526:TKX65527 TKX131062:TKX131063 TKX196598:TKX196599 TKX262134:TKX262135 TKX327670:TKX327671 TKX393206:TKX393207 TKX458742:TKX458743 TKX524278:TKX524279 TKX589814:TKX589815 TKX655350:TKX655351 TKX720886:TKX720887 TKX786422:TKX786423 TKX851958:TKX851959 TKX917494:TKX917495 TKX983030:TKX983031 TUT2:TUT3 TUT65526:TUT65527 TUT131062:TUT131063 TUT196598:TUT196599 TUT262134:TUT262135 TUT327670:TUT327671 TUT393206:TUT393207 TUT458742:TUT458743 TUT524278:TUT524279 TUT589814:TUT589815 TUT655350:TUT655351 TUT720886:TUT720887 TUT786422:TUT786423 TUT851958:TUT851959 TUT917494:TUT917495 TUT983030:TUT983031 UEP2:UEP3 UEP65526:UEP65527 UEP131062:UEP131063 UEP196598:UEP196599 UEP262134:UEP262135 UEP327670:UEP327671 UEP393206:UEP393207 UEP458742:UEP458743 UEP524278:UEP524279 UEP589814:UEP589815 UEP655350:UEP655351 UEP720886:UEP720887 UEP786422:UEP786423 UEP851958:UEP851959 UEP917494:UEP917495 UEP983030:UEP983031 UOL2:UOL3 UOL65526:UOL65527 UOL131062:UOL131063 UOL196598:UOL196599 UOL262134:UOL262135 UOL327670:UOL327671 UOL393206:UOL393207 UOL458742:UOL458743 UOL524278:UOL524279 UOL589814:UOL589815 UOL655350:UOL655351 UOL720886:UOL720887 UOL786422:UOL786423 UOL851958:UOL851959 UOL917494:UOL917495 UOL983030:UOL983031 UYH2:UYH3 UYH65526:UYH65527 UYH131062:UYH131063 UYH196598:UYH196599 UYH262134:UYH262135 UYH327670:UYH327671 UYH393206:UYH393207 UYH458742:UYH458743 UYH524278:UYH524279 UYH589814:UYH589815 UYH655350:UYH655351 UYH720886:UYH720887 UYH786422:UYH786423 UYH851958:UYH851959 UYH917494:UYH917495 UYH983030:UYH983031 VID2:VID3 VID65526:VID65527 VID131062:VID131063 VID196598:VID196599 VID262134:VID262135 VID327670:VID327671 VID393206:VID393207 VID458742:VID458743 VID524278:VID524279 VID589814:VID589815 VID655350:VID655351 VID720886:VID720887 VID786422:VID786423 VID851958:VID851959 VID917494:VID917495 VID983030:VID983031 VRZ2:VRZ3 VRZ65526:VRZ65527 VRZ131062:VRZ131063 VRZ196598:VRZ196599 VRZ262134:VRZ262135 VRZ327670:VRZ327671 VRZ393206:VRZ393207 VRZ458742:VRZ458743 VRZ524278:VRZ524279 VRZ589814:VRZ589815 VRZ655350:VRZ655351 VRZ720886:VRZ720887 VRZ786422:VRZ786423 VRZ851958:VRZ851959 VRZ917494:VRZ917495 VRZ983030:VRZ983031 WBV2:WBV3 WBV65526:WBV65527 WBV131062:WBV131063 WBV196598:WBV196599 WBV262134:WBV262135 WBV327670:WBV327671 WBV393206:WBV393207 WBV458742:WBV458743 WBV524278:WBV524279 WBV589814:WBV589815 WBV655350:WBV655351 WBV720886:WBV720887 WBV786422:WBV786423 WBV851958:WBV851959 WBV917494:WBV917495 WBV983030:WBV983031 WLR2:WLR3 WLR65526:WLR65527 WLR131062:WLR131063 WLR196598:WLR196599 WLR262134:WLR262135 WLR327670:WLR327671 WLR393206:WLR393207 WLR458742:WLR458743 WLR524278:WLR524279 WLR589814:WLR589815 WLR655350:WLR655351 WLR720886:WLR720887 WLR786422:WLR786423 WLR851958:WLR851959 WLR917494:WLR917495 WLR983030:WLR983031 WVN2:WVN3 WVN65526:WVN65527 WVN131062:WVN131063 WVN196598:WVN196599 WVN262134:WVN262135 WVN327670:WVN327671 WVN393206:WVN393207 WVN458742:WVN458743 WVN524278:WVN524279 WVN589814:WVN589815 WVN655350:WVN655351 WVN720886:WVN720887 WVN786422:WVN786423 WVN851958:WVN851959 WVN917494:WVN917495 WVN983030:WVN983031" xr:uid="{00000000-0002-0000-0700-000004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F65528 F131064 F196600 F262136 F327672 F393208 F458744 F524280 F589816 F655352 F720888 F786424 F851960 F917496 F983032 G2:G3 G65526:G65527 G131062:G131063 G196598:G196599 G262134:G262135 G327670:G327671 G393206:G393207 G458742:G458743 G524278:G524279 G589814:G589815 G655350:G655351 G720886:G720887 G786422:G786423 G851958:G851959 G917494:G917495 G983030:G983031 JC4 JC65528 JC131064 JC196600 JC262136 JC327672 JC393208 JC458744 JC524280 JC589816 JC655352 JC720888 JC786424 JC851960 JC917496 JC983032 JD2:JD3 JD65526:JD65527 JD131062:JD131063 JD196598:JD196599 JD262134:JD262135 JD327670:JD327671 JD393206:JD393207 JD458742:JD458743 JD524278:JD524279 JD589814:JD589815 JD655350:JD655351 JD720886:JD720887 JD786422:JD786423 JD851958:JD851959 JD917494:JD917495 JD983030:JD983031 SY4 SY65528 SY131064 SY196600 SY262136 SY327672 SY393208 SY458744 SY524280 SY589816 SY655352 SY720888 SY786424 SY851960 SY917496 SY983032 SZ2:SZ3 SZ65526:SZ65527 SZ131062:SZ131063 SZ196598:SZ196599 SZ262134:SZ262135 SZ327670:SZ327671 SZ393206:SZ393207 SZ458742:SZ458743 SZ524278:SZ524279 SZ589814:SZ589815 SZ655350:SZ655351 SZ720886:SZ720887 SZ786422:SZ786423 SZ851958:SZ851959 SZ917494:SZ917495 SZ983030:SZ983031 ACU4 ACU65528 ACU131064 ACU196600 ACU262136 ACU327672 ACU393208 ACU458744 ACU524280 ACU589816 ACU655352 ACU720888 ACU786424 ACU851960 ACU917496 ACU983032 ACV2:ACV3 ACV65526:ACV65527 ACV131062:ACV131063 ACV196598:ACV196599 ACV262134:ACV262135 ACV327670:ACV327671 ACV393206:ACV393207 ACV458742:ACV458743 ACV524278:ACV524279 ACV589814:ACV589815 ACV655350:ACV655351 ACV720886:ACV720887 ACV786422:ACV786423 ACV851958:ACV851959 ACV917494:ACV917495 ACV983030:ACV983031 AMQ4 AMQ65528 AMQ131064 AMQ196600 AMQ262136 AMQ327672 AMQ393208 AMQ458744 AMQ524280 AMQ589816 AMQ655352 AMQ720888 AMQ786424 AMQ851960 AMQ917496 AMQ983032 AMR2:AMR3 AMR65526:AMR65527 AMR131062:AMR131063 AMR196598:AMR196599 AMR262134:AMR262135 AMR327670:AMR327671 AMR393206:AMR393207 AMR458742:AMR458743 AMR524278:AMR524279 AMR589814:AMR589815 AMR655350:AMR655351 AMR720886:AMR720887 AMR786422:AMR786423 AMR851958:AMR851959 AMR917494:AMR917495 AMR983030:AMR983031 AWM4 AWM65528 AWM131064 AWM196600 AWM262136 AWM327672 AWM393208 AWM458744 AWM524280 AWM589816 AWM655352 AWM720888 AWM786424 AWM851960 AWM917496 AWM983032 AWN2:AWN3 AWN65526:AWN65527 AWN131062:AWN131063 AWN196598:AWN196599 AWN262134:AWN262135 AWN327670:AWN327671 AWN393206:AWN393207 AWN458742:AWN458743 AWN524278:AWN524279 AWN589814:AWN589815 AWN655350:AWN655351 AWN720886:AWN720887 AWN786422:AWN786423 AWN851958:AWN851959 AWN917494:AWN917495 AWN983030:AWN983031 BGI4 BGI65528 BGI131064 BGI196600 BGI262136 BGI327672 BGI393208 BGI458744 BGI524280 BGI589816 BGI655352 BGI720888 BGI786424 BGI851960 BGI917496 BGI983032 BGJ2:BGJ3 BGJ65526:BGJ65527 BGJ131062:BGJ131063 BGJ196598:BGJ196599 BGJ262134:BGJ262135 BGJ327670:BGJ327671 BGJ393206:BGJ393207 BGJ458742:BGJ458743 BGJ524278:BGJ524279 BGJ589814:BGJ589815 BGJ655350:BGJ655351 BGJ720886:BGJ720887 BGJ786422:BGJ786423 BGJ851958:BGJ851959 BGJ917494:BGJ917495 BGJ983030:BGJ983031 BQE4 BQE65528 BQE131064 BQE196600 BQE262136 BQE327672 BQE393208 BQE458744 BQE524280 BQE589816 BQE655352 BQE720888 BQE786424 BQE851960 BQE917496 BQE983032 BQF2:BQF3 BQF65526:BQF65527 BQF131062:BQF131063 BQF196598:BQF196599 BQF262134:BQF262135 BQF327670:BQF327671 BQF393206:BQF393207 BQF458742:BQF458743 BQF524278:BQF524279 BQF589814:BQF589815 BQF655350:BQF655351 BQF720886:BQF720887 BQF786422:BQF786423 BQF851958:BQF851959 BQF917494:BQF917495 BQF983030:BQF983031 CAA4 CAA65528 CAA131064 CAA196600 CAA262136 CAA327672 CAA393208 CAA458744 CAA524280 CAA589816 CAA655352 CAA720888 CAA786424 CAA851960 CAA917496 CAA983032 CAB2:CAB3 CAB65526:CAB65527 CAB131062:CAB131063 CAB196598:CAB196599 CAB262134:CAB262135 CAB327670:CAB327671 CAB393206:CAB393207 CAB458742:CAB458743 CAB524278:CAB524279 CAB589814:CAB589815 CAB655350:CAB655351 CAB720886:CAB720887 CAB786422:CAB786423 CAB851958:CAB851959 CAB917494:CAB917495 CAB983030:CAB983031 CJW4 CJW65528 CJW131064 CJW196600 CJW262136 CJW327672 CJW393208 CJW458744 CJW524280 CJW589816 CJW655352 CJW720888 CJW786424 CJW851960 CJW917496 CJW983032 CJX2:CJX3 CJX65526:CJX65527 CJX131062:CJX131063 CJX196598:CJX196599 CJX262134:CJX262135 CJX327670:CJX327671 CJX393206:CJX393207 CJX458742:CJX458743 CJX524278:CJX524279 CJX589814:CJX589815 CJX655350:CJX655351 CJX720886:CJX720887 CJX786422:CJX786423 CJX851958:CJX851959 CJX917494:CJX917495 CJX983030:CJX983031 CTS4 CTS65528 CTS131064 CTS196600 CTS262136 CTS327672 CTS393208 CTS458744 CTS524280 CTS589816 CTS655352 CTS720888 CTS786424 CTS851960 CTS917496 CTS983032 CTT2:CTT3 CTT65526:CTT65527 CTT131062:CTT131063 CTT196598:CTT196599 CTT262134:CTT262135 CTT327670:CTT327671 CTT393206:CTT393207 CTT458742:CTT458743 CTT524278:CTT524279 CTT589814:CTT589815 CTT655350:CTT655351 CTT720886:CTT720887 CTT786422:CTT786423 CTT851958:CTT851959 CTT917494:CTT917495 CTT983030:CTT983031 DDO4 DDO65528 DDO131064 DDO196600 DDO262136 DDO327672 DDO393208 DDO458744 DDO524280 DDO589816 DDO655352 DDO720888 DDO786424 DDO851960 DDO917496 DDO983032 DDP2:DDP3 DDP65526:DDP65527 DDP131062:DDP131063 DDP196598:DDP196599 DDP262134:DDP262135 DDP327670:DDP327671 DDP393206:DDP393207 DDP458742:DDP458743 DDP524278:DDP524279 DDP589814:DDP589815 DDP655350:DDP655351 DDP720886:DDP720887 DDP786422:DDP786423 DDP851958:DDP851959 DDP917494:DDP917495 DDP983030:DDP983031 DNK4 DNK65528 DNK131064 DNK196600 DNK262136 DNK327672 DNK393208 DNK458744 DNK524280 DNK589816 DNK655352 DNK720888 DNK786424 DNK851960 DNK917496 DNK983032 DNL2:DNL3 DNL65526:DNL65527 DNL131062:DNL131063 DNL196598:DNL196599 DNL262134:DNL262135 DNL327670:DNL327671 DNL393206:DNL393207 DNL458742:DNL458743 DNL524278:DNL524279 DNL589814:DNL589815 DNL655350:DNL655351 DNL720886:DNL720887 DNL786422:DNL786423 DNL851958:DNL851959 DNL917494:DNL917495 DNL983030:DNL983031 DXG4 DXG65528 DXG131064 DXG196600 DXG262136 DXG327672 DXG393208 DXG458744 DXG524280 DXG589816 DXG655352 DXG720888 DXG786424 DXG851960 DXG917496 DXG983032 DXH2:DXH3 DXH65526:DXH65527 DXH131062:DXH131063 DXH196598:DXH196599 DXH262134:DXH262135 DXH327670:DXH327671 DXH393206:DXH393207 DXH458742:DXH458743 DXH524278:DXH524279 DXH589814:DXH589815 DXH655350:DXH655351 DXH720886:DXH720887 DXH786422:DXH786423 DXH851958:DXH851959 DXH917494:DXH917495 DXH983030:DXH983031 EHC4 EHC65528 EHC131064 EHC196600 EHC262136 EHC327672 EHC393208 EHC458744 EHC524280 EHC589816 EHC655352 EHC720888 EHC786424 EHC851960 EHC917496 EHC983032 EHD2:EHD3 EHD65526:EHD65527 EHD131062:EHD131063 EHD196598:EHD196599 EHD262134:EHD262135 EHD327670:EHD327671 EHD393206:EHD393207 EHD458742:EHD458743 EHD524278:EHD524279 EHD589814:EHD589815 EHD655350:EHD655351 EHD720886:EHD720887 EHD786422:EHD786423 EHD851958:EHD851959 EHD917494:EHD917495 EHD983030:EHD983031 EQY4 EQY65528 EQY131064 EQY196600 EQY262136 EQY327672 EQY393208 EQY458744 EQY524280 EQY589816 EQY655352 EQY720888 EQY786424 EQY851960 EQY917496 EQY983032 EQZ2:EQZ3 EQZ65526:EQZ65527 EQZ131062:EQZ131063 EQZ196598:EQZ196599 EQZ262134:EQZ262135 EQZ327670:EQZ327671 EQZ393206:EQZ393207 EQZ458742:EQZ458743 EQZ524278:EQZ524279 EQZ589814:EQZ589815 EQZ655350:EQZ655351 EQZ720886:EQZ720887 EQZ786422:EQZ786423 EQZ851958:EQZ851959 EQZ917494:EQZ917495 EQZ983030:EQZ983031 FAU4 FAU65528 FAU131064 FAU196600 FAU262136 FAU327672 FAU393208 FAU458744 FAU524280 FAU589816 FAU655352 FAU720888 FAU786424 FAU851960 FAU917496 FAU983032 FAV2:FAV3 FAV65526:FAV65527 FAV131062:FAV131063 FAV196598:FAV196599 FAV262134:FAV262135 FAV327670:FAV327671 FAV393206:FAV393207 FAV458742:FAV458743 FAV524278:FAV524279 FAV589814:FAV589815 FAV655350:FAV655351 FAV720886:FAV720887 FAV786422:FAV786423 FAV851958:FAV851959 FAV917494:FAV917495 FAV983030:FAV983031 FKQ4 FKQ65528 FKQ131064 FKQ196600 FKQ262136 FKQ327672 FKQ393208 FKQ458744 FKQ524280 FKQ589816 FKQ655352 FKQ720888 FKQ786424 FKQ851960 FKQ917496 FKQ983032 FKR2:FKR3 FKR65526:FKR65527 FKR131062:FKR131063 FKR196598:FKR196599 FKR262134:FKR262135 FKR327670:FKR327671 FKR393206:FKR393207 FKR458742:FKR458743 FKR524278:FKR524279 FKR589814:FKR589815 FKR655350:FKR655351 FKR720886:FKR720887 FKR786422:FKR786423 FKR851958:FKR851959 FKR917494:FKR917495 FKR983030:FKR983031 FUM4 FUM65528 FUM131064 FUM196600 FUM262136 FUM327672 FUM393208 FUM458744 FUM524280 FUM589816 FUM655352 FUM720888 FUM786424 FUM851960 FUM917496 FUM983032 FUN2:FUN3 FUN65526:FUN65527 FUN131062:FUN131063 FUN196598:FUN196599 FUN262134:FUN262135 FUN327670:FUN327671 FUN393206:FUN393207 FUN458742:FUN458743 FUN524278:FUN524279 FUN589814:FUN589815 FUN655350:FUN655351 FUN720886:FUN720887 FUN786422:FUN786423 FUN851958:FUN851959 FUN917494:FUN917495 FUN983030:FUN983031 GEI4 GEI65528 GEI131064 GEI196600 GEI262136 GEI327672 GEI393208 GEI458744 GEI524280 GEI589816 GEI655352 GEI720888 GEI786424 GEI851960 GEI917496 GEI983032 GEJ2:GEJ3 GEJ65526:GEJ65527 GEJ131062:GEJ131063 GEJ196598:GEJ196599 GEJ262134:GEJ262135 GEJ327670:GEJ327671 GEJ393206:GEJ393207 GEJ458742:GEJ458743 GEJ524278:GEJ524279 GEJ589814:GEJ589815 GEJ655350:GEJ655351 GEJ720886:GEJ720887 GEJ786422:GEJ786423 GEJ851958:GEJ851959 GEJ917494:GEJ917495 GEJ983030:GEJ983031 GOE4 GOE65528 GOE131064 GOE196600 GOE262136 GOE327672 GOE393208 GOE458744 GOE524280 GOE589816 GOE655352 GOE720888 GOE786424 GOE851960 GOE917496 GOE983032 GOF2:GOF3 GOF65526:GOF65527 GOF131062:GOF131063 GOF196598:GOF196599 GOF262134:GOF262135 GOF327670:GOF327671 GOF393206:GOF393207 GOF458742:GOF458743 GOF524278:GOF524279 GOF589814:GOF589815 GOF655350:GOF655351 GOF720886:GOF720887 GOF786422:GOF786423 GOF851958:GOF851959 GOF917494:GOF917495 GOF983030:GOF983031 GYA4 GYA65528 GYA131064 GYA196600 GYA262136 GYA327672 GYA393208 GYA458744 GYA524280 GYA589816 GYA655352 GYA720888 GYA786424 GYA851960 GYA917496 GYA983032 GYB2:GYB3 GYB65526:GYB65527 GYB131062:GYB131063 GYB196598:GYB196599 GYB262134:GYB262135 GYB327670:GYB327671 GYB393206:GYB393207 GYB458742:GYB458743 GYB524278:GYB524279 GYB589814:GYB589815 GYB655350:GYB655351 GYB720886:GYB720887 GYB786422:GYB786423 GYB851958:GYB851959 GYB917494:GYB917495 GYB983030:GYB983031 HHW4 HHW65528 HHW131064 HHW196600 HHW262136 HHW327672 HHW393208 HHW458744 HHW524280 HHW589816 HHW655352 HHW720888 HHW786424 HHW851960 HHW917496 HHW983032 HHX2:HHX3 HHX65526:HHX65527 HHX131062:HHX131063 HHX196598:HHX196599 HHX262134:HHX262135 HHX327670:HHX327671 HHX393206:HHX393207 HHX458742:HHX458743 HHX524278:HHX524279 HHX589814:HHX589815 HHX655350:HHX655351 HHX720886:HHX720887 HHX786422:HHX786423 HHX851958:HHX851959 HHX917494:HHX917495 HHX983030:HHX983031 HRS4 HRS65528 HRS131064 HRS196600 HRS262136 HRS327672 HRS393208 HRS458744 HRS524280 HRS589816 HRS655352 HRS720888 HRS786424 HRS851960 HRS917496 HRS983032 HRT2:HRT3 HRT65526:HRT65527 HRT131062:HRT131063 HRT196598:HRT196599 HRT262134:HRT262135 HRT327670:HRT327671 HRT393206:HRT393207 HRT458742:HRT458743 HRT524278:HRT524279 HRT589814:HRT589815 HRT655350:HRT655351 HRT720886:HRT720887 HRT786422:HRT786423 HRT851958:HRT851959 HRT917494:HRT917495 HRT983030:HRT983031 IBO4 IBO65528 IBO131064 IBO196600 IBO262136 IBO327672 IBO393208 IBO458744 IBO524280 IBO589816 IBO655352 IBO720888 IBO786424 IBO851960 IBO917496 IBO983032 IBP2:IBP3 IBP65526:IBP65527 IBP131062:IBP131063 IBP196598:IBP196599 IBP262134:IBP262135 IBP327670:IBP327671 IBP393206:IBP393207 IBP458742:IBP458743 IBP524278:IBP524279 IBP589814:IBP589815 IBP655350:IBP655351 IBP720886:IBP720887 IBP786422:IBP786423 IBP851958:IBP851959 IBP917494:IBP917495 IBP983030:IBP983031 ILK4 ILK65528 ILK131064 ILK196600 ILK262136 ILK327672 ILK393208 ILK458744 ILK524280 ILK589816 ILK655352 ILK720888 ILK786424 ILK851960 ILK917496 ILK983032 ILL2:ILL3 ILL65526:ILL65527 ILL131062:ILL131063 ILL196598:ILL196599 ILL262134:ILL262135 ILL327670:ILL327671 ILL393206:ILL393207 ILL458742:ILL458743 ILL524278:ILL524279 ILL589814:ILL589815 ILL655350:ILL655351 ILL720886:ILL720887 ILL786422:ILL786423 ILL851958:ILL851959 ILL917494:ILL917495 ILL983030:ILL983031 IVG4 IVG65528 IVG131064 IVG196600 IVG262136 IVG327672 IVG393208 IVG458744 IVG524280 IVG589816 IVG655352 IVG720888 IVG786424 IVG851960 IVG917496 IVG983032 IVH2:IVH3 IVH65526:IVH65527 IVH131062:IVH131063 IVH196598:IVH196599 IVH262134:IVH262135 IVH327670:IVH327671 IVH393206:IVH393207 IVH458742:IVH458743 IVH524278:IVH524279 IVH589814:IVH589815 IVH655350:IVH655351 IVH720886:IVH720887 IVH786422:IVH786423 IVH851958:IVH851959 IVH917494:IVH917495 IVH983030:IVH983031 JFC4 JFC65528 JFC131064 JFC196600 JFC262136 JFC327672 JFC393208 JFC458744 JFC524280 JFC589816 JFC655352 JFC720888 JFC786424 JFC851960 JFC917496 JFC983032 JFD2:JFD3 JFD65526:JFD65527 JFD131062:JFD131063 JFD196598:JFD196599 JFD262134:JFD262135 JFD327670:JFD327671 JFD393206:JFD393207 JFD458742:JFD458743 JFD524278:JFD524279 JFD589814:JFD589815 JFD655350:JFD655351 JFD720886:JFD720887 JFD786422:JFD786423 JFD851958:JFD851959 JFD917494:JFD917495 JFD983030:JFD983031 JOY4 JOY65528 JOY131064 JOY196600 JOY262136 JOY327672 JOY393208 JOY458744 JOY524280 JOY589816 JOY655352 JOY720888 JOY786424 JOY851960 JOY917496 JOY983032 JOZ2:JOZ3 JOZ65526:JOZ65527 JOZ131062:JOZ131063 JOZ196598:JOZ196599 JOZ262134:JOZ262135 JOZ327670:JOZ327671 JOZ393206:JOZ393207 JOZ458742:JOZ458743 JOZ524278:JOZ524279 JOZ589814:JOZ589815 JOZ655350:JOZ655351 JOZ720886:JOZ720887 JOZ786422:JOZ786423 JOZ851958:JOZ851959 JOZ917494:JOZ917495 JOZ983030:JOZ983031 JYU4 JYU65528 JYU131064 JYU196600 JYU262136 JYU327672 JYU393208 JYU458744 JYU524280 JYU589816 JYU655352 JYU720888 JYU786424 JYU851960 JYU917496 JYU983032 JYV2:JYV3 JYV65526:JYV65527 JYV131062:JYV131063 JYV196598:JYV196599 JYV262134:JYV262135 JYV327670:JYV327671 JYV393206:JYV393207 JYV458742:JYV458743 JYV524278:JYV524279 JYV589814:JYV589815 JYV655350:JYV655351 JYV720886:JYV720887 JYV786422:JYV786423 JYV851958:JYV851959 JYV917494:JYV917495 JYV983030:JYV983031 KIQ4 KIQ65528 KIQ131064 KIQ196600 KIQ262136 KIQ327672 KIQ393208 KIQ458744 KIQ524280 KIQ589816 KIQ655352 KIQ720888 KIQ786424 KIQ851960 KIQ917496 KIQ983032 KIR2:KIR3 KIR65526:KIR65527 KIR131062:KIR131063 KIR196598:KIR196599 KIR262134:KIR262135 KIR327670:KIR327671 KIR393206:KIR393207 KIR458742:KIR458743 KIR524278:KIR524279 KIR589814:KIR589815 KIR655350:KIR655351 KIR720886:KIR720887 KIR786422:KIR786423 KIR851958:KIR851959 KIR917494:KIR917495 KIR983030:KIR983031 KSM4 KSM65528 KSM131064 KSM196600 KSM262136 KSM327672 KSM393208 KSM458744 KSM524280 KSM589816 KSM655352 KSM720888 KSM786424 KSM851960 KSM917496 KSM983032 KSN2:KSN3 KSN65526:KSN65527 KSN131062:KSN131063 KSN196598:KSN196599 KSN262134:KSN262135 KSN327670:KSN327671 KSN393206:KSN393207 KSN458742:KSN458743 KSN524278:KSN524279 KSN589814:KSN589815 KSN655350:KSN655351 KSN720886:KSN720887 KSN786422:KSN786423 KSN851958:KSN851959 KSN917494:KSN917495 KSN983030:KSN983031 LCI4 LCI65528 LCI131064 LCI196600 LCI262136 LCI327672 LCI393208 LCI458744 LCI524280 LCI589816 LCI655352 LCI720888 LCI786424 LCI851960 LCI917496 LCI983032 LCJ2:LCJ3 LCJ65526:LCJ65527 LCJ131062:LCJ131063 LCJ196598:LCJ196599 LCJ262134:LCJ262135 LCJ327670:LCJ327671 LCJ393206:LCJ393207 LCJ458742:LCJ458743 LCJ524278:LCJ524279 LCJ589814:LCJ589815 LCJ655350:LCJ655351 LCJ720886:LCJ720887 LCJ786422:LCJ786423 LCJ851958:LCJ851959 LCJ917494:LCJ917495 LCJ983030:LCJ983031 LME4 LME65528 LME131064 LME196600 LME262136 LME327672 LME393208 LME458744 LME524280 LME589816 LME655352 LME720888 LME786424 LME851960 LME917496 LME983032 LMF2:LMF3 LMF65526:LMF65527 LMF131062:LMF131063 LMF196598:LMF196599 LMF262134:LMF262135 LMF327670:LMF327671 LMF393206:LMF393207 LMF458742:LMF458743 LMF524278:LMF524279 LMF589814:LMF589815 LMF655350:LMF655351 LMF720886:LMF720887 LMF786422:LMF786423 LMF851958:LMF851959 LMF917494:LMF917495 LMF983030:LMF983031 LWA4 LWA65528 LWA131064 LWA196600 LWA262136 LWA327672 LWA393208 LWA458744 LWA524280 LWA589816 LWA655352 LWA720888 LWA786424 LWA851960 LWA917496 LWA983032 LWB2:LWB3 LWB65526:LWB65527 LWB131062:LWB131063 LWB196598:LWB196599 LWB262134:LWB262135 LWB327670:LWB327671 LWB393206:LWB393207 LWB458742:LWB458743 LWB524278:LWB524279 LWB589814:LWB589815 LWB655350:LWB655351 LWB720886:LWB720887 LWB786422:LWB786423 LWB851958:LWB851959 LWB917494:LWB917495 LWB983030:LWB983031 MFW4 MFW65528 MFW131064 MFW196600 MFW262136 MFW327672 MFW393208 MFW458744 MFW524280 MFW589816 MFW655352 MFW720888 MFW786424 MFW851960 MFW917496 MFW983032 MFX2:MFX3 MFX65526:MFX65527 MFX131062:MFX131063 MFX196598:MFX196599 MFX262134:MFX262135 MFX327670:MFX327671 MFX393206:MFX393207 MFX458742:MFX458743 MFX524278:MFX524279 MFX589814:MFX589815 MFX655350:MFX655351 MFX720886:MFX720887 MFX786422:MFX786423 MFX851958:MFX851959 MFX917494:MFX917495 MFX983030:MFX983031 MPS4 MPS65528 MPS131064 MPS196600 MPS262136 MPS327672 MPS393208 MPS458744 MPS524280 MPS589816 MPS655352 MPS720888 MPS786424 MPS851960 MPS917496 MPS983032 MPT2:MPT3 MPT65526:MPT65527 MPT131062:MPT131063 MPT196598:MPT196599 MPT262134:MPT262135 MPT327670:MPT327671 MPT393206:MPT393207 MPT458742:MPT458743 MPT524278:MPT524279 MPT589814:MPT589815 MPT655350:MPT655351 MPT720886:MPT720887 MPT786422:MPT786423 MPT851958:MPT851959 MPT917494:MPT917495 MPT983030:MPT983031 MZO4 MZO65528 MZO131064 MZO196600 MZO262136 MZO327672 MZO393208 MZO458744 MZO524280 MZO589816 MZO655352 MZO720888 MZO786424 MZO851960 MZO917496 MZO983032 MZP2:MZP3 MZP65526:MZP65527 MZP131062:MZP131063 MZP196598:MZP196599 MZP262134:MZP262135 MZP327670:MZP327671 MZP393206:MZP393207 MZP458742:MZP458743 MZP524278:MZP524279 MZP589814:MZP589815 MZP655350:MZP655351 MZP720886:MZP720887 MZP786422:MZP786423 MZP851958:MZP851959 MZP917494:MZP917495 MZP983030:MZP983031 NJK4 NJK65528 NJK131064 NJK196600 NJK262136 NJK327672 NJK393208 NJK458744 NJK524280 NJK589816 NJK655352 NJK720888 NJK786424 NJK851960 NJK917496 NJK983032 NJL2:NJL3 NJL65526:NJL65527 NJL131062:NJL131063 NJL196598:NJL196599 NJL262134:NJL262135 NJL327670:NJL327671 NJL393206:NJL393207 NJL458742:NJL458743 NJL524278:NJL524279 NJL589814:NJL589815 NJL655350:NJL655351 NJL720886:NJL720887 NJL786422:NJL786423 NJL851958:NJL851959 NJL917494:NJL917495 NJL983030:NJL983031 NTG4 NTG65528 NTG131064 NTG196600 NTG262136 NTG327672 NTG393208 NTG458744 NTG524280 NTG589816 NTG655352 NTG720888 NTG786424 NTG851960 NTG917496 NTG983032 NTH2:NTH3 NTH65526:NTH65527 NTH131062:NTH131063 NTH196598:NTH196599 NTH262134:NTH262135 NTH327670:NTH327671 NTH393206:NTH393207 NTH458742:NTH458743 NTH524278:NTH524279 NTH589814:NTH589815 NTH655350:NTH655351 NTH720886:NTH720887 NTH786422:NTH786423 NTH851958:NTH851959 NTH917494:NTH917495 NTH983030:NTH983031 ODC4 ODC65528 ODC131064 ODC196600 ODC262136 ODC327672 ODC393208 ODC458744 ODC524280 ODC589816 ODC655352 ODC720888 ODC786424 ODC851960 ODC917496 ODC983032 ODD2:ODD3 ODD65526:ODD65527 ODD131062:ODD131063 ODD196598:ODD196599 ODD262134:ODD262135 ODD327670:ODD327671 ODD393206:ODD393207 ODD458742:ODD458743 ODD524278:ODD524279 ODD589814:ODD589815 ODD655350:ODD655351 ODD720886:ODD720887 ODD786422:ODD786423 ODD851958:ODD851959 ODD917494:ODD917495 ODD983030:ODD983031 OMY4 OMY65528 OMY131064 OMY196600 OMY262136 OMY327672 OMY393208 OMY458744 OMY524280 OMY589816 OMY655352 OMY720888 OMY786424 OMY851960 OMY917496 OMY983032 OMZ2:OMZ3 OMZ65526:OMZ65527 OMZ131062:OMZ131063 OMZ196598:OMZ196599 OMZ262134:OMZ262135 OMZ327670:OMZ327671 OMZ393206:OMZ393207 OMZ458742:OMZ458743 OMZ524278:OMZ524279 OMZ589814:OMZ589815 OMZ655350:OMZ655351 OMZ720886:OMZ720887 OMZ786422:OMZ786423 OMZ851958:OMZ851959 OMZ917494:OMZ917495 OMZ983030:OMZ983031 OWU4 OWU65528 OWU131064 OWU196600 OWU262136 OWU327672 OWU393208 OWU458744 OWU524280 OWU589816 OWU655352 OWU720888 OWU786424 OWU851960 OWU917496 OWU983032 OWV2:OWV3 OWV65526:OWV65527 OWV131062:OWV131063 OWV196598:OWV196599 OWV262134:OWV262135 OWV327670:OWV327671 OWV393206:OWV393207 OWV458742:OWV458743 OWV524278:OWV524279 OWV589814:OWV589815 OWV655350:OWV655351 OWV720886:OWV720887 OWV786422:OWV786423 OWV851958:OWV851959 OWV917494:OWV917495 OWV983030:OWV983031 PGQ4 PGQ65528 PGQ131064 PGQ196600 PGQ262136 PGQ327672 PGQ393208 PGQ458744 PGQ524280 PGQ589816 PGQ655352 PGQ720888 PGQ786424 PGQ851960 PGQ917496 PGQ983032 PGR2:PGR3 PGR65526:PGR65527 PGR131062:PGR131063 PGR196598:PGR196599 PGR262134:PGR262135 PGR327670:PGR327671 PGR393206:PGR393207 PGR458742:PGR458743 PGR524278:PGR524279 PGR589814:PGR589815 PGR655350:PGR655351 PGR720886:PGR720887 PGR786422:PGR786423 PGR851958:PGR851959 PGR917494:PGR917495 PGR983030:PGR983031 PQM4 PQM65528 PQM131064 PQM196600 PQM262136 PQM327672 PQM393208 PQM458744 PQM524280 PQM589816 PQM655352 PQM720888 PQM786424 PQM851960 PQM917496 PQM983032 PQN2:PQN3 PQN65526:PQN65527 PQN131062:PQN131063 PQN196598:PQN196599 PQN262134:PQN262135 PQN327670:PQN327671 PQN393206:PQN393207 PQN458742:PQN458743 PQN524278:PQN524279 PQN589814:PQN589815 PQN655350:PQN655351 PQN720886:PQN720887 PQN786422:PQN786423 PQN851958:PQN851959 PQN917494:PQN917495 PQN983030:PQN983031 QAI4 QAI65528 QAI131064 QAI196600 QAI262136 QAI327672 QAI393208 QAI458744 QAI524280 QAI589816 QAI655352 QAI720888 QAI786424 QAI851960 QAI917496 QAI983032 QAJ2:QAJ3 QAJ65526:QAJ65527 QAJ131062:QAJ131063 QAJ196598:QAJ196599 QAJ262134:QAJ262135 QAJ327670:QAJ327671 QAJ393206:QAJ393207 QAJ458742:QAJ458743 QAJ524278:QAJ524279 QAJ589814:QAJ589815 QAJ655350:QAJ655351 QAJ720886:QAJ720887 QAJ786422:QAJ786423 QAJ851958:QAJ851959 QAJ917494:QAJ917495 QAJ983030:QAJ983031 QKE4 QKE65528 QKE131064 QKE196600 QKE262136 QKE327672 QKE393208 QKE458744 QKE524280 QKE589816 QKE655352 QKE720888 QKE786424 QKE851960 QKE917496 QKE983032 QKF2:QKF3 QKF65526:QKF65527 QKF131062:QKF131063 QKF196598:QKF196599 QKF262134:QKF262135 QKF327670:QKF327671 QKF393206:QKF393207 QKF458742:QKF458743 QKF524278:QKF524279 QKF589814:QKF589815 QKF655350:QKF655351 QKF720886:QKF720887 QKF786422:QKF786423 QKF851958:QKF851959 QKF917494:QKF917495 QKF983030:QKF983031 QUA4 QUA65528 QUA131064 QUA196600 QUA262136 QUA327672 QUA393208 QUA458744 QUA524280 QUA589816 QUA655352 QUA720888 QUA786424 QUA851960 QUA917496 QUA983032 QUB2:QUB3 QUB65526:QUB65527 QUB131062:QUB131063 QUB196598:QUB196599 QUB262134:QUB262135 QUB327670:QUB327671 QUB393206:QUB393207 QUB458742:QUB458743 QUB524278:QUB524279 QUB589814:QUB589815 QUB655350:QUB655351 QUB720886:QUB720887 QUB786422:QUB786423 QUB851958:QUB851959 QUB917494:QUB917495 QUB983030:QUB983031 RDW4 RDW65528 RDW131064 RDW196600 RDW262136 RDW327672 RDW393208 RDW458744 RDW524280 RDW589816 RDW655352 RDW720888 RDW786424 RDW851960 RDW917496 RDW983032 RDX2:RDX3 RDX65526:RDX65527 RDX131062:RDX131063 RDX196598:RDX196599 RDX262134:RDX262135 RDX327670:RDX327671 RDX393206:RDX393207 RDX458742:RDX458743 RDX524278:RDX524279 RDX589814:RDX589815 RDX655350:RDX655351 RDX720886:RDX720887 RDX786422:RDX786423 RDX851958:RDX851959 RDX917494:RDX917495 RDX983030:RDX983031 RNS4 RNS65528 RNS131064 RNS196600 RNS262136 RNS327672 RNS393208 RNS458744 RNS524280 RNS589816 RNS655352 RNS720888 RNS786424 RNS851960 RNS917496 RNS983032 RNT2:RNT3 RNT65526:RNT65527 RNT131062:RNT131063 RNT196598:RNT196599 RNT262134:RNT262135 RNT327670:RNT327671 RNT393206:RNT393207 RNT458742:RNT458743 RNT524278:RNT524279 RNT589814:RNT589815 RNT655350:RNT655351 RNT720886:RNT720887 RNT786422:RNT786423 RNT851958:RNT851959 RNT917494:RNT917495 RNT983030:RNT983031 RXO4 RXO65528 RXO131064 RXO196600 RXO262136 RXO327672 RXO393208 RXO458744 RXO524280 RXO589816 RXO655352 RXO720888 RXO786424 RXO851960 RXO917496 RXO983032 RXP2:RXP3 RXP65526:RXP65527 RXP131062:RXP131063 RXP196598:RXP196599 RXP262134:RXP262135 RXP327670:RXP327671 RXP393206:RXP393207 RXP458742:RXP458743 RXP524278:RXP524279 RXP589814:RXP589815 RXP655350:RXP655351 RXP720886:RXP720887 RXP786422:RXP786423 RXP851958:RXP851959 RXP917494:RXP917495 RXP983030:RXP983031 SHK4 SHK65528 SHK131064 SHK196600 SHK262136 SHK327672 SHK393208 SHK458744 SHK524280 SHK589816 SHK655352 SHK720888 SHK786424 SHK851960 SHK917496 SHK983032 SHL2:SHL3 SHL65526:SHL65527 SHL131062:SHL131063 SHL196598:SHL196599 SHL262134:SHL262135 SHL327670:SHL327671 SHL393206:SHL393207 SHL458742:SHL458743 SHL524278:SHL524279 SHL589814:SHL589815 SHL655350:SHL655351 SHL720886:SHL720887 SHL786422:SHL786423 SHL851958:SHL851959 SHL917494:SHL917495 SHL983030:SHL983031 SRG4 SRG65528 SRG131064 SRG196600 SRG262136 SRG327672 SRG393208 SRG458744 SRG524280 SRG589816 SRG655352 SRG720888 SRG786424 SRG851960 SRG917496 SRG983032 SRH2:SRH3 SRH65526:SRH65527 SRH131062:SRH131063 SRH196598:SRH196599 SRH262134:SRH262135 SRH327670:SRH327671 SRH393206:SRH393207 SRH458742:SRH458743 SRH524278:SRH524279 SRH589814:SRH589815 SRH655350:SRH655351 SRH720886:SRH720887 SRH786422:SRH786423 SRH851958:SRH851959 SRH917494:SRH917495 SRH983030:SRH983031 TBC4 TBC65528 TBC131064 TBC196600 TBC262136 TBC327672 TBC393208 TBC458744 TBC524280 TBC589816 TBC655352 TBC720888 TBC786424 TBC851960 TBC917496 TBC983032 TBD2:TBD3 TBD65526:TBD65527 TBD131062:TBD131063 TBD196598:TBD196599 TBD262134:TBD262135 TBD327670:TBD327671 TBD393206:TBD393207 TBD458742:TBD458743 TBD524278:TBD524279 TBD589814:TBD589815 TBD655350:TBD655351 TBD720886:TBD720887 TBD786422:TBD786423 TBD851958:TBD851959 TBD917494:TBD917495 TBD983030:TBD983031 TKY4 TKY65528 TKY131064 TKY196600 TKY262136 TKY327672 TKY393208 TKY458744 TKY524280 TKY589816 TKY655352 TKY720888 TKY786424 TKY851960 TKY917496 TKY983032 TKZ2:TKZ3 TKZ65526:TKZ65527 TKZ131062:TKZ131063 TKZ196598:TKZ196599 TKZ262134:TKZ262135 TKZ327670:TKZ327671 TKZ393206:TKZ393207 TKZ458742:TKZ458743 TKZ524278:TKZ524279 TKZ589814:TKZ589815 TKZ655350:TKZ655351 TKZ720886:TKZ720887 TKZ786422:TKZ786423 TKZ851958:TKZ851959 TKZ917494:TKZ917495 TKZ983030:TKZ983031 TUU4 TUU65528 TUU131064 TUU196600 TUU262136 TUU327672 TUU393208 TUU458744 TUU524280 TUU589816 TUU655352 TUU720888 TUU786424 TUU851960 TUU917496 TUU983032 TUV2:TUV3 TUV65526:TUV65527 TUV131062:TUV131063 TUV196598:TUV196599 TUV262134:TUV262135 TUV327670:TUV327671 TUV393206:TUV393207 TUV458742:TUV458743 TUV524278:TUV524279 TUV589814:TUV589815 TUV655350:TUV655351 TUV720886:TUV720887 TUV786422:TUV786423 TUV851958:TUV851959 TUV917494:TUV917495 TUV983030:TUV983031 UEQ4 UEQ65528 UEQ131064 UEQ196600 UEQ262136 UEQ327672 UEQ393208 UEQ458744 UEQ524280 UEQ589816 UEQ655352 UEQ720888 UEQ786424 UEQ851960 UEQ917496 UEQ983032 UER2:UER3 UER65526:UER65527 UER131062:UER131063 UER196598:UER196599 UER262134:UER262135 UER327670:UER327671 UER393206:UER393207 UER458742:UER458743 UER524278:UER524279 UER589814:UER589815 UER655350:UER655351 UER720886:UER720887 UER786422:UER786423 UER851958:UER851959 UER917494:UER917495 UER983030:UER983031 UOM4 UOM65528 UOM131064 UOM196600 UOM262136 UOM327672 UOM393208 UOM458744 UOM524280 UOM589816 UOM655352 UOM720888 UOM786424 UOM851960 UOM917496 UOM983032 UON2:UON3 UON65526:UON65527 UON131062:UON131063 UON196598:UON196599 UON262134:UON262135 UON327670:UON327671 UON393206:UON393207 UON458742:UON458743 UON524278:UON524279 UON589814:UON589815 UON655350:UON655351 UON720886:UON720887 UON786422:UON786423 UON851958:UON851959 UON917494:UON917495 UON983030:UON983031 UYI4 UYI65528 UYI131064 UYI196600 UYI262136 UYI327672 UYI393208 UYI458744 UYI524280 UYI589816 UYI655352 UYI720888 UYI786424 UYI851960 UYI917496 UYI983032 UYJ2:UYJ3 UYJ65526:UYJ65527 UYJ131062:UYJ131063 UYJ196598:UYJ196599 UYJ262134:UYJ262135 UYJ327670:UYJ327671 UYJ393206:UYJ393207 UYJ458742:UYJ458743 UYJ524278:UYJ524279 UYJ589814:UYJ589815 UYJ655350:UYJ655351 UYJ720886:UYJ720887 UYJ786422:UYJ786423 UYJ851958:UYJ851959 UYJ917494:UYJ917495 UYJ983030:UYJ983031 VIE4 VIE65528 VIE131064 VIE196600 VIE262136 VIE327672 VIE393208 VIE458744 VIE524280 VIE589816 VIE655352 VIE720888 VIE786424 VIE851960 VIE917496 VIE983032 VIF2:VIF3 VIF65526:VIF65527 VIF131062:VIF131063 VIF196598:VIF196599 VIF262134:VIF262135 VIF327670:VIF327671 VIF393206:VIF393207 VIF458742:VIF458743 VIF524278:VIF524279 VIF589814:VIF589815 VIF655350:VIF655351 VIF720886:VIF720887 VIF786422:VIF786423 VIF851958:VIF851959 VIF917494:VIF917495 VIF983030:VIF983031 VSA4 VSA65528 VSA131064 VSA196600 VSA262136 VSA327672 VSA393208 VSA458744 VSA524280 VSA589816 VSA655352 VSA720888 VSA786424 VSA851960 VSA917496 VSA983032 VSB2:VSB3 VSB65526:VSB65527 VSB131062:VSB131063 VSB196598:VSB196599 VSB262134:VSB262135 VSB327670:VSB327671 VSB393206:VSB393207 VSB458742:VSB458743 VSB524278:VSB524279 VSB589814:VSB589815 VSB655350:VSB655351 VSB720886:VSB720887 VSB786422:VSB786423 VSB851958:VSB851959 VSB917494:VSB917495 VSB983030:VSB983031 WBW4 WBW65528 WBW131064 WBW196600 WBW262136 WBW327672 WBW393208 WBW458744 WBW524280 WBW589816 WBW655352 WBW720888 WBW786424 WBW851960 WBW917496 WBW983032 WBX2:WBX3 WBX65526:WBX65527 WBX131062:WBX131063 WBX196598:WBX196599 WBX262134:WBX262135 WBX327670:WBX327671 WBX393206:WBX393207 WBX458742:WBX458743 WBX524278:WBX524279 WBX589814:WBX589815 WBX655350:WBX655351 WBX720886:WBX720887 WBX786422:WBX786423 WBX851958:WBX851959 WBX917494:WBX917495 WBX983030:WBX983031 WLS4 WLS65528 WLS131064 WLS196600 WLS262136 WLS327672 WLS393208 WLS458744 WLS524280 WLS589816 WLS655352 WLS720888 WLS786424 WLS851960 WLS917496 WLS983032 WLT2:WLT3 WLT65526:WLT65527 WLT131062:WLT131063 WLT196598:WLT196599 WLT262134:WLT262135 WLT327670:WLT327671 WLT393206:WLT393207 WLT458742:WLT458743 WLT524278:WLT524279 WLT589814:WLT589815 WLT655350:WLT655351 WLT720886:WLT720887 WLT786422:WLT786423 WLT851958:WLT851959 WLT917494:WLT917495 WLT983030:WLT983031 WVO4 WVO65528 WVO131064 WVO196600 WVO262136 WVO327672 WVO393208 WVO458744 WVO524280 WVO589816 WVO655352 WVO720888 WVO786424 WVO851960 WVO917496 WVO983032 WVP2:WVP3 WVP65526:WVP65527 WVP131062:WVP131063 WVP196598:WVP196599 WVP262134:WVP262135 WVP327670:WVP327671 WVP393206:WVP393207 WVP458742:WVP458743 WVP524278:WVP524279 WVP589814:WVP589815 WVP655350:WVP655351 WVP720886:WVP720887 WVP786422:WVP786423 WVP851958:WVP851959 WVP917494:WVP917495 WVP983030:WVP983031" xr:uid="{00000000-0002-0000-0700-000005000000}"/>
    <dataValidation allowBlank="1" showInputMessage="1" showErrorMessage="1" promptTitle="Name" prompt="Name of the exchange (elementary flow or intermediate product flow) in English language. " sqref="F2:F3 F65526:F65527 F131062:F131063 F196598:F196599 F262134:F262135 F327670:F327671 F393206:F393207 F458742:F458743 F524278:F524279 F589814:F589815 F655350:F655351 F720886:F720887 F786422:F786423 F851958:F851959 F917494:F917495 F983030:F983031 JC2:JC3 JC65526:JC65527 JC131062:JC131063 JC196598:JC196599 JC262134:JC262135 JC327670:JC327671 JC393206:JC393207 JC458742:JC458743 JC524278:JC524279 JC589814:JC589815 JC655350:JC655351 JC720886:JC720887 JC786422:JC786423 JC851958:JC851959 JC917494:JC917495 JC983030:JC983031 SY2:SY3 SY65526:SY65527 SY131062:SY131063 SY196598:SY196599 SY262134:SY262135 SY327670:SY327671 SY393206:SY393207 SY458742:SY458743 SY524278:SY524279 SY589814:SY589815 SY655350:SY655351 SY720886:SY720887 SY786422:SY786423 SY851958:SY851959 SY917494:SY917495 SY983030:SY983031 ACU2:ACU3 ACU65526:ACU65527 ACU131062:ACU131063 ACU196598:ACU196599 ACU262134:ACU262135 ACU327670:ACU327671 ACU393206:ACU393207 ACU458742:ACU458743 ACU524278:ACU524279 ACU589814:ACU589815 ACU655350:ACU655351 ACU720886:ACU720887 ACU786422:ACU786423 ACU851958:ACU851959 ACU917494:ACU917495 ACU983030:ACU983031 AMQ2:AMQ3 AMQ65526:AMQ65527 AMQ131062:AMQ131063 AMQ196598:AMQ196599 AMQ262134:AMQ262135 AMQ327670:AMQ327671 AMQ393206:AMQ393207 AMQ458742:AMQ458743 AMQ524278:AMQ524279 AMQ589814:AMQ589815 AMQ655350:AMQ655351 AMQ720886:AMQ720887 AMQ786422:AMQ786423 AMQ851958:AMQ851959 AMQ917494:AMQ917495 AMQ983030:AMQ983031 AWM2:AWM3 AWM65526:AWM65527 AWM131062:AWM131063 AWM196598:AWM196599 AWM262134:AWM262135 AWM327670:AWM327671 AWM393206:AWM393207 AWM458742:AWM458743 AWM524278:AWM524279 AWM589814:AWM589815 AWM655350:AWM655351 AWM720886:AWM720887 AWM786422:AWM786423 AWM851958:AWM851959 AWM917494:AWM917495 AWM983030:AWM983031 BGI2:BGI3 BGI65526:BGI65527 BGI131062:BGI131063 BGI196598:BGI196599 BGI262134:BGI262135 BGI327670:BGI327671 BGI393206:BGI393207 BGI458742:BGI458743 BGI524278:BGI524279 BGI589814:BGI589815 BGI655350:BGI655351 BGI720886:BGI720887 BGI786422:BGI786423 BGI851958:BGI851959 BGI917494:BGI917495 BGI983030:BGI983031 BQE2:BQE3 BQE65526:BQE65527 BQE131062:BQE131063 BQE196598:BQE196599 BQE262134:BQE262135 BQE327670:BQE327671 BQE393206:BQE393207 BQE458742:BQE458743 BQE524278:BQE524279 BQE589814:BQE589815 BQE655350:BQE655351 BQE720886:BQE720887 BQE786422:BQE786423 BQE851958:BQE851959 BQE917494:BQE917495 BQE983030:BQE983031 CAA2:CAA3 CAA65526:CAA65527 CAA131062:CAA131063 CAA196598:CAA196599 CAA262134:CAA262135 CAA327670:CAA327671 CAA393206:CAA393207 CAA458742:CAA458743 CAA524278:CAA524279 CAA589814:CAA589815 CAA655350:CAA655351 CAA720886:CAA720887 CAA786422:CAA786423 CAA851958:CAA851959 CAA917494:CAA917495 CAA983030:CAA983031 CJW2:CJW3 CJW65526:CJW65527 CJW131062:CJW131063 CJW196598:CJW196599 CJW262134:CJW262135 CJW327670:CJW327671 CJW393206:CJW393207 CJW458742:CJW458743 CJW524278:CJW524279 CJW589814:CJW589815 CJW655350:CJW655351 CJW720886:CJW720887 CJW786422:CJW786423 CJW851958:CJW851959 CJW917494:CJW917495 CJW983030:CJW983031 CTS2:CTS3 CTS65526:CTS65527 CTS131062:CTS131063 CTS196598:CTS196599 CTS262134:CTS262135 CTS327670:CTS327671 CTS393206:CTS393207 CTS458742:CTS458743 CTS524278:CTS524279 CTS589814:CTS589815 CTS655350:CTS655351 CTS720886:CTS720887 CTS786422:CTS786423 CTS851958:CTS851959 CTS917494:CTS917495 CTS983030:CTS983031 DDO2:DDO3 DDO65526:DDO65527 DDO131062:DDO131063 DDO196598:DDO196599 DDO262134:DDO262135 DDO327670:DDO327671 DDO393206:DDO393207 DDO458742:DDO458743 DDO524278:DDO524279 DDO589814:DDO589815 DDO655350:DDO655351 DDO720886:DDO720887 DDO786422:DDO786423 DDO851958:DDO851959 DDO917494:DDO917495 DDO983030:DDO983031 DNK2:DNK3 DNK65526:DNK65527 DNK131062:DNK131063 DNK196598:DNK196599 DNK262134:DNK262135 DNK327670:DNK327671 DNK393206:DNK393207 DNK458742:DNK458743 DNK524278:DNK524279 DNK589814:DNK589815 DNK655350:DNK655351 DNK720886:DNK720887 DNK786422:DNK786423 DNK851958:DNK851959 DNK917494:DNK917495 DNK983030:DNK983031 DXG2:DXG3 DXG65526:DXG65527 DXG131062:DXG131063 DXG196598:DXG196599 DXG262134:DXG262135 DXG327670:DXG327671 DXG393206:DXG393207 DXG458742:DXG458743 DXG524278:DXG524279 DXG589814:DXG589815 DXG655350:DXG655351 DXG720886:DXG720887 DXG786422:DXG786423 DXG851958:DXG851959 DXG917494:DXG917495 DXG983030:DXG983031 EHC2:EHC3 EHC65526:EHC65527 EHC131062:EHC131063 EHC196598:EHC196599 EHC262134:EHC262135 EHC327670:EHC327671 EHC393206:EHC393207 EHC458742:EHC458743 EHC524278:EHC524279 EHC589814:EHC589815 EHC655350:EHC655351 EHC720886:EHC720887 EHC786422:EHC786423 EHC851958:EHC851959 EHC917494:EHC917495 EHC983030:EHC983031 EQY2:EQY3 EQY65526:EQY65527 EQY131062:EQY131063 EQY196598:EQY196599 EQY262134:EQY262135 EQY327670:EQY327671 EQY393206:EQY393207 EQY458742:EQY458743 EQY524278:EQY524279 EQY589814:EQY589815 EQY655350:EQY655351 EQY720886:EQY720887 EQY786422:EQY786423 EQY851958:EQY851959 EQY917494:EQY917495 EQY983030:EQY983031 FAU2:FAU3 FAU65526:FAU65527 FAU131062:FAU131063 FAU196598:FAU196599 FAU262134:FAU262135 FAU327670:FAU327671 FAU393206:FAU393207 FAU458742:FAU458743 FAU524278:FAU524279 FAU589814:FAU589815 FAU655350:FAU655351 FAU720886:FAU720887 FAU786422:FAU786423 FAU851958:FAU851959 FAU917494:FAU917495 FAU983030:FAU983031 FKQ2:FKQ3 FKQ65526:FKQ65527 FKQ131062:FKQ131063 FKQ196598:FKQ196599 FKQ262134:FKQ262135 FKQ327670:FKQ327671 FKQ393206:FKQ393207 FKQ458742:FKQ458743 FKQ524278:FKQ524279 FKQ589814:FKQ589815 FKQ655350:FKQ655351 FKQ720886:FKQ720887 FKQ786422:FKQ786423 FKQ851958:FKQ851959 FKQ917494:FKQ917495 FKQ983030:FKQ983031 FUM2:FUM3 FUM65526:FUM65527 FUM131062:FUM131063 FUM196598:FUM196599 FUM262134:FUM262135 FUM327670:FUM327671 FUM393206:FUM393207 FUM458742:FUM458743 FUM524278:FUM524279 FUM589814:FUM589815 FUM655350:FUM655351 FUM720886:FUM720887 FUM786422:FUM786423 FUM851958:FUM851959 FUM917494:FUM917495 FUM983030:FUM983031 GEI2:GEI3 GEI65526:GEI65527 GEI131062:GEI131063 GEI196598:GEI196599 GEI262134:GEI262135 GEI327670:GEI327671 GEI393206:GEI393207 GEI458742:GEI458743 GEI524278:GEI524279 GEI589814:GEI589815 GEI655350:GEI655351 GEI720886:GEI720887 GEI786422:GEI786423 GEI851958:GEI851959 GEI917494:GEI917495 GEI983030:GEI983031 GOE2:GOE3 GOE65526:GOE65527 GOE131062:GOE131063 GOE196598:GOE196599 GOE262134:GOE262135 GOE327670:GOE327671 GOE393206:GOE393207 GOE458742:GOE458743 GOE524278:GOE524279 GOE589814:GOE589815 GOE655350:GOE655351 GOE720886:GOE720887 GOE786422:GOE786423 GOE851958:GOE851959 GOE917494:GOE917495 GOE983030:GOE983031 GYA2:GYA3 GYA65526:GYA65527 GYA131062:GYA131063 GYA196598:GYA196599 GYA262134:GYA262135 GYA327670:GYA327671 GYA393206:GYA393207 GYA458742:GYA458743 GYA524278:GYA524279 GYA589814:GYA589815 GYA655350:GYA655351 GYA720886:GYA720887 GYA786422:GYA786423 GYA851958:GYA851959 GYA917494:GYA917495 GYA983030:GYA983031 HHW2:HHW3 HHW65526:HHW65527 HHW131062:HHW131063 HHW196598:HHW196599 HHW262134:HHW262135 HHW327670:HHW327671 HHW393206:HHW393207 HHW458742:HHW458743 HHW524278:HHW524279 HHW589814:HHW589815 HHW655350:HHW655351 HHW720886:HHW720887 HHW786422:HHW786423 HHW851958:HHW851959 HHW917494:HHW917495 HHW983030:HHW983031 HRS2:HRS3 HRS65526:HRS65527 HRS131062:HRS131063 HRS196598:HRS196599 HRS262134:HRS262135 HRS327670:HRS327671 HRS393206:HRS393207 HRS458742:HRS458743 HRS524278:HRS524279 HRS589814:HRS589815 HRS655350:HRS655351 HRS720886:HRS720887 HRS786422:HRS786423 HRS851958:HRS851959 HRS917494:HRS917495 HRS983030:HRS983031 IBO2:IBO3 IBO65526:IBO65527 IBO131062:IBO131063 IBO196598:IBO196599 IBO262134:IBO262135 IBO327670:IBO327671 IBO393206:IBO393207 IBO458742:IBO458743 IBO524278:IBO524279 IBO589814:IBO589815 IBO655350:IBO655351 IBO720886:IBO720887 IBO786422:IBO786423 IBO851958:IBO851959 IBO917494:IBO917495 IBO983030:IBO983031 ILK2:ILK3 ILK65526:ILK65527 ILK131062:ILK131063 ILK196598:ILK196599 ILK262134:ILK262135 ILK327670:ILK327671 ILK393206:ILK393207 ILK458742:ILK458743 ILK524278:ILK524279 ILK589814:ILK589815 ILK655350:ILK655351 ILK720886:ILK720887 ILK786422:ILK786423 ILK851958:ILK851959 ILK917494:ILK917495 ILK983030:ILK983031 IVG2:IVG3 IVG65526:IVG65527 IVG131062:IVG131063 IVG196598:IVG196599 IVG262134:IVG262135 IVG327670:IVG327671 IVG393206:IVG393207 IVG458742:IVG458743 IVG524278:IVG524279 IVG589814:IVG589815 IVG655350:IVG655351 IVG720886:IVG720887 IVG786422:IVG786423 IVG851958:IVG851959 IVG917494:IVG917495 IVG983030:IVG983031 JFC2:JFC3 JFC65526:JFC65527 JFC131062:JFC131063 JFC196598:JFC196599 JFC262134:JFC262135 JFC327670:JFC327671 JFC393206:JFC393207 JFC458742:JFC458743 JFC524278:JFC524279 JFC589814:JFC589815 JFC655350:JFC655351 JFC720886:JFC720887 JFC786422:JFC786423 JFC851958:JFC851959 JFC917494:JFC917495 JFC983030:JFC983031 JOY2:JOY3 JOY65526:JOY65527 JOY131062:JOY131063 JOY196598:JOY196599 JOY262134:JOY262135 JOY327670:JOY327671 JOY393206:JOY393207 JOY458742:JOY458743 JOY524278:JOY524279 JOY589814:JOY589815 JOY655350:JOY655351 JOY720886:JOY720887 JOY786422:JOY786423 JOY851958:JOY851959 JOY917494:JOY917495 JOY983030:JOY983031 JYU2:JYU3 JYU65526:JYU65527 JYU131062:JYU131063 JYU196598:JYU196599 JYU262134:JYU262135 JYU327670:JYU327671 JYU393206:JYU393207 JYU458742:JYU458743 JYU524278:JYU524279 JYU589814:JYU589815 JYU655350:JYU655351 JYU720886:JYU720887 JYU786422:JYU786423 JYU851958:JYU851959 JYU917494:JYU917495 JYU983030:JYU983031 KIQ2:KIQ3 KIQ65526:KIQ65527 KIQ131062:KIQ131063 KIQ196598:KIQ196599 KIQ262134:KIQ262135 KIQ327670:KIQ327671 KIQ393206:KIQ393207 KIQ458742:KIQ458743 KIQ524278:KIQ524279 KIQ589814:KIQ589815 KIQ655350:KIQ655351 KIQ720886:KIQ720887 KIQ786422:KIQ786423 KIQ851958:KIQ851959 KIQ917494:KIQ917495 KIQ983030:KIQ983031 KSM2:KSM3 KSM65526:KSM65527 KSM131062:KSM131063 KSM196598:KSM196599 KSM262134:KSM262135 KSM327670:KSM327671 KSM393206:KSM393207 KSM458742:KSM458743 KSM524278:KSM524279 KSM589814:KSM589815 KSM655350:KSM655351 KSM720886:KSM720887 KSM786422:KSM786423 KSM851958:KSM851959 KSM917494:KSM917495 KSM983030:KSM983031 LCI2:LCI3 LCI65526:LCI65527 LCI131062:LCI131063 LCI196598:LCI196599 LCI262134:LCI262135 LCI327670:LCI327671 LCI393206:LCI393207 LCI458742:LCI458743 LCI524278:LCI524279 LCI589814:LCI589815 LCI655350:LCI655351 LCI720886:LCI720887 LCI786422:LCI786423 LCI851958:LCI851959 LCI917494:LCI917495 LCI983030:LCI983031 LME2:LME3 LME65526:LME65527 LME131062:LME131063 LME196598:LME196599 LME262134:LME262135 LME327670:LME327671 LME393206:LME393207 LME458742:LME458743 LME524278:LME524279 LME589814:LME589815 LME655350:LME655351 LME720886:LME720887 LME786422:LME786423 LME851958:LME851959 LME917494:LME917495 LME983030:LME983031 LWA2:LWA3 LWA65526:LWA65527 LWA131062:LWA131063 LWA196598:LWA196599 LWA262134:LWA262135 LWA327670:LWA327671 LWA393206:LWA393207 LWA458742:LWA458743 LWA524278:LWA524279 LWA589814:LWA589815 LWA655350:LWA655351 LWA720886:LWA720887 LWA786422:LWA786423 LWA851958:LWA851959 LWA917494:LWA917495 LWA983030:LWA983031 MFW2:MFW3 MFW65526:MFW65527 MFW131062:MFW131063 MFW196598:MFW196599 MFW262134:MFW262135 MFW327670:MFW327671 MFW393206:MFW393207 MFW458742:MFW458743 MFW524278:MFW524279 MFW589814:MFW589815 MFW655350:MFW655351 MFW720886:MFW720887 MFW786422:MFW786423 MFW851958:MFW851959 MFW917494:MFW917495 MFW983030:MFW983031 MPS2:MPS3 MPS65526:MPS65527 MPS131062:MPS131063 MPS196598:MPS196599 MPS262134:MPS262135 MPS327670:MPS327671 MPS393206:MPS393207 MPS458742:MPS458743 MPS524278:MPS524279 MPS589814:MPS589815 MPS655350:MPS655351 MPS720886:MPS720887 MPS786422:MPS786423 MPS851958:MPS851959 MPS917494:MPS917495 MPS983030:MPS983031 MZO2:MZO3 MZO65526:MZO65527 MZO131062:MZO131063 MZO196598:MZO196599 MZO262134:MZO262135 MZO327670:MZO327671 MZO393206:MZO393207 MZO458742:MZO458743 MZO524278:MZO524279 MZO589814:MZO589815 MZO655350:MZO655351 MZO720886:MZO720887 MZO786422:MZO786423 MZO851958:MZO851959 MZO917494:MZO917495 MZO983030:MZO983031 NJK2:NJK3 NJK65526:NJK65527 NJK131062:NJK131063 NJK196598:NJK196599 NJK262134:NJK262135 NJK327670:NJK327671 NJK393206:NJK393207 NJK458742:NJK458743 NJK524278:NJK524279 NJK589814:NJK589815 NJK655350:NJK655351 NJK720886:NJK720887 NJK786422:NJK786423 NJK851958:NJK851959 NJK917494:NJK917495 NJK983030:NJK983031 NTG2:NTG3 NTG65526:NTG65527 NTG131062:NTG131063 NTG196598:NTG196599 NTG262134:NTG262135 NTG327670:NTG327671 NTG393206:NTG393207 NTG458742:NTG458743 NTG524278:NTG524279 NTG589814:NTG589815 NTG655350:NTG655351 NTG720886:NTG720887 NTG786422:NTG786423 NTG851958:NTG851959 NTG917494:NTG917495 NTG983030:NTG983031 ODC2:ODC3 ODC65526:ODC65527 ODC131062:ODC131063 ODC196598:ODC196599 ODC262134:ODC262135 ODC327670:ODC327671 ODC393206:ODC393207 ODC458742:ODC458743 ODC524278:ODC524279 ODC589814:ODC589815 ODC655350:ODC655351 ODC720886:ODC720887 ODC786422:ODC786423 ODC851958:ODC851959 ODC917494:ODC917495 ODC983030:ODC983031 OMY2:OMY3 OMY65526:OMY65527 OMY131062:OMY131063 OMY196598:OMY196599 OMY262134:OMY262135 OMY327670:OMY327671 OMY393206:OMY393207 OMY458742:OMY458743 OMY524278:OMY524279 OMY589814:OMY589815 OMY655350:OMY655351 OMY720886:OMY720887 OMY786422:OMY786423 OMY851958:OMY851959 OMY917494:OMY917495 OMY983030:OMY983031 OWU2:OWU3 OWU65526:OWU65527 OWU131062:OWU131063 OWU196598:OWU196599 OWU262134:OWU262135 OWU327670:OWU327671 OWU393206:OWU393207 OWU458742:OWU458743 OWU524278:OWU524279 OWU589814:OWU589815 OWU655350:OWU655351 OWU720886:OWU720887 OWU786422:OWU786423 OWU851958:OWU851959 OWU917494:OWU917495 OWU983030:OWU983031 PGQ2:PGQ3 PGQ65526:PGQ65527 PGQ131062:PGQ131063 PGQ196598:PGQ196599 PGQ262134:PGQ262135 PGQ327670:PGQ327671 PGQ393206:PGQ393207 PGQ458742:PGQ458743 PGQ524278:PGQ524279 PGQ589814:PGQ589815 PGQ655350:PGQ655351 PGQ720886:PGQ720887 PGQ786422:PGQ786423 PGQ851958:PGQ851959 PGQ917494:PGQ917495 PGQ983030:PGQ983031 PQM2:PQM3 PQM65526:PQM65527 PQM131062:PQM131063 PQM196598:PQM196599 PQM262134:PQM262135 PQM327670:PQM327671 PQM393206:PQM393207 PQM458742:PQM458743 PQM524278:PQM524279 PQM589814:PQM589815 PQM655350:PQM655351 PQM720886:PQM720887 PQM786422:PQM786423 PQM851958:PQM851959 PQM917494:PQM917495 PQM983030:PQM983031 QAI2:QAI3 QAI65526:QAI65527 QAI131062:QAI131063 QAI196598:QAI196599 QAI262134:QAI262135 QAI327670:QAI327671 QAI393206:QAI393207 QAI458742:QAI458743 QAI524278:QAI524279 QAI589814:QAI589815 QAI655350:QAI655351 QAI720886:QAI720887 QAI786422:QAI786423 QAI851958:QAI851959 QAI917494:QAI917495 QAI983030:QAI983031 QKE2:QKE3 QKE65526:QKE65527 QKE131062:QKE131063 QKE196598:QKE196599 QKE262134:QKE262135 QKE327670:QKE327671 QKE393206:QKE393207 QKE458742:QKE458743 QKE524278:QKE524279 QKE589814:QKE589815 QKE655350:QKE655351 QKE720886:QKE720887 QKE786422:QKE786423 QKE851958:QKE851959 QKE917494:QKE917495 QKE983030:QKE983031 QUA2:QUA3 QUA65526:QUA65527 QUA131062:QUA131063 QUA196598:QUA196599 QUA262134:QUA262135 QUA327670:QUA327671 QUA393206:QUA393207 QUA458742:QUA458743 QUA524278:QUA524279 QUA589814:QUA589815 QUA655350:QUA655351 QUA720886:QUA720887 QUA786422:QUA786423 QUA851958:QUA851959 QUA917494:QUA917495 QUA983030:QUA983031 RDW2:RDW3 RDW65526:RDW65527 RDW131062:RDW131063 RDW196598:RDW196599 RDW262134:RDW262135 RDW327670:RDW327671 RDW393206:RDW393207 RDW458742:RDW458743 RDW524278:RDW524279 RDW589814:RDW589815 RDW655350:RDW655351 RDW720886:RDW720887 RDW786422:RDW786423 RDW851958:RDW851959 RDW917494:RDW917495 RDW983030:RDW983031 RNS2:RNS3 RNS65526:RNS65527 RNS131062:RNS131063 RNS196598:RNS196599 RNS262134:RNS262135 RNS327670:RNS327671 RNS393206:RNS393207 RNS458742:RNS458743 RNS524278:RNS524279 RNS589814:RNS589815 RNS655350:RNS655351 RNS720886:RNS720887 RNS786422:RNS786423 RNS851958:RNS851959 RNS917494:RNS917495 RNS983030:RNS983031 RXO2:RXO3 RXO65526:RXO65527 RXO131062:RXO131063 RXO196598:RXO196599 RXO262134:RXO262135 RXO327670:RXO327671 RXO393206:RXO393207 RXO458742:RXO458743 RXO524278:RXO524279 RXO589814:RXO589815 RXO655350:RXO655351 RXO720886:RXO720887 RXO786422:RXO786423 RXO851958:RXO851959 RXO917494:RXO917495 RXO983030:RXO983031 SHK2:SHK3 SHK65526:SHK65527 SHK131062:SHK131063 SHK196598:SHK196599 SHK262134:SHK262135 SHK327670:SHK327671 SHK393206:SHK393207 SHK458742:SHK458743 SHK524278:SHK524279 SHK589814:SHK589815 SHK655350:SHK655351 SHK720886:SHK720887 SHK786422:SHK786423 SHK851958:SHK851959 SHK917494:SHK917495 SHK983030:SHK983031 SRG2:SRG3 SRG65526:SRG65527 SRG131062:SRG131063 SRG196598:SRG196599 SRG262134:SRG262135 SRG327670:SRG327671 SRG393206:SRG393207 SRG458742:SRG458743 SRG524278:SRG524279 SRG589814:SRG589815 SRG655350:SRG655351 SRG720886:SRG720887 SRG786422:SRG786423 SRG851958:SRG851959 SRG917494:SRG917495 SRG983030:SRG983031 TBC2:TBC3 TBC65526:TBC65527 TBC131062:TBC131063 TBC196598:TBC196599 TBC262134:TBC262135 TBC327670:TBC327671 TBC393206:TBC393207 TBC458742:TBC458743 TBC524278:TBC524279 TBC589814:TBC589815 TBC655350:TBC655351 TBC720886:TBC720887 TBC786422:TBC786423 TBC851958:TBC851959 TBC917494:TBC917495 TBC983030:TBC983031 TKY2:TKY3 TKY65526:TKY65527 TKY131062:TKY131063 TKY196598:TKY196599 TKY262134:TKY262135 TKY327670:TKY327671 TKY393206:TKY393207 TKY458742:TKY458743 TKY524278:TKY524279 TKY589814:TKY589815 TKY655350:TKY655351 TKY720886:TKY720887 TKY786422:TKY786423 TKY851958:TKY851959 TKY917494:TKY917495 TKY983030:TKY983031 TUU2:TUU3 TUU65526:TUU65527 TUU131062:TUU131063 TUU196598:TUU196599 TUU262134:TUU262135 TUU327670:TUU327671 TUU393206:TUU393207 TUU458742:TUU458743 TUU524278:TUU524279 TUU589814:TUU589815 TUU655350:TUU655351 TUU720886:TUU720887 TUU786422:TUU786423 TUU851958:TUU851959 TUU917494:TUU917495 TUU983030:TUU983031 UEQ2:UEQ3 UEQ65526:UEQ65527 UEQ131062:UEQ131063 UEQ196598:UEQ196599 UEQ262134:UEQ262135 UEQ327670:UEQ327671 UEQ393206:UEQ393207 UEQ458742:UEQ458743 UEQ524278:UEQ524279 UEQ589814:UEQ589815 UEQ655350:UEQ655351 UEQ720886:UEQ720887 UEQ786422:UEQ786423 UEQ851958:UEQ851959 UEQ917494:UEQ917495 UEQ983030:UEQ983031 UOM2:UOM3 UOM65526:UOM65527 UOM131062:UOM131063 UOM196598:UOM196599 UOM262134:UOM262135 UOM327670:UOM327671 UOM393206:UOM393207 UOM458742:UOM458743 UOM524278:UOM524279 UOM589814:UOM589815 UOM655350:UOM655351 UOM720886:UOM720887 UOM786422:UOM786423 UOM851958:UOM851959 UOM917494:UOM917495 UOM983030:UOM983031 UYI2:UYI3 UYI65526:UYI65527 UYI131062:UYI131063 UYI196598:UYI196599 UYI262134:UYI262135 UYI327670:UYI327671 UYI393206:UYI393207 UYI458742:UYI458743 UYI524278:UYI524279 UYI589814:UYI589815 UYI655350:UYI655351 UYI720886:UYI720887 UYI786422:UYI786423 UYI851958:UYI851959 UYI917494:UYI917495 UYI983030:UYI983031 VIE2:VIE3 VIE65526:VIE65527 VIE131062:VIE131063 VIE196598:VIE196599 VIE262134:VIE262135 VIE327670:VIE327671 VIE393206:VIE393207 VIE458742:VIE458743 VIE524278:VIE524279 VIE589814:VIE589815 VIE655350:VIE655351 VIE720886:VIE720887 VIE786422:VIE786423 VIE851958:VIE851959 VIE917494:VIE917495 VIE983030:VIE983031 VSA2:VSA3 VSA65526:VSA65527 VSA131062:VSA131063 VSA196598:VSA196599 VSA262134:VSA262135 VSA327670:VSA327671 VSA393206:VSA393207 VSA458742:VSA458743 VSA524278:VSA524279 VSA589814:VSA589815 VSA655350:VSA655351 VSA720886:VSA720887 VSA786422:VSA786423 VSA851958:VSA851959 VSA917494:VSA917495 VSA983030:VSA983031 WBW2:WBW3 WBW65526:WBW65527 WBW131062:WBW131063 WBW196598:WBW196599 WBW262134:WBW262135 WBW327670:WBW327671 WBW393206:WBW393207 WBW458742:WBW458743 WBW524278:WBW524279 WBW589814:WBW589815 WBW655350:WBW655351 WBW720886:WBW720887 WBW786422:WBW786423 WBW851958:WBW851959 WBW917494:WBW917495 WBW983030:WBW983031 WLS2:WLS3 WLS65526:WLS65527 WLS131062:WLS131063 WLS196598:WLS196599 WLS262134:WLS262135 WLS327670:WLS327671 WLS393206:WLS393207 WLS458742:WLS458743 WLS524278:WLS524279 WLS589814:WLS589815 WLS655350:WLS655351 WLS720886:WLS720887 WLS786422:WLS786423 WLS851958:WLS851959 WLS917494:WLS917495 WLS983030:WLS983031 WVO2:WVO3 WVO65526:WVO65527 WVO131062:WVO131063 WVO196598:WVO196599 WVO262134:WVO262135 WVO327670:WVO327671 WVO393206:WVO393207 WVO458742:WVO458743 WVO524278:WVO524279 WVO589814:WVO589815 WVO655350:WVO655351 WVO720886:WVO720887 WVO786422:WVO786423 WVO851958:WVO851959 WVO917494:WVO917495 WVO983030:WVO983031" xr:uid="{00000000-0002-0000-0700-000006000000}"/>
    <dataValidation allowBlank="1" showInputMessage="1" showErrorMessage="1" promptTitle="Infrastructure" prompt="Describes whether the intermediate product flow from or to the unit process is an infrastructure process or not._x000a__x000a_Not applicable to elementary flows." sqref="F5 F65529 F131065 F196601 F262137 F327673 F393209 F458745 F524281 F589817 F655353 F720889 F786425 F851961 F917497 F983033 J2:J3 J65526:J65527 J131062:J131063 J196598:J196599 J262134:J262135 J327670:J327671 J393206:J393207 J458742:J458743 J524278:J524279 J589814:J589815 J655350:J655351 J720886:J720887 J786422:J786423 J851958:J851959 J917494:J917495 J983030:J983031 JC5 JC65529 JC131065 JC196601 JC262137 JC327673 JC393209 JC458745 JC524281 JC589817 JC655353 JC720889 JC786425 JC851961 JC917497 JC983033 JG2:JG3 JG65526:JG65527 JG131062:JG131063 JG196598:JG196599 JG262134:JG262135 JG327670:JG327671 JG393206:JG393207 JG458742:JG458743 JG524278:JG524279 JG589814:JG589815 JG655350:JG655351 JG720886:JG720887 JG786422:JG786423 JG851958:JG851959 JG917494:JG917495 JG983030:JG983031 SY5 SY65529 SY131065 SY196601 SY262137 SY327673 SY393209 SY458745 SY524281 SY589817 SY655353 SY720889 SY786425 SY851961 SY917497 SY983033 TC2:TC3 TC65526:TC65527 TC131062:TC131063 TC196598:TC196599 TC262134:TC262135 TC327670:TC327671 TC393206:TC393207 TC458742:TC458743 TC524278:TC524279 TC589814:TC589815 TC655350:TC655351 TC720886:TC720887 TC786422:TC786423 TC851958:TC851959 TC917494:TC917495 TC983030:TC983031 ACU5 ACU65529 ACU131065 ACU196601 ACU262137 ACU327673 ACU393209 ACU458745 ACU524281 ACU589817 ACU655353 ACU720889 ACU786425 ACU851961 ACU917497 ACU983033 ACY2:ACY3 ACY65526:ACY65527 ACY131062:ACY131063 ACY196598:ACY196599 ACY262134:ACY262135 ACY327670:ACY327671 ACY393206:ACY393207 ACY458742:ACY458743 ACY524278:ACY524279 ACY589814:ACY589815 ACY655350:ACY655351 ACY720886:ACY720887 ACY786422:ACY786423 ACY851958:ACY851959 ACY917494:ACY917495 ACY983030:ACY983031 AMQ5 AMQ65529 AMQ131065 AMQ196601 AMQ262137 AMQ327673 AMQ393209 AMQ458745 AMQ524281 AMQ589817 AMQ655353 AMQ720889 AMQ786425 AMQ851961 AMQ917497 AMQ983033 AMU2:AMU3 AMU65526:AMU65527 AMU131062:AMU131063 AMU196598:AMU196599 AMU262134:AMU262135 AMU327670:AMU327671 AMU393206:AMU393207 AMU458742:AMU458743 AMU524278:AMU524279 AMU589814:AMU589815 AMU655350:AMU655351 AMU720886:AMU720887 AMU786422:AMU786423 AMU851958:AMU851959 AMU917494:AMU917495 AMU983030:AMU983031 AWM5 AWM65529 AWM131065 AWM196601 AWM262137 AWM327673 AWM393209 AWM458745 AWM524281 AWM589817 AWM655353 AWM720889 AWM786425 AWM851961 AWM917497 AWM983033 AWQ2:AWQ3 AWQ65526:AWQ65527 AWQ131062:AWQ131063 AWQ196598:AWQ196599 AWQ262134:AWQ262135 AWQ327670:AWQ327671 AWQ393206:AWQ393207 AWQ458742:AWQ458743 AWQ524278:AWQ524279 AWQ589814:AWQ589815 AWQ655350:AWQ655351 AWQ720886:AWQ720887 AWQ786422:AWQ786423 AWQ851958:AWQ851959 AWQ917494:AWQ917495 AWQ983030:AWQ983031 BGI5 BGI65529 BGI131065 BGI196601 BGI262137 BGI327673 BGI393209 BGI458745 BGI524281 BGI589817 BGI655353 BGI720889 BGI786425 BGI851961 BGI917497 BGI983033 BGM2:BGM3 BGM65526:BGM65527 BGM131062:BGM131063 BGM196598:BGM196599 BGM262134:BGM262135 BGM327670:BGM327671 BGM393206:BGM393207 BGM458742:BGM458743 BGM524278:BGM524279 BGM589814:BGM589815 BGM655350:BGM655351 BGM720886:BGM720887 BGM786422:BGM786423 BGM851958:BGM851959 BGM917494:BGM917495 BGM983030:BGM983031 BQE5 BQE65529 BQE131065 BQE196601 BQE262137 BQE327673 BQE393209 BQE458745 BQE524281 BQE589817 BQE655353 BQE720889 BQE786425 BQE851961 BQE917497 BQE983033 BQI2:BQI3 BQI65526:BQI65527 BQI131062:BQI131063 BQI196598:BQI196599 BQI262134:BQI262135 BQI327670:BQI327671 BQI393206:BQI393207 BQI458742:BQI458743 BQI524278:BQI524279 BQI589814:BQI589815 BQI655350:BQI655351 BQI720886:BQI720887 BQI786422:BQI786423 BQI851958:BQI851959 BQI917494:BQI917495 BQI983030:BQI983031 CAA5 CAA65529 CAA131065 CAA196601 CAA262137 CAA327673 CAA393209 CAA458745 CAA524281 CAA589817 CAA655353 CAA720889 CAA786425 CAA851961 CAA917497 CAA983033 CAE2:CAE3 CAE65526:CAE65527 CAE131062:CAE131063 CAE196598:CAE196599 CAE262134:CAE262135 CAE327670:CAE327671 CAE393206:CAE393207 CAE458742:CAE458743 CAE524278:CAE524279 CAE589814:CAE589815 CAE655350:CAE655351 CAE720886:CAE720887 CAE786422:CAE786423 CAE851958:CAE851959 CAE917494:CAE917495 CAE983030:CAE983031 CJW5 CJW65529 CJW131065 CJW196601 CJW262137 CJW327673 CJW393209 CJW458745 CJW524281 CJW589817 CJW655353 CJW720889 CJW786425 CJW851961 CJW917497 CJW983033 CKA2:CKA3 CKA65526:CKA65527 CKA131062:CKA131063 CKA196598:CKA196599 CKA262134:CKA262135 CKA327670:CKA327671 CKA393206:CKA393207 CKA458742:CKA458743 CKA524278:CKA524279 CKA589814:CKA589815 CKA655350:CKA655351 CKA720886:CKA720887 CKA786422:CKA786423 CKA851958:CKA851959 CKA917494:CKA917495 CKA983030:CKA983031 CTS5 CTS65529 CTS131065 CTS196601 CTS262137 CTS327673 CTS393209 CTS458745 CTS524281 CTS589817 CTS655353 CTS720889 CTS786425 CTS851961 CTS917497 CTS983033 CTW2:CTW3 CTW65526:CTW65527 CTW131062:CTW131063 CTW196598:CTW196599 CTW262134:CTW262135 CTW327670:CTW327671 CTW393206:CTW393207 CTW458742:CTW458743 CTW524278:CTW524279 CTW589814:CTW589815 CTW655350:CTW655351 CTW720886:CTW720887 CTW786422:CTW786423 CTW851958:CTW851959 CTW917494:CTW917495 CTW983030:CTW983031 DDO5 DDO65529 DDO131065 DDO196601 DDO262137 DDO327673 DDO393209 DDO458745 DDO524281 DDO589817 DDO655353 DDO720889 DDO786425 DDO851961 DDO917497 DDO983033 DDS2:DDS3 DDS65526:DDS65527 DDS131062:DDS131063 DDS196598:DDS196599 DDS262134:DDS262135 DDS327670:DDS327671 DDS393206:DDS393207 DDS458742:DDS458743 DDS524278:DDS524279 DDS589814:DDS589815 DDS655350:DDS655351 DDS720886:DDS720887 DDS786422:DDS786423 DDS851958:DDS851959 DDS917494:DDS917495 DDS983030:DDS983031 DNK5 DNK65529 DNK131065 DNK196601 DNK262137 DNK327673 DNK393209 DNK458745 DNK524281 DNK589817 DNK655353 DNK720889 DNK786425 DNK851961 DNK917497 DNK983033 DNO2:DNO3 DNO65526:DNO65527 DNO131062:DNO131063 DNO196598:DNO196599 DNO262134:DNO262135 DNO327670:DNO327671 DNO393206:DNO393207 DNO458742:DNO458743 DNO524278:DNO524279 DNO589814:DNO589815 DNO655350:DNO655351 DNO720886:DNO720887 DNO786422:DNO786423 DNO851958:DNO851959 DNO917494:DNO917495 DNO983030:DNO983031 DXG5 DXG65529 DXG131065 DXG196601 DXG262137 DXG327673 DXG393209 DXG458745 DXG524281 DXG589817 DXG655353 DXG720889 DXG786425 DXG851961 DXG917497 DXG983033 DXK2:DXK3 DXK65526:DXK65527 DXK131062:DXK131063 DXK196598:DXK196599 DXK262134:DXK262135 DXK327670:DXK327671 DXK393206:DXK393207 DXK458742:DXK458743 DXK524278:DXK524279 DXK589814:DXK589815 DXK655350:DXK655351 DXK720886:DXK720887 DXK786422:DXK786423 DXK851958:DXK851959 DXK917494:DXK917495 DXK983030:DXK983031 EHC5 EHC65529 EHC131065 EHC196601 EHC262137 EHC327673 EHC393209 EHC458745 EHC524281 EHC589817 EHC655353 EHC720889 EHC786425 EHC851961 EHC917497 EHC983033 EHG2:EHG3 EHG65526:EHG65527 EHG131062:EHG131063 EHG196598:EHG196599 EHG262134:EHG262135 EHG327670:EHG327671 EHG393206:EHG393207 EHG458742:EHG458743 EHG524278:EHG524279 EHG589814:EHG589815 EHG655350:EHG655351 EHG720886:EHG720887 EHG786422:EHG786423 EHG851958:EHG851959 EHG917494:EHG917495 EHG983030:EHG983031 EQY5 EQY65529 EQY131065 EQY196601 EQY262137 EQY327673 EQY393209 EQY458745 EQY524281 EQY589817 EQY655353 EQY720889 EQY786425 EQY851961 EQY917497 EQY983033 ERC2:ERC3 ERC65526:ERC65527 ERC131062:ERC131063 ERC196598:ERC196599 ERC262134:ERC262135 ERC327670:ERC327671 ERC393206:ERC393207 ERC458742:ERC458743 ERC524278:ERC524279 ERC589814:ERC589815 ERC655350:ERC655351 ERC720886:ERC720887 ERC786422:ERC786423 ERC851958:ERC851959 ERC917494:ERC917495 ERC983030:ERC983031 FAU5 FAU65529 FAU131065 FAU196601 FAU262137 FAU327673 FAU393209 FAU458745 FAU524281 FAU589817 FAU655353 FAU720889 FAU786425 FAU851961 FAU917497 FAU983033 FAY2:FAY3 FAY65526:FAY65527 FAY131062:FAY131063 FAY196598:FAY196599 FAY262134:FAY262135 FAY327670:FAY327671 FAY393206:FAY393207 FAY458742:FAY458743 FAY524278:FAY524279 FAY589814:FAY589815 FAY655350:FAY655351 FAY720886:FAY720887 FAY786422:FAY786423 FAY851958:FAY851959 FAY917494:FAY917495 FAY983030:FAY983031 FKQ5 FKQ65529 FKQ131065 FKQ196601 FKQ262137 FKQ327673 FKQ393209 FKQ458745 FKQ524281 FKQ589817 FKQ655353 FKQ720889 FKQ786425 FKQ851961 FKQ917497 FKQ983033 FKU2:FKU3 FKU65526:FKU65527 FKU131062:FKU131063 FKU196598:FKU196599 FKU262134:FKU262135 FKU327670:FKU327671 FKU393206:FKU393207 FKU458742:FKU458743 FKU524278:FKU524279 FKU589814:FKU589815 FKU655350:FKU655351 FKU720886:FKU720887 FKU786422:FKU786423 FKU851958:FKU851959 FKU917494:FKU917495 FKU983030:FKU983031 FUM5 FUM65529 FUM131065 FUM196601 FUM262137 FUM327673 FUM393209 FUM458745 FUM524281 FUM589817 FUM655353 FUM720889 FUM786425 FUM851961 FUM917497 FUM983033 FUQ2:FUQ3 FUQ65526:FUQ65527 FUQ131062:FUQ131063 FUQ196598:FUQ196599 FUQ262134:FUQ262135 FUQ327670:FUQ327671 FUQ393206:FUQ393207 FUQ458742:FUQ458743 FUQ524278:FUQ524279 FUQ589814:FUQ589815 FUQ655350:FUQ655351 FUQ720886:FUQ720887 FUQ786422:FUQ786423 FUQ851958:FUQ851959 FUQ917494:FUQ917495 FUQ983030:FUQ983031 GEI5 GEI65529 GEI131065 GEI196601 GEI262137 GEI327673 GEI393209 GEI458745 GEI524281 GEI589817 GEI655353 GEI720889 GEI786425 GEI851961 GEI917497 GEI983033 GEM2:GEM3 GEM65526:GEM65527 GEM131062:GEM131063 GEM196598:GEM196599 GEM262134:GEM262135 GEM327670:GEM327671 GEM393206:GEM393207 GEM458742:GEM458743 GEM524278:GEM524279 GEM589814:GEM589815 GEM655350:GEM655351 GEM720886:GEM720887 GEM786422:GEM786423 GEM851958:GEM851959 GEM917494:GEM917495 GEM983030:GEM983031 GOE5 GOE65529 GOE131065 GOE196601 GOE262137 GOE327673 GOE393209 GOE458745 GOE524281 GOE589817 GOE655353 GOE720889 GOE786425 GOE851961 GOE917497 GOE983033 GOI2:GOI3 GOI65526:GOI65527 GOI131062:GOI131063 GOI196598:GOI196599 GOI262134:GOI262135 GOI327670:GOI327671 GOI393206:GOI393207 GOI458742:GOI458743 GOI524278:GOI524279 GOI589814:GOI589815 GOI655350:GOI655351 GOI720886:GOI720887 GOI786422:GOI786423 GOI851958:GOI851959 GOI917494:GOI917495 GOI983030:GOI983031 GYA5 GYA65529 GYA131065 GYA196601 GYA262137 GYA327673 GYA393209 GYA458745 GYA524281 GYA589817 GYA655353 GYA720889 GYA786425 GYA851961 GYA917497 GYA983033 GYE2:GYE3 GYE65526:GYE65527 GYE131062:GYE131063 GYE196598:GYE196599 GYE262134:GYE262135 GYE327670:GYE327671 GYE393206:GYE393207 GYE458742:GYE458743 GYE524278:GYE524279 GYE589814:GYE589815 GYE655350:GYE655351 GYE720886:GYE720887 GYE786422:GYE786423 GYE851958:GYE851959 GYE917494:GYE917495 GYE983030:GYE983031 HHW5 HHW65529 HHW131065 HHW196601 HHW262137 HHW327673 HHW393209 HHW458745 HHW524281 HHW589817 HHW655353 HHW720889 HHW786425 HHW851961 HHW917497 HHW983033 HIA2:HIA3 HIA65526:HIA65527 HIA131062:HIA131063 HIA196598:HIA196599 HIA262134:HIA262135 HIA327670:HIA327671 HIA393206:HIA393207 HIA458742:HIA458743 HIA524278:HIA524279 HIA589814:HIA589815 HIA655350:HIA655351 HIA720886:HIA720887 HIA786422:HIA786423 HIA851958:HIA851959 HIA917494:HIA917495 HIA983030:HIA983031 HRS5 HRS65529 HRS131065 HRS196601 HRS262137 HRS327673 HRS393209 HRS458745 HRS524281 HRS589817 HRS655353 HRS720889 HRS786425 HRS851961 HRS917497 HRS983033 HRW2:HRW3 HRW65526:HRW65527 HRW131062:HRW131063 HRW196598:HRW196599 HRW262134:HRW262135 HRW327670:HRW327671 HRW393206:HRW393207 HRW458742:HRW458743 HRW524278:HRW524279 HRW589814:HRW589815 HRW655350:HRW655351 HRW720886:HRW720887 HRW786422:HRW786423 HRW851958:HRW851959 HRW917494:HRW917495 HRW983030:HRW983031 IBO5 IBO65529 IBO131065 IBO196601 IBO262137 IBO327673 IBO393209 IBO458745 IBO524281 IBO589817 IBO655353 IBO720889 IBO786425 IBO851961 IBO917497 IBO983033 IBS2:IBS3 IBS65526:IBS65527 IBS131062:IBS131063 IBS196598:IBS196599 IBS262134:IBS262135 IBS327670:IBS327671 IBS393206:IBS393207 IBS458742:IBS458743 IBS524278:IBS524279 IBS589814:IBS589815 IBS655350:IBS655351 IBS720886:IBS720887 IBS786422:IBS786423 IBS851958:IBS851959 IBS917494:IBS917495 IBS983030:IBS983031 ILK5 ILK65529 ILK131065 ILK196601 ILK262137 ILK327673 ILK393209 ILK458745 ILK524281 ILK589817 ILK655353 ILK720889 ILK786425 ILK851961 ILK917497 ILK983033 ILO2:ILO3 ILO65526:ILO65527 ILO131062:ILO131063 ILO196598:ILO196599 ILO262134:ILO262135 ILO327670:ILO327671 ILO393206:ILO393207 ILO458742:ILO458743 ILO524278:ILO524279 ILO589814:ILO589815 ILO655350:ILO655351 ILO720886:ILO720887 ILO786422:ILO786423 ILO851958:ILO851959 ILO917494:ILO917495 ILO983030:ILO983031 IVG5 IVG65529 IVG131065 IVG196601 IVG262137 IVG327673 IVG393209 IVG458745 IVG524281 IVG589817 IVG655353 IVG720889 IVG786425 IVG851961 IVG917497 IVG983033 IVK2:IVK3 IVK65526:IVK65527 IVK131062:IVK131063 IVK196598:IVK196599 IVK262134:IVK262135 IVK327670:IVK327671 IVK393206:IVK393207 IVK458742:IVK458743 IVK524278:IVK524279 IVK589814:IVK589815 IVK655350:IVK655351 IVK720886:IVK720887 IVK786422:IVK786423 IVK851958:IVK851959 IVK917494:IVK917495 IVK983030:IVK983031 JFC5 JFC65529 JFC131065 JFC196601 JFC262137 JFC327673 JFC393209 JFC458745 JFC524281 JFC589817 JFC655353 JFC720889 JFC786425 JFC851961 JFC917497 JFC983033 JFG2:JFG3 JFG65526:JFG65527 JFG131062:JFG131063 JFG196598:JFG196599 JFG262134:JFG262135 JFG327670:JFG327671 JFG393206:JFG393207 JFG458742:JFG458743 JFG524278:JFG524279 JFG589814:JFG589815 JFG655350:JFG655351 JFG720886:JFG720887 JFG786422:JFG786423 JFG851958:JFG851959 JFG917494:JFG917495 JFG983030:JFG983031 JOY5 JOY65529 JOY131065 JOY196601 JOY262137 JOY327673 JOY393209 JOY458745 JOY524281 JOY589817 JOY655353 JOY720889 JOY786425 JOY851961 JOY917497 JOY983033 JPC2:JPC3 JPC65526:JPC65527 JPC131062:JPC131063 JPC196598:JPC196599 JPC262134:JPC262135 JPC327670:JPC327671 JPC393206:JPC393207 JPC458742:JPC458743 JPC524278:JPC524279 JPC589814:JPC589815 JPC655350:JPC655351 JPC720886:JPC720887 JPC786422:JPC786423 JPC851958:JPC851959 JPC917494:JPC917495 JPC983030:JPC983031 JYU5 JYU65529 JYU131065 JYU196601 JYU262137 JYU327673 JYU393209 JYU458745 JYU524281 JYU589817 JYU655353 JYU720889 JYU786425 JYU851961 JYU917497 JYU983033 JYY2:JYY3 JYY65526:JYY65527 JYY131062:JYY131063 JYY196598:JYY196599 JYY262134:JYY262135 JYY327670:JYY327671 JYY393206:JYY393207 JYY458742:JYY458743 JYY524278:JYY524279 JYY589814:JYY589815 JYY655350:JYY655351 JYY720886:JYY720887 JYY786422:JYY786423 JYY851958:JYY851959 JYY917494:JYY917495 JYY983030:JYY983031 KIQ5 KIQ65529 KIQ131065 KIQ196601 KIQ262137 KIQ327673 KIQ393209 KIQ458745 KIQ524281 KIQ589817 KIQ655353 KIQ720889 KIQ786425 KIQ851961 KIQ917497 KIQ983033 KIU2:KIU3 KIU65526:KIU65527 KIU131062:KIU131063 KIU196598:KIU196599 KIU262134:KIU262135 KIU327670:KIU327671 KIU393206:KIU393207 KIU458742:KIU458743 KIU524278:KIU524279 KIU589814:KIU589815 KIU655350:KIU655351 KIU720886:KIU720887 KIU786422:KIU786423 KIU851958:KIU851959 KIU917494:KIU917495 KIU983030:KIU983031 KSM5 KSM65529 KSM131065 KSM196601 KSM262137 KSM327673 KSM393209 KSM458745 KSM524281 KSM589817 KSM655353 KSM720889 KSM786425 KSM851961 KSM917497 KSM983033 KSQ2:KSQ3 KSQ65526:KSQ65527 KSQ131062:KSQ131063 KSQ196598:KSQ196599 KSQ262134:KSQ262135 KSQ327670:KSQ327671 KSQ393206:KSQ393207 KSQ458742:KSQ458743 KSQ524278:KSQ524279 KSQ589814:KSQ589815 KSQ655350:KSQ655351 KSQ720886:KSQ720887 KSQ786422:KSQ786423 KSQ851958:KSQ851959 KSQ917494:KSQ917495 KSQ983030:KSQ983031 LCI5 LCI65529 LCI131065 LCI196601 LCI262137 LCI327673 LCI393209 LCI458745 LCI524281 LCI589817 LCI655353 LCI720889 LCI786425 LCI851961 LCI917497 LCI983033 LCM2:LCM3 LCM65526:LCM65527 LCM131062:LCM131063 LCM196598:LCM196599 LCM262134:LCM262135 LCM327670:LCM327671 LCM393206:LCM393207 LCM458742:LCM458743 LCM524278:LCM524279 LCM589814:LCM589815 LCM655350:LCM655351 LCM720886:LCM720887 LCM786422:LCM786423 LCM851958:LCM851959 LCM917494:LCM917495 LCM983030:LCM983031 LME5 LME65529 LME131065 LME196601 LME262137 LME327673 LME393209 LME458745 LME524281 LME589817 LME655353 LME720889 LME786425 LME851961 LME917497 LME983033 LMI2:LMI3 LMI65526:LMI65527 LMI131062:LMI131063 LMI196598:LMI196599 LMI262134:LMI262135 LMI327670:LMI327671 LMI393206:LMI393207 LMI458742:LMI458743 LMI524278:LMI524279 LMI589814:LMI589815 LMI655350:LMI655351 LMI720886:LMI720887 LMI786422:LMI786423 LMI851958:LMI851959 LMI917494:LMI917495 LMI983030:LMI983031 LWA5 LWA65529 LWA131065 LWA196601 LWA262137 LWA327673 LWA393209 LWA458745 LWA524281 LWA589817 LWA655353 LWA720889 LWA786425 LWA851961 LWA917497 LWA983033 LWE2:LWE3 LWE65526:LWE65527 LWE131062:LWE131063 LWE196598:LWE196599 LWE262134:LWE262135 LWE327670:LWE327671 LWE393206:LWE393207 LWE458742:LWE458743 LWE524278:LWE524279 LWE589814:LWE589815 LWE655350:LWE655351 LWE720886:LWE720887 LWE786422:LWE786423 LWE851958:LWE851959 LWE917494:LWE917495 LWE983030:LWE983031 MFW5 MFW65529 MFW131065 MFW196601 MFW262137 MFW327673 MFW393209 MFW458745 MFW524281 MFW589817 MFW655353 MFW720889 MFW786425 MFW851961 MFW917497 MFW983033 MGA2:MGA3 MGA65526:MGA65527 MGA131062:MGA131063 MGA196598:MGA196599 MGA262134:MGA262135 MGA327670:MGA327671 MGA393206:MGA393207 MGA458742:MGA458743 MGA524278:MGA524279 MGA589814:MGA589815 MGA655350:MGA655351 MGA720886:MGA720887 MGA786422:MGA786423 MGA851958:MGA851959 MGA917494:MGA917495 MGA983030:MGA983031 MPS5 MPS65529 MPS131065 MPS196601 MPS262137 MPS327673 MPS393209 MPS458745 MPS524281 MPS589817 MPS655353 MPS720889 MPS786425 MPS851961 MPS917497 MPS983033 MPW2:MPW3 MPW65526:MPW65527 MPW131062:MPW131063 MPW196598:MPW196599 MPW262134:MPW262135 MPW327670:MPW327671 MPW393206:MPW393207 MPW458742:MPW458743 MPW524278:MPW524279 MPW589814:MPW589815 MPW655350:MPW655351 MPW720886:MPW720887 MPW786422:MPW786423 MPW851958:MPW851959 MPW917494:MPW917495 MPW983030:MPW983031 MZO5 MZO65529 MZO131065 MZO196601 MZO262137 MZO327673 MZO393209 MZO458745 MZO524281 MZO589817 MZO655353 MZO720889 MZO786425 MZO851961 MZO917497 MZO983033 MZS2:MZS3 MZS65526:MZS65527 MZS131062:MZS131063 MZS196598:MZS196599 MZS262134:MZS262135 MZS327670:MZS327671 MZS393206:MZS393207 MZS458742:MZS458743 MZS524278:MZS524279 MZS589814:MZS589815 MZS655350:MZS655351 MZS720886:MZS720887 MZS786422:MZS786423 MZS851958:MZS851959 MZS917494:MZS917495 MZS983030:MZS983031 NJK5 NJK65529 NJK131065 NJK196601 NJK262137 NJK327673 NJK393209 NJK458745 NJK524281 NJK589817 NJK655353 NJK720889 NJK786425 NJK851961 NJK917497 NJK983033 NJO2:NJO3 NJO65526:NJO65527 NJO131062:NJO131063 NJO196598:NJO196599 NJO262134:NJO262135 NJO327670:NJO327671 NJO393206:NJO393207 NJO458742:NJO458743 NJO524278:NJO524279 NJO589814:NJO589815 NJO655350:NJO655351 NJO720886:NJO720887 NJO786422:NJO786423 NJO851958:NJO851959 NJO917494:NJO917495 NJO983030:NJO983031 NTG5 NTG65529 NTG131065 NTG196601 NTG262137 NTG327673 NTG393209 NTG458745 NTG524281 NTG589817 NTG655353 NTG720889 NTG786425 NTG851961 NTG917497 NTG983033 NTK2:NTK3 NTK65526:NTK65527 NTK131062:NTK131063 NTK196598:NTK196599 NTK262134:NTK262135 NTK327670:NTK327671 NTK393206:NTK393207 NTK458742:NTK458743 NTK524278:NTK524279 NTK589814:NTK589815 NTK655350:NTK655351 NTK720886:NTK720887 NTK786422:NTK786423 NTK851958:NTK851959 NTK917494:NTK917495 NTK983030:NTK983031 ODC5 ODC65529 ODC131065 ODC196601 ODC262137 ODC327673 ODC393209 ODC458745 ODC524281 ODC589817 ODC655353 ODC720889 ODC786425 ODC851961 ODC917497 ODC983033 ODG2:ODG3 ODG65526:ODG65527 ODG131062:ODG131063 ODG196598:ODG196599 ODG262134:ODG262135 ODG327670:ODG327671 ODG393206:ODG393207 ODG458742:ODG458743 ODG524278:ODG524279 ODG589814:ODG589815 ODG655350:ODG655351 ODG720886:ODG720887 ODG786422:ODG786423 ODG851958:ODG851959 ODG917494:ODG917495 ODG983030:ODG983031 OMY5 OMY65529 OMY131065 OMY196601 OMY262137 OMY327673 OMY393209 OMY458745 OMY524281 OMY589817 OMY655353 OMY720889 OMY786425 OMY851961 OMY917497 OMY983033 ONC2:ONC3 ONC65526:ONC65527 ONC131062:ONC131063 ONC196598:ONC196599 ONC262134:ONC262135 ONC327670:ONC327671 ONC393206:ONC393207 ONC458742:ONC458743 ONC524278:ONC524279 ONC589814:ONC589815 ONC655350:ONC655351 ONC720886:ONC720887 ONC786422:ONC786423 ONC851958:ONC851959 ONC917494:ONC917495 ONC983030:ONC983031 OWU5 OWU65529 OWU131065 OWU196601 OWU262137 OWU327673 OWU393209 OWU458745 OWU524281 OWU589817 OWU655353 OWU720889 OWU786425 OWU851961 OWU917497 OWU983033 OWY2:OWY3 OWY65526:OWY65527 OWY131062:OWY131063 OWY196598:OWY196599 OWY262134:OWY262135 OWY327670:OWY327671 OWY393206:OWY393207 OWY458742:OWY458743 OWY524278:OWY524279 OWY589814:OWY589815 OWY655350:OWY655351 OWY720886:OWY720887 OWY786422:OWY786423 OWY851958:OWY851959 OWY917494:OWY917495 OWY983030:OWY983031 PGQ5 PGQ65529 PGQ131065 PGQ196601 PGQ262137 PGQ327673 PGQ393209 PGQ458745 PGQ524281 PGQ589817 PGQ655353 PGQ720889 PGQ786425 PGQ851961 PGQ917497 PGQ983033 PGU2:PGU3 PGU65526:PGU65527 PGU131062:PGU131063 PGU196598:PGU196599 PGU262134:PGU262135 PGU327670:PGU327671 PGU393206:PGU393207 PGU458742:PGU458743 PGU524278:PGU524279 PGU589814:PGU589815 PGU655350:PGU655351 PGU720886:PGU720887 PGU786422:PGU786423 PGU851958:PGU851959 PGU917494:PGU917495 PGU983030:PGU983031 PQM5 PQM65529 PQM131065 PQM196601 PQM262137 PQM327673 PQM393209 PQM458745 PQM524281 PQM589817 PQM655353 PQM720889 PQM786425 PQM851961 PQM917497 PQM983033 PQQ2:PQQ3 PQQ65526:PQQ65527 PQQ131062:PQQ131063 PQQ196598:PQQ196599 PQQ262134:PQQ262135 PQQ327670:PQQ327671 PQQ393206:PQQ393207 PQQ458742:PQQ458743 PQQ524278:PQQ524279 PQQ589814:PQQ589815 PQQ655350:PQQ655351 PQQ720886:PQQ720887 PQQ786422:PQQ786423 PQQ851958:PQQ851959 PQQ917494:PQQ917495 PQQ983030:PQQ983031 QAI5 QAI65529 QAI131065 QAI196601 QAI262137 QAI327673 QAI393209 QAI458745 QAI524281 QAI589817 QAI655353 QAI720889 QAI786425 QAI851961 QAI917497 QAI983033 QAM2:QAM3 QAM65526:QAM65527 QAM131062:QAM131063 QAM196598:QAM196599 QAM262134:QAM262135 QAM327670:QAM327671 QAM393206:QAM393207 QAM458742:QAM458743 QAM524278:QAM524279 QAM589814:QAM589815 QAM655350:QAM655351 QAM720886:QAM720887 QAM786422:QAM786423 QAM851958:QAM851959 QAM917494:QAM917495 QAM983030:QAM983031 QKE5 QKE65529 QKE131065 QKE196601 QKE262137 QKE327673 QKE393209 QKE458745 QKE524281 QKE589817 QKE655353 QKE720889 QKE786425 QKE851961 QKE917497 QKE983033 QKI2:QKI3 QKI65526:QKI65527 QKI131062:QKI131063 QKI196598:QKI196599 QKI262134:QKI262135 QKI327670:QKI327671 QKI393206:QKI393207 QKI458742:QKI458743 QKI524278:QKI524279 QKI589814:QKI589815 QKI655350:QKI655351 QKI720886:QKI720887 QKI786422:QKI786423 QKI851958:QKI851959 QKI917494:QKI917495 QKI983030:QKI983031 QUA5 QUA65529 QUA131065 QUA196601 QUA262137 QUA327673 QUA393209 QUA458745 QUA524281 QUA589817 QUA655353 QUA720889 QUA786425 QUA851961 QUA917497 QUA983033 QUE2:QUE3 QUE65526:QUE65527 QUE131062:QUE131063 QUE196598:QUE196599 QUE262134:QUE262135 QUE327670:QUE327671 QUE393206:QUE393207 QUE458742:QUE458743 QUE524278:QUE524279 QUE589814:QUE589815 QUE655350:QUE655351 QUE720886:QUE720887 QUE786422:QUE786423 QUE851958:QUE851959 QUE917494:QUE917495 QUE983030:QUE983031 RDW5 RDW65529 RDW131065 RDW196601 RDW262137 RDW327673 RDW393209 RDW458745 RDW524281 RDW589817 RDW655353 RDW720889 RDW786425 RDW851961 RDW917497 RDW983033 REA2:REA3 REA65526:REA65527 REA131062:REA131063 REA196598:REA196599 REA262134:REA262135 REA327670:REA327671 REA393206:REA393207 REA458742:REA458743 REA524278:REA524279 REA589814:REA589815 REA655350:REA655351 REA720886:REA720887 REA786422:REA786423 REA851958:REA851959 REA917494:REA917495 REA983030:REA983031 RNS5 RNS65529 RNS131065 RNS196601 RNS262137 RNS327673 RNS393209 RNS458745 RNS524281 RNS589817 RNS655353 RNS720889 RNS786425 RNS851961 RNS917497 RNS983033 RNW2:RNW3 RNW65526:RNW65527 RNW131062:RNW131063 RNW196598:RNW196599 RNW262134:RNW262135 RNW327670:RNW327671 RNW393206:RNW393207 RNW458742:RNW458743 RNW524278:RNW524279 RNW589814:RNW589815 RNW655350:RNW655351 RNW720886:RNW720887 RNW786422:RNW786423 RNW851958:RNW851959 RNW917494:RNW917495 RNW983030:RNW983031 RXO5 RXO65529 RXO131065 RXO196601 RXO262137 RXO327673 RXO393209 RXO458745 RXO524281 RXO589817 RXO655353 RXO720889 RXO786425 RXO851961 RXO917497 RXO983033 RXS2:RXS3 RXS65526:RXS65527 RXS131062:RXS131063 RXS196598:RXS196599 RXS262134:RXS262135 RXS327670:RXS327671 RXS393206:RXS393207 RXS458742:RXS458743 RXS524278:RXS524279 RXS589814:RXS589815 RXS655350:RXS655351 RXS720886:RXS720887 RXS786422:RXS786423 RXS851958:RXS851959 RXS917494:RXS917495 RXS983030:RXS983031 SHK5 SHK65529 SHK131065 SHK196601 SHK262137 SHK327673 SHK393209 SHK458745 SHK524281 SHK589817 SHK655353 SHK720889 SHK786425 SHK851961 SHK917497 SHK983033 SHO2:SHO3 SHO65526:SHO65527 SHO131062:SHO131063 SHO196598:SHO196599 SHO262134:SHO262135 SHO327670:SHO327671 SHO393206:SHO393207 SHO458742:SHO458743 SHO524278:SHO524279 SHO589814:SHO589815 SHO655350:SHO655351 SHO720886:SHO720887 SHO786422:SHO786423 SHO851958:SHO851959 SHO917494:SHO917495 SHO983030:SHO983031 SRG5 SRG65529 SRG131065 SRG196601 SRG262137 SRG327673 SRG393209 SRG458745 SRG524281 SRG589817 SRG655353 SRG720889 SRG786425 SRG851961 SRG917497 SRG983033 SRK2:SRK3 SRK65526:SRK65527 SRK131062:SRK131063 SRK196598:SRK196599 SRK262134:SRK262135 SRK327670:SRK327671 SRK393206:SRK393207 SRK458742:SRK458743 SRK524278:SRK524279 SRK589814:SRK589815 SRK655350:SRK655351 SRK720886:SRK720887 SRK786422:SRK786423 SRK851958:SRK851959 SRK917494:SRK917495 SRK983030:SRK983031 TBC5 TBC65529 TBC131065 TBC196601 TBC262137 TBC327673 TBC393209 TBC458745 TBC524281 TBC589817 TBC655353 TBC720889 TBC786425 TBC851961 TBC917497 TBC983033 TBG2:TBG3 TBG65526:TBG65527 TBG131062:TBG131063 TBG196598:TBG196599 TBG262134:TBG262135 TBG327670:TBG327671 TBG393206:TBG393207 TBG458742:TBG458743 TBG524278:TBG524279 TBG589814:TBG589815 TBG655350:TBG655351 TBG720886:TBG720887 TBG786422:TBG786423 TBG851958:TBG851959 TBG917494:TBG917495 TBG983030:TBG983031 TKY5 TKY65529 TKY131065 TKY196601 TKY262137 TKY327673 TKY393209 TKY458745 TKY524281 TKY589817 TKY655353 TKY720889 TKY786425 TKY851961 TKY917497 TKY983033 TLC2:TLC3 TLC65526:TLC65527 TLC131062:TLC131063 TLC196598:TLC196599 TLC262134:TLC262135 TLC327670:TLC327671 TLC393206:TLC393207 TLC458742:TLC458743 TLC524278:TLC524279 TLC589814:TLC589815 TLC655350:TLC655351 TLC720886:TLC720887 TLC786422:TLC786423 TLC851958:TLC851959 TLC917494:TLC917495 TLC983030:TLC983031 TUU5 TUU65529 TUU131065 TUU196601 TUU262137 TUU327673 TUU393209 TUU458745 TUU524281 TUU589817 TUU655353 TUU720889 TUU786425 TUU851961 TUU917497 TUU983033 TUY2:TUY3 TUY65526:TUY65527 TUY131062:TUY131063 TUY196598:TUY196599 TUY262134:TUY262135 TUY327670:TUY327671 TUY393206:TUY393207 TUY458742:TUY458743 TUY524278:TUY524279 TUY589814:TUY589815 TUY655350:TUY655351 TUY720886:TUY720887 TUY786422:TUY786423 TUY851958:TUY851959 TUY917494:TUY917495 TUY983030:TUY983031 UEQ5 UEQ65529 UEQ131065 UEQ196601 UEQ262137 UEQ327673 UEQ393209 UEQ458745 UEQ524281 UEQ589817 UEQ655353 UEQ720889 UEQ786425 UEQ851961 UEQ917497 UEQ983033 UEU2:UEU3 UEU65526:UEU65527 UEU131062:UEU131063 UEU196598:UEU196599 UEU262134:UEU262135 UEU327670:UEU327671 UEU393206:UEU393207 UEU458742:UEU458743 UEU524278:UEU524279 UEU589814:UEU589815 UEU655350:UEU655351 UEU720886:UEU720887 UEU786422:UEU786423 UEU851958:UEU851959 UEU917494:UEU917495 UEU983030:UEU983031 UOM5 UOM65529 UOM131065 UOM196601 UOM262137 UOM327673 UOM393209 UOM458745 UOM524281 UOM589817 UOM655353 UOM720889 UOM786425 UOM851961 UOM917497 UOM983033 UOQ2:UOQ3 UOQ65526:UOQ65527 UOQ131062:UOQ131063 UOQ196598:UOQ196599 UOQ262134:UOQ262135 UOQ327670:UOQ327671 UOQ393206:UOQ393207 UOQ458742:UOQ458743 UOQ524278:UOQ524279 UOQ589814:UOQ589815 UOQ655350:UOQ655351 UOQ720886:UOQ720887 UOQ786422:UOQ786423 UOQ851958:UOQ851959 UOQ917494:UOQ917495 UOQ983030:UOQ983031 UYI5 UYI65529 UYI131065 UYI196601 UYI262137 UYI327673 UYI393209 UYI458745 UYI524281 UYI589817 UYI655353 UYI720889 UYI786425 UYI851961 UYI917497 UYI983033 UYM2:UYM3 UYM65526:UYM65527 UYM131062:UYM131063 UYM196598:UYM196599 UYM262134:UYM262135 UYM327670:UYM327671 UYM393206:UYM393207 UYM458742:UYM458743 UYM524278:UYM524279 UYM589814:UYM589815 UYM655350:UYM655351 UYM720886:UYM720887 UYM786422:UYM786423 UYM851958:UYM851959 UYM917494:UYM917495 UYM983030:UYM983031 VIE5 VIE65529 VIE131065 VIE196601 VIE262137 VIE327673 VIE393209 VIE458745 VIE524281 VIE589817 VIE655353 VIE720889 VIE786425 VIE851961 VIE917497 VIE983033 VII2:VII3 VII65526:VII65527 VII131062:VII131063 VII196598:VII196599 VII262134:VII262135 VII327670:VII327671 VII393206:VII393207 VII458742:VII458743 VII524278:VII524279 VII589814:VII589815 VII655350:VII655351 VII720886:VII720887 VII786422:VII786423 VII851958:VII851959 VII917494:VII917495 VII983030:VII983031 VSA5 VSA65529 VSA131065 VSA196601 VSA262137 VSA327673 VSA393209 VSA458745 VSA524281 VSA589817 VSA655353 VSA720889 VSA786425 VSA851961 VSA917497 VSA983033 VSE2:VSE3 VSE65526:VSE65527 VSE131062:VSE131063 VSE196598:VSE196599 VSE262134:VSE262135 VSE327670:VSE327671 VSE393206:VSE393207 VSE458742:VSE458743 VSE524278:VSE524279 VSE589814:VSE589815 VSE655350:VSE655351 VSE720886:VSE720887 VSE786422:VSE786423 VSE851958:VSE851959 VSE917494:VSE917495 VSE983030:VSE983031 WBW5 WBW65529 WBW131065 WBW196601 WBW262137 WBW327673 WBW393209 WBW458745 WBW524281 WBW589817 WBW655353 WBW720889 WBW786425 WBW851961 WBW917497 WBW983033 WCA2:WCA3 WCA65526:WCA65527 WCA131062:WCA131063 WCA196598:WCA196599 WCA262134:WCA262135 WCA327670:WCA327671 WCA393206:WCA393207 WCA458742:WCA458743 WCA524278:WCA524279 WCA589814:WCA589815 WCA655350:WCA655351 WCA720886:WCA720887 WCA786422:WCA786423 WCA851958:WCA851959 WCA917494:WCA917495 WCA983030:WCA983031 WLS5 WLS65529 WLS131065 WLS196601 WLS262137 WLS327673 WLS393209 WLS458745 WLS524281 WLS589817 WLS655353 WLS720889 WLS786425 WLS851961 WLS917497 WLS983033 WLW2:WLW3 WLW65526:WLW65527 WLW131062:WLW131063 WLW196598:WLW196599 WLW262134:WLW262135 WLW327670:WLW327671 WLW393206:WLW393207 WLW458742:WLW458743 WLW524278:WLW524279 WLW589814:WLW589815 WLW655350:WLW655351 WLW720886:WLW720887 WLW786422:WLW786423 WLW851958:WLW851959 WLW917494:WLW917495 WLW983030:WLW983031 WVO5 WVO65529 WVO131065 WVO196601 WVO262137 WVO327673 WVO393209 WVO458745 WVO524281 WVO589817 WVO655353 WVO720889 WVO786425 WVO851961 WVO917497 WVO983033 WVS2:WVS3 WVS65526:WVS65527 WVS131062:WVS131063 WVS196598:WVS196599 WVS262134:WVS262135 WVS327670:WVS327671 WVS393206:WVS393207 WVS458742:WVS458743 WVS524278:WVS524279 WVS589814:WVS589815 WVS655350:WVS655351 WVS720886:WVS720887 WVS786422:WVS786423 WVS851958:WVS851959 WVS917494:WVS917495 WVS983030:WVS983031" xr:uid="{00000000-0002-0000-0700-000007000000}"/>
    <dataValidation allowBlank="1" showInputMessage="1" showErrorMessage="1" promptTitle="Unit" prompt="Unit of the exchange (elementary flow or intermediate product flow)." sqref="F6 F65530 F131066 F196602 F262138 F327674 F393210 F458746 F524282 F589818 F655354 F720890 F786426 F851962 F917498 F983034 K2:K3 K65526:K65527 K131062:K131063 K196598:K196599 K262134:K262135 K327670:K327671 K393206:K393207 K458742:K458743 K524278:K524279 K589814:K589815 K655350:K655351 K720886:K720887 K786422:K786423 K851958:K851959 K917494:K917495 K983030:K983031 JC6 JC65530 JC131066 JC196602 JC262138 JC327674 JC393210 JC458746 JC524282 JC589818 JC655354 JC720890 JC786426 JC851962 JC917498 JC983034 JH2:JH3 JH65526:JH65527 JH131062:JH131063 JH196598:JH196599 JH262134:JH262135 JH327670:JH327671 JH393206:JH393207 JH458742:JH458743 JH524278:JH524279 JH589814:JH589815 JH655350:JH655351 JH720886:JH720887 JH786422:JH786423 JH851958:JH851959 JH917494:JH917495 JH983030:JH983031 SY6 SY65530 SY131066 SY196602 SY262138 SY327674 SY393210 SY458746 SY524282 SY589818 SY655354 SY720890 SY786426 SY851962 SY917498 SY983034 TD2:TD3 TD65526:TD65527 TD131062:TD131063 TD196598:TD196599 TD262134:TD262135 TD327670:TD327671 TD393206:TD393207 TD458742:TD458743 TD524278:TD524279 TD589814:TD589815 TD655350:TD655351 TD720886:TD720887 TD786422:TD786423 TD851958:TD851959 TD917494:TD917495 TD983030:TD983031 ACU6 ACU65530 ACU131066 ACU196602 ACU262138 ACU327674 ACU393210 ACU458746 ACU524282 ACU589818 ACU655354 ACU720890 ACU786426 ACU851962 ACU917498 ACU983034 ACZ2:ACZ3 ACZ65526:ACZ65527 ACZ131062:ACZ131063 ACZ196598:ACZ196599 ACZ262134:ACZ262135 ACZ327670:ACZ327671 ACZ393206:ACZ393207 ACZ458742:ACZ458743 ACZ524278:ACZ524279 ACZ589814:ACZ589815 ACZ655350:ACZ655351 ACZ720886:ACZ720887 ACZ786422:ACZ786423 ACZ851958:ACZ851959 ACZ917494:ACZ917495 ACZ983030:ACZ983031 AMQ6 AMQ65530 AMQ131066 AMQ196602 AMQ262138 AMQ327674 AMQ393210 AMQ458746 AMQ524282 AMQ589818 AMQ655354 AMQ720890 AMQ786426 AMQ851962 AMQ917498 AMQ983034 AMV2:AMV3 AMV65526:AMV65527 AMV131062:AMV131063 AMV196598:AMV196599 AMV262134:AMV262135 AMV327670:AMV327671 AMV393206:AMV393207 AMV458742:AMV458743 AMV524278:AMV524279 AMV589814:AMV589815 AMV655350:AMV655351 AMV720886:AMV720887 AMV786422:AMV786423 AMV851958:AMV851959 AMV917494:AMV917495 AMV983030:AMV983031 AWM6 AWM65530 AWM131066 AWM196602 AWM262138 AWM327674 AWM393210 AWM458746 AWM524282 AWM589818 AWM655354 AWM720890 AWM786426 AWM851962 AWM917498 AWM983034 AWR2:AWR3 AWR65526:AWR65527 AWR131062:AWR131063 AWR196598:AWR196599 AWR262134:AWR262135 AWR327670:AWR327671 AWR393206:AWR393207 AWR458742:AWR458743 AWR524278:AWR524279 AWR589814:AWR589815 AWR655350:AWR655351 AWR720886:AWR720887 AWR786422:AWR786423 AWR851958:AWR851959 AWR917494:AWR917495 AWR983030:AWR983031 BGI6 BGI65530 BGI131066 BGI196602 BGI262138 BGI327674 BGI393210 BGI458746 BGI524282 BGI589818 BGI655354 BGI720890 BGI786426 BGI851962 BGI917498 BGI983034 BGN2:BGN3 BGN65526:BGN65527 BGN131062:BGN131063 BGN196598:BGN196599 BGN262134:BGN262135 BGN327670:BGN327671 BGN393206:BGN393207 BGN458742:BGN458743 BGN524278:BGN524279 BGN589814:BGN589815 BGN655350:BGN655351 BGN720886:BGN720887 BGN786422:BGN786423 BGN851958:BGN851959 BGN917494:BGN917495 BGN983030:BGN983031 BQE6 BQE65530 BQE131066 BQE196602 BQE262138 BQE327674 BQE393210 BQE458746 BQE524282 BQE589818 BQE655354 BQE720890 BQE786426 BQE851962 BQE917498 BQE983034 BQJ2:BQJ3 BQJ65526:BQJ65527 BQJ131062:BQJ131063 BQJ196598:BQJ196599 BQJ262134:BQJ262135 BQJ327670:BQJ327671 BQJ393206:BQJ393207 BQJ458742:BQJ458743 BQJ524278:BQJ524279 BQJ589814:BQJ589815 BQJ655350:BQJ655351 BQJ720886:BQJ720887 BQJ786422:BQJ786423 BQJ851958:BQJ851959 BQJ917494:BQJ917495 BQJ983030:BQJ983031 CAA6 CAA65530 CAA131066 CAA196602 CAA262138 CAA327674 CAA393210 CAA458746 CAA524282 CAA589818 CAA655354 CAA720890 CAA786426 CAA851962 CAA917498 CAA983034 CAF2:CAF3 CAF65526:CAF65527 CAF131062:CAF131063 CAF196598:CAF196599 CAF262134:CAF262135 CAF327670:CAF327671 CAF393206:CAF393207 CAF458742:CAF458743 CAF524278:CAF524279 CAF589814:CAF589815 CAF655350:CAF655351 CAF720886:CAF720887 CAF786422:CAF786423 CAF851958:CAF851959 CAF917494:CAF917495 CAF983030:CAF983031 CJW6 CJW65530 CJW131066 CJW196602 CJW262138 CJW327674 CJW393210 CJW458746 CJW524282 CJW589818 CJW655354 CJW720890 CJW786426 CJW851962 CJW917498 CJW983034 CKB2:CKB3 CKB65526:CKB65527 CKB131062:CKB131063 CKB196598:CKB196599 CKB262134:CKB262135 CKB327670:CKB327671 CKB393206:CKB393207 CKB458742:CKB458743 CKB524278:CKB524279 CKB589814:CKB589815 CKB655350:CKB655351 CKB720886:CKB720887 CKB786422:CKB786423 CKB851958:CKB851959 CKB917494:CKB917495 CKB983030:CKB983031 CTS6 CTS65530 CTS131066 CTS196602 CTS262138 CTS327674 CTS393210 CTS458746 CTS524282 CTS589818 CTS655354 CTS720890 CTS786426 CTS851962 CTS917498 CTS983034 CTX2:CTX3 CTX65526:CTX65527 CTX131062:CTX131063 CTX196598:CTX196599 CTX262134:CTX262135 CTX327670:CTX327671 CTX393206:CTX393207 CTX458742:CTX458743 CTX524278:CTX524279 CTX589814:CTX589815 CTX655350:CTX655351 CTX720886:CTX720887 CTX786422:CTX786423 CTX851958:CTX851959 CTX917494:CTX917495 CTX983030:CTX983031 DDO6 DDO65530 DDO131066 DDO196602 DDO262138 DDO327674 DDO393210 DDO458746 DDO524282 DDO589818 DDO655354 DDO720890 DDO786426 DDO851962 DDO917498 DDO983034 DDT2:DDT3 DDT65526:DDT65527 DDT131062:DDT131063 DDT196598:DDT196599 DDT262134:DDT262135 DDT327670:DDT327671 DDT393206:DDT393207 DDT458742:DDT458743 DDT524278:DDT524279 DDT589814:DDT589815 DDT655350:DDT655351 DDT720886:DDT720887 DDT786422:DDT786423 DDT851958:DDT851959 DDT917494:DDT917495 DDT983030:DDT983031 DNK6 DNK65530 DNK131066 DNK196602 DNK262138 DNK327674 DNK393210 DNK458746 DNK524282 DNK589818 DNK655354 DNK720890 DNK786426 DNK851962 DNK917498 DNK983034 DNP2:DNP3 DNP65526:DNP65527 DNP131062:DNP131063 DNP196598:DNP196599 DNP262134:DNP262135 DNP327670:DNP327671 DNP393206:DNP393207 DNP458742:DNP458743 DNP524278:DNP524279 DNP589814:DNP589815 DNP655350:DNP655351 DNP720886:DNP720887 DNP786422:DNP786423 DNP851958:DNP851959 DNP917494:DNP917495 DNP983030:DNP983031 DXG6 DXG65530 DXG131066 DXG196602 DXG262138 DXG327674 DXG393210 DXG458746 DXG524282 DXG589818 DXG655354 DXG720890 DXG786426 DXG851962 DXG917498 DXG983034 DXL2:DXL3 DXL65526:DXL65527 DXL131062:DXL131063 DXL196598:DXL196599 DXL262134:DXL262135 DXL327670:DXL327671 DXL393206:DXL393207 DXL458742:DXL458743 DXL524278:DXL524279 DXL589814:DXL589815 DXL655350:DXL655351 DXL720886:DXL720887 DXL786422:DXL786423 DXL851958:DXL851959 DXL917494:DXL917495 DXL983030:DXL983031 EHC6 EHC65530 EHC131066 EHC196602 EHC262138 EHC327674 EHC393210 EHC458746 EHC524282 EHC589818 EHC655354 EHC720890 EHC786426 EHC851962 EHC917498 EHC983034 EHH2:EHH3 EHH65526:EHH65527 EHH131062:EHH131063 EHH196598:EHH196599 EHH262134:EHH262135 EHH327670:EHH327671 EHH393206:EHH393207 EHH458742:EHH458743 EHH524278:EHH524279 EHH589814:EHH589815 EHH655350:EHH655351 EHH720886:EHH720887 EHH786422:EHH786423 EHH851958:EHH851959 EHH917494:EHH917495 EHH983030:EHH983031 EQY6 EQY65530 EQY131066 EQY196602 EQY262138 EQY327674 EQY393210 EQY458746 EQY524282 EQY589818 EQY655354 EQY720890 EQY786426 EQY851962 EQY917498 EQY983034 ERD2:ERD3 ERD65526:ERD65527 ERD131062:ERD131063 ERD196598:ERD196599 ERD262134:ERD262135 ERD327670:ERD327671 ERD393206:ERD393207 ERD458742:ERD458743 ERD524278:ERD524279 ERD589814:ERD589815 ERD655350:ERD655351 ERD720886:ERD720887 ERD786422:ERD786423 ERD851958:ERD851959 ERD917494:ERD917495 ERD983030:ERD983031 FAU6 FAU65530 FAU131066 FAU196602 FAU262138 FAU327674 FAU393210 FAU458746 FAU524282 FAU589818 FAU655354 FAU720890 FAU786426 FAU851962 FAU917498 FAU983034 FAZ2:FAZ3 FAZ65526:FAZ65527 FAZ131062:FAZ131063 FAZ196598:FAZ196599 FAZ262134:FAZ262135 FAZ327670:FAZ327671 FAZ393206:FAZ393207 FAZ458742:FAZ458743 FAZ524278:FAZ524279 FAZ589814:FAZ589815 FAZ655350:FAZ655351 FAZ720886:FAZ720887 FAZ786422:FAZ786423 FAZ851958:FAZ851959 FAZ917494:FAZ917495 FAZ983030:FAZ983031 FKQ6 FKQ65530 FKQ131066 FKQ196602 FKQ262138 FKQ327674 FKQ393210 FKQ458746 FKQ524282 FKQ589818 FKQ655354 FKQ720890 FKQ786426 FKQ851962 FKQ917498 FKQ983034 FKV2:FKV3 FKV65526:FKV65527 FKV131062:FKV131063 FKV196598:FKV196599 FKV262134:FKV262135 FKV327670:FKV327671 FKV393206:FKV393207 FKV458742:FKV458743 FKV524278:FKV524279 FKV589814:FKV589815 FKV655350:FKV655351 FKV720886:FKV720887 FKV786422:FKV786423 FKV851958:FKV851959 FKV917494:FKV917495 FKV983030:FKV983031 FUM6 FUM65530 FUM131066 FUM196602 FUM262138 FUM327674 FUM393210 FUM458746 FUM524282 FUM589818 FUM655354 FUM720890 FUM786426 FUM851962 FUM917498 FUM983034 FUR2:FUR3 FUR65526:FUR65527 FUR131062:FUR131063 FUR196598:FUR196599 FUR262134:FUR262135 FUR327670:FUR327671 FUR393206:FUR393207 FUR458742:FUR458743 FUR524278:FUR524279 FUR589814:FUR589815 FUR655350:FUR655351 FUR720886:FUR720887 FUR786422:FUR786423 FUR851958:FUR851959 FUR917494:FUR917495 FUR983030:FUR983031 GEI6 GEI65530 GEI131066 GEI196602 GEI262138 GEI327674 GEI393210 GEI458746 GEI524282 GEI589818 GEI655354 GEI720890 GEI786426 GEI851962 GEI917498 GEI983034 GEN2:GEN3 GEN65526:GEN65527 GEN131062:GEN131063 GEN196598:GEN196599 GEN262134:GEN262135 GEN327670:GEN327671 GEN393206:GEN393207 GEN458742:GEN458743 GEN524278:GEN524279 GEN589814:GEN589815 GEN655350:GEN655351 GEN720886:GEN720887 GEN786422:GEN786423 GEN851958:GEN851959 GEN917494:GEN917495 GEN983030:GEN983031 GOE6 GOE65530 GOE131066 GOE196602 GOE262138 GOE327674 GOE393210 GOE458746 GOE524282 GOE589818 GOE655354 GOE720890 GOE786426 GOE851962 GOE917498 GOE983034 GOJ2:GOJ3 GOJ65526:GOJ65527 GOJ131062:GOJ131063 GOJ196598:GOJ196599 GOJ262134:GOJ262135 GOJ327670:GOJ327671 GOJ393206:GOJ393207 GOJ458742:GOJ458743 GOJ524278:GOJ524279 GOJ589814:GOJ589815 GOJ655350:GOJ655351 GOJ720886:GOJ720887 GOJ786422:GOJ786423 GOJ851958:GOJ851959 GOJ917494:GOJ917495 GOJ983030:GOJ983031 GYA6 GYA65530 GYA131066 GYA196602 GYA262138 GYA327674 GYA393210 GYA458746 GYA524282 GYA589818 GYA655354 GYA720890 GYA786426 GYA851962 GYA917498 GYA983034 GYF2:GYF3 GYF65526:GYF65527 GYF131062:GYF131063 GYF196598:GYF196599 GYF262134:GYF262135 GYF327670:GYF327671 GYF393206:GYF393207 GYF458742:GYF458743 GYF524278:GYF524279 GYF589814:GYF589815 GYF655350:GYF655351 GYF720886:GYF720887 GYF786422:GYF786423 GYF851958:GYF851959 GYF917494:GYF917495 GYF983030:GYF983031 HHW6 HHW65530 HHW131066 HHW196602 HHW262138 HHW327674 HHW393210 HHW458746 HHW524282 HHW589818 HHW655354 HHW720890 HHW786426 HHW851962 HHW917498 HHW983034 HIB2:HIB3 HIB65526:HIB65527 HIB131062:HIB131063 HIB196598:HIB196599 HIB262134:HIB262135 HIB327670:HIB327671 HIB393206:HIB393207 HIB458742:HIB458743 HIB524278:HIB524279 HIB589814:HIB589815 HIB655350:HIB655351 HIB720886:HIB720887 HIB786422:HIB786423 HIB851958:HIB851959 HIB917494:HIB917495 HIB983030:HIB983031 HRS6 HRS65530 HRS131066 HRS196602 HRS262138 HRS327674 HRS393210 HRS458746 HRS524282 HRS589818 HRS655354 HRS720890 HRS786426 HRS851962 HRS917498 HRS983034 HRX2:HRX3 HRX65526:HRX65527 HRX131062:HRX131063 HRX196598:HRX196599 HRX262134:HRX262135 HRX327670:HRX327671 HRX393206:HRX393207 HRX458742:HRX458743 HRX524278:HRX524279 HRX589814:HRX589815 HRX655350:HRX655351 HRX720886:HRX720887 HRX786422:HRX786423 HRX851958:HRX851959 HRX917494:HRX917495 HRX983030:HRX983031 IBO6 IBO65530 IBO131066 IBO196602 IBO262138 IBO327674 IBO393210 IBO458746 IBO524282 IBO589818 IBO655354 IBO720890 IBO786426 IBO851962 IBO917498 IBO983034 IBT2:IBT3 IBT65526:IBT65527 IBT131062:IBT131063 IBT196598:IBT196599 IBT262134:IBT262135 IBT327670:IBT327671 IBT393206:IBT393207 IBT458742:IBT458743 IBT524278:IBT524279 IBT589814:IBT589815 IBT655350:IBT655351 IBT720886:IBT720887 IBT786422:IBT786423 IBT851958:IBT851959 IBT917494:IBT917495 IBT983030:IBT983031 ILK6 ILK65530 ILK131066 ILK196602 ILK262138 ILK327674 ILK393210 ILK458746 ILK524282 ILK589818 ILK655354 ILK720890 ILK786426 ILK851962 ILK917498 ILK983034 ILP2:ILP3 ILP65526:ILP65527 ILP131062:ILP131063 ILP196598:ILP196599 ILP262134:ILP262135 ILP327670:ILP327671 ILP393206:ILP393207 ILP458742:ILP458743 ILP524278:ILP524279 ILP589814:ILP589815 ILP655350:ILP655351 ILP720886:ILP720887 ILP786422:ILP786423 ILP851958:ILP851959 ILP917494:ILP917495 ILP983030:ILP983031 IVG6 IVG65530 IVG131066 IVG196602 IVG262138 IVG327674 IVG393210 IVG458746 IVG524282 IVG589818 IVG655354 IVG720890 IVG786426 IVG851962 IVG917498 IVG983034 IVL2:IVL3 IVL65526:IVL65527 IVL131062:IVL131063 IVL196598:IVL196599 IVL262134:IVL262135 IVL327670:IVL327671 IVL393206:IVL393207 IVL458742:IVL458743 IVL524278:IVL524279 IVL589814:IVL589815 IVL655350:IVL655351 IVL720886:IVL720887 IVL786422:IVL786423 IVL851958:IVL851959 IVL917494:IVL917495 IVL983030:IVL983031 JFC6 JFC65530 JFC131066 JFC196602 JFC262138 JFC327674 JFC393210 JFC458746 JFC524282 JFC589818 JFC655354 JFC720890 JFC786426 JFC851962 JFC917498 JFC983034 JFH2:JFH3 JFH65526:JFH65527 JFH131062:JFH131063 JFH196598:JFH196599 JFH262134:JFH262135 JFH327670:JFH327671 JFH393206:JFH393207 JFH458742:JFH458743 JFH524278:JFH524279 JFH589814:JFH589815 JFH655350:JFH655351 JFH720886:JFH720887 JFH786422:JFH786423 JFH851958:JFH851959 JFH917494:JFH917495 JFH983030:JFH983031 JOY6 JOY65530 JOY131066 JOY196602 JOY262138 JOY327674 JOY393210 JOY458746 JOY524282 JOY589818 JOY655354 JOY720890 JOY786426 JOY851962 JOY917498 JOY983034 JPD2:JPD3 JPD65526:JPD65527 JPD131062:JPD131063 JPD196598:JPD196599 JPD262134:JPD262135 JPD327670:JPD327671 JPD393206:JPD393207 JPD458742:JPD458743 JPD524278:JPD524279 JPD589814:JPD589815 JPD655350:JPD655351 JPD720886:JPD720887 JPD786422:JPD786423 JPD851958:JPD851959 JPD917494:JPD917495 JPD983030:JPD983031 JYU6 JYU65530 JYU131066 JYU196602 JYU262138 JYU327674 JYU393210 JYU458746 JYU524282 JYU589818 JYU655354 JYU720890 JYU786426 JYU851962 JYU917498 JYU983034 JYZ2:JYZ3 JYZ65526:JYZ65527 JYZ131062:JYZ131063 JYZ196598:JYZ196599 JYZ262134:JYZ262135 JYZ327670:JYZ327671 JYZ393206:JYZ393207 JYZ458742:JYZ458743 JYZ524278:JYZ524279 JYZ589814:JYZ589815 JYZ655350:JYZ655351 JYZ720886:JYZ720887 JYZ786422:JYZ786423 JYZ851958:JYZ851959 JYZ917494:JYZ917495 JYZ983030:JYZ983031 KIQ6 KIQ65530 KIQ131066 KIQ196602 KIQ262138 KIQ327674 KIQ393210 KIQ458746 KIQ524282 KIQ589818 KIQ655354 KIQ720890 KIQ786426 KIQ851962 KIQ917498 KIQ983034 KIV2:KIV3 KIV65526:KIV65527 KIV131062:KIV131063 KIV196598:KIV196599 KIV262134:KIV262135 KIV327670:KIV327671 KIV393206:KIV393207 KIV458742:KIV458743 KIV524278:KIV524279 KIV589814:KIV589815 KIV655350:KIV655351 KIV720886:KIV720887 KIV786422:KIV786423 KIV851958:KIV851959 KIV917494:KIV917495 KIV983030:KIV983031 KSM6 KSM65530 KSM131066 KSM196602 KSM262138 KSM327674 KSM393210 KSM458746 KSM524282 KSM589818 KSM655354 KSM720890 KSM786426 KSM851962 KSM917498 KSM983034 KSR2:KSR3 KSR65526:KSR65527 KSR131062:KSR131063 KSR196598:KSR196599 KSR262134:KSR262135 KSR327670:KSR327671 KSR393206:KSR393207 KSR458742:KSR458743 KSR524278:KSR524279 KSR589814:KSR589815 KSR655350:KSR655351 KSR720886:KSR720887 KSR786422:KSR786423 KSR851958:KSR851959 KSR917494:KSR917495 KSR983030:KSR983031 LCI6 LCI65530 LCI131066 LCI196602 LCI262138 LCI327674 LCI393210 LCI458746 LCI524282 LCI589818 LCI655354 LCI720890 LCI786426 LCI851962 LCI917498 LCI983034 LCN2:LCN3 LCN65526:LCN65527 LCN131062:LCN131063 LCN196598:LCN196599 LCN262134:LCN262135 LCN327670:LCN327671 LCN393206:LCN393207 LCN458742:LCN458743 LCN524278:LCN524279 LCN589814:LCN589815 LCN655350:LCN655351 LCN720886:LCN720887 LCN786422:LCN786423 LCN851958:LCN851959 LCN917494:LCN917495 LCN983030:LCN983031 LME6 LME65530 LME131066 LME196602 LME262138 LME327674 LME393210 LME458746 LME524282 LME589818 LME655354 LME720890 LME786426 LME851962 LME917498 LME983034 LMJ2:LMJ3 LMJ65526:LMJ65527 LMJ131062:LMJ131063 LMJ196598:LMJ196599 LMJ262134:LMJ262135 LMJ327670:LMJ327671 LMJ393206:LMJ393207 LMJ458742:LMJ458743 LMJ524278:LMJ524279 LMJ589814:LMJ589815 LMJ655350:LMJ655351 LMJ720886:LMJ720887 LMJ786422:LMJ786423 LMJ851958:LMJ851959 LMJ917494:LMJ917495 LMJ983030:LMJ983031 LWA6 LWA65530 LWA131066 LWA196602 LWA262138 LWA327674 LWA393210 LWA458746 LWA524282 LWA589818 LWA655354 LWA720890 LWA786426 LWA851962 LWA917498 LWA983034 LWF2:LWF3 LWF65526:LWF65527 LWF131062:LWF131063 LWF196598:LWF196599 LWF262134:LWF262135 LWF327670:LWF327671 LWF393206:LWF393207 LWF458742:LWF458743 LWF524278:LWF524279 LWF589814:LWF589815 LWF655350:LWF655351 LWF720886:LWF720887 LWF786422:LWF786423 LWF851958:LWF851959 LWF917494:LWF917495 LWF983030:LWF983031 MFW6 MFW65530 MFW131066 MFW196602 MFW262138 MFW327674 MFW393210 MFW458746 MFW524282 MFW589818 MFW655354 MFW720890 MFW786426 MFW851962 MFW917498 MFW983034 MGB2:MGB3 MGB65526:MGB65527 MGB131062:MGB131063 MGB196598:MGB196599 MGB262134:MGB262135 MGB327670:MGB327671 MGB393206:MGB393207 MGB458742:MGB458743 MGB524278:MGB524279 MGB589814:MGB589815 MGB655350:MGB655351 MGB720886:MGB720887 MGB786422:MGB786423 MGB851958:MGB851959 MGB917494:MGB917495 MGB983030:MGB983031 MPS6 MPS65530 MPS131066 MPS196602 MPS262138 MPS327674 MPS393210 MPS458746 MPS524282 MPS589818 MPS655354 MPS720890 MPS786426 MPS851962 MPS917498 MPS983034 MPX2:MPX3 MPX65526:MPX65527 MPX131062:MPX131063 MPX196598:MPX196599 MPX262134:MPX262135 MPX327670:MPX327671 MPX393206:MPX393207 MPX458742:MPX458743 MPX524278:MPX524279 MPX589814:MPX589815 MPX655350:MPX655351 MPX720886:MPX720887 MPX786422:MPX786423 MPX851958:MPX851959 MPX917494:MPX917495 MPX983030:MPX983031 MZO6 MZO65530 MZO131066 MZO196602 MZO262138 MZO327674 MZO393210 MZO458746 MZO524282 MZO589818 MZO655354 MZO720890 MZO786426 MZO851962 MZO917498 MZO983034 MZT2:MZT3 MZT65526:MZT65527 MZT131062:MZT131063 MZT196598:MZT196599 MZT262134:MZT262135 MZT327670:MZT327671 MZT393206:MZT393207 MZT458742:MZT458743 MZT524278:MZT524279 MZT589814:MZT589815 MZT655350:MZT655351 MZT720886:MZT720887 MZT786422:MZT786423 MZT851958:MZT851959 MZT917494:MZT917495 MZT983030:MZT983031 NJK6 NJK65530 NJK131066 NJK196602 NJK262138 NJK327674 NJK393210 NJK458746 NJK524282 NJK589818 NJK655354 NJK720890 NJK786426 NJK851962 NJK917498 NJK983034 NJP2:NJP3 NJP65526:NJP65527 NJP131062:NJP131063 NJP196598:NJP196599 NJP262134:NJP262135 NJP327670:NJP327671 NJP393206:NJP393207 NJP458742:NJP458743 NJP524278:NJP524279 NJP589814:NJP589815 NJP655350:NJP655351 NJP720886:NJP720887 NJP786422:NJP786423 NJP851958:NJP851959 NJP917494:NJP917495 NJP983030:NJP983031 NTG6 NTG65530 NTG131066 NTG196602 NTG262138 NTG327674 NTG393210 NTG458746 NTG524282 NTG589818 NTG655354 NTG720890 NTG786426 NTG851962 NTG917498 NTG983034 NTL2:NTL3 NTL65526:NTL65527 NTL131062:NTL131063 NTL196598:NTL196599 NTL262134:NTL262135 NTL327670:NTL327671 NTL393206:NTL393207 NTL458742:NTL458743 NTL524278:NTL524279 NTL589814:NTL589815 NTL655350:NTL655351 NTL720886:NTL720887 NTL786422:NTL786423 NTL851958:NTL851959 NTL917494:NTL917495 NTL983030:NTL983031 ODC6 ODC65530 ODC131066 ODC196602 ODC262138 ODC327674 ODC393210 ODC458746 ODC524282 ODC589818 ODC655354 ODC720890 ODC786426 ODC851962 ODC917498 ODC983034 ODH2:ODH3 ODH65526:ODH65527 ODH131062:ODH131063 ODH196598:ODH196599 ODH262134:ODH262135 ODH327670:ODH327671 ODH393206:ODH393207 ODH458742:ODH458743 ODH524278:ODH524279 ODH589814:ODH589815 ODH655350:ODH655351 ODH720886:ODH720887 ODH786422:ODH786423 ODH851958:ODH851959 ODH917494:ODH917495 ODH983030:ODH983031 OMY6 OMY65530 OMY131066 OMY196602 OMY262138 OMY327674 OMY393210 OMY458746 OMY524282 OMY589818 OMY655354 OMY720890 OMY786426 OMY851962 OMY917498 OMY983034 OND2:OND3 OND65526:OND65527 OND131062:OND131063 OND196598:OND196599 OND262134:OND262135 OND327670:OND327671 OND393206:OND393207 OND458742:OND458743 OND524278:OND524279 OND589814:OND589815 OND655350:OND655351 OND720886:OND720887 OND786422:OND786423 OND851958:OND851959 OND917494:OND917495 OND983030:OND983031 OWU6 OWU65530 OWU131066 OWU196602 OWU262138 OWU327674 OWU393210 OWU458746 OWU524282 OWU589818 OWU655354 OWU720890 OWU786426 OWU851962 OWU917498 OWU983034 OWZ2:OWZ3 OWZ65526:OWZ65527 OWZ131062:OWZ131063 OWZ196598:OWZ196599 OWZ262134:OWZ262135 OWZ327670:OWZ327671 OWZ393206:OWZ393207 OWZ458742:OWZ458743 OWZ524278:OWZ524279 OWZ589814:OWZ589815 OWZ655350:OWZ655351 OWZ720886:OWZ720887 OWZ786422:OWZ786423 OWZ851958:OWZ851959 OWZ917494:OWZ917495 OWZ983030:OWZ983031 PGQ6 PGQ65530 PGQ131066 PGQ196602 PGQ262138 PGQ327674 PGQ393210 PGQ458746 PGQ524282 PGQ589818 PGQ655354 PGQ720890 PGQ786426 PGQ851962 PGQ917498 PGQ983034 PGV2:PGV3 PGV65526:PGV65527 PGV131062:PGV131063 PGV196598:PGV196599 PGV262134:PGV262135 PGV327670:PGV327671 PGV393206:PGV393207 PGV458742:PGV458743 PGV524278:PGV524279 PGV589814:PGV589815 PGV655350:PGV655351 PGV720886:PGV720887 PGV786422:PGV786423 PGV851958:PGV851959 PGV917494:PGV917495 PGV983030:PGV983031 PQM6 PQM65530 PQM131066 PQM196602 PQM262138 PQM327674 PQM393210 PQM458746 PQM524282 PQM589818 PQM655354 PQM720890 PQM786426 PQM851962 PQM917498 PQM983034 PQR2:PQR3 PQR65526:PQR65527 PQR131062:PQR131063 PQR196598:PQR196599 PQR262134:PQR262135 PQR327670:PQR327671 PQR393206:PQR393207 PQR458742:PQR458743 PQR524278:PQR524279 PQR589814:PQR589815 PQR655350:PQR655351 PQR720886:PQR720887 PQR786422:PQR786423 PQR851958:PQR851959 PQR917494:PQR917495 PQR983030:PQR983031 QAI6 QAI65530 QAI131066 QAI196602 QAI262138 QAI327674 QAI393210 QAI458746 QAI524282 QAI589818 QAI655354 QAI720890 QAI786426 QAI851962 QAI917498 QAI983034 QAN2:QAN3 QAN65526:QAN65527 QAN131062:QAN131063 QAN196598:QAN196599 QAN262134:QAN262135 QAN327670:QAN327671 QAN393206:QAN393207 QAN458742:QAN458743 QAN524278:QAN524279 QAN589814:QAN589815 QAN655350:QAN655351 QAN720886:QAN720887 QAN786422:QAN786423 QAN851958:QAN851959 QAN917494:QAN917495 QAN983030:QAN983031 QKE6 QKE65530 QKE131066 QKE196602 QKE262138 QKE327674 QKE393210 QKE458746 QKE524282 QKE589818 QKE655354 QKE720890 QKE786426 QKE851962 QKE917498 QKE983034 QKJ2:QKJ3 QKJ65526:QKJ65527 QKJ131062:QKJ131063 QKJ196598:QKJ196599 QKJ262134:QKJ262135 QKJ327670:QKJ327671 QKJ393206:QKJ393207 QKJ458742:QKJ458743 QKJ524278:QKJ524279 QKJ589814:QKJ589815 QKJ655350:QKJ655351 QKJ720886:QKJ720887 QKJ786422:QKJ786423 QKJ851958:QKJ851959 QKJ917494:QKJ917495 QKJ983030:QKJ983031 QUA6 QUA65530 QUA131066 QUA196602 QUA262138 QUA327674 QUA393210 QUA458746 QUA524282 QUA589818 QUA655354 QUA720890 QUA786426 QUA851962 QUA917498 QUA983034 QUF2:QUF3 QUF65526:QUF65527 QUF131062:QUF131063 QUF196598:QUF196599 QUF262134:QUF262135 QUF327670:QUF327671 QUF393206:QUF393207 QUF458742:QUF458743 QUF524278:QUF524279 QUF589814:QUF589815 QUF655350:QUF655351 QUF720886:QUF720887 QUF786422:QUF786423 QUF851958:QUF851959 QUF917494:QUF917495 QUF983030:QUF983031 RDW6 RDW65530 RDW131066 RDW196602 RDW262138 RDW327674 RDW393210 RDW458746 RDW524282 RDW589818 RDW655354 RDW720890 RDW786426 RDW851962 RDW917498 RDW983034 REB2:REB3 REB65526:REB65527 REB131062:REB131063 REB196598:REB196599 REB262134:REB262135 REB327670:REB327671 REB393206:REB393207 REB458742:REB458743 REB524278:REB524279 REB589814:REB589815 REB655350:REB655351 REB720886:REB720887 REB786422:REB786423 REB851958:REB851959 REB917494:REB917495 REB983030:REB983031 RNS6 RNS65530 RNS131066 RNS196602 RNS262138 RNS327674 RNS393210 RNS458746 RNS524282 RNS589818 RNS655354 RNS720890 RNS786426 RNS851962 RNS917498 RNS983034 RNX2:RNX3 RNX65526:RNX65527 RNX131062:RNX131063 RNX196598:RNX196599 RNX262134:RNX262135 RNX327670:RNX327671 RNX393206:RNX393207 RNX458742:RNX458743 RNX524278:RNX524279 RNX589814:RNX589815 RNX655350:RNX655351 RNX720886:RNX720887 RNX786422:RNX786423 RNX851958:RNX851959 RNX917494:RNX917495 RNX983030:RNX983031 RXO6 RXO65530 RXO131066 RXO196602 RXO262138 RXO327674 RXO393210 RXO458746 RXO524282 RXO589818 RXO655354 RXO720890 RXO786426 RXO851962 RXO917498 RXO983034 RXT2:RXT3 RXT65526:RXT65527 RXT131062:RXT131063 RXT196598:RXT196599 RXT262134:RXT262135 RXT327670:RXT327671 RXT393206:RXT393207 RXT458742:RXT458743 RXT524278:RXT524279 RXT589814:RXT589815 RXT655350:RXT655351 RXT720886:RXT720887 RXT786422:RXT786423 RXT851958:RXT851959 RXT917494:RXT917495 RXT983030:RXT983031 SHK6 SHK65530 SHK131066 SHK196602 SHK262138 SHK327674 SHK393210 SHK458746 SHK524282 SHK589818 SHK655354 SHK720890 SHK786426 SHK851962 SHK917498 SHK983034 SHP2:SHP3 SHP65526:SHP65527 SHP131062:SHP131063 SHP196598:SHP196599 SHP262134:SHP262135 SHP327670:SHP327671 SHP393206:SHP393207 SHP458742:SHP458743 SHP524278:SHP524279 SHP589814:SHP589815 SHP655350:SHP655351 SHP720886:SHP720887 SHP786422:SHP786423 SHP851958:SHP851959 SHP917494:SHP917495 SHP983030:SHP983031 SRG6 SRG65530 SRG131066 SRG196602 SRG262138 SRG327674 SRG393210 SRG458746 SRG524282 SRG589818 SRG655354 SRG720890 SRG786426 SRG851962 SRG917498 SRG983034 SRL2:SRL3 SRL65526:SRL65527 SRL131062:SRL131063 SRL196598:SRL196599 SRL262134:SRL262135 SRL327670:SRL327671 SRL393206:SRL393207 SRL458742:SRL458743 SRL524278:SRL524279 SRL589814:SRL589815 SRL655350:SRL655351 SRL720886:SRL720887 SRL786422:SRL786423 SRL851958:SRL851959 SRL917494:SRL917495 SRL983030:SRL983031 TBC6 TBC65530 TBC131066 TBC196602 TBC262138 TBC327674 TBC393210 TBC458746 TBC524282 TBC589818 TBC655354 TBC720890 TBC786426 TBC851962 TBC917498 TBC983034 TBH2:TBH3 TBH65526:TBH65527 TBH131062:TBH131063 TBH196598:TBH196599 TBH262134:TBH262135 TBH327670:TBH327671 TBH393206:TBH393207 TBH458742:TBH458743 TBH524278:TBH524279 TBH589814:TBH589815 TBH655350:TBH655351 TBH720886:TBH720887 TBH786422:TBH786423 TBH851958:TBH851959 TBH917494:TBH917495 TBH983030:TBH983031 TKY6 TKY65530 TKY131066 TKY196602 TKY262138 TKY327674 TKY393210 TKY458746 TKY524282 TKY589818 TKY655354 TKY720890 TKY786426 TKY851962 TKY917498 TKY983034 TLD2:TLD3 TLD65526:TLD65527 TLD131062:TLD131063 TLD196598:TLD196599 TLD262134:TLD262135 TLD327670:TLD327671 TLD393206:TLD393207 TLD458742:TLD458743 TLD524278:TLD524279 TLD589814:TLD589815 TLD655350:TLD655351 TLD720886:TLD720887 TLD786422:TLD786423 TLD851958:TLD851959 TLD917494:TLD917495 TLD983030:TLD983031 TUU6 TUU65530 TUU131066 TUU196602 TUU262138 TUU327674 TUU393210 TUU458746 TUU524282 TUU589818 TUU655354 TUU720890 TUU786426 TUU851962 TUU917498 TUU983034 TUZ2:TUZ3 TUZ65526:TUZ65527 TUZ131062:TUZ131063 TUZ196598:TUZ196599 TUZ262134:TUZ262135 TUZ327670:TUZ327671 TUZ393206:TUZ393207 TUZ458742:TUZ458743 TUZ524278:TUZ524279 TUZ589814:TUZ589815 TUZ655350:TUZ655351 TUZ720886:TUZ720887 TUZ786422:TUZ786423 TUZ851958:TUZ851959 TUZ917494:TUZ917495 TUZ983030:TUZ983031 UEQ6 UEQ65530 UEQ131066 UEQ196602 UEQ262138 UEQ327674 UEQ393210 UEQ458746 UEQ524282 UEQ589818 UEQ655354 UEQ720890 UEQ786426 UEQ851962 UEQ917498 UEQ983034 UEV2:UEV3 UEV65526:UEV65527 UEV131062:UEV131063 UEV196598:UEV196599 UEV262134:UEV262135 UEV327670:UEV327671 UEV393206:UEV393207 UEV458742:UEV458743 UEV524278:UEV524279 UEV589814:UEV589815 UEV655350:UEV655351 UEV720886:UEV720887 UEV786422:UEV786423 UEV851958:UEV851959 UEV917494:UEV917495 UEV983030:UEV983031 UOM6 UOM65530 UOM131066 UOM196602 UOM262138 UOM327674 UOM393210 UOM458746 UOM524282 UOM589818 UOM655354 UOM720890 UOM786426 UOM851962 UOM917498 UOM983034 UOR2:UOR3 UOR65526:UOR65527 UOR131062:UOR131063 UOR196598:UOR196599 UOR262134:UOR262135 UOR327670:UOR327671 UOR393206:UOR393207 UOR458742:UOR458743 UOR524278:UOR524279 UOR589814:UOR589815 UOR655350:UOR655351 UOR720886:UOR720887 UOR786422:UOR786423 UOR851958:UOR851959 UOR917494:UOR917495 UOR983030:UOR983031 UYI6 UYI65530 UYI131066 UYI196602 UYI262138 UYI327674 UYI393210 UYI458746 UYI524282 UYI589818 UYI655354 UYI720890 UYI786426 UYI851962 UYI917498 UYI983034 UYN2:UYN3 UYN65526:UYN65527 UYN131062:UYN131063 UYN196598:UYN196599 UYN262134:UYN262135 UYN327670:UYN327671 UYN393206:UYN393207 UYN458742:UYN458743 UYN524278:UYN524279 UYN589814:UYN589815 UYN655350:UYN655351 UYN720886:UYN720887 UYN786422:UYN786423 UYN851958:UYN851959 UYN917494:UYN917495 UYN983030:UYN983031 VIE6 VIE65530 VIE131066 VIE196602 VIE262138 VIE327674 VIE393210 VIE458746 VIE524282 VIE589818 VIE655354 VIE720890 VIE786426 VIE851962 VIE917498 VIE983034 VIJ2:VIJ3 VIJ65526:VIJ65527 VIJ131062:VIJ131063 VIJ196598:VIJ196599 VIJ262134:VIJ262135 VIJ327670:VIJ327671 VIJ393206:VIJ393207 VIJ458742:VIJ458743 VIJ524278:VIJ524279 VIJ589814:VIJ589815 VIJ655350:VIJ655351 VIJ720886:VIJ720887 VIJ786422:VIJ786423 VIJ851958:VIJ851959 VIJ917494:VIJ917495 VIJ983030:VIJ983031 VSA6 VSA65530 VSA131066 VSA196602 VSA262138 VSA327674 VSA393210 VSA458746 VSA524282 VSA589818 VSA655354 VSA720890 VSA786426 VSA851962 VSA917498 VSA983034 VSF2:VSF3 VSF65526:VSF65527 VSF131062:VSF131063 VSF196598:VSF196599 VSF262134:VSF262135 VSF327670:VSF327671 VSF393206:VSF393207 VSF458742:VSF458743 VSF524278:VSF524279 VSF589814:VSF589815 VSF655350:VSF655351 VSF720886:VSF720887 VSF786422:VSF786423 VSF851958:VSF851959 VSF917494:VSF917495 VSF983030:VSF983031 WBW6 WBW65530 WBW131066 WBW196602 WBW262138 WBW327674 WBW393210 WBW458746 WBW524282 WBW589818 WBW655354 WBW720890 WBW786426 WBW851962 WBW917498 WBW983034 WCB2:WCB3 WCB65526:WCB65527 WCB131062:WCB131063 WCB196598:WCB196599 WCB262134:WCB262135 WCB327670:WCB327671 WCB393206:WCB393207 WCB458742:WCB458743 WCB524278:WCB524279 WCB589814:WCB589815 WCB655350:WCB655351 WCB720886:WCB720887 WCB786422:WCB786423 WCB851958:WCB851959 WCB917494:WCB917495 WCB983030:WCB983031 WLS6 WLS65530 WLS131066 WLS196602 WLS262138 WLS327674 WLS393210 WLS458746 WLS524282 WLS589818 WLS655354 WLS720890 WLS786426 WLS851962 WLS917498 WLS983034 WLX2:WLX3 WLX65526:WLX65527 WLX131062:WLX131063 WLX196598:WLX196599 WLX262134:WLX262135 WLX327670:WLX327671 WLX393206:WLX393207 WLX458742:WLX458743 WLX524278:WLX524279 WLX589814:WLX589815 WLX655350:WLX655351 WLX720886:WLX720887 WLX786422:WLX786423 WLX851958:WLX851959 WLX917494:WLX917495 WLX983030:WLX983031 WVO6 WVO65530 WVO131066 WVO196602 WVO262138 WVO327674 WVO393210 WVO458746 WVO524282 WVO589818 WVO655354 WVO720890 WVO786426 WVO851962 WVO917498 WVO983034 WVT2:WVT3 WVT65526:WVT65527 WVT131062:WVT131063 WVT196598:WVT196599 WVT262134:WVT262135 WVT327670:WVT327671 WVT393206:WVT393207 WVT458742:WVT458743 WVT524278:WVT524279 WVT589814:WVT589815 WVT655350:WVT655351 WVT720886:WVT720887 WVT786422:WVT786423 WVT851958:WVT851959 WVT917494:WVT917495 WVT983030:WVT983031" xr:uid="{00000000-0002-0000-0700-000008000000}"/>
    <dataValidation allowBlank="1" showInputMessage="1" showErrorMessage="1" prompt="This cell is automatically updated from the names List according to the index number in L1. It needs to be identical to the output product." sqref="L3:L6 L65527:L65530 L131063:L131066 L196599:L196602 L262135:L262138 L327671:L327674 L393207:L393210 L458743:L458746 L524279:L524282 L589815:L589818 L655351:L655354 L720887:L720890 L786423:L786426 L851959:L851962 L917495:L917498 L983031:L983034 JI3:JI6 JI65527:JI65530 JI131063:JI131066 JI196599:JI196602 JI262135:JI262138 JI327671:JI327674 JI393207:JI393210 JI458743:JI458746 JI524279:JI524282 JI589815:JI589818 JI655351:JI655354 JI720887:JI720890 JI786423:JI786426 JI851959:JI851962 JI917495:JI917498 JI983031:JI983034 TE3:TE6 TE65527:TE65530 TE131063:TE131066 TE196599:TE196602 TE262135:TE262138 TE327671:TE327674 TE393207:TE393210 TE458743:TE458746 TE524279:TE524282 TE589815:TE589818 TE655351:TE655354 TE720887:TE720890 TE786423:TE786426 TE851959:TE851962 TE917495:TE917498 TE983031:TE983034 ADA3:ADA6 ADA65527:ADA65530 ADA131063:ADA131066 ADA196599:ADA196602 ADA262135:ADA262138 ADA327671:ADA327674 ADA393207:ADA393210 ADA458743:ADA458746 ADA524279:ADA524282 ADA589815:ADA589818 ADA655351:ADA655354 ADA720887:ADA720890 ADA786423:ADA786426 ADA851959:ADA851962 ADA917495:ADA917498 ADA983031:ADA983034 AMW3:AMW6 AMW65527:AMW65530 AMW131063:AMW131066 AMW196599:AMW196602 AMW262135:AMW262138 AMW327671:AMW327674 AMW393207:AMW393210 AMW458743:AMW458746 AMW524279:AMW524282 AMW589815:AMW589818 AMW655351:AMW655354 AMW720887:AMW720890 AMW786423:AMW786426 AMW851959:AMW851962 AMW917495:AMW917498 AMW983031:AMW983034 AWS3:AWS6 AWS65527:AWS65530 AWS131063:AWS131066 AWS196599:AWS196602 AWS262135:AWS262138 AWS327671:AWS327674 AWS393207:AWS393210 AWS458743:AWS458746 AWS524279:AWS524282 AWS589815:AWS589818 AWS655351:AWS655354 AWS720887:AWS720890 AWS786423:AWS786426 AWS851959:AWS851962 AWS917495:AWS917498 AWS983031:AWS983034 BGO3:BGO6 BGO65527:BGO65530 BGO131063:BGO131066 BGO196599:BGO196602 BGO262135:BGO262138 BGO327671:BGO327674 BGO393207:BGO393210 BGO458743:BGO458746 BGO524279:BGO524282 BGO589815:BGO589818 BGO655351:BGO655354 BGO720887:BGO720890 BGO786423:BGO786426 BGO851959:BGO851962 BGO917495:BGO917498 BGO983031:BGO983034 BQK3:BQK6 BQK65527:BQK65530 BQK131063:BQK131066 BQK196599:BQK196602 BQK262135:BQK262138 BQK327671:BQK327674 BQK393207:BQK393210 BQK458743:BQK458746 BQK524279:BQK524282 BQK589815:BQK589818 BQK655351:BQK655354 BQK720887:BQK720890 BQK786423:BQK786426 BQK851959:BQK851962 BQK917495:BQK917498 BQK983031:BQK983034 CAG3:CAG6 CAG65527:CAG65530 CAG131063:CAG131066 CAG196599:CAG196602 CAG262135:CAG262138 CAG327671:CAG327674 CAG393207:CAG393210 CAG458743:CAG458746 CAG524279:CAG524282 CAG589815:CAG589818 CAG655351:CAG655354 CAG720887:CAG720890 CAG786423:CAG786426 CAG851959:CAG851962 CAG917495:CAG917498 CAG983031:CAG983034 CKC3:CKC6 CKC65527:CKC65530 CKC131063:CKC131066 CKC196599:CKC196602 CKC262135:CKC262138 CKC327671:CKC327674 CKC393207:CKC393210 CKC458743:CKC458746 CKC524279:CKC524282 CKC589815:CKC589818 CKC655351:CKC655354 CKC720887:CKC720890 CKC786423:CKC786426 CKC851959:CKC851962 CKC917495:CKC917498 CKC983031:CKC983034 CTY3:CTY6 CTY65527:CTY65530 CTY131063:CTY131066 CTY196599:CTY196602 CTY262135:CTY262138 CTY327671:CTY327674 CTY393207:CTY393210 CTY458743:CTY458746 CTY524279:CTY524282 CTY589815:CTY589818 CTY655351:CTY655354 CTY720887:CTY720890 CTY786423:CTY786426 CTY851959:CTY851962 CTY917495:CTY917498 CTY983031:CTY983034 DDU3:DDU6 DDU65527:DDU65530 DDU131063:DDU131066 DDU196599:DDU196602 DDU262135:DDU262138 DDU327671:DDU327674 DDU393207:DDU393210 DDU458743:DDU458746 DDU524279:DDU524282 DDU589815:DDU589818 DDU655351:DDU655354 DDU720887:DDU720890 DDU786423:DDU786426 DDU851959:DDU851962 DDU917495:DDU917498 DDU983031:DDU983034 DNQ3:DNQ6 DNQ65527:DNQ65530 DNQ131063:DNQ131066 DNQ196599:DNQ196602 DNQ262135:DNQ262138 DNQ327671:DNQ327674 DNQ393207:DNQ393210 DNQ458743:DNQ458746 DNQ524279:DNQ524282 DNQ589815:DNQ589818 DNQ655351:DNQ655354 DNQ720887:DNQ720890 DNQ786423:DNQ786426 DNQ851959:DNQ851962 DNQ917495:DNQ917498 DNQ983031:DNQ983034 DXM3:DXM6 DXM65527:DXM65530 DXM131063:DXM131066 DXM196599:DXM196602 DXM262135:DXM262138 DXM327671:DXM327674 DXM393207:DXM393210 DXM458743:DXM458746 DXM524279:DXM524282 DXM589815:DXM589818 DXM655351:DXM655354 DXM720887:DXM720890 DXM786423:DXM786426 DXM851959:DXM851962 DXM917495:DXM917498 DXM983031:DXM983034 EHI3:EHI6 EHI65527:EHI65530 EHI131063:EHI131066 EHI196599:EHI196602 EHI262135:EHI262138 EHI327671:EHI327674 EHI393207:EHI393210 EHI458743:EHI458746 EHI524279:EHI524282 EHI589815:EHI589818 EHI655351:EHI655354 EHI720887:EHI720890 EHI786423:EHI786426 EHI851959:EHI851962 EHI917495:EHI917498 EHI983031:EHI983034 ERE3:ERE6 ERE65527:ERE65530 ERE131063:ERE131066 ERE196599:ERE196602 ERE262135:ERE262138 ERE327671:ERE327674 ERE393207:ERE393210 ERE458743:ERE458746 ERE524279:ERE524282 ERE589815:ERE589818 ERE655351:ERE655354 ERE720887:ERE720890 ERE786423:ERE786426 ERE851959:ERE851962 ERE917495:ERE917498 ERE983031:ERE983034 FBA3:FBA6 FBA65527:FBA65530 FBA131063:FBA131066 FBA196599:FBA196602 FBA262135:FBA262138 FBA327671:FBA327674 FBA393207:FBA393210 FBA458743:FBA458746 FBA524279:FBA524282 FBA589815:FBA589818 FBA655351:FBA655354 FBA720887:FBA720890 FBA786423:FBA786426 FBA851959:FBA851962 FBA917495:FBA917498 FBA983031:FBA983034 FKW3:FKW6 FKW65527:FKW65530 FKW131063:FKW131066 FKW196599:FKW196602 FKW262135:FKW262138 FKW327671:FKW327674 FKW393207:FKW393210 FKW458743:FKW458746 FKW524279:FKW524282 FKW589815:FKW589818 FKW655351:FKW655354 FKW720887:FKW720890 FKW786423:FKW786426 FKW851959:FKW851962 FKW917495:FKW917498 FKW983031:FKW983034 FUS3:FUS6 FUS65527:FUS65530 FUS131063:FUS131066 FUS196599:FUS196602 FUS262135:FUS262138 FUS327671:FUS327674 FUS393207:FUS393210 FUS458743:FUS458746 FUS524279:FUS524282 FUS589815:FUS589818 FUS655351:FUS655354 FUS720887:FUS720890 FUS786423:FUS786426 FUS851959:FUS851962 FUS917495:FUS917498 FUS983031:FUS983034 GEO3:GEO6 GEO65527:GEO65530 GEO131063:GEO131066 GEO196599:GEO196602 GEO262135:GEO262138 GEO327671:GEO327674 GEO393207:GEO393210 GEO458743:GEO458746 GEO524279:GEO524282 GEO589815:GEO589818 GEO655351:GEO655354 GEO720887:GEO720890 GEO786423:GEO786426 GEO851959:GEO851962 GEO917495:GEO917498 GEO983031:GEO983034 GOK3:GOK6 GOK65527:GOK65530 GOK131063:GOK131066 GOK196599:GOK196602 GOK262135:GOK262138 GOK327671:GOK327674 GOK393207:GOK393210 GOK458743:GOK458746 GOK524279:GOK524282 GOK589815:GOK589818 GOK655351:GOK655354 GOK720887:GOK720890 GOK786423:GOK786426 GOK851959:GOK851962 GOK917495:GOK917498 GOK983031:GOK983034 GYG3:GYG6 GYG65527:GYG65530 GYG131063:GYG131066 GYG196599:GYG196602 GYG262135:GYG262138 GYG327671:GYG327674 GYG393207:GYG393210 GYG458743:GYG458746 GYG524279:GYG524282 GYG589815:GYG589818 GYG655351:GYG655354 GYG720887:GYG720890 GYG786423:GYG786426 GYG851959:GYG851962 GYG917495:GYG917498 GYG983031:GYG983034 HIC3:HIC6 HIC65527:HIC65530 HIC131063:HIC131066 HIC196599:HIC196602 HIC262135:HIC262138 HIC327671:HIC327674 HIC393207:HIC393210 HIC458743:HIC458746 HIC524279:HIC524282 HIC589815:HIC589818 HIC655351:HIC655354 HIC720887:HIC720890 HIC786423:HIC786426 HIC851959:HIC851962 HIC917495:HIC917498 HIC983031:HIC983034 HRY3:HRY6 HRY65527:HRY65530 HRY131063:HRY131066 HRY196599:HRY196602 HRY262135:HRY262138 HRY327671:HRY327674 HRY393207:HRY393210 HRY458743:HRY458746 HRY524279:HRY524282 HRY589815:HRY589818 HRY655351:HRY655354 HRY720887:HRY720890 HRY786423:HRY786426 HRY851959:HRY851962 HRY917495:HRY917498 HRY983031:HRY983034 IBU3:IBU6 IBU65527:IBU65530 IBU131063:IBU131066 IBU196599:IBU196602 IBU262135:IBU262138 IBU327671:IBU327674 IBU393207:IBU393210 IBU458743:IBU458746 IBU524279:IBU524282 IBU589815:IBU589818 IBU655351:IBU655354 IBU720887:IBU720890 IBU786423:IBU786426 IBU851959:IBU851962 IBU917495:IBU917498 IBU983031:IBU983034 ILQ3:ILQ6 ILQ65527:ILQ65530 ILQ131063:ILQ131066 ILQ196599:ILQ196602 ILQ262135:ILQ262138 ILQ327671:ILQ327674 ILQ393207:ILQ393210 ILQ458743:ILQ458746 ILQ524279:ILQ524282 ILQ589815:ILQ589818 ILQ655351:ILQ655354 ILQ720887:ILQ720890 ILQ786423:ILQ786426 ILQ851959:ILQ851962 ILQ917495:ILQ917498 ILQ983031:ILQ983034 IVM3:IVM6 IVM65527:IVM65530 IVM131063:IVM131066 IVM196599:IVM196602 IVM262135:IVM262138 IVM327671:IVM327674 IVM393207:IVM393210 IVM458743:IVM458746 IVM524279:IVM524282 IVM589815:IVM589818 IVM655351:IVM655354 IVM720887:IVM720890 IVM786423:IVM786426 IVM851959:IVM851962 IVM917495:IVM917498 IVM983031:IVM983034 JFI3:JFI6 JFI65527:JFI65530 JFI131063:JFI131066 JFI196599:JFI196602 JFI262135:JFI262138 JFI327671:JFI327674 JFI393207:JFI393210 JFI458743:JFI458746 JFI524279:JFI524282 JFI589815:JFI589818 JFI655351:JFI655354 JFI720887:JFI720890 JFI786423:JFI786426 JFI851959:JFI851962 JFI917495:JFI917498 JFI983031:JFI983034 JPE3:JPE6 JPE65527:JPE65530 JPE131063:JPE131066 JPE196599:JPE196602 JPE262135:JPE262138 JPE327671:JPE327674 JPE393207:JPE393210 JPE458743:JPE458746 JPE524279:JPE524282 JPE589815:JPE589818 JPE655351:JPE655354 JPE720887:JPE720890 JPE786423:JPE786426 JPE851959:JPE851962 JPE917495:JPE917498 JPE983031:JPE983034 JZA3:JZA6 JZA65527:JZA65530 JZA131063:JZA131066 JZA196599:JZA196602 JZA262135:JZA262138 JZA327671:JZA327674 JZA393207:JZA393210 JZA458743:JZA458746 JZA524279:JZA524282 JZA589815:JZA589818 JZA655351:JZA655354 JZA720887:JZA720890 JZA786423:JZA786426 JZA851959:JZA851962 JZA917495:JZA917498 JZA983031:JZA983034 KIW3:KIW6 KIW65527:KIW65530 KIW131063:KIW131066 KIW196599:KIW196602 KIW262135:KIW262138 KIW327671:KIW327674 KIW393207:KIW393210 KIW458743:KIW458746 KIW524279:KIW524282 KIW589815:KIW589818 KIW655351:KIW655354 KIW720887:KIW720890 KIW786423:KIW786426 KIW851959:KIW851962 KIW917495:KIW917498 KIW983031:KIW983034 KSS3:KSS6 KSS65527:KSS65530 KSS131063:KSS131066 KSS196599:KSS196602 KSS262135:KSS262138 KSS327671:KSS327674 KSS393207:KSS393210 KSS458743:KSS458746 KSS524279:KSS524282 KSS589815:KSS589818 KSS655351:KSS655354 KSS720887:KSS720890 KSS786423:KSS786426 KSS851959:KSS851962 KSS917495:KSS917498 KSS983031:KSS983034 LCO3:LCO6 LCO65527:LCO65530 LCO131063:LCO131066 LCO196599:LCO196602 LCO262135:LCO262138 LCO327671:LCO327674 LCO393207:LCO393210 LCO458743:LCO458746 LCO524279:LCO524282 LCO589815:LCO589818 LCO655351:LCO655354 LCO720887:LCO720890 LCO786423:LCO786426 LCO851959:LCO851962 LCO917495:LCO917498 LCO983031:LCO983034 LMK3:LMK6 LMK65527:LMK65530 LMK131063:LMK131066 LMK196599:LMK196602 LMK262135:LMK262138 LMK327671:LMK327674 LMK393207:LMK393210 LMK458743:LMK458746 LMK524279:LMK524282 LMK589815:LMK589818 LMK655351:LMK655354 LMK720887:LMK720890 LMK786423:LMK786426 LMK851959:LMK851962 LMK917495:LMK917498 LMK983031:LMK983034 LWG3:LWG6 LWG65527:LWG65530 LWG131063:LWG131066 LWG196599:LWG196602 LWG262135:LWG262138 LWG327671:LWG327674 LWG393207:LWG393210 LWG458743:LWG458746 LWG524279:LWG524282 LWG589815:LWG589818 LWG655351:LWG655354 LWG720887:LWG720890 LWG786423:LWG786426 LWG851959:LWG851962 LWG917495:LWG917498 LWG983031:LWG983034 MGC3:MGC6 MGC65527:MGC65530 MGC131063:MGC131066 MGC196599:MGC196602 MGC262135:MGC262138 MGC327671:MGC327674 MGC393207:MGC393210 MGC458743:MGC458746 MGC524279:MGC524282 MGC589815:MGC589818 MGC655351:MGC655354 MGC720887:MGC720890 MGC786423:MGC786426 MGC851959:MGC851962 MGC917495:MGC917498 MGC983031:MGC983034 MPY3:MPY6 MPY65527:MPY65530 MPY131063:MPY131066 MPY196599:MPY196602 MPY262135:MPY262138 MPY327671:MPY327674 MPY393207:MPY393210 MPY458743:MPY458746 MPY524279:MPY524282 MPY589815:MPY589818 MPY655351:MPY655354 MPY720887:MPY720890 MPY786423:MPY786426 MPY851959:MPY851962 MPY917495:MPY917498 MPY983031:MPY983034 MZU3:MZU6 MZU65527:MZU65530 MZU131063:MZU131066 MZU196599:MZU196602 MZU262135:MZU262138 MZU327671:MZU327674 MZU393207:MZU393210 MZU458743:MZU458746 MZU524279:MZU524282 MZU589815:MZU589818 MZU655351:MZU655354 MZU720887:MZU720890 MZU786423:MZU786426 MZU851959:MZU851962 MZU917495:MZU917498 MZU983031:MZU983034 NJQ3:NJQ6 NJQ65527:NJQ65530 NJQ131063:NJQ131066 NJQ196599:NJQ196602 NJQ262135:NJQ262138 NJQ327671:NJQ327674 NJQ393207:NJQ393210 NJQ458743:NJQ458746 NJQ524279:NJQ524282 NJQ589815:NJQ589818 NJQ655351:NJQ655354 NJQ720887:NJQ720890 NJQ786423:NJQ786426 NJQ851959:NJQ851962 NJQ917495:NJQ917498 NJQ983031:NJQ983034 NTM3:NTM6 NTM65527:NTM65530 NTM131063:NTM131066 NTM196599:NTM196602 NTM262135:NTM262138 NTM327671:NTM327674 NTM393207:NTM393210 NTM458743:NTM458746 NTM524279:NTM524282 NTM589815:NTM589818 NTM655351:NTM655354 NTM720887:NTM720890 NTM786423:NTM786426 NTM851959:NTM851962 NTM917495:NTM917498 NTM983031:NTM983034 ODI3:ODI6 ODI65527:ODI65530 ODI131063:ODI131066 ODI196599:ODI196602 ODI262135:ODI262138 ODI327671:ODI327674 ODI393207:ODI393210 ODI458743:ODI458746 ODI524279:ODI524282 ODI589815:ODI589818 ODI655351:ODI655354 ODI720887:ODI720890 ODI786423:ODI786426 ODI851959:ODI851962 ODI917495:ODI917498 ODI983031:ODI983034 ONE3:ONE6 ONE65527:ONE65530 ONE131063:ONE131066 ONE196599:ONE196602 ONE262135:ONE262138 ONE327671:ONE327674 ONE393207:ONE393210 ONE458743:ONE458746 ONE524279:ONE524282 ONE589815:ONE589818 ONE655351:ONE655354 ONE720887:ONE720890 ONE786423:ONE786426 ONE851959:ONE851962 ONE917495:ONE917498 ONE983031:ONE983034 OXA3:OXA6 OXA65527:OXA65530 OXA131063:OXA131066 OXA196599:OXA196602 OXA262135:OXA262138 OXA327671:OXA327674 OXA393207:OXA393210 OXA458743:OXA458746 OXA524279:OXA524282 OXA589815:OXA589818 OXA655351:OXA655354 OXA720887:OXA720890 OXA786423:OXA786426 OXA851959:OXA851962 OXA917495:OXA917498 OXA983031:OXA983034 PGW3:PGW6 PGW65527:PGW65530 PGW131063:PGW131066 PGW196599:PGW196602 PGW262135:PGW262138 PGW327671:PGW327674 PGW393207:PGW393210 PGW458743:PGW458746 PGW524279:PGW524282 PGW589815:PGW589818 PGW655351:PGW655354 PGW720887:PGW720890 PGW786423:PGW786426 PGW851959:PGW851962 PGW917495:PGW917498 PGW983031:PGW983034 PQS3:PQS6 PQS65527:PQS65530 PQS131063:PQS131066 PQS196599:PQS196602 PQS262135:PQS262138 PQS327671:PQS327674 PQS393207:PQS393210 PQS458743:PQS458746 PQS524279:PQS524282 PQS589815:PQS589818 PQS655351:PQS655354 PQS720887:PQS720890 PQS786423:PQS786426 PQS851959:PQS851962 PQS917495:PQS917498 PQS983031:PQS983034 QAO3:QAO6 QAO65527:QAO65530 QAO131063:QAO131066 QAO196599:QAO196602 QAO262135:QAO262138 QAO327671:QAO327674 QAO393207:QAO393210 QAO458743:QAO458746 QAO524279:QAO524282 QAO589815:QAO589818 QAO655351:QAO655354 QAO720887:QAO720890 QAO786423:QAO786426 QAO851959:QAO851962 QAO917495:QAO917498 QAO983031:QAO983034 QKK3:QKK6 QKK65527:QKK65530 QKK131063:QKK131066 QKK196599:QKK196602 QKK262135:QKK262138 QKK327671:QKK327674 QKK393207:QKK393210 QKK458743:QKK458746 QKK524279:QKK524282 QKK589815:QKK589818 QKK655351:QKK655354 QKK720887:QKK720890 QKK786423:QKK786426 QKK851959:QKK851962 QKK917495:QKK917498 QKK983031:QKK983034 QUG3:QUG6 QUG65527:QUG65530 QUG131063:QUG131066 QUG196599:QUG196602 QUG262135:QUG262138 QUG327671:QUG327674 QUG393207:QUG393210 QUG458743:QUG458746 QUG524279:QUG524282 QUG589815:QUG589818 QUG655351:QUG655354 QUG720887:QUG720890 QUG786423:QUG786426 QUG851959:QUG851962 QUG917495:QUG917498 QUG983031:QUG983034 REC3:REC6 REC65527:REC65530 REC131063:REC131066 REC196599:REC196602 REC262135:REC262138 REC327671:REC327674 REC393207:REC393210 REC458743:REC458746 REC524279:REC524282 REC589815:REC589818 REC655351:REC655354 REC720887:REC720890 REC786423:REC786426 REC851959:REC851962 REC917495:REC917498 REC983031:REC983034 RNY3:RNY6 RNY65527:RNY65530 RNY131063:RNY131066 RNY196599:RNY196602 RNY262135:RNY262138 RNY327671:RNY327674 RNY393207:RNY393210 RNY458743:RNY458746 RNY524279:RNY524282 RNY589815:RNY589818 RNY655351:RNY655354 RNY720887:RNY720890 RNY786423:RNY786426 RNY851959:RNY851962 RNY917495:RNY917498 RNY983031:RNY983034 RXU3:RXU6 RXU65527:RXU65530 RXU131063:RXU131066 RXU196599:RXU196602 RXU262135:RXU262138 RXU327671:RXU327674 RXU393207:RXU393210 RXU458743:RXU458746 RXU524279:RXU524282 RXU589815:RXU589818 RXU655351:RXU655354 RXU720887:RXU720890 RXU786423:RXU786426 RXU851959:RXU851962 RXU917495:RXU917498 RXU983031:RXU983034 SHQ3:SHQ6 SHQ65527:SHQ65530 SHQ131063:SHQ131066 SHQ196599:SHQ196602 SHQ262135:SHQ262138 SHQ327671:SHQ327674 SHQ393207:SHQ393210 SHQ458743:SHQ458746 SHQ524279:SHQ524282 SHQ589815:SHQ589818 SHQ655351:SHQ655354 SHQ720887:SHQ720890 SHQ786423:SHQ786426 SHQ851959:SHQ851962 SHQ917495:SHQ917498 SHQ983031:SHQ983034 SRM3:SRM6 SRM65527:SRM65530 SRM131063:SRM131066 SRM196599:SRM196602 SRM262135:SRM262138 SRM327671:SRM327674 SRM393207:SRM393210 SRM458743:SRM458746 SRM524279:SRM524282 SRM589815:SRM589818 SRM655351:SRM655354 SRM720887:SRM720890 SRM786423:SRM786426 SRM851959:SRM851962 SRM917495:SRM917498 SRM983031:SRM983034 TBI3:TBI6 TBI65527:TBI65530 TBI131063:TBI131066 TBI196599:TBI196602 TBI262135:TBI262138 TBI327671:TBI327674 TBI393207:TBI393210 TBI458743:TBI458746 TBI524279:TBI524282 TBI589815:TBI589818 TBI655351:TBI655354 TBI720887:TBI720890 TBI786423:TBI786426 TBI851959:TBI851962 TBI917495:TBI917498 TBI983031:TBI983034 TLE3:TLE6 TLE65527:TLE65530 TLE131063:TLE131066 TLE196599:TLE196602 TLE262135:TLE262138 TLE327671:TLE327674 TLE393207:TLE393210 TLE458743:TLE458746 TLE524279:TLE524282 TLE589815:TLE589818 TLE655351:TLE655354 TLE720887:TLE720890 TLE786423:TLE786426 TLE851959:TLE851962 TLE917495:TLE917498 TLE983031:TLE983034 TVA3:TVA6 TVA65527:TVA65530 TVA131063:TVA131066 TVA196599:TVA196602 TVA262135:TVA262138 TVA327671:TVA327674 TVA393207:TVA393210 TVA458743:TVA458746 TVA524279:TVA524282 TVA589815:TVA589818 TVA655351:TVA655354 TVA720887:TVA720890 TVA786423:TVA786426 TVA851959:TVA851962 TVA917495:TVA917498 TVA983031:TVA983034 UEW3:UEW6 UEW65527:UEW65530 UEW131063:UEW131066 UEW196599:UEW196602 UEW262135:UEW262138 UEW327671:UEW327674 UEW393207:UEW393210 UEW458743:UEW458746 UEW524279:UEW524282 UEW589815:UEW589818 UEW655351:UEW655354 UEW720887:UEW720890 UEW786423:UEW786426 UEW851959:UEW851962 UEW917495:UEW917498 UEW983031:UEW983034 UOS3:UOS6 UOS65527:UOS65530 UOS131063:UOS131066 UOS196599:UOS196602 UOS262135:UOS262138 UOS327671:UOS327674 UOS393207:UOS393210 UOS458743:UOS458746 UOS524279:UOS524282 UOS589815:UOS589818 UOS655351:UOS655354 UOS720887:UOS720890 UOS786423:UOS786426 UOS851959:UOS851962 UOS917495:UOS917498 UOS983031:UOS983034 UYO3:UYO6 UYO65527:UYO65530 UYO131063:UYO131066 UYO196599:UYO196602 UYO262135:UYO262138 UYO327671:UYO327674 UYO393207:UYO393210 UYO458743:UYO458746 UYO524279:UYO524282 UYO589815:UYO589818 UYO655351:UYO655354 UYO720887:UYO720890 UYO786423:UYO786426 UYO851959:UYO851962 UYO917495:UYO917498 UYO983031:UYO983034 VIK3:VIK6 VIK65527:VIK65530 VIK131063:VIK131066 VIK196599:VIK196602 VIK262135:VIK262138 VIK327671:VIK327674 VIK393207:VIK393210 VIK458743:VIK458746 VIK524279:VIK524282 VIK589815:VIK589818 VIK655351:VIK655354 VIK720887:VIK720890 VIK786423:VIK786426 VIK851959:VIK851962 VIK917495:VIK917498 VIK983031:VIK983034 VSG3:VSG6 VSG65527:VSG65530 VSG131063:VSG131066 VSG196599:VSG196602 VSG262135:VSG262138 VSG327671:VSG327674 VSG393207:VSG393210 VSG458743:VSG458746 VSG524279:VSG524282 VSG589815:VSG589818 VSG655351:VSG655354 VSG720887:VSG720890 VSG786423:VSG786426 VSG851959:VSG851962 VSG917495:VSG917498 VSG983031:VSG983034 WCC3:WCC6 WCC65527:WCC65530 WCC131063:WCC131066 WCC196599:WCC196602 WCC262135:WCC262138 WCC327671:WCC327674 WCC393207:WCC393210 WCC458743:WCC458746 WCC524279:WCC524282 WCC589815:WCC589818 WCC655351:WCC655354 WCC720887:WCC720890 WCC786423:WCC786426 WCC851959:WCC851962 WCC917495:WCC917498 WCC983031:WCC983034 WLY3:WLY6 WLY65527:WLY65530 WLY131063:WLY131066 WLY196599:WLY196602 WLY262135:WLY262138 WLY327671:WLY327674 WLY393207:WLY393210 WLY458743:WLY458746 WLY524279:WLY524282 WLY589815:WLY589818 WLY655351:WLY655354 WLY720887:WLY720890 WLY786423:WLY786426 WLY851959:WLY851962 WLY917495:WLY917498 WLY983031:WLY983034 WVU3:WVU6 WVU65527:WVU65530 WVU131063:WVU131066 WVU196599:WVU196602 WVU262135:WVU262138 WVU327671:WVU327674 WVU393207:WVU393210 WVU458743:WVU458746 WVU524279:WVU524282 WVU589815:WVU589818 WVU655351:WVU655354 WVU720887:WVU720890 WVU786423:WVU786426 WVU851959:WVU851962 WVU917495:WVU917498 WVU983031:WVU983034" xr:uid="{00000000-0002-0000-0700-000009000000}"/>
    <dataValidation allowBlank="1" showInputMessage="1" showErrorMessage="1" prompt="Do not change." sqref="X2:AH3 X65526:AH65527 X131062:AH131063 X196598:AH196599 X262134:AH262135 X327670:AH327671 X393206:AH393207 X458742:AH458743 X524278:AH524279 X589814:AH589815 X655350:AH655351 X720886:AH720887 X786422:AH786423 X851958:AH851959 X917494:AH917495 X983030:AH983031 Z7:AH7 Z65531:AH65531 Z131067:AH131067 Z196603:AH196603 Z262139:AH262139 Z327675:AH327675 Z393211:AH393211 Z458747:AH458747 Z524283:AH524283 Z589819:AH589819 Z655355:AH655355 Z720891:AH720891 Z786427:AH786427 Z851963:AH851963 Z917499:AH917499 Z983035:AH983035 JT2:KD3 JT65526:KD65527 JT131062:KD131063 JT196598:KD196599 JT262134:KD262135 JT327670:KD327671 JT393206:KD393207 JT458742:KD458743 JT524278:KD524279 JT589814:KD589815 JT655350:KD655351 JT720886:KD720887 JT786422:KD786423 JT851958:KD851959 JT917494:KD917495 JT983030:KD983031 JV7:KD7 JV65531:KD65531 JV131067:KD131067 JV196603:KD196603 JV262139:KD262139 JV327675:KD327675 JV393211:KD393211 JV458747:KD458747 JV524283:KD524283 JV589819:KD589819 JV655355:KD655355 JV720891:KD720891 JV786427:KD786427 JV851963:KD851963 JV917499:KD917499 JV983035:KD983035 TP2:TZ3 TP65526:TZ65527 TP131062:TZ131063 TP196598:TZ196599 TP262134:TZ262135 TP327670:TZ327671 TP393206:TZ393207 TP458742:TZ458743 TP524278:TZ524279 TP589814:TZ589815 TP655350:TZ655351 TP720886:TZ720887 TP786422:TZ786423 TP851958:TZ851959 TP917494:TZ917495 TP983030:TZ983031 TR7:TZ7 TR65531:TZ65531 TR131067:TZ131067 TR196603:TZ196603 TR262139:TZ262139 TR327675:TZ327675 TR393211:TZ393211 TR458747:TZ458747 TR524283:TZ524283 TR589819:TZ589819 TR655355:TZ655355 TR720891:TZ720891 TR786427:TZ786427 TR851963:TZ851963 TR917499:TZ917499 TR983035:TZ983035 ADL2:ADV3 ADL65526:ADV65527 ADL131062:ADV131063 ADL196598:ADV196599 ADL262134:ADV262135 ADL327670:ADV327671 ADL393206:ADV393207 ADL458742:ADV458743 ADL524278:ADV524279 ADL589814:ADV589815 ADL655350:ADV655351 ADL720886:ADV720887 ADL786422:ADV786423 ADL851958:ADV851959 ADL917494:ADV917495 ADL983030:ADV983031 ADN7:ADV7 ADN65531:ADV65531 ADN131067:ADV131067 ADN196603:ADV196603 ADN262139:ADV262139 ADN327675:ADV327675 ADN393211:ADV393211 ADN458747:ADV458747 ADN524283:ADV524283 ADN589819:ADV589819 ADN655355:ADV655355 ADN720891:ADV720891 ADN786427:ADV786427 ADN851963:ADV851963 ADN917499:ADV917499 ADN983035:ADV983035 ANH2:ANR3 ANH65526:ANR65527 ANH131062:ANR131063 ANH196598:ANR196599 ANH262134:ANR262135 ANH327670:ANR327671 ANH393206:ANR393207 ANH458742:ANR458743 ANH524278:ANR524279 ANH589814:ANR589815 ANH655350:ANR655351 ANH720886:ANR720887 ANH786422:ANR786423 ANH851958:ANR851959 ANH917494:ANR917495 ANH983030:ANR983031 ANJ7:ANR7 ANJ65531:ANR65531 ANJ131067:ANR131067 ANJ196603:ANR196603 ANJ262139:ANR262139 ANJ327675:ANR327675 ANJ393211:ANR393211 ANJ458747:ANR458747 ANJ524283:ANR524283 ANJ589819:ANR589819 ANJ655355:ANR655355 ANJ720891:ANR720891 ANJ786427:ANR786427 ANJ851963:ANR851963 ANJ917499:ANR917499 ANJ983035:ANR983035 AXD2:AXN3 AXD65526:AXN65527 AXD131062:AXN131063 AXD196598:AXN196599 AXD262134:AXN262135 AXD327670:AXN327671 AXD393206:AXN393207 AXD458742:AXN458743 AXD524278:AXN524279 AXD589814:AXN589815 AXD655350:AXN655351 AXD720886:AXN720887 AXD786422:AXN786423 AXD851958:AXN851959 AXD917494:AXN917495 AXD983030:AXN983031 AXF7:AXN7 AXF65531:AXN65531 AXF131067:AXN131067 AXF196603:AXN196603 AXF262139:AXN262139 AXF327675:AXN327675 AXF393211:AXN393211 AXF458747:AXN458747 AXF524283:AXN524283 AXF589819:AXN589819 AXF655355:AXN655355 AXF720891:AXN720891 AXF786427:AXN786427 AXF851963:AXN851963 AXF917499:AXN917499 AXF983035:AXN983035 BGZ2:BHJ3 BGZ65526:BHJ65527 BGZ131062:BHJ131063 BGZ196598:BHJ196599 BGZ262134:BHJ262135 BGZ327670:BHJ327671 BGZ393206:BHJ393207 BGZ458742:BHJ458743 BGZ524278:BHJ524279 BGZ589814:BHJ589815 BGZ655350:BHJ655351 BGZ720886:BHJ720887 BGZ786422:BHJ786423 BGZ851958:BHJ851959 BGZ917494:BHJ917495 BGZ983030:BHJ983031 BHB7:BHJ7 BHB65531:BHJ65531 BHB131067:BHJ131067 BHB196603:BHJ196603 BHB262139:BHJ262139 BHB327675:BHJ327675 BHB393211:BHJ393211 BHB458747:BHJ458747 BHB524283:BHJ524283 BHB589819:BHJ589819 BHB655355:BHJ655355 BHB720891:BHJ720891 BHB786427:BHJ786427 BHB851963:BHJ851963 BHB917499:BHJ917499 BHB983035:BHJ983035 BQV2:BRF3 BQV65526:BRF65527 BQV131062:BRF131063 BQV196598:BRF196599 BQV262134:BRF262135 BQV327670:BRF327671 BQV393206:BRF393207 BQV458742:BRF458743 BQV524278:BRF524279 BQV589814:BRF589815 BQV655350:BRF655351 BQV720886:BRF720887 BQV786422:BRF786423 BQV851958:BRF851959 BQV917494:BRF917495 BQV983030:BRF983031 BQX7:BRF7 BQX65531:BRF65531 BQX131067:BRF131067 BQX196603:BRF196603 BQX262139:BRF262139 BQX327675:BRF327675 BQX393211:BRF393211 BQX458747:BRF458747 BQX524283:BRF524283 BQX589819:BRF589819 BQX655355:BRF655355 BQX720891:BRF720891 BQX786427:BRF786427 BQX851963:BRF851963 BQX917499:BRF917499 BQX983035:BRF983035 CAR2:CBB3 CAR65526:CBB65527 CAR131062:CBB131063 CAR196598:CBB196599 CAR262134:CBB262135 CAR327670:CBB327671 CAR393206:CBB393207 CAR458742:CBB458743 CAR524278:CBB524279 CAR589814:CBB589815 CAR655350:CBB655351 CAR720886:CBB720887 CAR786422:CBB786423 CAR851958:CBB851959 CAR917494:CBB917495 CAR983030:CBB983031 CAT7:CBB7 CAT65531:CBB65531 CAT131067:CBB131067 CAT196603:CBB196603 CAT262139:CBB262139 CAT327675:CBB327675 CAT393211:CBB393211 CAT458747:CBB458747 CAT524283:CBB524283 CAT589819:CBB589819 CAT655355:CBB655355 CAT720891:CBB720891 CAT786427:CBB786427 CAT851963:CBB851963 CAT917499:CBB917499 CAT983035:CBB983035 CKN2:CKX3 CKN65526:CKX65527 CKN131062:CKX131063 CKN196598:CKX196599 CKN262134:CKX262135 CKN327670:CKX327671 CKN393206:CKX393207 CKN458742:CKX458743 CKN524278:CKX524279 CKN589814:CKX589815 CKN655350:CKX655351 CKN720886:CKX720887 CKN786422:CKX786423 CKN851958:CKX851959 CKN917494:CKX917495 CKN983030:CKX983031 CKP7:CKX7 CKP65531:CKX65531 CKP131067:CKX131067 CKP196603:CKX196603 CKP262139:CKX262139 CKP327675:CKX327675 CKP393211:CKX393211 CKP458747:CKX458747 CKP524283:CKX524283 CKP589819:CKX589819 CKP655355:CKX655355 CKP720891:CKX720891 CKP786427:CKX786427 CKP851963:CKX851963 CKP917499:CKX917499 CKP983035:CKX983035 CUJ2:CUT3 CUJ65526:CUT65527 CUJ131062:CUT131063 CUJ196598:CUT196599 CUJ262134:CUT262135 CUJ327670:CUT327671 CUJ393206:CUT393207 CUJ458742:CUT458743 CUJ524278:CUT524279 CUJ589814:CUT589815 CUJ655350:CUT655351 CUJ720886:CUT720887 CUJ786422:CUT786423 CUJ851958:CUT851959 CUJ917494:CUT917495 CUJ983030:CUT983031 CUL7:CUT7 CUL65531:CUT65531 CUL131067:CUT131067 CUL196603:CUT196603 CUL262139:CUT262139 CUL327675:CUT327675 CUL393211:CUT393211 CUL458747:CUT458747 CUL524283:CUT524283 CUL589819:CUT589819 CUL655355:CUT655355 CUL720891:CUT720891 CUL786427:CUT786427 CUL851963:CUT851963 CUL917499:CUT917499 CUL983035:CUT983035 DEF2:DEP3 DEF65526:DEP65527 DEF131062:DEP131063 DEF196598:DEP196599 DEF262134:DEP262135 DEF327670:DEP327671 DEF393206:DEP393207 DEF458742:DEP458743 DEF524278:DEP524279 DEF589814:DEP589815 DEF655350:DEP655351 DEF720886:DEP720887 DEF786422:DEP786423 DEF851958:DEP851959 DEF917494:DEP917495 DEF983030:DEP983031 DEH7:DEP7 DEH65531:DEP65531 DEH131067:DEP131067 DEH196603:DEP196603 DEH262139:DEP262139 DEH327675:DEP327675 DEH393211:DEP393211 DEH458747:DEP458747 DEH524283:DEP524283 DEH589819:DEP589819 DEH655355:DEP655355 DEH720891:DEP720891 DEH786427:DEP786427 DEH851963:DEP851963 DEH917499:DEP917499 DEH983035:DEP983035 DOB2:DOL3 DOB65526:DOL65527 DOB131062:DOL131063 DOB196598:DOL196599 DOB262134:DOL262135 DOB327670:DOL327671 DOB393206:DOL393207 DOB458742:DOL458743 DOB524278:DOL524279 DOB589814:DOL589815 DOB655350:DOL655351 DOB720886:DOL720887 DOB786422:DOL786423 DOB851958:DOL851959 DOB917494:DOL917495 DOB983030:DOL983031 DOD7:DOL7 DOD65531:DOL65531 DOD131067:DOL131067 DOD196603:DOL196603 DOD262139:DOL262139 DOD327675:DOL327675 DOD393211:DOL393211 DOD458747:DOL458747 DOD524283:DOL524283 DOD589819:DOL589819 DOD655355:DOL655355 DOD720891:DOL720891 DOD786427:DOL786427 DOD851963:DOL851963 DOD917499:DOL917499 DOD983035:DOL983035 DXX2:DYH3 DXX65526:DYH65527 DXX131062:DYH131063 DXX196598:DYH196599 DXX262134:DYH262135 DXX327670:DYH327671 DXX393206:DYH393207 DXX458742:DYH458743 DXX524278:DYH524279 DXX589814:DYH589815 DXX655350:DYH655351 DXX720886:DYH720887 DXX786422:DYH786423 DXX851958:DYH851959 DXX917494:DYH917495 DXX983030:DYH983031 DXZ7:DYH7 DXZ65531:DYH65531 DXZ131067:DYH131067 DXZ196603:DYH196603 DXZ262139:DYH262139 DXZ327675:DYH327675 DXZ393211:DYH393211 DXZ458747:DYH458747 DXZ524283:DYH524283 DXZ589819:DYH589819 DXZ655355:DYH655355 DXZ720891:DYH720891 DXZ786427:DYH786427 DXZ851963:DYH851963 DXZ917499:DYH917499 DXZ983035:DYH983035 EHT2:EID3 EHT65526:EID65527 EHT131062:EID131063 EHT196598:EID196599 EHT262134:EID262135 EHT327670:EID327671 EHT393206:EID393207 EHT458742:EID458743 EHT524278:EID524279 EHT589814:EID589815 EHT655350:EID655351 EHT720886:EID720887 EHT786422:EID786423 EHT851958:EID851959 EHT917494:EID917495 EHT983030:EID983031 EHV7:EID7 EHV65531:EID65531 EHV131067:EID131067 EHV196603:EID196603 EHV262139:EID262139 EHV327675:EID327675 EHV393211:EID393211 EHV458747:EID458747 EHV524283:EID524283 EHV589819:EID589819 EHV655355:EID655355 EHV720891:EID720891 EHV786427:EID786427 EHV851963:EID851963 EHV917499:EID917499 EHV983035:EID983035 ERP2:ERZ3 ERP65526:ERZ65527 ERP131062:ERZ131063 ERP196598:ERZ196599 ERP262134:ERZ262135 ERP327670:ERZ327671 ERP393206:ERZ393207 ERP458742:ERZ458743 ERP524278:ERZ524279 ERP589814:ERZ589815 ERP655350:ERZ655351 ERP720886:ERZ720887 ERP786422:ERZ786423 ERP851958:ERZ851959 ERP917494:ERZ917495 ERP983030:ERZ983031 ERR7:ERZ7 ERR65531:ERZ65531 ERR131067:ERZ131067 ERR196603:ERZ196603 ERR262139:ERZ262139 ERR327675:ERZ327675 ERR393211:ERZ393211 ERR458747:ERZ458747 ERR524283:ERZ524283 ERR589819:ERZ589819 ERR655355:ERZ655355 ERR720891:ERZ720891 ERR786427:ERZ786427 ERR851963:ERZ851963 ERR917499:ERZ917499 ERR983035:ERZ983035 FBL2:FBV3 FBL65526:FBV65527 FBL131062:FBV131063 FBL196598:FBV196599 FBL262134:FBV262135 FBL327670:FBV327671 FBL393206:FBV393207 FBL458742:FBV458743 FBL524278:FBV524279 FBL589814:FBV589815 FBL655350:FBV655351 FBL720886:FBV720887 FBL786422:FBV786423 FBL851958:FBV851959 FBL917494:FBV917495 FBL983030:FBV983031 FBN7:FBV7 FBN65531:FBV65531 FBN131067:FBV131067 FBN196603:FBV196603 FBN262139:FBV262139 FBN327675:FBV327675 FBN393211:FBV393211 FBN458747:FBV458747 FBN524283:FBV524283 FBN589819:FBV589819 FBN655355:FBV655355 FBN720891:FBV720891 FBN786427:FBV786427 FBN851963:FBV851963 FBN917499:FBV917499 FBN983035:FBV983035 FLH2:FLR3 FLH65526:FLR65527 FLH131062:FLR131063 FLH196598:FLR196599 FLH262134:FLR262135 FLH327670:FLR327671 FLH393206:FLR393207 FLH458742:FLR458743 FLH524278:FLR524279 FLH589814:FLR589815 FLH655350:FLR655351 FLH720886:FLR720887 FLH786422:FLR786423 FLH851958:FLR851959 FLH917494:FLR917495 FLH983030:FLR983031 FLJ7:FLR7 FLJ65531:FLR65531 FLJ131067:FLR131067 FLJ196603:FLR196603 FLJ262139:FLR262139 FLJ327675:FLR327675 FLJ393211:FLR393211 FLJ458747:FLR458747 FLJ524283:FLR524283 FLJ589819:FLR589819 FLJ655355:FLR655355 FLJ720891:FLR720891 FLJ786427:FLR786427 FLJ851963:FLR851963 FLJ917499:FLR917499 FLJ983035:FLR983035 FVD2:FVN3 FVD65526:FVN65527 FVD131062:FVN131063 FVD196598:FVN196599 FVD262134:FVN262135 FVD327670:FVN327671 FVD393206:FVN393207 FVD458742:FVN458743 FVD524278:FVN524279 FVD589814:FVN589815 FVD655350:FVN655351 FVD720886:FVN720887 FVD786422:FVN786423 FVD851958:FVN851959 FVD917494:FVN917495 FVD983030:FVN983031 FVF7:FVN7 FVF65531:FVN65531 FVF131067:FVN131067 FVF196603:FVN196603 FVF262139:FVN262139 FVF327675:FVN327675 FVF393211:FVN393211 FVF458747:FVN458747 FVF524283:FVN524283 FVF589819:FVN589819 FVF655355:FVN655355 FVF720891:FVN720891 FVF786427:FVN786427 FVF851963:FVN851963 FVF917499:FVN917499 FVF983035:FVN983035 GEZ2:GFJ3 GEZ65526:GFJ65527 GEZ131062:GFJ131063 GEZ196598:GFJ196599 GEZ262134:GFJ262135 GEZ327670:GFJ327671 GEZ393206:GFJ393207 GEZ458742:GFJ458743 GEZ524278:GFJ524279 GEZ589814:GFJ589815 GEZ655350:GFJ655351 GEZ720886:GFJ720887 GEZ786422:GFJ786423 GEZ851958:GFJ851959 GEZ917494:GFJ917495 GEZ983030:GFJ983031 GFB7:GFJ7 GFB65531:GFJ65531 GFB131067:GFJ131067 GFB196603:GFJ196603 GFB262139:GFJ262139 GFB327675:GFJ327675 GFB393211:GFJ393211 GFB458747:GFJ458747 GFB524283:GFJ524283 GFB589819:GFJ589819 GFB655355:GFJ655355 GFB720891:GFJ720891 GFB786427:GFJ786427 GFB851963:GFJ851963 GFB917499:GFJ917499 GFB983035:GFJ983035 GOV2:GPF3 GOV65526:GPF65527 GOV131062:GPF131063 GOV196598:GPF196599 GOV262134:GPF262135 GOV327670:GPF327671 GOV393206:GPF393207 GOV458742:GPF458743 GOV524278:GPF524279 GOV589814:GPF589815 GOV655350:GPF655351 GOV720886:GPF720887 GOV786422:GPF786423 GOV851958:GPF851959 GOV917494:GPF917495 GOV983030:GPF983031 GOX7:GPF7 GOX65531:GPF65531 GOX131067:GPF131067 GOX196603:GPF196603 GOX262139:GPF262139 GOX327675:GPF327675 GOX393211:GPF393211 GOX458747:GPF458747 GOX524283:GPF524283 GOX589819:GPF589819 GOX655355:GPF655355 GOX720891:GPF720891 GOX786427:GPF786427 GOX851963:GPF851963 GOX917499:GPF917499 GOX983035:GPF983035 GYR2:GZB3 GYR65526:GZB65527 GYR131062:GZB131063 GYR196598:GZB196599 GYR262134:GZB262135 GYR327670:GZB327671 GYR393206:GZB393207 GYR458742:GZB458743 GYR524278:GZB524279 GYR589814:GZB589815 GYR655350:GZB655351 GYR720886:GZB720887 GYR786422:GZB786423 GYR851958:GZB851959 GYR917494:GZB917495 GYR983030:GZB983031 GYT7:GZB7 GYT65531:GZB65531 GYT131067:GZB131067 GYT196603:GZB196603 GYT262139:GZB262139 GYT327675:GZB327675 GYT393211:GZB393211 GYT458747:GZB458747 GYT524283:GZB524283 GYT589819:GZB589819 GYT655355:GZB655355 GYT720891:GZB720891 GYT786427:GZB786427 GYT851963:GZB851963 GYT917499:GZB917499 GYT983035:GZB983035 HIN2:HIX3 HIN65526:HIX65527 HIN131062:HIX131063 HIN196598:HIX196599 HIN262134:HIX262135 HIN327670:HIX327671 HIN393206:HIX393207 HIN458742:HIX458743 HIN524278:HIX524279 HIN589814:HIX589815 HIN655350:HIX655351 HIN720886:HIX720887 HIN786422:HIX786423 HIN851958:HIX851959 HIN917494:HIX917495 HIN983030:HIX983031 HIP7:HIX7 HIP65531:HIX65531 HIP131067:HIX131067 HIP196603:HIX196603 HIP262139:HIX262139 HIP327675:HIX327675 HIP393211:HIX393211 HIP458747:HIX458747 HIP524283:HIX524283 HIP589819:HIX589819 HIP655355:HIX655355 HIP720891:HIX720891 HIP786427:HIX786427 HIP851963:HIX851963 HIP917499:HIX917499 HIP983035:HIX983035 HSJ2:HST3 HSJ65526:HST65527 HSJ131062:HST131063 HSJ196598:HST196599 HSJ262134:HST262135 HSJ327670:HST327671 HSJ393206:HST393207 HSJ458742:HST458743 HSJ524278:HST524279 HSJ589814:HST589815 HSJ655350:HST655351 HSJ720886:HST720887 HSJ786422:HST786423 HSJ851958:HST851959 HSJ917494:HST917495 HSJ983030:HST983031 HSL7:HST7 HSL65531:HST65531 HSL131067:HST131067 HSL196603:HST196603 HSL262139:HST262139 HSL327675:HST327675 HSL393211:HST393211 HSL458747:HST458747 HSL524283:HST524283 HSL589819:HST589819 HSL655355:HST655355 HSL720891:HST720891 HSL786427:HST786427 HSL851963:HST851963 HSL917499:HST917499 HSL983035:HST983035 ICF2:ICP3 ICF65526:ICP65527 ICF131062:ICP131063 ICF196598:ICP196599 ICF262134:ICP262135 ICF327670:ICP327671 ICF393206:ICP393207 ICF458742:ICP458743 ICF524278:ICP524279 ICF589814:ICP589815 ICF655350:ICP655351 ICF720886:ICP720887 ICF786422:ICP786423 ICF851958:ICP851959 ICF917494:ICP917495 ICF983030:ICP983031 ICH7:ICP7 ICH65531:ICP65531 ICH131067:ICP131067 ICH196603:ICP196603 ICH262139:ICP262139 ICH327675:ICP327675 ICH393211:ICP393211 ICH458747:ICP458747 ICH524283:ICP524283 ICH589819:ICP589819 ICH655355:ICP655355 ICH720891:ICP720891 ICH786427:ICP786427 ICH851963:ICP851963 ICH917499:ICP917499 ICH983035:ICP983035 IMB2:IML3 IMB65526:IML65527 IMB131062:IML131063 IMB196598:IML196599 IMB262134:IML262135 IMB327670:IML327671 IMB393206:IML393207 IMB458742:IML458743 IMB524278:IML524279 IMB589814:IML589815 IMB655350:IML655351 IMB720886:IML720887 IMB786422:IML786423 IMB851958:IML851959 IMB917494:IML917495 IMB983030:IML983031 IMD7:IML7 IMD65531:IML65531 IMD131067:IML131067 IMD196603:IML196603 IMD262139:IML262139 IMD327675:IML327675 IMD393211:IML393211 IMD458747:IML458747 IMD524283:IML524283 IMD589819:IML589819 IMD655355:IML655355 IMD720891:IML720891 IMD786427:IML786427 IMD851963:IML851963 IMD917499:IML917499 IMD983035:IML983035 IVX2:IWH3 IVX65526:IWH65527 IVX131062:IWH131063 IVX196598:IWH196599 IVX262134:IWH262135 IVX327670:IWH327671 IVX393206:IWH393207 IVX458742:IWH458743 IVX524278:IWH524279 IVX589814:IWH589815 IVX655350:IWH655351 IVX720886:IWH720887 IVX786422:IWH786423 IVX851958:IWH851959 IVX917494:IWH917495 IVX983030:IWH983031 IVZ7:IWH7 IVZ65531:IWH65531 IVZ131067:IWH131067 IVZ196603:IWH196603 IVZ262139:IWH262139 IVZ327675:IWH327675 IVZ393211:IWH393211 IVZ458747:IWH458747 IVZ524283:IWH524283 IVZ589819:IWH589819 IVZ655355:IWH655355 IVZ720891:IWH720891 IVZ786427:IWH786427 IVZ851963:IWH851963 IVZ917499:IWH917499 IVZ983035:IWH983035 JFT2:JGD3 JFT65526:JGD65527 JFT131062:JGD131063 JFT196598:JGD196599 JFT262134:JGD262135 JFT327670:JGD327671 JFT393206:JGD393207 JFT458742:JGD458743 JFT524278:JGD524279 JFT589814:JGD589815 JFT655350:JGD655351 JFT720886:JGD720887 JFT786422:JGD786423 JFT851958:JGD851959 JFT917494:JGD917495 JFT983030:JGD983031 JFV7:JGD7 JFV65531:JGD65531 JFV131067:JGD131067 JFV196603:JGD196603 JFV262139:JGD262139 JFV327675:JGD327675 JFV393211:JGD393211 JFV458747:JGD458747 JFV524283:JGD524283 JFV589819:JGD589819 JFV655355:JGD655355 JFV720891:JGD720891 JFV786427:JGD786427 JFV851963:JGD851963 JFV917499:JGD917499 JFV983035:JGD983035 JPP2:JPZ3 JPP65526:JPZ65527 JPP131062:JPZ131063 JPP196598:JPZ196599 JPP262134:JPZ262135 JPP327670:JPZ327671 JPP393206:JPZ393207 JPP458742:JPZ458743 JPP524278:JPZ524279 JPP589814:JPZ589815 JPP655350:JPZ655351 JPP720886:JPZ720887 JPP786422:JPZ786423 JPP851958:JPZ851959 JPP917494:JPZ917495 JPP983030:JPZ983031 JPR7:JPZ7 JPR65531:JPZ65531 JPR131067:JPZ131067 JPR196603:JPZ196603 JPR262139:JPZ262139 JPR327675:JPZ327675 JPR393211:JPZ393211 JPR458747:JPZ458747 JPR524283:JPZ524283 JPR589819:JPZ589819 JPR655355:JPZ655355 JPR720891:JPZ720891 JPR786427:JPZ786427 JPR851963:JPZ851963 JPR917499:JPZ917499 JPR983035:JPZ983035 JZL2:JZV3 JZL65526:JZV65527 JZL131062:JZV131063 JZL196598:JZV196599 JZL262134:JZV262135 JZL327670:JZV327671 JZL393206:JZV393207 JZL458742:JZV458743 JZL524278:JZV524279 JZL589814:JZV589815 JZL655350:JZV655351 JZL720886:JZV720887 JZL786422:JZV786423 JZL851958:JZV851959 JZL917494:JZV917495 JZL983030:JZV983031 JZN7:JZV7 JZN65531:JZV65531 JZN131067:JZV131067 JZN196603:JZV196603 JZN262139:JZV262139 JZN327675:JZV327675 JZN393211:JZV393211 JZN458747:JZV458747 JZN524283:JZV524283 JZN589819:JZV589819 JZN655355:JZV655355 JZN720891:JZV720891 JZN786427:JZV786427 JZN851963:JZV851963 JZN917499:JZV917499 JZN983035:JZV983035 KJH2:KJR3 KJH65526:KJR65527 KJH131062:KJR131063 KJH196598:KJR196599 KJH262134:KJR262135 KJH327670:KJR327671 KJH393206:KJR393207 KJH458742:KJR458743 KJH524278:KJR524279 KJH589814:KJR589815 KJH655350:KJR655351 KJH720886:KJR720887 KJH786422:KJR786423 KJH851958:KJR851959 KJH917494:KJR917495 KJH983030:KJR983031 KJJ7:KJR7 KJJ65531:KJR65531 KJJ131067:KJR131067 KJJ196603:KJR196603 KJJ262139:KJR262139 KJJ327675:KJR327675 KJJ393211:KJR393211 KJJ458747:KJR458747 KJJ524283:KJR524283 KJJ589819:KJR589819 KJJ655355:KJR655355 KJJ720891:KJR720891 KJJ786427:KJR786427 KJJ851963:KJR851963 KJJ917499:KJR917499 KJJ983035:KJR983035 KTD2:KTN3 KTD65526:KTN65527 KTD131062:KTN131063 KTD196598:KTN196599 KTD262134:KTN262135 KTD327670:KTN327671 KTD393206:KTN393207 KTD458742:KTN458743 KTD524278:KTN524279 KTD589814:KTN589815 KTD655350:KTN655351 KTD720886:KTN720887 KTD786422:KTN786423 KTD851958:KTN851959 KTD917494:KTN917495 KTD983030:KTN983031 KTF7:KTN7 KTF65531:KTN65531 KTF131067:KTN131067 KTF196603:KTN196603 KTF262139:KTN262139 KTF327675:KTN327675 KTF393211:KTN393211 KTF458747:KTN458747 KTF524283:KTN524283 KTF589819:KTN589819 KTF655355:KTN655355 KTF720891:KTN720891 KTF786427:KTN786427 KTF851963:KTN851963 KTF917499:KTN917499 KTF983035:KTN983035 LCZ2:LDJ3 LCZ65526:LDJ65527 LCZ131062:LDJ131063 LCZ196598:LDJ196599 LCZ262134:LDJ262135 LCZ327670:LDJ327671 LCZ393206:LDJ393207 LCZ458742:LDJ458743 LCZ524278:LDJ524279 LCZ589814:LDJ589815 LCZ655350:LDJ655351 LCZ720886:LDJ720887 LCZ786422:LDJ786423 LCZ851958:LDJ851959 LCZ917494:LDJ917495 LCZ983030:LDJ983031 LDB7:LDJ7 LDB65531:LDJ65531 LDB131067:LDJ131067 LDB196603:LDJ196603 LDB262139:LDJ262139 LDB327675:LDJ327675 LDB393211:LDJ393211 LDB458747:LDJ458747 LDB524283:LDJ524283 LDB589819:LDJ589819 LDB655355:LDJ655355 LDB720891:LDJ720891 LDB786427:LDJ786427 LDB851963:LDJ851963 LDB917499:LDJ917499 LDB983035:LDJ983035 LMV2:LNF3 LMV65526:LNF65527 LMV131062:LNF131063 LMV196598:LNF196599 LMV262134:LNF262135 LMV327670:LNF327671 LMV393206:LNF393207 LMV458742:LNF458743 LMV524278:LNF524279 LMV589814:LNF589815 LMV655350:LNF655351 LMV720886:LNF720887 LMV786422:LNF786423 LMV851958:LNF851959 LMV917494:LNF917495 LMV983030:LNF983031 LMX7:LNF7 LMX65531:LNF65531 LMX131067:LNF131067 LMX196603:LNF196603 LMX262139:LNF262139 LMX327675:LNF327675 LMX393211:LNF393211 LMX458747:LNF458747 LMX524283:LNF524283 LMX589819:LNF589819 LMX655355:LNF655355 LMX720891:LNF720891 LMX786427:LNF786427 LMX851963:LNF851963 LMX917499:LNF917499 LMX983035:LNF983035 LWR2:LXB3 LWR65526:LXB65527 LWR131062:LXB131063 LWR196598:LXB196599 LWR262134:LXB262135 LWR327670:LXB327671 LWR393206:LXB393207 LWR458742:LXB458743 LWR524278:LXB524279 LWR589814:LXB589815 LWR655350:LXB655351 LWR720886:LXB720887 LWR786422:LXB786423 LWR851958:LXB851959 LWR917494:LXB917495 LWR983030:LXB983031 LWT7:LXB7 LWT65531:LXB65531 LWT131067:LXB131067 LWT196603:LXB196603 LWT262139:LXB262139 LWT327675:LXB327675 LWT393211:LXB393211 LWT458747:LXB458747 LWT524283:LXB524283 LWT589819:LXB589819 LWT655355:LXB655355 LWT720891:LXB720891 LWT786427:LXB786427 LWT851963:LXB851963 LWT917499:LXB917499 LWT983035:LXB983035 MGN2:MGX3 MGN65526:MGX65527 MGN131062:MGX131063 MGN196598:MGX196599 MGN262134:MGX262135 MGN327670:MGX327671 MGN393206:MGX393207 MGN458742:MGX458743 MGN524278:MGX524279 MGN589814:MGX589815 MGN655350:MGX655351 MGN720886:MGX720887 MGN786422:MGX786423 MGN851958:MGX851959 MGN917494:MGX917495 MGN983030:MGX983031 MGP7:MGX7 MGP65531:MGX65531 MGP131067:MGX131067 MGP196603:MGX196603 MGP262139:MGX262139 MGP327675:MGX327675 MGP393211:MGX393211 MGP458747:MGX458747 MGP524283:MGX524283 MGP589819:MGX589819 MGP655355:MGX655355 MGP720891:MGX720891 MGP786427:MGX786427 MGP851963:MGX851963 MGP917499:MGX917499 MGP983035:MGX983035 MQJ2:MQT3 MQJ65526:MQT65527 MQJ131062:MQT131063 MQJ196598:MQT196599 MQJ262134:MQT262135 MQJ327670:MQT327671 MQJ393206:MQT393207 MQJ458742:MQT458743 MQJ524278:MQT524279 MQJ589814:MQT589815 MQJ655350:MQT655351 MQJ720886:MQT720887 MQJ786422:MQT786423 MQJ851958:MQT851959 MQJ917494:MQT917495 MQJ983030:MQT983031 MQL7:MQT7 MQL65531:MQT65531 MQL131067:MQT131067 MQL196603:MQT196603 MQL262139:MQT262139 MQL327675:MQT327675 MQL393211:MQT393211 MQL458747:MQT458747 MQL524283:MQT524283 MQL589819:MQT589819 MQL655355:MQT655355 MQL720891:MQT720891 MQL786427:MQT786427 MQL851963:MQT851963 MQL917499:MQT917499 MQL983035:MQT983035 NAF2:NAP3 NAF65526:NAP65527 NAF131062:NAP131063 NAF196598:NAP196599 NAF262134:NAP262135 NAF327670:NAP327671 NAF393206:NAP393207 NAF458742:NAP458743 NAF524278:NAP524279 NAF589814:NAP589815 NAF655350:NAP655351 NAF720886:NAP720887 NAF786422:NAP786423 NAF851958:NAP851959 NAF917494:NAP917495 NAF983030:NAP983031 NAH7:NAP7 NAH65531:NAP65531 NAH131067:NAP131067 NAH196603:NAP196603 NAH262139:NAP262139 NAH327675:NAP327675 NAH393211:NAP393211 NAH458747:NAP458747 NAH524283:NAP524283 NAH589819:NAP589819 NAH655355:NAP655355 NAH720891:NAP720891 NAH786427:NAP786427 NAH851963:NAP851963 NAH917499:NAP917499 NAH983035:NAP983035 NKB2:NKL3 NKB65526:NKL65527 NKB131062:NKL131063 NKB196598:NKL196599 NKB262134:NKL262135 NKB327670:NKL327671 NKB393206:NKL393207 NKB458742:NKL458743 NKB524278:NKL524279 NKB589814:NKL589815 NKB655350:NKL655351 NKB720886:NKL720887 NKB786422:NKL786423 NKB851958:NKL851959 NKB917494:NKL917495 NKB983030:NKL983031 NKD7:NKL7 NKD65531:NKL65531 NKD131067:NKL131067 NKD196603:NKL196603 NKD262139:NKL262139 NKD327675:NKL327675 NKD393211:NKL393211 NKD458747:NKL458747 NKD524283:NKL524283 NKD589819:NKL589819 NKD655355:NKL655355 NKD720891:NKL720891 NKD786427:NKL786427 NKD851963:NKL851963 NKD917499:NKL917499 NKD983035:NKL983035 NTX2:NUH3 NTX65526:NUH65527 NTX131062:NUH131063 NTX196598:NUH196599 NTX262134:NUH262135 NTX327670:NUH327671 NTX393206:NUH393207 NTX458742:NUH458743 NTX524278:NUH524279 NTX589814:NUH589815 NTX655350:NUH655351 NTX720886:NUH720887 NTX786422:NUH786423 NTX851958:NUH851959 NTX917494:NUH917495 NTX983030:NUH983031 NTZ7:NUH7 NTZ65531:NUH65531 NTZ131067:NUH131067 NTZ196603:NUH196603 NTZ262139:NUH262139 NTZ327675:NUH327675 NTZ393211:NUH393211 NTZ458747:NUH458747 NTZ524283:NUH524283 NTZ589819:NUH589819 NTZ655355:NUH655355 NTZ720891:NUH720891 NTZ786427:NUH786427 NTZ851963:NUH851963 NTZ917499:NUH917499 NTZ983035:NUH983035 ODT2:OED3 ODT65526:OED65527 ODT131062:OED131063 ODT196598:OED196599 ODT262134:OED262135 ODT327670:OED327671 ODT393206:OED393207 ODT458742:OED458743 ODT524278:OED524279 ODT589814:OED589815 ODT655350:OED655351 ODT720886:OED720887 ODT786422:OED786423 ODT851958:OED851959 ODT917494:OED917495 ODT983030:OED983031 ODV7:OED7 ODV65531:OED65531 ODV131067:OED131067 ODV196603:OED196603 ODV262139:OED262139 ODV327675:OED327675 ODV393211:OED393211 ODV458747:OED458747 ODV524283:OED524283 ODV589819:OED589819 ODV655355:OED655355 ODV720891:OED720891 ODV786427:OED786427 ODV851963:OED851963 ODV917499:OED917499 ODV983035:OED983035 ONP2:ONZ3 ONP65526:ONZ65527 ONP131062:ONZ131063 ONP196598:ONZ196599 ONP262134:ONZ262135 ONP327670:ONZ327671 ONP393206:ONZ393207 ONP458742:ONZ458743 ONP524278:ONZ524279 ONP589814:ONZ589815 ONP655350:ONZ655351 ONP720886:ONZ720887 ONP786422:ONZ786423 ONP851958:ONZ851959 ONP917494:ONZ917495 ONP983030:ONZ983031 ONR7:ONZ7 ONR65531:ONZ65531 ONR131067:ONZ131067 ONR196603:ONZ196603 ONR262139:ONZ262139 ONR327675:ONZ327675 ONR393211:ONZ393211 ONR458747:ONZ458747 ONR524283:ONZ524283 ONR589819:ONZ589819 ONR655355:ONZ655355 ONR720891:ONZ720891 ONR786427:ONZ786427 ONR851963:ONZ851963 ONR917499:ONZ917499 ONR983035:ONZ983035 OXL2:OXV3 OXL65526:OXV65527 OXL131062:OXV131063 OXL196598:OXV196599 OXL262134:OXV262135 OXL327670:OXV327671 OXL393206:OXV393207 OXL458742:OXV458743 OXL524278:OXV524279 OXL589814:OXV589815 OXL655350:OXV655351 OXL720886:OXV720887 OXL786422:OXV786423 OXL851958:OXV851959 OXL917494:OXV917495 OXL983030:OXV983031 OXN7:OXV7 OXN65531:OXV65531 OXN131067:OXV131067 OXN196603:OXV196603 OXN262139:OXV262139 OXN327675:OXV327675 OXN393211:OXV393211 OXN458747:OXV458747 OXN524283:OXV524283 OXN589819:OXV589819 OXN655355:OXV655355 OXN720891:OXV720891 OXN786427:OXV786427 OXN851963:OXV851963 OXN917499:OXV917499 OXN983035:OXV983035 PHH2:PHR3 PHH65526:PHR65527 PHH131062:PHR131063 PHH196598:PHR196599 PHH262134:PHR262135 PHH327670:PHR327671 PHH393206:PHR393207 PHH458742:PHR458743 PHH524278:PHR524279 PHH589814:PHR589815 PHH655350:PHR655351 PHH720886:PHR720887 PHH786422:PHR786423 PHH851958:PHR851959 PHH917494:PHR917495 PHH983030:PHR983031 PHJ7:PHR7 PHJ65531:PHR65531 PHJ131067:PHR131067 PHJ196603:PHR196603 PHJ262139:PHR262139 PHJ327675:PHR327675 PHJ393211:PHR393211 PHJ458747:PHR458747 PHJ524283:PHR524283 PHJ589819:PHR589819 PHJ655355:PHR655355 PHJ720891:PHR720891 PHJ786427:PHR786427 PHJ851963:PHR851963 PHJ917499:PHR917499 PHJ983035:PHR983035 PRD2:PRN3 PRD65526:PRN65527 PRD131062:PRN131063 PRD196598:PRN196599 PRD262134:PRN262135 PRD327670:PRN327671 PRD393206:PRN393207 PRD458742:PRN458743 PRD524278:PRN524279 PRD589814:PRN589815 PRD655350:PRN655351 PRD720886:PRN720887 PRD786422:PRN786423 PRD851958:PRN851959 PRD917494:PRN917495 PRD983030:PRN983031 PRF7:PRN7 PRF65531:PRN65531 PRF131067:PRN131067 PRF196603:PRN196603 PRF262139:PRN262139 PRF327675:PRN327675 PRF393211:PRN393211 PRF458747:PRN458747 PRF524283:PRN524283 PRF589819:PRN589819 PRF655355:PRN655355 PRF720891:PRN720891 PRF786427:PRN786427 PRF851963:PRN851963 PRF917499:PRN917499 PRF983035:PRN983035 QAZ2:QBJ3 QAZ65526:QBJ65527 QAZ131062:QBJ131063 QAZ196598:QBJ196599 QAZ262134:QBJ262135 QAZ327670:QBJ327671 QAZ393206:QBJ393207 QAZ458742:QBJ458743 QAZ524278:QBJ524279 QAZ589814:QBJ589815 QAZ655350:QBJ655351 QAZ720886:QBJ720887 QAZ786422:QBJ786423 QAZ851958:QBJ851959 QAZ917494:QBJ917495 QAZ983030:QBJ983031 QBB7:QBJ7 QBB65531:QBJ65531 QBB131067:QBJ131067 QBB196603:QBJ196603 QBB262139:QBJ262139 QBB327675:QBJ327675 QBB393211:QBJ393211 QBB458747:QBJ458747 QBB524283:QBJ524283 QBB589819:QBJ589819 QBB655355:QBJ655355 QBB720891:QBJ720891 QBB786427:QBJ786427 QBB851963:QBJ851963 QBB917499:QBJ917499 QBB983035:QBJ983035 QKV2:QLF3 QKV65526:QLF65527 QKV131062:QLF131063 QKV196598:QLF196599 QKV262134:QLF262135 QKV327670:QLF327671 QKV393206:QLF393207 QKV458742:QLF458743 QKV524278:QLF524279 QKV589814:QLF589815 QKV655350:QLF655351 QKV720886:QLF720887 QKV786422:QLF786423 QKV851958:QLF851959 QKV917494:QLF917495 QKV983030:QLF983031 QKX7:QLF7 QKX65531:QLF65531 QKX131067:QLF131067 QKX196603:QLF196603 QKX262139:QLF262139 QKX327675:QLF327675 QKX393211:QLF393211 QKX458747:QLF458747 QKX524283:QLF524283 QKX589819:QLF589819 QKX655355:QLF655355 QKX720891:QLF720891 QKX786427:QLF786427 QKX851963:QLF851963 QKX917499:QLF917499 QKX983035:QLF983035 QUR2:QVB3 QUR65526:QVB65527 QUR131062:QVB131063 QUR196598:QVB196599 QUR262134:QVB262135 QUR327670:QVB327671 QUR393206:QVB393207 QUR458742:QVB458743 QUR524278:QVB524279 QUR589814:QVB589815 QUR655350:QVB655351 QUR720886:QVB720887 QUR786422:QVB786423 QUR851958:QVB851959 QUR917494:QVB917495 QUR983030:QVB983031 QUT7:QVB7 QUT65531:QVB65531 QUT131067:QVB131067 QUT196603:QVB196603 QUT262139:QVB262139 QUT327675:QVB327675 QUT393211:QVB393211 QUT458747:QVB458747 QUT524283:QVB524283 QUT589819:QVB589819 QUT655355:QVB655355 QUT720891:QVB720891 QUT786427:QVB786427 QUT851963:QVB851963 QUT917499:QVB917499 QUT983035:QVB983035 REN2:REX3 REN65526:REX65527 REN131062:REX131063 REN196598:REX196599 REN262134:REX262135 REN327670:REX327671 REN393206:REX393207 REN458742:REX458743 REN524278:REX524279 REN589814:REX589815 REN655350:REX655351 REN720886:REX720887 REN786422:REX786423 REN851958:REX851959 REN917494:REX917495 REN983030:REX983031 REP7:REX7 REP65531:REX65531 REP131067:REX131067 REP196603:REX196603 REP262139:REX262139 REP327675:REX327675 REP393211:REX393211 REP458747:REX458747 REP524283:REX524283 REP589819:REX589819 REP655355:REX655355 REP720891:REX720891 REP786427:REX786427 REP851963:REX851963 REP917499:REX917499 REP983035:REX983035 ROJ2:ROT3 ROJ65526:ROT65527 ROJ131062:ROT131063 ROJ196598:ROT196599 ROJ262134:ROT262135 ROJ327670:ROT327671 ROJ393206:ROT393207 ROJ458742:ROT458743 ROJ524278:ROT524279 ROJ589814:ROT589815 ROJ655350:ROT655351 ROJ720886:ROT720887 ROJ786422:ROT786423 ROJ851958:ROT851959 ROJ917494:ROT917495 ROJ983030:ROT983031 ROL7:ROT7 ROL65531:ROT65531 ROL131067:ROT131067 ROL196603:ROT196603 ROL262139:ROT262139 ROL327675:ROT327675 ROL393211:ROT393211 ROL458747:ROT458747 ROL524283:ROT524283 ROL589819:ROT589819 ROL655355:ROT655355 ROL720891:ROT720891 ROL786427:ROT786427 ROL851963:ROT851963 ROL917499:ROT917499 ROL983035:ROT983035 RYF2:RYP3 RYF65526:RYP65527 RYF131062:RYP131063 RYF196598:RYP196599 RYF262134:RYP262135 RYF327670:RYP327671 RYF393206:RYP393207 RYF458742:RYP458743 RYF524278:RYP524279 RYF589814:RYP589815 RYF655350:RYP655351 RYF720886:RYP720887 RYF786422:RYP786423 RYF851958:RYP851959 RYF917494:RYP917495 RYF983030:RYP983031 RYH7:RYP7 RYH65531:RYP65531 RYH131067:RYP131067 RYH196603:RYP196603 RYH262139:RYP262139 RYH327675:RYP327675 RYH393211:RYP393211 RYH458747:RYP458747 RYH524283:RYP524283 RYH589819:RYP589819 RYH655355:RYP655355 RYH720891:RYP720891 RYH786427:RYP786427 RYH851963:RYP851963 RYH917499:RYP917499 RYH983035:RYP983035 SIB2:SIL3 SIB65526:SIL65527 SIB131062:SIL131063 SIB196598:SIL196599 SIB262134:SIL262135 SIB327670:SIL327671 SIB393206:SIL393207 SIB458742:SIL458743 SIB524278:SIL524279 SIB589814:SIL589815 SIB655350:SIL655351 SIB720886:SIL720887 SIB786422:SIL786423 SIB851958:SIL851959 SIB917494:SIL917495 SIB983030:SIL983031 SID7:SIL7 SID65531:SIL65531 SID131067:SIL131067 SID196603:SIL196603 SID262139:SIL262139 SID327675:SIL327675 SID393211:SIL393211 SID458747:SIL458747 SID524283:SIL524283 SID589819:SIL589819 SID655355:SIL655355 SID720891:SIL720891 SID786427:SIL786427 SID851963:SIL851963 SID917499:SIL917499 SID983035:SIL983035 SRX2:SSH3 SRX65526:SSH65527 SRX131062:SSH131063 SRX196598:SSH196599 SRX262134:SSH262135 SRX327670:SSH327671 SRX393206:SSH393207 SRX458742:SSH458743 SRX524278:SSH524279 SRX589814:SSH589815 SRX655350:SSH655351 SRX720886:SSH720887 SRX786422:SSH786423 SRX851958:SSH851959 SRX917494:SSH917495 SRX983030:SSH983031 SRZ7:SSH7 SRZ65531:SSH65531 SRZ131067:SSH131067 SRZ196603:SSH196603 SRZ262139:SSH262139 SRZ327675:SSH327675 SRZ393211:SSH393211 SRZ458747:SSH458747 SRZ524283:SSH524283 SRZ589819:SSH589819 SRZ655355:SSH655355 SRZ720891:SSH720891 SRZ786427:SSH786427 SRZ851963:SSH851963 SRZ917499:SSH917499 SRZ983035:SSH983035 TBT2:TCD3 TBT65526:TCD65527 TBT131062:TCD131063 TBT196598:TCD196599 TBT262134:TCD262135 TBT327670:TCD327671 TBT393206:TCD393207 TBT458742:TCD458743 TBT524278:TCD524279 TBT589814:TCD589815 TBT655350:TCD655351 TBT720886:TCD720887 TBT786422:TCD786423 TBT851958:TCD851959 TBT917494:TCD917495 TBT983030:TCD983031 TBV7:TCD7 TBV65531:TCD65531 TBV131067:TCD131067 TBV196603:TCD196603 TBV262139:TCD262139 TBV327675:TCD327675 TBV393211:TCD393211 TBV458747:TCD458747 TBV524283:TCD524283 TBV589819:TCD589819 TBV655355:TCD655355 TBV720891:TCD720891 TBV786427:TCD786427 TBV851963:TCD851963 TBV917499:TCD917499 TBV983035:TCD983035 TLP2:TLZ3 TLP65526:TLZ65527 TLP131062:TLZ131063 TLP196598:TLZ196599 TLP262134:TLZ262135 TLP327670:TLZ327671 TLP393206:TLZ393207 TLP458742:TLZ458743 TLP524278:TLZ524279 TLP589814:TLZ589815 TLP655350:TLZ655351 TLP720886:TLZ720887 TLP786422:TLZ786423 TLP851958:TLZ851959 TLP917494:TLZ917495 TLP983030:TLZ983031 TLR7:TLZ7 TLR65531:TLZ65531 TLR131067:TLZ131067 TLR196603:TLZ196603 TLR262139:TLZ262139 TLR327675:TLZ327675 TLR393211:TLZ393211 TLR458747:TLZ458747 TLR524283:TLZ524283 TLR589819:TLZ589819 TLR655355:TLZ655355 TLR720891:TLZ720891 TLR786427:TLZ786427 TLR851963:TLZ851963 TLR917499:TLZ917499 TLR983035:TLZ983035 TVL2:TVV3 TVL65526:TVV65527 TVL131062:TVV131063 TVL196598:TVV196599 TVL262134:TVV262135 TVL327670:TVV327671 TVL393206:TVV393207 TVL458742:TVV458743 TVL524278:TVV524279 TVL589814:TVV589815 TVL655350:TVV655351 TVL720886:TVV720887 TVL786422:TVV786423 TVL851958:TVV851959 TVL917494:TVV917495 TVL983030:TVV983031 TVN7:TVV7 TVN65531:TVV65531 TVN131067:TVV131067 TVN196603:TVV196603 TVN262139:TVV262139 TVN327675:TVV327675 TVN393211:TVV393211 TVN458747:TVV458747 TVN524283:TVV524283 TVN589819:TVV589819 TVN655355:TVV655355 TVN720891:TVV720891 TVN786427:TVV786427 TVN851963:TVV851963 TVN917499:TVV917499 TVN983035:TVV983035 UFH2:UFR3 UFH65526:UFR65527 UFH131062:UFR131063 UFH196598:UFR196599 UFH262134:UFR262135 UFH327670:UFR327671 UFH393206:UFR393207 UFH458742:UFR458743 UFH524278:UFR524279 UFH589814:UFR589815 UFH655350:UFR655351 UFH720886:UFR720887 UFH786422:UFR786423 UFH851958:UFR851959 UFH917494:UFR917495 UFH983030:UFR983031 UFJ7:UFR7 UFJ65531:UFR65531 UFJ131067:UFR131067 UFJ196603:UFR196603 UFJ262139:UFR262139 UFJ327675:UFR327675 UFJ393211:UFR393211 UFJ458747:UFR458747 UFJ524283:UFR524283 UFJ589819:UFR589819 UFJ655355:UFR655355 UFJ720891:UFR720891 UFJ786427:UFR786427 UFJ851963:UFR851963 UFJ917499:UFR917499 UFJ983035:UFR983035 UPD2:UPN3 UPD65526:UPN65527 UPD131062:UPN131063 UPD196598:UPN196599 UPD262134:UPN262135 UPD327670:UPN327671 UPD393206:UPN393207 UPD458742:UPN458743 UPD524278:UPN524279 UPD589814:UPN589815 UPD655350:UPN655351 UPD720886:UPN720887 UPD786422:UPN786423 UPD851958:UPN851959 UPD917494:UPN917495 UPD983030:UPN983031 UPF7:UPN7 UPF65531:UPN65531 UPF131067:UPN131067 UPF196603:UPN196603 UPF262139:UPN262139 UPF327675:UPN327675 UPF393211:UPN393211 UPF458747:UPN458747 UPF524283:UPN524283 UPF589819:UPN589819 UPF655355:UPN655355 UPF720891:UPN720891 UPF786427:UPN786427 UPF851963:UPN851963 UPF917499:UPN917499 UPF983035:UPN983035 UYZ2:UZJ3 UYZ65526:UZJ65527 UYZ131062:UZJ131063 UYZ196598:UZJ196599 UYZ262134:UZJ262135 UYZ327670:UZJ327671 UYZ393206:UZJ393207 UYZ458742:UZJ458743 UYZ524278:UZJ524279 UYZ589814:UZJ589815 UYZ655350:UZJ655351 UYZ720886:UZJ720887 UYZ786422:UZJ786423 UYZ851958:UZJ851959 UYZ917494:UZJ917495 UYZ983030:UZJ983031 UZB7:UZJ7 UZB65531:UZJ65531 UZB131067:UZJ131067 UZB196603:UZJ196603 UZB262139:UZJ262139 UZB327675:UZJ327675 UZB393211:UZJ393211 UZB458747:UZJ458747 UZB524283:UZJ524283 UZB589819:UZJ589819 UZB655355:UZJ655355 UZB720891:UZJ720891 UZB786427:UZJ786427 UZB851963:UZJ851963 UZB917499:UZJ917499 UZB983035:UZJ983035 VIV2:VJF3 VIV65526:VJF65527 VIV131062:VJF131063 VIV196598:VJF196599 VIV262134:VJF262135 VIV327670:VJF327671 VIV393206:VJF393207 VIV458742:VJF458743 VIV524278:VJF524279 VIV589814:VJF589815 VIV655350:VJF655351 VIV720886:VJF720887 VIV786422:VJF786423 VIV851958:VJF851959 VIV917494:VJF917495 VIV983030:VJF983031 VIX7:VJF7 VIX65531:VJF65531 VIX131067:VJF131067 VIX196603:VJF196603 VIX262139:VJF262139 VIX327675:VJF327675 VIX393211:VJF393211 VIX458747:VJF458747 VIX524283:VJF524283 VIX589819:VJF589819 VIX655355:VJF655355 VIX720891:VJF720891 VIX786427:VJF786427 VIX851963:VJF851963 VIX917499:VJF917499 VIX983035:VJF983035 VSR2:VTB3 VSR65526:VTB65527 VSR131062:VTB131063 VSR196598:VTB196599 VSR262134:VTB262135 VSR327670:VTB327671 VSR393206:VTB393207 VSR458742:VTB458743 VSR524278:VTB524279 VSR589814:VTB589815 VSR655350:VTB655351 VSR720886:VTB720887 VSR786422:VTB786423 VSR851958:VTB851959 VSR917494:VTB917495 VSR983030:VTB983031 VST7:VTB7 VST65531:VTB65531 VST131067:VTB131067 VST196603:VTB196603 VST262139:VTB262139 VST327675:VTB327675 VST393211:VTB393211 VST458747:VTB458747 VST524283:VTB524283 VST589819:VTB589819 VST655355:VTB655355 VST720891:VTB720891 VST786427:VTB786427 VST851963:VTB851963 VST917499:VTB917499 VST983035:VTB983035 WCN2:WCX3 WCN65526:WCX65527 WCN131062:WCX131063 WCN196598:WCX196599 WCN262134:WCX262135 WCN327670:WCX327671 WCN393206:WCX393207 WCN458742:WCX458743 WCN524278:WCX524279 WCN589814:WCX589815 WCN655350:WCX655351 WCN720886:WCX720887 WCN786422:WCX786423 WCN851958:WCX851959 WCN917494:WCX917495 WCN983030:WCX983031 WCP7:WCX7 WCP65531:WCX65531 WCP131067:WCX131067 WCP196603:WCX196603 WCP262139:WCX262139 WCP327675:WCX327675 WCP393211:WCX393211 WCP458747:WCX458747 WCP524283:WCX524283 WCP589819:WCX589819 WCP655355:WCX655355 WCP720891:WCX720891 WCP786427:WCX786427 WCP851963:WCX851963 WCP917499:WCX917499 WCP983035:WCX983035 WMJ2:WMT3 WMJ65526:WMT65527 WMJ131062:WMT131063 WMJ196598:WMT196599 WMJ262134:WMT262135 WMJ327670:WMT327671 WMJ393206:WMT393207 WMJ458742:WMT458743 WMJ524278:WMT524279 WMJ589814:WMT589815 WMJ655350:WMT655351 WMJ720886:WMT720887 WMJ786422:WMT786423 WMJ851958:WMT851959 WMJ917494:WMT917495 WMJ983030:WMT983031 WML7:WMT7 WML65531:WMT65531 WML131067:WMT131067 WML196603:WMT196603 WML262139:WMT262139 WML327675:WMT327675 WML393211:WMT393211 WML458747:WMT458747 WML524283:WMT524283 WML589819:WMT589819 WML655355:WMT655355 WML720891:WMT720891 WML786427:WMT786427 WML851963:WMT851963 WML917499:WMT917499 WML983035:WMT983035 WWF2:WWP3 WWF65526:WWP65527 WWF131062:WWP131063 WWF196598:WWP196599 WWF262134:WWP262135 WWF327670:WWP327671 WWF393206:WWP393207 WWF458742:WWP458743 WWF524278:WWP524279 WWF589814:WWP589815 WWF655350:WWP655351 WWF720886:WWP720887 WWF786422:WWP786423 WWF851958:WWP851959 WWF917494:WWP917495 WWF983030:WWP983031 WWH7:WWP7 WWH65531:WWP65531 WWH131067:WWP131067 WWH196603:WWP196603 WWH262139:WWP262139 WWH327675:WWP327675 WWH393211:WWP393211 WWH458747:WWP458747 WWH524283:WWP524283 WWH589819:WWP589819 WWH655355:WWP655355 WWH720891:WWP720891 WWH786427:WWP786427 WWH851963:WWP851963 WWH917499:WWP917499 WWH983035:WWP983035" xr:uid="{00000000-0002-0000-0700-00000A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D65531 D131067 D196603 D262139 D327675 D393211 D458747 D524283 D589819 D655355 D720891 D786427 D851963 D917499 D983035 JA7 JA65531 JA131067 JA196603 JA262139 JA327675 JA393211 JA458747 JA524283 JA589819 JA655355 JA720891 JA786427 JA851963 JA917499 JA983035 SW7 SW65531 SW131067 SW196603 SW262139 SW327675 SW393211 SW458747 SW524283 SW589819 SW655355 SW720891 SW786427 SW851963 SW917499 SW983035 ACS7 ACS65531 ACS131067 ACS196603 ACS262139 ACS327675 ACS393211 ACS458747 ACS524283 ACS589819 ACS655355 ACS720891 ACS786427 ACS851963 ACS917499 ACS983035 AMO7 AMO65531 AMO131067 AMO196603 AMO262139 AMO327675 AMO393211 AMO458747 AMO524283 AMO589819 AMO655355 AMO720891 AMO786427 AMO851963 AMO917499 AMO983035 AWK7 AWK65531 AWK131067 AWK196603 AWK262139 AWK327675 AWK393211 AWK458747 AWK524283 AWK589819 AWK655355 AWK720891 AWK786427 AWK851963 AWK917499 AWK983035 BGG7 BGG65531 BGG131067 BGG196603 BGG262139 BGG327675 BGG393211 BGG458747 BGG524283 BGG589819 BGG655355 BGG720891 BGG786427 BGG851963 BGG917499 BGG983035 BQC7 BQC65531 BQC131067 BQC196603 BQC262139 BQC327675 BQC393211 BQC458747 BQC524283 BQC589819 BQC655355 BQC720891 BQC786427 BQC851963 BQC917499 BQC983035 BZY7 BZY65531 BZY131067 BZY196603 BZY262139 BZY327675 BZY393211 BZY458747 BZY524283 BZY589819 BZY655355 BZY720891 BZY786427 BZY851963 BZY917499 BZY983035 CJU7 CJU65531 CJU131067 CJU196603 CJU262139 CJU327675 CJU393211 CJU458747 CJU524283 CJU589819 CJU655355 CJU720891 CJU786427 CJU851963 CJU917499 CJU983035 CTQ7 CTQ65531 CTQ131067 CTQ196603 CTQ262139 CTQ327675 CTQ393211 CTQ458747 CTQ524283 CTQ589819 CTQ655355 CTQ720891 CTQ786427 CTQ851963 CTQ917499 CTQ983035 DDM7 DDM65531 DDM131067 DDM196603 DDM262139 DDM327675 DDM393211 DDM458747 DDM524283 DDM589819 DDM655355 DDM720891 DDM786427 DDM851963 DDM917499 DDM983035 DNI7 DNI65531 DNI131067 DNI196603 DNI262139 DNI327675 DNI393211 DNI458747 DNI524283 DNI589819 DNI655355 DNI720891 DNI786427 DNI851963 DNI917499 DNI983035 DXE7 DXE65531 DXE131067 DXE196603 DXE262139 DXE327675 DXE393211 DXE458747 DXE524283 DXE589819 DXE655355 DXE720891 DXE786427 DXE851963 DXE917499 DXE983035 EHA7 EHA65531 EHA131067 EHA196603 EHA262139 EHA327675 EHA393211 EHA458747 EHA524283 EHA589819 EHA655355 EHA720891 EHA786427 EHA851963 EHA917499 EHA983035 EQW7 EQW65531 EQW131067 EQW196603 EQW262139 EQW327675 EQW393211 EQW458747 EQW524283 EQW589819 EQW655355 EQW720891 EQW786427 EQW851963 EQW917499 EQW983035 FAS7 FAS65531 FAS131067 FAS196603 FAS262139 FAS327675 FAS393211 FAS458747 FAS524283 FAS589819 FAS655355 FAS720891 FAS786427 FAS851963 FAS917499 FAS983035 FKO7 FKO65531 FKO131067 FKO196603 FKO262139 FKO327675 FKO393211 FKO458747 FKO524283 FKO589819 FKO655355 FKO720891 FKO786427 FKO851963 FKO917499 FKO983035 FUK7 FUK65531 FUK131067 FUK196603 FUK262139 FUK327675 FUK393211 FUK458747 FUK524283 FUK589819 FUK655355 FUK720891 FUK786427 FUK851963 FUK917499 FUK983035 GEG7 GEG65531 GEG131067 GEG196603 GEG262139 GEG327675 GEG393211 GEG458747 GEG524283 GEG589819 GEG655355 GEG720891 GEG786427 GEG851963 GEG917499 GEG983035 GOC7 GOC65531 GOC131067 GOC196603 GOC262139 GOC327675 GOC393211 GOC458747 GOC524283 GOC589819 GOC655355 GOC720891 GOC786427 GOC851963 GOC917499 GOC983035 GXY7 GXY65531 GXY131067 GXY196603 GXY262139 GXY327675 GXY393211 GXY458747 GXY524283 GXY589819 GXY655355 GXY720891 GXY786427 GXY851963 GXY917499 GXY983035 HHU7 HHU65531 HHU131067 HHU196603 HHU262139 HHU327675 HHU393211 HHU458747 HHU524283 HHU589819 HHU655355 HHU720891 HHU786427 HHU851963 HHU917499 HHU983035 HRQ7 HRQ65531 HRQ131067 HRQ196603 HRQ262139 HRQ327675 HRQ393211 HRQ458747 HRQ524283 HRQ589819 HRQ655355 HRQ720891 HRQ786427 HRQ851963 HRQ917499 HRQ983035 IBM7 IBM65531 IBM131067 IBM196603 IBM262139 IBM327675 IBM393211 IBM458747 IBM524283 IBM589819 IBM655355 IBM720891 IBM786427 IBM851963 IBM917499 IBM983035 ILI7 ILI65531 ILI131067 ILI196603 ILI262139 ILI327675 ILI393211 ILI458747 ILI524283 ILI589819 ILI655355 ILI720891 ILI786427 ILI851963 ILI917499 ILI983035 IVE7 IVE65531 IVE131067 IVE196603 IVE262139 IVE327675 IVE393211 IVE458747 IVE524283 IVE589819 IVE655355 IVE720891 IVE786427 IVE851963 IVE917499 IVE983035 JFA7 JFA65531 JFA131067 JFA196603 JFA262139 JFA327675 JFA393211 JFA458747 JFA524283 JFA589819 JFA655355 JFA720891 JFA786427 JFA851963 JFA917499 JFA983035 JOW7 JOW65531 JOW131067 JOW196603 JOW262139 JOW327675 JOW393211 JOW458747 JOW524283 JOW589819 JOW655355 JOW720891 JOW786427 JOW851963 JOW917499 JOW983035 JYS7 JYS65531 JYS131067 JYS196603 JYS262139 JYS327675 JYS393211 JYS458747 JYS524283 JYS589819 JYS655355 JYS720891 JYS786427 JYS851963 JYS917499 JYS983035 KIO7 KIO65531 KIO131067 KIO196603 KIO262139 KIO327675 KIO393211 KIO458747 KIO524283 KIO589819 KIO655355 KIO720891 KIO786427 KIO851963 KIO917499 KIO983035 KSK7 KSK65531 KSK131067 KSK196603 KSK262139 KSK327675 KSK393211 KSK458747 KSK524283 KSK589819 KSK655355 KSK720891 KSK786427 KSK851963 KSK917499 KSK983035 LCG7 LCG65531 LCG131067 LCG196603 LCG262139 LCG327675 LCG393211 LCG458747 LCG524283 LCG589819 LCG655355 LCG720891 LCG786427 LCG851963 LCG917499 LCG983035 LMC7 LMC65531 LMC131067 LMC196603 LMC262139 LMC327675 LMC393211 LMC458747 LMC524283 LMC589819 LMC655355 LMC720891 LMC786427 LMC851963 LMC917499 LMC983035 LVY7 LVY65531 LVY131067 LVY196603 LVY262139 LVY327675 LVY393211 LVY458747 LVY524283 LVY589819 LVY655355 LVY720891 LVY786427 LVY851963 LVY917499 LVY983035 MFU7 MFU65531 MFU131067 MFU196603 MFU262139 MFU327675 MFU393211 MFU458747 MFU524283 MFU589819 MFU655355 MFU720891 MFU786427 MFU851963 MFU917499 MFU983035 MPQ7 MPQ65531 MPQ131067 MPQ196603 MPQ262139 MPQ327675 MPQ393211 MPQ458747 MPQ524283 MPQ589819 MPQ655355 MPQ720891 MPQ786427 MPQ851963 MPQ917499 MPQ983035 MZM7 MZM65531 MZM131067 MZM196603 MZM262139 MZM327675 MZM393211 MZM458747 MZM524283 MZM589819 MZM655355 MZM720891 MZM786427 MZM851963 MZM917499 MZM983035 NJI7 NJI65531 NJI131067 NJI196603 NJI262139 NJI327675 NJI393211 NJI458747 NJI524283 NJI589819 NJI655355 NJI720891 NJI786427 NJI851963 NJI917499 NJI983035 NTE7 NTE65531 NTE131067 NTE196603 NTE262139 NTE327675 NTE393211 NTE458747 NTE524283 NTE589819 NTE655355 NTE720891 NTE786427 NTE851963 NTE917499 NTE983035 ODA7 ODA65531 ODA131067 ODA196603 ODA262139 ODA327675 ODA393211 ODA458747 ODA524283 ODA589819 ODA655355 ODA720891 ODA786427 ODA851963 ODA917499 ODA983035 OMW7 OMW65531 OMW131067 OMW196603 OMW262139 OMW327675 OMW393211 OMW458747 OMW524283 OMW589819 OMW655355 OMW720891 OMW786427 OMW851963 OMW917499 OMW983035 OWS7 OWS65531 OWS131067 OWS196603 OWS262139 OWS327675 OWS393211 OWS458747 OWS524283 OWS589819 OWS655355 OWS720891 OWS786427 OWS851963 OWS917499 OWS983035 PGO7 PGO65531 PGO131067 PGO196603 PGO262139 PGO327675 PGO393211 PGO458747 PGO524283 PGO589819 PGO655355 PGO720891 PGO786427 PGO851963 PGO917499 PGO983035 PQK7 PQK65531 PQK131067 PQK196603 PQK262139 PQK327675 PQK393211 PQK458747 PQK524283 PQK589819 PQK655355 PQK720891 PQK786427 PQK851963 PQK917499 PQK983035 QAG7 QAG65531 QAG131067 QAG196603 QAG262139 QAG327675 QAG393211 QAG458747 QAG524283 QAG589819 QAG655355 QAG720891 QAG786427 QAG851963 QAG917499 QAG983035 QKC7 QKC65531 QKC131067 QKC196603 QKC262139 QKC327675 QKC393211 QKC458747 QKC524283 QKC589819 QKC655355 QKC720891 QKC786427 QKC851963 QKC917499 QKC983035 QTY7 QTY65531 QTY131067 QTY196603 QTY262139 QTY327675 QTY393211 QTY458747 QTY524283 QTY589819 QTY655355 QTY720891 QTY786427 QTY851963 QTY917499 QTY983035 RDU7 RDU65531 RDU131067 RDU196603 RDU262139 RDU327675 RDU393211 RDU458747 RDU524283 RDU589819 RDU655355 RDU720891 RDU786427 RDU851963 RDU917499 RDU983035 RNQ7 RNQ65531 RNQ131067 RNQ196603 RNQ262139 RNQ327675 RNQ393211 RNQ458747 RNQ524283 RNQ589819 RNQ655355 RNQ720891 RNQ786427 RNQ851963 RNQ917499 RNQ983035 RXM7 RXM65531 RXM131067 RXM196603 RXM262139 RXM327675 RXM393211 RXM458747 RXM524283 RXM589819 RXM655355 RXM720891 RXM786427 RXM851963 RXM917499 RXM983035 SHI7 SHI65531 SHI131067 SHI196603 SHI262139 SHI327675 SHI393211 SHI458747 SHI524283 SHI589819 SHI655355 SHI720891 SHI786427 SHI851963 SHI917499 SHI983035 SRE7 SRE65531 SRE131067 SRE196603 SRE262139 SRE327675 SRE393211 SRE458747 SRE524283 SRE589819 SRE655355 SRE720891 SRE786427 SRE851963 SRE917499 SRE983035 TBA7 TBA65531 TBA131067 TBA196603 TBA262139 TBA327675 TBA393211 TBA458747 TBA524283 TBA589819 TBA655355 TBA720891 TBA786427 TBA851963 TBA917499 TBA983035 TKW7 TKW65531 TKW131067 TKW196603 TKW262139 TKW327675 TKW393211 TKW458747 TKW524283 TKW589819 TKW655355 TKW720891 TKW786427 TKW851963 TKW917499 TKW983035 TUS7 TUS65531 TUS131067 TUS196603 TUS262139 TUS327675 TUS393211 TUS458747 TUS524283 TUS589819 TUS655355 TUS720891 TUS786427 TUS851963 TUS917499 TUS983035 UEO7 UEO65531 UEO131067 UEO196603 UEO262139 UEO327675 UEO393211 UEO458747 UEO524283 UEO589819 UEO655355 UEO720891 UEO786427 UEO851963 UEO917499 UEO983035 UOK7 UOK65531 UOK131067 UOK196603 UOK262139 UOK327675 UOK393211 UOK458747 UOK524283 UOK589819 UOK655355 UOK720891 UOK786427 UOK851963 UOK917499 UOK983035 UYG7 UYG65531 UYG131067 UYG196603 UYG262139 UYG327675 UYG393211 UYG458747 UYG524283 UYG589819 UYG655355 UYG720891 UYG786427 UYG851963 UYG917499 UYG983035 VIC7 VIC65531 VIC131067 VIC196603 VIC262139 VIC327675 VIC393211 VIC458747 VIC524283 VIC589819 VIC655355 VIC720891 VIC786427 VIC851963 VIC917499 VIC983035 VRY7 VRY65531 VRY131067 VRY196603 VRY262139 VRY327675 VRY393211 VRY458747 VRY524283 VRY589819 VRY655355 VRY720891 VRY786427 VRY851963 VRY917499 VRY983035 WBU7 WBU65531 WBU131067 WBU196603 WBU262139 WBU327675 WBU393211 WBU458747 WBU524283 WBU589819 WBU655355 WBU720891 WBU786427 WBU851963 WBU917499 WBU983035 WLQ7 WLQ65531 WLQ131067 WLQ196603 WLQ262139 WLQ327675 WLQ393211 WLQ458747 WLQ524283 WLQ589819 WLQ655355 WLQ720891 WLQ786427 WLQ851963 WLQ917499 WLQ983035 WVM7 WVM65531 WVM131067 WVM196603 WVM262139 WVM327675 WVM393211 WVM458747 WVM524283 WVM589819 WVM655355 WVM720891 WVM786427 WVM851963 WVM917499 WVM983035" xr:uid="{00000000-0002-0000-0700-00000B000000}"/>
    <dataValidation allowBlank="1" showInputMessage="1" showErrorMessage="1" promptTitle="Do not change" prompt="This field is automatically updated from the names-list" sqref="X8:X12 X65532:X65536 X131068:X131072 X196604:X196608 X262140:X262144 X327676:X327680 X393212:X393216 X458748:X458752 X524284:X524288 X589820:X589824 X655356:X655360 X720892:X720896 X786428:X786432 X851964:X851968 X917500:X917504 X983036:X983040 JT8:JT12 JT65532:JT65536 JT131068:JT131072 JT196604:JT196608 JT262140:JT262144 JT327676:JT327680 JT393212:JT393216 JT458748:JT458752 JT524284:JT524288 JT589820:JT589824 JT655356:JT655360 JT720892:JT720896 JT786428:JT786432 JT851964:JT851968 JT917500:JT917504 JT983036:JT983040 TP8:TP12 TP65532:TP65536 TP131068:TP131072 TP196604:TP196608 TP262140:TP262144 TP327676:TP327680 TP393212:TP393216 TP458748:TP458752 TP524284:TP524288 TP589820:TP589824 TP655356:TP655360 TP720892:TP720896 TP786428:TP786432 TP851964:TP851968 TP917500:TP917504 TP983036:TP983040 ADL8:ADL12 ADL65532:ADL65536 ADL131068:ADL131072 ADL196604:ADL196608 ADL262140:ADL262144 ADL327676:ADL327680 ADL393212:ADL393216 ADL458748:ADL458752 ADL524284:ADL524288 ADL589820:ADL589824 ADL655356:ADL655360 ADL720892:ADL720896 ADL786428:ADL786432 ADL851964:ADL851968 ADL917500:ADL917504 ADL983036:ADL983040 ANH8:ANH12 ANH65532:ANH65536 ANH131068:ANH131072 ANH196604:ANH196608 ANH262140:ANH262144 ANH327676:ANH327680 ANH393212:ANH393216 ANH458748:ANH458752 ANH524284:ANH524288 ANH589820:ANH589824 ANH655356:ANH655360 ANH720892:ANH720896 ANH786428:ANH786432 ANH851964:ANH851968 ANH917500:ANH917504 ANH983036:ANH983040 AXD8:AXD12 AXD65532:AXD65536 AXD131068:AXD131072 AXD196604:AXD196608 AXD262140:AXD262144 AXD327676:AXD327680 AXD393212:AXD393216 AXD458748:AXD458752 AXD524284:AXD524288 AXD589820:AXD589824 AXD655356:AXD655360 AXD720892:AXD720896 AXD786428:AXD786432 AXD851964:AXD851968 AXD917500:AXD917504 AXD983036:AXD983040 BGZ8:BGZ12 BGZ65532:BGZ65536 BGZ131068:BGZ131072 BGZ196604:BGZ196608 BGZ262140:BGZ262144 BGZ327676:BGZ327680 BGZ393212:BGZ393216 BGZ458748:BGZ458752 BGZ524284:BGZ524288 BGZ589820:BGZ589824 BGZ655356:BGZ655360 BGZ720892:BGZ720896 BGZ786428:BGZ786432 BGZ851964:BGZ851968 BGZ917500:BGZ917504 BGZ983036:BGZ983040 BQV8:BQV12 BQV65532:BQV65536 BQV131068:BQV131072 BQV196604:BQV196608 BQV262140:BQV262144 BQV327676:BQV327680 BQV393212:BQV393216 BQV458748:BQV458752 BQV524284:BQV524288 BQV589820:BQV589824 BQV655356:BQV655360 BQV720892:BQV720896 BQV786428:BQV786432 BQV851964:BQV851968 BQV917500:BQV917504 BQV983036:BQV983040 CAR8:CAR12 CAR65532:CAR65536 CAR131068:CAR131072 CAR196604:CAR196608 CAR262140:CAR262144 CAR327676:CAR327680 CAR393212:CAR393216 CAR458748:CAR458752 CAR524284:CAR524288 CAR589820:CAR589824 CAR655356:CAR655360 CAR720892:CAR720896 CAR786428:CAR786432 CAR851964:CAR851968 CAR917500:CAR917504 CAR983036:CAR983040 CKN8:CKN12 CKN65532:CKN65536 CKN131068:CKN131072 CKN196604:CKN196608 CKN262140:CKN262144 CKN327676:CKN327680 CKN393212:CKN393216 CKN458748:CKN458752 CKN524284:CKN524288 CKN589820:CKN589824 CKN655356:CKN655360 CKN720892:CKN720896 CKN786428:CKN786432 CKN851964:CKN851968 CKN917500:CKN917504 CKN983036:CKN983040 CUJ8:CUJ12 CUJ65532:CUJ65536 CUJ131068:CUJ131072 CUJ196604:CUJ196608 CUJ262140:CUJ262144 CUJ327676:CUJ327680 CUJ393212:CUJ393216 CUJ458748:CUJ458752 CUJ524284:CUJ524288 CUJ589820:CUJ589824 CUJ655356:CUJ655360 CUJ720892:CUJ720896 CUJ786428:CUJ786432 CUJ851964:CUJ851968 CUJ917500:CUJ917504 CUJ983036:CUJ983040 DEF8:DEF12 DEF65532:DEF65536 DEF131068:DEF131072 DEF196604:DEF196608 DEF262140:DEF262144 DEF327676:DEF327680 DEF393212:DEF393216 DEF458748:DEF458752 DEF524284:DEF524288 DEF589820:DEF589824 DEF655356:DEF655360 DEF720892:DEF720896 DEF786428:DEF786432 DEF851964:DEF851968 DEF917500:DEF917504 DEF983036:DEF983040 DOB8:DOB12 DOB65532:DOB65536 DOB131068:DOB131072 DOB196604:DOB196608 DOB262140:DOB262144 DOB327676:DOB327680 DOB393212:DOB393216 DOB458748:DOB458752 DOB524284:DOB524288 DOB589820:DOB589824 DOB655356:DOB655360 DOB720892:DOB720896 DOB786428:DOB786432 DOB851964:DOB851968 DOB917500:DOB917504 DOB983036:DOB983040 DXX8:DXX12 DXX65532:DXX65536 DXX131068:DXX131072 DXX196604:DXX196608 DXX262140:DXX262144 DXX327676:DXX327680 DXX393212:DXX393216 DXX458748:DXX458752 DXX524284:DXX524288 DXX589820:DXX589824 DXX655356:DXX655360 DXX720892:DXX720896 DXX786428:DXX786432 DXX851964:DXX851968 DXX917500:DXX917504 DXX983036:DXX983040 EHT8:EHT12 EHT65532:EHT65536 EHT131068:EHT131072 EHT196604:EHT196608 EHT262140:EHT262144 EHT327676:EHT327680 EHT393212:EHT393216 EHT458748:EHT458752 EHT524284:EHT524288 EHT589820:EHT589824 EHT655356:EHT655360 EHT720892:EHT720896 EHT786428:EHT786432 EHT851964:EHT851968 EHT917500:EHT917504 EHT983036:EHT983040 ERP8:ERP12 ERP65532:ERP65536 ERP131068:ERP131072 ERP196604:ERP196608 ERP262140:ERP262144 ERP327676:ERP327680 ERP393212:ERP393216 ERP458748:ERP458752 ERP524284:ERP524288 ERP589820:ERP589824 ERP655356:ERP655360 ERP720892:ERP720896 ERP786428:ERP786432 ERP851964:ERP851968 ERP917500:ERP917504 ERP983036:ERP983040 FBL8:FBL12 FBL65532:FBL65536 FBL131068:FBL131072 FBL196604:FBL196608 FBL262140:FBL262144 FBL327676:FBL327680 FBL393212:FBL393216 FBL458748:FBL458752 FBL524284:FBL524288 FBL589820:FBL589824 FBL655356:FBL655360 FBL720892:FBL720896 FBL786428:FBL786432 FBL851964:FBL851968 FBL917500:FBL917504 FBL983036:FBL983040 FLH8:FLH12 FLH65532:FLH65536 FLH131068:FLH131072 FLH196604:FLH196608 FLH262140:FLH262144 FLH327676:FLH327680 FLH393212:FLH393216 FLH458748:FLH458752 FLH524284:FLH524288 FLH589820:FLH589824 FLH655356:FLH655360 FLH720892:FLH720896 FLH786428:FLH786432 FLH851964:FLH851968 FLH917500:FLH917504 FLH983036:FLH983040 FVD8:FVD12 FVD65532:FVD65536 FVD131068:FVD131072 FVD196604:FVD196608 FVD262140:FVD262144 FVD327676:FVD327680 FVD393212:FVD393216 FVD458748:FVD458752 FVD524284:FVD524288 FVD589820:FVD589824 FVD655356:FVD655360 FVD720892:FVD720896 FVD786428:FVD786432 FVD851964:FVD851968 FVD917500:FVD917504 FVD983036:FVD983040 GEZ8:GEZ12 GEZ65532:GEZ65536 GEZ131068:GEZ131072 GEZ196604:GEZ196608 GEZ262140:GEZ262144 GEZ327676:GEZ327680 GEZ393212:GEZ393216 GEZ458748:GEZ458752 GEZ524284:GEZ524288 GEZ589820:GEZ589824 GEZ655356:GEZ655360 GEZ720892:GEZ720896 GEZ786428:GEZ786432 GEZ851964:GEZ851968 GEZ917500:GEZ917504 GEZ983036:GEZ983040 GOV8:GOV12 GOV65532:GOV65536 GOV131068:GOV131072 GOV196604:GOV196608 GOV262140:GOV262144 GOV327676:GOV327680 GOV393212:GOV393216 GOV458748:GOV458752 GOV524284:GOV524288 GOV589820:GOV589824 GOV655356:GOV655360 GOV720892:GOV720896 GOV786428:GOV786432 GOV851964:GOV851968 GOV917500:GOV917504 GOV983036:GOV983040 GYR8:GYR12 GYR65532:GYR65536 GYR131068:GYR131072 GYR196604:GYR196608 GYR262140:GYR262144 GYR327676:GYR327680 GYR393212:GYR393216 GYR458748:GYR458752 GYR524284:GYR524288 GYR589820:GYR589824 GYR655356:GYR655360 GYR720892:GYR720896 GYR786428:GYR786432 GYR851964:GYR851968 GYR917500:GYR917504 GYR983036:GYR983040 HIN8:HIN12 HIN65532:HIN65536 HIN131068:HIN131072 HIN196604:HIN196608 HIN262140:HIN262144 HIN327676:HIN327680 HIN393212:HIN393216 HIN458748:HIN458752 HIN524284:HIN524288 HIN589820:HIN589824 HIN655356:HIN655360 HIN720892:HIN720896 HIN786428:HIN786432 HIN851964:HIN851968 HIN917500:HIN917504 HIN983036:HIN983040 HSJ8:HSJ12 HSJ65532:HSJ65536 HSJ131068:HSJ131072 HSJ196604:HSJ196608 HSJ262140:HSJ262144 HSJ327676:HSJ327680 HSJ393212:HSJ393216 HSJ458748:HSJ458752 HSJ524284:HSJ524288 HSJ589820:HSJ589824 HSJ655356:HSJ655360 HSJ720892:HSJ720896 HSJ786428:HSJ786432 HSJ851964:HSJ851968 HSJ917500:HSJ917504 HSJ983036:HSJ983040 ICF8:ICF12 ICF65532:ICF65536 ICF131068:ICF131072 ICF196604:ICF196608 ICF262140:ICF262144 ICF327676:ICF327680 ICF393212:ICF393216 ICF458748:ICF458752 ICF524284:ICF524288 ICF589820:ICF589824 ICF655356:ICF655360 ICF720892:ICF720896 ICF786428:ICF786432 ICF851964:ICF851968 ICF917500:ICF917504 ICF983036:ICF983040 IMB8:IMB12 IMB65532:IMB65536 IMB131068:IMB131072 IMB196604:IMB196608 IMB262140:IMB262144 IMB327676:IMB327680 IMB393212:IMB393216 IMB458748:IMB458752 IMB524284:IMB524288 IMB589820:IMB589824 IMB655356:IMB655360 IMB720892:IMB720896 IMB786428:IMB786432 IMB851964:IMB851968 IMB917500:IMB917504 IMB983036:IMB983040 IVX8:IVX12 IVX65532:IVX65536 IVX131068:IVX131072 IVX196604:IVX196608 IVX262140:IVX262144 IVX327676:IVX327680 IVX393212:IVX393216 IVX458748:IVX458752 IVX524284:IVX524288 IVX589820:IVX589824 IVX655356:IVX655360 IVX720892:IVX720896 IVX786428:IVX786432 IVX851964:IVX851968 IVX917500:IVX917504 IVX983036:IVX983040 JFT8:JFT12 JFT65532:JFT65536 JFT131068:JFT131072 JFT196604:JFT196608 JFT262140:JFT262144 JFT327676:JFT327680 JFT393212:JFT393216 JFT458748:JFT458752 JFT524284:JFT524288 JFT589820:JFT589824 JFT655356:JFT655360 JFT720892:JFT720896 JFT786428:JFT786432 JFT851964:JFT851968 JFT917500:JFT917504 JFT983036:JFT983040 JPP8:JPP12 JPP65532:JPP65536 JPP131068:JPP131072 JPP196604:JPP196608 JPP262140:JPP262144 JPP327676:JPP327680 JPP393212:JPP393216 JPP458748:JPP458752 JPP524284:JPP524288 JPP589820:JPP589824 JPP655356:JPP655360 JPP720892:JPP720896 JPP786428:JPP786432 JPP851964:JPP851968 JPP917500:JPP917504 JPP983036:JPP983040 JZL8:JZL12 JZL65532:JZL65536 JZL131068:JZL131072 JZL196604:JZL196608 JZL262140:JZL262144 JZL327676:JZL327680 JZL393212:JZL393216 JZL458748:JZL458752 JZL524284:JZL524288 JZL589820:JZL589824 JZL655356:JZL655360 JZL720892:JZL720896 JZL786428:JZL786432 JZL851964:JZL851968 JZL917500:JZL917504 JZL983036:JZL983040 KJH8:KJH12 KJH65532:KJH65536 KJH131068:KJH131072 KJH196604:KJH196608 KJH262140:KJH262144 KJH327676:KJH327680 KJH393212:KJH393216 KJH458748:KJH458752 KJH524284:KJH524288 KJH589820:KJH589824 KJH655356:KJH655360 KJH720892:KJH720896 KJH786428:KJH786432 KJH851964:KJH851968 KJH917500:KJH917504 KJH983036:KJH983040 KTD8:KTD12 KTD65532:KTD65536 KTD131068:KTD131072 KTD196604:KTD196608 KTD262140:KTD262144 KTD327676:KTD327680 KTD393212:KTD393216 KTD458748:KTD458752 KTD524284:KTD524288 KTD589820:KTD589824 KTD655356:KTD655360 KTD720892:KTD720896 KTD786428:KTD786432 KTD851964:KTD851968 KTD917500:KTD917504 KTD983036:KTD983040 LCZ8:LCZ12 LCZ65532:LCZ65536 LCZ131068:LCZ131072 LCZ196604:LCZ196608 LCZ262140:LCZ262144 LCZ327676:LCZ327680 LCZ393212:LCZ393216 LCZ458748:LCZ458752 LCZ524284:LCZ524288 LCZ589820:LCZ589824 LCZ655356:LCZ655360 LCZ720892:LCZ720896 LCZ786428:LCZ786432 LCZ851964:LCZ851968 LCZ917500:LCZ917504 LCZ983036:LCZ983040 LMV8:LMV12 LMV65532:LMV65536 LMV131068:LMV131072 LMV196604:LMV196608 LMV262140:LMV262144 LMV327676:LMV327680 LMV393212:LMV393216 LMV458748:LMV458752 LMV524284:LMV524288 LMV589820:LMV589824 LMV655356:LMV655360 LMV720892:LMV720896 LMV786428:LMV786432 LMV851964:LMV851968 LMV917500:LMV917504 LMV983036:LMV983040 LWR8:LWR12 LWR65532:LWR65536 LWR131068:LWR131072 LWR196604:LWR196608 LWR262140:LWR262144 LWR327676:LWR327680 LWR393212:LWR393216 LWR458748:LWR458752 LWR524284:LWR524288 LWR589820:LWR589824 LWR655356:LWR655360 LWR720892:LWR720896 LWR786428:LWR786432 LWR851964:LWR851968 LWR917500:LWR917504 LWR983036:LWR983040 MGN8:MGN12 MGN65532:MGN65536 MGN131068:MGN131072 MGN196604:MGN196608 MGN262140:MGN262144 MGN327676:MGN327680 MGN393212:MGN393216 MGN458748:MGN458752 MGN524284:MGN524288 MGN589820:MGN589824 MGN655356:MGN655360 MGN720892:MGN720896 MGN786428:MGN786432 MGN851964:MGN851968 MGN917500:MGN917504 MGN983036:MGN983040 MQJ8:MQJ12 MQJ65532:MQJ65536 MQJ131068:MQJ131072 MQJ196604:MQJ196608 MQJ262140:MQJ262144 MQJ327676:MQJ327680 MQJ393212:MQJ393216 MQJ458748:MQJ458752 MQJ524284:MQJ524288 MQJ589820:MQJ589824 MQJ655356:MQJ655360 MQJ720892:MQJ720896 MQJ786428:MQJ786432 MQJ851964:MQJ851968 MQJ917500:MQJ917504 MQJ983036:MQJ983040 NAF8:NAF12 NAF65532:NAF65536 NAF131068:NAF131072 NAF196604:NAF196608 NAF262140:NAF262144 NAF327676:NAF327680 NAF393212:NAF393216 NAF458748:NAF458752 NAF524284:NAF524288 NAF589820:NAF589824 NAF655356:NAF655360 NAF720892:NAF720896 NAF786428:NAF786432 NAF851964:NAF851968 NAF917500:NAF917504 NAF983036:NAF983040 NKB8:NKB12 NKB65532:NKB65536 NKB131068:NKB131072 NKB196604:NKB196608 NKB262140:NKB262144 NKB327676:NKB327680 NKB393212:NKB393216 NKB458748:NKB458752 NKB524284:NKB524288 NKB589820:NKB589824 NKB655356:NKB655360 NKB720892:NKB720896 NKB786428:NKB786432 NKB851964:NKB851968 NKB917500:NKB917504 NKB983036:NKB983040 NTX8:NTX12 NTX65532:NTX65536 NTX131068:NTX131072 NTX196604:NTX196608 NTX262140:NTX262144 NTX327676:NTX327680 NTX393212:NTX393216 NTX458748:NTX458752 NTX524284:NTX524288 NTX589820:NTX589824 NTX655356:NTX655360 NTX720892:NTX720896 NTX786428:NTX786432 NTX851964:NTX851968 NTX917500:NTX917504 NTX983036:NTX983040 ODT8:ODT12 ODT65532:ODT65536 ODT131068:ODT131072 ODT196604:ODT196608 ODT262140:ODT262144 ODT327676:ODT327680 ODT393212:ODT393216 ODT458748:ODT458752 ODT524284:ODT524288 ODT589820:ODT589824 ODT655356:ODT655360 ODT720892:ODT720896 ODT786428:ODT786432 ODT851964:ODT851968 ODT917500:ODT917504 ODT983036:ODT983040 ONP8:ONP12 ONP65532:ONP65536 ONP131068:ONP131072 ONP196604:ONP196608 ONP262140:ONP262144 ONP327676:ONP327680 ONP393212:ONP393216 ONP458748:ONP458752 ONP524284:ONP524288 ONP589820:ONP589824 ONP655356:ONP655360 ONP720892:ONP720896 ONP786428:ONP786432 ONP851964:ONP851968 ONP917500:ONP917504 ONP983036:ONP983040 OXL8:OXL12 OXL65532:OXL65536 OXL131068:OXL131072 OXL196604:OXL196608 OXL262140:OXL262144 OXL327676:OXL327680 OXL393212:OXL393216 OXL458748:OXL458752 OXL524284:OXL524288 OXL589820:OXL589824 OXL655356:OXL655360 OXL720892:OXL720896 OXL786428:OXL786432 OXL851964:OXL851968 OXL917500:OXL917504 OXL983036:OXL983040 PHH8:PHH12 PHH65532:PHH65536 PHH131068:PHH131072 PHH196604:PHH196608 PHH262140:PHH262144 PHH327676:PHH327680 PHH393212:PHH393216 PHH458748:PHH458752 PHH524284:PHH524288 PHH589820:PHH589824 PHH655356:PHH655360 PHH720892:PHH720896 PHH786428:PHH786432 PHH851964:PHH851968 PHH917500:PHH917504 PHH983036:PHH983040 PRD8:PRD12 PRD65532:PRD65536 PRD131068:PRD131072 PRD196604:PRD196608 PRD262140:PRD262144 PRD327676:PRD327680 PRD393212:PRD393216 PRD458748:PRD458752 PRD524284:PRD524288 PRD589820:PRD589824 PRD655356:PRD655360 PRD720892:PRD720896 PRD786428:PRD786432 PRD851964:PRD851968 PRD917500:PRD917504 PRD983036:PRD983040 QAZ8:QAZ12 QAZ65532:QAZ65536 QAZ131068:QAZ131072 QAZ196604:QAZ196608 QAZ262140:QAZ262144 QAZ327676:QAZ327680 QAZ393212:QAZ393216 QAZ458748:QAZ458752 QAZ524284:QAZ524288 QAZ589820:QAZ589824 QAZ655356:QAZ655360 QAZ720892:QAZ720896 QAZ786428:QAZ786432 QAZ851964:QAZ851968 QAZ917500:QAZ917504 QAZ983036:QAZ983040 QKV8:QKV12 QKV65532:QKV65536 QKV131068:QKV131072 QKV196604:QKV196608 QKV262140:QKV262144 QKV327676:QKV327680 QKV393212:QKV393216 QKV458748:QKV458752 QKV524284:QKV524288 QKV589820:QKV589824 QKV655356:QKV655360 QKV720892:QKV720896 QKV786428:QKV786432 QKV851964:QKV851968 QKV917500:QKV917504 QKV983036:QKV983040 QUR8:QUR12 QUR65532:QUR65536 QUR131068:QUR131072 QUR196604:QUR196608 QUR262140:QUR262144 QUR327676:QUR327680 QUR393212:QUR393216 QUR458748:QUR458752 QUR524284:QUR524288 QUR589820:QUR589824 QUR655356:QUR655360 QUR720892:QUR720896 QUR786428:QUR786432 QUR851964:QUR851968 QUR917500:QUR917504 QUR983036:QUR983040 REN8:REN12 REN65532:REN65536 REN131068:REN131072 REN196604:REN196608 REN262140:REN262144 REN327676:REN327680 REN393212:REN393216 REN458748:REN458752 REN524284:REN524288 REN589820:REN589824 REN655356:REN655360 REN720892:REN720896 REN786428:REN786432 REN851964:REN851968 REN917500:REN917504 REN983036:REN983040 ROJ8:ROJ12 ROJ65532:ROJ65536 ROJ131068:ROJ131072 ROJ196604:ROJ196608 ROJ262140:ROJ262144 ROJ327676:ROJ327680 ROJ393212:ROJ393216 ROJ458748:ROJ458752 ROJ524284:ROJ524288 ROJ589820:ROJ589824 ROJ655356:ROJ655360 ROJ720892:ROJ720896 ROJ786428:ROJ786432 ROJ851964:ROJ851968 ROJ917500:ROJ917504 ROJ983036:ROJ983040 RYF8:RYF12 RYF65532:RYF65536 RYF131068:RYF131072 RYF196604:RYF196608 RYF262140:RYF262144 RYF327676:RYF327680 RYF393212:RYF393216 RYF458748:RYF458752 RYF524284:RYF524288 RYF589820:RYF589824 RYF655356:RYF655360 RYF720892:RYF720896 RYF786428:RYF786432 RYF851964:RYF851968 RYF917500:RYF917504 RYF983036:RYF983040 SIB8:SIB12 SIB65532:SIB65536 SIB131068:SIB131072 SIB196604:SIB196608 SIB262140:SIB262144 SIB327676:SIB327680 SIB393212:SIB393216 SIB458748:SIB458752 SIB524284:SIB524288 SIB589820:SIB589824 SIB655356:SIB655360 SIB720892:SIB720896 SIB786428:SIB786432 SIB851964:SIB851968 SIB917500:SIB917504 SIB983036:SIB983040 SRX8:SRX12 SRX65532:SRX65536 SRX131068:SRX131072 SRX196604:SRX196608 SRX262140:SRX262144 SRX327676:SRX327680 SRX393212:SRX393216 SRX458748:SRX458752 SRX524284:SRX524288 SRX589820:SRX589824 SRX655356:SRX655360 SRX720892:SRX720896 SRX786428:SRX786432 SRX851964:SRX851968 SRX917500:SRX917504 SRX983036:SRX983040 TBT8:TBT12 TBT65532:TBT65536 TBT131068:TBT131072 TBT196604:TBT196608 TBT262140:TBT262144 TBT327676:TBT327680 TBT393212:TBT393216 TBT458748:TBT458752 TBT524284:TBT524288 TBT589820:TBT589824 TBT655356:TBT655360 TBT720892:TBT720896 TBT786428:TBT786432 TBT851964:TBT851968 TBT917500:TBT917504 TBT983036:TBT983040 TLP8:TLP12 TLP65532:TLP65536 TLP131068:TLP131072 TLP196604:TLP196608 TLP262140:TLP262144 TLP327676:TLP327680 TLP393212:TLP393216 TLP458748:TLP458752 TLP524284:TLP524288 TLP589820:TLP589824 TLP655356:TLP655360 TLP720892:TLP720896 TLP786428:TLP786432 TLP851964:TLP851968 TLP917500:TLP917504 TLP983036:TLP983040 TVL8:TVL12 TVL65532:TVL65536 TVL131068:TVL131072 TVL196604:TVL196608 TVL262140:TVL262144 TVL327676:TVL327680 TVL393212:TVL393216 TVL458748:TVL458752 TVL524284:TVL524288 TVL589820:TVL589824 TVL655356:TVL655360 TVL720892:TVL720896 TVL786428:TVL786432 TVL851964:TVL851968 TVL917500:TVL917504 TVL983036:TVL983040 UFH8:UFH12 UFH65532:UFH65536 UFH131068:UFH131072 UFH196604:UFH196608 UFH262140:UFH262144 UFH327676:UFH327680 UFH393212:UFH393216 UFH458748:UFH458752 UFH524284:UFH524288 UFH589820:UFH589824 UFH655356:UFH655360 UFH720892:UFH720896 UFH786428:UFH786432 UFH851964:UFH851968 UFH917500:UFH917504 UFH983036:UFH983040 UPD8:UPD12 UPD65532:UPD65536 UPD131068:UPD131072 UPD196604:UPD196608 UPD262140:UPD262144 UPD327676:UPD327680 UPD393212:UPD393216 UPD458748:UPD458752 UPD524284:UPD524288 UPD589820:UPD589824 UPD655356:UPD655360 UPD720892:UPD720896 UPD786428:UPD786432 UPD851964:UPD851968 UPD917500:UPD917504 UPD983036:UPD983040 UYZ8:UYZ12 UYZ65532:UYZ65536 UYZ131068:UYZ131072 UYZ196604:UYZ196608 UYZ262140:UYZ262144 UYZ327676:UYZ327680 UYZ393212:UYZ393216 UYZ458748:UYZ458752 UYZ524284:UYZ524288 UYZ589820:UYZ589824 UYZ655356:UYZ655360 UYZ720892:UYZ720896 UYZ786428:UYZ786432 UYZ851964:UYZ851968 UYZ917500:UYZ917504 UYZ983036:UYZ983040 VIV8:VIV12 VIV65532:VIV65536 VIV131068:VIV131072 VIV196604:VIV196608 VIV262140:VIV262144 VIV327676:VIV327680 VIV393212:VIV393216 VIV458748:VIV458752 VIV524284:VIV524288 VIV589820:VIV589824 VIV655356:VIV655360 VIV720892:VIV720896 VIV786428:VIV786432 VIV851964:VIV851968 VIV917500:VIV917504 VIV983036:VIV983040 VSR8:VSR12 VSR65532:VSR65536 VSR131068:VSR131072 VSR196604:VSR196608 VSR262140:VSR262144 VSR327676:VSR327680 VSR393212:VSR393216 VSR458748:VSR458752 VSR524284:VSR524288 VSR589820:VSR589824 VSR655356:VSR655360 VSR720892:VSR720896 VSR786428:VSR786432 VSR851964:VSR851968 VSR917500:VSR917504 VSR983036:VSR983040 WCN8:WCN12 WCN65532:WCN65536 WCN131068:WCN131072 WCN196604:WCN196608 WCN262140:WCN262144 WCN327676:WCN327680 WCN393212:WCN393216 WCN458748:WCN458752 WCN524284:WCN524288 WCN589820:WCN589824 WCN655356:WCN655360 WCN720892:WCN720896 WCN786428:WCN786432 WCN851964:WCN851968 WCN917500:WCN917504 WCN983036:WCN983040 WMJ8:WMJ12 WMJ65532:WMJ65536 WMJ131068:WMJ131072 WMJ196604:WMJ196608 WMJ262140:WMJ262144 WMJ327676:WMJ327680 WMJ393212:WMJ393216 WMJ458748:WMJ458752 WMJ524284:WMJ524288 WMJ589820:WMJ589824 WMJ655356:WMJ655360 WMJ720892:WMJ720896 WMJ786428:WMJ786432 WMJ851964:WMJ851968 WMJ917500:WMJ917504 WMJ983036:WMJ983040 WWF8:WWF12 WWF65532:WWF65536 WWF131068:WWF131072 WWF196604:WWF196608 WWF262140:WWF262144 WWF327676:WWF327680 WWF393212:WWF393216 WWF458748:WWF458752 WWF524284:WWF524288 WWF589820:WWF589824 WWF655356:WWF655360 WWF720892:WWF720896 WWF786428:WWF786432 WWF851964:WWF851968 WWF917500:WWF917504 WWF983036:WWF983040" xr:uid="{00000000-0002-0000-0700-00000C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12 O65525:P65536 O131061:P131072 O196597:P196608 O262133:P262144 O327669:P327680 O393205:P393216 O458741:P458752 O524277:P524288 O589813:P589824 O655349:P655360 O720885:P720896 O786421:P786432 O851957:P851968 O917493:P917504 O983029:P983040 JL1:JL12 JL65525:JL65536 JL131061:JL131072 JL196597:JL196608 JL262133:JL262144 JL327669:JL327680 JL393205:JL393216 JL458741:JL458752 JL524277:JL524288 JL589813:JL589824 JL655349:JL655360 JL720885:JL720896 JL786421:JL786432 JL851957:JL851968 JL917493:JL917504 JL983029:JL983040 TH1:TH12 TH65525:TH65536 TH131061:TH131072 TH196597:TH196608 TH262133:TH262144 TH327669:TH327680 TH393205:TH393216 TH458741:TH458752 TH524277:TH524288 TH589813:TH589824 TH655349:TH655360 TH720885:TH720896 TH786421:TH786432 TH851957:TH851968 TH917493:TH917504 TH983029:TH983040 ADD1:ADD12 ADD65525:ADD65536 ADD131061:ADD131072 ADD196597:ADD196608 ADD262133:ADD262144 ADD327669:ADD327680 ADD393205:ADD393216 ADD458741:ADD458752 ADD524277:ADD524288 ADD589813:ADD589824 ADD655349:ADD655360 ADD720885:ADD720896 ADD786421:ADD786432 ADD851957:ADD851968 ADD917493:ADD917504 ADD983029:ADD983040 AMZ1:AMZ12 AMZ65525:AMZ65536 AMZ131061:AMZ131072 AMZ196597:AMZ196608 AMZ262133:AMZ262144 AMZ327669:AMZ327680 AMZ393205:AMZ393216 AMZ458741:AMZ458752 AMZ524277:AMZ524288 AMZ589813:AMZ589824 AMZ655349:AMZ655360 AMZ720885:AMZ720896 AMZ786421:AMZ786432 AMZ851957:AMZ851968 AMZ917493:AMZ917504 AMZ983029:AMZ983040 AWV1:AWV12 AWV65525:AWV65536 AWV131061:AWV131072 AWV196597:AWV196608 AWV262133:AWV262144 AWV327669:AWV327680 AWV393205:AWV393216 AWV458741:AWV458752 AWV524277:AWV524288 AWV589813:AWV589824 AWV655349:AWV655360 AWV720885:AWV720896 AWV786421:AWV786432 AWV851957:AWV851968 AWV917493:AWV917504 AWV983029:AWV983040 BGR1:BGR12 BGR65525:BGR65536 BGR131061:BGR131072 BGR196597:BGR196608 BGR262133:BGR262144 BGR327669:BGR327680 BGR393205:BGR393216 BGR458741:BGR458752 BGR524277:BGR524288 BGR589813:BGR589824 BGR655349:BGR655360 BGR720885:BGR720896 BGR786421:BGR786432 BGR851957:BGR851968 BGR917493:BGR917504 BGR983029:BGR983040 BQN1:BQN12 BQN65525:BQN65536 BQN131061:BQN131072 BQN196597:BQN196608 BQN262133:BQN262144 BQN327669:BQN327680 BQN393205:BQN393216 BQN458741:BQN458752 BQN524277:BQN524288 BQN589813:BQN589824 BQN655349:BQN655360 BQN720885:BQN720896 BQN786421:BQN786432 BQN851957:BQN851968 BQN917493:BQN917504 BQN983029:BQN983040 CAJ1:CAJ12 CAJ65525:CAJ65536 CAJ131061:CAJ131072 CAJ196597:CAJ196608 CAJ262133:CAJ262144 CAJ327669:CAJ327680 CAJ393205:CAJ393216 CAJ458741:CAJ458752 CAJ524277:CAJ524288 CAJ589813:CAJ589824 CAJ655349:CAJ655360 CAJ720885:CAJ720896 CAJ786421:CAJ786432 CAJ851957:CAJ851968 CAJ917493:CAJ917504 CAJ983029:CAJ983040 CKF1:CKF12 CKF65525:CKF65536 CKF131061:CKF131072 CKF196597:CKF196608 CKF262133:CKF262144 CKF327669:CKF327680 CKF393205:CKF393216 CKF458741:CKF458752 CKF524277:CKF524288 CKF589813:CKF589824 CKF655349:CKF655360 CKF720885:CKF720896 CKF786421:CKF786432 CKF851957:CKF851968 CKF917493:CKF917504 CKF983029:CKF983040 CUB1:CUB12 CUB65525:CUB65536 CUB131061:CUB131072 CUB196597:CUB196608 CUB262133:CUB262144 CUB327669:CUB327680 CUB393205:CUB393216 CUB458741:CUB458752 CUB524277:CUB524288 CUB589813:CUB589824 CUB655349:CUB655360 CUB720885:CUB720896 CUB786421:CUB786432 CUB851957:CUB851968 CUB917493:CUB917504 CUB983029:CUB983040 DDX1:DDX12 DDX65525:DDX65536 DDX131061:DDX131072 DDX196597:DDX196608 DDX262133:DDX262144 DDX327669:DDX327680 DDX393205:DDX393216 DDX458741:DDX458752 DDX524277:DDX524288 DDX589813:DDX589824 DDX655349:DDX655360 DDX720885:DDX720896 DDX786421:DDX786432 DDX851957:DDX851968 DDX917493:DDX917504 DDX983029:DDX983040 DNT1:DNT12 DNT65525:DNT65536 DNT131061:DNT131072 DNT196597:DNT196608 DNT262133:DNT262144 DNT327669:DNT327680 DNT393205:DNT393216 DNT458741:DNT458752 DNT524277:DNT524288 DNT589813:DNT589824 DNT655349:DNT655360 DNT720885:DNT720896 DNT786421:DNT786432 DNT851957:DNT851968 DNT917493:DNT917504 DNT983029:DNT983040 DXP1:DXP12 DXP65525:DXP65536 DXP131061:DXP131072 DXP196597:DXP196608 DXP262133:DXP262144 DXP327669:DXP327680 DXP393205:DXP393216 DXP458741:DXP458752 DXP524277:DXP524288 DXP589813:DXP589824 DXP655349:DXP655360 DXP720885:DXP720896 DXP786421:DXP786432 DXP851957:DXP851968 DXP917493:DXP917504 DXP983029:DXP983040 EHL1:EHL12 EHL65525:EHL65536 EHL131061:EHL131072 EHL196597:EHL196608 EHL262133:EHL262144 EHL327669:EHL327680 EHL393205:EHL393216 EHL458741:EHL458752 EHL524277:EHL524288 EHL589813:EHL589824 EHL655349:EHL655360 EHL720885:EHL720896 EHL786421:EHL786432 EHL851957:EHL851968 EHL917493:EHL917504 EHL983029:EHL983040 ERH1:ERH12 ERH65525:ERH65536 ERH131061:ERH131072 ERH196597:ERH196608 ERH262133:ERH262144 ERH327669:ERH327680 ERH393205:ERH393216 ERH458741:ERH458752 ERH524277:ERH524288 ERH589813:ERH589824 ERH655349:ERH655360 ERH720885:ERH720896 ERH786421:ERH786432 ERH851957:ERH851968 ERH917493:ERH917504 ERH983029:ERH983040 FBD1:FBD12 FBD65525:FBD65536 FBD131061:FBD131072 FBD196597:FBD196608 FBD262133:FBD262144 FBD327669:FBD327680 FBD393205:FBD393216 FBD458741:FBD458752 FBD524277:FBD524288 FBD589813:FBD589824 FBD655349:FBD655360 FBD720885:FBD720896 FBD786421:FBD786432 FBD851957:FBD851968 FBD917493:FBD917504 FBD983029:FBD983040 FKZ1:FKZ12 FKZ65525:FKZ65536 FKZ131061:FKZ131072 FKZ196597:FKZ196608 FKZ262133:FKZ262144 FKZ327669:FKZ327680 FKZ393205:FKZ393216 FKZ458741:FKZ458752 FKZ524277:FKZ524288 FKZ589813:FKZ589824 FKZ655349:FKZ655360 FKZ720885:FKZ720896 FKZ786421:FKZ786432 FKZ851957:FKZ851968 FKZ917493:FKZ917504 FKZ983029:FKZ983040 FUV1:FUV12 FUV65525:FUV65536 FUV131061:FUV131072 FUV196597:FUV196608 FUV262133:FUV262144 FUV327669:FUV327680 FUV393205:FUV393216 FUV458741:FUV458752 FUV524277:FUV524288 FUV589813:FUV589824 FUV655349:FUV655360 FUV720885:FUV720896 FUV786421:FUV786432 FUV851957:FUV851968 FUV917493:FUV917504 FUV983029:FUV983040 GER1:GER12 GER65525:GER65536 GER131061:GER131072 GER196597:GER196608 GER262133:GER262144 GER327669:GER327680 GER393205:GER393216 GER458741:GER458752 GER524277:GER524288 GER589813:GER589824 GER655349:GER655360 GER720885:GER720896 GER786421:GER786432 GER851957:GER851968 GER917493:GER917504 GER983029:GER983040 GON1:GON12 GON65525:GON65536 GON131061:GON131072 GON196597:GON196608 GON262133:GON262144 GON327669:GON327680 GON393205:GON393216 GON458741:GON458752 GON524277:GON524288 GON589813:GON589824 GON655349:GON655360 GON720885:GON720896 GON786421:GON786432 GON851957:GON851968 GON917493:GON917504 GON983029:GON983040 GYJ1:GYJ12 GYJ65525:GYJ65536 GYJ131061:GYJ131072 GYJ196597:GYJ196608 GYJ262133:GYJ262144 GYJ327669:GYJ327680 GYJ393205:GYJ393216 GYJ458741:GYJ458752 GYJ524277:GYJ524288 GYJ589813:GYJ589824 GYJ655349:GYJ655360 GYJ720885:GYJ720896 GYJ786421:GYJ786432 GYJ851957:GYJ851968 GYJ917493:GYJ917504 GYJ983029:GYJ983040 HIF1:HIF12 HIF65525:HIF65536 HIF131061:HIF131072 HIF196597:HIF196608 HIF262133:HIF262144 HIF327669:HIF327680 HIF393205:HIF393216 HIF458741:HIF458752 HIF524277:HIF524288 HIF589813:HIF589824 HIF655349:HIF655360 HIF720885:HIF720896 HIF786421:HIF786432 HIF851957:HIF851968 HIF917493:HIF917504 HIF983029:HIF983040 HSB1:HSB12 HSB65525:HSB65536 HSB131061:HSB131072 HSB196597:HSB196608 HSB262133:HSB262144 HSB327669:HSB327680 HSB393205:HSB393216 HSB458741:HSB458752 HSB524277:HSB524288 HSB589813:HSB589824 HSB655349:HSB655360 HSB720885:HSB720896 HSB786421:HSB786432 HSB851957:HSB851968 HSB917493:HSB917504 HSB983029:HSB983040 IBX1:IBX12 IBX65525:IBX65536 IBX131061:IBX131072 IBX196597:IBX196608 IBX262133:IBX262144 IBX327669:IBX327680 IBX393205:IBX393216 IBX458741:IBX458752 IBX524277:IBX524288 IBX589813:IBX589824 IBX655349:IBX655360 IBX720885:IBX720896 IBX786421:IBX786432 IBX851957:IBX851968 IBX917493:IBX917504 IBX983029:IBX983040 ILT1:ILT12 ILT65525:ILT65536 ILT131061:ILT131072 ILT196597:ILT196608 ILT262133:ILT262144 ILT327669:ILT327680 ILT393205:ILT393216 ILT458741:ILT458752 ILT524277:ILT524288 ILT589813:ILT589824 ILT655349:ILT655360 ILT720885:ILT720896 ILT786421:ILT786432 ILT851957:ILT851968 ILT917493:ILT917504 ILT983029:ILT983040 IVP1:IVP12 IVP65525:IVP65536 IVP131061:IVP131072 IVP196597:IVP196608 IVP262133:IVP262144 IVP327669:IVP327680 IVP393205:IVP393216 IVP458741:IVP458752 IVP524277:IVP524288 IVP589813:IVP589824 IVP655349:IVP655360 IVP720885:IVP720896 IVP786421:IVP786432 IVP851957:IVP851968 IVP917493:IVP917504 IVP983029:IVP983040 JFL1:JFL12 JFL65525:JFL65536 JFL131061:JFL131072 JFL196597:JFL196608 JFL262133:JFL262144 JFL327669:JFL327680 JFL393205:JFL393216 JFL458741:JFL458752 JFL524277:JFL524288 JFL589813:JFL589824 JFL655349:JFL655360 JFL720885:JFL720896 JFL786421:JFL786432 JFL851957:JFL851968 JFL917493:JFL917504 JFL983029:JFL983040 JPH1:JPH12 JPH65525:JPH65536 JPH131061:JPH131072 JPH196597:JPH196608 JPH262133:JPH262144 JPH327669:JPH327680 JPH393205:JPH393216 JPH458741:JPH458752 JPH524277:JPH524288 JPH589813:JPH589824 JPH655349:JPH655360 JPH720885:JPH720896 JPH786421:JPH786432 JPH851957:JPH851968 JPH917493:JPH917504 JPH983029:JPH983040 JZD1:JZD12 JZD65525:JZD65536 JZD131061:JZD131072 JZD196597:JZD196608 JZD262133:JZD262144 JZD327669:JZD327680 JZD393205:JZD393216 JZD458741:JZD458752 JZD524277:JZD524288 JZD589813:JZD589824 JZD655349:JZD655360 JZD720885:JZD720896 JZD786421:JZD786432 JZD851957:JZD851968 JZD917493:JZD917504 JZD983029:JZD983040 KIZ1:KIZ12 KIZ65525:KIZ65536 KIZ131061:KIZ131072 KIZ196597:KIZ196608 KIZ262133:KIZ262144 KIZ327669:KIZ327680 KIZ393205:KIZ393216 KIZ458741:KIZ458752 KIZ524277:KIZ524288 KIZ589813:KIZ589824 KIZ655349:KIZ655360 KIZ720885:KIZ720896 KIZ786421:KIZ786432 KIZ851957:KIZ851968 KIZ917493:KIZ917504 KIZ983029:KIZ983040 KSV1:KSV12 KSV65525:KSV65536 KSV131061:KSV131072 KSV196597:KSV196608 KSV262133:KSV262144 KSV327669:KSV327680 KSV393205:KSV393216 KSV458741:KSV458752 KSV524277:KSV524288 KSV589813:KSV589824 KSV655349:KSV655360 KSV720885:KSV720896 KSV786421:KSV786432 KSV851957:KSV851968 KSV917493:KSV917504 KSV983029:KSV983040 LCR1:LCR12 LCR65525:LCR65536 LCR131061:LCR131072 LCR196597:LCR196608 LCR262133:LCR262144 LCR327669:LCR327680 LCR393205:LCR393216 LCR458741:LCR458752 LCR524277:LCR524288 LCR589813:LCR589824 LCR655349:LCR655360 LCR720885:LCR720896 LCR786421:LCR786432 LCR851957:LCR851968 LCR917493:LCR917504 LCR983029:LCR983040 LMN1:LMN12 LMN65525:LMN65536 LMN131061:LMN131072 LMN196597:LMN196608 LMN262133:LMN262144 LMN327669:LMN327680 LMN393205:LMN393216 LMN458741:LMN458752 LMN524277:LMN524288 LMN589813:LMN589824 LMN655349:LMN655360 LMN720885:LMN720896 LMN786421:LMN786432 LMN851957:LMN851968 LMN917493:LMN917504 LMN983029:LMN983040 LWJ1:LWJ12 LWJ65525:LWJ65536 LWJ131061:LWJ131072 LWJ196597:LWJ196608 LWJ262133:LWJ262144 LWJ327669:LWJ327680 LWJ393205:LWJ393216 LWJ458741:LWJ458752 LWJ524277:LWJ524288 LWJ589813:LWJ589824 LWJ655349:LWJ655360 LWJ720885:LWJ720896 LWJ786421:LWJ786432 LWJ851957:LWJ851968 LWJ917493:LWJ917504 LWJ983029:LWJ983040 MGF1:MGF12 MGF65525:MGF65536 MGF131061:MGF131072 MGF196597:MGF196608 MGF262133:MGF262144 MGF327669:MGF327680 MGF393205:MGF393216 MGF458741:MGF458752 MGF524277:MGF524288 MGF589813:MGF589824 MGF655349:MGF655360 MGF720885:MGF720896 MGF786421:MGF786432 MGF851957:MGF851968 MGF917493:MGF917504 MGF983029:MGF983040 MQB1:MQB12 MQB65525:MQB65536 MQB131061:MQB131072 MQB196597:MQB196608 MQB262133:MQB262144 MQB327669:MQB327680 MQB393205:MQB393216 MQB458741:MQB458752 MQB524277:MQB524288 MQB589813:MQB589824 MQB655349:MQB655360 MQB720885:MQB720896 MQB786421:MQB786432 MQB851957:MQB851968 MQB917493:MQB917504 MQB983029:MQB983040 MZX1:MZX12 MZX65525:MZX65536 MZX131061:MZX131072 MZX196597:MZX196608 MZX262133:MZX262144 MZX327669:MZX327680 MZX393205:MZX393216 MZX458741:MZX458752 MZX524277:MZX524288 MZX589813:MZX589824 MZX655349:MZX655360 MZX720885:MZX720896 MZX786421:MZX786432 MZX851957:MZX851968 MZX917493:MZX917504 MZX983029:MZX983040 NJT1:NJT12 NJT65525:NJT65536 NJT131061:NJT131072 NJT196597:NJT196608 NJT262133:NJT262144 NJT327669:NJT327680 NJT393205:NJT393216 NJT458741:NJT458752 NJT524277:NJT524288 NJT589813:NJT589824 NJT655349:NJT655360 NJT720885:NJT720896 NJT786421:NJT786432 NJT851957:NJT851968 NJT917493:NJT917504 NJT983029:NJT983040 NTP1:NTP12 NTP65525:NTP65536 NTP131061:NTP131072 NTP196597:NTP196608 NTP262133:NTP262144 NTP327669:NTP327680 NTP393205:NTP393216 NTP458741:NTP458752 NTP524277:NTP524288 NTP589813:NTP589824 NTP655349:NTP655360 NTP720885:NTP720896 NTP786421:NTP786432 NTP851957:NTP851968 NTP917493:NTP917504 NTP983029:NTP983040 ODL1:ODL12 ODL65525:ODL65536 ODL131061:ODL131072 ODL196597:ODL196608 ODL262133:ODL262144 ODL327669:ODL327680 ODL393205:ODL393216 ODL458741:ODL458752 ODL524277:ODL524288 ODL589813:ODL589824 ODL655349:ODL655360 ODL720885:ODL720896 ODL786421:ODL786432 ODL851957:ODL851968 ODL917493:ODL917504 ODL983029:ODL983040 ONH1:ONH12 ONH65525:ONH65536 ONH131061:ONH131072 ONH196597:ONH196608 ONH262133:ONH262144 ONH327669:ONH327680 ONH393205:ONH393216 ONH458741:ONH458752 ONH524277:ONH524288 ONH589813:ONH589824 ONH655349:ONH655360 ONH720885:ONH720896 ONH786421:ONH786432 ONH851957:ONH851968 ONH917493:ONH917504 ONH983029:ONH983040 OXD1:OXD12 OXD65525:OXD65536 OXD131061:OXD131072 OXD196597:OXD196608 OXD262133:OXD262144 OXD327669:OXD327680 OXD393205:OXD393216 OXD458741:OXD458752 OXD524277:OXD524288 OXD589813:OXD589824 OXD655349:OXD655360 OXD720885:OXD720896 OXD786421:OXD786432 OXD851957:OXD851968 OXD917493:OXD917504 OXD983029:OXD983040 PGZ1:PGZ12 PGZ65525:PGZ65536 PGZ131061:PGZ131072 PGZ196597:PGZ196608 PGZ262133:PGZ262144 PGZ327669:PGZ327680 PGZ393205:PGZ393216 PGZ458741:PGZ458752 PGZ524277:PGZ524288 PGZ589813:PGZ589824 PGZ655349:PGZ655360 PGZ720885:PGZ720896 PGZ786421:PGZ786432 PGZ851957:PGZ851968 PGZ917493:PGZ917504 PGZ983029:PGZ983040 PQV1:PQV12 PQV65525:PQV65536 PQV131061:PQV131072 PQV196597:PQV196608 PQV262133:PQV262144 PQV327669:PQV327680 PQV393205:PQV393216 PQV458741:PQV458752 PQV524277:PQV524288 PQV589813:PQV589824 PQV655349:PQV655360 PQV720885:PQV720896 PQV786421:PQV786432 PQV851957:PQV851968 PQV917493:PQV917504 PQV983029:PQV983040 QAR1:QAR12 QAR65525:QAR65536 QAR131061:QAR131072 QAR196597:QAR196608 QAR262133:QAR262144 QAR327669:QAR327680 QAR393205:QAR393216 QAR458741:QAR458752 QAR524277:QAR524288 QAR589813:QAR589824 QAR655349:QAR655360 QAR720885:QAR720896 QAR786421:QAR786432 QAR851957:QAR851968 QAR917493:QAR917504 QAR983029:QAR983040 QKN1:QKN12 QKN65525:QKN65536 QKN131061:QKN131072 QKN196597:QKN196608 QKN262133:QKN262144 QKN327669:QKN327680 QKN393205:QKN393216 QKN458741:QKN458752 QKN524277:QKN524288 QKN589813:QKN589824 QKN655349:QKN655360 QKN720885:QKN720896 QKN786421:QKN786432 QKN851957:QKN851968 QKN917493:QKN917504 QKN983029:QKN983040 QUJ1:QUJ12 QUJ65525:QUJ65536 QUJ131061:QUJ131072 QUJ196597:QUJ196608 QUJ262133:QUJ262144 QUJ327669:QUJ327680 QUJ393205:QUJ393216 QUJ458741:QUJ458752 QUJ524277:QUJ524288 QUJ589813:QUJ589824 QUJ655349:QUJ655360 QUJ720885:QUJ720896 QUJ786421:QUJ786432 QUJ851957:QUJ851968 QUJ917493:QUJ917504 QUJ983029:QUJ983040 REF1:REF12 REF65525:REF65536 REF131061:REF131072 REF196597:REF196608 REF262133:REF262144 REF327669:REF327680 REF393205:REF393216 REF458741:REF458752 REF524277:REF524288 REF589813:REF589824 REF655349:REF655360 REF720885:REF720896 REF786421:REF786432 REF851957:REF851968 REF917493:REF917504 REF983029:REF983040 ROB1:ROB12 ROB65525:ROB65536 ROB131061:ROB131072 ROB196597:ROB196608 ROB262133:ROB262144 ROB327669:ROB327680 ROB393205:ROB393216 ROB458741:ROB458752 ROB524277:ROB524288 ROB589813:ROB589824 ROB655349:ROB655360 ROB720885:ROB720896 ROB786421:ROB786432 ROB851957:ROB851968 ROB917493:ROB917504 ROB983029:ROB983040 RXX1:RXX12 RXX65525:RXX65536 RXX131061:RXX131072 RXX196597:RXX196608 RXX262133:RXX262144 RXX327669:RXX327680 RXX393205:RXX393216 RXX458741:RXX458752 RXX524277:RXX524288 RXX589813:RXX589824 RXX655349:RXX655360 RXX720885:RXX720896 RXX786421:RXX786432 RXX851957:RXX851968 RXX917493:RXX917504 RXX983029:RXX983040 SHT1:SHT12 SHT65525:SHT65536 SHT131061:SHT131072 SHT196597:SHT196608 SHT262133:SHT262144 SHT327669:SHT327680 SHT393205:SHT393216 SHT458741:SHT458752 SHT524277:SHT524288 SHT589813:SHT589824 SHT655349:SHT655360 SHT720885:SHT720896 SHT786421:SHT786432 SHT851957:SHT851968 SHT917493:SHT917504 SHT983029:SHT983040 SRP1:SRP12 SRP65525:SRP65536 SRP131061:SRP131072 SRP196597:SRP196608 SRP262133:SRP262144 SRP327669:SRP327680 SRP393205:SRP393216 SRP458741:SRP458752 SRP524277:SRP524288 SRP589813:SRP589824 SRP655349:SRP655360 SRP720885:SRP720896 SRP786421:SRP786432 SRP851957:SRP851968 SRP917493:SRP917504 SRP983029:SRP983040 TBL1:TBL12 TBL65525:TBL65536 TBL131061:TBL131072 TBL196597:TBL196608 TBL262133:TBL262144 TBL327669:TBL327680 TBL393205:TBL393216 TBL458741:TBL458752 TBL524277:TBL524288 TBL589813:TBL589824 TBL655349:TBL655360 TBL720885:TBL720896 TBL786421:TBL786432 TBL851957:TBL851968 TBL917493:TBL917504 TBL983029:TBL983040 TLH1:TLH12 TLH65525:TLH65536 TLH131061:TLH131072 TLH196597:TLH196608 TLH262133:TLH262144 TLH327669:TLH327680 TLH393205:TLH393216 TLH458741:TLH458752 TLH524277:TLH524288 TLH589813:TLH589824 TLH655349:TLH655360 TLH720885:TLH720896 TLH786421:TLH786432 TLH851957:TLH851968 TLH917493:TLH917504 TLH983029:TLH983040 TVD1:TVD12 TVD65525:TVD65536 TVD131061:TVD131072 TVD196597:TVD196608 TVD262133:TVD262144 TVD327669:TVD327680 TVD393205:TVD393216 TVD458741:TVD458752 TVD524277:TVD524288 TVD589813:TVD589824 TVD655349:TVD655360 TVD720885:TVD720896 TVD786421:TVD786432 TVD851957:TVD851968 TVD917493:TVD917504 TVD983029:TVD983040 UEZ1:UEZ12 UEZ65525:UEZ65536 UEZ131061:UEZ131072 UEZ196597:UEZ196608 UEZ262133:UEZ262144 UEZ327669:UEZ327680 UEZ393205:UEZ393216 UEZ458741:UEZ458752 UEZ524277:UEZ524288 UEZ589813:UEZ589824 UEZ655349:UEZ655360 UEZ720885:UEZ720896 UEZ786421:UEZ786432 UEZ851957:UEZ851968 UEZ917493:UEZ917504 UEZ983029:UEZ983040 UOV1:UOV12 UOV65525:UOV65536 UOV131061:UOV131072 UOV196597:UOV196608 UOV262133:UOV262144 UOV327669:UOV327680 UOV393205:UOV393216 UOV458741:UOV458752 UOV524277:UOV524288 UOV589813:UOV589824 UOV655349:UOV655360 UOV720885:UOV720896 UOV786421:UOV786432 UOV851957:UOV851968 UOV917493:UOV917504 UOV983029:UOV983040 UYR1:UYR12 UYR65525:UYR65536 UYR131061:UYR131072 UYR196597:UYR196608 UYR262133:UYR262144 UYR327669:UYR327680 UYR393205:UYR393216 UYR458741:UYR458752 UYR524277:UYR524288 UYR589813:UYR589824 UYR655349:UYR655360 UYR720885:UYR720896 UYR786421:UYR786432 UYR851957:UYR851968 UYR917493:UYR917504 UYR983029:UYR983040 VIN1:VIN12 VIN65525:VIN65536 VIN131061:VIN131072 VIN196597:VIN196608 VIN262133:VIN262144 VIN327669:VIN327680 VIN393205:VIN393216 VIN458741:VIN458752 VIN524277:VIN524288 VIN589813:VIN589824 VIN655349:VIN655360 VIN720885:VIN720896 VIN786421:VIN786432 VIN851957:VIN851968 VIN917493:VIN917504 VIN983029:VIN983040 VSJ1:VSJ12 VSJ65525:VSJ65536 VSJ131061:VSJ131072 VSJ196597:VSJ196608 VSJ262133:VSJ262144 VSJ327669:VSJ327680 VSJ393205:VSJ393216 VSJ458741:VSJ458752 VSJ524277:VSJ524288 VSJ589813:VSJ589824 VSJ655349:VSJ655360 VSJ720885:VSJ720896 VSJ786421:VSJ786432 VSJ851957:VSJ851968 VSJ917493:VSJ917504 VSJ983029:VSJ983040 WCF1:WCF12 WCF65525:WCF65536 WCF131061:WCF131072 WCF196597:WCF196608 WCF262133:WCF262144 WCF327669:WCF327680 WCF393205:WCF393216 WCF458741:WCF458752 WCF524277:WCF524288 WCF589813:WCF589824 WCF655349:WCF655360 WCF720885:WCF720896 WCF786421:WCF786432 WCF851957:WCF851968 WCF917493:WCF917504 WCF983029:WCF983040 WMB1:WMB12 WMB65525:WMB65536 WMB131061:WMB131072 WMB196597:WMB196608 WMB262133:WMB262144 WMB327669:WMB327680 WMB393205:WMB393216 WMB458741:WMB458752 WMB524277:WMB524288 WMB589813:WMB589824 WMB655349:WMB655360 WMB720885:WMB720896 WMB786421:WMB786432 WMB851957:WMB851968 WMB917493:WMB917504 WMB983029:WMB983040 WVX1:WVX12 WVX65525:WVX65536 WVX131061:WVX131072 WVX196597:WVX196608 WVX262133:WVX262144 WVX327669:WVX327680 WVX393205:WVX393216 WVX458741:WVX458752 WVX524277:WVX524288 WVX589813:WVX589824 WVX655349:WVX655360 WVX720885:WVX720896 WVX786421:WVX786432 WVX851957:WVX851968 WVX917493:WVX917504 WVX983029:WVX983040" xr:uid="{00000000-0002-0000-0700-00000D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2 R8:R12 R65526 R65532:R65536 R131062 R131068:R131072 R196598 R196604:R196608 R262134 R262140:R262144 R327670 R327676:R327680 R393206 R393212:R393216 R458742 R458748:R458752 R524278 R524284:R524288 R589814 R589820:R589824 R655350 R655356:R655360 R720886 R720892:R720896 R786422 R786428:R786432 R851958 R851964:R851968 R917494 R917500:R917504 R983030 R983036:R983040 JN2 JN8:JN12 JN65526 JN65532:JN65536 JN131062 JN131068:JN131072 JN196598 JN196604:JN196608 JN262134 JN262140:JN262144 JN327670 JN327676:JN327680 JN393206 JN393212:JN393216 JN458742 JN458748:JN458752 JN524278 JN524284:JN524288 JN589814 JN589820:JN589824 JN655350 JN655356:JN655360 JN720886 JN720892:JN720896 JN786422 JN786428:JN786432 JN851958 JN851964:JN851968 JN917494 JN917500:JN917504 JN983030 JN983036:JN983040 TJ2 TJ8:TJ12 TJ65526 TJ65532:TJ65536 TJ131062 TJ131068:TJ131072 TJ196598 TJ196604:TJ196608 TJ262134 TJ262140:TJ262144 TJ327670 TJ327676:TJ327680 TJ393206 TJ393212:TJ393216 TJ458742 TJ458748:TJ458752 TJ524278 TJ524284:TJ524288 TJ589814 TJ589820:TJ589824 TJ655350 TJ655356:TJ655360 TJ720886 TJ720892:TJ720896 TJ786422 TJ786428:TJ786432 TJ851958 TJ851964:TJ851968 TJ917494 TJ917500:TJ917504 TJ983030 TJ983036:TJ983040 ADF2 ADF8:ADF12 ADF65526 ADF65532:ADF65536 ADF131062 ADF131068:ADF131072 ADF196598 ADF196604:ADF196608 ADF262134 ADF262140:ADF262144 ADF327670 ADF327676:ADF327680 ADF393206 ADF393212:ADF393216 ADF458742 ADF458748:ADF458752 ADF524278 ADF524284:ADF524288 ADF589814 ADF589820:ADF589824 ADF655350 ADF655356:ADF655360 ADF720886 ADF720892:ADF720896 ADF786422 ADF786428:ADF786432 ADF851958 ADF851964:ADF851968 ADF917494 ADF917500:ADF917504 ADF983030 ADF983036:ADF983040 ANB2 ANB8:ANB12 ANB65526 ANB65532:ANB65536 ANB131062 ANB131068:ANB131072 ANB196598 ANB196604:ANB196608 ANB262134 ANB262140:ANB262144 ANB327670 ANB327676:ANB327680 ANB393206 ANB393212:ANB393216 ANB458742 ANB458748:ANB458752 ANB524278 ANB524284:ANB524288 ANB589814 ANB589820:ANB589824 ANB655350 ANB655356:ANB655360 ANB720886 ANB720892:ANB720896 ANB786422 ANB786428:ANB786432 ANB851958 ANB851964:ANB851968 ANB917494 ANB917500:ANB917504 ANB983030 ANB983036:ANB983040 AWX2 AWX8:AWX12 AWX65526 AWX65532:AWX65536 AWX131062 AWX131068:AWX131072 AWX196598 AWX196604:AWX196608 AWX262134 AWX262140:AWX262144 AWX327670 AWX327676:AWX327680 AWX393206 AWX393212:AWX393216 AWX458742 AWX458748:AWX458752 AWX524278 AWX524284:AWX524288 AWX589814 AWX589820:AWX589824 AWX655350 AWX655356:AWX655360 AWX720886 AWX720892:AWX720896 AWX786422 AWX786428:AWX786432 AWX851958 AWX851964:AWX851968 AWX917494 AWX917500:AWX917504 AWX983030 AWX983036:AWX983040 BGT2 BGT8:BGT12 BGT65526 BGT65532:BGT65536 BGT131062 BGT131068:BGT131072 BGT196598 BGT196604:BGT196608 BGT262134 BGT262140:BGT262144 BGT327670 BGT327676:BGT327680 BGT393206 BGT393212:BGT393216 BGT458742 BGT458748:BGT458752 BGT524278 BGT524284:BGT524288 BGT589814 BGT589820:BGT589824 BGT655350 BGT655356:BGT655360 BGT720886 BGT720892:BGT720896 BGT786422 BGT786428:BGT786432 BGT851958 BGT851964:BGT851968 BGT917494 BGT917500:BGT917504 BGT983030 BGT983036:BGT983040 BQP2 BQP8:BQP12 BQP65526 BQP65532:BQP65536 BQP131062 BQP131068:BQP131072 BQP196598 BQP196604:BQP196608 BQP262134 BQP262140:BQP262144 BQP327670 BQP327676:BQP327680 BQP393206 BQP393212:BQP393216 BQP458742 BQP458748:BQP458752 BQP524278 BQP524284:BQP524288 BQP589814 BQP589820:BQP589824 BQP655350 BQP655356:BQP655360 BQP720886 BQP720892:BQP720896 BQP786422 BQP786428:BQP786432 BQP851958 BQP851964:BQP851968 BQP917494 BQP917500:BQP917504 BQP983030 BQP983036:BQP983040 CAL2 CAL8:CAL12 CAL65526 CAL65532:CAL65536 CAL131062 CAL131068:CAL131072 CAL196598 CAL196604:CAL196608 CAL262134 CAL262140:CAL262144 CAL327670 CAL327676:CAL327680 CAL393206 CAL393212:CAL393216 CAL458742 CAL458748:CAL458752 CAL524278 CAL524284:CAL524288 CAL589814 CAL589820:CAL589824 CAL655350 CAL655356:CAL655360 CAL720886 CAL720892:CAL720896 CAL786422 CAL786428:CAL786432 CAL851958 CAL851964:CAL851968 CAL917494 CAL917500:CAL917504 CAL983030 CAL983036:CAL983040 CKH2 CKH8:CKH12 CKH65526 CKH65532:CKH65536 CKH131062 CKH131068:CKH131072 CKH196598 CKH196604:CKH196608 CKH262134 CKH262140:CKH262144 CKH327670 CKH327676:CKH327680 CKH393206 CKH393212:CKH393216 CKH458742 CKH458748:CKH458752 CKH524278 CKH524284:CKH524288 CKH589814 CKH589820:CKH589824 CKH655350 CKH655356:CKH655360 CKH720886 CKH720892:CKH720896 CKH786422 CKH786428:CKH786432 CKH851958 CKH851964:CKH851968 CKH917494 CKH917500:CKH917504 CKH983030 CKH983036:CKH983040 CUD2 CUD8:CUD12 CUD65526 CUD65532:CUD65536 CUD131062 CUD131068:CUD131072 CUD196598 CUD196604:CUD196608 CUD262134 CUD262140:CUD262144 CUD327670 CUD327676:CUD327680 CUD393206 CUD393212:CUD393216 CUD458742 CUD458748:CUD458752 CUD524278 CUD524284:CUD524288 CUD589814 CUD589820:CUD589824 CUD655350 CUD655356:CUD655360 CUD720886 CUD720892:CUD720896 CUD786422 CUD786428:CUD786432 CUD851958 CUD851964:CUD851968 CUD917494 CUD917500:CUD917504 CUD983030 CUD983036:CUD983040 DDZ2 DDZ8:DDZ12 DDZ65526 DDZ65532:DDZ65536 DDZ131062 DDZ131068:DDZ131072 DDZ196598 DDZ196604:DDZ196608 DDZ262134 DDZ262140:DDZ262144 DDZ327670 DDZ327676:DDZ327680 DDZ393206 DDZ393212:DDZ393216 DDZ458742 DDZ458748:DDZ458752 DDZ524278 DDZ524284:DDZ524288 DDZ589814 DDZ589820:DDZ589824 DDZ655350 DDZ655356:DDZ655360 DDZ720886 DDZ720892:DDZ720896 DDZ786422 DDZ786428:DDZ786432 DDZ851958 DDZ851964:DDZ851968 DDZ917494 DDZ917500:DDZ917504 DDZ983030 DDZ983036:DDZ983040 DNV2 DNV8:DNV12 DNV65526 DNV65532:DNV65536 DNV131062 DNV131068:DNV131072 DNV196598 DNV196604:DNV196608 DNV262134 DNV262140:DNV262144 DNV327670 DNV327676:DNV327680 DNV393206 DNV393212:DNV393216 DNV458742 DNV458748:DNV458752 DNV524278 DNV524284:DNV524288 DNV589814 DNV589820:DNV589824 DNV655350 DNV655356:DNV655360 DNV720886 DNV720892:DNV720896 DNV786422 DNV786428:DNV786432 DNV851958 DNV851964:DNV851968 DNV917494 DNV917500:DNV917504 DNV983030 DNV983036:DNV983040 DXR2 DXR8:DXR12 DXR65526 DXR65532:DXR65536 DXR131062 DXR131068:DXR131072 DXR196598 DXR196604:DXR196608 DXR262134 DXR262140:DXR262144 DXR327670 DXR327676:DXR327680 DXR393206 DXR393212:DXR393216 DXR458742 DXR458748:DXR458752 DXR524278 DXR524284:DXR524288 DXR589814 DXR589820:DXR589824 DXR655350 DXR655356:DXR655360 DXR720886 DXR720892:DXR720896 DXR786422 DXR786428:DXR786432 DXR851958 DXR851964:DXR851968 DXR917494 DXR917500:DXR917504 DXR983030 DXR983036:DXR983040 EHN2 EHN8:EHN12 EHN65526 EHN65532:EHN65536 EHN131062 EHN131068:EHN131072 EHN196598 EHN196604:EHN196608 EHN262134 EHN262140:EHN262144 EHN327670 EHN327676:EHN327680 EHN393206 EHN393212:EHN393216 EHN458742 EHN458748:EHN458752 EHN524278 EHN524284:EHN524288 EHN589814 EHN589820:EHN589824 EHN655350 EHN655356:EHN655360 EHN720886 EHN720892:EHN720896 EHN786422 EHN786428:EHN786432 EHN851958 EHN851964:EHN851968 EHN917494 EHN917500:EHN917504 EHN983030 EHN983036:EHN983040 ERJ2 ERJ8:ERJ12 ERJ65526 ERJ65532:ERJ65536 ERJ131062 ERJ131068:ERJ131072 ERJ196598 ERJ196604:ERJ196608 ERJ262134 ERJ262140:ERJ262144 ERJ327670 ERJ327676:ERJ327680 ERJ393206 ERJ393212:ERJ393216 ERJ458742 ERJ458748:ERJ458752 ERJ524278 ERJ524284:ERJ524288 ERJ589814 ERJ589820:ERJ589824 ERJ655350 ERJ655356:ERJ655360 ERJ720886 ERJ720892:ERJ720896 ERJ786422 ERJ786428:ERJ786432 ERJ851958 ERJ851964:ERJ851968 ERJ917494 ERJ917500:ERJ917504 ERJ983030 ERJ983036:ERJ983040 FBF2 FBF8:FBF12 FBF65526 FBF65532:FBF65536 FBF131062 FBF131068:FBF131072 FBF196598 FBF196604:FBF196608 FBF262134 FBF262140:FBF262144 FBF327670 FBF327676:FBF327680 FBF393206 FBF393212:FBF393216 FBF458742 FBF458748:FBF458752 FBF524278 FBF524284:FBF524288 FBF589814 FBF589820:FBF589824 FBF655350 FBF655356:FBF655360 FBF720886 FBF720892:FBF720896 FBF786422 FBF786428:FBF786432 FBF851958 FBF851964:FBF851968 FBF917494 FBF917500:FBF917504 FBF983030 FBF983036:FBF983040 FLB2 FLB8:FLB12 FLB65526 FLB65532:FLB65536 FLB131062 FLB131068:FLB131072 FLB196598 FLB196604:FLB196608 FLB262134 FLB262140:FLB262144 FLB327670 FLB327676:FLB327680 FLB393206 FLB393212:FLB393216 FLB458742 FLB458748:FLB458752 FLB524278 FLB524284:FLB524288 FLB589814 FLB589820:FLB589824 FLB655350 FLB655356:FLB655360 FLB720886 FLB720892:FLB720896 FLB786422 FLB786428:FLB786432 FLB851958 FLB851964:FLB851968 FLB917494 FLB917500:FLB917504 FLB983030 FLB983036:FLB983040 FUX2 FUX8:FUX12 FUX65526 FUX65532:FUX65536 FUX131062 FUX131068:FUX131072 FUX196598 FUX196604:FUX196608 FUX262134 FUX262140:FUX262144 FUX327670 FUX327676:FUX327680 FUX393206 FUX393212:FUX393216 FUX458742 FUX458748:FUX458752 FUX524278 FUX524284:FUX524288 FUX589814 FUX589820:FUX589824 FUX655350 FUX655356:FUX655360 FUX720886 FUX720892:FUX720896 FUX786422 FUX786428:FUX786432 FUX851958 FUX851964:FUX851968 FUX917494 FUX917500:FUX917504 FUX983030 FUX983036:FUX983040 GET2 GET8:GET12 GET65526 GET65532:GET65536 GET131062 GET131068:GET131072 GET196598 GET196604:GET196608 GET262134 GET262140:GET262144 GET327670 GET327676:GET327680 GET393206 GET393212:GET393216 GET458742 GET458748:GET458752 GET524278 GET524284:GET524288 GET589814 GET589820:GET589824 GET655350 GET655356:GET655360 GET720886 GET720892:GET720896 GET786422 GET786428:GET786432 GET851958 GET851964:GET851968 GET917494 GET917500:GET917504 GET983030 GET983036:GET983040 GOP2 GOP8:GOP12 GOP65526 GOP65532:GOP65536 GOP131062 GOP131068:GOP131072 GOP196598 GOP196604:GOP196608 GOP262134 GOP262140:GOP262144 GOP327670 GOP327676:GOP327680 GOP393206 GOP393212:GOP393216 GOP458742 GOP458748:GOP458752 GOP524278 GOP524284:GOP524288 GOP589814 GOP589820:GOP589824 GOP655350 GOP655356:GOP655360 GOP720886 GOP720892:GOP720896 GOP786422 GOP786428:GOP786432 GOP851958 GOP851964:GOP851968 GOP917494 GOP917500:GOP917504 GOP983030 GOP983036:GOP983040 GYL2 GYL8:GYL12 GYL65526 GYL65532:GYL65536 GYL131062 GYL131068:GYL131072 GYL196598 GYL196604:GYL196608 GYL262134 GYL262140:GYL262144 GYL327670 GYL327676:GYL327680 GYL393206 GYL393212:GYL393216 GYL458742 GYL458748:GYL458752 GYL524278 GYL524284:GYL524288 GYL589814 GYL589820:GYL589824 GYL655350 GYL655356:GYL655360 GYL720886 GYL720892:GYL720896 GYL786422 GYL786428:GYL786432 GYL851958 GYL851964:GYL851968 GYL917494 GYL917500:GYL917504 GYL983030 GYL983036:GYL983040 HIH2 HIH8:HIH12 HIH65526 HIH65532:HIH65536 HIH131062 HIH131068:HIH131072 HIH196598 HIH196604:HIH196608 HIH262134 HIH262140:HIH262144 HIH327670 HIH327676:HIH327680 HIH393206 HIH393212:HIH393216 HIH458742 HIH458748:HIH458752 HIH524278 HIH524284:HIH524288 HIH589814 HIH589820:HIH589824 HIH655350 HIH655356:HIH655360 HIH720886 HIH720892:HIH720896 HIH786422 HIH786428:HIH786432 HIH851958 HIH851964:HIH851968 HIH917494 HIH917500:HIH917504 HIH983030 HIH983036:HIH983040 HSD2 HSD8:HSD12 HSD65526 HSD65532:HSD65536 HSD131062 HSD131068:HSD131072 HSD196598 HSD196604:HSD196608 HSD262134 HSD262140:HSD262144 HSD327670 HSD327676:HSD327680 HSD393206 HSD393212:HSD393216 HSD458742 HSD458748:HSD458752 HSD524278 HSD524284:HSD524288 HSD589814 HSD589820:HSD589824 HSD655350 HSD655356:HSD655360 HSD720886 HSD720892:HSD720896 HSD786422 HSD786428:HSD786432 HSD851958 HSD851964:HSD851968 HSD917494 HSD917500:HSD917504 HSD983030 HSD983036:HSD983040 IBZ2 IBZ8:IBZ12 IBZ65526 IBZ65532:IBZ65536 IBZ131062 IBZ131068:IBZ131072 IBZ196598 IBZ196604:IBZ196608 IBZ262134 IBZ262140:IBZ262144 IBZ327670 IBZ327676:IBZ327680 IBZ393206 IBZ393212:IBZ393216 IBZ458742 IBZ458748:IBZ458752 IBZ524278 IBZ524284:IBZ524288 IBZ589814 IBZ589820:IBZ589824 IBZ655350 IBZ655356:IBZ655360 IBZ720886 IBZ720892:IBZ720896 IBZ786422 IBZ786428:IBZ786432 IBZ851958 IBZ851964:IBZ851968 IBZ917494 IBZ917500:IBZ917504 IBZ983030 IBZ983036:IBZ983040 ILV2 ILV8:ILV12 ILV65526 ILV65532:ILV65536 ILV131062 ILV131068:ILV131072 ILV196598 ILV196604:ILV196608 ILV262134 ILV262140:ILV262144 ILV327670 ILV327676:ILV327680 ILV393206 ILV393212:ILV393216 ILV458742 ILV458748:ILV458752 ILV524278 ILV524284:ILV524288 ILV589814 ILV589820:ILV589824 ILV655350 ILV655356:ILV655360 ILV720886 ILV720892:ILV720896 ILV786422 ILV786428:ILV786432 ILV851958 ILV851964:ILV851968 ILV917494 ILV917500:ILV917504 ILV983030 ILV983036:ILV983040 IVR2 IVR8:IVR12 IVR65526 IVR65532:IVR65536 IVR131062 IVR131068:IVR131072 IVR196598 IVR196604:IVR196608 IVR262134 IVR262140:IVR262144 IVR327670 IVR327676:IVR327680 IVR393206 IVR393212:IVR393216 IVR458742 IVR458748:IVR458752 IVR524278 IVR524284:IVR524288 IVR589814 IVR589820:IVR589824 IVR655350 IVR655356:IVR655360 IVR720886 IVR720892:IVR720896 IVR786422 IVR786428:IVR786432 IVR851958 IVR851964:IVR851968 IVR917494 IVR917500:IVR917504 IVR983030 IVR983036:IVR983040 JFN2 JFN8:JFN12 JFN65526 JFN65532:JFN65536 JFN131062 JFN131068:JFN131072 JFN196598 JFN196604:JFN196608 JFN262134 JFN262140:JFN262144 JFN327670 JFN327676:JFN327680 JFN393206 JFN393212:JFN393216 JFN458742 JFN458748:JFN458752 JFN524278 JFN524284:JFN524288 JFN589814 JFN589820:JFN589824 JFN655350 JFN655356:JFN655360 JFN720886 JFN720892:JFN720896 JFN786422 JFN786428:JFN786432 JFN851958 JFN851964:JFN851968 JFN917494 JFN917500:JFN917504 JFN983030 JFN983036:JFN983040 JPJ2 JPJ8:JPJ12 JPJ65526 JPJ65532:JPJ65536 JPJ131062 JPJ131068:JPJ131072 JPJ196598 JPJ196604:JPJ196608 JPJ262134 JPJ262140:JPJ262144 JPJ327670 JPJ327676:JPJ327680 JPJ393206 JPJ393212:JPJ393216 JPJ458742 JPJ458748:JPJ458752 JPJ524278 JPJ524284:JPJ524288 JPJ589814 JPJ589820:JPJ589824 JPJ655350 JPJ655356:JPJ655360 JPJ720886 JPJ720892:JPJ720896 JPJ786422 JPJ786428:JPJ786432 JPJ851958 JPJ851964:JPJ851968 JPJ917494 JPJ917500:JPJ917504 JPJ983030 JPJ983036:JPJ983040 JZF2 JZF8:JZF12 JZF65526 JZF65532:JZF65536 JZF131062 JZF131068:JZF131072 JZF196598 JZF196604:JZF196608 JZF262134 JZF262140:JZF262144 JZF327670 JZF327676:JZF327680 JZF393206 JZF393212:JZF393216 JZF458742 JZF458748:JZF458752 JZF524278 JZF524284:JZF524288 JZF589814 JZF589820:JZF589824 JZF655350 JZF655356:JZF655360 JZF720886 JZF720892:JZF720896 JZF786422 JZF786428:JZF786432 JZF851958 JZF851964:JZF851968 JZF917494 JZF917500:JZF917504 JZF983030 JZF983036:JZF983040 KJB2 KJB8:KJB12 KJB65526 KJB65532:KJB65536 KJB131062 KJB131068:KJB131072 KJB196598 KJB196604:KJB196608 KJB262134 KJB262140:KJB262144 KJB327670 KJB327676:KJB327680 KJB393206 KJB393212:KJB393216 KJB458742 KJB458748:KJB458752 KJB524278 KJB524284:KJB524288 KJB589814 KJB589820:KJB589824 KJB655350 KJB655356:KJB655360 KJB720886 KJB720892:KJB720896 KJB786422 KJB786428:KJB786432 KJB851958 KJB851964:KJB851968 KJB917494 KJB917500:KJB917504 KJB983030 KJB983036:KJB983040 KSX2 KSX8:KSX12 KSX65526 KSX65532:KSX65536 KSX131062 KSX131068:KSX131072 KSX196598 KSX196604:KSX196608 KSX262134 KSX262140:KSX262144 KSX327670 KSX327676:KSX327680 KSX393206 KSX393212:KSX393216 KSX458742 KSX458748:KSX458752 KSX524278 KSX524284:KSX524288 KSX589814 KSX589820:KSX589824 KSX655350 KSX655356:KSX655360 KSX720886 KSX720892:KSX720896 KSX786422 KSX786428:KSX786432 KSX851958 KSX851964:KSX851968 KSX917494 KSX917500:KSX917504 KSX983030 KSX983036:KSX983040 LCT2 LCT8:LCT12 LCT65526 LCT65532:LCT65536 LCT131062 LCT131068:LCT131072 LCT196598 LCT196604:LCT196608 LCT262134 LCT262140:LCT262144 LCT327670 LCT327676:LCT327680 LCT393206 LCT393212:LCT393216 LCT458742 LCT458748:LCT458752 LCT524278 LCT524284:LCT524288 LCT589814 LCT589820:LCT589824 LCT655350 LCT655356:LCT655360 LCT720886 LCT720892:LCT720896 LCT786422 LCT786428:LCT786432 LCT851958 LCT851964:LCT851968 LCT917494 LCT917500:LCT917504 LCT983030 LCT983036:LCT983040 LMP2 LMP8:LMP12 LMP65526 LMP65532:LMP65536 LMP131062 LMP131068:LMP131072 LMP196598 LMP196604:LMP196608 LMP262134 LMP262140:LMP262144 LMP327670 LMP327676:LMP327680 LMP393206 LMP393212:LMP393216 LMP458742 LMP458748:LMP458752 LMP524278 LMP524284:LMP524288 LMP589814 LMP589820:LMP589824 LMP655350 LMP655356:LMP655360 LMP720886 LMP720892:LMP720896 LMP786422 LMP786428:LMP786432 LMP851958 LMP851964:LMP851968 LMP917494 LMP917500:LMP917504 LMP983030 LMP983036:LMP983040 LWL2 LWL8:LWL12 LWL65526 LWL65532:LWL65536 LWL131062 LWL131068:LWL131072 LWL196598 LWL196604:LWL196608 LWL262134 LWL262140:LWL262144 LWL327670 LWL327676:LWL327680 LWL393206 LWL393212:LWL393216 LWL458742 LWL458748:LWL458752 LWL524278 LWL524284:LWL524288 LWL589814 LWL589820:LWL589824 LWL655350 LWL655356:LWL655360 LWL720886 LWL720892:LWL720896 LWL786422 LWL786428:LWL786432 LWL851958 LWL851964:LWL851968 LWL917494 LWL917500:LWL917504 LWL983030 LWL983036:LWL983040 MGH2 MGH8:MGH12 MGH65526 MGH65532:MGH65536 MGH131062 MGH131068:MGH131072 MGH196598 MGH196604:MGH196608 MGH262134 MGH262140:MGH262144 MGH327670 MGH327676:MGH327680 MGH393206 MGH393212:MGH393216 MGH458742 MGH458748:MGH458752 MGH524278 MGH524284:MGH524288 MGH589814 MGH589820:MGH589824 MGH655350 MGH655356:MGH655360 MGH720886 MGH720892:MGH720896 MGH786422 MGH786428:MGH786432 MGH851958 MGH851964:MGH851968 MGH917494 MGH917500:MGH917504 MGH983030 MGH983036:MGH983040 MQD2 MQD8:MQD12 MQD65526 MQD65532:MQD65536 MQD131062 MQD131068:MQD131072 MQD196598 MQD196604:MQD196608 MQD262134 MQD262140:MQD262144 MQD327670 MQD327676:MQD327680 MQD393206 MQD393212:MQD393216 MQD458742 MQD458748:MQD458752 MQD524278 MQD524284:MQD524288 MQD589814 MQD589820:MQD589824 MQD655350 MQD655356:MQD655360 MQD720886 MQD720892:MQD720896 MQD786422 MQD786428:MQD786432 MQD851958 MQD851964:MQD851968 MQD917494 MQD917500:MQD917504 MQD983030 MQD983036:MQD983040 MZZ2 MZZ8:MZZ12 MZZ65526 MZZ65532:MZZ65536 MZZ131062 MZZ131068:MZZ131072 MZZ196598 MZZ196604:MZZ196608 MZZ262134 MZZ262140:MZZ262144 MZZ327670 MZZ327676:MZZ327680 MZZ393206 MZZ393212:MZZ393216 MZZ458742 MZZ458748:MZZ458752 MZZ524278 MZZ524284:MZZ524288 MZZ589814 MZZ589820:MZZ589824 MZZ655350 MZZ655356:MZZ655360 MZZ720886 MZZ720892:MZZ720896 MZZ786422 MZZ786428:MZZ786432 MZZ851958 MZZ851964:MZZ851968 MZZ917494 MZZ917500:MZZ917504 MZZ983030 MZZ983036:MZZ983040 NJV2 NJV8:NJV12 NJV65526 NJV65532:NJV65536 NJV131062 NJV131068:NJV131072 NJV196598 NJV196604:NJV196608 NJV262134 NJV262140:NJV262144 NJV327670 NJV327676:NJV327680 NJV393206 NJV393212:NJV393216 NJV458742 NJV458748:NJV458752 NJV524278 NJV524284:NJV524288 NJV589814 NJV589820:NJV589824 NJV655350 NJV655356:NJV655360 NJV720886 NJV720892:NJV720896 NJV786422 NJV786428:NJV786432 NJV851958 NJV851964:NJV851968 NJV917494 NJV917500:NJV917504 NJV983030 NJV983036:NJV983040 NTR2 NTR8:NTR12 NTR65526 NTR65532:NTR65536 NTR131062 NTR131068:NTR131072 NTR196598 NTR196604:NTR196608 NTR262134 NTR262140:NTR262144 NTR327670 NTR327676:NTR327680 NTR393206 NTR393212:NTR393216 NTR458742 NTR458748:NTR458752 NTR524278 NTR524284:NTR524288 NTR589814 NTR589820:NTR589824 NTR655350 NTR655356:NTR655360 NTR720886 NTR720892:NTR720896 NTR786422 NTR786428:NTR786432 NTR851958 NTR851964:NTR851968 NTR917494 NTR917500:NTR917504 NTR983030 NTR983036:NTR983040 ODN2 ODN8:ODN12 ODN65526 ODN65532:ODN65536 ODN131062 ODN131068:ODN131072 ODN196598 ODN196604:ODN196608 ODN262134 ODN262140:ODN262144 ODN327670 ODN327676:ODN327680 ODN393206 ODN393212:ODN393216 ODN458742 ODN458748:ODN458752 ODN524278 ODN524284:ODN524288 ODN589814 ODN589820:ODN589824 ODN655350 ODN655356:ODN655360 ODN720886 ODN720892:ODN720896 ODN786422 ODN786428:ODN786432 ODN851958 ODN851964:ODN851968 ODN917494 ODN917500:ODN917504 ODN983030 ODN983036:ODN983040 ONJ2 ONJ8:ONJ12 ONJ65526 ONJ65532:ONJ65536 ONJ131062 ONJ131068:ONJ131072 ONJ196598 ONJ196604:ONJ196608 ONJ262134 ONJ262140:ONJ262144 ONJ327670 ONJ327676:ONJ327680 ONJ393206 ONJ393212:ONJ393216 ONJ458742 ONJ458748:ONJ458752 ONJ524278 ONJ524284:ONJ524288 ONJ589814 ONJ589820:ONJ589824 ONJ655350 ONJ655356:ONJ655360 ONJ720886 ONJ720892:ONJ720896 ONJ786422 ONJ786428:ONJ786432 ONJ851958 ONJ851964:ONJ851968 ONJ917494 ONJ917500:ONJ917504 ONJ983030 ONJ983036:ONJ983040 OXF2 OXF8:OXF12 OXF65526 OXF65532:OXF65536 OXF131062 OXF131068:OXF131072 OXF196598 OXF196604:OXF196608 OXF262134 OXF262140:OXF262144 OXF327670 OXF327676:OXF327680 OXF393206 OXF393212:OXF393216 OXF458742 OXF458748:OXF458752 OXF524278 OXF524284:OXF524288 OXF589814 OXF589820:OXF589824 OXF655350 OXF655356:OXF655360 OXF720886 OXF720892:OXF720896 OXF786422 OXF786428:OXF786432 OXF851958 OXF851964:OXF851968 OXF917494 OXF917500:OXF917504 OXF983030 OXF983036:OXF983040 PHB2 PHB8:PHB12 PHB65526 PHB65532:PHB65536 PHB131062 PHB131068:PHB131072 PHB196598 PHB196604:PHB196608 PHB262134 PHB262140:PHB262144 PHB327670 PHB327676:PHB327680 PHB393206 PHB393212:PHB393216 PHB458742 PHB458748:PHB458752 PHB524278 PHB524284:PHB524288 PHB589814 PHB589820:PHB589824 PHB655350 PHB655356:PHB655360 PHB720886 PHB720892:PHB720896 PHB786422 PHB786428:PHB786432 PHB851958 PHB851964:PHB851968 PHB917494 PHB917500:PHB917504 PHB983030 PHB983036:PHB983040 PQX2 PQX8:PQX12 PQX65526 PQX65532:PQX65536 PQX131062 PQX131068:PQX131072 PQX196598 PQX196604:PQX196608 PQX262134 PQX262140:PQX262144 PQX327670 PQX327676:PQX327680 PQX393206 PQX393212:PQX393216 PQX458742 PQX458748:PQX458752 PQX524278 PQX524284:PQX524288 PQX589814 PQX589820:PQX589824 PQX655350 PQX655356:PQX655360 PQX720886 PQX720892:PQX720896 PQX786422 PQX786428:PQX786432 PQX851958 PQX851964:PQX851968 PQX917494 PQX917500:PQX917504 PQX983030 PQX983036:PQX983040 QAT2 QAT8:QAT12 QAT65526 QAT65532:QAT65536 QAT131062 QAT131068:QAT131072 QAT196598 QAT196604:QAT196608 QAT262134 QAT262140:QAT262144 QAT327670 QAT327676:QAT327680 QAT393206 QAT393212:QAT393216 QAT458742 QAT458748:QAT458752 QAT524278 QAT524284:QAT524288 QAT589814 QAT589820:QAT589824 QAT655350 QAT655356:QAT655360 QAT720886 QAT720892:QAT720896 QAT786422 QAT786428:QAT786432 QAT851958 QAT851964:QAT851968 QAT917494 QAT917500:QAT917504 QAT983030 QAT983036:QAT983040 QKP2 QKP8:QKP12 QKP65526 QKP65532:QKP65536 QKP131062 QKP131068:QKP131072 QKP196598 QKP196604:QKP196608 QKP262134 QKP262140:QKP262144 QKP327670 QKP327676:QKP327680 QKP393206 QKP393212:QKP393216 QKP458742 QKP458748:QKP458752 QKP524278 QKP524284:QKP524288 QKP589814 QKP589820:QKP589824 QKP655350 QKP655356:QKP655360 QKP720886 QKP720892:QKP720896 QKP786422 QKP786428:QKP786432 QKP851958 QKP851964:QKP851968 QKP917494 QKP917500:QKP917504 QKP983030 QKP983036:QKP983040 QUL2 QUL8:QUL12 QUL65526 QUL65532:QUL65536 QUL131062 QUL131068:QUL131072 QUL196598 QUL196604:QUL196608 QUL262134 QUL262140:QUL262144 QUL327670 QUL327676:QUL327680 QUL393206 QUL393212:QUL393216 QUL458742 QUL458748:QUL458752 QUL524278 QUL524284:QUL524288 QUL589814 QUL589820:QUL589824 QUL655350 QUL655356:QUL655360 QUL720886 QUL720892:QUL720896 QUL786422 QUL786428:QUL786432 QUL851958 QUL851964:QUL851968 QUL917494 QUL917500:QUL917504 QUL983030 QUL983036:QUL983040 REH2 REH8:REH12 REH65526 REH65532:REH65536 REH131062 REH131068:REH131072 REH196598 REH196604:REH196608 REH262134 REH262140:REH262144 REH327670 REH327676:REH327680 REH393206 REH393212:REH393216 REH458742 REH458748:REH458752 REH524278 REH524284:REH524288 REH589814 REH589820:REH589824 REH655350 REH655356:REH655360 REH720886 REH720892:REH720896 REH786422 REH786428:REH786432 REH851958 REH851964:REH851968 REH917494 REH917500:REH917504 REH983030 REH983036:REH983040 ROD2 ROD8:ROD12 ROD65526 ROD65532:ROD65536 ROD131062 ROD131068:ROD131072 ROD196598 ROD196604:ROD196608 ROD262134 ROD262140:ROD262144 ROD327670 ROD327676:ROD327680 ROD393206 ROD393212:ROD393216 ROD458742 ROD458748:ROD458752 ROD524278 ROD524284:ROD524288 ROD589814 ROD589820:ROD589824 ROD655350 ROD655356:ROD655360 ROD720886 ROD720892:ROD720896 ROD786422 ROD786428:ROD786432 ROD851958 ROD851964:ROD851968 ROD917494 ROD917500:ROD917504 ROD983030 ROD983036:ROD983040 RXZ2 RXZ8:RXZ12 RXZ65526 RXZ65532:RXZ65536 RXZ131062 RXZ131068:RXZ131072 RXZ196598 RXZ196604:RXZ196608 RXZ262134 RXZ262140:RXZ262144 RXZ327670 RXZ327676:RXZ327680 RXZ393206 RXZ393212:RXZ393216 RXZ458742 RXZ458748:RXZ458752 RXZ524278 RXZ524284:RXZ524288 RXZ589814 RXZ589820:RXZ589824 RXZ655350 RXZ655356:RXZ655360 RXZ720886 RXZ720892:RXZ720896 RXZ786422 RXZ786428:RXZ786432 RXZ851958 RXZ851964:RXZ851968 RXZ917494 RXZ917500:RXZ917504 RXZ983030 RXZ983036:RXZ983040 SHV2 SHV8:SHV12 SHV65526 SHV65532:SHV65536 SHV131062 SHV131068:SHV131072 SHV196598 SHV196604:SHV196608 SHV262134 SHV262140:SHV262144 SHV327670 SHV327676:SHV327680 SHV393206 SHV393212:SHV393216 SHV458742 SHV458748:SHV458752 SHV524278 SHV524284:SHV524288 SHV589814 SHV589820:SHV589824 SHV655350 SHV655356:SHV655360 SHV720886 SHV720892:SHV720896 SHV786422 SHV786428:SHV786432 SHV851958 SHV851964:SHV851968 SHV917494 SHV917500:SHV917504 SHV983030 SHV983036:SHV983040 SRR2 SRR8:SRR12 SRR65526 SRR65532:SRR65536 SRR131062 SRR131068:SRR131072 SRR196598 SRR196604:SRR196608 SRR262134 SRR262140:SRR262144 SRR327670 SRR327676:SRR327680 SRR393206 SRR393212:SRR393216 SRR458742 SRR458748:SRR458752 SRR524278 SRR524284:SRR524288 SRR589814 SRR589820:SRR589824 SRR655350 SRR655356:SRR655360 SRR720886 SRR720892:SRR720896 SRR786422 SRR786428:SRR786432 SRR851958 SRR851964:SRR851968 SRR917494 SRR917500:SRR917504 SRR983030 SRR983036:SRR983040 TBN2 TBN8:TBN12 TBN65526 TBN65532:TBN65536 TBN131062 TBN131068:TBN131072 TBN196598 TBN196604:TBN196608 TBN262134 TBN262140:TBN262144 TBN327670 TBN327676:TBN327680 TBN393206 TBN393212:TBN393216 TBN458742 TBN458748:TBN458752 TBN524278 TBN524284:TBN524288 TBN589814 TBN589820:TBN589824 TBN655350 TBN655356:TBN655360 TBN720886 TBN720892:TBN720896 TBN786422 TBN786428:TBN786432 TBN851958 TBN851964:TBN851968 TBN917494 TBN917500:TBN917504 TBN983030 TBN983036:TBN983040 TLJ2 TLJ8:TLJ12 TLJ65526 TLJ65532:TLJ65536 TLJ131062 TLJ131068:TLJ131072 TLJ196598 TLJ196604:TLJ196608 TLJ262134 TLJ262140:TLJ262144 TLJ327670 TLJ327676:TLJ327680 TLJ393206 TLJ393212:TLJ393216 TLJ458742 TLJ458748:TLJ458752 TLJ524278 TLJ524284:TLJ524288 TLJ589814 TLJ589820:TLJ589824 TLJ655350 TLJ655356:TLJ655360 TLJ720886 TLJ720892:TLJ720896 TLJ786422 TLJ786428:TLJ786432 TLJ851958 TLJ851964:TLJ851968 TLJ917494 TLJ917500:TLJ917504 TLJ983030 TLJ983036:TLJ983040 TVF2 TVF8:TVF12 TVF65526 TVF65532:TVF65536 TVF131062 TVF131068:TVF131072 TVF196598 TVF196604:TVF196608 TVF262134 TVF262140:TVF262144 TVF327670 TVF327676:TVF327680 TVF393206 TVF393212:TVF393216 TVF458742 TVF458748:TVF458752 TVF524278 TVF524284:TVF524288 TVF589814 TVF589820:TVF589824 TVF655350 TVF655356:TVF655360 TVF720886 TVF720892:TVF720896 TVF786422 TVF786428:TVF786432 TVF851958 TVF851964:TVF851968 TVF917494 TVF917500:TVF917504 TVF983030 TVF983036:TVF983040 UFB2 UFB8:UFB12 UFB65526 UFB65532:UFB65536 UFB131062 UFB131068:UFB131072 UFB196598 UFB196604:UFB196608 UFB262134 UFB262140:UFB262144 UFB327670 UFB327676:UFB327680 UFB393206 UFB393212:UFB393216 UFB458742 UFB458748:UFB458752 UFB524278 UFB524284:UFB524288 UFB589814 UFB589820:UFB589824 UFB655350 UFB655356:UFB655360 UFB720886 UFB720892:UFB720896 UFB786422 UFB786428:UFB786432 UFB851958 UFB851964:UFB851968 UFB917494 UFB917500:UFB917504 UFB983030 UFB983036:UFB983040 UOX2 UOX8:UOX12 UOX65526 UOX65532:UOX65536 UOX131062 UOX131068:UOX131072 UOX196598 UOX196604:UOX196608 UOX262134 UOX262140:UOX262144 UOX327670 UOX327676:UOX327680 UOX393206 UOX393212:UOX393216 UOX458742 UOX458748:UOX458752 UOX524278 UOX524284:UOX524288 UOX589814 UOX589820:UOX589824 UOX655350 UOX655356:UOX655360 UOX720886 UOX720892:UOX720896 UOX786422 UOX786428:UOX786432 UOX851958 UOX851964:UOX851968 UOX917494 UOX917500:UOX917504 UOX983030 UOX983036:UOX983040 UYT2 UYT8:UYT12 UYT65526 UYT65532:UYT65536 UYT131062 UYT131068:UYT131072 UYT196598 UYT196604:UYT196608 UYT262134 UYT262140:UYT262144 UYT327670 UYT327676:UYT327680 UYT393206 UYT393212:UYT393216 UYT458742 UYT458748:UYT458752 UYT524278 UYT524284:UYT524288 UYT589814 UYT589820:UYT589824 UYT655350 UYT655356:UYT655360 UYT720886 UYT720892:UYT720896 UYT786422 UYT786428:UYT786432 UYT851958 UYT851964:UYT851968 UYT917494 UYT917500:UYT917504 UYT983030 UYT983036:UYT983040 VIP2 VIP8:VIP12 VIP65526 VIP65532:VIP65536 VIP131062 VIP131068:VIP131072 VIP196598 VIP196604:VIP196608 VIP262134 VIP262140:VIP262144 VIP327670 VIP327676:VIP327680 VIP393206 VIP393212:VIP393216 VIP458742 VIP458748:VIP458752 VIP524278 VIP524284:VIP524288 VIP589814 VIP589820:VIP589824 VIP655350 VIP655356:VIP655360 VIP720886 VIP720892:VIP720896 VIP786422 VIP786428:VIP786432 VIP851958 VIP851964:VIP851968 VIP917494 VIP917500:VIP917504 VIP983030 VIP983036:VIP983040 VSL2 VSL8:VSL12 VSL65526 VSL65532:VSL65536 VSL131062 VSL131068:VSL131072 VSL196598 VSL196604:VSL196608 VSL262134 VSL262140:VSL262144 VSL327670 VSL327676:VSL327680 VSL393206 VSL393212:VSL393216 VSL458742 VSL458748:VSL458752 VSL524278 VSL524284:VSL524288 VSL589814 VSL589820:VSL589824 VSL655350 VSL655356:VSL655360 VSL720886 VSL720892:VSL720896 VSL786422 VSL786428:VSL786432 VSL851958 VSL851964:VSL851968 VSL917494 VSL917500:VSL917504 VSL983030 VSL983036:VSL983040 WCH2 WCH8:WCH12 WCH65526 WCH65532:WCH65536 WCH131062 WCH131068:WCH131072 WCH196598 WCH196604:WCH196608 WCH262134 WCH262140:WCH262144 WCH327670 WCH327676:WCH327680 WCH393206 WCH393212:WCH393216 WCH458742 WCH458748:WCH458752 WCH524278 WCH524284:WCH524288 WCH589814 WCH589820:WCH589824 WCH655350 WCH655356:WCH655360 WCH720886 WCH720892:WCH720896 WCH786422 WCH786428:WCH786432 WCH851958 WCH851964:WCH851968 WCH917494 WCH917500:WCH917504 WCH983030 WCH983036:WCH983040 WMD2 WMD8:WMD12 WMD65526 WMD65532:WMD65536 WMD131062 WMD131068:WMD131072 WMD196598 WMD196604:WMD196608 WMD262134 WMD262140:WMD262144 WMD327670 WMD327676:WMD327680 WMD393206 WMD393212:WMD393216 WMD458742 WMD458748:WMD458752 WMD524278 WMD524284:WMD524288 WMD589814 WMD589820:WMD589824 WMD655350 WMD655356:WMD655360 WMD720886 WMD720892:WMD720896 WMD786422 WMD786428:WMD786432 WMD851958 WMD851964:WMD851968 WMD917494 WMD917500:WMD917504 WMD983030 WMD983036:WMD983040 WVZ2 WVZ8:WVZ12 WVZ65526 WVZ65532:WVZ65536 WVZ131062 WVZ131068:WVZ131072 WVZ196598 WVZ196604:WVZ196608 WVZ262134 WVZ262140:WVZ262144 WVZ327670 WVZ327676:WVZ327680 WVZ393206 WVZ393212:WVZ393216 WVZ458742 WVZ458748:WVZ458752 WVZ524278 WVZ524284:WVZ524288 WVZ589814 WVZ589820:WVZ589824 WVZ655350 WVZ655356:WVZ655360 WVZ720886 WVZ720892:WVZ720896 WVZ786422 WVZ786428:WVZ786432 WVZ851958 WVZ851964:WVZ851968 WVZ917494 WVZ917500:WVZ917504 WVZ983030 WVZ983036:WVZ983040" xr:uid="{00000000-0002-0000-0700-00000E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2 W8:W10 W65526 W65532:W65534 W131062 W131068:W131070 W196598 W196604:W196606 W262134 W262140:W262142 W327670 W327676:W327678 W393206 W393212:W393214 W458742 W458748:W458750 W524278 W524284:W524286 W589814 W589820:W589822 W655350 W655356:W655358 W720886 W720892:W720894 W786422 W786428:W786430 W851958 W851964:W851966 W917494 W917500:W917502 W983030 W983036:W983038 JS2 JS8:JS10 JS65526 JS65532:JS65534 JS131062 JS131068:JS131070 JS196598 JS196604:JS196606 JS262134 JS262140:JS262142 JS327670 JS327676:JS327678 JS393206 JS393212:JS393214 JS458742 JS458748:JS458750 JS524278 JS524284:JS524286 JS589814 JS589820:JS589822 JS655350 JS655356:JS655358 JS720886 JS720892:JS720894 JS786422 JS786428:JS786430 JS851958 JS851964:JS851966 JS917494 JS917500:JS917502 JS983030 JS983036:JS983038 TO2 TO8:TO10 TO65526 TO65532:TO65534 TO131062 TO131068:TO131070 TO196598 TO196604:TO196606 TO262134 TO262140:TO262142 TO327670 TO327676:TO327678 TO393206 TO393212:TO393214 TO458742 TO458748:TO458750 TO524278 TO524284:TO524286 TO589814 TO589820:TO589822 TO655350 TO655356:TO655358 TO720886 TO720892:TO720894 TO786422 TO786428:TO786430 TO851958 TO851964:TO851966 TO917494 TO917500:TO917502 TO983030 TO983036:TO983038 ADK2 ADK8:ADK10 ADK65526 ADK65532:ADK65534 ADK131062 ADK131068:ADK131070 ADK196598 ADK196604:ADK196606 ADK262134 ADK262140:ADK262142 ADK327670 ADK327676:ADK327678 ADK393206 ADK393212:ADK393214 ADK458742 ADK458748:ADK458750 ADK524278 ADK524284:ADK524286 ADK589814 ADK589820:ADK589822 ADK655350 ADK655356:ADK655358 ADK720886 ADK720892:ADK720894 ADK786422 ADK786428:ADK786430 ADK851958 ADK851964:ADK851966 ADK917494 ADK917500:ADK917502 ADK983030 ADK983036:ADK983038 ANG2 ANG8:ANG10 ANG65526 ANG65532:ANG65534 ANG131062 ANG131068:ANG131070 ANG196598 ANG196604:ANG196606 ANG262134 ANG262140:ANG262142 ANG327670 ANG327676:ANG327678 ANG393206 ANG393212:ANG393214 ANG458742 ANG458748:ANG458750 ANG524278 ANG524284:ANG524286 ANG589814 ANG589820:ANG589822 ANG655350 ANG655356:ANG655358 ANG720886 ANG720892:ANG720894 ANG786422 ANG786428:ANG786430 ANG851958 ANG851964:ANG851966 ANG917494 ANG917500:ANG917502 ANG983030 ANG983036:ANG983038 AXC2 AXC8:AXC10 AXC65526 AXC65532:AXC65534 AXC131062 AXC131068:AXC131070 AXC196598 AXC196604:AXC196606 AXC262134 AXC262140:AXC262142 AXC327670 AXC327676:AXC327678 AXC393206 AXC393212:AXC393214 AXC458742 AXC458748:AXC458750 AXC524278 AXC524284:AXC524286 AXC589814 AXC589820:AXC589822 AXC655350 AXC655356:AXC655358 AXC720886 AXC720892:AXC720894 AXC786422 AXC786428:AXC786430 AXC851958 AXC851964:AXC851966 AXC917494 AXC917500:AXC917502 AXC983030 AXC983036:AXC983038 BGY2 BGY8:BGY10 BGY65526 BGY65532:BGY65534 BGY131062 BGY131068:BGY131070 BGY196598 BGY196604:BGY196606 BGY262134 BGY262140:BGY262142 BGY327670 BGY327676:BGY327678 BGY393206 BGY393212:BGY393214 BGY458742 BGY458748:BGY458750 BGY524278 BGY524284:BGY524286 BGY589814 BGY589820:BGY589822 BGY655350 BGY655356:BGY655358 BGY720886 BGY720892:BGY720894 BGY786422 BGY786428:BGY786430 BGY851958 BGY851964:BGY851966 BGY917494 BGY917500:BGY917502 BGY983030 BGY983036:BGY983038 BQU2 BQU8:BQU10 BQU65526 BQU65532:BQU65534 BQU131062 BQU131068:BQU131070 BQU196598 BQU196604:BQU196606 BQU262134 BQU262140:BQU262142 BQU327670 BQU327676:BQU327678 BQU393206 BQU393212:BQU393214 BQU458742 BQU458748:BQU458750 BQU524278 BQU524284:BQU524286 BQU589814 BQU589820:BQU589822 BQU655350 BQU655356:BQU655358 BQU720886 BQU720892:BQU720894 BQU786422 BQU786428:BQU786430 BQU851958 BQU851964:BQU851966 BQU917494 BQU917500:BQU917502 BQU983030 BQU983036:BQU983038 CAQ2 CAQ8:CAQ10 CAQ65526 CAQ65532:CAQ65534 CAQ131062 CAQ131068:CAQ131070 CAQ196598 CAQ196604:CAQ196606 CAQ262134 CAQ262140:CAQ262142 CAQ327670 CAQ327676:CAQ327678 CAQ393206 CAQ393212:CAQ393214 CAQ458742 CAQ458748:CAQ458750 CAQ524278 CAQ524284:CAQ524286 CAQ589814 CAQ589820:CAQ589822 CAQ655350 CAQ655356:CAQ655358 CAQ720886 CAQ720892:CAQ720894 CAQ786422 CAQ786428:CAQ786430 CAQ851958 CAQ851964:CAQ851966 CAQ917494 CAQ917500:CAQ917502 CAQ983030 CAQ983036:CAQ983038 CKM2 CKM8:CKM10 CKM65526 CKM65532:CKM65534 CKM131062 CKM131068:CKM131070 CKM196598 CKM196604:CKM196606 CKM262134 CKM262140:CKM262142 CKM327670 CKM327676:CKM327678 CKM393206 CKM393212:CKM393214 CKM458742 CKM458748:CKM458750 CKM524278 CKM524284:CKM524286 CKM589814 CKM589820:CKM589822 CKM655350 CKM655356:CKM655358 CKM720886 CKM720892:CKM720894 CKM786422 CKM786428:CKM786430 CKM851958 CKM851964:CKM851966 CKM917494 CKM917500:CKM917502 CKM983030 CKM983036:CKM983038 CUI2 CUI8:CUI10 CUI65526 CUI65532:CUI65534 CUI131062 CUI131068:CUI131070 CUI196598 CUI196604:CUI196606 CUI262134 CUI262140:CUI262142 CUI327670 CUI327676:CUI327678 CUI393206 CUI393212:CUI393214 CUI458742 CUI458748:CUI458750 CUI524278 CUI524284:CUI524286 CUI589814 CUI589820:CUI589822 CUI655350 CUI655356:CUI655358 CUI720886 CUI720892:CUI720894 CUI786422 CUI786428:CUI786430 CUI851958 CUI851964:CUI851966 CUI917494 CUI917500:CUI917502 CUI983030 CUI983036:CUI983038 DEE2 DEE8:DEE10 DEE65526 DEE65532:DEE65534 DEE131062 DEE131068:DEE131070 DEE196598 DEE196604:DEE196606 DEE262134 DEE262140:DEE262142 DEE327670 DEE327676:DEE327678 DEE393206 DEE393212:DEE393214 DEE458742 DEE458748:DEE458750 DEE524278 DEE524284:DEE524286 DEE589814 DEE589820:DEE589822 DEE655350 DEE655356:DEE655358 DEE720886 DEE720892:DEE720894 DEE786422 DEE786428:DEE786430 DEE851958 DEE851964:DEE851966 DEE917494 DEE917500:DEE917502 DEE983030 DEE983036:DEE983038 DOA2 DOA8:DOA10 DOA65526 DOA65532:DOA65534 DOA131062 DOA131068:DOA131070 DOA196598 DOA196604:DOA196606 DOA262134 DOA262140:DOA262142 DOA327670 DOA327676:DOA327678 DOA393206 DOA393212:DOA393214 DOA458742 DOA458748:DOA458750 DOA524278 DOA524284:DOA524286 DOA589814 DOA589820:DOA589822 DOA655350 DOA655356:DOA655358 DOA720886 DOA720892:DOA720894 DOA786422 DOA786428:DOA786430 DOA851958 DOA851964:DOA851966 DOA917494 DOA917500:DOA917502 DOA983030 DOA983036:DOA983038 DXW2 DXW8:DXW10 DXW65526 DXW65532:DXW65534 DXW131062 DXW131068:DXW131070 DXW196598 DXW196604:DXW196606 DXW262134 DXW262140:DXW262142 DXW327670 DXW327676:DXW327678 DXW393206 DXW393212:DXW393214 DXW458742 DXW458748:DXW458750 DXW524278 DXW524284:DXW524286 DXW589814 DXW589820:DXW589822 DXW655350 DXW655356:DXW655358 DXW720886 DXW720892:DXW720894 DXW786422 DXW786428:DXW786430 DXW851958 DXW851964:DXW851966 DXW917494 DXW917500:DXW917502 DXW983030 DXW983036:DXW983038 EHS2 EHS8:EHS10 EHS65526 EHS65532:EHS65534 EHS131062 EHS131068:EHS131070 EHS196598 EHS196604:EHS196606 EHS262134 EHS262140:EHS262142 EHS327670 EHS327676:EHS327678 EHS393206 EHS393212:EHS393214 EHS458742 EHS458748:EHS458750 EHS524278 EHS524284:EHS524286 EHS589814 EHS589820:EHS589822 EHS655350 EHS655356:EHS655358 EHS720886 EHS720892:EHS720894 EHS786422 EHS786428:EHS786430 EHS851958 EHS851964:EHS851966 EHS917494 EHS917500:EHS917502 EHS983030 EHS983036:EHS983038 ERO2 ERO8:ERO10 ERO65526 ERO65532:ERO65534 ERO131062 ERO131068:ERO131070 ERO196598 ERO196604:ERO196606 ERO262134 ERO262140:ERO262142 ERO327670 ERO327676:ERO327678 ERO393206 ERO393212:ERO393214 ERO458742 ERO458748:ERO458750 ERO524278 ERO524284:ERO524286 ERO589814 ERO589820:ERO589822 ERO655350 ERO655356:ERO655358 ERO720886 ERO720892:ERO720894 ERO786422 ERO786428:ERO786430 ERO851958 ERO851964:ERO851966 ERO917494 ERO917500:ERO917502 ERO983030 ERO983036:ERO983038 FBK2 FBK8:FBK10 FBK65526 FBK65532:FBK65534 FBK131062 FBK131068:FBK131070 FBK196598 FBK196604:FBK196606 FBK262134 FBK262140:FBK262142 FBK327670 FBK327676:FBK327678 FBK393206 FBK393212:FBK393214 FBK458742 FBK458748:FBK458750 FBK524278 FBK524284:FBK524286 FBK589814 FBK589820:FBK589822 FBK655350 FBK655356:FBK655358 FBK720886 FBK720892:FBK720894 FBK786422 FBK786428:FBK786430 FBK851958 FBK851964:FBK851966 FBK917494 FBK917500:FBK917502 FBK983030 FBK983036:FBK983038 FLG2 FLG8:FLG10 FLG65526 FLG65532:FLG65534 FLG131062 FLG131068:FLG131070 FLG196598 FLG196604:FLG196606 FLG262134 FLG262140:FLG262142 FLG327670 FLG327676:FLG327678 FLG393206 FLG393212:FLG393214 FLG458742 FLG458748:FLG458750 FLG524278 FLG524284:FLG524286 FLG589814 FLG589820:FLG589822 FLG655350 FLG655356:FLG655358 FLG720886 FLG720892:FLG720894 FLG786422 FLG786428:FLG786430 FLG851958 FLG851964:FLG851966 FLG917494 FLG917500:FLG917502 FLG983030 FLG983036:FLG983038 FVC2 FVC8:FVC10 FVC65526 FVC65532:FVC65534 FVC131062 FVC131068:FVC131070 FVC196598 FVC196604:FVC196606 FVC262134 FVC262140:FVC262142 FVC327670 FVC327676:FVC327678 FVC393206 FVC393212:FVC393214 FVC458742 FVC458748:FVC458750 FVC524278 FVC524284:FVC524286 FVC589814 FVC589820:FVC589822 FVC655350 FVC655356:FVC655358 FVC720886 FVC720892:FVC720894 FVC786422 FVC786428:FVC786430 FVC851958 FVC851964:FVC851966 FVC917494 FVC917500:FVC917502 FVC983030 FVC983036:FVC983038 GEY2 GEY8:GEY10 GEY65526 GEY65532:GEY65534 GEY131062 GEY131068:GEY131070 GEY196598 GEY196604:GEY196606 GEY262134 GEY262140:GEY262142 GEY327670 GEY327676:GEY327678 GEY393206 GEY393212:GEY393214 GEY458742 GEY458748:GEY458750 GEY524278 GEY524284:GEY524286 GEY589814 GEY589820:GEY589822 GEY655350 GEY655356:GEY655358 GEY720886 GEY720892:GEY720894 GEY786422 GEY786428:GEY786430 GEY851958 GEY851964:GEY851966 GEY917494 GEY917500:GEY917502 GEY983030 GEY983036:GEY983038 GOU2 GOU8:GOU10 GOU65526 GOU65532:GOU65534 GOU131062 GOU131068:GOU131070 GOU196598 GOU196604:GOU196606 GOU262134 GOU262140:GOU262142 GOU327670 GOU327676:GOU327678 GOU393206 GOU393212:GOU393214 GOU458742 GOU458748:GOU458750 GOU524278 GOU524284:GOU524286 GOU589814 GOU589820:GOU589822 GOU655350 GOU655356:GOU655358 GOU720886 GOU720892:GOU720894 GOU786422 GOU786428:GOU786430 GOU851958 GOU851964:GOU851966 GOU917494 GOU917500:GOU917502 GOU983030 GOU983036:GOU983038 GYQ2 GYQ8:GYQ10 GYQ65526 GYQ65532:GYQ65534 GYQ131062 GYQ131068:GYQ131070 GYQ196598 GYQ196604:GYQ196606 GYQ262134 GYQ262140:GYQ262142 GYQ327670 GYQ327676:GYQ327678 GYQ393206 GYQ393212:GYQ393214 GYQ458742 GYQ458748:GYQ458750 GYQ524278 GYQ524284:GYQ524286 GYQ589814 GYQ589820:GYQ589822 GYQ655350 GYQ655356:GYQ655358 GYQ720886 GYQ720892:GYQ720894 GYQ786422 GYQ786428:GYQ786430 GYQ851958 GYQ851964:GYQ851966 GYQ917494 GYQ917500:GYQ917502 GYQ983030 GYQ983036:GYQ983038 HIM2 HIM8:HIM10 HIM65526 HIM65532:HIM65534 HIM131062 HIM131068:HIM131070 HIM196598 HIM196604:HIM196606 HIM262134 HIM262140:HIM262142 HIM327670 HIM327676:HIM327678 HIM393206 HIM393212:HIM393214 HIM458742 HIM458748:HIM458750 HIM524278 HIM524284:HIM524286 HIM589814 HIM589820:HIM589822 HIM655350 HIM655356:HIM655358 HIM720886 HIM720892:HIM720894 HIM786422 HIM786428:HIM786430 HIM851958 HIM851964:HIM851966 HIM917494 HIM917500:HIM917502 HIM983030 HIM983036:HIM983038 HSI2 HSI8:HSI10 HSI65526 HSI65532:HSI65534 HSI131062 HSI131068:HSI131070 HSI196598 HSI196604:HSI196606 HSI262134 HSI262140:HSI262142 HSI327670 HSI327676:HSI327678 HSI393206 HSI393212:HSI393214 HSI458742 HSI458748:HSI458750 HSI524278 HSI524284:HSI524286 HSI589814 HSI589820:HSI589822 HSI655350 HSI655356:HSI655358 HSI720886 HSI720892:HSI720894 HSI786422 HSI786428:HSI786430 HSI851958 HSI851964:HSI851966 HSI917494 HSI917500:HSI917502 HSI983030 HSI983036:HSI983038 ICE2 ICE8:ICE10 ICE65526 ICE65532:ICE65534 ICE131062 ICE131068:ICE131070 ICE196598 ICE196604:ICE196606 ICE262134 ICE262140:ICE262142 ICE327670 ICE327676:ICE327678 ICE393206 ICE393212:ICE393214 ICE458742 ICE458748:ICE458750 ICE524278 ICE524284:ICE524286 ICE589814 ICE589820:ICE589822 ICE655350 ICE655356:ICE655358 ICE720886 ICE720892:ICE720894 ICE786422 ICE786428:ICE786430 ICE851958 ICE851964:ICE851966 ICE917494 ICE917500:ICE917502 ICE983030 ICE983036:ICE983038 IMA2 IMA8:IMA10 IMA65526 IMA65532:IMA65534 IMA131062 IMA131068:IMA131070 IMA196598 IMA196604:IMA196606 IMA262134 IMA262140:IMA262142 IMA327670 IMA327676:IMA327678 IMA393206 IMA393212:IMA393214 IMA458742 IMA458748:IMA458750 IMA524278 IMA524284:IMA524286 IMA589814 IMA589820:IMA589822 IMA655350 IMA655356:IMA655358 IMA720886 IMA720892:IMA720894 IMA786422 IMA786428:IMA786430 IMA851958 IMA851964:IMA851966 IMA917494 IMA917500:IMA917502 IMA983030 IMA983036:IMA983038 IVW2 IVW8:IVW10 IVW65526 IVW65532:IVW65534 IVW131062 IVW131068:IVW131070 IVW196598 IVW196604:IVW196606 IVW262134 IVW262140:IVW262142 IVW327670 IVW327676:IVW327678 IVW393206 IVW393212:IVW393214 IVW458742 IVW458748:IVW458750 IVW524278 IVW524284:IVW524286 IVW589814 IVW589820:IVW589822 IVW655350 IVW655356:IVW655358 IVW720886 IVW720892:IVW720894 IVW786422 IVW786428:IVW786430 IVW851958 IVW851964:IVW851966 IVW917494 IVW917500:IVW917502 IVW983030 IVW983036:IVW983038 JFS2 JFS8:JFS10 JFS65526 JFS65532:JFS65534 JFS131062 JFS131068:JFS131070 JFS196598 JFS196604:JFS196606 JFS262134 JFS262140:JFS262142 JFS327670 JFS327676:JFS327678 JFS393206 JFS393212:JFS393214 JFS458742 JFS458748:JFS458750 JFS524278 JFS524284:JFS524286 JFS589814 JFS589820:JFS589822 JFS655350 JFS655356:JFS655358 JFS720886 JFS720892:JFS720894 JFS786422 JFS786428:JFS786430 JFS851958 JFS851964:JFS851966 JFS917494 JFS917500:JFS917502 JFS983030 JFS983036:JFS983038 JPO2 JPO8:JPO10 JPO65526 JPO65532:JPO65534 JPO131062 JPO131068:JPO131070 JPO196598 JPO196604:JPO196606 JPO262134 JPO262140:JPO262142 JPO327670 JPO327676:JPO327678 JPO393206 JPO393212:JPO393214 JPO458742 JPO458748:JPO458750 JPO524278 JPO524284:JPO524286 JPO589814 JPO589820:JPO589822 JPO655350 JPO655356:JPO655358 JPO720886 JPO720892:JPO720894 JPO786422 JPO786428:JPO786430 JPO851958 JPO851964:JPO851966 JPO917494 JPO917500:JPO917502 JPO983030 JPO983036:JPO983038 JZK2 JZK8:JZK10 JZK65526 JZK65532:JZK65534 JZK131062 JZK131068:JZK131070 JZK196598 JZK196604:JZK196606 JZK262134 JZK262140:JZK262142 JZK327670 JZK327676:JZK327678 JZK393206 JZK393212:JZK393214 JZK458742 JZK458748:JZK458750 JZK524278 JZK524284:JZK524286 JZK589814 JZK589820:JZK589822 JZK655350 JZK655356:JZK655358 JZK720886 JZK720892:JZK720894 JZK786422 JZK786428:JZK786430 JZK851958 JZK851964:JZK851966 JZK917494 JZK917500:JZK917502 JZK983030 JZK983036:JZK983038 KJG2 KJG8:KJG10 KJG65526 KJG65532:KJG65534 KJG131062 KJG131068:KJG131070 KJG196598 KJG196604:KJG196606 KJG262134 KJG262140:KJG262142 KJG327670 KJG327676:KJG327678 KJG393206 KJG393212:KJG393214 KJG458742 KJG458748:KJG458750 KJG524278 KJG524284:KJG524286 KJG589814 KJG589820:KJG589822 KJG655350 KJG655356:KJG655358 KJG720886 KJG720892:KJG720894 KJG786422 KJG786428:KJG786430 KJG851958 KJG851964:KJG851966 KJG917494 KJG917500:KJG917502 KJG983030 KJG983036:KJG983038 KTC2 KTC8:KTC10 KTC65526 KTC65532:KTC65534 KTC131062 KTC131068:KTC131070 KTC196598 KTC196604:KTC196606 KTC262134 KTC262140:KTC262142 KTC327670 KTC327676:KTC327678 KTC393206 KTC393212:KTC393214 KTC458742 KTC458748:KTC458750 KTC524278 KTC524284:KTC524286 KTC589814 KTC589820:KTC589822 KTC655350 KTC655356:KTC655358 KTC720886 KTC720892:KTC720894 KTC786422 KTC786428:KTC786430 KTC851958 KTC851964:KTC851966 KTC917494 KTC917500:KTC917502 KTC983030 KTC983036:KTC983038 LCY2 LCY8:LCY10 LCY65526 LCY65532:LCY65534 LCY131062 LCY131068:LCY131070 LCY196598 LCY196604:LCY196606 LCY262134 LCY262140:LCY262142 LCY327670 LCY327676:LCY327678 LCY393206 LCY393212:LCY393214 LCY458742 LCY458748:LCY458750 LCY524278 LCY524284:LCY524286 LCY589814 LCY589820:LCY589822 LCY655350 LCY655356:LCY655358 LCY720886 LCY720892:LCY720894 LCY786422 LCY786428:LCY786430 LCY851958 LCY851964:LCY851966 LCY917494 LCY917500:LCY917502 LCY983030 LCY983036:LCY983038 LMU2 LMU8:LMU10 LMU65526 LMU65532:LMU65534 LMU131062 LMU131068:LMU131070 LMU196598 LMU196604:LMU196606 LMU262134 LMU262140:LMU262142 LMU327670 LMU327676:LMU327678 LMU393206 LMU393212:LMU393214 LMU458742 LMU458748:LMU458750 LMU524278 LMU524284:LMU524286 LMU589814 LMU589820:LMU589822 LMU655350 LMU655356:LMU655358 LMU720886 LMU720892:LMU720894 LMU786422 LMU786428:LMU786430 LMU851958 LMU851964:LMU851966 LMU917494 LMU917500:LMU917502 LMU983030 LMU983036:LMU983038 LWQ2 LWQ8:LWQ10 LWQ65526 LWQ65532:LWQ65534 LWQ131062 LWQ131068:LWQ131070 LWQ196598 LWQ196604:LWQ196606 LWQ262134 LWQ262140:LWQ262142 LWQ327670 LWQ327676:LWQ327678 LWQ393206 LWQ393212:LWQ393214 LWQ458742 LWQ458748:LWQ458750 LWQ524278 LWQ524284:LWQ524286 LWQ589814 LWQ589820:LWQ589822 LWQ655350 LWQ655356:LWQ655358 LWQ720886 LWQ720892:LWQ720894 LWQ786422 LWQ786428:LWQ786430 LWQ851958 LWQ851964:LWQ851966 LWQ917494 LWQ917500:LWQ917502 LWQ983030 LWQ983036:LWQ983038 MGM2 MGM8:MGM10 MGM65526 MGM65532:MGM65534 MGM131062 MGM131068:MGM131070 MGM196598 MGM196604:MGM196606 MGM262134 MGM262140:MGM262142 MGM327670 MGM327676:MGM327678 MGM393206 MGM393212:MGM393214 MGM458742 MGM458748:MGM458750 MGM524278 MGM524284:MGM524286 MGM589814 MGM589820:MGM589822 MGM655350 MGM655356:MGM655358 MGM720886 MGM720892:MGM720894 MGM786422 MGM786428:MGM786430 MGM851958 MGM851964:MGM851966 MGM917494 MGM917500:MGM917502 MGM983030 MGM983036:MGM983038 MQI2 MQI8:MQI10 MQI65526 MQI65532:MQI65534 MQI131062 MQI131068:MQI131070 MQI196598 MQI196604:MQI196606 MQI262134 MQI262140:MQI262142 MQI327670 MQI327676:MQI327678 MQI393206 MQI393212:MQI393214 MQI458742 MQI458748:MQI458750 MQI524278 MQI524284:MQI524286 MQI589814 MQI589820:MQI589822 MQI655350 MQI655356:MQI655358 MQI720886 MQI720892:MQI720894 MQI786422 MQI786428:MQI786430 MQI851958 MQI851964:MQI851966 MQI917494 MQI917500:MQI917502 MQI983030 MQI983036:MQI983038 NAE2 NAE8:NAE10 NAE65526 NAE65532:NAE65534 NAE131062 NAE131068:NAE131070 NAE196598 NAE196604:NAE196606 NAE262134 NAE262140:NAE262142 NAE327670 NAE327676:NAE327678 NAE393206 NAE393212:NAE393214 NAE458742 NAE458748:NAE458750 NAE524278 NAE524284:NAE524286 NAE589814 NAE589820:NAE589822 NAE655350 NAE655356:NAE655358 NAE720886 NAE720892:NAE720894 NAE786422 NAE786428:NAE786430 NAE851958 NAE851964:NAE851966 NAE917494 NAE917500:NAE917502 NAE983030 NAE983036:NAE983038 NKA2 NKA8:NKA10 NKA65526 NKA65532:NKA65534 NKA131062 NKA131068:NKA131070 NKA196598 NKA196604:NKA196606 NKA262134 NKA262140:NKA262142 NKA327670 NKA327676:NKA327678 NKA393206 NKA393212:NKA393214 NKA458742 NKA458748:NKA458750 NKA524278 NKA524284:NKA524286 NKA589814 NKA589820:NKA589822 NKA655350 NKA655356:NKA655358 NKA720886 NKA720892:NKA720894 NKA786422 NKA786428:NKA786430 NKA851958 NKA851964:NKA851966 NKA917494 NKA917500:NKA917502 NKA983030 NKA983036:NKA983038 NTW2 NTW8:NTW10 NTW65526 NTW65532:NTW65534 NTW131062 NTW131068:NTW131070 NTW196598 NTW196604:NTW196606 NTW262134 NTW262140:NTW262142 NTW327670 NTW327676:NTW327678 NTW393206 NTW393212:NTW393214 NTW458742 NTW458748:NTW458750 NTW524278 NTW524284:NTW524286 NTW589814 NTW589820:NTW589822 NTW655350 NTW655356:NTW655358 NTW720886 NTW720892:NTW720894 NTW786422 NTW786428:NTW786430 NTW851958 NTW851964:NTW851966 NTW917494 NTW917500:NTW917502 NTW983030 NTW983036:NTW983038 ODS2 ODS8:ODS10 ODS65526 ODS65532:ODS65534 ODS131062 ODS131068:ODS131070 ODS196598 ODS196604:ODS196606 ODS262134 ODS262140:ODS262142 ODS327670 ODS327676:ODS327678 ODS393206 ODS393212:ODS393214 ODS458742 ODS458748:ODS458750 ODS524278 ODS524284:ODS524286 ODS589814 ODS589820:ODS589822 ODS655350 ODS655356:ODS655358 ODS720886 ODS720892:ODS720894 ODS786422 ODS786428:ODS786430 ODS851958 ODS851964:ODS851966 ODS917494 ODS917500:ODS917502 ODS983030 ODS983036:ODS983038 ONO2 ONO8:ONO10 ONO65526 ONO65532:ONO65534 ONO131062 ONO131068:ONO131070 ONO196598 ONO196604:ONO196606 ONO262134 ONO262140:ONO262142 ONO327670 ONO327676:ONO327678 ONO393206 ONO393212:ONO393214 ONO458742 ONO458748:ONO458750 ONO524278 ONO524284:ONO524286 ONO589814 ONO589820:ONO589822 ONO655350 ONO655356:ONO655358 ONO720886 ONO720892:ONO720894 ONO786422 ONO786428:ONO786430 ONO851958 ONO851964:ONO851966 ONO917494 ONO917500:ONO917502 ONO983030 ONO983036:ONO983038 OXK2 OXK8:OXK10 OXK65526 OXK65532:OXK65534 OXK131062 OXK131068:OXK131070 OXK196598 OXK196604:OXK196606 OXK262134 OXK262140:OXK262142 OXK327670 OXK327676:OXK327678 OXK393206 OXK393212:OXK393214 OXK458742 OXK458748:OXK458750 OXK524278 OXK524284:OXK524286 OXK589814 OXK589820:OXK589822 OXK655350 OXK655356:OXK655358 OXK720886 OXK720892:OXK720894 OXK786422 OXK786428:OXK786430 OXK851958 OXK851964:OXK851966 OXK917494 OXK917500:OXK917502 OXK983030 OXK983036:OXK983038 PHG2 PHG8:PHG10 PHG65526 PHG65532:PHG65534 PHG131062 PHG131068:PHG131070 PHG196598 PHG196604:PHG196606 PHG262134 PHG262140:PHG262142 PHG327670 PHG327676:PHG327678 PHG393206 PHG393212:PHG393214 PHG458742 PHG458748:PHG458750 PHG524278 PHG524284:PHG524286 PHG589814 PHG589820:PHG589822 PHG655350 PHG655356:PHG655358 PHG720886 PHG720892:PHG720894 PHG786422 PHG786428:PHG786430 PHG851958 PHG851964:PHG851966 PHG917494 PHG917500:PHG917502 PHG983030 PHG983036:PHG983038 PRC2 PRC8:PRC10 PRC65526 PRC65532:PRC65534 PRC131062 PRC131068:PRC131070 PRC196598 PRC196604:PRC196606 PRC262134 PRC262140:PRC262142 PRC327670 PRC327676:PRC327678 PRC393206 PRC393212:PRC393214 PRC458742 PRC458748:PRC458750 PRC524278 PRC524284:PRC524286 PRC589814 PRC589820:PRC589822 PRC655350 PRC655356:PRC655358 PRC720886 PRC720892:PRC720894 PRC786422 PRC786428:PRC786430 PRC851958 PRC851964:PRC851966 PRC917494 PRC917500:PRC917502 PRC983030 PRC983036:PRC983038 QAY2 QAY8:QAY10 QAY65526 QAY65532:QAY65534 QAY131062 QAY131068:QAY131070 QAY196598 QAY196604:QAY196606 QAY262134 QAY262140:QAY262142 QAY327670 QAY327676:QAY327678 QAY393206 QAY393212:QAY393214 QAY458742 QAY458748:QAY458750 QAY524278 QAY524284:QAY524286 QAY589814 QAY589820:QAY589822 QAY655350 QAY655356:QAY655358 QAY720886 QAY720892:QAY720894 QAY786422 QAY786428:QAY786430 QAY851958 QAY851964:QAY851966 QAY917494 QAY917500:QAY917502 QAY983030 QAY983036:QAY983038 QKU2 QKU8:QKU10 QKU65526 QKU65532:QKU65534 QKU131062 QKU131068:QKU131070 QKU196598 QKU196604:QKU196606 QKU262134 QKU262140:QKU262142 QKU327670 QKU327676:QKU327678 QKU393206 QKU393212:QKU393214 QKU458742 QKU458748:QKU458750 QKU524278 QKU524284:QKU524286 QKU589814 QKU589820:QKU589822 QKU655350 QKU655356:QKU655358 QKU720886 QKU720892:QKU720894 QKU786422 QKU786428:QKU786430 QKU851958 QKU851964:QKU851966 QKU917494 QKU917500:QKU917502 QKU983030 QKU983036:QKU983038 QUQ2 QUQ8:QUQ10 QUQ65526 QUQ65532:QUQ65534 QUQ131062 QUQ131068:QUQ131070 QUQ196598 QUQ196604:QUQ196606 QUQ262134 QUQ262140:QUQ262142 QUQ327670 QUQ327676:QUQ327678 QUQ393206 QUQ393212:QUQ393214 QUQ458742 QUQ458748:QUQ458750 QUQ524278 QUQ524284:QUQ524286 QUQ589814 QUQ589820:QUQ589822 QUQ655350 QUQ655356:QUQ655358 QUQ720886 QUQ720892:QUQ720894 QUQ786422 QUQ786428:QUQ786430 QUQ851958 QUQ851964:QUQ851966 QUQ917494 QUQ917500:QUQ917502 QUQ983030 QUQ983036:QUQ983038 REM2 REM8:REM10 REM65526 REM65532:REM65534 REM131062 REM131068:REM131070 REM196598 REM196604:REM196606 REM262134 REM262140:REM262142 REM327670 REM327676:REM327678 REM393206 REM393212:REM393214 REM458742 REM458748:REM458750 REM524278 REM524284:REM524286 REM589814 REM589820:REM589822 REM655350 REM655356:REM655358 REM720886 REM720892:REM720894 REM786422 REM786428:REM786430 REM851958 REM851964:REM851966 REM917494 REM917500:REM917502 REM983030 REM983036:REM983038 ROI2 ROI8:ROI10 ROI65526 ROI65532:ROI65534 ROI131062 ROI131068:ROI131070 ROI196598 ROI196604:ROI196606 ROI262134 ROI262140:ROI262142 ROI327670 ROI327676:ROI327678 ROI393206 ROI393212:ROI393214 ROI458742 ROI458748:ROI458750 ROI524278 ROI524284:ROI524286 ROI589814 ROI589820:ROI589822 ROI655350 ROI655356:ROI655358 ROI720886 ROI720892:ROI720894 ROI786422 ROI786428:ROI786430 ROI851958 ROI851964:ROI851966 ROI917494 ROI917500:ROI917502 ROI983030 ROI983036:ROI983038 RYE2 RYE8:RYE10 RYE65526 RYE65532:RYE65534 RYE131062 RYE131068:RYE131070 RYE196598 RYE196604:RYE196606 RYE262134 RYE262140:RYE262142 RYE327670 RYE327676:RYE327678 RYE393206 RYE393212:RYE393214 RYE458742 RYE458748:RYE458750 RYE524278 RYE524284:RYE524286 RYE589814 RYE589820:RYE589822 RYE655350 RYE655356:RYE655358 RYE720886 RYE720892:RYE720894 RYE786422 RYE786428:RYE786430 RYE851958 RYE851964:RYE851966 RYE917494 RYE917500:RYE917502 RYE983030 RYE983036:RYE983038 SIA2 SIA8:SIA10 SIA65526 SIA65532:SIA65534 SIA131062 SIA131068:SIA131070 SIA196598 SIA196604:SIA196606 SIA262134 SIA262140:SIA262142 SIA327670 SIA327676:SIA327678 SIA393206 SIA393212:SIA393214 SIA458742 SIA458748:SIA458750 SIA524278 SIA524284:SIA524286 SIA589814 SIA589820:SIA589822 SIA655350 SIA655356:SIA655358 SIA720886 SIA720892:SIA720894 SIA786422 SIA786428:SIA786430 SIA851958 SIA851964:SIA851966 SIA917494 SIA917500:SIA917502 SIA983030 SIA983036:SIA983038 SRW2 SRW8:SRW10 SRW65526 SRW65532:SRW65534 SRW131062 SRW131068:SRW131070 SRW196598 SRW196604:SRW196606 SRW262134 SRW262140:SRW262142 SRW327670 SRW327676:SRW327678 SRW393206 SRW393212:SRW393214 SRW458742 SRW458748:SRW458750 SRW524278 SRW524284:SRW524286 SRW589814 SRW589820:SRW589822 SRW655350 SRW655356:SRW655358 SRW720886 SRW720892:SRW720894 SRW786422 SRW786428:SRW786430 SRW851958 SRW851964:SRW851966 SRW917494 SRW917500:SRW917502 SRW983030 SRW983036:SRW983038 TBS2 TBS8:TBS10 TBS65526 TBS65532:TBS65534 TBS131062 TBS131068:TBS131070 TBS196598 TBS196604:TBS196606 TBS262134 TBS262140:TBS262142 TBS327670 TBS327676:TBS327678 TBS393206 TBS393212:TBS393214 TBS458742 TBS458748:TBS458750 TBS524278 TBS524284:TBS524286 TBS589814 TBS589820:TBS589822 TBS655350 TBS655356:TBS655358 TBS720886 TBS720892:TBS720894 TBS786422 TBS786428:TBS786430 TBS851958 TBS851964:TBS851966 TBS917494 TBS917500:TBS917502 TBS983030 TBS983036:TBS983038 TLO2 TLO8:TLO10 TLO65526 TLO65532:TLO65534 TLO131062 TLO131068:TLO131070 TLO196598 TLO196604:TLO196606 TLO262134 TLO262140:TLO262142 TLO327670 TLO327676:TLO327678 TLO393206 TLO393212:TLO393214 TLO458742 TLO458748:TLO458750 TLO524278 TLO524284:TLO524286 TLO589814 TLO589820:TLO589822 TLO655350 TLO655356:TLO655358 TLO720886 TLO720892:TLO720894 TLO786422 TLO786428:TLO786430 TLO851958 TLO851964:TLO851966 TLO917494 TLO917500:TLO917502 TLO983030 TLO983036:TLO983038 TVK2 TVK8:TVK10 TVK65526 TVK65532:TVK65534 TVK131062 TVK131068:TVK131070 TVK196598 TVK196604:TVK196606 TVK262134 TVK262140:TVK262142 TVK327670 TVK327676:TVK327678 TVK393206 TVK393212:TVK393214 TVK458742 TVK458748:TVK458750 TVK524278 TVK524284:TVK524286 TVK589814 TVK589820:TVK589822 TVK655350 TVK655356:TVK655358 TVK720886 TVK720892:TVK720894 TVK786422 TVK786428:TVK786430 TVK851958 TVK851964:TVK851966 TVK917494 TVK917500:TVK917502 TVK983030 TVK983036:TVK983038 UFG2 UFG8:UFG10 UFG65526 UFG65532:UFG65534 UFG131062 UFG131068:UFG131070 UFG196598 UFG196604:UFG196606 UFG262134 UFG262140:UFG262142 UFG327670 UFG327676:UFG327678 UFG393206 UFG393212:UFG393214 UFG458742 UFG458748:UFG458750 UFG524278 UFG524284:UFG524286 UFG589814 UFG589820:UFG589822 UFG655350 UFG655356:UFG655358 UFG720886 UFG720892:UFG720894 UFG786422 UFG786428:UFG786430 UFG851958 UFG851964:UFG851966 UFG917494 UFG917500:UFG917502 UFG983030 UFG983036:UFG983038 UPC2 UPC8:UPC10 UPC65526 UPC65532:UPC65534 UPC131062 UPC131068:UPC131070 UPC196598 UPC196604:UPC196606 UPC262134 UPC262140:UPC262142 UPC327670 UPC327676:UPC327678 UPC393206 UPC393212:UPC393214 UPC458742 UPC458748:UPC458750 UPC524278 UPC524284:UPC524286 UPC589814 UPC589820:UPC589822 UPC655350 UPC655356:UPC655358 UPC720886 UPC720892:UPC720894 UPC786422 UPC786428:UPC786430 UPC851958 UPC851964:UPC851966 UPC917494 UPC917500:UPC917502 UPC983030 UPC983036:UPC983038 UYY2 UYY8:UYY10 UYY65526 UYY65532:UYY65534 UYY131062 UYY131068:UYY131070 UYY196598 UYY196604:UYY196606 UYY262134 UYY262140:UYY262142 UYY327670 UYY327676:UYY327678 UYY393206 UYY393212:UYY393214 UYY458742 UYY458748:UYY458750 UYY524278 UYY524284:UYY524286 UYY589814 UYY589820:UYY589822 UYY655350 UYY655356:UYY655358 UYY720886 UYY720892:UYY720894 UYY786422 UYY786428:UYY786430 UYY851958 UYY851964:UYY851966 UYY917494 UYY917500:UYY917502 UYY983030 UYY983036:UYY983038 VIU2 VIU8:VIU10 VIU65526 VIU65532:VIU65534 VIU131062 VIU131068:VIU131070 VIU196598 VIU196604:VIU196606 VIU262134 VIU262140:VIU262142 VIU327670 VIU327676:VIU327678 VIU393206 VIU393212:VIU393214 VIU458742 VIU458748:VIU458750 VIU524278 VIU524284:VIU524286 VIU589814 VIU589820:VIU589822 VIU655350 VIU655356:VIU655358 VIU720886 VIU720892:VIU720894 VIU786422 VIU786428:VIU786430 VIU851958 VIU851964:VIU851966 VIU917494 VIU917500:VIU917502 VIU983030 VIU983036:VIU983038 VSQ2 VSQ8:VSQ10 VSQ65526 VSQ65532:VSQ65534 VSQ131062 VSQ131068:VSQ131070 VSQ196598 VSQ196604:VSQ196606 VSQ262134 VSQ262140:VSQ262142 VSQ327670 VSQ327676:VSQ327678 VSQ393206 VSQ393212:VSQ393214 VSQ458742 VSQ458748:VSQ458750 VSQ524278 VSQ524284:VSQ524286 VSQ589814 VSQ589820:VSQ589822 VSQ655350 VSQ655356:VSQ655358 VSQ720886 VSQ720892:VSQ720894 VSQ786422 VSQ786428:VSQ786430 VSQ851958 VSQ851964:VSQ851966 VSQ917494 VSQ917500:VSQ917502 VSQ983030 VSQ983036:VSQ983038 WCM2 WCM8:WCM10 WCM65526 WCM65532:WCM65534 WCM131062 WCM131068:WCM131070 WCM196598 WCM196604:WCM196606 WCM262134 WCM262140:WCM262142 WCM327670 WCM327676:WCM327678 WCM393206 WCM393212:WCM393214 WCM458742 WCM458748:WCM458750 WCM524278 WCM524284:WCM524286 WCM589814 WCM589820:WCM589822 WCM655350 WCM655356:WCM655358 WCM720886 WCM720892:WCM720894 WCM786422 WCM786428:WCM786430 WCM851958 WCM851964:WCM851966 WCM917494 WCM917500:WCM917502 WCM983030 WCM983036:WCM983038 WMI2 WMI8:WMI10 WMI65526 WMI65532:WMI65534 WMI131062 WMI131068:WMI131070 WMI196598 WMI196604:WMI196606 WMI262134 WMI262140:WMI262142 WMI327670 WMI327676:WMI327678 WMI393206 WMI393212:WMI393214 WMI458742 WMI458748:WMI458750 WMI524278 WMI524284:WMI524286 WMI589814 WMI589820:WMI589822 WMI655350 WMI655356:WMI655358 WMI720886 WMI720892:WMI720894 WMI786422 WMI786428:WMI786430 WMI851958 WMI851964:WMI851966 WMI917494 WMI917500:WMI917502 WMI983030 WMI983036:WMI983038 WWE2 WWE8:WWE10 WWE65526 WWE65532:WWE65534 WWE131062 WWE131068:WWE131070 WWE196598 WWE196604:WWE196606 WWE262134 WWE262140:WWE262142 WWE327670 WWE327676:WWE327678 WWE393206 WWE393212:WWE393214 WWE458742 WWE458748:WWE458750 WWE524278 WWE524284:WWE524286 WWE589814 WWE589820:WWE589822 WWE655350 WWE655356:WWE655358 WWE720886 WWE720892:WWE720894 WWE786422 WWE786428:WWE786430 WWE851958 WWE851964:WWE851966 WWE917494 WWE917500:WWE917502 WWE983030 WWE983036:WWE983038" xr:uid="{00000000-0002-0000-0700-00000F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2 V8:V10 V65526 V65532:V65534 V131062 V131068:V131070 V196598 V196604:V196606 V262134 V262140:V262142 V327670 V327676:V327678 V393206 V393212:V393214 V458742 V458748:V458750 V524278 V524284:V524286 V589814 V589820:V589822 V655350 V655356:V655358 V720886 V720892:V720894 V786422 V786428:V786430 V851958 V851964:V851966 V917494 V917500:V917502 V983030 V983036:V983038 JR2 JR8:JR10 JR65526 JR65532:JR65534 JR131062 JR131068:JR131070 JR196598 JR196604:JR196606 JR262134 JR262140:JR262142 JR327670 JR327676:JR327678 JR393206 JR393212:JR393214 JR458742 JR458748:JR458750 JR524278 JR524284:JR524286 JR589814 JR589820:JR589822 JR655350 JR655356:JR655358 JR720886 JR720892:JR720894 JR786422 JR786428:JR786430 JR851958 JR851964:JR851966 JR917494 JR917500:JR917502 JR983030 JR983036:JR983038 TN2 TN8:TN10 TN65526 TN65532:TN65534 TN131062 TN131068:TN131070 TN196598 TN196604:TN196606 TN262134 TN262140:TN262142 TN327670 TN327676:TN327678 TN393206 TN393212:TN393214 TN458742 TN458748:TN458750 TN524278 TN524284:TN524286 TN589814 TN589820:TN589822 TN655350 TN655356:TN655358 TN720886 TN720892:TN720894 TN786422 TN786428:TN786430 TN851958 TN851964:TN851966 TN917494 TN917500:TN917502 TN983030 TN983036:TN983038 ADJ2 ADJ8:ADJ10 ADJ65526 ADJ65532:ADJ65534 ADJ131062 ADJ131068:ADJ131070 ADJ196598 ADJ196604:ADJ196606 ADJ262134 ADJ262140:ADJ262142 ADJ327670 ADJ327676:ADJ327678 ADJ393206 ADJ393212:ADJ393214 ADJ458742 ADJ458748:ADJ458750 ADJ524278 ADJ524284:ADJ524286 ADJ589814 ADJ589820:ADJ589822 ADJ655350 ADJ655356:ADJ655358 ADJ720886 ADJ720892:ADJ720894 ADJ786422 ADJ786428:ADJ786430 ADJ851958 ADJ851964:ADJ851966 ADJ917494 ADJ917500:ADJ917502 ADJ983030 ADJ983036:ADJ983038 ANF2 ANF8:ANF10 ANF65526 ANF65532:ANF65534 ANF131062 ANF131068:ANF131070 ANF196598 ANF196604:ANF196606 ANF262134 ANF262140:ANF262142 ANF327670 ANF327676:ANF327678 ANF393206 ANF393212:ANF393214 ANF458742 ANF458748:ANF458750 ANF524278 ANF524284:ANF524286 ANF589814 ANF589820:ANF589822 ANF655350 ANF655356:ANF655358 ANF720886 ANF720892:ANF720894 ANF786422 ANF786428:ANF786430 ANF851958 ANF851964:ANF851966 ANF917494 ANF917500:ANF917502 ANF983030 ANF983036:ANF983038 AXB2 AXB8:AXB10 AXB65526 AXB65532:AXB65534 AXB131062 AXB131068:AXB131070 AXB196598 AXB196604:AXB196606 AXB262134 AXB262140:AXB262142 AXB327670 AXB327676:AXB327678 AXB393206 AXB393212:AXB393214 AXB458742 AXB458748:AXB458750 AXB524278 AXB524284:AXB524286 AXB589814 AXB589820:AXB589822 AXB655350 AXB655356:AXB655358 AXB720886 AXB720892:AXB720894 AXB786422 AXB786428:AXB786430 AXB851958 AXB851964:AXB851966 AXB917494 AXB917500:AXB917502 AXB983030 AXB983036:AXB983038 BGX2 BGX8:BGX10 BGX65526 BGX65532:BGX65534 BGX131062 BGX131068:BGX131070 BGX196598 BGX196604:BGX196606 BGX262134 BGX262140:BGX262142 BGX327670 BGX327676:BGX327678 BGX393206 BGX393212:BGX393214 BGX458742 BGX458748:BGX458750 BGX524278 BGX524284:BGX524286 BGX589814 BGX589820:BGX589822 BGX655350 BGX655356:BGX655358 BGX720886 BGX720892:BGX720894 BGX786422 BGX786428:BGX786430 BGX851958 BGX851964:BGX851966 BGX917494 BGX917500:BGX917502 BGX983030 BGX983036:BGX983038 BQT2 BQT8:BQT10 BQT65526 BQT65532:BQT65534 BQT131062 BQT131068:BQT131070 BQT196598 BQT196604:BQT196606 BQT262134 BQT262140:BQT262142 BQT327670 BQT327676:BQT327678 BQT393206 BQT393212:BQT393214 BQT458742 BQT458748:BQT458750 BQT524278 BQT524284:BQT524286 BQT589814 BQT589820:BQT589822 BQT655350 BQT655356:BQT655358 BQT720886 BQT720892:BQT720894 BQT786422 BQT786428:BQT786430 BQT851958 BQT851964:BQT851966 BQT917494 BQT917500:BQT917502 BQT983030 BQT983036:BQT983038 CAP2 CAP8:CAP10 CAP65526 CAP65532:CAP65534 CAP131062 CAP131068:CAP131070 CAP196598 CAP196604:CAP196606 CAP262134 CAP262140:CAP262142 CAP327670 CAP327676:CAP327678 CAP393206 CAP393212:CAP393214 CAP458742 CAP458748:CAP458750 CAP524278 CAP524284:CAP524286 CAP589814 CAP589820:CAP589822 CAP655350 CAP655356:CAP655358 CAP720886 CAP720892:CAP720894 CAP786422 CAP786428:CAP786430 CAP851958 CAP851964:CAP851966 CAP917494 CAP917500:CAP917502 CAP983030 CAP983036:CAP983038 CKL2 CKL8:CKL10 CKL65526 CKL65532:CKL65534 CKL131062 CKL131068:CKL131070 CKL196598 CKL196604:CKL196606 CKL262134 CKL262140:CKL262142 CKL327670 CKL327676:CKL327678 CKL393206 CKL393212:CKL393214 CKL458742 CKL458748:CKL458750 CKL524278 CKL524284:CKL524286 CKL589814 CKL589820:CKL589822 CKL655350 CKL655356:CKL655358 CKL720886 CKL720892:CKL720894 CKL786422 CKL786428:CKL786430 CKL851958 CKL851964:CKL851966 CKL917494 CKL917500:CKL917502 CKL983030 CKL983036:CKL983038 CUH2 CUH8:CUH10 CUH65526 CUH65532:CUH65534 CUH131062 CUH131068:CUH131070 CUH196598 CUH196604:CUH196606 CUH262134 CUH262140:CUH262142 CUH327670 CUH327676:CUH327678 CUH393206 CUH393212:CUH393214 CUH458742 CUH458748:CUH458750 CUH524278 CUH524284:CUH524286 CUH589814 CUH589820:CUH589822 CUH655350 CUH655356:CUH655358 CUH720886 CUH720892:CUH720894 CUH786422 CUH786428:CUH786430 CUH851958 CUH851964:CUH851966 CUH917494 CUH917500:CUH917502 CUH983030 CUH983036:CUH983038 DED2 DED8:DED10 DED65526 DED65532:DED65534 DED131062 DED131068:DED131070 DED196598 DED196604:DED196606 DED262134 DED262140:DED262142 DED327670 DED327676:DED327678 DED393206 DED393212:DED393214 DED458742 DED458748:DED458750 DED524278 DED524284:DED524286 DED589814 DED589820:DED589822 DED655350 DED655356:DED655358 DED720886 DED720892:DED720894 DED786422 DED786428:DED786430 DED851958 DED851964:DED851966 DED917494 DED917500:DED917502 DED983030 DED983036:DED983038 DNZ2 DNZ8:DNZ10 DNZ65526 DNZ65532:DNZ65534 DNZ131062 DNZ131068:DNZ131070 DNZ196598 DNZ196604:DNZ196606 DNZ262134 DNZ262140:DNZ262142 DNZ327670 DNZ327676:DNZ327678 DNZ393206 DNZ393212:DNZ393214 DNZ458742 DNZ458748:DNZ458750 DNZ524278 DNZ524284:DNZ524286 DNZ589814 DNZ589820:DNZ589822 DNZ655350 DNZ655356:DNZ655358 DNZ720886 DNZ720892:DNZ720894 DNZ786422 DNZ786428:DNZ786430 DNZ851958 DNZ851964:DNZ851966 DNZ917494 DNZ917500:DNZ917502 DNZ983030 DNZ983036:DNZ983038 DXV2 DXV8:DXV10 DXV65526 DXV65532:DXV65534 DXV131062 DXV131068:DXV131070 DXV196598 DXV196604:DXV196606 DXV262134 DXV262140:DXV262142 DXV327670 DXV327676:DXV327678 DXV393206 DXV393212:DXV393214 DXV458742 DXV458748:DXV458750 DXV524278 DXV524284:DXV524286 DXV589814 DXV589820:DXV589822 DXV655350 DXV655356:DXV655358 DXV720886 DXV720892:DXV720894 DXV786422 DXV786428:DXV786430 DXV851958 DXV851964:DXV851966 DXV917494 DXV917500:DXV917502 DXV983030 DXV983036:DXV983038 EHR2 EHR8:EHR10 EHR65526 EHR65532:EHR65534 EHR131062 EHR131068:EHR131070 EHR196598 EHR196604:EHR196606 EHR262134 EHR262140:EHR262142 EHR327670 EHR327676:EHR327678 EHR393206 EHR393212:EHR393214 EHR458742 EHR458748:EHR458750 EHR524278 EHR524284:EHR524286 EHR589814 EHR589820:EHR589822 EHR655350 EHR655356:EHR655358 EHR720886 EHR720892:EHR720894 EHR786422 EHR786428:EHR786430 EHR851958 EHR851964:EHR851966 EHR917494 EHR917500:EHR917502 EHR983030 EHR983036:EHR983038 ERN2 ERN8:ERN10 ERN65526 ERN65532:ERN65534 ERN131062 ERN131068:ERN131070 ERN196598 ERN196604:ERN196606 ERN262134 ERN262140:ERN262142 ERN327670 ERN327676:ERN327678 ERN393206 ERN393212:ERN393214 ERN458742 ERN458748:ERN458750 ERN524278 ERN524284:ERN524286 ERN589814 ERN589820:ERN589822 ERN655350 ERN655356:ERN655358 ERN720886 ERN720892:ERN720894 ERN786422 ERN786428:ERN786430 ERN851958 ERN851964:ERN851966 ERN917494 ERN917500:ERN917502 ERN983030 ERN983036:ERN983038 FBJ2 FBJ8:FBJ10 FBJ65526 FBJ65532:FBJ65534 FBJ131062 FBJ131068:FBJ131070 FBJ196598 FBJ196604:FBJ196606 FBJ262134 FBJ262140:FBJ262142 FBJ327670 FBJ327676:FBJ327678 FBJ393206 FBJ393212:FBJ393214 FBJ458742 FBJ458748:FBJ458750 FBJ524278 FBJ524284:FBJ524286 FBJ589814 FBJ589820:FBJ589822 FBJ655350 FBJ655356:FBJ655358 FBJ720886 FBJ720892:FBJ720894 FBJ786422 FBJ786428:FBJ786430 FBJ851958 FBJ851964:FBJ851966 FBJ917494 FBJ917500:FBJ917502 FBJ983030 FBJ983036:FBJ983038 FLF2 FLF8:FLF10 FLF65526 FLF65532:FLF65534 FLF131062 FLF131068:FLF131070 FLF196598 FLF196604:FLF196606 FLF262134 FLF262140:FLF262142 FLF327670 FLF327676:FLF327678 FLF393206 FLF393212:FLF393214 FLF458742 FLF458748:FLF458750 FLF524278 FLF524284:FLF524286 FLF589814 FLF589820:FLF589822 FLF655350 FLF655356:FLF655358 FLF720886 FLF720892:FLF720894 FLF786422 FLF786428:FLF786430 FLF851958 FLF851964:FLF851966 FLF917494 FLF917500:FLF917502 FLF983030 FLF983036:FLF983038 FVB2 FVB8:FVB10 FVB65526 FVB65532:FVB65534 FVB131062 FVB131068:FVB131070 FVB196598 FVB196604:FVB196606 FVB262134 FVB262140:FVB262142 FVB327670 FVB327676:FVB327678 FVB393206 FVB393212:FVB393214 FVB458742 FVB458748:FVB458750 FVB524278 FVB524284:FVB524286 FVB589814 FVB589820:FVB589822 FVB655350 FVB655356:FVB655358 FVB720886 FVB720892:FVB720894 FVB786422 FVB786428:FVB786430 FVB851958 FVB851964:FVB851966 FVB917494 FVB917500:FVB917502 FVB983030 FVB983036:FVB983038 GEX2 GEX8:GEX10 GEX65526 GEX65532:GEX65534 GEX131062 GEX131068:GEX131070 GEX196598 GEX196604:GEX196606 GEX262134 GEX262140:GEX262142 GEX327670 GEX327676:GEX327678 GEX393206 GEX393212:GEX393214 GEX458742 GEX458748:GEX458750 GEX524278 GEX524284:GEX524286 GEX589814 GEX589820:GEX589822 GEX655350 GEX655356:GEX655358 GEX720886 GEX720892:GEX720894 GEX786422 GEX786428:GEX786430 GEX851958 GEX851964:GEX851966 GEX917494 GEX917500:GEX917502 GEX983030 GEX983036:GEX983038 GOT2 GOT8:GOT10 GOT65526 GOT65532:GOT65534 GOT131062 GOT131068:GOT131070 GOT196598 GOT196604:GOT196606 GOT262134 GOT262140:GOT262142 GOT327670 GOT327676:GOT327678 GOT393206 GOT393212:GOT393214 GOT458742 GOT458748:GOT458750 GOT524278 GOT524284:GOT524286 GOT589814 GOT589820:GOT589822 GOT655350 GOT655356:GOT655358 GOT720886 GOT720892:GOT720894 GOT786422 GOT786428:GOT786430 GOT851958 GOT851964:GOT851966 GOT917494 GOT917500:GOT917502 GOT983030 GOT983036:GOT983038 GYP2 GYP8:GYP10 GYP65526 GYP65532:GYP65534 GYP131062 GYP131068:GYP131070 GYP196598 GYP196604:GYP196606 GYP262134 GYP262140:GYP262142 GYP327670 GYP327676:GYP327678 GYP393206 GYP393212:GYP393214 GYP458742 GYP458748:GYP458750 GYP524278 GYP524284:GYP524286 GYP589814 GYP589820:GYP589822 GYP655350 GYP655356:GYP655358 GYP720886 GYP720892:GYP720894 GYP786422 GYP786428:GYP786430 GYP851958 GYP851964:GYP851966 GYP917494 GYP917500:GYP917502 GYP983030 GYP983036:GYP983038 HIL2 HIL8:HIL10 HIL65526 HIL65532:HIL65534 HIL131062 HIL131068:HIL131070 HIL196598 HIL196604:HIL196606 HIL262134 HIL262140:HIL262142 HIL327670 HIL327676:HIL327678 HIL393206 HIL393212:HIL393214 HIL458742 HIL458748:HIL458750 HIL524278 HIL524284:HIL524286 HIL589814 HIL589820:HIL589822 HIL655350 HIL655356:HIL655358 HIL720886 HIL720892:HIL720894 HIL786422 HIL786428:HIL786430 HIL851958 HIL851964:HIL851966 HIL917494 HIL917500:HIL917502 HIL983030 HIL983036:HIL983038 HSH2 HSH8:HSH10 HSH65526 HSH65532:HSH65534 HSH131062 HSH131068:HSH131070 HSH196598 HSH196604:HSH196606 HSH262134 HSH262140:HSH262142 HSH327670 HSH327676:HSH327678 HSH393206 HSH393212:HSH393214 HSH458742 HSH458748:HSH458750 HSH524278 HSH524284:HSH524286 HSH589814 HSH589820:HSH589822 HSH655350 HSH655356:HSH655358 HSH720886 HSH720892:HSH720894 HSH786422 HSH786428:HSH786430 HSH851958 HSH851964:HSH851966 HSH917494 HSH917500:HSH917502 HSH983030 HSH983036:HSH983038 ICD2 ICD8:ICD10 ICD65526 ICD65532:ICD65534 ICD131062 ICD131068:ICD131070 ICD196598 ICD196604:ICD196606 ICD262134 ICD262140:ICD262142 ICD327670 ICD327676:ICD327678 ICD393206 ICD393212:ICD393214 ICD458742 ICD458748:ICD458750 ICD524278 ICD524284:ICD524286 ICD589814 ICD589820:ICD589822 ICD655350 ICD655356:ICD655358 ICD720886 ICD720892:ICD720894 ICD786422 ICD786428:ICD786430 ICD851958 ICD851964:ICD851966 ICD917494 ICD917500:ICD917502 ICD983030 ICD983036:ICD983038 ILZ2 ILZ8:ILZ10 ILZ65526 ILZ65532:ILZ65534 ILZ131062 ILZ131068:ILZ131070 ILZ196598 ILZ196604:ILZ196606 ILZ262134 ILZ262140:ILZ262142 ILZ327670 ILZ327676:ILZ327678 ILZ393206 ILZ393212:ILZ393214 ILZ458742 ILZ458748:ILZ458750 ILZ524278 ILZ524284:ILZ524286 ILZ589814 ILZ589820:ILZ589822 ILZ655350 ILZ655356:ILZ655358 ILZ720886 ILZ720892:ILZ720894 ILZ786422 ILZ786428:ILZ786430 ILZ851958 ILZ851964:ILZ851966 ILZ917494 ILZ917500:ILZ917502 ILZ983030 ILZ983036:ILZ983038 IVV2 IVV8:IVV10 IVV65526 IVV65532:IVV65534 IVV131062 IVV131068:IVV131070 IVV196598 IVV196604:IVV196606 IVV262134 IVV262140:IVV262142 IVV327670 IVV327676:IVV327678 IVV393206 IVV393212:IVV393214 IVV458742 IVV458748:IVV458750 IVV524278 IVV524284:IVV524286 IVV589814 IVV589820:IVV589822 IVV655350 IVV655356:IVV655358 IVV720886 IVV720892:IVV720894 IVV786422 IVV786428:IVV786430 IVV851958 IVV851964:IVV851966 IVV917494 IVV917500:IVV917502 IVV983030 IVV983036:IVV983038 JFR2 JFR8:JFR10 JFR65526 JFR65532:JFR65534 JFR131062 JFR131068:JFR131070 JFR196598 JFR196604:JFR196606 JFR262134 JFR262140:JFR262142 JFR327670 JFR327676:JFR327678 JFR393206 JFR393212:JFR393214 JFR458742 JFR458748:JFR458750 JFR524278 JFR524284:JFR524286 JFR589814 JFR589820:JFR589822 JFR655350 JFR655356:JFR655358 JFR720886 JFR720892:JFR720894 JFR786422 JFR786428:JFR786430 JFR851958 JFR851964:JFR851966 JFR917494 JFR917500:JFR917502 JFR983030 JFR983036:JFR983038 JPN2 JPN8:JPN10 JPN65526 JPN65532:JPN65534 JPN131062 JPN131068:JPN131070 JPN196598 JPN196604:JPN196606 JPN262134 JPN262140:JPN262142 JPN327670 JPN327676:JPN327678 JPN393206 JPN393212:JPN393214 JPN458742 JPN458748:JPN458750 JPN524278 JPN524284:JPN524286 JPN589814 JPN589820:JPN589822 JPN655350 JPN655356:JPN655358 JPN720886 JPN720892:JPN720894 JPN786422 JPN786428:JPN786430 JPN851958 JPN851964:JPN851966 JPN917494 JPN917500:JPN917502 JPN983030 JPN983036:JPN983038 JZJ2 JZJ8:JZJ10 JZJ65526 JZJ65532:JZJ65534 JZJ131062 JZJ131068:JZJ131070 JZJ196598 JZJ196604:JZJ196606 JZJ262134 JZJ262140:JZJ262142 JZJ327670 JZJ327676:JZJ327678 JZJ393206 JZJ393212:JZJ393214 JZJ458742 JZJ458748:JZJ458750 JZJ524278 JZJ524284:JZJ524286 JZJ589814 JZJ589820:JZJ589822 JZJ655350 JZJ655356:JZJ655358 JZJ720886 JZJ720892:JZJ720894 JZJ786422 JZJ786428:JZJ786430 JZJ851958 JZJ851964:JZJ851966 JZJ917494 JZJ917500:JZJ917502 JZJ983030 JZJ983036:JZJ983038 KJF2 KJF8:KJF10 KJF65526 KJF65532:KJF65534 KJF131062 KJF131068:KJF131070 KJF196598 KJF196604:KJF196606 KJF262134 KJF262140:KJF262142 KJF327670 KJF327676:KJF327678 KJF393206 KJF393212:KJF393214 KJF458742 KJF458748:KJF458750 KJF524278 KJF524284:KJF524286 KJF589814 KJF589820:KJF589822 KJF655350 KJF655356:KJF655358 KJF720886 KJF720892:KJF720894 KJF786422 KJF786428:KJF786430 KJF851958 KJF851964:KJF851966 KJF917494 KJF917500:KJF917502 KJF983030 KJF983036:KJF983038 KTB2 KTB8:KTB10 KTB65526 KTB65532:KTB65534 KTB131062 KTB131068:KTB131070 KTB196598 KTB196604:KTB196606 KTB262134 KTB262140:KTB262142 KTB327670 KTB327676:KTB327678 KTB393206 KTB393212:KTB393214 KTB458742 KTB458748:KTB458750 KTB524278 KTB524284:KTB524286 KTB589814 KTB589820:KTB589822 KTB655350 KTB655356:KTB655358 KTB720886 KTB720892:KTB720894 KTB786422 KTB786428:KTB786430 KTB851958 KTB851964:KTB851966 KTB917494 KTB917500:KTB917502 KTB983030 KTB983036:KTB983038 LCX2 LCX8:LCX10 LCX65526 LCX65532:LCX65534 LCX131062 LCX131068:LCX131070 LCX196598 LCX196604:LCX196606 LCX262134 LCX262140:LCX262142 LCX327670 LCX327676:LCX327678 LCX393206 LCX393212:LCX393214 LCX458742 LCX458748:LCX458750 LCX524278 LCX524284:LCX524286 LCX589814 LCX589820:LCX589822 LCX655350 LCX655356:LCX655358 LCX720886 LCX720892:LCX720894 LCX786422 LCX786428:LCX786430 LCX851958 LCX851964:LCX851966 LCX917494 LCX917500:LCX917502 LCX983030 LCX983036:LCX983038 LMT2 LMT8:LMT10 LMT65526 LMT65532:LMT65534 LMT131062 LMT131068:LMT131070 LMT196598 LMT196604:LMT196606 LMT262134 LMT262140:LMT262142 LMT327670 LMT327676:LMT327678 LMT393206 LMT393212:LMT393214 LMT458742 LMT458748:LMT458750 LMT524278 LMT524284:LMT524286 LMT589814 LMT589820:LMT589822 LMT655350 LMT655356:LMT655358 LMT720886 LMT720892:LMT720894 LMT786422 LMT786428:LMT786430 LMT851958 LMT851964:LMT851966 LMT917494 LMT917500:LMT917502 LMT983030 LMT983036:LMT983038 LWP2 LWP8:LWP10 LWP65526 LWP65532:LWP65534 LWP131062 LWP131068:LWP131070 LWP196598 LWP196604:LWP196606 LWP262134 LWP262140:LWP262142 LWP327670 LWP327676:LWP327678 LWP393206 LWP393212:LWP393214 LWP458742 LWP458748:LWP458750 LWP524278 LWP524284:LWP524286 LWP589814 LWP589820:LWP589822 LWP655350 LWP655356:LWP655358 LWP720886 LWP720892:LWP720894 LWP786422 LWP786428:LWP786430 LWP851958 LWP851964:LWP851966 LWP917494 LWP917500:LWP917502 LWP983030 LWP983036:LWP983038 MGL2 MGL8:MGL10 MGL65526 MGL65532:MGL65534 MGL131062 MGL131068:MGL131070 MGL196598 MGL196604:MGL196606 MGL262134 MGL262140:MGL262142 MGL327670 MGL327676:MGL327678 MGL393206 MGL393212:MGL393214 MGL458742 MGL458748:MGL458750 MGL524278 MGL524284:MGL524286 MGL589814 MGL589820:MGL589822 MGL655350 MGL655356:MGL655358 MGL720886 MGL720892:MGL720894 MGL786422 MGL786428:MGL786430 MGL851958 MGL851964:MGL851966 MGL917494 MGL917500:MGL917502 MGL983030 MGL983036:MGL983038 MQH2 MQH8:MQH10 MQH65526 MQH65532:MQH65534 MQH131062 MQH131068:MQH131070 MQH196598 MQH196604:MQH196606 MQH262134 MQH262140:MQH262142 MQH327670 MQH327676:MQH327678 MQH393206 MQH393212:MQH393214 MQH458742 MQH458748:MQH458750 MQH524278 MQH524284:MQH524286 MQH589814 MQH589820:MQH589822 MQH655350 MQH655356:MQH655358 MQH720886 MQH720892:MQH720894 MQH786422 MQH786428:MQH786430 MQH851958 MQH851964:MQH851966 MQH917494 MQH917500:MQH917502 MQH983030 MQH983036:MQH983038 NAD2 NAD8:NAD10 NAD65526 NAD65532:NAD65534 NAD131062 NAD131068:NAD131070 NAD196598 NAD196604:NAD196606 NAD262134 NAD262140:NAD262142 NAD327670 NAD327676:NAD327678 NAD393206 NAD393212:NAD393214 NAD458742 NAD458748:NAD458750 NAD524278 NAD524284:NAD524286 NAD589814 NAD589820:NAD589822 NAD655350 NAD655356:NAD655358 NAD720886 NAD720892:NAD720894 NAD786422 NAD786428:NAD786430 NAD851958 NAD851964:NAD851966 NAD917494 NAD917500:NAD917502 NAD983030 NAD983036:NAD983038 NJZ2 NJZ8:NJZ10 NJZ65526 NJZ65532:NJZ65534 NJZ131062 NJZ131068:NJZ131070 NJZ196598 NJZ196604:NJZ196606 NJZ262134 NJZ262140:NJZ262142 NJZ327670 NJZ327676:NJZ327678 NJZ393206 NJZ393212:NJZ393214 NJZ458742 NJZ458748:NJZ458750 NJZ524278 NJZ524284:NJZ524286 NJZ589814 NJZ589820:NJZ589822 NJZ655350 NJZ655356:NJZ655358 NJZ720886 NJZ720892:NJZ720894 NJZ786422 NJZ786428:NJZ786430 NJZ851958 NJZ851964:NJZ851966 NJZ917494 NJZ917500:NJZ917502 NJZ983030 NJZ983036:NJZ983038 NTV2 NTV8:NTV10 NTV65526 NTV65532:NTV65534 NTV131062 NTV131068:NTV131070 NTV196598 NTV196604:NTV196606 NTV262134 NTV262140:NTV262142 NTV327670 NTV327676:NTV327678 NTV393206 NTV393212:NTV393214 NTV458742 NTV458748:NTV458750 NTV524278 NTV524284:NTV524286 NTV589814 NTV589820:NTV589822 NTV655350 NTV655356:NTV655358 NTV720886 NTV720892:NTV720894 NTV786422 NTV786428:NTV786430 NTV851958 NTV851964:NTV851966 NTV917494 NTV917500:NTV917502 NTV983030 NTV983036:NTV983038 ODR2 ODR8:ODR10 ODR65526 ODR65532:ODR65534 ODR131062 ODR131068:ODR131070 ODR196598 ODR196604:ODR196606 ODR262134 ODR262140:ODR262142 ODR327670 ODR327676:ODR327678 ODR393206 ODR393212:ODR393214 ODR458742 ODR458748:ODR458750 ODR524278 ODR524284:ODR524286 ODR589814 ODR589820:ODR589822 ODR655350 ODR655356:ODR655358 ODR720886 ODR720892:ODR720894 ODR786422 ODR786428:ODR786430 ODR851958 ODR851964:ODR851966 ODR917494 ODR917500:ODR917502 ODR983030 ODR983036:ODR983038 ONN2 ONN8:ONN10 ONN65526 ONN65532:ONN65534 ONN131062 ONN131068:ONN131070 ONN196598 ONN196604:ONN196606 ONN262134 ONN262140:ONN262142 ONN327670 ONN327676:ONN327678 ONN393206 ONN393212:ONN393214 ONN458742 ONN458748:ONN458750 ONN524278 ONN524284:ONN524286 ONN589814 ONN589820:ONN589822 ONN655350 ONN655356:ONN655358 ONN720886 ONN720892:ONN720894 ONN786422 ONN786428:ONN786430 ONN851958 ONN851964:ONN851966 ONN917494 ONN917500:ONN917502 ONN983030 ONN983036:ONN983038 OXJ2 OXJ8:OXJ10 OXJ65526 OXJ65532:OXJ65534 OXJ131062 OXJ131068:OXJ131070 OXJ196598 OXJ196604:OXJ196606 OXJ262134 OXJ262140:OXJ262142 OXJ327670 OXJ327676:OXJ327678 OXJ393206 OXJ393212:OXJ393214 OXJ458742 OXJ458748:OXJ458750 OXJ524278 OXJ524284:OXJ524286 OXJ589814 OXJ589820:OXJ589822 OXJ655350 OXJ655356:OXJ655358 OXJ720886 OXJ720892:OXJ720894 OXJ786422 OXJ786428:OXJ786430 OXJ851958 OXJ851964:OXJ851966 OXJ917494 OXJ917500:OXJ917502 OXJ983030 OXJ983036:OXJ983038 PHF2 PHF8:PHF10 PHF65526 PHF65532:PHF65534 PHF131062 PHF131068:PHF131070 PHF196598 PHF196604:PHF196606 PHF262134 PHF262140:PHF262142 PHF327670 PHF327676:PHF327678 PHF393206 PHF393212:PHF393214 PHF458742 PHF458748:PHF458750 PHF524278 PHF524284:PHF524286 PHF589814 PHF589820:PHF589822 PHF655350 PHF655356:PHF655358 PHF720886 PHF720892:PHF720894 PHF786422 PHF786428:PHF786430 PHF851958 PHF851964:PHF851966 PHF917494 PHF917500:PHF917502 PHF983030 PHF983036:PHF983038 PRB2 PRB8:PRB10 PRB65526 PRB65532:PRB65534 PRB131062 PRB131068:PRB131070 PRB196598 PRB196604:PRB196606 PRB262134 PRB262140:PRB262142 PRB327670 PRB327676:PRB327678 PRB393206 PRB393212:PRB393214 PRB458742 PRB458748:PRB458750 PRB524278 PRB524284:PRB524286 PRB589814 PRB589820:PRB589822 PRB655350 PRB655356:PRB655358 PRB720886 PRB720892:PRB720894 PRB786422 PRB786428:PRB786430 PRB851958 PRB851964:PRB851966 PRB917494 PRB917500:PRB917502 PRB983030 PRB983036:PRB983038 QAX2 QAX8:QAX10 QAX65526 QAX65532:QAX65534 QAX131062 QAX131068:QAX131070 QAX196598 QAX196604:QAX196606 QAX262134 QAX262140:QAX262142 QAX327670 QAX327676:QAX327678 QAX393206 QAX393212:QAX393214 QAX458742 QAX458748:QAX458750 QAX524278 QAX524284:QAX524286 QAX589814 QAX589820:QAX589822 QAX655350 QAX655356:QAX655358 QAX720886 QAX720892:QAX720894 QAX786422 QAX786428:QAX786430 QAX851958 QAX851964:QAX851966 QAX917494 QAX917500:QAX917502 QAX983030 QAX983036:QAX983038 QKT2 QKT8:QKT10 QKT65526 QKT65532:QKT65534 QKT131062 QKT131068:QKT131070 QKT196598 QKT196604:QKT196606 QKT262134 QKT262140:QKT262142 QKT327670 QKT327676:QKT327678 QKT393206 QKT393212:QKT393214 QKT458742 QKT458748:QKT458750 QKT524278 QKT524284:QKT524286 QKT589814 QKT589820:QKT589822 QKT655350 QKT655356:QKT655358 QKT720886 QKT720892:QKT720894 QKT786422 QKT786428:QKT786430 QKT851958 QKT851964:QKT851966 QKT917494 QKT917500:QKT917502 QKT983030 QKT983036:QKT983038 QUP2 QUP8:QUP10 QUP65526 QUP65532:QUP65534 QUP131062 QUP131068:QUP131070 QUP196598 QUP196604:QUP196606 QUP262134 QUP262140:QUP262142 QUP327670 QUP327676:QUP327678 QUP393206 QUP393212:QUP393214 QUP458742 QUP458748:QUP458750 QUP524278 QUP524284:QUP524286 QUP589814 QUP589820:QUP589822 QUP655350 QUP655356:QUP655358 QUP720886 QUP720892:QUP720894 QUP786422 QUP786428:QUP786430 QUP851958 QUP851964:QUP851966 QUP917494 QUP917500:QUP917502 QUP983030 QUP983036:QUP983038 REL2 REL8:REL10 REL65526 REL65532:REL65534 REL131062 REL131068:REL131070 REL196598 REL196604:REL196606 REL262134 REL262140:REL262142 REL327670 REL327676:REL327678 REL393206 REL393212:REL393214 REL458742 REL458748:REL458750 REL524278 REL524284:REL524286 REL589814 REL589820:REL589822 REL655350 REL655356:REL655358 REL720886 REL720892:REL720894 REL786422 REL786428:REL786430 REL851958 REL851964:REL851966 REL917494 REL917500:REL917502 REL983030 REL983036:REL983038 ROH2 ROH8:ROH10 ROH65526 ROH65532:ROH65534 ROH131062 ROH131068:ROH131070 ROH196598 ROH196604:ROH196606 ROH262134 ROH262140:ROH262142 ROH327670 ROH327676:ROH327678 ROH393206 ROH393212:ROH393214 ROH458742 ROH458748:ROH458750 ROH524278 ROH524284:ROH524286 ROH589814 ROH589820:ROH589822 ROH655350 ROH655356:ROH655358 ROH720886 ROH720892:ROH720894 ROH786422 ROH786428:ROH786430 ROH851958 ROH851964:ROH851966 ROH917494 ROH917500:ROH917502 ROH983030 ROH983036:ROH983038 RYD2 RYD8:RYD10 RYD65526 RYD65532:RYD65534 RYD131062 RYD131068:RYD131070 RYD196598 RYD196604:RYD196606 RYD262134 RYD262140:RYD262142 RYD327670 RYD327676:RYD327678 RYD393206 RYD393212:RYD393214 RYD458742 RYD458748:RYD458750 RYD524278 RYD524284:RYD524286 RYD589814 RYD589820:RYD589822 RYD655350 RYD655356:RYD655358 RYD720886 RYD720892:RYD720894 RYD786422 RYD786428:RYD786430 RYD851958 RYD851964:RYD851966 RYD917494 RYD917500:RYD917502 RYD983030 RYD983036:RYD983038 SHZ2 SHZ8:SHZ10 SHZ65526 SHZ65532:SHZ65534 SHZ131062 SHZ131068:SHZ131070 SHZ196598 SHZ196604:SHZ196606 SHZ262134 SHZ262140:SHZ262142 SHZ327670 SHZ327676:SHZ327678 SHZ393206 SHZ393212:SHZ393214 SHZ458742 SHZ458748:SHZ458750 SHZ524278 SHZ524284:SHZ524286 SHZ589814 SHZ589820:SHZ589822 SHZ655350 SHZ655356:SHZ655358 SHZ720886 SHZ720892:SHZ720894 SHZ786422 SHZ786428:SHZ786430 SHZ851958 SHZ851964:SHZ851966 SHZ917494 SHZ917500:SHZ917502 SHZ983030 SHZ983036:SHZ983038 SRV2 SRV8:SRV10 SRV65526 SRV65532:SRV65534 SRV131062 SRV131068:SRV131070 SRV196598 SRV196604:SRV196606 SRV262134 SRV262140:SRV262142 SRV327670 SRV327676:SRV327678 SRV393206 SRV393212:SRV393214 SRV458742 SRV458748:SRV458750 SRV524278 SRV524284:SRV524286 SRV589814 SRV589820:SRV589822 SRV655350 SRV655356:SRV655358 SRV720886 SRV720892:SRV720894 SRV786422 SRV786428:SRV786430 SRV851958 SRV851964:SRV851966 SRV917494 SRV917500:SRV917502 SRV983030 SRV983036:SRV983038 TBR2 TBR8:TBR10 TBR65526 TBR65532:TBR65534 TBR131062 TBR131068:TBR131070 TBR196598 TBR196604:TBR196606 TBR262134 TBR262140:TBR262142 TBR327670 TBR327676:TBR327678 TBR393206 TBR393212:TBR393214 TBR458742 TBR458748:TBR458750 TBR524278 TBR524284:TBR524286 TBR589814 TBR589820:TBR589822 TBR655350 TBR655356:TBR655358 TBR720886 TBR720892:TBR720894 TBR786422 TBR786428:TBR786430 TBR851958 TBR851964:TBR851966 TBR917494 TBR917500:TBR917502 TBR983030 TBR983036:TBR983038 TLN2 TLN8:TLN10 TLN65526 TLN65532:TLN65534 TLN131062 TLN131068:TLN131070 TLN196598 TLN196604:TLN196606 TLN262134 TLN262140:TLN262142 TLN327670 TLN327676:TLN327678 TLN393206 TLN393212:TLN393214 TLN458742 TLN458748:TLN458750 TLN524278 TLN524284:TLN524286 TLN589814 TLN589820:TLN589822 TLN655350 TLN655356:TLN655358 TLN720886 TLN720892:TLN720894 TLN786422 TLN786428:TLN786430 TLN851958 TLN851964:TLN851966 TLN917494 TLN917500:TLN917502 TLN983030 TLN983036:TLN983038 TVJ2 TVJ8:TVJ10 TVJ65526 TVJ65532:TVJ65534 TVJ131062 TVJ131068:TVJ131070 TVJ196598 TVJ196604:TVJ196606 TVJ262134 TVJ262140:TVJ262142 TVJ327670 TVJ327676:TVJ327678 TVJ393206 TVJ393212:TVJ393214 TVJ458742 TVJ458748:TVJ458750 TVJ524278 TVJ524284:TVJ524286 TVJ589814 TVJ589820:TVJ589822 TVJ655350 TVJ655356:TVJ655358 TVJ720886 TVJ720892:TVJ720894 TVJ786422 TVJ786428:TVJ786430 TVJ851958 TVJ851964:TVJ851966 TVJ917494 TVJ917500:TVJ917502 TVJ983030 TVJ983036:TVJ983038 UFF2 UFF8:UFF10 UFF65526 UFF65532:UFF65534 UFF131062 UFF131068:UFF131070 UFF196598 UFF196604:UFF196606 UFF262134 UFF262140:UFF262142 UFF327670 UFF327676:UFF327678 UFF393206 UFF393212:UFF393214 UFF458742 UFF458748:UFF458750 UFF524278 UFF524284:UFF524286 UFF589814 UFF589820:UFF589822 UFF655350 UFF655356:UFF655358 UFF720886 UFF720892:UFF720894 UFF786422 UFF786428:UFF786430 UFF851958 UFF851964:UFF851966 UFF917494 UFF917500:UFF917502 UFF983030 UFF983036:UFF983038 UPB2 UPB8:UPB10 UPB65526 UPB65532:UPB65534 UPB131062 UPB131068:UPB131070 UPB196598 UPB196604:UPB196606 UPB262134 UPB262140:UPB262142 UPB327670 UPB327676:UPB327678 UPB393206 UPB393212:UPB393214 UPB458742 UPB458748:UPB458750 UPB524278 UPB524284:UPB524286 UPB589814 UPB589820:UPB589822 UPB655350 UPB655356:UPB655358 UPB720886 UPB720892:UPB720894 UPB786422 UPB786428:UPB786430 UPB851958 UPB851964:UPB851966 UPB917494 UPB917500:UPB917502 UPB983030 UPB983036:UPB983038 UYX2 UYX8:UYX10 UYX65526 UYX65532:UYX65534 UYX131062 UYX131068:UYX131070 UYX196598 UYX196604:UYX196606 UYX262134 UYX262140:UYX262142 UYX327670 UYX327676:UYX327678 UYX393206 UYX393212:UYX393214 UYX458742 UYX458748:UYX458750 UYX524278 UYX524284:UYX524286 UYX589814 UYX589820:UYX589822 UYX655350 UYX655356:UYX655358 UYX720886 UYX720892:UYX720894 UYX786422 UYX786428:UYX786430 UYX851958 UYX851964:UYX851966 UYX917494 UYX917500:UYX917502 UYX983030 UYX983036:UYX983038 VIT2 VIT8:VIT10 VIT65526 VIT65532:VIT65534 VIT131062 VIT131068:VIT131070 VIT196598 VIT196604:VIT196606 VIT262134 VIT262140:VIT262142 VIT327670 VIT327676:VIT327678 VIT393206 VIT393212:VIT393214 VIT458742 VIT458748:VIT458750 VIT524278 VIT524284:VIT524286 VIT589814 VIT589820:VIT589822 VIT655350 VIT655356:VIT655358 VIT720886 VIT720892:VIT720894 VIT786422 VIT786428:VIT786430 VIT851958 VIT851964:VIT851966 VIT917494 VIT917500:VIT917502 VIT983030 VIT983036:VIT983038 VSP2 VSP8:VSP10 VSP65526 VSP65532:VSP65534 VSP131062 VSP131068:VSP131070 VSP196598 VSP196604:VSP196606 VSP262134 VSP262140:VSP262142 VSP327670 VSP327676:VSP327678 VSP393206 VSP393212:VSP393214 VSP458742 VSP458748:VSP458750 VSP524278 VSP524284:VSP524286 VSP589814 VSP589820:VSP589822 VSP655350 VSP655356:VSP655358 VSP720886 VSP720892:VSP720894 VSP786422 VSP786428:VSP786430 VSP851958 VSP851964:VSP851966 VSP917494 VSP917500:VSP917502 VSP983030 VSP983036:VSP983038 WCL2 WCL8:WCL10 WCL65526 WCL65532:WCL65534 WCL131062 WCL131068:WCL131070 WCL196598 WCL196604:WCL196606 WCL262134 WCL262140:WCL262142 WCL327670 WCL327676:WCL327678 WCL393206 WCL393212:WCL393214 WCL458742 WCL458748:WCL458750 WCL524278 WCL524284:WCL524286 WCL589814 WCL589820:WCL589822 WCL655350 WCL655356:WCL655358 WCL720886 WCL720892:WCL720894 WCL786422 WCL786428:WCL786430 WCL851958 WCL851964:WCL851966 WCL917494 WCL917500:WCL917502 WCL983030 WCL983036:WCL983038 WMH2 WMH8:WMH10 WMH65526 WMH65532:WMH65534 WMH131062 WMH131068:WMH131070 WMH196598 WMH196604:WMH196606 WMH262134 WMH262140:WMH262142 WMH327670 WMH327676:WMH327678 WMH393206 WMH393212:WMH393214 WMH458742 WMH458748:WMH458750 WMH524278 WMH524284:WMH524286 WMH589814 WMH589820:WMH589822 WMH655350 WMH655356:WMH655358 WMH720886 WMH720892:WMH720894 WMH786422 WMH786428:WMH786430 WMH851958 WMH851964:WMH851966 WMH917494 WMH917500:WMH917502 WMH983030 WMH983036:WMH983038 WWD2 WWD8:WWD10 WWD65526 WWD65532:WWD65534 WWD131062 WWD131068:WWD131070 WWD196598 WWD196604:WWD196606 WWD262134 WWD262140:WWD262142 WWD327670 WWD327676:WWD327678 WWD393206 WWD393212:WWD393214 WWD458742 WWD458748:WWD458750 WWD524278 WWD524284:WWD524286 WWD589814 WWD589820:WWD589822 WWD655350 WWD655356:WWD655358 WWD720886 WWD720892:WWD720894 WWD786422 WWD786428:WWD786430 WWD851958 WWD851964:WWD851966 WWD917494 WWD917500:WWD917502 WWD983030 WWD983036:WWD983038" xr:uid="{00000000-0002-0000-0700-000010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2 U8:U10 U65526 U65532:U65534 U131062 U131068:U131070 U196598 U196604:U196606 U262134 U262140:U262142 U327670 U327676:U327678 U393206 U393212:U393214 U458742 U458748:U458750 U524278 U524284:U524286 U589814 U589820:U589822 U655350 U655356:U655358 U720886 U720892:U720894 U786422 U786428:U786430 U851958 U851964:U851966 U917494 U917500:U917502 U983030 U983036:U983038 JQ2 JQ8:JQ10 JQ65526 JQ65532:JQ65534 JQ131062 JQ131068:JQ131070 JQ196598 JQ196604:JQ196606 JQ262134 JQ262140:JQ262142 JQ327670 JQ327676:JQ327678 JQ393206 JQ393212:JQ393214 JQ458742 JQ458748:JQ458750 JQ524278 JQ524284:JQ524286 JQ589814 JQ589820:JQ589822 JQ655350 JQ655356:JQ655358 JQ720886 JQ720892:JQ720894 JQ786422 JQ786428:JQ786430 JQ851958 JQ851964:JQ851966 JQ917494 JQ917500:JQ917502 JQ983030 JQ983036:JQ983038 TM2 TM8:TM10 TM65526 TM65532:TM65534 TM131062 TM131068:TM131070 TM196598 TM196604:TM196606 TM262134 TM262140:TM262142 TM327670 TM327676:TM327678 TM393206 TM393212:TM393214 TM458742 TM458748:TM458750 TM524278 TM524284:TM524286 TM589814 TM589820:TM589822 TM655350 TM655356:TM655358 TM720886 TM720892:TM720894 TM786422 TM786428:TM786430 TM851958 TM851964:TM851966 TM917494 TM917500:TM917502 TM983030 TM983036:TM983038 ADI2 ADI8:ADI10 ADI65526 ADI65532:ADI65534 ADI131062 ADI131068:ADI131070 ADI196598 ADI196604:ADI196606 ADI262134 ADI262140:ADI262142 ADI327670 ADI327676:ADI327678 ADI393206 ADI393212:ADI393214 ADI458742 ADI458748:ADI458750 ADI524278 ADI524284:ADI524286 ADI589814 ADI589820:ADI589822 ADI655350 ADI655356:ADI655358 ADI720886 ADI720892:ADI720894 ADI786422 ADI786428:ADI786430 ADI851958 ADI851964:ADI851966 ADI917494 ADI917500:ADI917502 ADI983030 ADI983036:ADI983038 ANE2 ANE8:ANE10 ANE65526 ANE65532:ANE65534 ANE131062 ANE131068:ANE131070 ANE196598 ANE196604:ANE196606 ANE262134 ANE262140:ANE262142 ANE327670 ANE327676:ANE327678 ANE393206 ANE393212:ANE393214 ANE458742 ANE458748:ANE458750 ANE524278 ANE524284:ANE524286 ANE589814 ANE589820:ANE589822 ANE655350 ANE655356:ANE655358 ANE720886 ANE720892:ANE720894 ANE786422 ANE786428:ANE786430 ANE851958 ANE851964:ANE851966 ANE917494 ANE917500:ANE917502 ANE983030 ANE983036:ANE983038 AXA2 AXA8:AXA10 AXA65526 AXA65532:AXA65534 AXA131062 AXA131068:AXA131070 AXA196598 AXA196604:AXA196606 AXA262134 AXA262140:AXA262142 AXA327670 AXA327676:AXA327678 AXA393206 AXA393212:AXA393214 AXA458742 AXA458748:AXA458750 AXA524278 AXA524284:AXA524286 AXA589814 AXA589820:AXA589822 AXA655350 AXA655356:AXA655358 AXA720886 AXA720892:AXA720894 AXA786422 AXA786428:AXA786430 AXA851958 AXA851964:AXA851966 AXA917494 AXA917500:AXA917502 AXA983030 AXA983036:AXA983038 BGW2 BGW8:BGW10 BGW65526 BGW65532:BGW65534 BGW131062 BGW131068:BGW131070 BGW196598 BGW196604:BGW196606 BGW262134 BGW262140:BGW262142 BGW327670 BGW327676:BGW327678 BGW393206 BGW393212:BGW393214 BGW458742 BGW458748:BGW458750 BGW524278 BGW524284:BGW524286 BGW589814 BGW589820:BGW589822 BGW655350 BGW655356:BGW655358 BGW720886 BGW720892:BGW720894 BGW786422 BGW786428:BGW786430 BGW851958 BGW851964:BGW851966 BGW917494 BGW917500:BGW917502 BGW983030 BGW983036:BGW983038 BQS2 BQS8:BQS10 BQS65526 BQS65532:BQS65534 BQS131062 BQS131068:BQS131070 BQS196598 BQS196604:BQS196606 BQS262134 BQS262140:BQS262142 BQS327670 BQS327676:BQS327678 BQS393206 BQS393212:BQS393214 BQS458742 BQS458748:BQS458750 BQS524278 BQS524284:BQS524286 BQS589814 BQS589820:BQS589822 BQS655350 BQS655356:BQS655358 BQS720886 BQS720892:BQS720894 BQS786422 BQS786428:BQS786430 BQS851958 BQS851964:BQS851966 BQS917494 BQS917500:BQS917502 BQS983030 BQS983036:BQS983038 CAO2 CAO8:CAO10 CAO65526 CAO65532:CAO65534 CAO131062 CAO131068:CAO131070 CAO196598 CAO196604:CAO196606 CAO262134 CAO262140:CAO262142 CAO327670 CAO327676:CAO327678 CAO393206 CAO393212:CAO393214 CAO458742 CAO458748:CAO458750 CAO524278 CAO524284:CAO524286 CAO589814 CAO589820:CAO589822 CAO655350 CAO655356:CAO655358 CAO720886 CAO720892:CAO720894 CAO786422 CAO786428:CAO786430 CAO851958 CAO851964:CAO851966 CAO917494 CAO917500:CAO917502 CAO983030 CAO983036:CAO983038 CKK2 CKK8:CKK10 CKK65526 CKK65532:CKK65534 CKK131062 CKK131068:CKK131070 CKK196598 CKK196604:CKK196606 CKK262134 CKK262140:CKK262142 CKK327670 CKK327676:CKK327678 CKK393206 CKK393212:CKK393214 CKK458742 CKK458748:CKK458750 CKK524278 CKK524284:CKK524286 CKK589814 CKK589820:CKK589822 CKK655350 CKK655356:CKK655358 CKK720886 CKK720892:CKK720894 CKK786422 CKK786428:CKK786430 CKK851958 CKK851964:CKK851966 CKK917494 CKK917500:CKK917502 CKK983030 CKK983036:CKK983038 CUG2 CUG8:CUG10 CUG65526 CUG65532:CUG65534 CUG131062 CUG131068:CUG131070 CUG196598 CUG196604:CUG196606 CUG262134 CUG262140:CUG262142 CUG327670 CUG327676:CUG327678 CUG393206 CUG393212:CUG393214 CUG458742 CUG458748:CUG458750 CUG524278 CUG524284:CUG524286 CUG589814 CUG589820:CUG589822 CUG655350 CUG655356:CUG655358 CUG720886 CUG720892:CUG720894 CUG786422 CUG786428:CUG786430 CUG851958 CUG851964:CUG851966 CUG917494 CUG917500:CUG917502 CUG983030 CUG983036:CUG983038 DEC2 DEC8:DEC10 DEC65526 DEC65532:DEC65534 DEC131062 DEC131068:DEC131070 DEC196598 DEC196604:DEC196606 DEC262134 DEC262140:DEC262142 DEC327670 DEC327676:DEC327678 DEC393206 DEC393212:DEC393214 DEC458742 DEC458748:DEC458750 DEC524278 DEC524284:DEC524286 DEC589814 DEC589820:DEC589822 DEC655350 DEC655356:DEC655358 DEC720886 DEC720892:DEC720894 DEC786422 DEC786428:DEC786430 DEC851958 DEC851964:DEC851966 DEC917494 DEC917500:DEC917502 DEC983030 DEC983036:DEC983038 DNY2 DNY8:DNY10 DNY65526 DNY65532:DNY65534 DNY131062 DNY131068:DNY131070 DNY196598 DNY196604:DNY196606 DNY262134 DNY262140:DNY262142 DNY327670 DNY327676:DNY327678 DNY393206 DNY393212:DNY393214 DNY458742 DNY458748:DNY458750 DNY524278 DNY524284:DNY524286 DNY589814 DNY589820:DNY589822 DNY655350 DNY655356:DNY655358 DNY720886 DNY720892:DNY720894 DNY786422 DNY786428:DNY786430 DNY851958 DNY851964:DNY851966 DNY917494 DNY917500:DNY917502 DNY983030 DNY983036:DNY983038 DXU2 DXU8:DXU10 DXU65526 DXU65532:DXU65534 DXU131062 DXU131068:DXU131070 DXU196598 DXU196604:DXU196606 DXU262134 DXU262140:DXU262142 DXU327670 DXU327676:DXU327678 DXU393206 DXU393212:DXU393214 DXU458742 DXU458748:DXU458750 DXU524278 DXU524284:DXU524286 DXU589814 DXU589820:DXU589822 DXU655350 DXU655356:DXU655358 DXU720886 DXU720892:DXU720894 DXU786422 DXU786428:DXU786430 DXU851958 DXU851964:DXU851966 DXU917494 DXU917500:DXU917502 DXU983030 DXU983036:DXU983038 EHQ2 EHQ8:EHQ10 EHQ65526 EHQ65532:EHQ65534 EHQ131062 EHQ131068:EHQ131070 EHQ196598 EHQ196604:EHQ196606 EHQ262134 EHQ262140:EHQ262142 EHQ327670 EHQ327676:EHQ327678 EHQ393206 EHQ393212:EHQ393214 EHQ458742 EHQ458748:EHQ458750 EHQ524278 EHQ524284:EHQ524286 EHQ589814 EHQ589820:EHQ589822 EHQ655350 EHQ655356:EHQ655358 EHQ720886 EHQ720892:EHQ720894 EHQ786422 EHQ786428:EHQ786430 EHQ851958 EHQ851964:EHQ851966 EHQ917494 EHQ917500:EHQ917502 EHQ983030 EHQ983036:EHQ983038 ERM2 ERM8:ERM10 ERM65526 ERM65532:ERM65534 ERM131062 ERM131068:ERM131070 ERM196598 ERM196604:ERM196606 ERM262134 ERM262140:ERM262142 ERM327670 ERM327676:ERM327678 ERM393206 ERM393212:ERM393214 ERM458742 ERM458748:ERM458750 ERM524278 ERM524284:ERM524286 ERM589814 ERM589820:ERM589822 ERM655350 ERM655356:ERM655358 ERM720886 ERM720892:ERM720894 ERM786422 ERM786428:ERM786430 ERM851958 ERM851964:ERM851966 ERM917494 ERM917500:ERM917502 ERM983030 ERM983036:ERM983038 FBI2 FBI8:FBI10 FBI65526 FBI65532:FBI65534 FBI131062 FBI131068:FBI131070 FBI196598 FBI196604:FBI196606 FBI262134 FBI262140:FBI262142 FBI327670 FBI327676:FBI327678 FBI393206 FBI393212:FBI393214 FBI458742 FBI458748:FBI458750 FBI524278 FBI524284:FBI524286 FBI589814 FBI589820:FBI589822 FBI655350 FBI655356:FBI655358 FBI720886 FBI720892:FBI720894 FBI786422 FBI786428:FBI786430 FBI851958 FBI851964:FBI851966 FBI917494 FBI917500:FBI917502 FBI983030 FBI983036:FBI983038 FLE2 FLE8:FLE10 FLE65526 FLE65532:FLE65534 FLE131062 FLE131068:FLE131070 FLE196598 FLE196604:FLE196606 FLE262134 FLE262140:FLE262142 FLE327670 FLE327676:FLE327678 FLE393206 FLE393212:FLE393214 FLE458742 FLE458748:FLE458750 FLE524278 FLE524284:FLE524286 FLE589814 FLE589820:FLE589822 FLE655350 FLE655356:FLE655358 FLE720886 FLE720892:FLE720894 FLE786422 FLE786428:FLE786430 FLE851958 FLE851964:FLE851966 FLE917494 FLE917500:FLE917502 FLE983030 FLE983036:FLE983038 FVA2 FVA8:FVA10 FVA65526 FVA65532:FVA65534 FVA131062 FVA131068:FVA131070 FVA196598 FVA196604:FVA196606 FVA262134 FVA262140:FVA262142 FVA327670 FVA327676:FVA327678 FVA393206 FVA393212:FVA393214 FVA458742 FVA458748:FVA458750 FVA524278 FVA524284:FVA524286 FVA589814 FVA589820:FVA589822 FVA655350 FVA655356:FVA655358 FVA720886 FVA720892:FVA720894 FVA786422 FVA786428:FVA786430 FVA851958 FVA851964:FVA851966 FVA917494 FVA917500:FVA917502 FVA983030 FVA983036:FVA983038 GEW2 GEW8:GEW10 GEW65526 GEW65532:GEW65534 GEW131062 GEW131068:GEW131070 GEW196598 GEW196604:GEW196606 GEW262134 GEW262140:GEW262142 GEW327670 GEW327676:GEW327678 GEW393206 GEW393212:GEW393214 GEW458742 GEW458748:GEW458750 GEW524278 GEW524284:GEW524286 GEW589814 GEW589820:GEW589822 GEW655350 GEW655356:GEW655358 GEW720886 GEW720892:GEW720894 GEW786422 GEW786428:GEW786430 GEW851958 GEW851964:GEW851966 GEW917494 GEW917500:GEW917502 GEW983030 GEW983036:GEW983038 GOS2 GOS8:GOS10 GOS65526 GOS65532:GOS65534 GOS131062 GOS131068:GOS131070 GOS196598 GOS196604:GOS196606 GOS262134 GOS262140:GOS262142 GOS327670 GOS327676:GOS327678 GOS393206 GOS393212:GOS393214 GOS458742 GOS458748:GOS458750 GOS524278 GOS524284:GOS524286 GOS589814 GOS589820:GOS589822 GOS655350 GOS655356:GOS655358 GOS720886 GOS720892:GOS720894 GOS786422 GOS786428:GOS786430 GOS851958 GOS851964:GOS851966 GOS917494 GOS917500:GOS917502 GOS983030 GOS983036:GOS983038 GYO2 GYO8:GYO10 GYO65526 GYO65532:GYO65534 GYO131062 GYO131068:GYO131070 GYO196598 GYO196604:GYO196606 GYO262134 GYO262140:GYO262142 GYO327670 GYO327676:GYO327678 GYO393206 GYO393212:GYO393214 GYO458742 GYO458748:GYO458750 GYO524278 GYO524284:GYO524286 GYO589814 GYO589820:GYO589822 GYO655350 GYO655356:GYO655358 GYO720886 GYO720892:GYO720894 GYO786422 GYO786428:GYO786430 GYO851958 GYO851964:GYO851966 GYO917494 GYO917500:GYO917502 GYO983030 GYO983036:GYO983038 HIK2 HIK8:HIK10 HIK65526 HIK65532:HIK65534 HIK131062 HIK131068:HIK131070 HIK196598 HIK196604:HIK196606 HIK262134 HIK262140:HIK262142 HIK327670 HIK327676:HIK327678 HIK393206 HIK393212:HIK393214 HIK458742 HIK458748:HIK458750 HIK524278 HIK524284:HIK524286 HIK589814 HIK589820:HIK589822 HIK655350 HIK655356:HIK655358 HIK720886 HIK720892:HIK720894 HIK786422 HIK786428:HIK786430 HIK851958 HIK851964:HIK851966 HIK917494 HIK917500:HIK917502 HIK983030 HIK983036:HIK983038 HSG2 HSG8:HSG10 HSG65526 HSG65532:HSG65534 HSG131062 HSG131068:HSG131070 HSG196598 HSG196604:HSG196606 HSG262134 HSG262140:HSG262142 HSG327670 HSG327676:HSG327678 HSG393206 HSG393212:HSG393214 HSG458742 HSG458748:HSG458750 HSG524278 HSG524284:HSG524286 HSG589814 HSG589820:HSG589822 HSG655350 HSG655356:HSG655358 HSG720886 HSG720892:HSG720894 HSG786422 HSG786428:HSG786430 HSG851958 HSG851964:HSG851966 HSG917494 HSG917500:HSG917502 HSG983030 HSG983036:HSG983038 ICC2 ICC8:ICC10 ICC65526 ICC65532:ICC65534 ICC131062 ICC131068:ICC131070 ICC196598 ICC196604:ICC196606 ICC262134 ICC262140:ICC262142 ICC327670 ICC327676:ICC327678 ICC393206 ICC393212:ICC393214 ICC458742 ICC458748:ICC458750 ICC524278 ICC524284:ICC524286 ICC589814 ICC589820:ICC589822 ICC655350 ICC655356:ICC655358 ICC720886 ICC720892:ICC720894 ICC786422 ICC786428:ICC786430 ICC851958 ICC851964:ICC851966 ICC917494 ICC917500:ICC917502 ICC983030 ICC983036:ICC983038 ILY2 ILY8:ILY10 ILY65526 ILY65532:ILY65534 ILY131062 ILY131068:ILY131070 ILY196598 ILY196604:ILY196606 ILY262134 ILY262140:ILY262142 ILY327670 ILY327676:ILY327678 ILY393206 ILY393212:ILY393214 ILY458742 ILY458748:ILY458750 ILY524278 ILY524284:ILY524286 ILY589814 ILY589820:ILY589822 ILY655350 ILY655356:ILY655358 ILY720886 ILY720892:ILY720894 ILY786422 ILY786428:ILY786430 ILY851958 ILY851964:ILY851966 ILY917494 ILY917500:ILY917502 ILY983030 ILY983036:ILY983038 IVU2 IVU8:IVU10 IVU65526 IVU65532:IVU65534 IVU131062 IVU131068:IVU131070 IVU196598 IVU196604:IVU196606 IVU262134 IVU262140:IVU262142 IVU327670 IVU327676:IVU327678 IVU393206 IVU393212:IVU393214 IVU458742 IVU458748:IVU458750 IVU524278 IVU524284:IVU524286 IVU589814 IVU589820:IVU589822 IVU655350 IVU655356:IVU655358 IVU720886 IVU720892:IVU720894 IVU786422 IVU786428:IVU786430 IVU851958 IVU851964:IVU851966 IVU917494 IVU917500:IVU917502 IVU983030 IVU983036:IVU983038 JFQ2 JFQ8:JFQ10 JFQ65526 JFQ65532:JFQ65534 JFQ131062 JFQ131068:JFQ131070 JFQ196598 JFQ196604:JFQ196606 JFQ262134 JFQ262140:JFQ262142 JFQ327670 JFQ327676:JFQ327678 JFQ393206 JFQ393212:JFQ393214 JFQ458742 JFQ458748:JFQ458750 JFQ524278 JFQ524284:JFQ524286 JFQ589814 JFQ589820:JFQ589822 JFQ655350 JFQ655356:JFQ655358 JFQ720886 JFQ720892:JFQ720894 JFQ786422 JFQ786428:JFQ786430 JFQ851958 JFQ851964:JFQ851966 JFQ917494 JFQ917500:JFQ917502 JFQ983030 JFQ983036:JFQ983038 JPM2 JPM8:JPM10 JPM65526 JPM65532:JPM65534 JPM131062 JPM131068:JPM131070 JPM196598 JPM196604:JPM196606 JPM262134 JPM262140:JPM262142 JPM327670 JPM327676:JPM327678 JPM393206 JPM393212:JPM393214 JPM458742 JPM458748:JPM458750 JPM524278 JPM524284:JPM524286 JPM589814 JPM589820:JPM589822 JPM655350 JPM655356:JPM655358 JPM720886 JPM720892:JPM720894 JPM786422 JPM786428:JPM786430 JPM851958 JPM851964:JPM851966 JPM917494 JPM917500:JPM917502 JPM983030 JPM983036:JPM983038 JZI2 JZI8:JZI10 JZI65526 JZI65532:JZI65534 JZI131062 JZI131068:JZI131070 JZI196598 JZI196604:JZI196606 JZI262134 JZI262140:JZI262142 JZI327670 JZI327676:JZI327678 JZI393206 JZI393212:JZI393214 JZI458742 JZI458748:JZI458750 JZI524278 JZI524284:JZI524286 JZI589814 JZI589820:JZI589822 JZI655350 JZI655356:JZI655358 JZI720886 JZI720892:JZI720894 JZI786422 JZI786428:JZI786430 JZI851958 JZI851964:JZI851966 JZI917494 JZI917500:JZI917502 JZI983030 JZI983036:JZI983038 KJE2 KJE8:KJE10 KJE65526 KJE65532:KJE65534 KJE131062 KJE131068:KJE131070 KJE196598 KJE196604:KJE196606 KJE262134 KJE262140:KJE262142 KJE327670 KJE327676:KJE327678 KJE393206 KJE393212:KJE393214 KJE458742 KJE458748:KJE458750 KJE524278 KJE524284:KJE524286 KJE589814 KJE589820:KJE589822 KJE655350 KJE655356:KJE655358 KJE720886 KJE720892:KJE720894 KJE786422 KJE786428:KJE786430 KJE851958 KJE851964:KJE851966 KJE917494 KJE917500:KJE917502 KJE983030 KJE983036:KJE983038 KTA2 KTA8:KTA10 KTA65526 KTA65532:KTA65534 KTA131062 KTA131068:KTA131070 KTA196598 KTA196604:KTA196606 KTA262134 KTA262140:KTA262142 KTA327670 KTA327676:KTA327678 KTA393206 KTA393212:KTA393214 KTA458742 KTA458748:KTA458750 KTA524278 KTA524284:KTA524286 KTA589814 KTA589820:KTA589822 KTA655350 KTA655356:KTA655358 KTA720886 KTA720892:KTA720894 KTA786422 KTA786428:KTA786430 KTA851958 KTA851964:KTA851966 KTA917494 KTA917500:KTA917502 KTA983030 KTA983036:KTA983038 LCW2 LCW8:LCW10 LCW65526 LCW65532:LCW65534 LCW131062 LCW131068:LCW131070 LCW196598 LCW196604:LCW196606 LCW262134 LCW262140:LCW262142 LCW327670 LCW327676:LCW327678 LCW393206 LCW393212:LCW393214 LCW458742 LCW458748:LCW458750 LCW524278 LCW524284:LCW524286 LCW589814 LCW589820:LCW589822 LCW655350 LCW655356:LCW655358 LCW720886 LCW720892:LCW720894 LCW786422 LCW786428:LCW786430 LCW851958 LCW851964:LCW851966 LCW917494 LCW917500:LCW917502 LCW983030 LCW983036:LCW983038 LMS2 LMS8:LMS10 LMS65526 LMS65532:LMS65534 LMS131062 LMS131068:LMS131070 LMS196598 LMS196604:LMS196606 LMS262134 LMS262140:LMS262142 LMS327670 LMS327676:LMS327678 LMS393206 LMS393212:LMS393214 LMS458742 LMS458748:LMS458750 LMS524278 LMS524284:LMS524286 LMS589814 LMS589820:LMS589822 LMS655350 LMS655356:LMS655358 LMS720886 LMS720892:LMS720894 LMS786422 LMS786428:LMS786430 LMS851958 LMS851964:LMS851966 LMS917494 LMS917500:LMS917502 LMS983030 LMS983036:LMS983038 LWO2 LWO8:LWO10 LWO65526 LWO65532:LWO65534 LWO131062 LWO131068:LWO131070 LWO196598 LWO196604:LWO196606 LWO262134 LWO262140:LWO262142 LWO327670 LWO327676:LWO327678 LWO393206 LWO393212:LWO393214 LWO458742 LWO458748:LWO458750 LWO524278 LWO524284:LWO524286 LWO589814 LWO589820:LWO589822 LWO655350 LWO655356:LWO655358 LWO720886 LWO720892:LWO720894 LWO786422 LWO786428:LWO786430 LWO851958 LWO851964:LWO851966 LWO917494 LWO917500:LWO917502 LWO983030 LWO983036:LWO983038 MGK2 MGK8:MGK10 MGK65526 MGK65532:MGK65534 MGK131062 MGK131068:MGK131070 MGK196598 MGK196604:MGK196606 MGK262134 MGK262140:MGK262142 MGK327670 MGK327676:MGK327678 MGK393206 MGK393212:MGK393214 MGK458742 MGK458748:MGK458750 MGK524278 MGK524284:MGK524286 MGK589814 MGK589820:MGK589822 MGK655350 MGK655356:MGK655358 MGK720886 MGK720892:MGK720894 MGK786422 MGK786428:MGK786430 MGK851958 MGK851964:MGK851966 MGK917494 MGK917500:MGK917502 MGK983030 MGK983036:MGK983038 MQG2 MQG8:MQG10 MQG65526 MQG65532:MQG65534 MQG131062 MQG131068:MQG131070 MQG196598 MQG196604:MQG196606 MQG262134 MQG262140:MQG262142 MQG327670 MQG327676:MQG327678 MQG393206 MQG393212:MQG393214 MQG458742 MQG458748:MQG458750 MQG524278 MQG524284:MQG524286 MQG589814 MQG589820:MQG589822 MQG655350 MQG655356:MQG655358 MQG720886 MQG720892:MQG720894 MQG786422 MQG786428:MQG786430 MQG851958 MQG851964:MQG851966 MQG917494 MQG917500:MQG917502 MQG983030 MQG983036:MQG983038 NAC2 NAC8:NAC10 NAC65526 NAC65532:NAC65534 NAC131062 NAC131068:NAC131070 NAC196598 NAC196604:NAC196606 NAC262134 NAC262140:NAC262142 NAC327670 NAC327676:NAC327678 NAC393206 NAC393212:NAC393214 NAC458742 NAC458748:NAC458750 NAC524278 NAC524284:NAC524286 NAC589814 NAC589820:NAC589822 NAC655350 NAC655356:NAC655358 NAC720886 NAC720892:NAC720894 NAC786422 NAC786428:NAC786430 NAC851958 NAC851964:NAC851966 NAC917494 NAC917500:NAC917502 NAC983030 NAC983036:NAC983038 NJY2 NJY8:NJY10 NJY65526 NJY65532:NJY65534 NJY131062 NJY131068:NJY131070 NJY196598 NJY196604:NJY196606 NJY262134 NJY262140:NJY262142 NJY327670 NJY327676:NJY327678 NJY393206 NJY393212:NJY393214 NJY458742 NJY458748:NJY458750 NJY524278 NJY524284:NJY524286 NJY589814 NJY589820:NJY589822 NJY655350 NJY655356:NJY655358 NJY720886 NJY720892:NJY720894 NJY786422 NJY786428:NJY786430 NJY851958 NJY851964:NJY851966 NJY917494 NJY917500:NJY917502 NJY983030 NJY983036:NJY983038 NTU2 NTU8:NTU10 NTU65526 NTU65532:NTU65534 NTU131062 NTU131068:NTU131070 NTU196598 NTU196604:NTU196606 NTU262134 NTU262140:NTU262142 NTU327670 NTU327676:NTU327678 NTU393206 NTU393212:NTU393214 NTU458742 NTU458748:NTU458750 NTU524278 NTU524284:NTU524286 NTU589814 NTU589820:NTU589822 NTU655350 NTU655356:NTU655358 NTU720886 NTU720892:NTU720894 NTU786422 NTU786428:NTU786430 NTU851958 NTU851964:NTU851966 NTU917494 NTU917500:NTU917502 NTU983030 NTU983036:NTU983038 ODQ2 ODQ8:ODQ10 ODQ65526 ODQ65532:ODQ65534 ODQ131062 ODQ131068:ODQ131070 ODQ196598 ODQ196604:ODQ196606 ODQ262134 ODQ262140:ODQ262142 ODQ327670 ODQ327676:ODQ327678 ODQ393206 ODQ393212:ODQ393214 ODQ458742 ODQ458748:ODQ458750 ODQ524278 ODQ524284:ODQ524286 ODQ589814 ODQ589820:ODQ589822 ODQ655350 ODQ655356:ODQ655358 ODQ720886 ODQ720892:ODQ720894 ODQ786422 ODQ786428:ODQ786430 ODQ851958 ODQ851964:ODQ851966 ODQ917494 ODQ917500:ODQ917502 ODQ983030 ODQ983036:ODQ983038 ONM2 ONM8:ONM10 ONM65526 ONM65532:ONM65534 ONM131062 ONM131068:ONM131070 ONM196598 ONM196604:ONM196606 ONM262134 ONM262140:ONM262142 ONM327670 ONM327676:ONM327678 ONM393206 ONM393212:ONM393214 ONM458742 ONM458748:ONM458750 ONM524278 ONM524284:ONM524286 ONM589814 ONM589820:ONM589822 ONM655350 ONM655356:ONM655358 ONM720886 ONM720892:ONM720894 ONM786422 ONM786428:ONM786430 ONM851958 ONM851964:ONM851966 ONM917494 ONM917500:ONM917502 ONM983030 ONM983036:ONM983038 OXI2 OXI8:OXI10 OXI65526 OXI65532:OXI65534 OXI131062 OXI131068:OXI131070 OXI196598 OXI196604:OXI196606 OXI262134 OXI262140:OXI262142 OXI327670 OXI327676:OXI327678 OXI393206 OXI393212:OXI393214 OXI458742 OXI458748:OXI458750 OXI524278 OXI524284:OXI524286 OXI589814 OXI589820:OXI589822 OXI655350 OXI655356:OXI655358 OXI720886 OXI720892:OXI720894 OXI786422 OXI786428:OXI786430 OXI851958 OXI851964:OXI851966 OXI917494 OXI917500:OXI917502 OXI983030 OXI983036:OXI983038 PHE2 PHE8:PHE10 PHE65526 PHE65532:PHE65534 PHE131062 PHE131068:PHE131070 PHE196598 PHE196604:PHE196606 PHE262134 PHE262140:PHE262142 PHE327670 PHE327676:PHE327678 PHE393206 PHE393212:PHE393214 PHE458742 PHE458748:PHE458750 PHE524278 PHE524284:PHE524286 PHE589814 PHE589820:PHE589822 PHE655350 PHE655356:PHE655358 PHE720886 PHE720892:PHE720894 PHE786422 PHE786428:PHE786430 PHE851958 PHE851964:PHE851966 PHE917494 PHE917500:PHE917502 PHE983030 PHE983036:PHE983038 PRA2 PRA8:PRA10 PRA65526 PRA65532:PRA65534 PRA131062 PRA131068:PRA131070 PRA196598 PRA196604:PRA196606 PRA262134 PRA262140:PRA262142 PRA327670 PRA327676:PRA327678 PRA393206 PRA393212:PRA393214 PRA458742 PRA458748:PRA458750 PRA524278 PRA524284:PRA524286 PRA589814 PRA589820:PRA589822 PRA655350 PRA655356:PRA655358 PRA720886 PRA720892:PRA720894 PRA786422 PRA786428:PRA786430 PRA851958 PRA851964:PRA851966 PRA917494 PRA917500:PRA917502 PRA983030 PRA983036:PRA983038 QAW2 QAW8:QAW10 QAW65526 QAW65532:QAW65534 QAW131062 QAW131068:QAW131070 QAW196598 QAW196604:QAW196606 QAW262134 QAW262140:QAW262142 QAW327670 QAW327676:QAW327678 QAW393206 QAW393212:QAW393214 QAW458742 QAW458748:QAW458750 QAW524278 QAW524284:QAW524286 QAW589814 QAW589820:QAW589822 QAW655350 QAW655356:QAW655358 QAW720886 QAW720892:QAW720894 QAW786422 QAW786428:QAW786430 QAW851958 QAW851964:QAW851966 QAW917494 QAW917500:QAW917502 QAW983030 QAW983036:QAW983038 QKS2 QKS8:QKS10 QKS65526 QKS65532:QKS65534 QKS131062 QKS131068:QKS131070 QKS196598 QKS196604:QKS196606 QKS262134 QKS262140:QKS262142 QKS327670 QKS327676:QKS327678 QKS393206 QKS393212:QKS393214 QKS458742 QKS458748:QKS458750 QKS524278 QKS524284:QKS524286 QKS589814 QKS589820:QKS589822 QKS655350 QKS655356:QKS655358 QKS720886 QKS720892:QKS720894 QKS786422 QKS786428:QKS786430 QKS851958 QKS851964:QKS851966 QKS917494 QKS917500:QKS917502 QKS983030 QKS983036:QKS983038 QUO2 QUO8:QUO10 QUO65526 QUO65532:QUO65534 QUO131062 QUO131068:QUO131070 QUO196598 QUO196604:QUO196606 QUO262134 QUO262140:QUO262142 QUO327670 QUO327676:QUO327678 QUO393206 QUO393212:QUO393214 QUO458742 QUO458748:QUO458750 QUO524278 QUO524284:QUO524286 QUO589814 QUO589820:QUO589822 QUO655350 QUO655356:QUO655358 QUO720886 QUO720892:QUO720894 QUO786422 QUO786428:QUO786430 QUO851958 QUO851964:QUO851966 QUO917494 QUO917500:QUO917502 QUO983030 QUO983036:QUO983038 REK2 REK8:REK10 REK65526 REK65532:REK65534 REK131062 REK131068:REK131070 REK196598 REK196604:REK196606 REK262134 REK262140:REK262142 REK327670 REK327676:REK327678 REK393206 REK393212:REK393214 REK458742 REK458748:REK458750 REK524278 REK524284:REK524286 REK589814 REK589820:REK589822 REK655350 REK655356:REK655358 REK720886 REK720892:REK720894 REK786422 REK786428:REK786430 REK851958 REK851964:REK851966 REK917494 REK917500:REK917502 REK983030 REK983036:REK983038 ROG2 ROG8:ROG10 ROG65526 ROG65532:ROG65534 ROG131062 ROG131068:ROG131070 ROG196598 ROG196604:ROG196606 ROG262134 ROG262140:ROG262142 ROG327670 ROG327676:ROG327678 ROG393206 ROG393212:ROG393214 ROG458742 ROG458748:ROG458750 ROG524278 ROG524284:ROG524286 ROG589814 ROG589820:ROG589822 ROG655350 ROG655356:ROG655358 ROG720886 ROG720892:ROG720894 ROG786422 ROG786428:ROG786430 ROG851958 ROG851964:ROG851966 ROG917494 ROG917500:ROG917502 ROG983030 ROG983036:ROG983038 RYC2 RYC8:RYC10 RYC65526 RYC65532:RYC65534 RYC131062 RYC131068:RYC131070 RYC196598 RYC196604:RYC196606 RYC262134 RYC262140:RYC262142 RYC327670 RYC327676:RYC327678 RYC393206 RYC393212:RYC393214 RYC458742 RYC458748:RYC458750 RYC524278 RYC524284:RYC524286 RYC589814 RYC589820:RYC589822 RYC655350 RYC655356:RYC655358 RYC720886 RYC720892:RYC720894 RYC786422 RYC786428:RYC786430 RYC851958 RYC851964:RYC851966 RYC917494 RYC917500:RYC917502 RYC983030 RYC983036:RYC983038 SHY2 SHY8:SHY10 SHY65526 SHY65532:SHY65534 SHY131062 SHY131068:SHY131070 SHY196598 SHY196604:SHY196606 SHY262134 SHY262140:SHY262142 SHY327670 SHY327676:SHY327678 SHY393206 SHY393212:SHY393214 SHY458742 SHY458748:SHY458750 SHY524278 SHY524284:SHY524286 SHY589814 SHY589820:SHY589822 SHY655350 SHY655356:SHY655358 SHY720886 SHY720892:SHY720894 SHY786422 SHY786428:SHY786430 SHY851958 SHY851964:SHY851966 SHY917494 SHY917500:SHY917502 SHY983030 SHY983036:SHY983038 SRU2 SRU8:SRU10 SRU65526 SRU65532:SRU65534 SRU131062 SRU131068:SRU131070 SRU196598 SRU196604:SRU196606 SRU262134 SRU262140:SRU262142 SRU327670 SRU327676:SRU327678 SRU393206 SRU393212:SRU393214 SRU458742 SRU458748:SRU458750 SRU524278 SRU524284:SRU524286 SRU589814 SRU589820:SRU589822 SRU655350 SRU655356:SRU655358 SRU720886 SRU720892:SRU720894 SRU786422 SRU786428:SRU786430 SRU851958 SRU851964:SRU851966 SRU917494 SRU917500:SRU917502 SRU983030 SRU983036:SRU983038 TBQ2 TBQ8:TBQ10 TBQ65526 TBQ65532:TBQ65534 TBQ131062 TBQ131068:TBQ131070 TBQ196598 TBQ196604:TBQ196606 TBQ262134 TBQ262140:TBQ262142 TBQ327670 TBQ327676:TBQ327678 TBQ393206 TBQ393212:TBQ393214 TBQ458742 TBQ458748:TBQ458750 TBQ524278 TBQ524284:TBQ524286 TBQ589814 TBQ589820:TBQ589822 TBQ655350 TBQ655356:TBQ655358 TBQ720886 TBQ720892:TBQ720894 TBQ786422 TBQ786428:TBQ786430 TBQ851958 TBQ851964:TBQ851966 TBQ917494 TBQ917500:TBQ917502 TBQ983030 TBQ983036:TBQ983038 TLM2 TLM8:TLM10 TLM65526 TLM65532:TLM65534 TLM131062 TLM131068:TLM131070 TLM196598 TLM196604:TLM196606 TLM262134 TLM262140:TLM262142 TLM327670 TLM327676:TLM327678 TLM393206 TLM393212:TLM393214 TLM458742 TLM458748:TLM458750 TLM524278 TLM524284:TLM524286 TLM589814 TLM589820:TLM589822 TLM655350 TLM655356:TLM655358 TLM720886 TLM720892:TLM720894 TLM786422 TLM786428:TLM786430 TLM851958 TLM851964:TLM851966 TLM917494 TLM917500:TLM917502 TLM983030 TLM983036:TLM983038 TVI2 TVI8:TVI10 TVI65526 TVI65532:TVI65534 TVI131062 TVI131068:TVI131070 TVI196598 TVI196604:TVI196606 TVI262134 TVI262140:TVI262142 TVI327670 TVI327676:TVI327678 TVI393206 TVI393212:TVI393214 TVI458742 TVI458748:TVI458750 TVI524278 TVI524284:TVI524286 TVI589814 TVI589820:TVI589822 TVI655350 TVI655356:TVI655358 TVI720886 TVI720892:TVI720894 TVI786422 TVI786428:TVI786430 TVI851958 TVI851964:TVI851966 TVI917494 TVI917500:TVI917502 TVI983030 TVI983036:TVI983038 UFE2 UFE8:UFE10 UFE65526 UFE65532:UFE65534 UFE131062 UFE131068:UFE131070 UFE196598 UFE196604:UFE196606 UFE262134 UFE262140:UFE262142 UFE327670 UFE327676:UFE327678 UFE393206 UFE393212:UFE393214 UFE458742 UFE458748:UFE458750 UFE524278 UFE524284:UFE524286 UFE589814 UFE589820:UFE589822 UFE655350 UFE655356:UFE655358 UFE720886 UFE720892:UFE720894 UFE786422 UFE786428:UFE786430 UFE851958 UFE851964:UFE851966 UFE917494 UFE917500:UFE917502 UFE983030 UFE983036:UFE983038 UPA2 UPA8:UPA10 UPA65526 UPA65532:UPA65534 UPA131062 UPA131068:UPA131070 UPA196598 UPA196604:UPA196606 UPA262134 UPA262140:UPA262142 UPA327670 UPA327676:UPA327678 UPA393206 UPA393212:UPA393214 UPA458742 UPA458748:UPA458750 UPA524278 UPA524284:UPA524286 UPA589814 UPA589820:UPA589822 UPA655350 UPA655356:UPA655358 UPA720886 UPA720892:UPA720894 UPA786422 UPA786428:UPA786430 UPA851958 UPA851964:UPA851966 UPA917494 UPA917500:UPA917502 UPA983030 UPA983036:UPA983038 UYW2 UYW8:UYW10 UYW65526 UYW65532:UYW65534 UYW131062 UYW131068:UYW131070 UYW196598 UYW196604:UYW196606 UYW262134 UYW262140:UYW262142 UYW327670 UYW327676:UYW327678 UYW393206 UYW393212:UYW393214 UYW458742 UYW458748:UYW458750 UYW524278 UYW524284:UYW524286 UYW589814 UYW589820:UYW589822 UYW655350 UYW655356:UYW655358 UYW720886 UYW720892:UYW720894 UYW786422 UYW786428:UYW786430 UYW851958 UYW851964:UYW851966 UYW917494 UYW917500:UYW917502 UYW983030 UYW983036:UYW983038 VIS2 VIS8:VIS10 VIS65526 VIS65532:VIS65534 VIS131062 VIS131068:VIS131070 VIS196598 VIS196604:VIS196606 VIS262134 VIS262140:VIS262142 VIS327670 VIS327676:VIS327678 VIS393206 VIS393212:VIS393214 VIS458742 VIS458748:VIS458750 VIS524278 VIS524284:VIS524286 VIS589814 VIS589820:VIS589822 VIS655350 VIS655356:VIS655358 VIS720886 VIS720892:VIS720894 VIS786422 VIS786428:VIS786430 VIS851958 VIS851964:VIS851966 VIS917494 VIS917500:VIS917502 VIS983030 VIS983036:VIS983038 VSO2 VSO8:VSO10 VSO65526 VSO65532:VSO65534 VSO131062 VSO131068:VSO131070 VSO196598 VSO196604:VSO196606 VSO262134 VSO262140:VSO262142 VSO327670 VSO327676:VSO327678 VSO393206 VSO393212:VSO393214 VSO458742 VSO458748:VSO458750 VSO524278 VSO524284:VSO524286 VSO589814 VSO589820:VSO589822 VSO655350 VSO655356:VSO655358 VSO720886 VSO720892:VSO720894 VSO786422 VSO786428:VSO786430 VSO851958 VSO851964:VSO851966 VSO917494 VSO917500:VSO917502 VSO983030 VSO983036:VSO983038 WCK2 WCK8:WCK10 WCK65526 WCK65532:WCK65534 WCK131062 WCK131068:WCK131070 WCK196598 WCK196604:WCK196606 WCK262134 WCK262140:WCK262142 WCK327670 WCK327676:WCK327678 WCK393206 WCK393212:WCK393214 WCK458742 WCK458748:WCK458750 WCK524278 WCK524284:WCK524286 WCK589814 WCK589820:WCK589822 WCK655350 WCK655356:WCK655358 WCK720886 WCK720892:WCK720894 WCK786422 WCK786428:WCK786430 WCK851958 WCK851964:WCK851966 WCK917494 WCK917500:WCK917502 WCK983030 WCK983036:WCK983038 WMG2 WMG8:WMG10 WMG65526 WMG65532:WMG65534 WMG131062 WMG131068:WMG131070 WMG196598 WMG196604:WMG196606 WMG262134 WMG262140:WMG262142 WMG327670 WMG327676:WMG327678 WMG393206 WMG393212:WMG393214 WMG458742 WMG458748:WMG458750 WMG524278 WMG524284:WMG524286 WMG589814 WMG589820:WMG589822 WMG655350 WMG655356:WMG655358 WMG720886 WMG720892:WMG720894 WMG786422 WMG786428:WMG786430 WMG851958 WMG851964:WMG851966 WMG917494 WMG917500:WMG917502 WMG983030 WMG983036:WMG983038 WWC2 WWC8:WWC10 WWC65526 WWC65532:WWC65534 WWC131062 WWC131068:WWC131070 WWC196598 WWC196604:WWC196606 WWC262134 WWC262140:WWC262142 WWC327670 WWC327676:WWC327678 WWC393206 WWC393212:WWC393214 WWC458742 WWC458748:WWC458750 WWC524278 WWC524284:WWC524286 WWC589814 WWC589820:WWC589822 WWC655350 WWC655356:WWC655358 WWC720886 WWC720892:WWC720894 WWC786422 WWC786428:WWC786430 WWC851958 WWC851964:WWC851966 WWC917494 WWC917500:WWC917502 WWC983030 WWC983036:WWC983038" xr:uid="{00000000-0002-0000-0700-000011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2 T8:T10 T11:W12 T65526 T65532:T65534 T65535:W65536 T131062 T131068:T131070 T131071:W131072 T196598 T196604:T196606 T196607:W196608 T262134 T262140:T262142 T262143:W262144 T327670 T327676:T327678 T327679:W327680 T393206 T393212:T393214 T393215:W393216 T458742 T458748:T458750 T458751:W458752 T524278 T524284:T524286 T524287:W524288 T589814 T589820:T589822 T589823:W589824 T655350 T655356:T655358 T655359:W655360 T720886 T720892:T720894 T720895:W720896 T786422 T786428:T786430 T786431:W786432 T851958 T851964:T851966 T851967:W851968 T917494 T917500:T917502 T917503:W917504 T983030 T983036:T983038 T983039:W983040 JP2 JP8:JP10 JP11:JS12 JP65526 JP65532:JP65534 JP65535:JS65536 JP131062 JP131068:JP131070 JP131071:JS131072 JP196598 JP196604:JP196606 JP196607:JS196608 JP262134 JP262140:JP262142 JP262143:JS262144 JP327670 JP327676:JP327678 JP327679:JS327680 JP393206 JP393212:JP393214 JP393215:JS393216 JP458742 JP458748:JP458750 JP458751:JS458752 JP524278 JP524284:JP524286 JP524287:JS524288 JP589814 JP589820:JP589822 JP589823:JS589824 JP655350 JP655356:JP655358 JP655359:JS655360 JP720886 JP720892:JP720894 JP720895:JS720896 JP786422 JP786428:JP786430 JP786431:JS786432 JP851958 JP851964:JP851966 JP851967:JS851968 JP917494 JP917500:JP917502 JP917503:JS917504 JP983030 JP983036:JP983038 JP983039:JS983040 TL2 TL8:TL10 TL11:TO12 TL65526 TL65532:TL65534 TL65535:TO65536 TL131062 TL131068:TL131070 TL131071:TO131072 TL196598 TL196604:TL196606 TL196607:TO196608 TL262134 TL262140:TL262142 TL262143:TO262144 TL327670 TL327676:TL327678 TL327679:TO327680 TL393206 TL393212:TL393214 TL393215:TO393216 TL458742 TL458748:TL458750 TL458751:TO458752 TL524278 TL524284:TL524286 TL524287:TO524288 TL589814 TL589820:TL589822 TL589823:TO589824 TL655350 TL655356:TL655358 TL655359:TO655360 TL720886 TL720892:TL720894 TL720895:TO720896 TL786422 TL786428:TL786430 TL786431:TO786432 TL851958 TL851964:TL851966 TL851967:TO851968 TL917494 TL917500:TL917502 TL917503:TO917504 TL983030 TL983036:TL983038 TL983039:TO983040 ADH2 ADH8:ADH10 ADH11:ADK12 ADH65526 ADH65532:ADH65534 ADH65535:ADK65536 ADH131062 ADH131068:ADH131070 ADH131071:ADK131072 ADH196598 ADH196604:ADH196606 ADH196607:ADK196608 ADH262134 ADH262140:ADH262142 ADH262143:ADK262144 ADH327670 ADH327676:ADH327678 ADH327679:ADK327680 ADH393206 ADH393212:ADH393214 ADH393215:ADK393216 ADH458742 ADH458748:ADH458750 ADH458751:ADK458752 ADH524278 ADH524284:ADH524286 ADH524287:ADK524288 ADH589814 ADH589820:ADH589822 ADH589823:ADK589824 ADH655350 ADH655356:ADH655358 ADH655359:ADK655360 ADH720886 ADH720892:ADH720894 ADH720895:ADK720896 ADH786422 ADH786428:ADH786430 ADH786431:ADK786432 ADH851958 ADH851964:ADH851966 ADH851967:ADK851968 ADH917494 ADH917500:ADH917502 ADH917503:ADK917504 ADH983030 ADH983036:ADH983038 ADH983039:ADK983040 AND2 AND8:AND10 AND11:ANG12 AND65526 AND65532:AND65534 AND65535:ANG65536 AND131062 AND131068:AND131070 AND131071:ANG131072 AND196598 AND196604:AND196606 AND196607:ANG196608 AND262134 AND262140:AND262142 AND262143:ANG262144 AND327670 AND327676:AND327678 AND327679:ANG327680 AND393206 AND393212:AND393214 AND393215:ANG393216 AND458742 AND458748:AND458750 AND458751:ANG458752 AND524278 AND524284:AND524286 AND524287:ANG524288 AND589814 AND589820:AND589822 AND589823:ANG589824 AND655350 AND655356:AND655358 AND655359:ANG655360 AND720886 AND720892:AND720894 AND720895:ANG720896 AND786422 AND786428:AND786430 AND786431:ANG786432 AND851958 AND851964:AND851966 AND851967:ANG851968 AND917494 AND917500:AND917502 AND917503:ANG917504 AND983030 AND983036:AND983038 AND983039:ANG983040 AWZ2 AWZ8:AWZ10 AWZ11:AXC12 AWZ65526 AWZ65532:AWZ65534 AWZ65535:AXC65536 AWZ131062 AWZ131068:AWZ131070 AWZ131071:AXC131072 AWZ196598 AWZ196604:AWZ196606 AWZ196607:AXC196608 AWZ262134 AWZ262140:AWZ262142 AWZ262143:AXC262144 AWZ327670 AWZ327676:AWZ327678 AWZ327679:AXC327680 AWZ393206 AWZ393212:AWZ393214 AWZ393215:AXC393216 AWZ458742 AWZ458748:AWZ458750 AWZ458751:AXC458752 AWZ524278 AWZ524284:AWZ524286 AWZ524287:AXC524288 AWZ589814 AWZ589820:AWZ589822 AWZ589823:AXC589824 AWZ655350 AWZ655356:AWZ655358 AWZ655359:AXC655360 AWZ720886 AWZ720892:AWZ720894 AWZ720895:AXC720896 AWZ786422 AWZ786428:AWZ786430 AWZ786431:AXC786432 AWZ851958 AWZ851964:AWZ851966 AWZ851967:AXC851968 AWZ917494 AWZ917500:AWZ917502 AWZ917503:AXC917504 AWZ983030 AWZ983036:AWZ983038 AWZ983039:AXC983040 BGV2 BGV8:BGV10 BGV11:BGY12 BGV65526 BGV65532:BGV65534 BGV65535:BGY65536 BGV131062 BGV131068:BGV131070 BGV131071:BGY131072 BGV196598 BGV196604:BGV196606 BGV196607:BGY196608 BGV262134 BGV262140:BGV262142 BGV262143:BGY262144 BGV327670 BGV327676:BGV327678 BGV327679:BGY327680 BGV393206 BGV393212:BGV393214 BGV393215:BGY393216 BGV458742 BGV458748:BGV458750 BGV458751:BGY458752 BGV524278 BGV524284:BGV524286 BGV524287:BGY524288 BGV589814 BGV589820:BGV589822 BGV589823:BGY589824 BGV655350 BGV655356:BGV655358 BGV655359:BGY655360 BGV720886 BGV720892:BGV720894 BGV720895:BGY720896 BGV786422 BGV786428:BGV786430 BGV786431:BGY786432 BGV851958 BGV851964:BGV851966 BGV851967:BGY851968 BGV917494 BGV917500:BGV917502 BGV917503:BGY917504 BGV983030 BGV983036:BGV983038 BGV983039:BGY983040 BQR2 BQR8:BQR10 BQR11:BQU12 BQR65526 BQR65532:BQR65534 BQR65535:BQU65536 BQR131062 BQR131068:BQR131070 BQR131071:BQU131072 BQR196598 BQR196604:BQR196606 BQR196607:BQU196608 BQR262134 BQR262140:BQR262142 BQR262143:BQU262144 BQR327670 BQR327676:BQR327678 BQR327679:BQU327680 BQR393206 BQR393212:BQR393214 BQR393215:BQU393216 BQR458742 BQR458748:BQR458750 BQR458751:BQU458752 BQR524278 BQR524284:BQR524286 BQR524287:BQU524288 BQR589814 BQR589820:BQR589822 BQR589823:BQU589824 BQR655350 BQR655356:BQR655358 BQR655359:BQU655360 BQR720886 BQR720892:BQR720894 BQR720895:BQU720896 BQR786422 BQR786428:BQR786430 BQR786431:BQU786432 BQR851958 BQR851964:BQR851966 BQR851967:BQU851968 BQR917494 BQR917500:BQR917502 BQR917503:BQU917504 BQR983030 BQR983036:BQR983038 BQR983039:BQU983040 CAN2 CAN8:CAN10 CAN11:CAQ12 CAN65526 CAN65532:CAN65534 CAN65535:CAQ65536 CAN131062 CAN131068:CAN131070 CAN131071:CAQ131072 CAN196598 CAN196604:CAN196606 CAN196607:CAQ196608 CAN262134 CAN262140:CAN262142 CAN262143:CAQ262144 CAN327670 CAN327676:CAN327678 CAN327679:CAQ327680 CAN393206 CAN393212:CAN393214 CAN393215:CAQ393216 CAN458742 CAN458748:CAN458750 CAN458751:CAQ458752 CAN524278 CAN524284:CAN524286 CAN524287:CAQ524288 CAN589814 CAN589820:CAN589822 CAN589823:CAQ589824 CAN655350 CAN655356:CAN655358 CAN655359:CAQ655360 CAN720886 CAN720892:CAN720894 CAN720895:CAQ720896 CAN786422 CAN786428:CAN786430 CAN786431:CAQ786432 CAN851958 CAN851964:CAN851966 CAN851967:CAQ851968 CAN917494 CAN917500:CAN917502 CAN917503:CAQ917504 CAN983030 CAN983036:CAN983038 CAN983039:CAQ983040 CKJ2 CKJ8:CKJ10 CKJ11:CKM12 CKJ65526 CKJ65532:CKJ65534 CKJ65535:CKM65536 CKJ131062 CKJ131068:CKJ131070 CKJ131071:CKM131072 CKJ196598 CKJ196604:CKJ196606 CKJ196607:CKM196608 CKJ262134 CKJ262140:CKJ262142 CKJ262143:CKM262144 CKJ327670 CKJ327676:CKJ327678 CKJ327679:CKM327680 CKJ393206 CKJ393212:CKJ393214 CKJ393215:CKM393216 CKJ458742 CKJ458748:CKJ458750 CKJ458751:CKM458752 CKJ524278 CKJ524284:CKJ524286 CKJ524287:CKM524288 CKJ589814 CKJ589820:CKJ589822 CKJ589823:CKM589824 CKJ655350 CKJ655356:CKJ655358 CKJ655359:CKM655360 CKJ720886 CKJ720892:CKJ720894 CKJ720895:CKM720896 CKJ786422 CKJ786428:CKJ786430 CKJ786431:CKM786432 CKJ851958 CKJ851964:CKJ851966 CKJ851967:CKM851968 CKJ917494 CKJ917500:CKJ917502 CKJ917503:CKM917504 CKJ983030 CKJ983036:CKJ983038 CKJ983039:CKM983040 CUF2 CUF8:CUF10 CUF11:CUI12 CUF65526 CUF65532:CUF65534 CUF65535:CUI65536 CUF131062 CUF131068:CUF131070 CUF131071:CUI131072 CUF196598 CUF196604:CUF196606 CUF196607:CUI196608 CUF262134 CUF262140:CUF262142 CUF262143:CUI262144 CUF327670 CUF327676:CUF327678 CUF327679:CUI327680 CUF393206 CUF393212:CUF393214 CUF393215:CUI393216 CUF458742 CUF458748:CUF458750 CUF458751:CUI458752 CUF524278 CUF524284:CUF524286 CUF524287:CUI524288 CUF589814 CUF589820:CUF589822 CUF589823:CUI589824 CUF655350 CUF655356:CUF655358 CUF655359:CUI655360 CUF720886 CUF720892:CUF720894 CUF720895:CUI720896 CUF786422 CUF786428:CUF786430 CUF786431:CUI786432 CUF851958 CUF851964:CUF851966 CUF851967:CUI851968 CUF917494 CUF917500:CUF917502 CUF917503:CUI917504 CUF983030 CUF983036:CUF983038 CUF983039:CUI983040 DEB2 DEB8:DEB10 DEB11:DEE12 DEB65526 DEB65532:DEB65534 DEB65535:DEE65536 DEB131062 DEB131068:DEB131070 DEB131071:DEE131072 DEB196598 DEB196604:DEB196606 DEB196607:DEE196608 DEB262134 DEB262140:DEB262142 DEB262143:DEE262144 DEB327670 DEB327676:DEB327678 DEB327679:DEE327680 DEB393206 DEB393212:DEB393214 DEB393215:DEE393216 DEB458742 DEB458748:DEB458750 DEB458751:DEE458752 DEB524278 DEB524284:DEB524286 DEB524287:DEE524288 DEB589814 DEB589820:DEB589822 DEB589823:DEE589824 DEB655350 DEB655356:DEB655358 DEB655359:DEE655360 DEB720886 DEB720892:DEB720894 DEB720895:DEE720896 DEB786422 DEB786428:DEB786430 DEB786431:DEE786432 DEB851958 DEB851964:DEB851966 DEB851967:DEE851968 DEB917494 DEB917500:DEB917502 DEB917503:DEE917504 DEB983030 DEB983036:DEB983038 DEB983039:DEE983040 DNX2 DNX8:DNX10 DNX11:DOA12 DNX65526 DNX65532:DNX65534 DNX65535:DOA65536 DNX131062 DNX131068:DNX131070 DNX131071:DOA131072 DNX196598 DNX196604:DNX196606 DNX196607:DOA196608 DNX262134 DNX262140:DNX262142 DNX262143:DOA262144 DNX327670 DNX327676:DNX327678 DNX327679:DOA327680 DNX393206 DNX393212:DNX393214 DNX393215:DOA393216 DNX458742 DNX458748:DNX458750 DNX458751:DOA458752 DNX524278 DNX524284:DNX524286 DNX524287:DOA524288 DNX589814 DNX589820:DNX589822 DNX589823:DOA589824 DNX655350 DNX655356:DNX655358 DNX655359:DOA655360 DNX720886 DNX720892:DNX720894 DNX720895:DOA720896 DNX786422 DNX786428:DNX786430 DNX786431:DOA786432 DNX851958 DNX851964:DNX851966 DNX851967:DOA851968 DNX917494 DNX917500:DNX917502 DNX917503:DOA917504 DNX983030 DNX983036:DNX983038 DNX983039:DOA983040 DXT2 DXT8:DXT10 DXT11:DXW12 DXT65526 DXT65532:DXT65534 DXT65535:DXW65536 DXT131062 DXT131068:DXT131070 DXT131071:DXW131072 DXT196598 DXT196604:DXT196606 DXT196607:DXW196608 DXT262134 DXT262140:DXT262142 DXT262143:DXW262144 DXT327670 DXT327676:DXT327678 DXT327679:DXW327680 DXT393206 DXT393212:DXT393214 DXT393215:DXW393216 DXT458742 DXT458748:DXT458750 DXT458751:DXW458752 DXT524278 DXT524284:DXT524286 DXT524287:DXW524288 DXT589814 DXT589820:DXT589822 DXT589823:DXW589824 DXT655350 DXT655356:DXT655358 DXT655359:DXW655360 DXT720886 DXT720892:DXT720894 DXT720895:DXW720896 DXT786422 DXT786428:DXT786430 DXT786431:DXW786432 DXT851958 DXT851964:DXT851966 DXT851967:DXW851968 DXT917494 DXT917500:DXT917502 DXT917503:DXW917504 DXT983030 DXT983036:DXT983038 DXT983039:DXW983040 EHP2 EHP8:EHP10 EHP11:EHS12 EHP65526 EHP65532:EHP65534 EHP65535:EHS65536 EHP131062 EHP131068:EHP131070 EHP131071:EHS131072 EHP196598 EHP196604:EHP196606 EHP196607:EHS196608 EHP262134 EHP262140:EHP262142 EHP262143:EHS262144 EHP327670 EHP327676:EHP327678 EHP327679:EHS327680 EHP393206 EHP393212:EHP393214 EHP393215:EHS393216 EHP458742 EHP458748:EHP458750 EHP458751:EHS458752 EHP524278 EHP524284:EHP524286 EHP524287:EHS524288 EHP589814 EHP589820:EHP589822 EHP589823:EHS589824 EHP655350 EHP655356:EHP655358 EHP655359:EHS655360 EHP720886 EHP720892:EHP720894 EHP720895:EHS720896 EHP786422 EHP786428:EHP786430 EHP786431:EHS786432 EHP851958 EHP851964:EHP851966 EHP851967:EHS851968 EHP917494 EHP917500:EHP917502 EHP917503:EHS917504 EHP983030 EHP983036:EHP983038 EHP983039:EHS983040 ERL2 ERL8:ERL10 ERL11:ERO12 ERL65526 ERL65532:ERL65534 ERL65535:ERO65536 ERL131062 ERL131068:ERL131070 ERL131071:ERO131072 ERL196598 ERL196604:ERL196606 ERL196607:ERO196608 ERL262134 ERL262140:ERL262142 ERL262143:ERO262144 ERL327670 ERL327676:ERL327678 ERL327679:ERO327680 ERL393206 ERL393212:ERL393214 ERL393215:ERO393216 ERL458742 ERL458748:ERL458750 ERL458751:ERO458752 ERL524278 ERL524284:ERL524286 ERL524287:ERO524288 ERL589814 ERL589820:ERL589822 ERL589823:ERO589824 ERL655350 ERL655356:ERL655358 ERL655359:ERO655360 ERL720886 ERL720892:ERL720894 ERL720895:ERO720896 ERL786422 ERL786428:ERL786430 ERL786431:ERO786432 ERL851958 ERL851964:ERL851966 ERL851967:ERO851968 ERL917494 ERL917500:ERL917502 ERL917503:ERO917504 ERL983030 ERL983036:ERL983038 ERL983039:ERO983040 FBH2 FBH8:FBH10 FBH11:FBK12 FBH65526 FBH65532:FBH65534 FBH65535:FBK65536 FBH131062 FBH131068:FBH131070 FBH131071:FBK131072 FBH196598 FBH196604:FBH196606 FBH196607:FBK196608 FBH262134 FBH262140:FBH262142 FBH262143:FBK262144 FBH327670 FBH327676:FBH327678 FBH327679:FBK327680 FBH393206 FBH393212:FBH393214 FBH393215:FBK393216 FBH458742 FBH458748:FBH458750 FBH458751:FBK458752 FBH524278 FBH524284:FBH524286 FBH524287:FBK524288 FBH589814 FBH589820:FBH589822 FBH589823:FBK589824 FBH655350 FBH655356:FBH655358 FBH655359:FBK655360 FBH720886 FBH720892:FBH720894 FBH720895:FBK720896 FBH786422 FBH786428:FBH786430 FBH786431:FBK786432 FBH851958 FBH851964:FBH851966 FBH851967:FBK851968 FBH917494 FBH917500:FBH917502 FBH917503:FBK917504 FBH983030 FBH983036:FBH983038 FBH983039:FBK983040 FLD2 FLD8:FLD10 FLD11:FLG12 FLD65526 FLD65532:FLD65534 FLD65535:FLG65536 FLD131062 FLD131068:FLD131070 FLD131071:FLG131072 FLD196598 FLD196604:FLD196606 FLD196607:FLG196608 FLD262134 FLD262140:FLD262142 FLD262143:FLG262144 FLD327670 FLD327676:FLD327678 FLD327679:FLG327680 FLD393206 FLD393212:FLD393214 FLD393215:FLG393216 FLD458742 FLD458748:FLD458750 FLD458751:FLG458752 FLD524278 FLD524284:FLD524286 FLD524287:FLG524288 FLD589814 FLD589820:FLD589822 FLD589823:FLG589824 FLD655350 FLD655356:FLD655358 FLD655359:FLG655360 FLD720886 FLD720892:FLD720894 FLD720895:FLG720896 FLD786422 FLD786428:FLD786430 FLD786431:FLG786432 FLD851958 FLD851964:FLD851966 FLD851967:FLG851968 FLD917494 FLD917500:FLD917502 FLD917503:FLG917504 FLD983030 FLD983036:FLD983038 FLD983039:FLG983040 FUZ2 FUZ8:FUZ10 FUZ11:FVC12 FUZ65526 FUZ65532:FUZ65534 FUZ65535:FVC65536 FUZ131062 FUZ131068:FUZ131070 FUZ131071:FVC131072 FUZ196598 FUZ196604:FUZ196606 FUZ196607:FVC196608 FUZ262134 FUZ262140:FUZ262142 FUZ262143:FVC262144 FUZ327670 FUZ327676:FUZ327678 FUZ327679:FVC327680 FUZ393206 FUZ393212:FUZ393214 FUZ393215:FVC393216 FUZ458742 FUZ458748:FUZ458750 FUZ458751:FVC458752 FUZ524278 FUZ524284:FUZ524286 FUZ524287:FVC524288 FUZ589814 FUZ589820:FUZ589822 FUZ589823:FVC589824 FUZ655350 FUZ655356:FUZ655358 FUZ655359:FVC655360 FUZ720886 FUZ720892:FUZ720894 FUZ720895:FVC720896 FUZ786422 FUZ786428:FUZ786430 FUZ786431:FVC786432 FUZ851958 FUZ851964:FUZ851966 FUZ851967:FVC851968 FUZ917494 FUZ917500:FUZ917502 FUZ917503:FVC917504 FUZ983030 FUZ983036:FUZ983038 FUZ983039:FVC983040 GEV2 GEV8:GEV10 GEV11:GEY12 GEV65526 GEV65532:GEV65534 GEV65535:GEY65536 GEV131062 GEV131068:GEV131070 GEV131071:GEY131072 GEV196598 GEV196604:GEV196606 GEV196607:GEY196608 GEV262134 GEV262140:GEV262142 GEV262143:GEY262144 GEV327670 GEV327676:GEV327678 GEV327679:GEY327680 GEV393206 GEV393212:GEV393214 GEV393215:GEY393216 GEV458742 GEV458748:GEV458750 GEV458751:GEY458752 GEV524278 GEV524284:GEV524286 GEV524287:GEY524288 GEV589814 GEV589820:GEV589822 GEV589823:GEY589824 GEV655350 GEV655356:GEV655358 GEV655359:GEY655360 GEV720886 GEV720892:GEV720894 GEV720895:GEY720896 GEV786422 GEV786428:GEV786430 GEV786431:GEY786432 GEV851958 GEV851964:GEV851966 GEV851967:GEY851968 GEV917494 GEV917500:GEV917502 GEV917503:GEY917504 GEV983030 GEV983036:GEV983038 GEV983039:GEY983040 GOR2 GOR8:GOR10 GOR11:GOU12 GOR65526 GOR65532:GOR65534 GOR65535:GOU65536 GOR131062 GOR131068:GOR131070 GOR131071:GOU131072 GOR196598 GOR196604:GOR196606 GOR196607:GOU196608 GOR262134 GOR262140:GOR262142 GOR262143:GOU262144 GOR327670 GOR327676:GOR327678 GOR327679:GOU327680 GOR393206 GOR393212:GOR393214 GOR393215:GOU393216 GOR458742 GOR458748:GOR458750 GOR458751:GOU458752 GOR524278 GOR524284:GOR524286 GOR524287:GOU524288 GOR589814 GOR589820:GOR589822 GOR589823:GOU589824 GOR655350 GOR655356:GOR655358 GOR655359:GOU655360 GOR720886 GOR720892:GOR720894 GOR720895:GOU720896 GOR786422 GOR786428:GOR786430 GOR786431:GOU786432 GOR851958 GOR851964:GOR851966 GOR851967:GOU851968 GOR917494 GOR917500:GOR917502 GOR917503:GOU917504 GOR983030 GOR983036:GOR983038 GOR983039:GOU983040 GYN2 GYN8:GYN10 GYN11:GYQ12 GYN65526 GYN65532:GYN65534 GYN65535:GYQ65536 GYN131062 GYN131068:GYN131070 GYN131071:GYQ131072 GYN196598 GYN196604:GYN196606 GYN196607:GYQ196608 GYN262134 GYN262140:GYN262142 GYN262143:GYQ262144 GYN327670 GYN327676:GYN327678 GYN327679:GYQ327680 GYN393206 GYN393212:GYN393214 GYN393215:GYQ393216 GYN458742 GYN458748:GYN458750 GYN458751:GYQ458752 GYN524278 GYN524284:GYN524286 GYN524287:GYQ524288 GYN589814 GYN589820:GYN589822 GYN589823:GYQ589824 GYN655350 GYN655356:GYN655358 GYN655359:GYQ655360 GYN720886 GYN720892:GYN720894 GYN720895:GYQ720896 GYN786422 GYN786428:GYN786430 GYN786431:GYQ786432 GYN851958 GYN851964:GYN851966 GYN851967:GYQ851968 GYN917494 GYN917500:GYN917502 GYN917503:GYQ917504 GYN983030 GYN983036:GYN983038 GYN983039:GYQ983040 HIJ2 HIJ8:HIJ10 HIJ11:HIM12 HIJ65526 HIJ65532:HIJ65534 HIJ65535:HIM65536 HIJ131062 HIJ131068:HIJ131070 HIJ131071:HIM131072 HIJ196598 HIJ196604:HIJ196606 HIJ196607:HIM196608 HIJ262134 HIJ262140:HIJ262142 HIJ262143:HIM262144 HIJ327670 HIJ327676:HIJ327678 HIJ327679:HIM327680 HIJ393206 HIJ393212:HIJ393214 HIJ393215:HIM393216 HIJ458742 HIJ458748:HIJ458750 HIJ458751:HIM458752 HIJ524278 HIJ524284:HIJ524286 HIJ524287:HIM524288 HIJ589814 HIJ589820:HIJ589822 HIJ589823:HIM589824 HIJ655350 HIJ655356:HIJ655358 HIJ655359:HIM655360 HIJ720886 HIJ720892:HIJ720894 HIJ720895:HIM720896 HIJ786422 HIJ786428:HIJ786430 HIJ786431:HIM786432 HIJ851958 HIJ851964:HIJ851966 HIJ851967:HIM851968 HIJ917494 HIJ917500:HIJ917502 HIJ917503:HIM917504 HIJ983030 HIJ983036:HIJ983038 HIJ983039:HIM983040 HSF2 HSF8:HSF10 HSF11:HSI12 HSF65526 HSF65532:HSF65534 HSF65535:HSI65536 HSF131062 HSF131068:HSF131070 HSF131071:HSI131072 HSF196598 HSF196604:HSF196606 HSF196607:HSI196608 HSF262134 HSF262140:HSF262142 HSF262143:HSI262144 HSF327670 HSF327676:HSF327678 HSF327679:HSI327680 HSF393206 HSF393212:HSF393214 HSF393215:HSI393216 HSF458742 HSF458748:HSF458750 HSF458751:HSI458752 HSF524278 HSF524284:HSF524286 HSF524287:HSI524288 HSF589814 HSF589820:HSF589822 HSF589823:HSI589824 HSF655350 HSF655356:HSF655358 HSF655359:HSI655360 HSF720886 HSF720892:HSF720894 HSF720895:HSI720896 HSF786422 HSF786428:HSF786430 HSF786431:HSI786432 HSF851958 HSF851964:HSF851966 HSF851967:HSI851968 HSF917494 HSF917500:HSF917502 HSF917503:HSI917504 HSF983030 HSF983036:HSF983038 HSF983039:HSI983040 ICB2 ICB8:ICB10 ICB11:ICE12 ICB65526 ICB65532:ICB65534 ICB65535:ICE65536 ICB131062 ICB131068:ICB131070 ICB131071:ICE131072 ICB196598 ICB196604:ICB196606 ICB196607:ICE196608 ICB262134 ICB262140:ICB262142 ICB262143:ICE262144 ICB327670 ICB327676:ICB327678 ICB327679:ICE327680 ICB393206 ICB393212:ICB393214 ICB393215:ICE393216 ICB458742 ICB458748:ICB458750 ICB458751:ICE458752 ICB524278 ICB524284:ICB524286 ICB524287:ICE524288 ICB589814 ICB589820:ICB589822 ICB589823:ICE589824 ICB655350 ICB655356:ICB655358 ICB655359:ICE655360 ICB720886 ICB720892:ICB720894 ICB720895:ICE720896 ICB786422 ICB786428:ICB786430 ICB786431:ICE786432 ICB851958 ICB851964:ICB851966 ICB851967:ICE851968 ICB917494 ICB917500:ICB917502 ICB917503:ICE917504 ICB983030 ICB983036:ICB983038 ICB983039:ICE983040 ILX2 ILX8:ILX10 ILX11:IMA12 ILX65526 ILX65532:ILX65534 ILX65535:IMA65536 ILX131062 ILX131068:ILX131070 ILX131071:IMA131072 ILX196598 ILX196604:ILX196606 ILX196607:IMA196608 ILX262134 ILX262140:ILX262142 ILX262143:IMA262144 ILX327670 ILX327676:ILX327678 ILX327679:IMA327680 ILX393206 ILX393212:ILX393214 ILX393215:IMA393216 ILX458742 ILX458748:ILX458750 ILX458751:IMA458752 ILX524278 ILX524284:ILX524286 ILX524287:IMA524288 ILX589814 ILX589820:ILX589822 ILX589823:IMA589824 ILX655350 ILX655356:ILX655358 ILX655359:IMA655360 ILX720886 ILX720892:ILX720894 ILX720895:IMA720896 ILX786422 ILX786428:ILX786430 ILX786431:IMA786432 ILX851958 ILX851964:ILX851966 ILX851967:IMA851968 ILX917494 ILX917500:ILX917502 ILX917503:IMA917504 ILX983030 ILX983036:ILX983038 ILX983039:IMA983040 IVT2 IVT8:IVT10 IVT11:IVW12 IVT65526 IVT65532:IVT65534 IVT65535:IVW65536 IVT131062 IVT131068:IVT131070 IVT131071:IVW131072 IVT196598 IVT196604:IVT196606 IVT196607:IVW196608 IVT262134 IVT262140:IVT262142 IVT262143:IVW262144 IVT327670 IVT327676:IVT327678 IVT327679:IVW327680 IVT393206 IVT393212:IVT393214 IVT393215:IVW393216 IVT458742 IVT458748:IVT458750 IVT458751:IVW458752 IVT524278 IVT524284:IVT524286 IVT524287:IVW524288 IVT589814 IVT589820:IVT589822 IVT589823:IVW589824 IVT655350 IVT655356:IVT655358 IVT655359:IVW655360 IVT720886 IVT720892:IVT720894 IVT720895:IVW720896 IVT786422 IVT786428:IVT786430 IVT786431:IVW786432 IVT851958 IVT851964:IVT851966 IVT851967:IVW851968 IVT917494 IVT917500:IVT917502 IVT917503:IVW917504 IVT983030 IVT983036:IVT983038 IVT983039:IVW983040 JFP2 JFP8:JFP10 JFP11:JFS12 JFP65526 JFP65532:JFP65534 JFP65535:JFS65536 JFP131062 JFP131068:JFP131070 JFP131071:JFS131072 JFP196598 JFP196604:JFP196606 JFP196607:JFS196608 JFP262134 JFP262140:JFP262142 JFP262143:JFS262144 JFP327670 JFP327676:JFP327678 JFP327679:JFS327680 JFP393206 JFP393212:JFP393214 JFP393215:JFS393216 JFP458742 JFP458748:JFP458750 JFP458751:JFS458752 JFP524278 JFP524284:JFP524286 JFP524287:JFS524288 JFP589814 JFP589820:JFP589822 JFP589823:JFS589824 JFP655350 JFP655356:JFP655358 JFP655359:JFS655360 JFP720886 JFP720892:JFP720894 JFP720895:JFS720896 JFP786422 JFP786428:JFP786430 JFP786431:JFS786432 JFP851958 JFP851964:JFP851966 JFP851967:JFS851968 JFP917494 JFP917500:JFP917502 JFP917503:JFS917504 JFP983030 JFP983036:JFP983038 JFP983039:JFS983040 JPL2 JPL8:JPL10 JPL11:JPO12 JPL65526 JPL65532:JPL65534 JPL65535:JPO65536 JPL131062 JPL131068:JPL131070 JPL131071:JPO131072 JPL196598 JPL196604:JPL196606 JPL196607:JPO196608 JPL262134 JPL262140:JPL262142 JPL262143:JPO262144 JPL327670 JPL327676:JPL327678 JPL327679:JPO327680 JPL393206 JPL393212:JPL393214 JPL393215:JPO393216 JPL458742 JPL458748:JPL458750 JPL458751:JPO458752 JPL524278 JPL524284:JPL524286 JPL524287:JPO524288 JPL589814 JPL589820:JPL589822 JPL589823:JPO589824 JPL655350 JPL655356:JPL655358 JPL655359:JPO655360 JPL720886 JPL720892:JPL720894 JPL720895:JPO720896 JPL786422 JPL786428:JPL786430 JPL786431:JPO786432 JPL851958 JPL851964:JPL851966 JPL851967:JPO851968 JPL917494 JPL917500:JPL917502 JPL917503:JPO917504 JPL983030 JPL983036:JPL983038 JPL983039:JPO983040 JZH2 JZH8:JZH10 JZH11:JZK12 JZH65526 JZH65532:JZH65534 JZH65535:JZK65536 JZH131062 JZH131068:JZH131070 JZH131071:JZK131072 JZH196598 JZH196604:JZH196606 JZH196607:JZK196608 JZH262134 JZH262140:JZH262142 JZH262143:JZK262144 JZH327670 JZH327676:JZH327678 JZH327679:JZK327680 JZH393206 JZH393212:JZH393214 JZH393215:JZK393216 JZH458742 JZH458748:JZH458750 JZH458751:JZK458752 JZH524278 JZH524284:JZH524286 JZH524287:JZK524288 JZH589814 JZH589820:JZH589822 JZH589823:JZK589824 JZH655350 JZH655356:JZH655358 JZH655359:JZK655360 JZH720886 JZH720892:JZH720894 JZH720895:JZK720896 JZH786422 JZH786428:JZH786430 JZH786431:JZK786432 JZH851958 JZH851964:JZH851966 JZH851967:JZK851968 JZH917494 JZH917500:JZH917502 JZH917503:JZK917504 JZH983030 JZH983036:JZH983038 JZH983039:JZK983040 KJD2 KJD8:KJD10 KJD11:KJG12 KJD65526 KJD65532:KJD65534 KJD65535:KJG65536 KJD131062 KJD131068:KJD131070 KJD131071:KJG131072 KJD196598 KJD196604:KJD196606 KJD196607:KJG196608 KJD262134 KJD262140:KJD262142 KJD262143:KJG262144 KJD327670 KJD327676:KJD327678 KJD327679:KJG327680 KJD393206 KJD393212:KJD393214 KJD393215:KJG393216 KJD458742 KJD458748:KJD458750 KJD458751:KJG458752 KJD524278 KJD524284:KJD524286 KJD524287:KJG524288 KJD589814 KJD589820:KJD589822 KJD589823:KJG589824 KJD655350 KJD655356:KJD655358 KJD655359:KJG655360 KJD720886 KJD720892:KJD720894 KJD720895:KJG720896 KJD786422 KJD786428:KJD786430 KJD786431:KJG786432 KJD851958 KJD851964:KJD851966 KJD851967:KJG851968 KJD917494 KJD917500:KJD917502 KJD917503:KJG917504 KJD983030 KJD983036:KJD983038 KJD983039:KJG983040 KSZ2 KSZ8:KSZ10 KSZ11:KTC12 KSZ65526 KSZ65532:KSZ65534 KSZ65535:KTC65536 KSZ131062 KSZ131068:KSZ131070 KSZ131071:KTC131072 KSZ196598 KSZ196604:KSZ196606 KSZ196607:KTC196608 KSZ262134 KSZ262140:KSZ262142 KSZ262143:KTC262144 KSZ327670 KSZ327676:KSZ327678 KSZ327679:KTC327680 KSZ393206 KSZ393212:KSZ393214 KSZ393215:KTC393216 KSZ458742 KSZ458748:KSZ458750 KSZ458751:KTC458752 KSZ524278 KSZ524284:KSZ524286 KSZ524287:KTC524288 KSZ589814 KSZ589820:KSZ589822 KSZ589823:KTC589824 KSZ655350 KSZ655356:KSZ655358 KSZ655359:KTC655360 KSZ720886 KSZ720892:KSZ720894 KSZ720895:KTC720896 KSZ786422 KSZ786428:KSZ786430 KSZ786431:KTC786432 KSZ851958 KSZ851964:KSZ851966 KSZ851967:KTC851968 KSZ917494 KSZ917500:KSZ917502 KSZ917503:KTC917504 KSZ983030 KSZ983036:KSZ983038 KSZ983039:KTC983040 LCV2 LCV8:LCV10 LCV11:LCY12 LCV65526 LCV65532:LCV65534 LCV65535:LCY65536 LCV131062 LCV131068:LCV131070 LCV131071:LCY131072 LCV196598 LCV196604:LCV196606 LCV196607:LCY196608 LCV262134 LCV262140:LCV262142 LCV262143:LCY262144 LCV327670 LCV327676:LCV327678 LCV327679:LCY327680 LCV393206 LCV393212:LCV393214 LCV393215:LCY393216 LCV458742 LCV458748:LCV458750 LCV458751:LCY458752 LCV524278 LCV524284:LCV524286 LCV524287:LCY524288 LCV589814 LCV589820:LCV589822 LCV589823:LCY589824 LCV655350 LCV655356:LCV655358 LCV655359:LCY655360 LCV720886 LCV720892:LCV720894 LCV720895:LCY720896 LCV786422 LCV786428:LCV786430 LCV786431:LCY786432 LCV851958 LCV851964:LCV851966 LCV851967:LCY851968 LCV917494 LCV917500:LCV917502 LCV917503:LCY917504 LCV983030 LCV983036:LCV983038 LCV983039:LCY983040 LMR2 LMR8:LMR10 LMR11:LMU12 LMR65526 LMR65532:LMR65534 LMR65535:LMU65536 LMR131062 LMR131068:LMR131070 LMR131071:LMU131072 LMR196598 LMR196604:LMR196606 LMR196607:LMU196608 LMR262134 LMR262140:LMR262142 LMR262143:LMU262144 LMR327670 LMR327676:LMR327678 LMR327679:LMU327680 LMR393206 LMR393212:LMR393214 LMR393215:LMU393216 LMR458742 LMR458748:LMR458750 LMR458751:LMU458752 LMR524278 LMR524284:LMR524286 LMR524287:LMU524288 LMR589814 LMR589820:LMR589822 LMR589823:LMU589824 LMR655350 LMR655356:LMR655358 LMR655359:LMU655360 LMR720886 LMR720892:LMR720894 LMR720895:LMU720896 LMR786422 LMR786428:LMR786430 LMR786431:LMU786432 LMR851958 LMR851964:LMR851966 LMR851967:LMU851968 LMR917494 LMR917500:LMR917502 LMR917503:LMU917504 LMR983030 LMR983036:LMR983038 LMR983039:LMU983040 LWN2 LWN8:LWN10 LWN11:LWQ12 LWN65526 LWN65532:LWN65534 LWN65535:LWQ65536 LWN131062 LWN131068:LWN131070 LWN131071:LWQ131072 LWN196598 LWN196604:LWN196606 LWN196607:LWQ196608 LWN262134 LWN262140:LWN262142 LWN262143:LWQ262144 LWN327670 LWN327676:LWN327678 LWN327679:LWQ327680 LWN393206 LWN393212:LWN393214 LWN393215:LWQ393216 LWN458742 LWN458748:LWN458750 LWN458751:LWQ458752 LWN524278 LWN524284:LWN524286 LWN524287:LWQ524288 LWN589814 LWN589820:LWN589822 LWN589823:LWQ589824 LWN655350 LWN655356:LWN655358 LWN655359:LWQ655360 LWN720886 LWN720892:LWN720894 LWN720895:LWQ720896 LWN786422 LWN786428:LWN786430 LWN786431:LWQ786432 LWN851958 LWN851964:LWN851966 LWN851967:LWQ851968 LWN917494 LWN917500:LWN917502 LWN917503:LWQ917504 LWN983030 LWN983036:LWN983038 LWN983039:LWQ983040 MGJ2 MGJ8:MGJ10 MGJ11:MGM12 MGJ65526 MGJ65532:MGJ65534 MGJ65535:MGM65536 MGJ131062 MGJ131068:MGJ131070 MGJ131071:MGM131072 MGJ196598 MGJ196604:MGJ196606 MGJ196607:MGM196608 MGJ262134 MGJ262140:MGJ262142 MGJ262143:MGM262144 MGJ327670 MGJ327676:MGJ327678 MGJ327679:MGM327680 MGJ393206 MGJ393212:MGJ393214 MGJ393215:MGM393216 MGJ458742 MGJ458748:MGJ458750 MGJ458751:MGM458752 MGJ524278 MGJ524284:MGJ524286 MGJ524287:MGM524288 MGJ589814 MGJ589820:MGJ589822 MGJ589823:MGM589824 MGJ655350 MGJ655356:MGJ655358 MGJ655359:MGM655360 MGJ720886 MGJ720892:MGJ720894 MGJ720895:MGM720896 MGJ786422 MGJ786428:MGJ786430 MGJ786431:MGM786432 MGJ851958 MGJ851964:MGJ851966 MGJ851967:MGM851968 MGJ917494 MGJ917500:MGJ917502 MGJ917503:MGM917504 MGJ983030 MGJ983036:MGJ983038 MGJ983039:MGM983040 MQF2 MQF8:MQF10 MQF11:MQI12 MQF65526 MQF65532:MQF65534 MQF65535:MQI65536 MQF131062 MQF131068:MQF131070 MQF131071:MQI131072 MQF196598 MQF196604:MQF196606 MQF196607:MQI196608 MQF262134 MQF262140:MQF262142 MQF262143:MQI262144 MQF327670 MQF327676:MQF327678 MQF327679:MQI327680 MQF393206 MQF393212:MQF393214 MQF393215:MQI393216 MQF458742 MQF458748:MQF458750 MQF458751:MQI458752 MQF524278 MQF524284:MQF524286 MQF524287:MQI524288 MQF589814 MQF589820:MQF589822 MQF589823:MQI589824 MQF655350 MQF655356:MQF655358 MQF655359:MQI655360 MQF720886 MQF720892:MQF720894 MQF720895:MQI720896 MQF786422 MQF786428:MQF786430 MQF786431:MQI786432 MQF851958 MQF851964:MQF851966 MQF851967:MQI851968 MQF917494 MQF917500:MQF917502 MQF917503:MQI917504 MQF983030 MQF983036:MQF983038 MQF983039:MQI983040 NAB2 NAB8:NAB10 NAB11:NAE12 NAB65526 NAB65532:NAB65534 NAB65535:NAE65536 NAB131062 NAB131068:NAB131070 NAB131071:NAE131072 NAB196598 NAB196604:NAB196606 NAB196607:NAE196608 NAB262134 NAB262140:NAB262142 NAB262143:NAE262144 NAB327670 NAB327676:NAB327678 NAB327679:NAE327680 NAB393206 NAB393212:NAB393214 NAB393215:NAE393216 NAB458742 NAB458748:NAB458750 NAB458751:NAE458752 NAB524278 NAB524284:NAB524286 NAB524287:NAE524288 NAB589814 NAB589820:NAB589822 NAB589823:NAE589824 NAB655350 NAB655356:NAB655358 NAB655359:NAE655360 NAB720886 NAB720892:NAB720894 NAB720895:NAE720896 NAB786422 NAB786428:NAB786430 NAB786431:NAE786432 NAB851958 NAB851964:NAB851966 NAB851967:NAE851968 NAB917494 NAB917500:NAB917502 NAB917503:NAE917504 NAB983030 NAB983036:NAB983038 NAB983039:NAE983040 NJX2 NJX8:NJX10 NJX11:NKA12 NJX65526 NJX65532:NJX65534 NJX65535:NKA65536 NJX131062 NJX131068:NJX131070 NJX131071:NKA131072 NJX196598 NJX196604:NJX196606 NJX196607:NKA196608 NJX262134 NJX262140:NJX262142 NJX262143:NKA262144 NJX327670 NJX327676:NJX327678 NJX327679:NKA327680 NJX393206 NJX393212:NJX393214 NJX393215:NKA393216 NJX458742 NJX458748:NJX458750 NJX458751:NKA458752 NJX524278 NJX524284:NJX524286 NJX524287:NKA524288 NJX589814 NJX589820:NJX589822 NJX589823:NKA589824 NJX655350 NJX655356:NJX655358 NJX655359:NKA655360 NJX720886 NJX720892:NJX720894 NJX720895:NKA720896 NJX786422 NJX786428:NJX786430 NJX786431:NKA786432 NJX851958 NJX851964:NJX851966 NJX851967:NKA851968 NJX917494 NJX917500:NJX917502 NJX917503:NKA917504 NJX983030 NJX983036:NJX983038 NJX983039:NKA983040 NTT2 NTT8:NTT10 NTT11:NTW12 NTT65526 NTT65532:NTT65534 NTT65535:NTW65536 NTT131062 NTT131068:NTT131070 NTT131071:NTW131072 NTT196598 NTT196604:NTT196606 NTT196607:NTW196608 NTT262134 NTT262140:NTT262142 NTT262143:NTW262144 NTT327670 NTT327676:NTT327678 NTT327679:NTW327680 NTT393206 NTT393212:NTT393214 NTT393215:NTW393216 NTT458742 NTT458748:NTT458750 NTT458751:NTW458752 NTT524278 NTT524284:NTT524286 NTT524287:NTW524288 NTT589814 NTT589820:NTT589822 NTT589823:NTW589824 NTT655350 NTT655356:NTT655358 NTT655359:NTW655360 NTT720886 NTT720892:NTT720894 NTT720895:NTW720896 NTT786422 NTT786428:NTT786430 NTT786431:NTW786432 NTT851958 NTT851964:NTT851966 NTT851967:NTW851968 NTT917494 NTT917500:NTT917502 NTT917503:NTW917504 NTT983030 NTT983036:NTT983038 NTT983039:NTW983040 ODP2 ODP8:ODP10 ODP11:ODS12 ODP65526 ODP65532:ODP65534 ODP65535:ODS65536 ODP131062 ODP131068:ODP131070 ODP131071:ODS131072 ODP196598 ODP196604:ODP196606 ODP196607:ODS196608 ODP262134 ODP262140:ODP262142 ODP262143:ODS262144 ODP327670 ODP327676:ODP327678 ODP327679:ODS327680 ODP393206 ODP393212:ODP393214 ODP393215:ODS393216 ODP458742 ODP458748:ODP458750 ODP458751:ODS458752 ODP524278 ODP524284:ODP524286 ODP524287:ODS524288 ODP589814 ODP589820:ODP589822 ODP589823:ODS589824 ODP655350 ODP655356:ODP655358 ODP655359:ODS655360 ODP720886 ODP720892:ODP720894 ODP720895:ODS720896 ODP786422 ODP786428:ODP786430 ODP786431:ODS786432 ODP851958 ODP851964:ODP851966 ODP851967:ODS851968 ODP917494 ODP917500:ODP917502 ODP917503:ODS917504 ODP983030 ODP983036:ODP983038 ODP983039:ODS983040 ONL2 ONL8:ONL10 ONL11:ONO12 ONL65526 ONL65532:ONL65534 ONL65535:ONO65536 ONL131062 ONL131068:ONL131070 ONL131071:ONO131072 ONL196598 ONL196604:ONL196606 ONL196607:ONO196608 ONL262134 ONL262140:ONL262142 ONL262143:ONO262144 ONL327670 ONL327676:ONL327678 ONL327679:ONO327680 ONL393206 ONL393212:ONL393214 ONL393215:ONO393216 ONL458742 ONL458748:ONL458750 ONL458751:ONO458752 ONL524278 ONL524284:ONL524286 ONL524287:ONO524288 ONL589814 ONL589820:ONL589822 ONL589823:ONO589824 ONL655350 ONL655356:ONL655358 ONL655359:ONO655360 ONL720886 ONL720892:ONL720894 ONL720895:ONO720896 ONL786422 ONL786428:ONL786430 ONL786431:ONO786432 ONL851958 ONL851964:ONL851966 ONL851967:ONO851968 ONL917494 ONL917500:ONL917502 ONL917503:ONO917504 ONL983030 ONL983036:ONL983038 ONL983039:ONO983040 OXH2 OXH8:OXH10 OXH11:OXK12 OXH65526 OXH65532:OXH65534 OXH65535:OXK65536 OXH131062 OXH131068:OXH131070 OXH131071:OXK131072 OXH196598 OXH196604:OXH196606 OXH196607:OXK196608 OXH262134 OXH262140:OXH262142 OXH262143:OXK262144 OXH327670 OXH327676:OXH327678 OXH327679:OXK327680 OXH393206 OXH393212:OXH393214 OXH393215:OXK393216 OXH458742 OXH458748:OXH458750 OXH458751:OXK458752 OXH524278 OXH524284:OXH524286 OXH524287:OXK524288 OXH589814 OXH589820:OXH589822 OXH589823:OXK589824 OXH655350 OXH655356:OXH655358 OXH655359:OXK655360 OXH720886 OXH720892:OXH720894 OXH720895:OXK720896 OXH786422 OXH786428:OXH786430 OXH786431:OXK786432 OXH851958 OXH851964:OXH851966 OXH851967:OXK851968 OXH917494 OXH917500:OXH917502 OXH917503:OXK917504 OXH983030 OXH983036:OXH983038 OXH983039:OXK983040 PHD2 PHD8:PHD10 PHD11:PHG12 PHD65526 PHD65532:PHD65534 PHD65535:PHG65536 PHD131062 PHD131068:PHD131070 PHD131071:PHG131072 PHD196598 PHD196604:PHD196606 PHD196607:PHG196608 PHD262134 PHD262140:PHD262142 PHD262143:PHG262144 PHD327670 PHD327676:PHD327678 PHD327679:PHG327680 PHD393206 PHD393212:PHD393214 PHD393215:PHG393216 PHD458742 PHD458748:PHD458750 PHD458751:PHG458752 PHD524278 PHD524284:PHD524286 PHD524287:PHG524288 PHD589814 PHD589820:PHD589822 PHD589823:PHG589824 PHD655350 PHD655356:PHD655358 PHD655359:PHG655360 PHD720886 PHD720892:PHD720894 PHD720895:PHG720896 PHD786422 PHD786428:PHD786430 PHD786431:PHG786432 PHD851958 PHD851964:PHD851966 PHD851967:PHG851968 PHD917494 PHD917500:PHD917502 PHD917503:PHG917504 PHD983030 PHD983036:PHD983038 PHD983039:PHG983040 PQZ2 PQZ8:PQZ10 PQZ11:PRC12 PQZ65526 PQZ65532:PQZ65534 PQZ65535:PRC65536 PQZ131062 PQZ131068:PQZ131070 PQZ131071:PRC131072 PQZ196598 PQZ196604:PQZ196606 PQZ196607:PRC196608 PQZ262134 PQZ262140:PQZ262142 PQZ262143:PRC262144 PQZ327670 PQZ327676:PQZ327678 PQZ327679:PRC327680 PQZ393206 PQZ393212:PQZ393214 PQZ393215:PRC393216 PQZ458742 PQZ458748:PQZ458750 PQZ458751:PRC458752 PQZ524278 PQZ524284:PQZ524286 PQZ524287:PRC524288 PQZ589814 PQZ589820:PQZ589822 PQZ589823:PRC589824 PQZ655350 PQZ655356:PQZ655358 PQZ655359:PRC655360 PQZ720886 PQZ720892:PQZ720894 PQZ720895:PRC720896 PQZ786422 PQZ786428:PQZ786430 PQZ786431:PRC786432 PQZ851958 PQZ851964:PQZ851966 PQZ851967:PRC851968 PQZ917494 PQZ917500:PQZ917502 PQZ917503:PRC917504 PQZ983030 PQZ983036:PQZ983038 PQZ983039:PRC983040 QAV2 QAV8:QAV10 QAV11:QAY12 QAV65526 QAV65532:QAV65534 QAV65535:QAY65536 QAV131062 QAV131068:QAV131070 QAV131071:QAY131072 QAV196598 QAV196604:QAV196606 QAV196607:QAY196608 QAV262134 QAV262140:QAV262142 QAV262143:QAY262144 QAV327670 QAV327676:QAV327678 QAV327679:QAY327680 QAV393206 QAV393212:QAV393214 QAV393215:QAY393216 QAV458742 QAV458748:QAV458750 QAV458751:QAY458752 QAV524278 QAV524284:QAV524286 QAV524287:QAY524288 QAV589814 QAV589820:QAV589822 QAV589823:QAY589824 QAV655350 QAV655356:QAV655358 QAV655359:QAY655360 QAV720886 QAV720892:QAV720894 QAV720895:QAY720896 QAV786422 QAV786428:QAV786430 QAV786431:QAY786432 QAV851958 QAV851964:QAV851966 QAV851967:QAY851968 QAV917494 QAV917500:QAV917502 QAV917503:QAY917504 QAV983030 QAV983036:QAV983038 QAV983039:QAY983040 QKR2 QKR8:QKR10 QKR11:QKU12 QKR65526 QKR65532:QKR65534 QKR65535:QKU65536 QKR131062 QKR131068:QKR131070 QKR131071:QKU131072 QKR196598 QKR196604:QKR196606 QKR196607:QKU196608 QKR262134 QKR262140:QKR262142 QKR262143:QKU262144 QKR327670 QKR327676:QKR327678 QKR327679:QKU327680 QKR393206 QKR393212:QKR393214 QKR393215:QKU393216 QKR458742 QKR458748:QKR458750 QKR458751:QKU458752 QKR524278 QKR524284:QKR524286 QKR524287:QKU524288 QKR589814 QKR589820:QKR589822 QKR589823:QKU589824 QKR655350 QKR655356:QKR655358 QKR655359:QKU655360 QKR720886 QKR720892:QKR720894 QKR720895:QKU720896 QKR786422 QKR786428:QKR786430 QKR786431:QKU786432 QKR851958 QKR851964:QKR851966 QKR851967:QKU851968 QKR917494 QKR917500:QKR917502 QKR917503:QKU917504 QKR983030 QKR983036:QKR983038 QKR983039:QKU983040 QUN2 QUN8:QUN10 QUN11:QUQ12 QUN65526 QUN65532:QUN65534 QUN65535:QUQ65536 QUN131062 QUN131068:QUN131070 QUN131071:QUQ131072 QUN196598 QUN196604:QUN196606 QUN196607:QUQ196608 QUN262134 QUN262140:QUN262142 QUN262143:QUQ262144 QUN327670 QUN327676:QUN327678 QUN327679:QUQ327680 QUN393206 QUN393212:QUN393214 QUN393215:QUQ393216 QUN458742 QUN458748:QUN458750 QUN458751:QUQ458752 QUN524278 QUN524284:QUN524286 QUN524287:QUQ524288 QUN589814 QUN589820:QUN589822 QUN589823:QUQ589824 QUN655350 QUN655356:QUN655358 QUN655359:QUQ655360 QUN720886 QUN720892:QUN720894 QUN720895:QUQ720896 QUN786422 QUN786428:QUN786430 QUN786431:QUQ786432 QUN851958 QUN851964:QUN851966 QUN851967:QUQ851968 QUN917494 QUN917500:QUN917502 QUN917503:QUQ917504 QUN983030 QUN983036:QUN983038 QUN983039:QUQ983040 REJ2 REJ8:REJ10 REJ11:REM12 REJ65526 REJ65532:REJ65534 REJ65535:REM65536 REJ131062 REJ131068:REJ131070 REJ131071:REM131072 REJ196598 REJ196604:REJ196606 REJ196607:REM196608 REJ262134 REJ262140:REJ262142 REJ262143:REM262144 REJ327670 REJ327676:REJ327678 REJ327679:REM327680 REJ393206 REJ393212:REJ393214 REJ393215:REM393216 REJ458742 REJ458748:REJ458750 REJ458751:REM458752 REJ524278 REJ524284:REJ524286 REJ524287:REM524288 REJ589814 REJ589820:REJ589822 REJ589823:REM589824 REJ655350 REJ655356:REJ655358 REJ655359:REM655360 REJ720886 REJ720892:REJ720894 REJ720895:REM720896 REJ786422 REJ786428:REJ786430 REJ786431:REM786432 REJ851958 REJ851964:REJ851966 REJ851967:REM851968 REJ917494 REJ917500:REJ917502 REJ917503:REM917504 REJ983030 REJ983036:REJ983038 REJ983039:REM983040 ROF2 ROF8:ROF10 ROF11:ROI12 ROF65526 ROF65532:ROF65534 ROF65535:ROI65536 ROF131062 ROF131068:ROF131070 ROF131071:ROI131072 ROF196598 ROF196604:ROF196606 ROF196607:ROI196608 ROF262134 ROF262140:ROF262142 ROF262143:ROI262144 ROF327670 ROF327676:ROF327678 ROF327679:ROI327680 ROF393206 ROF393212:ROF393214 ROF393215:ROI393216 ROF458742 ROF458748:ROF458750 ROF458751:ROI458752 ROF524278 ROF524284:ROF524286 ROF524287:ROI524288 ROF589814 ROF589820:ROF589822 ROF589823:ROI589824 ROF655350 ROF655356:ROF655358 ROF655359:ROI655360 ROF720886 ROF720892:ROF720894 ROF720895:ROI720896 ROF786422 ROF786428:ROF786430 ROF786431:ROI786432 ROF851958 ROF851964:ROF851966 ROF851967:ROI851968 ROF917494 ROF917500:ROF917502 ROF917503:ROI917504 ROF983030 ROF983036:ROF983038 ROF983039:ROI983040 RYB2 RYB8:RYB10 RYB11:RYE12 RYB65526 RYB65532:RYB65534 RYB65535:RYE65536 RYB131062 RYB131068:RYB131070 RYB131071:RYE131072 RYB196598 RYB196604:RYB196606 RYB196607:RYE196608 RYB262134 RYB262140:RYB262142 RYB262143:RYE262144 RYB327670 RYB327676:RYB327678 RYB327679:RYE327680 RYB393206 RYB393212:RYB393214 RYB393215:RYE393216 RYB458742 RYB458748:RYB458750 RYB458751:RYE458752 RYB524278 RYB524284:RYB524286 RYB524287:RYE524288 RYB589814 RYB589820:RYB589822 RYB589823:RYE589824 RYB655350 RYB655356:RYB655358 RYB655359:RYE655360 RYB720886 RYB720892:RYB720894 RYB720895:RYE720896 RYB786422 RYB786428:RYB786430 RYB786431:RYE786432 RYB851958 RYB851964:RYB851966 RYB851967:RYE851968 RYB917494 RYB917500:RYB917502 RYB917503:RYE917504 RYB983030 RYB983036:RYB983038 RYB983039:RYE983040 SHX2 SHX8:SHX10 SHX11:SIA12 SHX65526 SHX65532:SHX65534 SHX65535:SIA65536 SHX131062 SHX131068:SHX131070 SHX131071:SIA131072 SHX196598 SHX196604:SHX196606 SHX196607:SIA196608 SHX262134 SHX262140:SHX262142 SHX262143:SIA262144 SHX327670 SHX327676:SHX327678 SHX327679:SIA327680 SHX393206 SHX393212:SHX393214 SHX393215:SIA393216 SHX458742 SHX458748:SHX458750 SHX458751:SIA458752 SHX524278 SHX524284:SHX524286 SHX524287:SIA524288 SHX589814 SHX589820:SHX589822 SHX589823:SIA589824 SHX655350 SHX655356:SHX655358 SHX655359:SIA655360 SHX720886 SHX720892:SHX720894 SHX720895:SIA720896 SHX786422 SHX786428:SHX786430 SHX786431:SIA786432 SHX851958 SHX851964:SHX851966 SHX851967:SIA851968 SHX917494 SHX917500:SHX917502 SHX917503:SIA917504 SHX983030 SHX983036:SHX983038 SHX983039:SIA983040 SRT2 SRT8:SRT10 SRT11:SRW12 SRT65526 SRT65532:SRT65534 SRT65535:SRW65536 SRT131062 SRT131068:SRT131070 SRT131071:SRW131072 SRT196598 SRT196604:SRT196606 SRT196607:SRW196608 SRT262134 SRT262140:SRT262142 SRT262143:SRW262144 SRT327670 SRT327676:SRT327678 SRT327679:SRW327680 SRT393206 SRT393212:SRT393214 SRT393215:SRW393216 SRT458742 SRT458748:SRT458750 SRT458751:SRW458752 SRT524278 SRT524284:SRT524286 SRT524287:SRW524288 SRT589814 SRT589820:SRT589822 SRT589823:SRW589824 SRT655350 SRT655356:SRT655358 SRT655359:SRW655360 SRT720886 SRT720892:SRT720894 SRT720895:SRW720896 SRT786422 SRT786428:SRT786430 SRT786431:SRW786432 SRT851958 SRT851964:SRT851966 SRT851967:SRW851968 SRT917494 SRT917500:SRT917502 SRT917503:SRW917504 SRT983030 SRT983036:SRT983038 SRT983039:SRW983040 TBP2 TBP8:TBP10 TBP11:TBS12 TBP65526 TBP65532:TBP65534 TBP65535:TBS65536 TBP131062 TBP131068:TBP131070 TBP131071:TBS131072 TBP196598 TBP196604:TBP196606 TBP196607:TBS196608 TBP262134 TBP262140:TBP262142 TBP262143:TBS262144 TBP327670 TBP327676:TBP327678 TBP327679:TBS327680 TBP393206 TBP393212:TBP393214 TBP393215:TBS393216 TBP458742 TBP458748:TBP458750 TBP458751:TBS458752 TBP524278 TBP524284:TBP524286 TBP524287:TBS524288 TBP589814 TBP589820:TBP589822 TBP589823:TBS589824 TBP655350 TBP655356:TBP655358 TBP655359:TBS655360 TBP720886 TBP720892:TBP720894 TBP720895:TBS720896 TBP786422 TBP786428:TBP786430 TBP786431:TBS786432 TBP851958 TBP851964:TBP851966 TBP851967:TBS851968 TBP917494 TBP917500:TBP917502 TBP917503:TBS917504 TBP983030 TBP983036:TBP983038 TBP983039:TBS983040 TLL2 TLL8:TLL10 TLL11:TLO12 TLL65526 TLL65532:TLL65534 TLL65535:TLO65536 TLL131062 TLL131068:TLL131070 TLL131071:TLO131072 TLL196598 TLL196604:TLL196606 TLL196607:TLO196608 TLL262134 TLL262140:TLL262142 TLL262143:TLO262144 TLL327670 TLL327676:TLL327678 TLL327679:TLO327680 TLL393206 TLL393212:TLL393214 TLL393215:TLO393216 TLL458742 TLL458748:TLL458750 TLL458751:TLO458752 TLL524278 TLL524284:TLL524286 TLL524287:TLO524288 TLL589814 TLL589820:TLL589822 TLL589823:TLO589824 TLL655350 TLL655356:TLL655358 TLL655359:TLO655360 TLL720886 TLL720892:TLL720894 TLL720895:TLO720896 TLL786422 TLL786428:TLL786430 TLL786431:TLO786432 TLL851958 TLL851964:TLL851966 TLL851967:TLO851968 TLL917494 TLL917500:TLL917502 TLL917503:TLO917504 TLL983030 TLL983036:TLL983038 TLL983039:TLO983040 TVH2 TVH8:TVH10 TVH11:TVK12 TVH65526 TVH65532:TVH65534 TVH65535:TVK65536 TVH131062 TVH131068:TVH131070 TVH131071:TVK131072 TVH196598 TVH196604:TVH196606 TVH196607:TVK196608 TVH262134 TVH262140:TVH262142 TVH262143:TVK262144 TVH327670 TVH327676:TVH327678 TVH327679:TVK327680 TVH393206 TVH393212:TVH393214 TVH393215:TVK393216 TVH458742 TVH458748:TVH458750 TVH458751:TVK458752 TVH524278 TVH524284:TVH524286 TVH524287:TVK524288 TVH589814 TVH589820:TVH589822 TVH589823:TVK589824 TVH655350 TVH655356:TVH655358 TVH655359:TVK655360 TVH720886 TVH720892:TVH720894 TVH720895:TVK720896 TVH786422 TVH786428:TVH786430 TVH786431:TVK786432 TVH851958 TVH851964:TVH851966 TVH851967:TVK851968 TVH917494 TVH917500:TVH917502 TVH917503:TVK917504 TVH983030 TVH983036:TVH983038 TVH983039:TVK983040 UFD2 UFD8:UFD10 UFD11:UFG12 UFD65526 UFD65532:UFD65534 UFD65535:UFG65536 UFD131062 UFD131068:UFD131070 UFD131071:UFG131072 UFD196598 UFD196604:UFD196606 UFD196607:UFG196608 UFD262134 UFD262140:UFD262142 UFD262143:UFG262144 UFD327670 UFD327676:UFD327678 UFD327679:UFG327680 UFD393206 UFD393212:UFD393214 UFD393215:UFG393216 UFD458742 UFD458748:UFD458750 UFD458751:UFG458752 UFD524278 UFD524284:UFD524286 UFD524287:UFG524288 UFD589814 UFD589820:UFD589822 UFD589823:UFG589824 UFD655350 UFD655356:UFD655358 UFD655359:UFG655360 UFD720886 UFD720892:UFD720894 UFD720895:UFG720896 UFD786422 UFD786428:UFD786430 UFD786431:UFG786432 UFD851958 UFD851964:UFD851966 UFD851967:UFG851968 UFD917494 UFD917500:UFD917502 UFD917503:UFG917504 UFD983030 UFD983036:UFD983038 UFD983039:UFG983040 UOZ2 UOZ8:UOZ10 UOZ11:UPC12 UOZ65526 UOZ65532:UOZ65534 UOZ65535:UPC65536 UOZ131062 UOZ131068:UOZ131070 UOZ131071:UPC131072 UOZ196598 UOZ196604:UOZ196606 UOZ196607:UPC196608 UOZ262134 UOZ262140:UOZ262142 UOZ262143:UPC262144 UOZ327670 UOZ327676:UOZ327678 UOZ327679:UPC327680 UOZ393206 UOZ393212:UOZ393214 UOZ393215:UPC393216 UOZ458742 UOZ458748:UOZ458750 UOZ458751:UPC458752 UOZ524278 UOZ524284:UOZ524286 UOZ524287:UPC524288 UOZ589814 UOZ589820:UOZ589822 UOZ589823:UPC589824 UOZ655350 UOZ655356:UOZ655358 UOZ655359:UPC655360 UOZ720886 UOZ720892:UOZ720894 UOZ720895:UPC720896 UOZ786422 UOZ786428:UOZ786430 UOZ786431:UPC786432 UOZ851958 UOZ851964:UOZ851966 UOZ851967:UPC851968 UOZ917494 UOZ917500:UOZ917502 UOZ917503:UPC917504 UOZ983030 UOZ983036:UOZ983038 UOZ983039:UPC983040 UYV2 UYV8:UYV10 UYV11:UYY12 UYV65526 UYV65532:UYV65534 UYV65535:UYY65536 UYV131062 UYV131068:UYV131070 UYV131071:UYY131072 UYV196598 UYV196604:UYV196606 UYV196607:UYY196608 UYV262134 UYV262140:UYV262142 UYV262143:UYY262144 UYV327670 UYV327676:UYV327678 UYV327679:UYY327680 UYV393206 UYV393212:UYV393214 UYV393215:UYY393216 UYV458742 UYV458748:UYV458750 UYV458751:UYY458752 UYV524278 UYV524284:UYV524286 UYV524287:UYY524288 UYV589814 UYV589820:UYV589822 UYV589823:UYY589824 UYV655350 UYV655356:UYV655358 UYV655359:UYY655360 UYV720886 UYV720892:UYV720894 UYV720895:UYY720896 UYV786422 UYV786428:UYV786430 UYV786431:UYY786432 UYV851958 UYV851964:UYV851966 UYV851967:UYY851968 UYV917494 UYV917500:UYV917502 UYV917503:UYY917504 UYV983030 UYV983036:UYV983038 UYV983039:UYY983040 VIR2 VIR8:VIR10 VIR11:VIU12 VIR65526 VIR65532:VIR65534 VIR65535:VIU65536 VIR131062 VIR131068:VIR131070 VIR131071:VIU131072 VIR196598 VIR196604:VIR196606 VIR196607:VIU196608 VIR262134 VIR262140:VIR262142 VIR262143:VIU262144 VIR327670 VIR327676:VIR327678 VIR327679:VIU327680 VIR393206 VIR393212:VIR393214 VIR393215:VIU393216 VIR458742 VIR458748:VIR458750 VIR458751:VIU458752 VIR524278 VIR524284:VIR524286 VIR524287:VIU524288 VIR589814 VIR589820:VIR589822 VIR589823:VIU589824 VIR655350 VIR655356:VIR655358 VIR655359:VIU655360 VIR720886 VIR720892:VIR720894 VIR720895:VIU720896 VIR786422 VIR786428:VIR786430 VIR786431:VIU786432 VIR851958 VIR851964:VIR851966 VIR851967:VIU851968 VIR917494 VIR917500:VIR917502 VIR917503:VIU917504 VIR983030 VIR983036:VIR983038 VIR983039:VIU983040 VSN2 VSN8:VSN10 VSN11:VSQ12 VSN65526 VSN65532:VSN65534 VSN65535:VSQ65536 VSN131062 VSN131068:VSN131070 VSN131071:VSQ131072 VSN196598 VSN196604:VSN196606 VSN196607:VSQ196608 VSN262134 VSN262140:VSN262142 VSN262143:VSQ262144 VSN327670 VSN327676:VSN327678 VSN327679:VSQ327680 VSN393206 VSN393212:VSN393214 VSN393215:VSQ393216 VSN458742 VSN458748:VSN458750 VSN458751:VSQ458752 VSN524278 VSN524284:VSN524286 VSN524287:VSQ524288 VSN589814 VSN589820:VSN589822 VSN589823:VSQ589824 VSN655350 VSN655356:VSN655358 VSN655359:VSQ655360 VSN720886 VSN720892:VSN720894 VSN720895:VSQ720896 VSN786422 VSN786428:VSN786430 VSN786431:VSQ786432 VSN851958 VSN851964:VSN851966 VSN851967:VSQ851968 VSN917494 VSN917500:VSN917502 VSN917503:VSQ917504 VSN983030 VSN983036:VSN983038 VSN983039:VSQ983040 WCJ2 WCJ8:WCJ10 WCJ11:WCM12 WCJ65526 WCJ65532:WCJ65534 WCJ65535:WCM65536 WCJ131062 WCJ131068:WCJ131070 WCJ131071:WCM131072 WCJ196598 WCJ196604:WCJ196606 WCJ196607:WCM196608 WCJ262134 WCJ262140:WCJ262142 WCJ262143:WCM262144 WCJ327670 WCJ327676:WCJ327678 WCJ327679:WCM327680 WCJ393206 WCJ393212:WCJ393214 WCJ393215:WCM393216 WCJ458742 WCJ458748:WCJ458750 WCJ458751:WCM458752 WCJ524278 WCJ524284:WCJ524286 WCJ524287:WCM524288 WCJ589814 WCJ589820:WCJ589822 WCJ589823:WCM589824 WCJ655350 WCJ655356:WCJ655358 WCJ655359:WCM655360 WCJ720886 WCJ720892:WCJ720894 WCJ720895:WCM720896 WCJ786422 WCJ786428:WCJ786430 WCJ786431:WCM786432 WCJ851958 WCJ851964:WCJ851966 WCJ851967:WCM851968 WCJ917494 WCJ917500:WCJ917502 WCJ917503:WCM917504 WCJ983030 WCJ983036:WCJ983038 WCJ983039:WCM983040 WMF2 WMF8:WMF10 WMF11:WMI12 WMF65526 WMF65532:WMF65534 WMF65535:WMI65536 WMF131062 WMF131068:WMF131070 WMF131071:WMI131072 WMF196598 WMF196604:WMF196606 WMF196607:WMI196608 WMF262134 WMF262140:WMF262142 WMF262143:WMI262144 WMF327670 WMF327676:WMF327678 WMF327679:WMI327680 WMF393206 WMF393212:WMF393214 WMF393215:WMI393216 WMF458742 WMF458748:WMF458750 WMF458751:WMI458752 WMF524278 WMF524284:WMF524286 WMF524287:WMI524288 WMF589814 WMF589820:WMF589822 WMF589823:WMI589824 WMF655350 WMF655356:WMF655358 WMF655359:WMI655360 WMF720886 WMF720892:WMF720894 WMF720895:WMI720896 WMF786422 WMF786428:WMF786430 WMF786431:WMI786432 WMF851958 WMF851964:WMF851966 WMF851967:WMI851968 WMF917494 WMF917500:WMF917502 WMF917503:WMI917504 WMF983030 WMF983036:WMF983038 WMF983039:WMI983040 WWB2 WWB8:WWB10 WWB11:WWE12 WWB65526 WWB65532:WWB65534 WWB65535:WWE65536 WWB131062 WWB131068:WWB131070 WWB131071:WWE131072 WWB196598 WWB196604:WWB196606 WWB196607:WWE196608 WWB262134 WWB262140:WWB262142 WWB262143:WWE262144 WWB327670 WWB327676:WWB327678 WWB327679:WWE327680 WWB393206 WWB393212:WWB393214 WWB393215:WWE393216 WWB458742 WWB458748:WWB458750 WWB458751:WWE458752 WWB524278 WWB524284:WWB524286 WWB524287:WWE524288 WWB589814 WWB589820:WWB589822 WWB589823:WWE589824 WWB655350 WWB655356:WWB655358 WWB655359:WWE655360 WWB720886 WWB720892:WWB720894 WWB720895:WWE720896 WWB786422 WWB786428:WWB786430 WWB786431:WWE786432 WWB851958 WWB851964:WWB851966 WWB851967:WWE851968 WWB917494 WWB917500:WWB917502 WWB917503:WWE917504 WWB983030 WWB983036:WWB983038 WWB983039:WWE983040" xr:uid="{00000000-0002-0000-0700-000012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2 S8:S12 S65526 S65532:S65536 S131062 S131068:S131072 S196598 S196604:S196608 S262134 S262140:S262144 S327670 S327676:S327680 S393206 S393212:S393216 S458742 S458748:S458752 S524278 S524284:S524288 S589814 S589820:S589824 S655350 S655356:S655360 S720886 S720892:S720896 S786422 S786428:S786432 S851958 S851964:S851968 S917494 S917500:S917504 S983030 S983036:S983040 JO2 JO8:JO12 JO65526 JO65532:JO65536 JO131062 JO131068:JO131072 JO196598 JO196604:JO196608 JO262134 JO262140:JO262144 JO327670 JO327676:JO327680 JO393206 JO393212:JO393216 JO458742 JO458748:JO458752 JO524278 JO524284:JO524288 JO589814 JO589820:JO589824 JO655350 JO655356:JO655360 JO720886 JO720892:JO720896 JO786422 JO786428:JO786432 JO851958 JO851964:JO851968 JO917494 JO917500:JO917504 JO983030 JO983036:JO983040 TK2 TK8:TK12 TK65526 TK65532:TK65536 TK131062 TK131068:TK131072 TK196598 TK196604:TK196608 TK262134 TK262140:TK262144 TK327670 TK327676:TK327680 TK393206 TK393212:TK393216 TK458742 TK458748:TK458752 TK524278 TK524284:TK524288 TK589814 TK589820:TK589824 TK655350 TK655356:TK655360 TK720886 TK720892:TK720896 TK786422 TK786428:TK786432 TK851958 TK851964:TK851968 TK917494 TK917500:TK917504 TK983030 TK983036:TK983040 ADG2 ADG8:ADG12 ADG65526 ADG65532:ADG65536 ADG131062 ADG131068:ADG131072 ADG196598 ADG196604:ADG196608 ADG262134 ADG262140:ADG262144 ADG327670 ADG327676:ADG327680 ADG393206 ADG393212:ADG393216 ADG458742 ADG458748:ADG458752 ADG524278 ADG524284:ADG524288 ADG589814 ADG589820:ADG589824 ADG655350 ADG655356:ADG655360 ADG720886 ADG720892:ADG720896 ADG786422 ADG786428:ADG786432 ADG851958 ADG851964:ADG851968 ADG917494 ADG917500:ADG917504 ADG983030 ADG983036:ADG983040 ANC2 ANC8:ANC12 ANC65526 ANC65532:ANC65536 ANC131062 ANC131068:ANC131072 ANC196598 ANC196604:ANC196608 ANC262134 ANC262140:ANC262144 ANC327670 ANC327676:ANC327680 ANC393206 ANC393212:ANC393216 ANC458742 ANC458748:ANC458752 ANC524278 ANC524284:ANC524288 ANC589814 ANC589820:ANC589824 ANC655350 ANC655356:ANC655360 ANC720886 ANC720892:ANC720896 ANC786422 ANC786428:ANC786432 ANC851958 ANC851964:ANC851968 ANC917494 ANC917500:ANC917504 ANC983030 ANC983036:ANC983040 AWY2 AWY8:AWY12 AWY65526 AWY65532:AWY65536 AWY131062 AWY131068:AWY131072 AWY196598 AWY196604:AWY196608 AWY262134 AWY262140:AWY262144 AWY327670 AWY327676:AWY327680 AWY393206 AWY393212:AWY393216 AWY458742 AWY458748:AWY458752 AWY524278 AWY524284:AWY524288 AWY589814 AWY589820:AWY589824 AWY655350 AWY655356:AWY655360 AWY720886 AWY720892:AWY720896 AWY786422 AWY786428:AWY786432 AWY851958 AWY851964:AWY851968 AWY917494 AWY917500:AWY917504 AWY983030 AWY983036:AWY983040 BGU2 BGU8:BGU12 BGU65526 BGU65532:BGU65536 BGU131062 BGU131068:BGU131072 BGU196598 BGU196604:BGU196608 BGU262134 BGU262140:BGU262144 BGU327670 BGU327676:BGU327680 BGU393206 BGU393212:BGU393216 BGU458742 BGU458748:BGU458752 BGU524278 BGU524284:BGU524288 BGU589814 BGU589820:BGU589824 BGU655350 BGU655356:BGU655360 BGU720886 BGU720892:BGU720896 BGU786422 BGU786428:BGU786432 BGU851958 BGU851964:BGU851968 BGU917494 BGU917500:BGU917504 BGU983030 BGU983036:BGU983040 BQQ2 BQQ8:BQQ12 BQQ65526 BQQ65532:BQQ65536 BQQ131062 BQQ131068:BQQ131072 BQQ196598 BQQ196604:BQQ196608 BQQ262134 BQQ262140:BQQ262144 BQQ327670 BQQ327676:BQQ327680 BQQ393206 BQQ393212:BQQ393216 BQQ458742 BQQ458748:BQQ458752 BQQ524278 BQQ524284:BQQ524288 BQQ589814 BQQ589820:BQQ589824 BQQ655350 BQQ655356:BQQ655360 BQQ720886 BQQ720892:BQQ720896 BQQ786422 BQQ786428:BQQ786432 BQQ851958 BQQ851964:BQQ851968 BQQ917494 BQQ917500:BQQ917504 BQQ983030 BQQ983036:BQQ983040 CAM2 CAM8:CAM12 CAM65526 CAM65532:CAM65536 CAM131062 CAM131068:CAM131072 CAM196598 CAM196604:CAM196608 CAM262134 CAM262140:CAM262144 CAM327670 CAM327676:CAM327680 CAM393206 CAM393212:CAM393216 CAM458742 CAM458748:CAM458752 CAM524278 CAM524284:CAM524288 CAM589814 CAM589820:CAM589824 CAM655350 CAM655356:CAM655360 CAM720886 CAM720892:CAM720896 CAM786422 CAM786428:CAM786432 CAM851958 CAM851964:CAM851968 CAM917494 CAM917500:CAM917504 CAM983030 CAM983036:CAM983040 CKI2 CKI8:CKI12 CKI65526 CKI65532:CKI65536 CKI131062 CKI131068:CKI131072 CKI196598 CKI196604:CKI196608 CKI262134 CKI262140:CKI262144 CKI327670 CKI327676:CKI327680 CKI393206 CKI393212:CKI393216 CKI458742 CKI458748:CKI458752 CKI524278 CKI524284:CKI524288 CKI589814 CKI589820:CKI589824 CKI655350 CKI655356:CKI655360 CKI720886 CKI720892:CKI720896 CKI786422 CKI786428:CKI786432 CKI851958 CKI851964:CKI851968 CKI917494 CKI917500:CKI917504 CKI983030 CKI983036:CKI983040 CUE2 CUE8:CUE12 CUE65526 CUE65532:CUE65536 CUE131062 CUE131068:CUE131072 CUE196598 CUE196604:CUE196608 CUE262134 CUE262140:CUE262144 CUE327670 CUE327676:CUE327680 CUE393206 CUE393212:CUE393216 CUE458742 CUE458748:CUE458752 CUE524278 CUE524284:CUE524288 CUE589814 CUE589820:CUE589824 CUE655350 CUE655356:CUE655360 CUE720886 CUE720892:CUE720896 CUE786422 CUE786428:CUE786432 CUE851958 CUE851964:CUE851968 CUE917494 CUE917500:CUE917504 CUE983030 CUE983036:CUE983040 DEA2 DEA8:DEA12 DEA65526 DEA65532:DEA65536 DEA131062 DEA131068:DEA131072 DEA196598 DEA196604:DEA196608 DEA262134 DEA262140:DEA262144 DEA327670 DEA327676:DEA327680 DEA393206 DEA393212:DEA393216 DEA458742 DEA458748:DEA458752 DEA524278 DEA524284:DEA524288 DEA589814 DEA589820:DEA589824 DEA655350 DEA655356:DEA655360 DEA720886 DEA720892:DEA720896 DEA786422 DEA786428:DEA786432 DEA851958 DEA851964:DEA851968 DEA917494 DEA917500:DEA917504 DEA983030 DEA983036:DEA983040 DNW2 DNW8:DNW12 DNW65526 DNW65532:DNW65536 DNW131062 DNW131068:DNW131072 DNW196598 DNW196604:DNW196608 DNW262134 DNW262140:DNW262144 DNW327670 DNW327676:DNW327680 DNW393206 DNW393212:DNW393216 DNW458742 DNW458748:DNW458752 DNW524278 DNW524284:DNW524288 DNW589814 DNW589820:DNW589824 DNW655350 DNW655356:DNW655360 DNW720886 DNW720892:DNW720896 DNW786422 DNW786428:DNW786432 DNW851958 DNW851964:DNW851968 DNW917494 DNW917500:DNW917504 DNW983030 DNW983036:DNW983040 DXS2 DXS8:DXS12 DXS65526 DXS65532:DXS65536 DXS131062 DXS131068:DXS131072 DXS196598 DXS196604:DXS196608 DXS262134 DXS262140:DXS262144 DXS327670 DXS327676:DXS327680 DXS393206 DXS393212:DXS393216 DXS458742 DXS458748:DXS458752 DXS524278 DXS524284:DXS524288 DXS589814 DXS589820:DXS589824 DXS655350 DXS655356:DXS655360 DXS720886 DXS720892:DXS720896 DXS786422 DXS786428:DXS786432 DXS851958 DXS851964:DXS851968 DXS917494 DXS917500:DXS917504 DXS983030 DXS983036:DXS983040 EHO2 EHO8:EHO12 EHO65526 EHO65532:EHO65536 EHO131062 EHO131068:EHO131072 EHO196598 EHO196604:EHO196608 EHO262134 EHO262140:EHO262144 EHO327670 EHO327676:EHO327680 EHO393206 EHO393212:EHO393216 EHO458742 EHO458748:EHO458752 EHO524278 EHO524284:EHO524288 EHO589814 EHO589820:EHO589824 EHO655350 EHO655356:EHO655360 EHO720886 EHO720892:EHO720896 EHO786422 EHO786428:EHO786432 EHO851958 EHO851964:EHO851968 EHO917494 EHO917500:EHO917504 EHO983030 EHO983036:EHO983040 ERK2 ERK8:ERK12 ERK65526 ERK65532:ERK65536 ERK131062 ERK131068:ERK131072 ERK196598 ERK196604:ERK196608 ERK262134 ERK262140:ERK262144 ERK327670 ERK327676:ERK327680 ERK393206 ERK393212:ERK393216 ERK458742 ERK458748:ERK458752 ERK524278 ERK524284:ERK524288 ERK589814 ERK589820:ERK589824 ERK655350 ERK655356:ERK655360 ERK720886 ERK720892:ERK720896 ERK786422 ERK786428:ERK786432 ERK851958 ERK851964:ERK851968 ERK917494 ERK917500:ERK917504 ERK983030 ERK983036:ERK983040 FBG2 FBG8:FBG12 FBG65526 FBG65532:FBG65536 FBG131062 FBG131068:FBG131072 FBG196598 FBG196604:FBG196608 FBG262134 FBG262140:FBG262144 FBG327670 FBG327676:FBG327680 FBG393206 FBG393212:FBG393216 FBG458742 FBG458748:FBG458752 FBG524278 FBG524284:FBG524288 FBG589814 FBG589820:FBG589824 FBG655350 FBG655356:FBG655360 FBG720886 FBG720892:FBG720896 FBG786422 FBG786428:FBG786432 FBG851958 FBG851964:FBG851968 FBG917494 FBG917500:FBG917504 FBG983030 FBG983036:FBG983040 FLC2 FLC8:FLC12 FLC65526 FLC65532:FLC65536 FLC131062 FLC131068:FLC131072 FLC196598 FLC196604:FLC196608 FLC262134 FLC262140:FLC262144 FLC327670 FLC327676:FLC327680 FLC393206 FLC393212:FLC393216 FLC458742 FLC458748:FLC458752 FLC524278 FLC524284:FLC524288 FLC589814 FLC589820:FLC589824 FLC655350 FLC655356:FLC655360 FLC720886 FLC720892:FLC720896 FLC786422 FLC786428:FLC786432 FLC851958 FLC851964:FLC851968 FLC917494 FLC917500:FLC917504 FLC983030 FLC983036:FLC983040 FUY2 FUY8:FUY12 FUY65526 FUY65532:FUY65536 FUY131062 FUY131068:FUY131072 FUY196598 FUY196604:FUY196608 FUY262134 FUY262140:FUY262144 FUY327670 FUY327676:FUY327680 FUY393206 FUY393212:FUY393216 FUY458742 FUY458748:FUY458752 FUY524278 FUY524284:FUY524288 FUY589814 FUY589820:FUY589824 FUY655350 FUY655356:FUY655360 FUY720886 FUY720892:FUY720896 FUY786422 FUY786428:FUY786432 FUY851958 FUY851964:FUY851968 FUY917494 FUY917500:FUY917504 FUY983030 FUY983036:FUY983040 GEU2 GEU8:GEU12 GEU65526 GEU65532:GEU65536 GEU131062 GEU131068:GEU131072 GEU196598 GEU196604:GEU196608 GEU262134 GEU262140:GEU262144 GEU327670 GEU327676:GEU327680 GEU393206 GEU393212:GEU393216 GEU458742 GEU458748:GEU458752 GEU524278 GEU524284:GEU524288 GEU589814 GEU589820:GEU589824 GEU655350 GEU655356:GEU655360 GEU720886 GEU720892:GEU720896 GEU786422 GEU786428:GEU786432 GEU851958 GEU851964:GEU851968 GEU917494 GEU917500:GEU917504 GEU983030 GEU983036:GEU983040 GOQ2 GOQ8:GOQ12 GOQ65526 GOQ65532:GOQ65536 GOQ131062 GOQ131068:GOQ131072 GOQ196598 GOQ196604:GOQ196608 GOQ262134 GOQ262140:GOQ262144 GOQ327670 GOQ327676:GOQ327680 GOQ393206 GOQ393212:GOQ393216 GOQ458742 GOQ458748:GOQ458752 GOQ524278 GOQ524284:GOQ524288 GOQ589814 GOQ589820:GOQ589824 GOQ655350 GOQ655356:GOQ655360 GOQ720886 GOQ720892:GOQ720896 GOQ786422 GOQ786428:GOQ786432 GOQ851958 GOQ851964:GOQ851968 GOQ917494 GOQ917500:GOQ917504 GOQ983030 GOQ983036:GOQ983040 GYM2 GYM8:GYM12 GYM65526 GYM65532:GYM65536 GYM131062 GYM131068:GYM131072 GYM196598 GYM196604:GYM196608 GYM262134 GYM262140:GYM262144 GYM327670 GYM327676:GYM327680 GYM393206 GYM393212:GYM393216 GYM458742 GYM458748:GYM458752 GYM524278 GYM524284:GYM524288 GYM589814 GYM589820:GYM589824 GYM655350 GYM655356:GYM655360 GYM720886 GYM720892:GYM720896 GYM786422 GYM786428:GYM786432 GYM851958 GYM851964:GYM851968 GYM917494 GYM917500:GYM917504 GYM983030 GYM983036:GYM983040 HII2 HII8:HII12 HII65526 HII65532:HII65536 HII131062 HII131068:HII131072 HII196598 HII196604:HII196608 HII262134 HII262140:HII262144 HII327670 HII327676:HII327680 HII393206 HII393212:HII393216 HII458742 HII458748:HII458752 HII524278 HII524284:HII524288 HII589814 HII589820:HII589824 HII655350 HII655356:HII655360 HII720886 HII720892:HII720896 HII786422 HII786428:HII786432 HII851958 HII851964:HII851968 HII917494 HII917500:HII917504 HII983030 HII983036:HII983040 HSE2 HSE8:HSE12 HSE65526 HSE65532:HSE65536 HSE131062 HSE131068:HSE131072 HSE196598 HSE196604:HSE196608 HSE262134 HSE262140:HSE262144 HSE327670 HSE327676:HSE327680 HSE393206 HSE393212:HSE393216 HSE458742 HSE458748:HSE458752 HSE524278 HSE524284:HSE524288 HSE589814 HSE589820:HSE589824 HSE655350 HSE655356:HSE655360 HSE720886 HSE720892:HSE720896 HSE786422 HSE786428:HSE786432 HSE851958 HSE851964:HSE851968 HSE917494 HSE917500:HSE917504 HSE983030 HSE983036:HSE983040 ICA2 ICA8:ICA12 ICA65526 ICA65532:ICA65536 ICA131062 ICA131068:ICA131072 ICA196598 ICA196604:ICA196608 ICA262134 ICA262140:ICA262144 ICA327670 ICA327676:ICA327680 ICA393206 ICA393212:ICA393216 ICA458742 ICA458748:ICA458752 ICA524278 ICA524284:ICA524288 ICA589814 ICA589820:ICA589824 ICA655350 ICA655356:ICA655360 ICA720886 ICA720892:ICA720896 ICA786422 ICA786428:ICA786432 ICA851958 ICA851964:ICA851968 ICA917494 ICA917500:ICA917504 ICA983030 ICA983036:ICA983040 ILW2 ILW8:ILW12 ILW65526 ILW65532:ILW65536 ILW131062 ILW131068:ILW131072 ILW196598 ILW196604:ILW196608 ILW262134 ILW262140:ILW262144 ILW327670 ILW327676:ILW327680 ILW393206 ILW393212:ILW393216 ILW458742 ILW458748:ILW458752 ILW524278 ILW524284:ILW524288 ILW589814 ILW589820:ILW589824 ILW655350 ILW655356:ILW655360 ILW720886 ILW720892:ILW720896 ILW786422 ILW786428:ILW786432 ILW851958 ILW851964:ILW851968 ILW917494 ILW917500:ILW917504 ILW983030 ILW983036:ILW983040 IVS2 IVS8:IVS12 IVS65526 IVS65532:IVS65536 IVS131062 IVS131068:IVS131072 IVS196598 IVS196604:IVS196608 IVS262134 IVS262140:IVS262144 IVS327670 IVS327676:IVS327680 IVS393206 IVS393212:IVS393216 IVS458742 IVS458748:IVS458752 IVS524278 IVS524284:IVS524288 IVS589814 IVS589820:IVS589824 IVS655350 IVS655356:IVS655360 IVS720886 IVS720892:IVS720896 IVS786422 IVS786428:IVS786432 IVS851958 IVS851964:IVS851968 IVS917494 IVS917500:IVS917504 IVS983030 IVS983036:IVS983040 JFO2 JFO8:JFO12 JFO65526 JFO65532:JFO65536 JFO131062 JFO131068:JFO131072 JFO196598 JFO196604:JFO196608 JFO262134 JFO262140:JFO262144 JFO327670 JFO327676:JFO327680 JFO393206 JFO393212:JFO393216 JFO458742 JFO458748:JFO458752 JFO524278 JFO524284:JFO524288 JFO589814 JFO589820:JFO589824 JFO655350 JFO655356:JFO655360 JFO720886 JFO720892:JFO720896 JFO786422 JFO786428:JFO786432 JFO851958 JFO851964:JFO851968 JFO917494 JFO917500:JFO917504 JFO983030 JFO983036:JFO983040 JPK2 JPK8:JPK12 JPK65526 JPK65532:JPK65536 JPK131062 JPK131068:JPK131072 JPK196598 JPK196604:JPK196608 JPK262134 JPK262140:JPK262144 JPK327670 JPK327676:JPK327680 JPK393206 JPK393212:JPK393216 JPK458742 JPK458748:JPK458752 JPK524278 JPK524284:JPK524288 JPK589814 JPK589820:JPK589824 JPK655350 JPK655356:JPK655360 JPK720886 JPK720892:JPK720896 JPK786422 JPK786428:JPK786432 JPK851958 JPK851964:JPK851968 JPK917494 JPK917500:JPK917504 JPK983030 JPK983036:JPK983040 JZG2 JZG8:JZG12 JZG65526 JZG65532:JZG65536 JZG131062 JZG131068:JZG131072 JZG196598 JZG196604:JZG196608 JZG262134 JZG262140:JZG262144 JZG327670 JZG327676:JZG327680 JZG393206 JZG393212:JZG393216 JZG458742 JZG458748:JZG458752 JZG524278 JZG524284:JZG524288 JZG589814 JZG589820:JZG589824 JZG655350 JZG655356:JZG655360 JZG720886 JZG720892:JZG720896 JZG786422 JZG786428:JZG786432 JZG851958 JZG851964:JZG851968 JZG917494 JZG917500:JZG917504 JZG983030 JZG983036:JZG983040 KJC2 KJC8:KJC12 KJC65526 KJC65532:KJC65536 KJC131062 KJC131068:KJC131072 KJC196598 KJC196604:KJC196608 KJC262134 KJC262140:KJC262144 KJC327670 KJC327676:KJC327680 KJC393206 KJC393212:KJC393216 KJC458742 KJC458748:KJC458752 KJC524278 KJC524284:KJC524288 KJC589814 KJC589820:KJC589824 KJC655350 KJC655356:KJC655360 KJC720886 KJC720892:KJC720896 KJC786422 KJC786428:KJC786432 KJC851958 KJC851964:KJC851968 KJC917494 KJC917500:KJC917504 KJC983030 KJC983036:KJC983040 KSY2 KSY8:KSY12 KSY65526 KSY65532:KSY65536 KSY131062 KSY131068:KSY131072 KSY196598 KSY196604:KSY196608 KSY262134 KSY262140:KSY262144 KSY327670 KSY327676:KSY327680 KSY393206 KSY393212:KSY393216 KSY458742 KSY458748:KSY458752 KSY524278 KSY524284:KSY524288 KSY589814 KSY589820:KSY589824 KSY655350 KSY655356:KSY655360 KSY720886 KSY720892:KSY720896 KSY786422 KSY786428:KSY786432 KSY851958 KSY851964:KSY851968 KSY917494 KSY917500:KSY917504 KSY983030 KSY983036:KSY983040 LCU2 LCU8:LCU12 LCU65526 LCU65532:LCU65536 LCU131062 LCU131068:LCU131072 LCU196598 LCU196604:LCU196608 LCU262134 LCU262140:LCU262144 LCU327670 LCU327676:LCU327680 LCU393206 LCU393212:LCU393216 LCU458742 LCU458748:LCU458752 LCU524278 LCU524284:LCU524288 LCU589814 LCU589820:LCU589824 LCU655350 LCU655356:LCU655360 LCU720886 LCU720892:LCU720896 LCU786422 LCU786428:LCU786432 LCU851958 LCU851964:LCU851968 LCU917494 LCU917500:LCU917504 LCU983030 LCU983036:LCU983040 LMQ2 LMQ8:LMQ12 LMQ65526 LMQ65532:LMQ65536 LMQ131062 LMQ131068:LMQ131072 LMQ196598 LMQ196604:LMQ196608 LMQ262134 LMQ262140:LMQ262144 LMQ327670 LMQ327676:LMQ327680 LMQ393206 LMQ393212:LMQ393216 LMQ458742 LMQ458748:LMQ458752 LMQ524278 LMQ524284:LMQ524288 LMQ589814 LMQ589820:LMQ589824 LMQ655350 LMQ655356:LMQ655360 LMQ720886 LMQ720892:LMQ720896 LMQ786422 LMQ786428:LMQ786432 LMQ851958 LMQ851964:LMQ851968 LMQ917494 LMQ917500:LMQ917504 LMQ983030 LMQ983036:LMQ983040 LWM2 LWM8:LWM12 LWM65526 LWM65532:LWM65536 LWM131062 LWM131068:LWM131072 LWM196598 LWM196604:LWM196608 LWM262134 LWM262140:LWM262144 LWM327670 LWM327676:LWM327680 LWM393206 LWM393212:LWM393216 LWM458742 LWM458748:LWM458752 LWM524278 LWM524284:LWM524288 LWM589814 LWM589820:LWM589824 LWM655350 LWM655356:LWM655360 LWM720886 LWM720892:LWM720896 LWM786422 LWM786428:LWM786432 LWM851958 LWM851964:LWM851968 LWM917494 LWM917500:LWM917504 LWM983030 LWM983036:LWM983040 MGI2 MGI8:MGI12 MGI65526 MGI65532:MGI65536 MGI131062 MGI131068:MGI131072 MGI196598 MGI196604:MGI196608 MGI262134 MGI262140:MGI262144 MGI327670 MGI327676:MGI327680 MGI393206 MGI393212:MGI393216 MGI458742 MGI458748:MGI458752 MGI524278 MGI524284:MGI524288 MGI589814 MGI589820:MGI589824 MGI655350 MGI655356:MGI655360 MGI720886 MGI720892:MGI720896 MGI786422 MGI786428:MGI786432 MGI851958 MGI851964:MGI851968 MGI917494 MGI917500:MGI917504 MGI983030 MGI983036:MGI983040 MQE2 MQE8:MQE12 MQE65526 MQE65532:MQE65536 MQE131062 MQE131068:MQE131072 MQE196598 MQE196604:MQE196608 MQE262134 MQE262140:MQE262144 MQE327670 MQE327676:MQE327680 MQE393206 MQE393212:MQE393216 MQE458742 MQE458748:MQE458752 MQE524278 MQE524284:MQE524288 MQE589814 MQE589820:MQE589824 MQE655350 MQE655356:MQE655360 MQE720886 MQE720892:MQE720896 MQE786422 MQE786428:MQE786432 MQE851958 MQE851964:MQE851968 MQE917494 MQE917500:MQE917504 MQE983030 MQE983036:MQE983040 NAA2 NAA8:NAA12 NAA65526 NAA65532:NAA65536 NAA131062 NAA131068:NAA131072 NAA196598 NAA196604:NAA196608 NAA262134 NAA262140:NAA262144 NAA327670 NAA327676:NAA327680 NAA393206 NAA393212:NAA393216 NAA458742 NAA458748:NAA458752 NAA524278 NAA524284:NAA524288 NAA589814 NAA589820:NAA589824 NAA655350 NAA655356:NAA655360 NAA720886 NAA720892:NAA720896 NAA786422 NAA786428:NAA786432 NAA851958 NAA851964:NAA851968 NAA917494 NAA917500:NAA917504 NAA983030 NAA983036:NAA983040 NJW2 NJW8:NJW12 NJW65526 NJW65532:NJW65536 NJW131062 NJW131068:NJW131072 NJW196598 NJW196604:NJW196608 NJW262134 NJW262140:NJW262144 NJW327670 NJW327676:NJW327680 NJW393206 NJW393212:NJW393216 NJW458742 NJW458748:NJW458752 NJW524278 NJW524284:NJW524288 NJW589814 NJW589820:NJW589824 NJW655350 NJW655356:NJW655360 NJW720886 NJW720892:NJW720896 NJW786422 NJW786428:NJW786432 NJW851958 NJW851964:NJW851968 NJW917494 NJW917500:NJW917504 NJW983030 NJW983036:NJW983040 NTS2 NTS8:NTS12 NTS65526 NTS65532:NTS65536 NTS131062 NTS131068:NTS131072 NTS196598 NTS196604:NTS196608 NTS262134 NTS262140:NTS262144 NTS327670 NTS327676:NTS327680 NTS393206 NTS393212:NTS393216 NTS458742 NTS458748:NTS458752 NTS524278 NTS524284:NTS524288 NTS589814 NTS589820:NTS589824 NTS655350 NTS655356:NTS655360 NTS720886 NTS720892:NTS720896 NTS786422 NTS786428:NTS786432 NTS851958 NTS851964:NTS851968 NTS917494 NTS917500:NTS917504 NTS983030 NTS983036:NTS983040 ODO2 ODO8:ODO12 ODO65526 ODO65532:ODO65536 ODO131062 ODO131068:ODO131072 ODO196598 ODO196604:ODO196608 ODO262134 ODO262140:ODO262144 ODO327670 ODO327676:ODO327680 ODO393206 ODO393212:ODO393216 ODO458742 ODO458748:ODO458752 ODO524278 ODO524284:ODO524288 ODO589814 ODO589820:ODO589824 ODO655350 ODO655356:ODO655360 ODO720886 ODO720892:ODO720896 ODO786422 ODO786428:ODO786432 ODO851958 ODO851964:ODO851968 ODO917494 ODO917500:ODO917504 ODO983030 ODO983036:ODO983040 ONK2 ONK8:ONK12 ONK65526 ONK65532:ONK65536 ONK131062 ONK131068:ONK131072 ONK196598 ONK196604:ONK196608 ONK262134 ONK262140:ONK262144 ONK327670 ONK327676:ONK327680 ONK393206 ONK393212:ONK393216 ONK458742 ONK458748:ONK458752 ONK524278 ONK524284:ONK524288 ONK589814 ONK589820:ONK589824 ONK655350 ONK655356:ONK655360 ONK720886 ONK720892:ONK720896 ONK786422 ONK786428:ONK786432 ONK851958 ONK851964:ONK851968 ONK917494 ONK917500:ONK917504 ONK983030 ONK983036:ONK983040 OXG2 OXG8:OXG12 OXG65526 OXG65532:OXG65536 OXG131062 OXG131068:OXG131072 OXG196598 OXG196604:OXG196608 OXG262134 OXG262140:OXG262144 OXG327670 OXG327676:OXG327680 OXG393206 OXG393212:OXG393216 OXG458742 OXG458748:OXG458752 OXG524278 OXG524284:OXG524288 OXG589814 OXG589820:OXG589824 OXG655350 OXG655356:OXG655360 OXG720886 OXG720892:OXG720896 OXG786422 OXG786428:OXG786432 OXG851958 OXG851964:OXG851968 OXG917494 OXG917500:OXG917504 OXG983030 OXG983036:OXG983040 PHC2 PHC8:PHC12 PHC65526 PHC65532:PHC65536 PHC131062 PHC131068:PHC131072 PHC196598 PHC196604:PHC196608 PHC262134 PHC262140:PHC262144 PHC327670 PHC327676:PHC327680 PHC393206 PHC393212:PHC393216 PHC458742 PHC458748:PHC458752 PHC524278 PHC524284:PHC524288 PHC589814 PHC589820:PHC589824 PHC655350 PHC655356:PHC655360 PHC720886 PHC720892:PHC720896 PHC786422 PHC786428:PHC786432 PHC851958 PHC851964:PHC851968 PHC917494 PHC917500:PHC917504 PHC983030 PHC983036:PHC983040 PQY2 PQY8:PQY12 PQY65526 PQY65532:PQY65536 PQY131062 PQY131068:PQY131072 PQY196598 PQY196604:PQY196608 PQY262134 PQY262140:PQY262144 PQY327670 PQY327676:PQY327680 PQY393206 PQY393212:PQY393216 PQY458742 PQY458748:PQY458752 PQY524278 PQY524284:PQY524288 PQY589814 PQY589820:PQY589824 PQY655350 PQY655356:PQY655360 PQY720886 PQY720892:PQY720896 PQY786422 PQY786428:PQY786432 PQY851958 PQY851964:PQY851968 PQY917494 PQY917500:PQY917504 PQY983030 PQY983036:PQY983040 QAU2 QAU8:QAU12 QAU65526 QAU65532:QAU65536 QAU131062 QAU131068:QAU131072 QAU196598 QAU196604:QAU196608 QAU262134 QAU262140:QAU262144 QAU327670 QAU327676:QAU327680 QAU393206 QAU393212:QAU393216 QAU458742 QAU458748:QAU458752 QAU524278 QAU524284:QAU524288 QAU589814 QAU589820:QAU589824 QAU655350 QAU655356:QAU655360 QAU720886 QAU720892:QAU720896 QAU786422 QAU786428:QAU786432 QAU851958 QAU851964:QAU851968 QAU917494 QAU917500:QAU917504 QAU983030 QAU983036:QAU983040 QKQ2 QKQ8:QKQ12 QKQ65526 QKQ65532:QKQ65536 QKQ131062 QKQ131068:QKQ131072 QKQ196598 QKQ196604:QKQ196608 QKQ262134 QKQ262140:QKQ262144 QKQ327670 QKQ327676:QKQ327680 QKQ393206 QKQ393212:QKQ393216 QKQ458742 QKQ458748:QKQ458752 QKQ524278 QKQ524284:QKQ524288 QKQ589814 QKQ589820:QKQ589824 QKQ655350 QKQ655356:QKQ655360 QKQ720886 QKQ720892:QKQ720896 QKQ786422 QKQ786428:QKQ786432 QKQ851958 QKQ851964:QKQ851968 QKQ917494 QKQ917500:QKQ917504 QKQ983030 QKQ983036:QKQ983040 QUM2 QUM8:QUM12 QUM65526 QUM65532:QUM65536 QUM131062 QUM131068:QUM131072 QUM196598 QUM196604:QUM196608 QUM262134 QUM262140:QUM262144 QUM327670 QUM327676:QUM327680 QUM393206 QUM393212:QUM393216 QUM458742 QUM458748:QUM458752 QUM524278 QUM524284:QUM524288 QUM589814 QUM589820:QUM589824 QUM655350 QUM655356:QUM655360 QUM720886 QUM720892:QUM720896 QUM786422 QUM786428:QUM786432 QUM851958 QUM851964:QUM851968 QUM917494 QUM917500:QUM917504 QUM983030 QUM983036:QUM983040 REI2 REI8:REI12 REI65526 REI65532:REI65536 REI131062 REI131068:REI131072 REI196598 REI196604:REI196608 REI262134 REI262140:REI262144 REI327670 REI327676:REI327680 REI393206 REI393212:REI393216 REI458742 REI458748:REI458752 REI524278 REI524284:REI524288 REI589814 REI589820:REI589824 REI655350 REI655356:REI655360 REI720886 REI720892:REI720896 REI786422 REI786428:REI786432 REI851958 REI851964:REI851968 REI917494 REI917500:REI917504 REI983030 REI983036:REI983040 ROE2 ROE8:ROE12 ROE65526 ROE65532:ROE65536 ROE131062 ROE131068:ROE131072 ROE196598 ROE196604:ROE196608 ROE262134 ROE262140:ROE262144 ROE327670 ROE327676:ROE327680 ROE393206 ROE393212:ROE393216 ROE458742 ROE458748:ROE458752 ROE524278 ROE524284:ROE524288 ROE589814 ROE589820:ROE589824 ROE655350 ROE655356:ROE655360 ROE720886 ROE720892:ROE720896 ROE786422 ROE786428:ROE786432 ROE851958 ROE851964:ROE851968 ROE917494 ROE917500:ROE917504 ROE983030 ROE983036:ROE983040 RYA2 RYA8:RYA12 RYA65526 RYA65532:RYA65536 RYA131062 RYA131068:RYA131072 RYA196598 RYA196604:RYA196608 RYA262134 RYA262140:RYA262144 RYA327670 RYA327676:RYA327680 RYA393206 RYA393212:RYA393216 RYA458742 RYA458748:RYA458752 RYA524278 RYA524284:RYA524288 RYA589814 RYA589820:RYA589824 RYA655350 RYA655356:RYA655360 RYA720886 RYA720892:RYA720896 RYA786422 RYA786428:RYA786432 RYA851958 RYA851964:RYA851968 RYA917494 RYA917500:RYA917504 RYA983030 RYA983036:RYA983040 SHW2 SHW8:SHW12 SHW65526 SHW65532:SHW65536 SHW131062 SHW131068:SHW131072 SHW196598 SHW196604:SHW196608 SHW262134 SHW262140:SHW262144 SHW327670 SHW327676:SHW327680 SHW393206 SHW393212:SHW393216 SHW458742 SHW458748:SHW458752 SHW524278 SHW524284:SHW524288 SHW589814 SHW589820:SHW589824 SHW655350 SHW655356:SHW655360 SHW720886 SHW720892:SHW720896 SHW786422 SHW786428:SHW786432 SHW851958 SHW851964:SHW851968 SHW917494 SHW917500:SHW917504 SHW983030 SHW983036:SHW983040 SRS2 SRS8:SRS12 SRS65526 SRS65532:SRS65536 SRS131062 SRS131068:SRS131072 SRS196598 SRS196604:SRS196608 SRS262134 SRS262140:SRS262144 SRS327670 SRS327676:SRS327680 SRS393206 SRS393212:SRS393216 SRS458742 SRS458748:SRS458752 SRS524278 SRS524284:SRS524288 SRS589814 SRS589820:SRS589824 SRS655350 SRS655356:SRS655360 SRS720886 SRS720892:SRS720896 SRS786422 SRS786428:SRS786432 SRS851958 SRS851964:SRS851968 SRS917494 SRS917500:SRS917504 SRS983030 SRS983036:SRS983040 TBO2 TBO8:TBO12 TBO65526 TBO65532:TBO65536 TBO131062 TBO131068:TBO131072 TBO196598 TBO196604:TBO196608 TBO262134 TBO262140:TBO262144 TBO327670 TBO327676:TBO327680 TBO393206 TBO393212:TBO393216 TBO458742 TBO458748:TBO458752 TBO524278 TBO524284:TBO524288 TBO589814 TBO589820:TBO589824 TBO655350 TBO655356:TBO655360 TBO720886 TBO720892:TBO720896 TBO786422 TBO786428:TBO786432 TBO851958 TBO851964:TBO851968 TBO917494 TBO917500:TBO917504 TBO983030 TBO983036:TBO983040 TLK2 TLK8:TLK12 TLK65526 TLK65532:TLK65536 TLK131062 TLK131068:TLK131072 TLK196598 TLK196604:TLK196608 TLK262134 TLK262140:TLK262144 TLK327670 TLK327676:TLK327680 TLK393206 TLK393212:TLK393216 TLK458742 TLK458748:TLK458752 TLK524278 TLK524284:TLK524288 TLK589814 TLK589820:TLK589824 TLK655350 TLK655356:TLK655360 TLK720886 TLK720892:TLK720896 TLK786422 TLK786428:TLK786432 TLK851958 TLK851964:TLK851968 TLK917494 TLK917500:TLK917504 TLK983030 TLK983036:TLK983040 TVG2 TVG8:TVG12 TVG65526 TVG65532:TVG65536 TVG131062 TVG131068:TVG131072 TVG196598 TVG196604:TVG196608 TVG262134 TVG262140:TVG262144 TVG327670 TVG327676:TVG327680 TVG393206 TVG393212:TVG393216 TVG458742 TVG458748:TVG458752 TVG524278 TVG524284:TVG524288 TVG589814 TVG589820:TVG589824 TVG655350 TVG655356:TVG655360 TVG720886 TVG720892:TVG720896 TVG786422 TVG786428:TVG786432 TVG851958 TVG851964:TVG851968 TVG917494 TVG917500:TVG917504 TVG983030 TVG983036:TVG983040 UFC2 UFC8:UFC12 UFC65526 UFC65532:UFC65536 UFC131062 UFC131068:UFC131072 UFC196598 UFC196604:UFC196608 UFC262134 UFC262140:UFC262144 UFC327670 UFC327676:UFC327680 UFC393206 UFC393212:UFC393216 UFC458742 UFC458748:UFC458752 UFC524278 UFC524284:UFC524288 UFC589814 UFC589820:UFC589824 UFC655350 UFC655356:UFC655360 UFC720886 UFC720892:UFC720896 UFC786422 UFC786428:UFC786432 UFC851958 UFC851964:UFC851968 UFC917494 UFC917500:UFC917504 UFC983030 UFC983036:UFC983040 UOY2 UOY8:UOY12 UOY65526 UOY65532:UOY65536 UOY131062 UOY131068:UOY131072 UOY196598 UOY196604:UOY196608 UOY262134 UOY262140:UOY262144 UOY327670 UOY327676:UOY327680 UOY393206 UOY393212:UOY393216 UOY458742 UOY458748:UOY458752 UOY524278 UOY524284:UOY524288 UOY589814 UOY589820:UOY589824 UOY655350 UOY655356:UOY655360 UOY720886 UOY720892:UOY720896 UOY786422 UOY786428:UOY786432 UOY851958 UOY851964:UOY851968 UOY917494 UOY917500:UOY917504 UOY983030 UOY983036:UOY983040 UYU2 UYU8:UYU12 UYU65526 UYU65532:UYU65536 UYU131062 UYU131068:UYU131072 UYU196598 UYU196604:UYU196608 UYU262134 UYU262140:UYU262144 UYU327670 UYU327676:UYU327680 UYU393206 UYU393212:UYU393216 UYU458742 UYU458748:UYU458752 UYU524278 UYU524284:UYU524288 UYU589814 UYU589820:UYU589824 UYU655350 UYU655356:UYU655360 UYU720886 UYU720892:UYU720896 UYU786422 UYU786428:UYU786432 UYU851958 UYU851964:UYU851968 UYU917494 UYU917500:UYU917504 UYU983030 UYU983036:UYU983040 VIQ2 VIQ8:VIQ12 VIQ65526 VIQ65532:VIQ65536 VIQ131062 VIQ131068:VIQ131072 VIQ196598 VIQ196604:VIQ196608 VIQ262134 VIQ262140:VIQ262144 VIQ327670 VIQ327676:VIQ327680 VIQ393206 VIQ393212:VIQ393216 VIQ458742 VIQ458748:VIQ458752 VIQ524278 VIQ524284:VIQ524288 VIQ589814 VIQ589820:VIQ589824 VIQ655350 VIQ655356:VIQ655360 VIQ720886 VIQ720892:VIQ720896 VIQ786422 VIQ786428:VIQ786432 VIQ851958 VIQ851964:VIQ851968 VIQ917494 VIQ917500:VIQ917504 VIQ983030 VIQ983036:VIQ983040 VSM2 VSM8:VSM12 VSM65526 VSM65532:VSM65536 VSM131062 VSM131068:VSM131072 VSM196598 VSM196604:VSM196608 VSM262134 VSM262140:VSM262144 VSM327670 VSM327676:VSM327680 VSM393206 VSM393212:VSM393216 VSM458742 VSM458748:VSM458752 VSM524278 VSM524284:VSM524288 VSM589814 VSM589820:VSM589824 VSM655350 VSM655356:VSM655360 VSM720886 VSM720892:VSM720896 VSM786422 VSM786428:VSM786432 VSM851958 VSM851964:VSM851968 VSM917494 VSM917500:VSM917504 VSM983030 VSM983036:VSM983040 WCI2 WCI8:WCI12 WCI65526 WCI65532:WCI65536 WCI131062 WCI131068:WCI131072 WCI196598 WCI196604:WCI196608 WCI262134 WCI262140:WCI262144 WCI327670 WCI327676:WCI327680 WCI393206 WCI393212:WCI393216 WCI458742 WCI458748:WCI458752 WCI524278 WCI524284:WCI524288 WCI589814 WCI589820:WCI589824 WCI655350 WCI655356:WCI655360 WCI720886 WCI720892:WCI720896 WCI786422 WCI786428:WCI786432 WCI851958 WCI851964:WCI851968 WCI917494 WCI917500:WCI917504 WCI983030 WCI983036:WCI983040 WME2 WME8:WME12 WME65526 WME65532:WME65536 WME131062 WME131068:WME131072 WME196598 WME196604:WME196608 WME262134 WME262140:WME262144 WME327670 WME327676:WME327680 WME393206 WME393212:WME393216 WME458742 WME458748:WME458752 WME524278 WME524284:WME524288 WME589814 WME589820:WME589824 WME655350 WME655356:WME655360 WME720886 WME720892:WME720896 WME786422 WME786428:WME786432 WME851958 WME851964:WME851968 WME917494 WME917500:WME917504 WME983030 WME983036:WME983040 WWA2 WWA8:WWA12 WWA65526 WWA65532:WWA65536 WWA131062 WWA131068:WWA131072 WWA196598 WWA196604:WWA196608 WWA262134 WWA262140:WWA262144 WWA327670 WWA327676:WWA327680 WWA393206 WWA393212:WWA393216 WWA458742 WWA458748:WWA458752 WWA524278 WWA524284:WWA524288 WWA589814 WWA589820:WWA589824 WWA655350 WWA655356:WWA655360 WWA720886 WWA720892:WWA720896 WWA786422 WWA786428:WWA786432 WWA851958 WWA851964:WWA851968 WWA917494 WWA917500:WWA917504 WWA983030 WWA983036:WWA983040" xr:uid="{00000000-0002-0000-0700-000013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12 N65526:N65536 N131062:N131072 N196598:N196608 N262134:N262144 N327670:N327680 N393206:N393216 N458742:N458752 N524278:N524288 N589814:N589824 N655350:N655360 N720886:N720896 N786422:N786432 N851958:N851968 N917494:N917504 N983030:N983040 JK2:JK12 JK65526:JK65536 JK131062:JK131072 JK196598:JK196608 JK262134:JK262144 JK327670:JK327680 JK393206:JK393216 JK458742:JK458752 JK524278:JK524288 JK589814:JK589824 JK655350:JK655360 JK720886:JK720896 JK786422:JK786432 JK851958:JK851968 JK917494:JK917504 JK983030:JK983040 TG2:TG12 TG65526:TG65536 TG131062:TG131072 TG196598:TG196608 TG262134:TG262144 TG327670:TG327680 TG393206:TG393216 TG458742:TG458752 TG524278:TG524288 TG589814:TG589824 TG655350:TG655360 TG720886:TG720896 TG786422:TG786432 TG851958:TG851968 TG917494:TG917504 TG983030:TG983040 ADC2:ADC12 ADC65526:ADC65536 ADC131062:ADC131072 ADC196598:ADC196608 ADC262134:ADC262144 ADC327670:ADC327680 ADC393206:ADC393216 ADC458742:ADC458752 ADC524278:ADC524288 ADC589814:ADC589824 ADC655350:ADC655360 ADC720886:ADC720896 ADC786422:ADC786432 ADC851958:ADC851968 ADC917494:ADC917504 ADC983030:ADC983040 AMY2:AMY12 AMY65526:AMY65536 AMY131062:AMY131072 AMY196598:AMY196608 AMY262134:AMY262144 AMY327670:AMY327680 AMY393206:AMY393216 AMY458742:AMY458752 AMY524278:AMY524288 AMY589814:AMY589824 AMY655350:AMY655360 AMY720886:AMY720896 AMY786422:AMY786432 AMY851958:AMY851968 AMY917494:AMY917504 AMY983030:AMY983040 AWU2:AWU12 AWU65526:AWU65536 AWU131062:AWU131072 AWU196598:AWU196608 AWU262134:AWU262144 AWU327670:AWU327680 AWU393206:AWU393216 AWU458742:AWU458752 AWU524278:AWU524288 AWU589814:AWU589824 AWU655350:AWU655360 AWU720886:AWU720896 AWU786422:AWU786432 AWU851958:AWU851968 AWU917494:AWU917504 AWU983030:AWU983040 BGQ2:BGQ12 BGQ65526:BGQ65536 BGQ131062:BGQ131072 BGQ196598:BGQ196608 BGQ262134:BGQ262144 BGQ327670:BGQ327680 BGQ393206:BGQ393216 BGQ458742:BGQ458752 BGQ524278:BGQ524288 BGQ589814:BGQ589824 BGQ655350:BGQ655360 BGQ720886:BGQ720896 BGQ786422:BGQ786432 BGQ851958:BGQ851968 BGQ917494:BGQ917504 BGQ983030:BGQ983040 BQM2:BQM12 BQM65526:BQM65536 BQM131062:BQM131072 BQM196598:BQM196608 BQM262134:BQM262144 BQM327670:BQM327680 BQM393206:BQM393216 BQM458742:BQM458752 BQM524278:BQM524288 BQM589814:BQM589824 BQM655350:BQM655360 BQM720886:BQM720896 BQM786422:BQM786432 BQM851958:BQM851968 BQM917494:BQM917504 BQM983030:BQM983040 CAI2:CAI12 CAI65526:CAI65536 CAI131062:CAI131072 CAI196598:CAI196608 CAI262134:CAI262144 CAI327670:CAI327680 CAI393206:CAI393216 CAI458742:CAI458752 CAI524278:CAI524288 CAI589814:CAI589824 CAI655350:CAI655360 CAI720886:CAI720896 CAI786422:CAI786432 CAI851958:CAI851968 CAI917494:CAI917504 CAI983030:CAI983040 CKE2:CKE12 CKE65526:CKE65536 CKE131062:CKE131072 CKE196598:CKE196608 CKE262134:CKE262144 CKE327670:CKE327680 CKE393206:CKE393216 CKE458742:CKE458752 CKE524278:CKE524288 CKE589814:CKE589824 CKE655350:CKE655360 CKE720886:CKE720896 CKE786422:CKE786432 CKE851958:CKE851968 CKE917494:CKE917504 CKE983030:CKE983040 CUA2:CUA12 CUA65526:CUA65536 CUA131062:CUA131072 CUA196598:CUA196608 CUA262134:CUA262144 CUA327670:CUA327680 CUA393206:CUA393216 CUA458742:CUA458752 CUA524278:CUA524288 CUA589814:CUA589824 CUA655350:CUA655360 CUA720886:CUA720896 CUA786422:CUA786432 CUA851958:CUA851968 CUA917494:CUA917504 CUA983030:CUA983040 DDW2:DDW12 DDW65526:DDW65536 DDW131062:DDW131072 DDW196598:DDW196608 DDW262134:DDW262144 DDW327670:DDW327680 DDW393206:DDW393216 DDW458742:DDW458752 DDW524278:DDW524288 DDW589814:DDW589824 DDW655350:DDW655360 DDW720886:DDW720896 DDW786422:DDW786432 DDW851958:DDW851968 DDW917494:DDW917504 DDW983030:DDW983040 DNS2:DNS12 DNS65526:DNS65536 DNS131062:DNS131072 DNS196598:DNS196608 DNS262134:DNS262144 DNS327670:DNS327680 DNS393206:DNS393216 DNS458742:DNS458752 DNS524278:DNS524288 DNS589814:DNS589824 DNS655350:DNS655360 DNS720886:DNS720896 DNS786422:DNS786432 DNS851958:DNS851968 DNS917494:DNS917504 DNS983030:DNS983040 DXO2:DXO12 DXO65526:DXO65536 DXO131062:DXO131072 DXO196598:DXO196608 DXO262134:DXO262144 DXO327670:DXO327680 DXO393206:DXO393216 DXO458742:DXO458752 DXO524278:DXO524288 DXO589814:DXO589824 DXO655350:DXO655360 DXO720886:DXO720896 DXO786422:DXO786432 DXO851958:DXO851968 DXO917494:DXO917504 DXO983030:DXO983040 EHK2:EHK12 EHK65526:EHK65536 EHK131062:EHK131072 EHK196598:EHK196608 EHK262134:EHK262144 EHK327670:EHK327680 EHK393206:EHK393216 EHK458742:EHK458752 EHK524278:EHK524288 EHK589814:EHK589824 EHK655350:EHK655360 EHK720886:EHK720896 EHK786422:EHK786432 EHK851958:EHK851968 EHK917494:EHK917504 EHK983030:EHK983040 ERG2:ERG12 ERG65526:ERG65536 ERG131062:ERG131072 ERG196598:ERG196608 ERG262134:ERG262144 ERG327670:ERG327680 ERG393206:ERG393216 ERG458742:ERG458752 ERG524278:ERG524288 ERG589814:ERG589824 ERG655350:ERG655360 ERG720886:ERG720896 ERG786422:ERG786432 ERG851958:ERG851968 ERG917494:ERG917504 ERG983030:ERG983040 FBC2:FBC12 FBC65526:FBC65536 FBC131062:FBC131072 FBC196598:FBC196608 FBC262134:FBC262144 FBC327670:FBC327680 FBC393206:FBC393216 FBC458742:FBC458752 FBC524278:FBC524288 FBC589814:FBC589824 FBC655350:FBC655360 FBC720886:FBC720896 FBC786422:FBC786432 FBC851958:FBC851968 FBC917494:FBC917504 FBC983030:FBC983040 FKY2:FKY12 FKY65526:FKY65536 FKY131062:FKY131072 FKY196598:FKY196608 FKY262134:FKY262144 FKY327670:FKY327680 FKY393206:FKY393216 FKY458742:FKY458752 FKY524278:FKY524288 FKY589814:FKY589824 FKY655350:FKY655360 FKY720886:FKY720896 FKY786422:FKY786432 FKY851958:FKY851968 FKY917494:FKY917504 FKY983030:FKY983040 FUU2:FUU12 FUU65526:FUU65536 FUU131062:FUU131072 FUU196598:FUU196608 FUU262134:FUU262144 FUU327670:FUU327680 FUU393206:FUU393216 FUU458742:FUU458752 FUU524278:FUU524288 FUU589814:FUU589824 FUU655350:FUU655360 FUU720886:FUU720896 FUU786422:FUU786432 FUU851958:FUU851968 FUU917494:FUU917504 FUU983030:FUU983040 GEQ2:GEQ12 GEQ65526:GEQ65536 GEQ131062:GEQ131072 GEQ196598:GEQ196608 GEQ262134:GEQ262144 GEQ327670:GEQ327680 GEQ393206:GEQ393216 GEQ458742:GEQ458752 GEQ524278:GEQ524288 GEQ589814:GEQ589824 GEQ655350:GEQ655360 GEQ720886:GEQ720896 GEQ786422:GEQ786432 GEQ851958:GEQ851968 GEQ917494:GEQ917504 GEQ983030:GEQ983040 GOM2:GOM12 GOM65526:GOM65536 GOM131062:GOM131072 GOM196598:GOM196608 GOM262134:GOM262144 GOM327670:GOM327680 GOM393206:GOM393216 GOM458742:GOM458752 GOM524278:GOM524288 GOM589814:GOM589824 GOM655350:GOM655360 GOM720886:GOM720896 GOM786422:GOM786432 GOM851958:GOM851968 GOM917494:GOM917504 GOM983030:GOM983040 GYI2:GYI12 GYI65526:GYI65536 GYI131062:GYI131072 GYI196598:GYI196608 GYI262134:GYI262144 GYI327670:GYI327680 GYI393206:GYI393216 GYI458742:GYI458752 GYI524278:GYI524288 GYI589814:GYI589824 GYI655350:GYI655360 GYI720886:GYI720896 GYI786422:GYI786432 GYI851958:GYI851968 GYI917494:GYI917504 GYI983030:GYI983040 HIE2:HIE12 HIE65526:HIE65536 HIE131062:HIE131072 HIE196598:HIE196608 HIE262134:HIE262144 HIE327670:HIE327680 HIE393206:HIE393216 HIE458742:HIE458752 HIE524278:HIE524288 HIE589814:HIE589824 HIE655350:HIE655360 HIE720886:HIE720896 HIE786422:HIE786432 HIE851958:HIE851968 HIE917494:HIE917504 HIE983030:HIE983040 HSA2:HSA12 HSA65526:HSA65536 HSA131062:HSA131072 HSA196598:HSA196608 HSA262134:HSA262144 HSA327670:HSA327680 HSA393206:HSA393216 HSA458742:HSA458752 HSA524278:HSA524288 HSA589814:HSA589824 HSA655350:HSA655360 HSA720886:HSA720896 HSA786422:HSA786432 HSA851958:HSA851968 HSA917494:HSA917504 HSA983030:HSA983040 IBW2:IBW12 IBW65526:IBW65536 IBW131062:IBW131072 IBW196598:IBW196608 IBW262134:IBW262144 IBW327670:IBW327680 IBW393206:IBW393216 IBW458742:IBW458752 IBW524278:IBW524288 IBW589814:IBW589824 IBW655350:IBW655360 IBW720886:IBW720896 IBW786422:IBW786432 IBW851958:IBW851968 IBW917494:IBW917504 IBW983030:IBW983040 ILS2:ILS12 ILS65526:ILS65536 ILS131062:ILS131072 ILS196598:ILS196608 ILS262134:ILS262144 ILS327670:ILS327680 ILS393206:ILS393216 ILS458742:ILS458752 ILS524278:ILS524288 ILS589814:ILS589824 ILS655350:ILS655360 ILS720886:ILS720896 ILS786422:ILS786432 ILS851958:ILS851968 ILS917494:ILS917504 ILS983030:ILS983040 IVO2:IVO12 IVO65526:IVO65536 IVO131062:IVO131072 IVO196598:IVO196608 IVO262134:IVO262144 IVO327670:IVO327680 IVO393206:IVO393216 IVO458742:IVO458752 IVO524278:IVO524288 IVO589814:IVO589824 IVO655350:IVO655360 IVO720886:IVO720896 IVO786422:IVO786432 IVO851958:IVO851968 IVO917494:IVO917504 IVO983030:IVO983040 JFK2:JFK12 JFK65526:JFK65536 JFK131062:JFK131072 JFK196598:JFK196608 JFK262134:JFK262144 JFK327670:JFK327680 JFK393206:JFK393216 JFK458742:JFK458752 JFK524278:JFK524288 JFK589814:JFK589824 JFK655350:JFK655360 JFK720886:JFK720896 JFK786422:JFK786432 JFK851958:JFK851968 JFK917494:JFK917504 JFK983030:JFK983040 JPG2:JPG12 JPG65526:JPG65536 JPG131062:JPG131072 JPG196598:JPG196608 JPG262134:JPG262144 JPG327670:JPG327680 JPG393206:JPG393216 JPG458742:JPG458752 JPG524278:JPG524288 JPG589814:JPG589824 JPG655350:JPG655360 JPG720886:JPG720896 JPG786422:JPG786432 JPG851958:JPG851968 JPG917494:JPG917504 JPG983030:JPG983040 JZC2:JZC12 JZC65526:JZC65536 JZC131062:JZC131072 JZC196598:JZC196608 JZC262134:JZC262144 JZC327670:JZC327680 JZC393206:JZC393216 JZC458742:JZC458752 JZC524278:JZC524288 JZC589814:JZC589824 JZC655350:JZC655360 JZC720886:JZC720896 JZC786422:JZC786432 JZC851958:JZC851968 JZC917494:JZC917504 JZC983030:JZC983040 KIY2:KIY12 KIY65526:KIY65536 KIY131062:KIY131072 KIY196598:KIY196608 KIY262134:KIY262144 KIY327670:KIY327680 KIY393206:KIY393216 KIY458742:KIY458752 KIY524278:KIY524288 KIY589814:KIY589824 KIY655350:KIY655360 KIY720886:KIY720896 KIY786422:KIY786432 KIY851958:KIY851968 KIY917494:KIY917504 KIY983030:KIY983040 KSU2:KSU12 KSU65526:KSU65536 KSU131062:KSU131072 KSU196598:KSU196608 KSU262134:KSU262144 KSU327670:KSU327680 KSU393206:KSU393216 KSU458742:KSU458752 KSU524278:KSU524288 KSU589814:KSU589824 KSU655350:KSU655360 KSU720886:KSU720896 KSU786422:KSU786432 KSU851958:KSU851968 KSU917494:KSU917504 KSU983030:KSU983040 LCQ2:LCQ12 LCQ65526:LCQ65536 LCQ131062:LCQ131072 LCQ196598:LCQ196608 LCQ262134:LCQ262144 LCQ327670:LCQ327680 LCQ393206:LCQ393216 LCQ458742:LCQ458752 LCQ524278:LCQ524288 LCQ589814:LCQ589824 LCQ655350:LCQ655360 LCQ720886:LCQ720896 LCQ786422:LCQ786432 LCQ851958:LCQ851968 LCQ917494:LCQ917504 LCQ983030:LCQ983040 LMM2:LMM12 LMM65526:LMM65536 LMM131062:LMM131072 LMM196598:LMM196608 LMM262134:LMM262144 LMM327670:LMM327680 LMM393206:LMM393216 LMM458742:LMM458752 LMM524278:LMM524288 LMM589814:LMM589824 LMM655350:LMM655360 LMM720886:LMM720896 LMM786422:LMM786432 LMM851958:LMM851968 LMM917494:LMM917504 LMM983030:LMM983040 LWI2:LWI12 LWI65526:LWI65536 LWI131062:LWI131072 LWI196598:LWI196608 LWI262134:LWI262144 LWI327670:LWI327680 LWI393206:LWI393216 LWI458742:LWI458752 LWI524278:LWI524288 LWI589814:LWI589824 LWI655350:LWI655360 LWI720886:LWI720896 LWI786422:LWI786432 LWI851958:LWI851968 LWI917494:LWI917504 LWI983030:LWI983040 MGE2:MGE12 MGE65526:MGE65536 MGE131062:MGE131072 MGE196598:MGE196608 MGE262134:MGE262144 MGE327670:MGE327680 MGE393206:MGE393216 MGE458742:MGE458752 MGE524278:MGE524288 MGE589814:MGE589824 MGE655350:MGE655360 MGE720886:MGE720896 MGE786422:MGE786432 MGE851958:MGE851968 MGE917494:MGE917504 MGE983030:MGE983040 MQA2:MQA12 MQA65526:MQA65536 MQA131062:MQA131072 MQA196598:MQA196608 MQA262134:MQA262144 MQA327670:MQA327680 MQA393206:MQA393216 MQA458742:MQA458752 MQA524278:MQA524288 MQA589814:MQA589824 MQA655350:MQA655360 MQA720886:MQA720896 MQA786422:MQA786432 MQA851958:MQA851968 MQA917494:MQA917504 MQA983030:MQA983040 MZW2:MZW12 MZW65526:MZW65536 MZW131062:MZW131072 MZW196598:MZW196608 MZW262134:MZW262144 MZW327670:MZW327680 MZW393206:MZW393216 MZW458742:MZW458752 MZW524278:MZW524288 MZW589814:MZW589824 MZW655350:MZW655360 MZW720886:MZW720896 MZW786422:MZW786432 MZW851958:MZW851968 MZW917494:MZW917504 MZW983030:MZW983040 NJS2:NJS12 NJS65526:NJS65536 NJS131062:NJS131072 NJS196598:NJS196608 NJS262134:NJS262144 NJS327670:NJS327680 NJS393206:NJS393216 NJS458742:NJS458752 NJS524278:NJS524288 NJS589814:NJS589824 NJS655350:NJS655360 NJS720886:NJS720896 NJS786422:NJS786432 NJS851958:NJS851968 NJS917494:NJS917504 NJS983030:NJS983040 NTO2:NTO12 NTO65526:NTO65536 NTO131062:NTO131072 NTO196598:NTO196608 NTO262134:NTO262144 NTO327670:NTO327680 NTO393206:NTO393216 NTO458742:NTO458752 NTO524278:NTO524288 NTO589814:NTO589824 NTO655350:NTO655360 NTO720886:NTO720896 NTO786422:NTO786432 NTO851958:NTO851968 NTO917494:NTO917504 NTO983030:NTO983040 ODK2:ODK12 ODK65526:ODK65536 ODK131062:ODK131072 ODK196598:ODK196608 ODK262134:ODK262144 ODK327670:ODK327680 ODK393206:ODK393216 ODK458742:ODK458752 ODK524278:ODK524288 ODK589814:ODK589824 ODK655350:ODK655360 ODK720886:ODK720896 ODK786422:ODK786432 ODK851958:ODK851968 ODK917494:ODK917504 ODK983030:ODK983040 ONG2:ONG12 ONG65526:ONG65536 ONG131062:ONG131072 ONG196598:ONG196608 ONG262134:ONG262144 ONG327670:ONG327680 ONG393206:ONG393216 ONG458742:ONG458752 ONG524278:ONG524288 ONG589814:ONG589824 ONG655350:ONG655360 ONG720886:ONG720896 ONG786422:ONG786432 ONG851958:ONG851968 ONG917494:ONG917504 ONG983030:ONG983040 OXC2:OXC12 OXC65526:OXC65536 OXC131062:OXC131072 OXC196598:OXC196608 OXC262134:OXC262144 OXC327670:OXC327680 OXC393206:OXC393216 OXC458742:OXC458752 OXC524278:OXC524288 OXC589814:OXC589824 OXC655350:OXC655360 OXC720886:OXC720896 OXC786422:OXC786432 OXC851958:OXC851968 OXC917494:OXC917504 OXC983030:OXC983040 PGY2:PGY12 PGY65526:PGY65536 PGY131062:PGY131072 PGY196598:PGY196608 PGY262134:PGY262144 PGY327670:PGY327680 PGY393206:PGY393216 PGY458742:PGY458752 PGY524278:PGY524288 PGY589814:PGY589824 PGY655350:PGY655360 PGY720886:PGY720896 PGY786422:PGY786432 PGY851958:PGY851968 PGY917494:PGY917504 PGY983030:PGY983040 PQU2:PQU12 PQU65526:PQU65536 PQU131062:PQU131072 PQU196598:PQU196608 PQU262134:PQU262144 PQU327670:PQU327680 PQU393206:PQU393216 PQU458742:PQU458752 PQU524278:PQU524288 PQU589814:PQU589824 PQU655350:PQU655360 PQU720886:PQU720896 PQU786422:PQU786432 PQU851958:PQU851968 PQU917494:PQU917504 PQU983030:PQU983040 QAQ2:QAQ12 QAQ65526:QAQ65536 QAQ131062:QAQ131072 QAQ196598:QAQ196608 QAQ262134:QAQ262144 QAQ327670:QAQ327680 QAQ393206:QAQ393216 QAQ458742:QAQ458752 QAQ524278:QAQ524288 QAQ589814:QAQ589824 QAQ655350:QAQ655360 QAQ720886:QAQ720896 QAQ786422:QAQ786432 QAQ851958:QAQ851968 QAQ917494:QAQ917504 QAQ983030:QAQ983040 QKM2:QKM12 QKM65526:QKM65536 QKM131062:QKM131072 QKM196598:QKM196608 QKM262134:QKM262144 QKM327670:QKM327680 QKM393206:QKM393216 QKM458742:QKM458752 QKM524278:QKM524288 QKM589814:QKM589824 QKM655350:QKM655360 QKM720886:QKM720896 QKM786422:QKM786432 QKM851958:QKM851968 QKM917494:QKM917504 QKM983030:QKM983040 QUI2:QUI12 QUI65526:QUI65536 QUI131062:QUI131072 QUI196598:QUI196608 QUI262134:QUI262144 QUI327670:QUI327680 QUI393206:QUI393216 QUI458742:QUI458752 QUI524278:QUI524288 QUI589814:QUI589824 QUI655350:QUI655360 QUI720886:QUI720896 QUI786422:QUI786432 QUI851958:QUI851968 QUI917494:QUI917504 QUI983030:QUI983040 REE2:REE12 REE65526:REE65536 REE131062:REE131072 REE196598:REE196608 REE262134:REE262144 REE327670:REE327680 REE393206:REE393216 REE458742:REE458752 REE524278:REE524288 REE589814:REE589824 REE655350:REE655360 REE720886:REE720896 REE786422:REE786432 REE851958:REE851968 REE917494:REE917504 REE983030:REE983040 ROA2:ROA12 ROA65526:ROA65536 ROA131062:ROA131072 ROA196598:ROA196608 ROA262134:ROA262144 ROA327670:ROA327680 ROA393206:ROA393216 ROA458742:ROA458752 ROA524278:ROA524288 ROA589814:ROA589824 ROA655350:ROA655360 ROA720886:ROA720896 ROA786422:ROA786432 ROA851958:ROA851968 ROA917494:ROA917504 ROA983030:ROA983040 RXW2:RXW12 RXW65526:RXW65536 RXW131062:RXW131072 RXW196598:RXW196608 RXW262134:RXW262144 RXW327670:RXW327680 RXW393206:RXW393216 RXW458742:RXW458752 RXW524278:RXW524288 RXW589814:RXW589824 RXW655350:RXW655360 RXW720886:RXW720896 RXW786422:RXW786432 RXW851958:RXW851968 RXW917494:RXW917504 RXW983030:RXW983040 SHS2:SHS12 SHS65526:SHS65536 SHS131062:SHS131072 SHS196598:SHS196608 SHS262134:SHS262144 SHS327670:SHS327680 SHS393206:SHS393216 SHS458742:SHS458752 SHS524278:SHS524288 SHS589814:SHS589824 SHS655350:SHS655360 SHS720886:SHS720896 SHS786422:SHS786432 SHS851958:SHS851968 SHS917494:SHS917504 SHS983030:SHS983040 SRO2:SRO12 SRO65526:SRO65536 SRO131062:SRO131072 SRO196598:SRO196608 SRO262134:SRO262144 SRO327670:SRO327680 SRO393206:SRO393216 SRO458742:SRO458752 SRO524278:SRO524288 SRO589814:SRO589824 SRO655350:SRO655360 SRO720886:SRO720896 SRO786422:SRO786432 SRO851958:SRO851968 SRO917494:SRO917504 SRO983030:SRO983040 TBK2:TBK12 TBK65526:TBK65536 TBK131062:TBK131072 TBK196598:TBK196608 TBK262134:TBK262144 TBK327670:TBK327680 TBK393206:TBK393216 TBK458742:TBK458752 TBK524278:TBK524288 TBK589814:TBK589824 TBK655350:TBK655360 TBK720886:TBK720896 TBK786422:TBK786432 TBK851958:TBK851968 TBK917494:TBK917504 TBK983030:TBK983040 TLG2:TLG12 TLG65526:TLG65536 TLG131062:TLG131072 TLG196598:TLG196608 TLG262134:TLG262144 TLG327670:TLG327680 TLG393206:TLG393216 TLG458742:TLG458752 TLG524278:TLG524288 TLG589814:TLG589824 TLG655350:TLG655360 TLG720886:TLG720896 TLG786422:TLG786432 TLG851958:TLG851968 TLG917494:TLG917504 TLG983030:TLG983040 TVC2:TVC12 TVC65526:TVC65536 TVC131062:TVC131072 TVC196598:TVC196608 TVC262134:TVC262144 TVC327670:TVC327680 TVC393206:TVC393216 TVC458742:TVC458752 TVC524278:TVC524288 TVC589814:TVC589824 TVC655350:TVC655360 TVC720886:TVC720896 TVC786422:TVC786432 TVC851958:TVC851968 TVC917494:TVC917504 TVC983030:TVC983040 UEY2:UEY12 UEY65526:UEY65536 UEY131062:UEY131072 UEY196598:UEY196608 UEY262134:UEY262144 UEY327670:UEY327680 UEY393206:UEY393216 UEY458742:UEY458752 UEY524278:UEY524288 UEY589814:UEY589824 UEY655350:UEY655360 UEY720886:UEY720896 UEY786422:UEY786432 UEY851958:UEY851968 UEY917494:UEY917504 UEY983030:UEY983040 UOU2:UOU12 UOU65526:UOU65536 UOU131062:UOU131072 UOU196598:UOU196608 UOU262134:UOU262144 UOU327670:UOU327680 UOU393206:UOU393216 UOU458742:UOU458752 UOU524278:UOU524288 UOU589814:UOU589824 UOU655350:UOU655360 UOU720886:UOU720896 UOU786422:UOU786432 UOU851958:UOU851968 UOU917494:UOU917504 UOU983030:UOU983040 UYQ2:UYQ12 UYQ65526:UYQ65536 UYQ131062:UYQ131072 UYQ196598:UYQ196608 UYQ262134:UYQ262144 UYQ327670:UYQ327680 UYQ393206:UYQ393216 UYQ458742:UYQ458752 UYQ524278:UYQ524288 UYQ589814:UYQ589824 UYQ655350:UYQ655360 UYQ720886:UYQ720896 UYQ786422:UYQ786432 UYQ851958:UYQ851968 UYQ917494:UYQ917504 UYQ983030:UYQ983040 VIM2:VIM12 VIM65526:VIM65536 VIM131062:VIM131072 VIM196598:VIM196608 VIM262134:VIM262144 VIM327670:VIM327680 VIM393206:VIM393216 VIM458742:VIM458752 VIM524278:VIM524288 VIM589814:VIM589824 VIM655350:VIM655360 VIM720886:VIM720896 VIM786422:VIM786432 VIM851958:VIM851968 VIM917494:VIM917504 VIM983030:VIM983040 VSI2:VSI12 VSI65526:VSI65536 VSI131062:VSI131072 VSI196598:VSI196608 VSI262134:VSI262144 VSI327670:VSI327680 VSI393206:VSI393216 VSI458742:VSI458752 VSI524278:VSI524288 VSI589814:VSI589824 VSI655350:VSI655360 VSI720886:VSI720896 VSI786422:VSI786432 VSI851958:VSI851968 VSI917494:VSI917504 VSI983030:VSI983040 WCE2:WCE12 WCE65526:WCE65536 WCE131062:WCE131072 WCE196598:WCE196608 WCE262134:WCE262144 WCE327670:WCE327680 WCE393206:WCE393216 WCE458742:WCE458752 WCE524278:WCE524288 WCE589814:WCE589824 WCE655350:WCE655360 WCE720886:WCE720896 WCE786422:WCE786432 WCE851958:WCE851968 WCE917494:WCE917504 WCE983030:WCE983040 WMA2:WMA12 WMA65526:WMA65536 WMA131062:WMA131072 WMA196598:WMA196608 WMA262134:WMA262144 WMA327670:WMA327680 WMA393206:WMA393216 WMA458742:WMA458752 WMA524278:WMA524288 WMA589814:WMA589824 WMA655350:WMA655360 WMA720886:WMA720896 WMA786422:WMA786432 WMA851958:WMA851968 WMA917494:WMA917504 WMA983030:WMA983040 WVW2:WVW12 WVW65526:WVW65536 WVW131062:WVW131072 WVW196598:WVW196608 WVW262134:WVW262144 WVW327670:WVW327680 WVW393206:WVW393216 WVW458742:WVW458752 WVW524278:WVW524288 WVW589814:WVW589824 WVW655350:WVW655360 WVW720886:WVW720896 WVW786422:WVW786432 WVW851958:WVW851968 WVW917494:WVW917504 WVW983030:WVW983040" xr:uid="{00000000-0002-0000-0700-000014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12 M65526:M65536 M131062:M131072 M196598:M196608 M262134:M262144 M327670:M327680 M393206:M393216 M458742:M458752 M524278:M524288 M589814:M589824 M655350:M655360 M720886:M720896 M786422:M786432 M851958:M851968 M917494:M917504 M983030:M983040 JJ2:JJ12 JJ65526:JJ65536 JJ131062:JJ131072 JJ196598:JJ196608 JJ262134:JJ262144 JJ327670:JJ327680 JJ393206:JJ393216 JJ458742:JJ458752 JJ524278:JJ524288 JJ589814:JJ589824 JJ655350:JJ655360 JJ720886:JJ720896 JJ786422:JJ786432 JJ851958:JJ851968 JJ917494:JJ917504 JJ983030:JJ983040 TF2:TF12 TF65526:TF65536 TF131062:TF131072 TF196598:TF196608 TF262134:TF262144 TF327670:TF327680 TF393206:TF393216 TF458742:TF458752 TF524278:TF524288 TF589814:TF589824 TF655350:TF655360 TF720886:TF720896 TF786422:TF786432 TF851958:TF851968 TF917494:TF917504 TF983030:TF983040 ADB2:ADB12 ADB65526:ADB65536 ADB131062:ADB131072 ADB196598:ADB196608 ADB262134:ADB262144 ADB327670:ADB327680 ADB393206:ADB393216 ADB458742:ADB458752 ADB524278:ADB524288 ADB589814:ADB589824 ADB655350:ADB655360 ADB720886:ADB720896 ADB786422:ADB786432 ADB851958:ADB851968 ADB917494:ADB917504 ADB983030:ADB983040 AMX2:AMX12 AMX65526:AMX65536 AMX131062:AMX131072 AMX196598:AMX196608 AMX262134:AMX262144 AMX327670:AMX327680 AMX393206:AMX393216 AMX458742:AMX458752 AMX524278:AMX524288 AMX589814:AMX589824 AMX655350:AMX655360 AMX720886:AMX720896 AMX786422:AMX786432 AMX851958:AMX851968 AMX917494:AMX917504 AMX983030:AMX983040 AWT2:AWT12 AWT65526:AWT65536 AWT131062:AWT131072 AWT196598:AWT196608 AWT262134:AWT262144 AWT327670:AWT327680 AWT393206:AWT393216 AWT458742:AWT458752 AWT524278:AWT524288 AWT589814:AWT589824 AWT655350:AWT655360 AWT720886:AWT720896 AWT786422:AWT786432 AWT851958:AWT851968 AWT917494:AWT917504 AWT983030:AWT983040 BGP2:BGP12 BGP65526:BGP65536 BGP131062:BGP131072 BGP196598:BGP196608 BGP262134:BGP262144 BGP327670:BGP327680 BGP393206:BGP393216 BGP458742:BGP458752 BGP524278:BGP524288 BGP589814:BGP589824 BGP655350:BGP655360 BGP720886:BGP720896 BGP786422:BGP786432 BGP851958:BGP851968 BGP917494:BGP917504 BGP983030:BGP983040 BQL2:BQL12 BQL65526:BQL65536 BQL131062:BQL131072 BQL196598:BQL196608 BQL262134:BQL262144 BQL327670:BQL327680 BQL393206:BQL393216 BQL458742:BQL458752 BQL524278:BQL524288 BQL589814:BQL589824 BQL655350:BQL655360 BQL720886:BQL720896 BQL786422:BQL786432 BQL851958:BQL851968 BQL917494:BQL917504 BQL983030:BQL983040 CAH2:CAH12 CAH65526:CAH65536 CAH131062:CAH131072 CAH196598:CAH196608 CAH262134:CAH262144 CAH327670:CAH327680 CAH393206:CAH393216 CAH458742:CAH458752 CAH524278:CAH524288 CAH589814:CAH589824 CAH655350:CAH655360 CAH720886:CAH720896 CAH786422:CAH786432 CAH851958:CAH851968 CAH917494:CAH917504 CAH983030:CAH983040 CKD2:CKD12 CKD65526:CKD65536 CKD131062:CKD131072 CKD196598:CKD196608 CKD262134:CKD262144 CKD327670:CKD327680 CKD393206:CKD393216 CKD458742:CKD458752 CKD524278:CKD524288 CKD589814:CKD589824 CKD655350:CKD655360 CKD720886:CKD720896 CKD786422:CKD786432 CKD851958:CKD851968 CKD917494:CKD917504 CKD983030:CKD983040 CTZ2:CTZ12 CTZ65526:CTZ65536 CTZ131062:CTZ131072 CTZ196598:CTZ196608 CTZ262134:CTZ262144 CTZ327670:CTZ327680 CTZ393206:CTZ393216 CTZ458742:CTZ458752 CTZ524278:CTZ524288 CTZ589814:CTZ589824 CTZ655350:CTZ655360 CTZ720886:CTZ720896 CTZ786422:CTZ786432 CTZ851958:CTZ851968 CTZ917494:CTZ917504 CTZ983030:CTZ983040 DDV2:DDV12 DDV65526:DDV65536 DDV131062:DDV131072 DDV196598:DDV196608 DDV262134:DDV262144 DDV327670:DDV327680 DDV393206:DDV393216 DDV458742:DDV458752 DDV524278:DDV524288 DDV589814:DDV589824 DDV655350:DDV655360 DDV720886:DDV720896 DDV786422:DDV786432 DDV851958:DDV851968 DDV917494:DDV917504 DDV983030:DDV983040 DNR2:DNR12 DNR65526:DNR65536 DNR131062:DNR131072 DNR196598:DNR196608 DNR262134:DNR262144 DNR327670:DNR327680 DNR393206:DNR393216 DNR458742:DNR458752 DNR524278:DNR524288 DNR589814:DNR589824 DNR655350:DNR655360 DNR720886:DNR720896 DNR786422:DNR786432 DNR851958:DNR851968 DNR917494:DNR917504 DNR983030:DNR983040 DXN2:DXN12 DXN65526:DXN65536 DXN131062:DXN131072 DXN196598:DXN196608 DXN262134:DXN262144 DXN327670:DXN327680 DXN393206:DXN393216 DXN458742:DXN458752 DXN524278:DXN524288 DXN589814:DXN589824 DXN655350:DXN655360 DXN720886:DXN720896 DXN786422:DXN786432 DXN851958:DXN851968 DXN917494:DXN917504 DXN983030:DXN983040 EHJ2:EHJ12 EHJ65526:EHJ65536 EHJ131062:EHJ131072 EHJ196598:EHJ196608 EHJ262134:EHJ262144 EHJ327670:EHJ327680 EHJ393206:EHJ393216 EHJ458742:EHJ458752 EHJ524278:EHJ524288 EHJ589814:EHJ589824 EHJ655350:EHJ655360 EHJ720886:EHJ720896 EHJ786422:EHJ786432 EHJ851958:EHJ851968 EHJ917494:EHJ917504 EHJ983030:EHJ983040 ERF2:ERF12 ERF65526:ERF65536 ERF131062:ERF131072 ERF196598:ERF196608 ERF262134:ERF262144 ERF327670:ERF327680 ERF393206:ERF393216 ERF458742:ERF458752 ERF524278:ERF524288 ERF589814:ERF589824 ERF655350:ERF655360 ERF720886:ERF720896 ERF786422:ERF786432 ERF851958:ERF851968 ERF917494:ERF917504 ERF983030:ERF983040 FBB2:FBB12 FBB65526:FBB65536 FBB131062:FBB131072 FBB196598:FBB196608 FBB262134:FBB262144 FBB327670:FBB327680 FBB393206:FBB393216 FBB458742:FBB458752 FBB524278:FBB524288 FBB589814:FBB589824 FBB655350:FBB655360 FBB720886:FBB720896 FBB786422:FBB786432 FBB851958:FBB851968 FBB917494:FBB917504 FBB983030:FBB983040 FKX2:FKX12 FKX65526:FKX65536 FKX131062:FKX131072 FKX196598:FKX196608 FKX262134:FKX262144 FKX327670:FKX327680 FKX393206:FKX393216 FKX458742:FKX458752 FKX524278:FKX524288 FKX589814:FKX589824 FKX655350:FKX655360 FKX720886:FKX720896 FKX786422:FKX786432 FKX851958:FKX851968 FKX917494:FKX917504 FKX983030:FKX983040 FUT2:FUT12 FUT65526:FUT65536 FUT131062:FUT131072 FUT196598:FUT196608 FUT262134:FUT262144 FUT327670:FUT327680 FUT393206:FUT393216 FUT458742:FUT458752 FUT524278:FUT524288 FUT589814:FUT589824 FUT655350:FUT655360 FUT720886:FUT720896 FUT786422:FUT786432 FUT851958:FUT851968 FUT917494:FUT917504 FUT983030:FUT983040 GEP2:GEP12 GEP65526:GEP65536 GEP131062:GEP131072 GEP196598:GEP196608 GEP262134:GEP262144 GEP327670:GEP327680 GEP393206:GEP393216 GEP458742:GEP458752 GEP524278:GEP524288 GEP589814:GEP589824 GEP655350:GEP655360 GEP720886:GEP720896 GEP786422:GEP786432 GEP851958:GEP851968 GEP917494:GEP917504 GEP983030:GEP983040 GOL2:GOL12 GOL65526:GOL65536 GOL131062:GOL131072 GOL196598:GOL196608 GOL262134:GOL262144 GOL327670:GOL327680 GOL393206:GOL393216 GOL458742:GOL458752 GOL524278:GOL524288 GOL589814:GOL589824 GOL655350:GOL655360 GOL720886:GOL720896 GOL786422:GOL786432 GOL851958:GOL851968 GOL917494:GOL917504 GOL983030:GOL983040 GYH2:GYH12 GYH65526:GYH65536 GYH131062:GYH131072 GYH196598:GYH196608 GYH262134:GYH262144 GYH327670:GYH327680 GYH393206:GYH393216 GYH458742:GYH458752 GYH524278:GYH524288 GYH589814:GYH589824 GYH655350:GYH655360 GYH720886:GYH720896 GYH786422:GYH786432 GYH851958:GYH851968 GYH917494:GYH917504 GYH983030:GYH983040 HID2:HID12 HID65526:HID65536 HID131062:HID131072 HID196598:HID196608 HID262134:HID262144 HID327670:HID327680 HID393206:HID393216 HID458742:HID458752 HID524278:HID524288 HID589814:HID589824 HID655350:HID655360 HID720886:HID720896 HID786422:HID786432 HID851958:HID851968 HID917494:HID917504 HID983030:HID983040 HRZ2:HRZ12 HRZ65526:HRZ65536 HRZ131062:HRZ131072 HRZ196598:HRZ196608 HRZ262134:HRZ262144 HRZ327670:HRZ327680 HRZ393206:HRZ393216 HRZ458742:HRZ458752 HRZ524278:HRZ524288 HRZ589814:HRZ589824 HRZ655350:HRZ655360 HRZ720886:HRZ720896 HRZ786422:HRZ786432 HRZ851958:HRZ851968 HRZ917494:HRZ917504 HRZ983030:HRZ983040 IBV2:IBV12 IBV65526:IBV65536 IBV131062:IBV131072 IBV196598:IBV196608 IBV262134:IBV262144 IBV327670:IBV327680 IBV393206:IBV393216 IBV458742:IBV458752 IBV524278:IBV524288 IBV589814:IBV589824 IBV655350:IBV655360 IBV720886:IBV720896 IBV786422:IBV786432 IBV851958:IBV851968 IBV917494:IBV917504 IBV983030:IBV983040 ILR2:ILR12 ILR65526:ILR65536 ILR131062:ILR131072 ILR196598:ILR196608 ILR262134:ILR262144 ILR327670:ILR327680 ILR393206:ILR393216 ILR458742:ILR458752 ILR524278:ILR524288 ILR589814:ILR589824 ILR655350:ILR655360 ILR720886:ILR720896 ILR786422:ILR786432 ILR851958:ILR851968 ILR917494:ILR917504 ILR983030:ILR983040 IVN2:IVN12 IVN65526:IVN65536 IVN131062:IVN131072 IVN196598:IVN196608 IVN262134:IVN262144 IVN327670:IVN327680 IVN393206:IVN393216 IVN458742:IVN458752 IVN524278:IVN524288 IVN589814:IVN589824 IVN655350:IVN655360 IVN720886:IVN720896 IVN786422:IVN786432 IVN851958:IVN851968 IVN917494:IVN917504 IVN983030:IVN983040 JFJ2:JFJ12 JFJ65526:JFJ65536 JFJ131062:JFJ131072 JFJ196598:JFJ196608 JFJ262134:JFJ262144 JFJ327670:JFJ327680 JFJ393206:JFJ393216 JFJ458742:JFJ458752 JFJ524278:JFJ524288 JFJ589814:JFJ589824 JFJ655350:JFJ655360 JFJ720886:JFJ720896 JFJ786422:JFJ786432 JFJ851958:JFJ851968 JFJ917494:JFJ917504 JFJ983030:JFJ983040 JPF2:JPF12 JPF65526:JPF65536 JPF131062:JPF131072 JPF196598:JPF196608 JPF262134:JPF262144 JPF327670:JPF327680 JPF393206:JPF393216 JPF458742:JPF458752 JPF524278:JPF524288 JPF589814:JPF589824 JPF655350:JPF655360 JPF720886:JPF720896 JPF786422:JPF786432 JPF851958:JPF851968 JPF917494:JPF917504 JPF983030:JPF983040 JZB2:JZB12 JZB65526:JZB65536 JZB131062:JZB131072 JZB196598:JZB196608 JZB262134:JZB262144 JZB327670:JZB327680 JZB393206:JZB393216 JZB458742:JZB458752 JZB524278:JZB524288 JZB589814:JZB589824 JZB655350:JZB655360 JZB720886:JZB720896 JZB786422:JZB786432 JZB851958:JZB851968 JZB917494:JZB917504 JZB983030:JZB983040 KIX2:KIX12 KIX65526:KIX65536 KIX131062:KIX131072 KIX196598:KIX196608 KIX262134:KIX262144 KIX327670:KIX327680 KIX393206:KIX393216 KIX458742:KIX458752 KIX524278:KIX524288 KIX589814:KIX589824 KIX655350:KIX655360 KIX720886:KIX720896 KIX786422:KIX786432 KIX851958:KIX851968 KIX917494:KIX917504 KIX983030:KIX983040 KST2:KST12 KST65526:KST65536 KST131062:KST131072 KST196598:KST196608 KST262134:KST262144 KST327670:KST327680 KST393206:KST393216 KST458742:KST458752 KST524278:KST524288 KST589814:KST589824 KST655350:KST655360 KST720886:KST720896 KST786422:KST786432 KST851958:KST851968 KST917494:KST917504 KST983030:KST983040 LCP2:LCP12 LCP65526:LCP65536 LCP131062:LCP131072 LCP196598:LCP196608 LCP262134:LCP262144 LCP327670:LCP327680 LCP393206:LCP393216 LCP458742:LCP458752 LCP524278:LCP524288 LCP589814:LCP589824 LCP655350:LCP655360 LCP720886:LCP720896 LCP786422:LCP786432 LCP851958:LCP851968 LCP917494:LCP917504 LCP983030:LCP983040 LML2:LML12 LML65526:LML65536 LML131062:LML131072 LML196598:LML196608 LML262134:LML262144 LML327670:LML327680 LML393206:LML393216 LML458742:LML458752 LML524278:LML524288 LML589814:LML589824 LML655350:LML655360 LML720886:LML720896 LML786422:LML786432 LML851958:LML851968 LML917494:LML917504 LML983030:LML983040 LWH2:LWH12 LWH65526:LWH65536 LWH131062:LWH131072 LWH196598:LWH196608 LWH262134:LWH262144 LWH327670:LWH327680 LWH393206:LWH393216 LWH458742:LWH458752 LWH524278:LWH524288 LWH589814:LWH589824 LWH655350:LWH655360 LWH720886:LWH720896 LWH786422:LWH786432 LWH851958:LWH851968 LWH917494:LWH917504 LWH983030:LWH983040 MGD2:MGD12 MGD65526:MGD65536 MGD131062:MGD131072 MGD196598:MGD196608 MGD262134:MGD262144 MGD327670:MGD327680 MGD393206:MGD393216 MGD458742:MGD458752 MGD524278:MGD524288 MGD589814:MGD589824 MGD655350:MGD655360 MGD720886:MGD720896 MGD786422:MGD786432 MGD851958:MGD851968 MGD917494:MGD917504 MGD983030:MGD983040 MPZ2:MPZ12 MPZ65526:MPZ65536 MPZ131062:MPZ131072 MPZ196598:MPZ196608 MPZ262134:MPZ262144 MPZ327670:MPZ327680 MPZ393206:MPZ393216 MPZ458742:MPZ458752 MPZ524278:MPZ524288 MPZ589814:MPZ589824 MPZ655350:MPZ655360 MPZ720886:MPZ720896 MPZ786422:MPZ786432 MPZ851958:MPZ851968 MPZ917494:MPZ917504 MPZ983030:MPZ983040 MZV2:MZV12 MZV65526:MZV65536 MZV131062:MZV131072 MZV196598:MZV196608 MZV262134:MZV262144 MZV327670:MZV327680 MZV393206:MZV393216 MZV458742:MZV458752 MZV524278:MZV524288 MZV589814:MZV589824 MZV655350:MZV655360 MZV720886:MZV720896 MZV786422:MZV786432 MZV851958:MZV851968 MZV917494:MZV917504 MZV983030:MZV983040 NJR2:NJR12 NJR65526:NJR65536 NJR131062:NJR131072 NJR196598:NJR196608 NJR262134:NJR262144 NJR327670:NJR327680 NJR393206:NJR393216 NJR458742:NJR458752 NJR524278:NJR524288 NJR589814:NJR589824 NJR655350:NJR655360 NJR720886:NJR720896 NJR786422:NJR786432 NJR851958:NJR851968 NJR917494:NJR917504 NJR983030:NJR983040 NTN2:NTN12 NTN65526:NTN65536 NTN131062:NTN131072 NTN196598:NTN196608 NTN262134:NTN262144 NTN327670:NTN327680 NTN393206:NTN393216 NTN458742:NTN458752 NTN524278:NTN524288 NTN589814:NTN589824 NTN655350:NTN655360 NTN720886:NTN720896 NTN786422:NTN786432 NTN851958:NTN851968 NTN917494:NTN917504 NTN983030:NTN983040 ODJ2:ODJ12 ODJ65526:ODJ65536 ODJ131062:ODJ131072 ODJ196598:ODJ196608 ODJ262134:ODJ262144 ODJ327670:ODJ327680 ODJ393206:ODJ393216 ODJ458742:ODJ458752 ODJ524278:ODJ524288 ODJ589814:ODJ589824 ODJ655350:ODJ655360 ODJ720886:ODJ720896 ODJ786422:ODJ786432 ODJ851958:ODJ851968 ODJ917494:ODJ917504 ODJ983030:ODJ983040 ONF2:ONF12 ONF65526:ONF65536 ONF131062:ONF131072 ONF196598:ONF196608 ONF262134:ONF262144 ONF327670:ONF327680 ONF393206:ONF393216 ONF458742:ONF458752 ONF524278:ONF524288 ONF589814:ONF589824 ONF655350:ONF655360 ONF720886:ONF720896 ONF786422:ONF786432 ONF851958:ONF851968 ONF917494:ONF917504 ONF983030:ONF983040 OXB2:OXB12 OXB65526:OXB65536 OXB131062:OXB131072 OXB196598:OXB196608 OXB262134:OXB262144 OXB327670:OXB327680 OXB393206:OXB393216 OXB458742:OXB458752 OXB524278:OXB524288 OXB589814:OXB589824 OXB655350:OXB655360 OXB720886:OXB720896 OXB786422:OXB786432 OXB851958:OXB851968 OXB917494:OXB917504 OXB983030:OXB983040 PGX2:PGX12 PGX65526:PGX65536 PGX131062:PGX131072 PGX196598:PGX196608 PGX262134:PGX262144 PGX327670:PGX327680 PGX393206:PGX393216 PGX458742:PGX458752 PGX524278:PGX524288 PGX589814:PGX589824 PGX655350:PGX655360 PGX720886:PGX720896 PGX786422:PGX786432 PGX851958:PGX851968 PGX917494:PGX917504 PGX983030:PGX983040 PQT2:PQT12 PQT65526:PQT65536 PQT131062:PQT131072 PQT196598:PQT196608 PQT262134:PQT262144 PQT327670:PQT327680 PQT393206:PQT393216 PQT458742:PQT458752 PQT524278:PQT524288 PQT589814:PQT589824 PQT655350:PQT655360 PQT720886:PQT720896 PQT786422:PQT786432 PQT851958:PQT851968 PQT917494:PQT917504 PQT983030:PQT983040 QAP2:QAP12 QAP65526:QAP65536 QAP131062:QAP131072 QAP196598:QAP196608 QAP262134:QAP262144 QAP327670:QAP327680 QAP393206:QAP393216 QAP458742:QAP458752 QAP524278:QAP524288 QAP589814:QAP589824 QAP655350:QAP655360 QAP720886:QAP720896 QAP786422:QAP786432 QAP851958:QAP851968 QAP917494:QAP917504 QAP983030:QAP983040 QKL2:QKL12 QKL65526:QKL65536 QKL131062:QKL131072 QKL196598:QKL196608 QKL262134:QKL262144 QKL327670:QKL327680 QKL393206:QKL393216 QKL458742:QKL458752 QKL524278:QKL524288 QKL589814:QKL589824 QKL655350:QKL655360 QKL720886:QKL720896 QKL786422:QKL786432 QKL851958:QKL851968 QKL917494:QKL917504 QKL983030:QKL983040 QUH2:QUH12 QUH65526:QUH65536 QUH131062:QUH131072 QUH196598:QUH196608 QUH262134:QUH262144 QUH327670:QUH327680 QUH393206:QUH393216 QUH458742:QUH458752 QUH524278:QUH524288 QUH589814:QUH589824 QUH655350:QUH655360 QUH720886:QUH720896 QUH786422:QUH786432 QUH851958:QUH851968 QUH917494:QUH917504 QUH983030:QUH983040 RED2:RED12 RED65526:RED65536 RED131062:RED131072 RED196598:RED196608 RED262134:RED262144 RED327670:RED327680 RED393206:RED393216 RED458742:RED458752 RED524278:RED524288 RED589814:RED589824 RED655350:RED655360 RED720886:RED720896 RED786422:RED786432 RED851958:RED851968 RED917494:RED917504 RED983030:RED983040 RNZ2:RNZ12 RNZ65526:RNZ65536 RNZ131062:RNZ131072 RNZ196598:RNZ196608 RNZ262134:RNZ262144 RNZ327670:RNZ327680 RNZ393206:RNZ393216 RNZ458742:RNZ458752 RNZ524278:RNZ524288 RNZ589814:RNZ589824 RNZ655350:RNZ655360 RNZ720886:RNZ720896 RNZ786422:RNZ786432 RNZ851958:RNZ851968 RNZ917494:RNZ917504 RNZ983030:RNZ983040 RXV2:RXV12 RXV65526:RXV65536 RXV131062:RXV131072 RXV196598:RXV196608 RXV262134:RXV262144 RXV327670:RXV327680 RXV393206:RXV393216 RXV458742:RXV458752 RXV524278:RXV524288 RXV589814:RXV589824 RXV655350:RXV655360 RXV720886:RXV720896 RXV786422:RXV786432 RXV851958:RXV851968 RXV917494:RXV917504 RXV983030:RXV983040 SHR2:SHR12 SHR65526:SHR65536 SHR131062:SHR131072 SHR196598:SHR196608 SHR262134:SHR262144 SHR327670:SHR327680 SHR393206:SHR393216 SHR458742:SHR458752 SHR524278:SHR524288 SHR589814:SHR589824 SHR655350:SHR655360 SHR720886:SHR720896 SHR786422:SHR786432 SHR851958:SHR851968 SHR917494:SHR917504 SHR983030:SHR983040 SRN2:SRN12 SRN65526:SRN65536 SRN131062:SRN131072 SRN196598:SRN196608 SRN262134:SRN262144 SRN327670:SRN327680 SRN393206:SRN393216 SRN458742:SRN458752 SRN524278:SRN524288 SRN589814:SRN589824 SRN655350:SRN655360 SRN720886:SRN720896 SRN786422:SRN786432 SRN851958:SRN851968 SRN917494:SRN917504 SRN983030:SRN983040 TBJ2:TBJ12 TBJ65526:TBJ65536 TBJ131062:TBJ131072 TBJ196598:TBJ196608 TBJ262134:TBJ262144 TBJ327670:TBJ327680 TBJ393206:TBJ393216 TBJ458742:TBJ458752 TBJ524278:TBJ524288 TBJ589814:TBJ589824 TBJ655350:TBJ655360 TBJ720886:TBJ720896 TBJ786422:TBJ786432 TBJ851958:TBJ851968 TBJ917494:TBJ917504 TBJ983030:TBJ983040 TLF2:TLF12 TLF65526:TLF65536 TLF131062:TLF131072 TLF196598:TLF196608 TLF262134:TLF262144 TLF327670:TLF327680 TLF393206:TLF393216 TLF458742:TLF458752 TLF524278:TLF524288 TLF589814:TLF589824 TLF655350:TLF655360 TLF720886:TLF720896 TLF786422:TLF786432 TLF851958:TLF851968 TLF917494:TLF917504 TLF983030:TLF983040 TVB2:TVB12 TVB65526:TVB65536 TVB131062:TVB131072 TVB196598:TVB196608 TVB262134:TVB262144 TVB327670:TVB327680 TVB393206:TVB393216 TVB458742:TVB458752 TVB524278:TVB524288 TVB589814:TVB589824 TVB655350:TVB655360 TVB720886:TVB720896 TVB786422:TVB786432 TVB851958:TVB851968 TVB917494:TVB917504 TVB983030:TVB983040 UEX2:UEX12 UEX65526:UEX65536 UEX131062:UEX131072 UEX196598:UEX196608 UEX262134:UEX262144 UEX327670:UEX327680 UEX393206:UEX393216 UEX458742:UEX458752 UEX524278:UEX524288 UEX589814:UEX589824 UEX655350:UEX655360 UEX720886:UEX720896 UEX786422:UEX786432 UEX851958:UEX851968 UEX917494:UEX917504 UEX983030:UEX983040 UOT2:UOT12 UOT65526:UOT65536 UOT131062:UOT131072 UOT196598:UOT196608 UOT262134:UOT262144 UOT327670:UOT327680 UOT393206:UOT393216 UOT458742:UOT458752 UOT524278:UOT524288 UOT589814:UOT589824 UOT655350:UOT655360 UOT720886:UOT720896 UOT786422:UOT786432 UOT851958:UOT851968 UOT917494:UOT917504 UOT983030:UOT983040 UYP2:UYP12 UYP65526:UYP65536 UYP131062:UYP131072 UYP196598:UYP196608 UYP262134:UYP262144 UYP327670:UYP327680 UYP393206:UYP393216 UYP458742:UYP458752 UYP524278:UYP524288 UYP589814:UYP589824 UYP655350:UYP655360 UYP720886:UYP720896 UYP786422:UYP786432 UYP851958:UYP851968 UYP917494:UYP917504 UYP983030:UYP983040 VIL2:VIL12 VIL65526:VIL65536 VIL131062:VIL131072 VIL196598:VIL196608 VIL262134:VIL262144 VIL327670:VIL327680 VIL393206:VIL393216 VIL458742:VIL458752 VIL524278:VIL524288 VIL589814:VIL589824 VIL655350:VIL655360 VIL720886:VIL720896 VIL786422:VIL786432 VIL851958:VIL851968 VIL917494:VIL917504 VIL983030:VIL983040 VSH2:VSH12 VSH65526:VSH65536 VSH131062:VSH131072 VSH196598:VSH196608 VSH262134:VSH262144 VSH327670:VSH327680 VSH393206:VSH393216 VSH458742:VSH458752 VSH524278:VSH524288 VSH589814:VSH589824 VSH655350:VSH655360 VSH720886:VSH720896 VSH786422:VSH786432 VSH851958:VSH851968 VSH917494:VSH917504 VSH983030:VSH983040 WCD2:WCD12 WCD65526:WCD65536 WCD131062:WCD131072 WCD196598:WCD196608 WCD262134:WCD262144 WCD327670:WCD327680 WCD393206:WCD393216 WCD458742:WCD458752 WCD524278:WCD524288 WCD589814:WCD589824 WCD655350:WCD655360 WCD720886:WCD720896 WCD786422:WCD786432 WCD851958:WCD851968 WCD917494:WCD917504 WCD983030:WCD983040 WLZ2:WLZ12 WLZ65526:WLZ65536 WLZ131062:WLZ131072 WLZ196598:WLZ196608 WLZ262134:WLZ262144 WLZ327670:WLZ327680 WLZ393206:WLZ393216 WLZ458742:WLZ458752 WLZ524278:WLZ524288 WLZ589814:WLZ589824 WLZ655350:WLZ655360 WLZ720886:WLZ720896 WLZ786422:WLZ786432 WLZ851958:WLZ851968 WLZ917494:WLZ917504 WLZ983030:WLZ983040 WVV2:WVV12 WVV65526:WVV65536 WVV131062:WVV131072 WVV196598:WVV196608 WVV262134:WVV262144 WVV327670:WVV327680 WVV393206:WVV393216 WVV458742:WVV458752 WVV524278:WVV524288 WVV589814:WVV589824 WVV655350:WVV655360 WVV720886:WVV720896 WVV786422:WVV786432 WVV851958:WVV851968 WVV917494:WVV917504 WVV983030:WVV983040" xr:uid="{00000000-0002-0000-0700-000015000000}"/>
    <dataValidation allowBlank="1" showInputMessage="1" showErrorMessage="1" promptTitle="Do not change" prompt="This field is automatically calculated from your inputs." sqref="Y8:AH12 Y65532:AH65536 Y131068:AH131072 Y196604:AH196608 Y262140:AH262144 Y327676:AH327680 Y393212:AH393216 Y458748:AH458752 Y524284:AH524288 Y589820:AH589824 Y655356:AH655360 Y720892:AH720896 Y786428:AH786432 Y851964:AH851968 Y917500:AH917504 Y983036:AH983040 JU8:KD12 JU65532:KD65536 JU131068:KD131072 JU196604:KD196608 JU262140:KD262144 JU327676:KD327680 JU393212:KD393216 JU458748:KD458752 JU524284:KD524288 JU589820:KD589824 JU655356:KD655360 JU720892:KD720896 JU786428:KD786432 JU851964:KD851968 JU917500:KD917504 JU983036:KD983040 TQ8:TZ12 TQ65532:TZ65536 TQ131068:TZ131072 TQ196604:TZ196608 TQ262140:TZ262144 TQ327676:TZ327680 TQ393212:TZ393216 TQ458748:TZ458752 TQ524284:TZ524288 TQ589820:TZ589824 TQ655356:TZ655360 TQ720892:TZ720896 TQ786428:TZ786432 TQ851964:TZ851968 TQ917500:TZ917504 TQ983036:TZ983040 ADM8:ADV12 ADM65532:ADV65536 ADM131068:ADV131072 ADM196604:ADV196608 ADM262140:ADV262144 ADM327676:ADV327680 ADM393212:ADV393216 ADM458748:ADV458752 ADM524284:ADV524288 ADM589820:ADV589824 ADM655356:ADV655360 ADM720892:ADV720896 ADM786428:ADV786432 ADM851964:ADV851968 ADM917500:ADV917504 ADM983036:ADV983040 ANI8:ANR12 ANI65532:ANR65536 ANI131068:ANR131072 ANI196604:ANR196608 ANI262140:ANR262144 ANI327676:ANR327680 ANI393212:ANR393216 ANI458748:ANR458752 ANI524284:ANR524288 ANI589820:ANR589824 ANI655356:ANR655360 ANI720892:ANR720896 ANI786428:ANR786432 ANI851964:ANR851968 ANI917500:ANR917504 ANI983036:ANR983040 AXE8:AXN12 AXE65532:AXN65536 AXE131068:AXN131072 AXE196604:AXN196608 AXE262140:AXN262144 AXE327676:AXN327680 AXE393212:AXN393216 AXE458748:AXN458752 AXE524284:AXN524288 AXE589820:AXN589824 AXE655356:AXN655360 AXE720892:AXN720896 AXE786428:AXN786432 AXE851964:AXN851968 AXE917500:AXN917504 AXE983036:AXN983040 BHA8:BHJ12 BHA65532:BHJ65536 BHA131068:BHJ131072 BHA196604:BHJ196608 BHA262140:BHJ262144 BHA327676:BHJ327680 BHA393212:BHJ393216 BHA458748:BHJ458752 BHA524284:BHJ524288 BHA589820:BHJ589824 BHA655356:BHJ655360 BHA720892:BHJ720896 BHA786428:BHJ786432 BHA851964:BHJ851968 BHA917500:BHJ917504 BHA983036:BHJ983040 BQW8:BRF12 BQW65532:BRF65536 BQW131068:BRF131072 BQW196604:BRF196608 BQW262140:BRF262144 BQW327676:BRF327680 BQW393212:BRF393216 BQW458748:BRF458752 BQW524284:BRF524288 BQW589820:BRF589824 BQW655356:BRF655360 BQW720892:BRF720896 BQW786428:BRF786432 BQW851964:BRF851968 BQW917500:BRF917504 BQW983036:BRF983040 CAS8:CBB12 CAS65532:CBB65536 CAS131068:CBB131072 CAS196604:CBB196608 CAS262140:CBB262144 CAS327676:CBB327680 CAS393212:CBB393216 CAS458748:CBB458752 CAS524284:CBB524288 CAS589820:CBB589824 CAS655356:CBB655360 CAS720892:CBB720896 CAS786428:CBB786432 CAS851964:CBB851968 CAS917500:CBB917504 CAS983036:CBB983040 CKO8:CKX12 CKO65532:CKX65536 CKO131068:CKX131072 CKO196604:CKX196608 CKO262140:CKX262144 CKO327676:CKX327680 CKO393212:CKX393216 CKO458748:CKX458752 CKO524284:CKX524288 CKO589820:CKX589824 CKO655356:CKX655360 CKO720892:CKX720896 CKO786428:CKX786432 CKO851964:CKX851968 CKO917500:CKX917504 CKO983036:CKX983040 CUK8:CUT12 CUK65532:CUT65536 CUK131068:CUT131072 CUK196604:CUT196608 CUK262140:CUT262144 CUK327676:CUT327680 CUK393212:CUT393216 CUK458748:CUT458752 CUK524284:CUT524288 CUK589820:CUT589824 CUK655356:CUT655360 CUK720892:CUT720896 CUK786428:CUT786432 CUK851964:CUT851968 CUK917500:CUT917504 CUK983036:CUT983040 DEG8:DEP12 DEG65532:DEP65536 DEG131068:DEP131072 DEG196604:DEP196608 DEG262140:DEP262144 DEG327676:DEP327680 DEG393212:DEP393216 DEG458748:DEP458752 DEG524284:DEP524288 DEG589820:DEP589824 DEG655356:DEP655360 DEG720892:DEP720896 DEG786428:DEP786432 DEG851964:DEP851968 DEG917500:DEP917504 DEG983036:DEP983040 DOC8:DOL12 DOC65532:DOL65536 DOC131068:DOL131072 DOC196604:DOL196608 DOC262140:DOL262144 DOC327676:DOL327680 DOC393212:DOL393216 DOC458748:DOL458752 DOC524284:DOL524288 DOC589820:DOL589824 DOC655356:DOL655360 DOC720892:DOL720896 DOC786428:DOL786432 DOC851964:DOL851968 DOC917500:DOL917504 DOC983036:DOL983040 DXY8:DYH12 DXY65532:DYH65536 DXY131068:DYH131072 DXY196604:DYH196608 DXY262140:DYH262144 DXY327676:DYH327680 DXY393212:DYH393216 DXY458748:DYH458752 DXY524284:DYH524288 DXY589820:DYH589824 DXY655356:DYH655360 DXY720892:DYH720896 DXY786428:DYH786432 DXY851964:DYH851968 DXY917500:DYH917504 DXY983036:DYH983040 EHU8:EID12 EHU65532:EID65536 EHU131068:EID131072 EHU196604:EID196608 EHU262140:EID262144 EHU327676:EID327680 EHU393212:EID393216 EHU458748:EID458752 EHU524284:EID524288 EHU589820:EID589824 EHU655356:EID655360 EHU720892:EID720896 EHU786428:EID786432 EHU851964:EID851968 EHU917500:EID917504 EHU983036:EID983040 ERQ8:ERZ12 ERQ65532:ERZ65536 ERQ131068:ERZ131072 ERQ196604:ERZ196608 ERQ262140:ERZ262144 ERQ327676:ERZ327680 ERQ393212:ERZ393216 ERQ458748:ERZ458752 ERQ524284:ERZ524288 ERQ589820:ERZ589824 ERQ655356:ERZ655360 ERQ720892:ERZ720896 ERQ786428:ERZ786432 ERQ851964:ERZ851968 ERQ917500:ERZ917504 ERQ983036:ERZ983040 FBM8:FBV12 FBM65532:FBV65536 FBM131068:FBV131072 FBM196604:FBV196608 FBM262140:FBV262144 FBM327676:FBV327680 FBM393212:FBV393216 FBM458748:FBV458752 FBM524284:FBV524288 FBM589820:FBV589824 FBM655356:FBV655360 FBM720892:FBV720896 FBM786428:FBV786432 FBM851964:FBV851968 FBM917500:FBV917504 FBM983036:FBV983040 FLI8:FLR12 FLI65532:FLR65536 FLI131068:FLR131072 FLI196604:FLR196608 FLI262140:FLR262144 FLI327676:FLR327680 FLI393212:FLR393216 FLI458748:FLR458752 FLI524284:FLR524288 FLI589820:FLR589824 FLI655356:FLR655360 FLI720892:FLR720896 FLI786428:FLR786432 FLI851964:FLR851968 FLI917500:FLR917504 FLI983036:FLR983040 FVE8:FVN12 FVE65532:FVN65536 FVE131068:FVN131072 FVE196604:FVN196608 FVE262140:FVN262144 FVE327676:FVN327680 FVE393212:FVN393216 FVE458748:FVN458752 FVE524284:FVN524288 FVE589820:FVN589824 FVE655356:FVN655360 FVE720892:FVN720896 FVE786428:FVN786432 FVE851964:FVN851968 FVE917500:FVN917504 FVE983036:FVN983040 GFA8:GFJ12 GFA65532:GFJ65536 GFA131068:GFJ131072 GFA196604:GFJ196608 GFA262140:GFJ262144 GFA327676:GFJ327680 GFA393212:GFJ393216 GFA458748:GFJ458752 GFA524284:GFJ524288 GFA589820:GFJ589824 GFA655356:GFJ655360 GFA720892:GFJ720896 GFA786428:GFJ786432 GFA851964:GFJ851968 GFA917500:GFJ917504 GFA983036:GFJ983040 GOW8:GPF12 GOW65532:GPF65536 GOW131068:GPF131072 GOW196604:GPF196608 GOW262140:GPF262144 GOW327676:GPF327680 GOW393212:GPF393216 GOW458748:GPF458752 GOW524284:GPF524288 GOW589820:GPF589824 GOW655356:GPF655360 GOW720892:GPF720896 GOW786428:GPF786432 GOW851964:GPF851968 GOW917500:GPF917504 GOW983036:GPF983040 GYS8:GZB12 GYS65532:GZB65536 GYS131068:GZB131072 GYS196604:GZB196608 GYS262140:GZB262144 GYS327676:GZB327680 GYS393212:GZB393216 GYS458748:GZB458752 GYS524284:GZB524288 GYS589820:GZB589824 GYS655356:GZB655360 GYS720892:GZB720896 GYS786428:GZB786432 GYS851964:GZB851968 GYS917500:GZB917504 GYS983036:GZB983040 HIO8:HIX12 HIO65532:HIX65536 HIO131068:HIX131072 HIO196604:HIX196608 HIO262140:HIX262144 HIO327676:HIX327680 HIO393212:HIX393216 HIO458748:HIX458752 HIO524284:HIX524288 HIO589820:HIX589824 HIO655356:HIX655360 HIO720892:HIX720896 HIO786428:HIX786432 HIO851964:HIX851968 HIO917500:HIX917504 HIO983036:HIX983040 HSK8:HST12 HSK65532:HST65536 HSK131068:HST131072 HSK196604:HST196608 HSK262140:HST262144 HSK327676:HST327680 HSK393212:HST393216 HSK458748:HST458752 HSK524284:HST524288 HSK589820:HST589824 HSK655356:HST655360 HSK720892:HST720896 HSK786428:HST786432 HSK851964:HST851968 HSK917500:HST917504 HSK983036:HST983040 ICG8:ICP12 ICG65532:ICP65536 ICG131068:ICP131072 ICG196604:ICP196608 ICG262140:ICP262144 ICG327676:ICP327680 ICG393212:ICP393216 ICG458748:ICP458752 ICG524284:ICP524288 ICG589820:ICP589824 ICG655356:ICP655360 ICG720892:ICP720896 ICG786428:ICP786432 ICG851964:ICP851968 ICG917500:ICP917504 ICG983036:ICP983040 IMC8:IML12 IMC65532:IML65536 IMC131068:IML131072 IMC196604:IML196608 IMC262140:IML262144 IMC327676:IML327680 IMC393212:IML393216 IMC458748:IML458752 IMC524284:IML524288 IMC589820:IML589824 IMC655356:IML655360 IMC720892:IML720896 IMC786428:IML786432 IMC851964:IML851968 IMC917500:IML917504 IMC983036:IML983040 IVY8:IWH12 IVY65532:IWH65536 IVY131068:IWH131072 IVY196604:IWH196608 IVY262140:IWH262144 IVY327676:IWH327680 IVY393212:IWH393216 IVY458748:IWH458752 IVY524284:IWH524288 IVY589820:IWH589824 IVY655356:IWH655360 IVY720892:IWH720896 IVY786428:IWH786432 IVY851964:IWH851968 IVY917500:IWH917504 IVY983036:IWH983040 JFU8:JGD12 JFU65532:JGD65536 JFU131068:JGD131072 JFU196604:JGD196608 JFU262140:JGD262144 JFU327676:JGD327680 JFU393212:JGD393216 JFU458748:JGD458752 JFU524284:JGD524288 JFU589820:JGD589824 JFU655356:JGD655360 JFU720892:JGD720896 JFU786428:JGD786432 JFU851964:JGD851968 JFU917500:JGD917504 JFU983036:JGD983040 JPQ8:JPZ12 JPQ65532:JPZ65536 JPQ131068:JPZ131072 JPQ196604:JPZ196608 JPQ262140:JPZ262144 JPQ327676:JPZ327680 JPQ393212:JPZ393216 JPQ458748:JPZ458752 JPQ524284:JPZ524288 JPQ589820:JPZ589824 JPQ655356:JPZ655360 JPQ720892:JPZ720896 JPQ786428:JPZ786432 JPQ851964:JPZ851968 JPQ917500:JPZ917504 JPQ983036:JPZ983040 JZM8:JZV12 JZM65532:JZV65536 JZM131068:JZV131072 JZM196604:JZV196608 JZM262140:JZV262144 JZM327676:JZV327680 JZM393212:JZV393216 JZM458748:JZV458752 JZM524284:JZV524288 JZM589820:JZV589824 JZM655356:JZV655360 JZM720892:JZV720896 JZM786428:JZV786432 JZM851964:JZV851968 JZM917500:JZV917504 JZM983036:JZV983040 KJI8:KJR12 KJI65532:KJR65536 KJI131068:KJR131072 KJI196604:KJR196608 KJI262140:KJR262144 KJI327676:KJR327680 KJI393212:KJR393216 KJI458748:KJR458752 KJI524284:KJR524288 KJI589820:KJR589824 KJI655356:KJR655360 KJI720892:KJR720896 KJI786428:KJR786432 KJI851964:KJR851968 KJI917500:KJR917504 KJI983036:KJR983040 KTE8:KTN12 KTE65532:KTN65536 KTE131068:KTN131072 KTE196604:KTN196608 KTE262140:KTN262144 KTE327676:KTN327680 KTE393212:KTN393216 KTE458748:KTN458752 KTE524284:KTN524288 KTE589820:KTN589824 KTE655356:KTN655360 KTE720892:KTN720896 KTE786428:KTN786432 KTE851964:KTN851968 KTE917500:KTN917504 KTE983036:KTN983040 LDA8:LDJ12 LDA65532:LDJ65536 LDA131068:LDJ131072 LDA196604:LDJ196608 LDA262140:LDJ262144 LDA327676:LDJ327680 LDA393212:LDJ393216 LDA458748:LDJ458752 LDA524284:LDJ524288 LDA589820:LDJ589824 LDA655356:LDJ655360 LDA720892:LDJ720896 LDA786428:LDJ786432 LDA851964:LDJ851968 LDA917500:LDJ917504 LDA983036:LDJ983040 LMW8:LNF12 LMW65532:LNF65536 LMW131068:LNF131072 LMW196604:LNF196608 LMW262140:LNF262144 LMW327676:LNF327680 LMW393212:LNF393216 LMW458748:LNF458752 LMW524284:LNF524288 LMW589820:LNF589824 LMW655356:LNF655360 LMW720892:LNF720896 LMW786428:LNF786432 LMW851964:LNF851968 LMW917500:LNF917504 LMW983036:LNF983040 LWS8:LXB12 LWS65532:LXB65536 LWS131068:LXB131072 LWS196604:LXB196608 LWS262140:LXB262144 LWS327676:LXB327680 LWS393212:LXB393216 LWS458748:LXB458752 LWS524284:LXB524288 LWS589820:LXB589824 LWS655356:LXB655360 LWS720892:LXB720896 LWS786428:LXB786432 LWS851964:LXB851968 LWS917500:LXB917504 LWS983036:LXB983040 MGO8:MGX12 MGO65532:MGX65536 MGO131068:MGX131072 MGO196604:MGX196608 MGO262140:MGX262144 MGO327676:MGX327680 MGO393212:MGX393216 MGO458748:MGX458752 MGO524284:MGX524288 MGO589820:MGX589824 MGO655356:MGX655360 MGO720892:MGX720896 MGO786428:MGX786432 MGO851964:MGX851968 MGO917500:MGX917504 MGO983036:MGX983040 MQK8:MQT12 MQK65532:MQT65536 MQK131068:MQT131072 MQK196604:MQT196608 MQK262140:MQT262144 MQK327676:MQT327680 MQK393212:MQT393216 MQK458748:MQT458752 MQK524284:MQT524288 MQK589820:MQT589824 MQK655356:MQT655360 MQK720892:MQT720896 MQK786428:MQT786432 MQK851964:MQT851968 MQK917500:MQT917504 MQK983036:MQT983040 NAG8:NAP12 NAG65532:NAP65536 NAG131068:NAP131072 NAG196604:NAP196608 NAG262140:NAP262144 NAG327676:NAP327680 NAG393212:NAP393216 NAG458748:NAP458752 NAG524284:NAP524288 NAG589820:NAP589824 NAG655356:NAP655360 NAG720892:NAP720896 NAG786428:NAP786432 NAG851964:NAP851968 NAG917500:NAP917504 NAG983036:NAP983040 NKC8:NKL12 NKC65532:NKL65536 NKC131068:NKL131072 NKC196604:NKL196608 NKC262140:NKL262144 NKC327676:NKL327680 NKC393212:NKL393216 NKC458748:NKL458752 NKC524284:NKL524288 NKC589820:NKL589824 NKC655356:NKL655360 NKC720892:NKL720896 NKC786428:NKL786432 NKC851964:NKL851968 NKC917500:NKL917504 NKC983036:NKL983040 NTY8:NUH12 NTY65532:NUH65536 NTY131068:NUH131072 NTY196604:NUH196608 NTY262140:NUH262144 NTY327676:NUH327680 NTY393212:NUH393216 NTY458748:NUH458752 NTY524284:NUH524288 NTY589820:NUH589824 NTY655356:NUH655360 NTY720892:NUH720896 NTY786428:NUH786432 NTY851964:NUH851968 NTY917500:NUH917504 NTY983036:NUH983040 ODU8:OED12 ODU65532:OED65536 ODU131068:OED131072 ODU196604:OED196608 ODU262140:OED262144 ODU327676:OED327680 ODU393212:OED393216 ODU458748:OED458752 ODU524284:OED524288 ODU589820:OED589824 ODU655356:OED655360 ODU720892:OED720896 ODU786428:OED786432 ODU851964:OED851968 ODU917500:OED917504 ODU983036:OED983040 ONQ8:ONZ12 ONQ65532:ONZ65536 ONQ131068:ONZ131072 ONQ196604:ONZ196608 ONQ262140:ONZ262144 ONQ327676:ONZ327680 ONQ393212:ONZ393216 ONQ458748:ONZ458752 ONQ524284:ONZ524288 ONQ589820:ONZ589824 ONQ655356:ONZ655360 ONQ720892:ONZ720896 ONQ786428:ONZ786432 ONQ851964:ONZ851968 ONQ917500:ONZ917504 ONQ983036:ONZ983040 OXM8:OXV12 OXM65532:OXV65536 OXM131068:OXV131072 OXM196604:OXV196608 OXM262140:OXV262144 OXM327676:OXV327680 OXM393212:OXV393216 OXM458748:OXV458752 OXM524284:OXV524288 OXM589820:OXV589824 OXM655356:OXV655360 OXM720892:OXV720896 OXM786428:OXV786432 OXM851964:OXV851968 OXM917500:OXV917504 OXM983036:OXV983040 PHI8:PHR12 PHI65532:PHR65536 PHI131068:PHR131072 PHI196604:PHR196608 PHI262140:PHR262144 PHI327676:PHR327680 PHI393212:PHR393216 PHI458748:PHR458752 PHI524284:PHR524288 PHI589820:PHR589824 PHI655356:PHR655360 PHI720892:PHR720896 PHI786428:PHR786432 PHI851964:PHR851968 PHI917500:PHR917504 PHI983036:PHR983040 PRE8:PRN12 PRE65532:PRN65536 PRE131068:PRN131072 PRE196604:PRN196608 PRE262140:PRN262144 PRE327676:PRN327680 PRE393212:PRN393216 PRE458748:PRN458752 PRE524284:PRN524288 PRE589820:PRN589824 PRE655356:PRN655360 PRE720892:PRN720896 PRE786428:PRN786432 PRE851964:PRN851968 PRE917500:PRN917504 PRE983036:PRN983040 QBA8:QBJ12 QBA65532:QBJ65536 QBA131068:QBJ131072 QBA196604:QBJ196608 QBA262140:QBJ262144 QBA327676:QBJ327680 QBA393212:QBJ393216 QBA458748:QBJ458752 QBA524284:QBJ524288 QBA589820:QBJ589824 QBA655356:QBJ655360 QBA720892:QBJ720896 QBA786428:QBJ786432 QBA851964:QBJ851968 QBA917500:QBJ917504 QBA983036:QBJ983040 QKW8:QLF12 QKW65532:QLF65536 QKW131068:QLF131072 QKW196604:QLF196608 QKW262140:QLF262144 QKW327676:QLF327680 QKW393212:QLF393216 QKW458748:QLF458752 QKW524284:QLF524288 QKW589820:QLF589824 QKW655356:QLF655360 QKW720892:QLF720896 QKW786428:QLF786432 QKW851964:QLF851968 QKW917500:QLF917504 QKW983036:QLF983040 QUS8:QVB12 QUS65532:QVB65536 QUS131068:QVB131072 QUS196604:QVB196608 QUS262140:QVB262144 QUS327676:QVB327680 QUS393212:QVB393216 QUS458748:QVB458752 QUS524284:QVB524288 QUS589820:QVB589824 QUS655356:QVB655360 QUS720892:QVB720896 QUS786428:QVB786432 QUS851964:QVB851968 QUS917500:QVB917504 QUS983036:QVB983040 REO8:REX12 REO65532:REX65536 REO131068:REX131072 REO196604:REX196608 REO262140:REX262144 REO327676:REX327680 REO393212:REX393216 REO458748:REX458752 REO524284:REX524288 REO589820:REX589824 REO655356:REX655360 REO720892:REX720896 REO786428:REX786432 REO851964:REX851968 REO917500:REX917504 REO983036:REX983040 ROK8:ROT12 ROK65532:ROT65536 ROK131068:ROT131072 ROK196604:ROT196608 ROK262140:ROT262144 ROK327676:ROT327680 ROK393212:ROT393216 ROK458748:ROT458752 ROK524284:ROT524288 ROK589820:ROT589824 ROK655356:ROT655360 ROK720892:ROT720896 ROK786428:ROT786432 ROK851964:ROT851968 ROK917500:ROT917504 ROK983036:ROT983040 RYG8:RYP12 RYG65532:RYP65536 RYG131068:RYP131072 RYG196604:RYP196608 RYG262140:RYP262144 RYG327676:RYP327680 RYG393212:RYP393216 RYG458748:RYP458752 RYG524284:RYP524288 RYG589820:RYP589824 RYG655356:RYP655360 RYG720892:RYP720896 RYG786428:RYP786432 RYG851964:RYP851968 RYG917500:RYP917504 RYG983036:RYP983040 SIC8:SIL12 SIC65532:SIL65536 SIC131068:SIL131072 SIC196604:SIL196608 SIC262140:SIL262144 SIC327676:SIL327680 SIC393212:SIL393216 SIC458748:SIL458752 SIC524284:SIL524288 SIC589820:SIL589824 SIC655356:SIL655360 SIC720892:SIL720896 SIC786428:SIL786432 SIC851964:SIL851968 SIC917500:SIL917504 SIC983036:SIL983040 SRY8:SSH12 SRY65532:SSH65536 SRY131068:SSH131072 SRY196604:SSH196608 SRY262140:SSH262144 SRY327676:SSH327680 SRY393212:SSH393216 SRY458748:SSH458752 SRY524284:SSH524288 SRY589820:SSH589824 SRY655356:SSH655360 SRY720892:SSH720896 SRY786428:SSH786432 SRY851964:SSH851968 SRY917500:SSH917504 SRY983036:SSH983040 TBU8:TCD12 TBU65532:TCD65536 TBU131068:TCD131072 TBU196604:TCD196608 TBU262140:TCD262144 TBU327676:TCD327680 TBU393212:TCD393216 TBU458748:TCD458752 TBU524284:TCD524288 TBU589820:TCD589824 TBU655356:TCD655360 TBU720892:TCD720896 TBU786428:TCD786432 TBU851964:TCD851968 TBU917500:TCD917504 TBU983036:TCD983040 TLQ8:TLZ12 TLQ65532:TLZ65536 TLQ131068:TLZ131072 TLQ196604:TLZ196608 TLQ262140:TLZ262144 TLQ327676:TLZ327680 TLQ393212:TLZ393216 TLQ458748:TLZ458752 TLQ524284:TLZ524288 TLQ589820:TLZ589824 TLQ655356:TLZ655360 TLQ720892:TLZ720896 TLQ786428:TLZ786432 TLQ851964:TLZ851968 TLQ917500:TLZ917504 TLQ983036:TLZ983040 TVM8:TVV12 TVM65532:TVV65536 TVM131068:TVV131072 TVM196604:TVV196608 TVM262140:TVV262144 TVM327676:TVV327680 TVM393212:TVV393216 TVM458748:TVV458752 TVM524284:TVV524288 TVM589820:TVV589824 TVM655356:TVV655360 TVM720892:TVV720896 TVM786428:TVV786432 TVM851964:TVV851968 TVM917500:TVV917504 TVM983036:TVV983040 UFI8:UFR12 UFI65532:UFR65536 UFI131068:UFR131072 UFI196604:UFR196608 UFI262140:UFR262144 UFI327676:UFR327680 UFI393212:UFR393216 UFI458748:UFR458752 UFI524284:UFR524288 UFI589820:UFR589824 UFI655356:UFR655360 UFI720892:UFR720896 UFI786428:UFR786432 UFI851964:UFR851968 UFI917500:UFR917504 UFI983036:UFR983040 UPE8:UPN12 UPE65532:UPN65536 UPE131068:UPN131072 UPE196604:UPN196608 UPE262140:UPN262144 UPE327676:UPN327680 UPE393212:UPN393216 UPE458748:UPN458752 UPE524284:UPN524288 UPE589820:UPN589824 UPE655356:UPN655360 UPE720892:UPN720896 UPE786428:UPN786432 UPE851964:UPN851968 UPE917500:UPN917504 UPE983036:UPN983040 UZA8:UZJ12 UZA65532:UZJ65536 UZA131068:UZJ131072 UZA196604:UZJ196608 UZA262140:UZJ262144 UZA327676:UZJ327680 UZA393212:UZJ393216 UZA458748:UZJ458752 UZA524284:UZJ524288 UZA589820:UZJ589824 UZA655356:UZJ655360 UZA720892:UZJ720896 UZA786428:UZJ786432 UZA851964:UZJ851968 UZA917500:UZJ917504 UZA983036:UZJ983040 VIW8:VJF12 VIW65532:VJF65536 VIW131068:VJF131072 VIW196604:VJF196608 VIW262140:VJF262144 VIW327676:VJF327680 VIW393212:VJF393216 VIW458748:VJF458752 VIW524284:VJF524288 VIW589820:VJF589824 VIW655356:VJF655360 VIW720892:VJF720896 VIW786428:VJF786432 VIW851964:VJF851968 VIW917500:VJF917504 VIW983036:VJF983040 VSS8:VTB12 VSS65532:VTB65536 VSS131068:VTB131072 VSS196604:VTB196608 VSS262140:VTB262144 VSS327676:VTB327680 VSS393212:VTB393216 VSS458748:VTB458752 VSS524284:VTB524288 VSS589820:VTB589824 VSS655356:VTB655360 VSS720892:VTB720896 VSS786428:VTB786432 VSS851964:VTB851968 VSS917500:VTB917504 VSS983036:VTB983040 WCO8:WCX12 WCO65532:WCX65536 WCO131068:WCX131072 WCO196604:WCX196608 WCO262140:WCX262144 WCO327676:WCX327680 WCO393212:WCX393216 WCO458748:WCX458752 WCO524284:WCX524288 WCO589820:WCX589824 WCO655356:WCX655360 WCO720892:WCX720896 WCO786428:WCX786432 WCO851964:WCX851968 WCO917500:WCX917504 WCO983036:WCX983040 WMK8:WMT12 WMK65532:WMT65536 WMK131068:WMT131072 WMK196604:WMT196608 WMK262140:WMT262144 WMK327676:WMT327680 WMK393212:WMT393216 WMK458748:WMT458752 WMK524284:WMT524288 WMK589820:WMT589824 WMK655356:WMT655360 WMK720892:WMT720896 WMK786428:WMT786432 WMK851964:WMT851968 WMK917500:WMT917504 WMK983036:WMT983040 WWG8:WWP12 WWG65532:WWP65536 WWG131068:WWP131072 WWG196604:WWP196608 WWG262140:WWP262144 WWG327676:WWP327680 WWG393212:WWP393216 WWG458748:WWP458752 WWG524284:WWP524288 WWG589820:WWP589824 WWG655356:WWP655360 WWG720892:WWP720896 WWG786428:WWP786432 WWG851964:WWP851968 WWG917500:WWP917504 WWG983036:WWP983040" xr:uid="{00000000-0002-0000-0700-000016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2 D65526:D65527 D65532:D65536 D131062:D131063 D131068:D131072 D196598:D196599 D196604:D196608 D262134:D262135 D262140:D262144 D327670:D327671 D327676:D327680 D393206:D393207 D393212:D393216 D458742:D458743 D458748:D458752 D524278:D524279 D524284:D524288 D589814:D589815 D589820:D589824 D655350:D655351 D655356:D655360 D720886:D720887 D720892:D720896 D786422:D786423 D786428:D786432 D851958:D851959 D851964:D851968 D917494:D917495 D917500:D917504 D983030:D983031 D983036:D983040 JA2:JA3 JA8:JA12 JA65526:JA65527 JA65532:JA65536 JA131062:JA131063 JA131068:JA131072 JA196598:JA196599 JA196604:JA196608 JA262134:JA262135 JA262140:JA262144 JA327670:JA327671 JA327676:JA327680 JA393206:JA393207 JA393212:JA393216 JA458742:JA458743 JA458748:JA458752 JA524278:JA524279 JA524284:JA524288 JA589814:JA589815 JA589820:JA589824 JA655350:JA655351 JA655356:JA655360 JA720886:JA720887 JA720892:JA720896 JA786422:JA786423 JA786428:JA786432 JA851958:JA851959 JA851964:JA851968 JA917494:JA917495 JA917500:JA917504 JA983030:JA983031 JA983036:JA983040 SW2:SW3 SW8:SW12 SW65526:SW65527 SW65532:SW65536 SW131062:SW131063 SW131068:SW131072 SW196598:SW196599 SW196604:SW196608 SW262134:SW262135 SW262140:SW262144 SW327670:SW327671 SW327676:SW327680 SW393206:SW393207 SW393212:SW393216 SW458742:SW458743 SW458748:SW458752 SW524278:SW524279 SW524284:SW524288 SW589814:SW589815 SW589820:SW589824 SW655350:SW655351 SW655356:SW655360 SW720886:SW720887 SW720892:SW720896 SW786422:SW786423 SW786428:SW786432 SW851958:SW851959 SW851964:SW851968 SW917494:SW917495 SW917500:SW917504 SW983030:SW983031 SW983036:SW983040 ACS2:ACS3 ACS8:ACS12 ACS65526:ACS65527 ACS65532:ACS65536 ACS131062:ACS131063 ACS131068:ACS131072 ACS196598:ACS196599 ACS196604:ACS196608 ACS262134:ACS262135 ACS262140:ACS262144 ACS327670:ACS327671 ACS327676:ACS327680 ACS393206:ACS393207 ACS393212:ACS393216 ACS458742:ACS458743 ACS458748:ACS458752 ACS524278:ACS524279 ACS524284:ACS524288 ACS589814:ACS589815 ACS589820:ACS589824 ACS655350:ACS655351 ACS655356:ACS655360 ACS720886:ACS720887 ACS720892:ACS720896 ACS786422:ACS786423 ACS786428:ACS786432 ACS851958:ACS851959 ACS851964:ACS851968 ACS917494:ACS917495 ACS917500:ACS917504 ACS983030:ACS983031 ACS983036:ACS983040 AMO2:AMO3 AMO8:AMO12 AMO65526:AMO65527 AMO65532:AMO65536 AMO131062:AMO131063 AMO131068:AMO131072 AMO196598:AMO196599 AMO196604:AMO196608 AMO262134:AMO262135 AMO262140:AMO262144 AMO327670:AMO327671 AMO327676:AMO327680 AMO393206:AMO393207 AMO393212:AMO393216 AMO458742:AMO458743 AMO458748:AMO458752 AMO524278:AMO524279 AMO524284:AMO524288 AMO589814:AMO589815 AMO589820:AMO589824 AMO655350:AMO655351 AMO655356:AMO655360 AMO720886:AMO720887 AMO720892:AMO720896 AMO786422:AMO786423 AMO786428:AMO786432 AMO851958:AMO851959 AMO851964:AMO851968 AMO917494:AMO917495 AMO917500:AMO917504 AMO983030:AMO983031 AMO983036:AMO983040 AWK2:AWK3 AWK8:AWK12 AWK65526:AWK65527 AWK65532:AWK65536 AWK131062:AWK131063 AWK131068:AWK131072 AWK196598:AWK196599 AWK196604:AWK196608 AWK262134:AWK262135 AWK262140:AWK262144 AWK327670:AWK327671 AWK327676:AWK327680 AWK393206:AWK393207 AWK393212:AWK393216 AWK458742:AWK458743 AWK458748:AWK458752 AWK524278:AWK524279 AWK524284:AWK524288 AWK589814:AWK589815 AWK589820:AWK589824 AWK655350:AWK655351 AWK655356:AWK655360 AWK720886:AWK720887 AWK720892:AWK720896 AWK786422:AWK786423 AWK786428:AWK786432 AWK851958:AWK851959 AWK851964:AWK851968 AWK917494:AWK917495 AWK917500:AWK917504 AWK983030:AWK983031 AWK983036:AWK983040 BGG2:BGG3 BGG8:BGG12 BGG65526:BGG65527 BGG65532:BGG65536 BGG131062:BGG131063 BGG131068:BGG131072 BGG196598:BGG196599 BGG196604:BGG196608 BGG262134:BGG262135 BGG262140:BGG262144 BGG327670:BGG327671 BGG327676:BGG327680 BGG393206:BGG393207 BGG393212:BGG393216 BGG458742:BGG458743 BGG458748:BGG458752 BGG524278:BGG524279 BGG524284:BGG524288 BGG589814:BGG589815 BGG589820:BGG589824 BGG655350:BGG655351 BGG655356:BGG655360 BGG720886:BGG720887 BGG720892:BGG720896 BGG786422:BGG786423 BGG786428:BGG786432 BGG851958:BGG851959 BGG851964:BGG851968 BGG917494:BGG917495 BGG917500:BGG917504 BGG983030:BGG983031 BGG983036:BGG983040 BQC2:BQC3 BQC8:BQC12 BQC65526:BQC65527 BQC65532:BQC65536 BQC131062:BQC131063 BQC131068:BQC131072 BQC196598:BQC196599 BQC196604:BQC196608 BQC262134:BQC262135 BQC262140:BQC262144 BQC327670:BQC327671 BQC327676:BQC327680 BQC393206:BQC393207 BQC393212:BQC393216 BQC458742:BQC458743 BQC458748:BQC458752 BQC524278:BQC524279 BQC524284:BQC524288 BQC589814:BQC589815 BQC589820:BQC589824 BQC655350:BQC655351 BQC655356:BQC655360 BQC720886:BQC720887 BQC720892:BQC720896 BQC786422:BQC786423 BQC786428:BQC786432 BQC851958:BQC851959 BQC851964:BQC851968 BQC917494:BQC917495 BQC917500:BQC917504 BQC983030:BQC983031 BQC983036:BQC983040 BZY2:BZY3 BZY8:BZY12 BZY65526:BZY65527 BZY65532:BZY65536 BZY131062:BZY131063 BZY131068:BZY131072 BZY196598:BZY196599 BZY196604:BZY196608 BZY262134:BZY262135 BZY262140:BZY262144 BZY327670:BZY327671 BZY327676:BZY327680 BZY393206:BZY393207 BZY393212:BZY393216 BZY458742:BZY458743 BZY458748:BZY458752 BZY524278:BZY524279 BZY524284:BZY524288 BZY589814:BZY589815 BZY589820:BZY589824 BZY655350:BZY655351 BZY655356:BZY655360 BZY720886:BZY720887 BZY720892:BZY720896 BZY786422:BZY786423 BZY786428:BZY786432 BZY851958:BZY851959 BZY851964:BZY851968 BZY917494:BZY917495 BZY917500:BZY917504 BZY983030:BZY983031 BZY983036:BZY983040 CJU2:CJU3 CJU8:CJU12 CJU65526:CJU65527 CJU65532:CJU65536 CJU131062:CJU131063 CJU131068:CJU131072 CJU196598:CJU196599 CJU196604:CJU196608 CJU262134:CJU262135 CJU262140:CJU262144 CJU327670:CJU327671 CJU327676:CJU327680 CJU393206:CJU393207 CJU393212:CJU393216 CJU458742:CJU458743 CJU458748:CJU458752 CJU524278:CJU524279 CJU524284:CJU524288 CJU589814:CJU589815 CJU589820:CJU589824 CJU655350:CJU655351 CJU655356:CJU655360 CJU720886:CJU720887 CJU720892:CJU720896 CJU786422:CJU786423 CJU786428:CJU786432 CJU851958:CJU851959 CJU851964:CJU851968 CJU917494:CJU917495 CJU917500:CJU917504 CJU983030:CJU983031 CJU983036:CJU983040 CTQ2:CTQ3 CTQ8:CTQ12 CTQ65526:CTQ65527 CTQ65532:CTQ65536 CTQ131062:CTQ131063 CTQ131068:CTQ131072 CTQ196598:CTQ196599 CTQ196604:CTQ196608 CTQ262134:CTQ262135 CTQ262140:CTQ262144 CTQ327670:CTQ327671 CTQ327676:CTQ327680 CTQ393206:CTQ393207 CTQ393212:CTQ393216 CTQ458742:CTQ458743 CTQ458748:CTQ458752 CTQ524278:CTQ524279 CTQ524284:CTQ524288 CTQ589814:CTQ589815 CTQ589820:CTQ589824 CTQ655350:CTQ655351 CTQ655356:CTQ655360 CTQ720886:CTQ720887 CTQ720892:CTQ720896 CTQ786422:CTQ786423 CTQ786428:CTQ786432 CTQ851958:CTQ851959 CTQ851964:CTQ851968 CTQ917494:CTQ917495 CTQ917500:CTQ917504 CTQ983030:CTQ983031 CTQ983036:CTQ983040 DDM2:DDM3 DDM8:DDM12 DDM65526:DDM65527 DDM65532:DDM65536 DDM131062:DDM131063 DDM131068:DDM131072 DDM196598:DDM196599 DDM196604:DDM196608 DDM262134:DDM262135 DDM262140:DDM262144 DDM327670:DDM327671 DDM327676:DDM327680 DDM393206:DDM393207 DDM393212:DDM393216 DDM458742:DDM458743 DDM458748:DDM458752 DDM524278:DDM524279 DDM524284:DDM524288 DDM589814:DDM589815 DDM589820:DDM589824 DDM655350:DDM655351 DDM655356:DDM655360 DDM720886:DDM720887 DDM720892:DDM720896 DDM786422:DDM786423 DDM786428:DDM786432 DDM851958:DDM851959 DDM851964:DDM851968 DDM917494:DDM917495 DDM917500:DDM917504 DDM983030:DDM983031 DDM983036:DDM983040 DNI2:DNI3 DNI8:DNI12 DNI65526:DNI65527 DNI65532:DNI65536 DNI131062:DNI131063 DNI131068:DNI131072 DNI196598:DNI196599 DNI196604:DNI196608 DNI262134:DNI262135 DNI262140:DNI262144 DNI327670:DNI327671 DNI327676:DNI327680 DNI393206:DNI393207 DNI393212:DNI393216 DNI458742:DNI458743 DNI458748:DNI458752 DNI524278:DNI524279 DNI524284:DNI524288 DNI589814:DNI589815 DNI589820:DNI589824 DNI655350:DNI655351 DNI655356:DNI655360 DNI720886:DNI720887 DNI720892:DNI720896 DNI786422:DNI786423 DNI786428:DNI786432 DNI851958:DNI851959 DNI851964:DNI851968 DNI917494:DNI917495 DNI917500:DNI917504 DNI983030:DNI983031 DNI983036:DNI983040 DXE2:DXE3 DXE8:DXE12 DXE65526:DXE65527 DXE65532:DXE65536 DXE131062:DXE131063 DXE131068:DXE131072 DXE196598:DXE196599 DXE196604:DXE196608 DXE262134:DXE262135 DXE262140:DXE262144 DXE327670:DXE327671 DXE327676:DXE327680 DXE393206:DXE393207 DXE393212:DXE393216 DXE458742:DXE458743 DXE458748:DXE458752 DXE524278:DXE524279 DXE524284:DXE524288 DXE589814:DXE589815 DXE589820:DXE589824 DXE655350:DXE655351 DXE655356:DXE655360 DXE720886:DXE720887 DXE720892:DXE720896 DXE786422:DXE786423 DXE786428:DXE786432 DXE851958:DXE851959 DXE851964:DXE851968 DXE917494:DXE917495 DXE917500:DXE917504 DXE983030:DXE983031 DXE983036:DXE983040 EHA2:EHA3 EHA8:EHA12 EHA65526:EHA65527 EHA65532:EHA65536 EHA131062:EHA131063 EHA131068:EHA131072 EHA196598:EHA196599 EHA196604:EHA196608 EHA262134:EHA262135 EHA262140:EHA262144 EHA327670:EHA327671 EHA327676:EHA327680 EHA393206:EHA393207 EHA393212:EHA393216 EHA458742:EHA458743 EHA458748:EHA458752 EHA524278:EHA524279 EHA524284:EHA524288 EHA589814:EHA589815 EHA589820:EHA589824 EHA655350:EHA655351 EHA655356:EHA655360 EHA720886:EHA720887 EHA720892:EHA720896 EHA786422:EHA786423 EHA786428:EHA786432 EHA851958:EHA851959 EHA851964:EHA851968 EHA917494:EHA917495 EHA917500:EHA917504 EHA983030:EHA983031 EHA983036:EHA983040 EQW2:EQW3 EQW8:EQW12 EQW65526:EQW65527 EQW65532:EQW65536 EQW131062:EQW131063 EQW131068:EQW131072 EQW196598:EQW196599 EQW196604:EQW196608 EQW262134:EQW262135 EQW262140:EQW262144 EQW327670:EQW327671 EQW327676:EQW327680 EQW393206:EQW393207 EQW393212:EQW393216 EQW458742:EQW458743 EQW458748:EQW458752 EQW524278:EQW524279 EQW524284:EQW524288 EQW589814:EQW589815 EQW589820:EQW589824 EQW655350:EQW655351 EQW655356:EQW655360 EQW720886:EQW720887 EQW720892:EQW720896 EQW786422:EQW786423 EQW786428:EQW786432 EQW851958:EQW851959 EQW851964:EQW851968 EQW917494:EQW917495 EQW917500:EQW917504 EQW983030:EQW983031 EQW983036:EQW983040 FAS2:FAS3 FAS8:FAS12 FAS65526:FAS65527 FAS65532:FAS65536 FAS131062:FAS131063 FAS131068:FAS131072 FAS196598:FAS196599 FAS196604:FAS196608 FAS262134:FAS262135 FAS262140:FAS262144 FAS327670:FAS327671 FAS327676:FAS327680 FAS393206:FAS393207 FAS393212:FAS393216 FAS458742:FAS458743 FAS458748:FAS458752 FAS524278:FAS524279 FAS524284:FAS524288 FAS589814:FAS589815 FAS589820:FAS589824 FAS655350:FAS655351 FAS655356:FAS655360 FAS720886:FAS720887 FAS720892:FAS720896 FAS786422:FAS786423 FAS786428:FAS786432 FAS851958:FAS851959 FAS851964:FAS851968 FAS917494:FAS917495 FAS917500:FAS917504 FAS983030:FAS983031 FAS983036:FAS983040 FKO2:FKO3 FKO8:FKO12 FKO65526:FKO65527 FKO65532:FKO65536 FKO131062:FKO131063 FKO131068:FKO131072 FKO196598:FKO196599 FKO196604:FKO196608 FKO262134:FKO262135 FKO262140:FKO262144 FKO327670:FKO327671 FKO327676:FKO327680 FKO393206:FKO393207 FKO393212:FKO393216 FKO458742:FKO458743 FKO458748:FKO458752 FKO524278:FKO524279 FKO524284:FKO524288 FKO589814:FKO589815 FKO589820:FKO589824 FKO655350:FKO655351 FKO655356:FKO655360 FKO720886:FKO720887 FKO720892:FKO720896 FKO786422:FKO786423 FKO786428:FKO786432 FKO851958:FKO851959 FKO851964:FKO851968 FKO917494:FKO917495 FKO917500:FKO917504 FKO983030:FKO983031 FKO983036:FKO983040 FUK2:FUK3 FUK8:FUK12 FUK65526:FUK65527 FUK65532:FUK65536 FUK131062:FUK131063 FUK131068:FUK131072 FUK196598:FUK196599 FUK196604:FUK196608 FUK262134:FUK262135 FUK262140:FUK262144 FUK327670:FUK327671 FUK327676:FUK327680 FUK393206:FUK393207 FUK393212:FUK393216 FUK458742:FUK458743 FUK458748:FUK458752 FUK524278:FUK524279 FUK524284:FUK524288 FUK589814:FUK589815 FUK589820:FUK589824 FUK655350:FUK655351 FUK655356:FUK655360 FUK720886:FUK720887 FUK720892:FUK720896 FUK786422:FUK786423 FUK786428:FUK786432 FUK851958:FUK851959 FUK851964:FUK851968 FUK917494:FUK917495 FUK917500:FUK917504 FUK983030:FUK983031 FUK983036:FUK983040 GEG2:GEG3 GEG8:GEG12 GEG65526:GEG65527 GEG65532:GEG65536 GEG131062:GEG131063 GEG131068:GEG131072 GEG196598:GEG196599 GEG196604:GEG196608 GEG262134:GEG262135 GEG262140:GEG262144 GEG327670:GEG327671 GEG327676:GEG327680 GEG393206:GEG393207 GEG393212:GEG393216 GEG458742:GEG458743 GEG458748:GEG458752 GEG524278:GEG524279 GEG524284:GEG524288 GEG589814:GEG589815 GEG589820:GEG589824 GEG655350:GEG655351 GEG655356:GEG655360 GEG720886:GEG720887 GEG720892:GEG720896 GEG786422:GEG786423 GEG786428:GEG786432 GEG851958:GEG851959 GEG851964:GEG851968 GEG917494:GEG917495 GEG917500:GEG917504 GEG983030:GEG983031 GEG983036:GEG983040 GOC2:GOC3 GOC8:GOC12 GOC65526:GOC65527 GOC65532:GOC65536 GOC131062:GOC131063 GOC131068:GOC131072 GOC196598:GOC196599 GOC196604:GOC196608 GOC262134:GOC262135 GOC262140:GOC262144 GOC327670:GOC327671 GOC327676:GOC327680 GOC393206:GOC393207 GOC393212:GOC393216 GOC458742:GOC458743 GOC458748:GOC458752 GOC524278:GOC524279 GOC524284:GOC524288 GOC589814:GOC589815 GOC589820:GOC589824 GOC655350:GOC655351 GOC655356:GOC655360 GOC720886:GOC720887 GOC720892:GOC720896 GOC786422:GOC786423 GOC786428:GOC786432 GOC851958:GOC851959 GOC851964:GOC851968 GOC917494:GOC917495 GOC917500:GOC917504 GOC983030:GOC983031 GOC983036:GOC983040 GXY2:GXY3 GXY8:GXY12 GXY65526:GXY65527 GXY65532:GXY65536 GXY131062:GXY131063 GXY131068:GXY131072 GXY196598:GXY196599 GXY196604:GXY196608 GXY262134:GXY262135 GXY262140:GXY262144 GXY327670:GXY327671 GXY327676:GXY327680 GXY393206:GXY393207 GXY393212:GXY393216 GXY458742:GXY458743 GXY458748:GXY458752 GXY524278:GXY524279 GXY524284:GXY524288 GXY589814:GXY589815 GXY589820:GXY589824 GXY655350:GXY655351 GXY655356:GXY655360 GXY720886:GXY720887 GXY720892:GXY720896 GXY786422:GXY786423 GXY786428:GXY786432 GXY851958:GXY851959 GXY851964:GXY851968 GXY917494:GXY917495 GXY917500:GXY917504 GXY983030:GXY983031 GXY983036:GXY983040 HHU2:HHU3 HHU8:HHU12 HHU65526:HHU65527 HHU65532:HHU65536 HHU131062:HHU131063 HHU131068:HHU131072 HHU196598:HHU196599 HHU196604:HHU196608 HHU262134:HHU262135 HHU262140:HHU262144 HHU327670:HHU327671 HHU327676:HHU327680 HHU393206:HHU393207 HHU393212:HHU393216 HHU458742:HHU458743 HHU458748:HHU458752 HHU524278:HHU524279 HHU524284:HHU524288 HHU589814:HHU589815 HHU589820:HHU589824 HHU655350:HHU655351 HHU655356:HHU655360 HHU720886:HHU720887 HHU720892:HHU720896 HHU786422:HHU786423 HHU786428:HHU786432 HHU851958:HHU851959 HHU851964:HHU851968 HHU917494:HHU917495 HHU917500:HHU917504 HHU983030:HHU983031 HHU983036:HHU983040 HRQ2:HRQ3 HRQ8:HRQ12 HRQ65526:HRQ65527 HRQ65532:HRQ65536 HRQ131062:HRQ131063 HRQ131068:HRQ131072 HRQ196598:HRQ196599 HRQ196604:HRQ196608 HRQ262134:HRQ262135 HRQ262140:HRQ262144 HRQ327670:HRQ327671 HRQ327676:HRQ327680 HRQ393206:HRQ393207 HRQ393212:HRQ393216 HRQ458742:HRQ458743 HRQ458748:HRQ458752 HRQ524278:HRQ524279 HRQ524284:HRQ524288 HRQ589814:HRQ589815 HRQ589820:HRQ589824 HRQ655350:HRQ655351 HRQ655356:HRQ655360 HRQ720886:HRQ720887 HRQ720892:HRQ720896 HRQ786422:HRQ786423 HRQ786428:HRQ786432 HRQ851958:HRQ851959 HRQ851964:HRQ851968 HRQ917494:HRQ917495 HRQ917500:HRQ917504 HRQ983030:HRQ983031 HRQ983036:HRQ983040 IBM2:IBM3 IBM8:IBM12 IBM65526:IBM65527 IBM65532:IBM65536 IBM131062:IBM131063 IBM131068:IBM131072 IBM196598:IBM196599 IBM196604:IBM196608 IBM262134:IBM262135 IBM262140:IBM262144 IBM327670:IBM327671 IBM327676:IBM327680 IBM393206:IBM393207 IBM393212:IBM393216 IBM458742:IBM458743 IBM458748:IBM458752 IBM524278:IBM524279 IBM524284:IBM524288 IBM589814:IBM589815 IBM589820:IBM589824 IBM655350:IBM655351 IBM655356:IBM655360 IBM720886:IBM720887 IBM720892:IBM720896 IBM786422:IBM786423 IBM786428:IBM786432 IBM851958:IBM851959 IBM851964:IBM851968 IBM917494:IBM917495 IBM917500:IBM917504 IBM983030:IBM983031 IBM983036:IBM983040 ILI2:ILI3 ILI8:ILI12 ILI65526:ILI65527 ILI65532:ILI65536 ILI131062:ILI131063 ILI131068:ILI131072 ILI196598:ILI196599 ILI196604:ILI196608 ILI262134:ILI262135 ILI262140:ILI262144 ILI327670:ILI327671 ILI327676:ILI327680 ILI393206:ILI393207 ILI393212:ILI393216 ILI458742:ILI458743 ILI458748:ILI458752 ILI524278:ILI524279 ILI524284:ILI524288 ILI589814:ILI589815 ILI589820:ILI589824 ILI655350:ILI655351 ILI655356:ILI655360 ILI720886:ILI720887 ILI720892:ILI720896 ILI786422:ILI786423 ILI786428:ILI786432 ILI851958:ILI851959 ILI851964:ILI851968 ILI917494:ILI917495 ILI917500:ILI917504 ILI983030:ILI983031 ILI983036:ILI983040 IVE2:IVE3 IVE8:IVE12 IVE65526:IVE65527 IVE65532:IVE65536 IVE131062:IVE131063 IVE131068:IVE131072 IVE196598:IVE196599 IVE196604:IVE196608 IVE262134:IVE262135 IVE262140:IVE262144 IVE327670:IVE327671 IVE327676:IVE327680 IVE393206:IVE393207 IVE393212:IVE393216 IVE458742:IVE458743 IVE458748:IVE458752 IVE524278:IVE524279 IVE524284:IVE524288 IVE589814:IVE589815 IVE589820:IVE589824 IVE655350:IVE655351 IVE655356:IVE655360 IVE720886:IVE720887 IVE720892:IVE720896 IVE786422:IVE786423 IVE786428:IVE786432 IVE851958:IVE851959 IVE851964:IVE851968 IVE917494:IVE917495 IVE917500:IVE917504 IVE983030:IVE983031 IVE983036:IVE983040 JFA2:JFA3 JFA8:JFA12 JFA65526:JFA65527 JFA65532:JFA65536 JFA131062:JFA131063 JFA131068:JFA131072 JFA196598:JFA196599 JFA196604:JFA196608 JFA262134:JFA262135 JFA262140:JFA262144 JFA327670:JFA327671 JFA327676:JFA327680 JFA393206:JFA393207 JFA393212:JFA393216 JFA458742:JFA458743 JFA458748:JFA458752 JFA524278:JFA524279 JFA524284:JFA524288 JFA589814:JFA589815 JFA589820:JFA589824 JFA655350:JFA655351 JFA655356:JFA655360 JFA720886:JFA720887 JFA720892:JFA720896 JFA786422:JFA786423 JFA786428:JFA786432 JFA851958:JFA851959 JFA851964:JFA851968 JFA917494:JFA917495 JFA917500:JFA917504 JFA983030:JFA983031 JFA983036:JFA983040 JOW2:JOW3 JOW8:JOW12 JOW65526:JOW65527 JOW65532:JOW65536 JOW131062:JOW131063 JOW131068:JOW131072 JOW196598:JOW196599 JOW196604:JOW196608 JOW262134:JOW262135 JOW262140:JOW262144 JOW327670:JOW327671 JOW327676:JOW327680 JOW393206:JOW393207 JOW393212:JOW393216 JOW458742:JOW458743 JOW458748:JOW458752 JOW524278:JOW524279 JOW524284:JOW524288 JOW589814:JOW589815 JOW589820:JOW589824 JOW655350:JOW655351 JOW655356:JOW655360 JOW720886:JOW720887 JOW720892:JOW720896 JOW786422:JOW786423 JOW786428:JOW786432 JOW851958:JOW851959 JOW851964:JOW851968 JOW917494:JOW917495 JOW917500:JOW917504 JOW983030:JOW983031 JOW983036:JOW983040 JYS2:JYS3 JYS8:JYS12 JYS65526:JYS65527 JYS65532:JYS65536 JYS131062:JYS131063 JYS131068:JYS131072 JYS196598:JYS196599 JYS196604:JYS196608 JYS262134:JYS262135 JYS262140:JYS262144 JYS327670:JYS327671 JYS327676:JYS327680 JYS393206:JYS393207 JYS393212:JYS393216 JYS458742:JYS458743 JYS458748:JYS458752 JYS524278:JYS524279 JYS524284:JYS524288 JYS589814:JYS589815 JYS589820:JYS589824 JYS655350:JYS655351 JYS655356:JYS655360 JYS720886:JYS720887 JYS720892:JYS720896 JYS786422:JYS786423 JYS786428:JYS786432 JYS851958:JYS851959 JYS851964:JYS851968 JYS917494:JYS917495 JYS917500:JYS917504 JYS983030:JYS983031 JYS983036:JYS983040 KIO2:KIO3 KIO8:KIO12 KIO65526:KIO65527 KIO65532:KIO65536 KIO131062:KIO131063 KIO131068:KIO131072 KIO196598:KIO196599 KIO196604:KIO196608 KIO262134:KIO262135 KIO262140:KIO262144 KIO327670:KIO327671 KIO327676:KIO327680 KIO393206:KIO393207 KIO393212:KIO393216 KIO458742:KIO458743 KIO458748:KIO458752 KIO524278:KIO524279 KIO524284:KIO524288 KIO589814:KIO589815 KIO589820:KIO589824 KIO655350:KIO655351 KIO655356:KIO655360 KIO720886:KIO720887 KIO720892:KIO720896 KIO786422:KIO786423 KIO786428:KIO786432 KIO851958:KIO851959 KIO851964:KIO851968 KIO917494:KIO917495 KIO917500:KIO917504 KIO983030:KIO983031 KIO983036:KIO983040 KSK2:KSK3 KSK8:KSK12 KSK65526:KSK65527 KSK65532:KSK65536 KSK131062:KSK131063 KSK131068:KSK131072 KSK196598:KSK196599 KSK196604:KSK196608 KSK262134:KSK262135 KSK262140:KSK262144 KSK327670:KSK327671 KSK327676:KSK327680 KSK393206:KSK393207 KSK393212:KSK393216 KSK458742:KSK458743 KSK458748:KSK458752 KSK524278:KSK524279 KSK524284:KSK524288 KSK589814:KSK589815 KSK589820:KSK589824 KSK655350:KSK655351 KSK655356:KSK655360 KSK720886:KSK720887 KSK720892:KSK720896 KSK786422:KSK786423 KSK786428:KSK786432 KSK851958:KSK851959 KSK851964:KSK851968 KSK917494:KSK917495 KSK917500:KSK917504 KSK983030:KSK983031 KSK983036:KSK983040 LCG2:LCG3 LCG8:LCG12 LCG65526:LCG65527 LCG65532:LCG65536 LCG131062:LCG131063 LCG131068:LCG131072 LCG196598:LCG196599 LCG196604:LCG196608 LCG262134:LCG262135 LCG262140:LCG262144 LCG327670:LCG327671 LCG327676:LCG327680 LCG393206:LCG393207 LCG393212:LCG393216 LCG458742:LCG458743 LCG458748:LCG458752 LCG524278:LCG524279 LCG524284:LCG524288 LCG589814:LCG589815 LCG589820:LCG589824 LCG655350:LCG655351 LCG655356:LCG655360 LCG720886:LCG720887 LCG720892:LCG720896 LCG786422:LCG786423 LCG786428:LCG786432 LCG851958:LCG851959 LCG851964:LCG851968 LCG917494:LCG917495 LCG917500:LCG917504 LCG983030:LCG983031 LCG983036:LCG983040 LMC2:LMC3 LMC8:LMC12 LMC65526:LMC65527 LMC65532:LMC65536 LMC131062:LMC131063 LMC131068:LMC131072 LMC196598:LMC196599 LMC196604:LMC196608 LMC262134:LMC262135 LMC262140:LMC262144 LMC327670:LMC327671 LMC327676:LMC327680 LMC393206:LMC393207 LMC393212:LMC393216 LMC458742:LMC458743 LMC458748:LMC458752 LMC524278:LMC524279 LMC524284:LMC524288 LMC589814:LMC589815 LMC589820:LMC589824 LMC655350:LMC655351 LMC655356:LMC655360 LMC720886:LMC720887 LMC720892:LMC720896 LMC786422:LMC786423 LMC786428:LMC786432 LMC851958:LMC851959 LMC851964:LMC851968 LMC917494:LMC917495 LMC917500:LMC917504 LMC983030:LMC983031 LMC983036:LMC983040 LVY2:LVY3 LVY8:LVY12 LVY65526:LVY65527 LVY65532:LVY65536 LVY131062:LVY131063 LVY131068:LVY131072 LVY196598:LVY196599 LVY196604:LVY196608 LVY262134:LVY262135 LVY262140:LVY262144 LVY327670:LVY327671 LVY327676:LVY327680 LVY393206:LVY393207 LVY393212:LVY393216 LVY458742:LVY458743 LVY458748:LVY458752 LVY524278:LVY524279 LVY524284:LVY524288 LVY589814:LVY589815 LVY589820:LVY589824 LVY655350:LVY655351 LVY655356:LVY655360 LVY720886:LVY720887 LVY720892:LVY720896 LVY786422:LVY786423 LVY786428:LVY786432 LVY851958:LVY851959 LVY851964:LVY851968 LVY917494:LVY917495 LVY917500:LVY917504 LVY983030:LVY983031 LVY983036:LVY983040 MFU2:MFU3 MFU8:MFU12 MFU65526:MFU65527 MFU65532:MFU65536 MFU131062:MFU131063 MFU131068:MFU131072 MFU196598:MFU196599 MFU196604:MFU196608 MFU262134:MFU262135 MFU262140:MFU262144 MFU327670:MFU327671 MFU327676:MFU327680 MFU393206:MFU393207 MFU393212:MFU393216 MFU458742:MFU458743 MFU458748:MFU458752 MFU524278:MFU524279 MFU524284:MFU524288 MFU589814:MFU589815 MFU589820:MFU589824 MFU655350:MFU655351 MFU655356:MFU655360 MFU720886:MFU720887 MFU720892:MFU720896 MFU786422:MFU786423 MFU786428:MFU786432 MFU851958:MFU851959 MFU851964:MFU851968 MFU917494:MFU917495 MFU917500:MFU917504 MFU983030:MFU983031 MFU983036:MFU983040 MPQ2:MPQ3 MPQ8:MPQ12 MPQ65526:MPQ65527 MPQ65532:MPQ65536 MPQ131062:MPQ131063 MPQ131068:MPQ131072 MPQ196598:MPQ196599 MPQ196604:MPQ196608 MPQ262134:MPQ262135 MPQ262140:MPQ262144 MPQ327670:MPQ327671 MPQ327676:MPQ327680 MPQ393206:MPQ393207 MPQ393212:MPQ393216 MPQ458742:MPQ458743 MPQ458748:MPQ458752 MPQ524278:MPQ524279 MPQ524284:MPQ524288 MPQ589814:MPQ589815 MPQ589820:MPQ589824 MPQ655350:MPQ655351 MPQ655356:MPQ655360 MPQ720886:MPQ720887 MPQ720892:MPQ720896 MPQ786422:MPQ786423 MPQ786428:MPQ786432 MPQ851958:MPQ851959 MPQ851964:MPQ851968 MPQ917494:MPQ917495 MPQ917500:MPQ917504 MPQ983030:MPQ983031 MPQ983036:MPQ983040 MZM2:MZM3 MZM8:MZM12 MZM65526:MZM65527 MZM65532:MZM65536 MZM131062:MZM131063 MZM131068:MZM131072 MZM196598:MZM196599 MZM196604:MZM196608 MZM262134:MZM262135 MZM262140:MZM262144 MZM327670:MZM327671 MZM327676:MZM327680 MZM393206:MZM393207 MZM393212:MZM393216 MZM458742:MZM458743 MZM458748:MZM458752 MZM524278:MZM524279 MZM524284:MZM524288 MZM589814:MZM589815 MZM589820:MZM589824 MZM655350:MZM655351 MZM655356:MZM655360 MZM720886:MZM720887 MZM720892:MZM720896 MZM786422:MZM786423 MZM786428:MZM786432 MZM851958:MZM851959 MZM851964:MZM851968 MZM917494:MZM917495 MZM917500:MZM917504 MZM983030:MZM983031 MZM983036:MZM983040 NJI2:NJI3 NJI8:NJI12 NJI65526:NJI65527 NJI65532:NJI65536 NJI131062:NJI131063 NJI131068:NJI131072 NJI196598:NJI196599 NJI196604:NJI196608 NJI262134:NJI262135 NJI262140:NJI262144 NJI327670:NJI327671 NJI327676:NJI327680 NJI393206:NJI393207 NJI393212:NJI393216 NJI458742:NJI458743 NJI458748:NJI458752 NJI524278:NJI524279 NJI524284:NJI524288 NJI589814:NJI589815 NJI589820:NJI589824 NJI655350:NJI655351 NJI655356:NJI655360 NJI720886:NJI720887 NJI720892:NJI720896 NJI786422:NJI786423 NJI786428:NJI786432 NJI851958:NJI851959 NJI851964:NJI851968 NJI917494:NJI917495 NJI917500:NJI917504 NJI983030:NJI983031 NJI983036:NJI983040 NTE2:NTE3 NTE8:NTE12 NTE65526:NTE65527 NTE65532:NTE65536 NTE131062:NTE131063 NTE131068:NTE131072 NTE196598:NTE196599 NTE196604:NTE196608 NTE262134:NTE262135 NTE262140:NTE262144 NTE327670:NTE327671 NTE327676:NTE327680 NTE393206:NTE393207 NTE393212:NTE393216 NTE458742:NTE458743 NTE458748:NTE458752 NTE524278:NTE524279 NTE524284:NTE524288 NTE589814:NTE589815 NTE589820:NTE589824 NTE655350:NTE655351 NTE655356:NTE655360 NTE720886:NTE720887 NTE720892:NTE720896 NTE786422:NTE786423 NTE786428:NTE786432 NTE851958:NTE851959 NTE851964:NTE851968 NTE917494:NTE917495 NTE917500:NTE917504 NTE983030:NTE983031 NTE983036:NTE983040 ODA2:ODA3 ODA8:ODA12 ODA65526:ODA65527 ODA65532:ODA65536 ODA131062:ODA131063 ODA131068:ODA131072 ODA196598:ODA196599 ODA196604:ODA196608 ODA262134:ODA262135 ODA262140:ODA262144 ODA327670:ODA327671 ODA327676:ODA327680 ODA393206:ODA393207 ODA393212:ODA393216 ODA458742:ODA458743 ODA458748:ODA458752 ODA524278:ODA524279 ODA524284:ODA524288 ODA589814:ODA589815 ODA589820:ODA589824 ODA655350:ODA655351 ODA655356:ODA655360 ODA720886:ODA720887 ODA720892:ODA720896 ODA786422:ODA786423 ODA786428:ODA786432 ODA851958:ODA851959 ODA851964:ODA851968 ODA917494:ODA917495 ODA917500:ODA917504 ODA983030:ODA983031 ODA983036:ODA983040 OMW2:OMW3 OMW8:OMW12 OMW65526:OMW65527 OMW65532:OMW65536 OMW131062:OMW131063 OMW131068:OMW131072 OMW196598:OMW196599 OMW196604:OMW196608 OMW262134:OMW262135 OMW262140:OMW262144 OMW327670:OMW327671 OMW327676:OMW327680 OMW393206:OMW393207 OMW393212:OMW393216 OMW458742:OMW458743 OMW458748:OMW458752 OMW524278:OMW524279 OMW524284:OMW524288 OMW589814:OMW589815 OMW589820:OMW589824 OMW655350:OMW655351 OMW655356:OMW655360 OMW720886:OMW720887 OMW720892:OMW720896 OMW786422:OMW786423 OMW786428:OMW786432 OMW851958:OMW851959 OMW851964:OMW851968 OMW917494:OMW917495 OMW917500:OMW917504 OMW983030:OMW983031 OMW983036:OMW983040 OWS2:OWS3 OWS8:OWS12 OWS65526:OWS65527 OWS65532:OWS65536 OWS131062:OWS131063 OWS131068:OWS131072 OWS196598:OWS196599 OWS196604:OWS196608 OWS262134:OWS262135 OWS262140:OWS262144 OWS327670:OWS327671 OWS327676:OWS327680 OWS393206:OWS393207 OWS393212:OWS393216 OWS458742:OWS458743 OWS458748:OWS458752 OWS524278:OWS524279 OWS524284:OWS524288 OWS589814:OWS589815 OWS589820:OWS589824 OWS655350:OWS655351 OWS655356:OWS655360 OWS720886:OWS720887 OWS720892:OWS720896 OWS786422:OWS786423 OWS786428:OWS786432 OWS851958:OWS851959 OWS851964:OWS851968 OWS917494:OWS917495 OWS917500:OWS917504 OWS983030:OWS983031 OWS983036:OWS983040 PGO2:PGO3 PGO8:PGO12 PGO65526:PGO65527 PGO65532:PGO65536 PGO131062:PGO131063 PGO131068:PGO131072 PGO196598:PGO196599 PGO196604:PGO196608 PGO262134:PGO262135 PGO262140:PGO262144 PGO327670:PGO327671 PGO327676:PGO327680 PGO393206:PGO393207 PGO393212:PGO393216 PGO458742:PGO458743 PGO458748:PGO458752 PGO524278:PGO524279 PGO524284:PGO524288 PGO589814:PGO589815 PGO589820:PGO589824 PGO655350:PGO655351 PGO655356:PGO655360 PGO720886:PGO720887 PGO720892:PGO720896 PGO786422:PGO786423 PGO786428:PGO786432 PGO851958:PGO851959 PGO851964:PGO851968 PGO917494:PGO917495 PGO917500:PGO917504 PGO983030:PGO983031 PGO983036:PGO983040 PQK2:PQK3 PQK8:PQK12 PQK65526:PQK65527 PQK65532:PQK65536 PQK131062:PQK131063 PQK131068:PQK131072 PQK196598:PQK196599 PQK196604:PQK196608 PQK262134:PQK262135 PQK262140:PQK262144 PQK327670:PQK327671 PQK327676:PQK327680 PQK393206:PQK393207 PQK393212:PQK393216 PQK458742:PQK458743 PQK458748:PQK458752 PQK524278:PQK524279 PQK524284:PQK524288 PQK589814:PQK589815 PQK589820:PQK589824 PQK655350:PQK655351 PQK655356:PQK655360 PQK720886:PQK720887 PQK720892:PQK720896 PQK786422:PQK786423 PQK786428:PQK786432 PQK851958:PQK851959 PQK851964:PQK851968 PQK917494:PQK917495 PQK917500:PQK917504 PQK983030:PQK983031 PQK983036:PQK983040 QAG2:QAG3 QAG8:QAG12 QAG65526:QAG65527 QAG65532:QAG65536 QAG131062:QAG131063 QAG131068:QAG131072 QAG196598:QAG196599 QAG196604:QAG196608 QAG262134:QAG262135 QAG262140:QAG262144 QAG327670:QAG327671 QAG327676:QAG327680 QAG393206:QAG393207 QAG393212:QAG393216 QAG458742:QAG458743 QAG458748:QAG458752 QAG524278:QAG524279 QAG524284:QAG524288 QAG589814:QAG589815 QAG589820:QAG589824 QAG655350:QAG655351 QAG655356:QAG655360 QAG720886:QAG720887 QAG720892:QAG720896 QAG786422:QAG786423 QAG786428:QAG786432 QAG851958:QAG851959 QAG851964:QAG851968 QAG917494:QAG917495 QAG917500:QAG917504 QAG983030:QAG983031 QAG983036:QAG983040 QKC2:QKC3 QKC8:QKC12 QKC65526:QKC65527 QKC65532:QKC65536 QKC131062:QKC131063 QKC131068:QKC131072 QKC196598:QKC196599 QKC196604:QKC196608 QKC262134:QKC262135 QKC262140:QKC262144 QKC327670:QKC327671 QKC327676:QKC327680 QKC393206:QKC393207 QKC393212:QKC393216 QKC458742:QKC458743 QKC458748:QKC458752 QKC524278:QKC524279 QKC524284:QKC524288 QKC589814:QKC589815 QKC589820:QKC589824 QKC655350:QKC655351 QKC655356:QKC655360 QKC720886:QKC720887 QKC720892:QKC720896 QKC786422:QKC786423 QKC786428:QKC786432 QKC851958:QKC851959 QKC851964:QKC851968 QKC917494:QKC917495 QKC917500:QKC917504 QKC983030:QKC983031 QKC983036:QKC983040 QTY2:QTY3 QTY8:QTY12 QTY65526:QTY65527 QTY65532:QTY65536 QTY131062:QTY131063 QTY131068:QTY131072 QTY196598:QTY196599 QTY196604:QTY196608 QTY262134:QTY262135 QTY262140:QTY262144 QTY327670:QTY327671 QTY327676:QTY327680 QTY393206:QTY393207 QTY393212:QTY393216 QTY458742:QTY458743 QTY458748:QTY458752 QTY524278:QTY524279 QTY524284:QTY524288 QTY589814:QTY589815 QTY589820:QTY589824 QTY655350:QTY655351 QTY655356:QTY655360 QTY720886:QTY720887 QTY720892:QTY720896 QTY786422:QTY786423 QTY786428:QTY786432 QTY851958:QTY851959 QTY851964:QTY851968 QTY917494:QTY917495 QTY917500:QTY917504 QTY983030:QTY983031 QTY983036:QTY983040 RDU2:RDU3 RDU8:RDU12 RDU65526:RDU65527 RDU65532:RDU65536 RDU131062:RDU131063 RDU131068:RDU131072 RDU196598:RDU196599 RDU196604:RDU196608 RDU262134:RDU262135 RDU262140:RDU262144 RDU327670:RDU327671 RDU327676:RDU327680 RDU393206:RDU393207 RDU393212:RDU393216 RDU458742:RDU458743 RDU458748:RDU458752 RDU524278:RDU524279 RDU524284:RDU524288 RDU589814:RDU589815 RDU589820:RDU589824 RDU655350:RDU655351 RDU655356:RDU655360 RDU720886:RDU720887 RDU720892:RDU720896 RDU786422:RDU786423 RDU786428:RDU786432 RDU851958:RDU851959 RDU851964:RDU851968 RDU917494:RDU917495 RDU917500:RDU917504 RDU983030:RDU983031 RDU983036:RDU983040 RNQ2:RNQ3 RNQ8:RNQ12 RNQ65526:RNQ65527 RNQ65532:RNQ65536 RNQ131062:RNQ131063 RNQ131068:RNQ131072 RNQ196598:RNQ196599 RNQ196604:RNQ196608 RNQ262134:RNQ262135 RNQ262140:RNQ262144 RNQ327670:RNQ327671 RNQ327676:RNQ327680 RNQ393206:RNQ393207 RNQ393212:RNQ393216 RNQ458742:RNQ458743 RNQ458748:RNQ458752 RNQ524278:RNQ524279 RNQ524284:RNQ524288 RNQ589814:RNQ589815 RNQ589820:RNQ589824 RNQ655350:RNQ655351 RNQ655356:RNQ655360 RNQ720886:RNQ720887 RNQ720892:RNQ720896 RNQ786422:RNQ786423 RNQ786428:RNQ786432 RNQ851958:RNQ851959 RNQ851964:RNQ851968 RNQ917494:RNQ917495 RNQ917500:RNQ917504 RNQ983030:RNQ983031 RNQ983036:RNQ983040 RXM2:RXM3 RXM8:RXM12 RXM65526:RXM65527 RXM65532:RXM65536 RXM131062:RXM131063 RXM131068:RXM131072 RXM196598:RXM196599 RXM196604:RXM196608 RXM262134:RXM262135 RXM262140:RXM262144 RXM327670:RXM327671 RXM327676:RXM327680 RXM393206:RXM393207 RXM393212:RXM393216 RXM458742:RXM458743 RXM458748:RXM458752 RXM524278:RXM524279 RXM524284:RXM524288 RXM589814:RXM589815 RXM589820:RXM589824 RXM655350:RXM655351 RXM655356:RXM655360 RXM720886:RXM720887 RXM720892:RXM720896 RXM786422:RXM786423 RXM786428:RXM786432 RXM851958:RXM851959 RXM851964:RXM851968 RXM917494:RXM917495 RXM917500:RXM917504 RXM983030:RXM983031 RXM983036:RXM983040 SHI2:SHI3 SHI8:SHI12 SHI65526:SHI65527 SHI65532:SHI65536 SHI131062:SHI131063 SHI131068:SHI131072 SHI196598:SHI196599 SHI196604:SHI196608 SHI262134:SHI262135 SHI262140:SHI262144 SHI327670:SHI327671 SHI327676:SHI327680 SHI393206:SHI393207 SHI393212:SHI393216 SHI458742:SHI458743 SHI458748:SHI458752 SHI524278:SHI524279 SHI524284:SHI524288 SHI589814:SHI589815 SHI589820:SHI589824 SHI655350:SHI655351 SHI655356:SHI655360 SHI720886:SHI720887 SHI720892:SHI720896 SHI786422:SHI786423 SHI786428:SHI786432 SHI851958:SHI851959 SHI851964:SHI851968 SHI917494:SHI917495 SHI917500:SHI917504 SHI983030:SHI983031 SHI983036:SHI983040 SRE2:SRE3 SRE8:SRE12 SRE65526:SRE65527 SRE65532:SRE65536 SRE131062:SRE131063 SRE131068:SRE131072 SRE196598:SRE196599 SRE196604:SRE196608 SRE262134:SRE262135 SRE262140:SRE262144 SRE327670:SRE327671 SRE327676:SRE327680 SRE393206:SRE393207 SRE393212:SRE393216 SRE458742:SRE458743 SRE458748:SRE458752 SRE524278:SRE524279 SRE524284:SRE524288 SRE589814:SRE589815 SRE589820:SRE589824 SRE655350:SRE655351 SRE655356:SRE655360 SRE720886:SRE720887 SRE720892:SRE720896 SRE786422:SRE786423 SRE786428:SRE786432 SRE851958:SRE851959 SRE851964:SRE851968 SRE917494:SRE917495 SRE917500:SRE917504 SRE983030:SRE983031 SRE983036:SRE983040 TBA2:TBA3 TBA8:TBA12 TBA65526:TBA65527 TBA65532:TBA65536 TBA131062:TBA131063 TBA131068:TBA131072 TBA196598:TBA196599 TBA196604:TBA196608 TBA262134:TBA262135 TBA262140:TBA262144 TBA327670:TBA327671 TBA327676:TBA327680 TBA393206:TBA393207 TBA393212:TBA393216 TBA458742:TBA458743 TBA458748:TBA458752 TBA524278:TBA524279 TBA524284:TBA524288 TBA589814:TBA589815 TBA589820:TBA589824 TBA655350:TBA655351 TBA655356:TBA655360 TBA720886:TBA720887 TBA720892:TBA720896 TBA786422:TBA786423 TBA786428:TBA786432 TBA851958:TBA851959 TBA851964:TBA851968 TBA917494:TBA917495 TBA917500:TBA917504 TBA983030:TBA983031 TBA983036:TBA983040 TKW2:TKW3 TKW8:TKW12 TKW65526:TKW65527 TKW65532:TKW65536 TKW131062:TKW131063 TKW131068:TKW131072 TKW196598:TKW196599 TKW196604:TKW196608 TKW262134:TKW262135 TKW262140:TKW262144 TKW327670:TKW327671 TKW327676:TKW327680 TKW393206:TKW393207 TKW393212:TKW393216 TKW458742:TKW458743 TKW458748:TKW458752 TKW524278:TKW524279 TKW524284:TKW524288 TKW589814:TKW589815 TKW589820:TKW589824 TKW655350:TKW655351 TKW655356:TKW655360 TKW720886:TKW720887 TKW720892:TKW720896 TKW786422:TKW786423 TKW786428:TKW786432 TKW851958:TKW851959 TKW851964:TKW851968 TKW917494:TKW917495 TKW917500:TKW917504 TKW983030:TKW983031 TKW983036:TKW983040 TUS2:TUS3 TUS8:TUS12 TUS65526:TUS65527 TUS65532:TUS65536 TUS131062:TUS131063 TUS131068:TUS131072 TUS196598:TUS196599 TUS196604:TUS196608 TUS262134:TUS262135 TUS262140:TUS262144 TUS327670:TUS327671 TUS327676:TUS327680 TUS393206:TUS393207 TUS393212:TUS393216 TUS458742:TUS458743 TUS458748:TUS458752 TUS524278:TUS524279 TUS524284:TUS524288 TUS589814:TUS589815 TUS589820:TUS589824 TUS655350:TUS655351 TUS655356:TUS655360 TUS720886:TUS720887 TUS720892:TUS720896 TUS786422:TUS786423 TUS786428:TUS786432 TUS851958:TUS851959 TUS851964:TUS851968 TUS917494:TUS917495 TUS917500:TUS917504 TUS983030:TUS983031 TUS983036:TUS983040 UEO2:UEO3 UEO8:UEO12 UEO65526:UEO65527 UEO65532:UEO65536 UEO131062:UEO131063 UEO131068:UEO131072 UEO196598:UEO196599 UEO196604:UEO196608 UEO262134:UEO262135 UEO262140:UEO262144 UEO327670:UEO327671 UEO327676:UEO327680 UEO393206:UEO393207 UEO393212:UEO393216 UEO458742:UEO458743 UEO458748:UEO458752 UEO524278:UEO524279 UEO524284:UEO524288 UEO589814:UEO589815 UEO589820:UEO589824 UEO655350:UEO655351 UEO655356:UEO655360 UEO720886:UEO720887 UEO720892:UEO720896 UEO786422:UEO786423 UEO786428:UEO786432 UEO851958:UEO851959 UEO851964:UEO851968 UEO917494:UEO917495 UEO917500:UEO917504 UEO983030:UEO983031 UEO983036:UEO983040 UOK2:UOK3 UOK8:UOK12 UOK65526:UOK65527 UOK65532:UOK65536 UOK131062:UOK131063 UOK131068:UOK131072 UOK196598:UOK196599 UOK196604:UOK196608 UOK262134:UOK262135 UOK262140:UOK262144 UOK327670:UOK327671 UOK327676:UOK327680 UOK393206:UOK393207 UOK393212:UOK393216 UOK458742:UOK458743 UOK458748:UOK458752 UOK524278:UOK524279 UOK524284:UOK524288 UOK589814:UOK589815 UOK589820:UOK589824 UOK655350:UOK655351 UOK655356:UOK655360 UOK720886:UOK720887 UOK720892:UOK720896 UOK786422:UOK786423 UOK786428:UOK786432 UOK851958:UOK851959 UOK851964:UOK851968 UOK917494:UOK917495 UOK917500:UOK917504 UOK983030:UOK983031 UOK983036:UOK983040 UYG2:UYG3 UYG8:UYG12 UYG65526:UYG65527 UYG65532:UYG65536 UYG131062:UYG131063 UYG131068:UYG131072 UYG196598:UYG196599 UYG196604:UYG196608 UYG262134:UYG262135 UYG262140:UYG262144 UYG327670:UYG327671 UYG327676:UYG327680 UYG393206:UYG393207 UYG393212:UYG393216 UYG458742:UYG458743 UYG458748:UYG458752 UYG524278:UYG524279 UYG524284:UYG524288 UYG589814:UYG589815 UYG589820:UYG589824 UYG655350:UYG655351 UYG655356:UYG655360 UYG720886:UYG720887 UYG720892:UYG720896 UYG786422:UYG786423 UYG786428:UYG786432 UYG851958:UYG851959 UYG851964:UYG851968 UYG917494:UYG917495 UYG917500:UYG917504 UYG983030:UYG983031 UYG983036:UYG983040 VIC2:VIC3 VIC8:VIC12 VIC65526:VIC65527 VIC65532:VIC65536 VIC131062:VIC131063 VIC131068:VIC131072 VIC196598:VIC196599 VIC196604:VIC196608 VIC262134:VIC262135 VIC262140:VIC262144 VIC327670:VIC327671 VIC327676:VIC327680 VIC393206:VIC393207 VIC393212:VIC393216 VIC458742:VIC458743 VIC458748:VIC458752 VIC524278:VIC524279 VIC524284:VIC524288 VIC589814:VIC589815 VIC589820:VIC589824 VIC655350:VIC655351 VIC655356:VIC655360 VIC720886:VIC720887 VIC720892:VIC720896 VIC786422:VIC786423 VIC786428:VIC786432 VIC851958:VIC851959 VIC851964:VIC851968 VIC917494:VIC917495 VIC917500:VIC917504 VIC983030:VIC983031 VIC983036:VIC983040 VRY2:VRY3 VRY8:VRY12 VRY65526:VRY65527 VRY65532:VRY65536 VRY131062:VRY131063 VRY131068:VRY131072 VRY196598:VRY196599 VRY196604:VRY196608 VRY262134:VRY262135 VRY262140:VRY262144 VRY327670:VRY327671 VRY327676:VRY327680 VRY393206:VRY393207 VRY393212:VRY393216 VRY458742:VRY458743 VRY458748:VRY458752 VRY524278:VRY524279 VRY524284:VRY524288 VRY589814:VRY589815 VRY589820:VRY589824 VRY655350:VRY655351 VRY655356:VRY655360 VRY720886:VRY720887 VRY720892:VRY720896 VRY786422:VRY786423 VRY786428:VRY786432 VRY851958:VRY851959 VRY851964:VRY851968 VRY917494:VRY917495 VRY917500:VRY917504 VRY983030:VRY983031 VRY983036:VRY983040 WBU2:WBU3 WBU8:WBU12 WBU65526:WBU65527 WBU65532:WBU65536 WBU131062:WBU131063 WBU131068:WBU131072 WBU196598:WBU196599 WBU196604:WBU196608 WBU262134:WBU262135 WBU262140:WBU262144 WBU327670:WBU327671 WBU327676:WBU327680 WBU393206:WBU393207 WBU393212:WBU393216 WBU458742:WBU458743 WBU458748:WBU458752 WBU524278:WBU524279 WBU524284:WBU524288 WBU589814:WBU589815 WBU589820:WBU589824 WBU655350:WBU655351 WBU655356:WBU655360 WBU720886:WBU720887 WBU720892:WBU720896 WBU786422:WBU786423 WBU786428:WBU786432 WBU851958:WBU851959 WBU851964:WBU851968 WBU917494:WBU917495 WBU917500:WBU917504 WBU983030:WBU983031 WBU983036:WBU983040 WLQ2:WLQ3 WLQ8:WLQ12 WLQ65526:WLQ65527 WLQ65532:WLQ65536 WLQ131062:WLQ131063 WLQ131068:WLQ131072 WLQ196598:WLQ196599 WLQ196604:WLQ196608 WLQ262134:WLQ262135 WLQ262140:WLQ262144 WLQ327670:WLQ327671 WLQ327676:WLQ327680 WLQ393206:WLQ393207 WLQ393212:WLQ393216 WLQ458742:WLQ458743 WLQ458748:WLQ458752 WLQ524278:WLQ524279 WLQ524284:WLQ524288 WLQ589814:WLQ589815 WLQ589820:WLQ589824 WLQ655350:WLQ655351 WLQ655356:WLQ655360 WLQ720886:WLQ720887 WLQ720892:WLQ720896 WLQ786422:WLQ786423 WLQ786428:WLQ786432 WLQ851958:WLQ851959 WLQ851964:WLQ851968 WLQ917494:WLQ917495 WLQ917500:WLQ917504 WLQ983030:WLQ983031 WLQ983036:WLQ983040 WVM2:WVM3 WVM8:WVM12 WVM65526:WVM65527 WVM65532:WVM65536 WVM131062:WVM131063 WVM131068:WVM131072 WVM196598:WVM196599 WVM196604:WVM196608 WVM262134:WVM262135 WVM262140:WVM262144 WVM327670:WVM327671 WVM327676:WVM327680 WVM393206:WVM393207 WVM393212:WVM393216 WVM458742:WVM458743 WVM458748:WVM458752 WVM524278:WVM524279 WVM524284:WVM524288 WVM589814:WVM589815 WVM589820:WVM589824 WVM655350:WVM655351 WVM655356:WVM655360 WVM720886:WVM720887 WVM720892:WVM720896 WVM786422:WVM786423 WVM786428:WVM786432 WVM851958:WVM851959 WVM851964:WVM851968 WVM917494:WVM917495 WVM917500:WVM917504 WVM983030:WVM983031 WVM983036:WVM983040" xr:uid="{00000000-0002-0000-0700-000017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2 E65531:E65536 E131067:E131072 E196603:E196608 E262139:E262144 E327675:E327680 E393211:E393216 E458747:E458752 E524283:E524288 E589819:E589824 E655355:E655360 E720891:E720896 E786427:E786432 E851963:E851968 E917499:E917504 E983035:E983040 JB7:JB12 JB65531:JB65536 JB131067:JB131072 JB196603:JB196608 JB262139:JB262144 JB327675:JB327680 JB393211:JB393216 JB458747:JB458752 JB524283:JB524288 JB589819:JB589824 JB655355:JB655360 JB720891:JB720896 JB786427:JB786432 JB851963:JB851968 JB917499:JB917504 JB983035:JB983040 SX7:SX12 SX65531:SX65536 SX131067:SX131072 SX196603:SX196608 SX262139:SX262144 SX327675:SX327680 SX393211:SX393216 SX458747:SX458752 SX524283:SX524288 SX589819:SX589824 SX655355:SX655360 SX720891:SX720896 SX786427:SX786432 SX851963:SX851968 SX917499:SX917504 SX983035:SX983040 ACT7:ACT12 ACT65531:ACT65536 ACT131067:ACT131072 ACT196603:ACT196608 ACT262139:ACT262144 ACT327675:ACT327680 ACT393211:ACT393216 ACT458747:ACT458752 ACT524283:ACT524288 ACT589819:ACT589824 ACT655355:ACT655360 ACT720891:ACT720896 ACT786427:ACT786432 ACT851963:ACT851968 ACT917499:ACT917504 ACT983035:ACT983040 AMP7:AMP12 AMP65531:AMP65536 AMP131067:AMP131072 AMP196603:AMP196608 AMP262139:AMP262144 AMP327675:AMP327680 AMP393211:AMP393216 AMP458747:AMP458752 AMP524283:AMP524288 AMP589819:AMP589824 AMP655355:AMP655360 AMP720891:AMP720896 AMP786427:AMP786432 AMP851963:AMP851968 AMP917499:AMP917504 AMP983035:AMP983040 AWL7:AWL12 AWL65531:AWL65536 AWL131067:AWL131072 AWL196603:AWL196608 AWL262139:AWL262144 AWL327675:AWL327680 AWL393211:AWL393216 AWL458747:AWL458752 AWL524283:AWL524288 AWL589819:AWL589824 AWL655355:AWL655360 AWL720891:AWL720896 AWL786427:AWL786432 AWL851963:AWL851968 AWL917499:AWL917504 AWL983035:AWL983040 BGH7:BGH12 BGH65531:BGH65536 BGH131067:BGH131072 BGH196603:BGH196608 BGH262139:BGH262144 BGH327675:BGH327680 BGH393211:BGH393216 BGH458747:BGH458752 BGH524283:BGH524288 BGH589819:BGH589824 BGH655355:BGH655360 BGH720891:BGH720896 BGH786427:BGH786432 BGH851963:BGH851968 BGH917499:BGH917504 BGH983035:BGH983040 BQD7:BQD12 BQD65531:BQD65536 BQD131067:BQD131072 BQD196603:BQD196608 BQD262139:BQD262144 BQD327675:BQD327680 BQD393211:BQD393216 BQD458747:BQD458752 BQD524283:BQD524288 BQD589819:BQD589824 BQD655355:BQD655360 BQD720891:BQD720896 BQD786427:BQD786432 BQD851963:BQD851968 BQD917499:BQD917504 BQD983035:BQD983040 BZZ7:BZZ12 BZZ65531:BZZ65536 BZZ131067:BZZ131072 BZZ196603:BZZ196608 BZZ262139:BZZ262144 BZZ327675:BZZ327680 BZZ393211:BZZ393216 BZZ458747:BZZ458752 BZZ524283:BZZ524288 BZZ589819:BZZ589824 BZZ655355:BZZ655360 BZZ720891:BZZ720896 BZZ786427:BZZ786432 BZZ851963:BZZ851968 BZZ917499:BZZ917504 BZZ983035:BZZ983040 CJV7:CJV12 CJV65531:CJV65536 CJV131067:CJV131072 CJV196603:CJV196608 CJV262139:CJV262144 CJV327675:CJV327680 CJV393211:CJV393216 CJV458747:CJV458752 CJV524283:CJV524288 CJV589819:CJV589824 CJV655355:CJV655360 CJV720891:CJV720896 CJV786427:CJV786432 CJV851963:CJV851968 CJV917499:CJV917504 CJV983035:CJV983040 CTR7:CTR12 CTR65531:CTR65536 CTR131067:CTR131072 CTR196603:CTR196608 CTR262139:CTR262144 CTR327675:CTR327680 CTR393211:CTR393216 CTR458747:CTR458752 CTR524283:CTR524288 CTR589819:CTR589824 CTR655355:CTR655360 CTR720891:CTR720896 CTR786427:CTR786432 CTR851963:CTR851968 CTR917499:CTR917504 CTR983035:CTR983040 DDN7:DDN12 DDN65531:DDN65536 DDN131067:DDN131072 DDN196603:DDN196608 DDN262139:DDN262144 DDN327675:DDN327680 DDN393211:DDN393216 DDN458747:DDN458752 DDN524283:DDN524288 DDN589819:DDN589824 DDN655355:DDN655360 DDN720891:DDN720896 DDN786427:DDN786432 DDN851963:DDN851968 DDN917499:DDN917504 DDN983035:DDN983040 DNJ7:DNJ12 DNJ65531:DNJ65536 DNJ131067:DNJ131072 DNJ196603:DNJ196608 DNJ262139:DNJ262144 DNJ327675:DNJ327680 DNJ393211:DNJ393216 DNJ458747:DNJ458752 DNJ524283:DNJ524288 DNJ589819:DNJ589824 DNJ655355:DNJ655360 DNJ720891:DNJ720896 DNJ786427:DNJ786432 DNJ851963:DNJ851968 DNJ917499:DNJ917504 DNJ983035:DNJ983040 DXF7:DXF12 DXF65531:DXF65536 DXF131067:DXF131072 DXF196603:DXF196608 DXF262139:DXF262144 DXF327675:DXF327680 DXF393211:DXF393216 DXF458747:DXF458752 DXF524283:DXF524288 DXF589819:DXF589824 DXF655355:DXF655360 DXF720891:DXF720896 DXF786427:DXF786432 DXF851963:DXF851968 DXF917499:DXF917504 DXF983035:DXF983040 EHB7:EHB12 EHB65531:EHB65536 EHB131067:EHB131072 EHB196603:EHB196608 EHB262139:EHB262144 EHB327675:EHB327680 EHB393211:EHB393216 EHB458747:EHB458752 EHB524283:EHB524288 EHB589819:EHB589824 EHB655355:EHB655360 EHB720891:EHB720896 EHB786427:EHB786432 EHB851963:EHB851968 EHB917499:EHB917504 EHB983035:EHB983040 EQX7:EQX12 EQX65531:EQX65536 EQX131067:EQX131072 EQX196603:EQX196608 EQX262139:EQX262144 EQX327675:EQX327680 EQX393211:EQX393216 EQX458747:EQX458752 EQX524283:EQX524288 EQX589819:EQX589824 EQX655355:EQX655360 EQX720891:EQX720896 EQX786427:EQX786432 EQX851963:EQX851968 EQX917499:EQX917504 EQX983035:EQX983040 FAT7:FAT12 FAT65531:FAT65536 FAT131067:FAT131072 FAT196603:FAT196608 FAT262139:FAT262144 FAT327675:FAT327680 FAT393211:FAT393216 FAT458747:FAT458752 FAT524283:FAT524288 FAT589819:FAT589824 FAT655355:FAT655360 FAT720891:FAT720896 FAT786427:FAT786432 FAT851963:FAT851968 FAT917499:FAT917504 FAT983035:FAT983040 FKP7:FKP12 FKP65531:FKP65536 FKP131067:FKP131072 FKP196603:FKP196608 FKP262139:FKP262144 FKP327675:FKP327680 FKP393211:FKP393216 FKP458747:FKP458752 FKP524283:FKP524288 FKP589819:FKP589824 FKP655355:FKP655360 FKP720891:FKP720896 FKP786427:FKP786432 FKP851963:FKP851968 FKP917499:FKP917504 FKP983035:FKP983040 FUL7:FUL12 FUL65531:FUL65536 FUL131067:FUL131072 FUL196603:FUL196608 FUL262139:FUL262144 FUL327675:FUL327680 FUL393211:FUL393216 FUL458747:FUL458752 FUL524283:FUL524288 FUL589819:FUL589824 FUL655355:FUL655360 FUL720891:FUL720896 FUL786427:FUL786432 FUL851963:FUL851968 FUL917499:FUL917504 FUL983035:FUL983040 GEH7:GEH12 GEH65531:GEH65536 GEH131067:GEH131072 GEH196603:GEH196608 GEH262139:GEH262144 GEH327675:GEH327680 GEH393211:GEH393216 GEH458747:GEH458752 GEH524283:GEH524288 GEH589819:GEH589824 GEH655355:GEH655360 GEH720891:GEH720896 GEH786427:GEH786432 GEH851963:GEH851968 GEH917499:GEH917504 GEH983035:GEH983040 GOD7:GOD12 GOD65531:GOD65536 GOD131067:GOD131072 GOD196603:GOD196608 GOD262139:GOD262144 GOD327675:GOD327680 GOD393211:GOD393216 GOD458747:GOD458752 GOD524283:GOD524288 GOD589819:GOD589824 GOD655355:GOD655360 GOD720891:GOD720896 GOD786427:GOD786432 GOD851963:GOD851968 GOD917499:GOD917504 GOD983035:GOD983040 GXZ7:GXZ12 GXZ65531:GXZ65536 GXZ131067:GXZ131072 GXZ196603:GXZ196608 GXZ262139:GXZ262144 GXZ327675:GXZ327680 GXZ393211:GXZ393216 GXZ458747:GXZ458752 GXZ524283:GXZ524288 GXZ589819:GXZ589824 GXZ655355:GXZ655360 GXZ720891:GXZ720896 GXZ786427:GXZ786432 GXZ851963:GXZ851968 GXZ917499:GXZ917504 GXZ983035:GXZ983040 HHV7:HHV12 HHV65531:HHV65536 HHV131067:HHV131072 HHV196603:HHV196608 HHV262139:HHV262144 HHV327675:HHV327680 HHV393211:HHV393216 HHV458747:HHV458752 HHV524283:HHV524288 HHV589819:HHV589824 HHV655355:HHV655360 HHV720891:HHV720896 HHV786427:HHV786432 HHV851963:HHV851968 HHV917499:HHV917504 HHV983035:HHV983040 HRR7:HRR12 HRR65531:HRR65536 HRR131067:HRR131072 HRR196603:HRR196608 HRR262139:HRR262144 HRR327675:HRR327680 HRR393211:HRR393216 HRR458747:HRR458752 HRR524283:HRR524288 HRR589819:HRR589824 HRR655355:HRR655360 HRR720891:HRR720896 HRR786427:HRR786432 HRR851963:HRR851968 HRR917499:HRR917504 HRR983035:HRR983040 IBN7:IBN12 IBN65531:IBN65536 IBN131067:IBN131072 IBN196603:IBN196608 IBN262139:IBN262144 IBN327675:IBN327680 IBN393211:IBN393216 IBN458747:IBN458752 IBN524283:IBN524288 IBN589819:IBN589824 IBN655355:IBN655360 IBN720891:IBN720896 IBN786427:IBN786432 IBN851963:IBN851968 IBN917499:IBN917504 IBN983035:IBN983040 ILJ7:ILJ12 ILJ65531:ILJ65536 ILJ131067:ILJ131072 ILJ196603:ILJ196608 ILJ262139:ILJ262144 ILJ327675:ILJ327680 ILJ393211:ILJ393216 ILJ458747:ILJ458752 ILJ524283:ILJ524288 ILJ589819:ILJ589824 ILJ655355:ILJ655360 ILJ720891:ILJ720896 ILJ786427:ILJ786432 ILJ851963:ILJ851968 ILJ917499:ILJ917504 ILJ983035:ILJ983040 IVF7:IVF12 IVF65531:IVF65536 IVF131067:IVF131072 IVF196603:IVF196608 IVF262139:IVF262144 IVF327675:IVF327680 IVF393211:IVF393216 IVF458747:IVF458752 IVF524283:IVF524288 IVF589819:IVF589824 IVF655355:IVF655360 IVF720891:IVF720896 IVF786427:IVF786432 IVF851963:IVF851968 IVF917499:IVF917504 IVF983035:IVF983040 JFB7:JFB12 JFB65531:JFB65536 JFB131067:JFB131072 JFB196603:JFB196608 JFB262139:JFB262144 JFB327675:JFB327680 JFB393211:JFB393216 JFB458747:JFB458752 JFB524283:JFB524288 JFB589819:JFB589824 JFB655355:JFB655360 JFB720891:JFB720896 JFB786427:JFB786432 JFB851963:JFB851968 JFB917499:JFB917504 JFB983035:JFB983040 JOX7:JOX12 JOX65531:JOX65536 JOX131067:JOX131072 JOX196603:JOX196608 JOX262139:JOX262144 JOX327675:JOX327680 JOX393211:JOX393216 JOX458747:JOX458752 JOX524283:JOX524288 JOX589819:JOX589824 JOX655355:JOX655360 JOX720891:JOX720896 JOX786427:JOX786432 JOX851963:JOX851968 JOX917499:JOX917504 JOX983035:JOX983040 JYT7:JYT12 JYT65531:JYT65536 JYT131067:JYT131072 JYT196603:JYT196608 JYT262139:JYT262144 JYT327675:JYT327680 JYT393211:JYT393216 JYT458747:JYT458752 JYT524283:JYT524288 JYT589819:JYT589824 JYT655355:JYT655360 JYT720891:JYT720896 JYT786427:JYT786432 JYT851963:JYT851968 JYT917499:JYT917504 JYT983035:JYT983040 KIP7:KIP12 KIP65531:KIP65536 KIP131067:KIP131072 KIP196603:KIP196608 KIP262139:KIP262144 KIP327675:KIP327680 KIP393211:KIP393216 KIP458747:KIP458752 KIP524283:KIP524288 KIP589819:KIP589824 KIP655355:KIP655360 KIP720891:KIP720896 KIP786427:KIP786432 KIP851963:KIP851968 KIP917499:KIP917504 KIP983035:KIP983040 KSL7:KSL12 KSL65531:KSL65536 KSL131067:KSL131072 KSL196603:KSL196608 KSL262139:KSL262144 KSL327675:KSL327680 KSL393211:KSL393216 KSL458747:KSL458752 KSL524283:KSL524288 KSL589819:KSL589824 KSL655355:KSL655360 KSL720891:KSL720896 KSL786427:KSL786432 KSL851963:KSL851968 KSL917499:KSL917504 KSL983035:KSL983040 LCH7:LCH12 LCH65531:LCH65536 LCH131067:LCH131072 LCH196603:LCH196608 LCH262139:LCH262144 LCH327675:LCH327680 LCH393211:LCH393216 LCH458747:LCH458752 LCH524283:LCH524288 LCH589819:LCH589824 LCH655355:LCH655360 LCH720891:LCH720896 LCH786427:LCH786432 LCH851963:LCH851968 LCH917499:LCH917504 LCH983035:LCH983040 LMD7:LMD12 LMD65531:LMD65536 LMD131067:LMD131072 LMD196603:LMD196608 LMD262139:LMD262144 LMD327675:LMD327680 LMD393211:LMD393216 LMD458747:LMD458752 LMD524283:LMD524288 LMD589819:LMD589824 LMD655355:LMD655360 LMD720891:LMD720896 LMD786427:LMD786432 LMD851963:LMD851968 LMD917499:LMD917504 LMD983035:LMD983040 LVZ7:LVZ12 LVZ65531:LVZ65536 LVZ131067:LVZ131072 LVZ196603:LVZ196608 LVZ262139:LVZ262144 LVZ327675:LVZ327680 LVZ393211:LVZ393216 LVZ458747:LVZ458752 LVZ524283:LVZ524288 LVZ589819:LVZ589824 LVZ655355:LVZ655360 LVZ720891:LVZ720896 LVZ786427:LVZ786432 LVZ851963:LVZ851968 LVZ917499:LVZ917504 LVZ983035:LVZ983040 MFV7:MFV12 MFV65531:MFV65536 MFV131067:MFV131072 MFV196603:MFV196608 MFV262139:MFV262144 MFV327675:MFV327680 MFV393211:MFV393216 MFV458747:MFV458752 MFV524283:MFV524288 MFV589819:MFV589824 MFV655355:MFV655360 MFV720891:MFV720896 MFV786427:MFV786432 MFV851963:MFV851968 MFV917499:MFV917504 MFV983035:MFV983040 MPR7:MPR12 MPR65531:MPR65536 MPR131067:MPR131072 MPR196603:MPR196608 MPR262139:MPR262144 MPR327675:MPR327680 MPR393211:MPR393216 MPR458747:MPR458752 MPR524283:MPR524288 MPR589819:MPR589824 MPR655355:MPR655360 MPR720891:MPR720896 MPR786427:MPR786432 MPR851963:MPR851968 MPR917499:MPR917504 MPR983035:MPR983040 MZN7:MZN12 MZN65531:MZN65536 MZN131067:MZN131072 MZN196603:MZN196608 MZN262139:MZN262144 MZN327675:MZN327680 MZN393211:MZN393216 MZN458747:MZN458752 MZN524283:MZN524288 MZN589819:MZN589824 MZN655355:MZN655360 MZN720891:MZN720896 MZN786427:MZN786432 MZN851963:MZN851968 MZN917499:MZN917504 MZN983035:MZN983040 NJJ7:NJJ12 NJJ65531:NJJ65536 NJJ131067:NJJ131072 NJJ196603:NJJ196608 NJJ262139:NJJ262144 NJJ327675:NJJ327680 NJJ393211:NJJ393216 NJJ458747:NJJ458752 NJJ524283:NJJ524288 NJJ589819:NJJ589824 NJJ655355:NJJ655360 NJJ720891:NJJ720896 NJJ786427:NJJ786432 NJJ851963:NJJ851968 NJJ917499:NJJ917504 NJJ983035:NJJ983040 NTF7:NTF12 NTF65531:NTF65536 NTF131067:NTF131072 NTF196603:NTF196608 NTF262139:NTF262144 NTF327675:NTF327680 NTF393211:NTF393216 NTF458747:NTF458752 NTF524283:NTF524288 NTF589819:NTF589824 NTF655355:NTF655360 NTF720891:NTF720896 NTF786427:NTF786432 NTF851963:NTF851968 NTF917499:NTF917504 NTF983035:NTF983040 ODB7:ODB12 ODB65531:ODB65536 ODB131067:ODB131072 ODB196603:ODB196608 ODB262139:ODB262144 ODB327675:ODB327680 ODB393211:ODB393216 ODB458747:ODB458752 ODB524283:ODB524288 ODB589819:ODB589824 ODB655355:ODB655360 ODB720891:ODB720896 ODB786427:ODB786432 ODB851963:ODB851968 ODB917499:ODB917504 ODB983035:ODB983040 OMX7:OMX12 OMX65531:OMX65536 OMX131067:OMX131072 OMX196603:OMX196608 OMX262139:OMX262144 OMX327675:OMX327680 OMX393211:OMX393216 OMX458747:OMX458752 OMX524283:OMX524288 OMX589819:OMX589824 OMX655355:OMX655360 OMX720891:OMX720896 OMX786427:OMX786432 OMX851963:OMX851968 OMX917499:OMX917504 OMX983035:OMX983040 OWT7:OWT12 OWT65531:OWT65536 OWT131067:OWT131072 OWT196603:OWT196608 OWT262139:OWT262144 OWT327675:OWT327680 OWT393211:OWT393216 OWT458747:OWT458752 OWT524283:OWT524288 OWT589819:OWT589824 OWT655355:OWT655360 OWT720891:OWT720896 OWT786427:OWT786432 OWT851963:OWT851968 OWT917499:OWT917504 OWT983035:OWT983040 PGP7:PGP12 PGP65531:PGP65536 PGP131067:PGP131072 PGP196603:PGP196608 PGP262139:PGP262144 PGP327675:PGP327680 PGP393211:PGP393216 PGP458747:PGP458752 PGP524283:PGP524288 PGP589819:PGP589824 PGP655355:PGP655360 PGP720891:PGP720896 PGP786427:PGP786432 PGP851963:PGP851968 PGP917499:PGP917504 PGP983035:PGP983040 PQL7:PQL12 PQL65531:PQL65536 PQL131067:PQL131072 PQL196603:PQL196608 PQL262139:PQL262144 PQL327675:PQL327680 PQL393211:PQL393216 PQL458747:PQL458752 PQL524283:PQL524288 PQL589819:PQL589824 PQL655355:PQL655360 PQL720891:PQL720896 PQL786427:PQL786432 PQL851963:PQL851968 PQL917499:PQL917504 PQL983035:PQL983040 QAH7:QAH12 QAH65531:QAH65536 QAH131067:QAH131072 QAH196603:QAH196608 QAH262139:QAH262144 QAH327675:QAH327680 QAH393211:QAH393216 QAH458747:QAH458752 QAH524283:QAH524288 QAH589819:QAH589824 QAH655355:QAH655360 QAH720891:QAH720896 QAH786427:QAH786432 QAH851963:QAH851968 QAH917499:QAH917504 QAH983035:QAH983040 QKD7:QKD12 QKD65531:QKD65536 QKD131067:QKD131072 QKD196603:QKD196608 QKD262139:QKD262144 QKD327675:QKD327680 QKD393211:QKD393216 QKD458747:QKD458752 QKD524283:QKD524288 QKD589819:QKD589824 QKD655355:QKD655360 QKD720891:QKD720896 QKD786427:QKD786432 QKD851963:QKD851968 QKD917499:QKD917504 QKD983035:QKD983040 QTZ7:QTZ12 QTZ65531:QTZ65536 QTZ131067:QTZ131072 QTZ196603:QTZ196608 QTZ262139:QTZ262144 QTZ327675:QTZ327680 QTZ393211:QTZ393216 QTZ458747:QTZ458752 QTZ524283:QTZ524288 QTZ589819:QTZ589824 QTZ655355:QTZ655360 QTZ720891:QTZ720896 QTZ786427:QTZ786432 QTZ851963:QTZ851968 QTZ917499:QTZ917504 QTZ983035:QTZ983040 RDV7:RDV12 RDV65531:RDV65536 RDV131067:RDV131072 RDV196603:RDV196608 RDV262139:RDV262144 RDV327675:RDV327680 RDV393211:RDV393216 RDV458747:RDV458752 RDV524283:RDV524288 RDV589819:RDV589824 RDV655355:RDV655360 RDV720891:RDV720896 RDV786427:RDV786432 RDV851963:RDV851968 RDV917499:RDV917504 RDV983035:RDV983040 RNR7:RNR12 RNR65531:RNR65536 RNR131067:RNR131072 RNR196603:RNR196608 RNR262139:RNR262144 RNR327675:RNR327680 RNR393211:RNR393216 RNR458747:RNR458752 RNR524283:RNR524288 RNR589819:RNR589824 RNR655355:RNR655360 RNR720891:RNR720896 RNR786427:RNR786432 RNR851963:RNR851968 RNR917499:RNR917504 RNR983035:RNR983040 RXN7:RXN12 RXN65531:RXN65536 RXN131067:RXN131072 RXN196603:RXN196608 RXN262139:RXN262144 RXN327675:RXN327680 RXN393211:RXN393216 RXN458747:RXN458752 RXN524283:RXN524288 RXN589819:RXN589824 RXN655355:RXN655360 RXN720891:RXN720896 RXN786427:RXN786432 RXN851963:RXN851968 RXN917499:RXN917504 RXN983035:RXN983040 SHJ7:SHJ12 SHJ65531:SHJ65536 SHJ131067:SHJ131072 SHJ196603:SHJ196608 SHJ262139:SHJ262144 SHJ327675:SHJ327680 SHJ393211:SHJ393216 SHJ458747:SHJ458752 SHJ524283:SHJ524288 SHJ589819:SHJ589824 SHJ655355:SHJ655360 SHJ720891:SHJ720896 SHJ786427:SHJ786432 SHJ851963:SHJ851968 SHJ917499:SHJ917504 SHJ983035:SHJ983040 SRF7:SRF12 SRF65531:SRF65536 SRF131067:SRF131072 SRF196603:SRF196608 SRF262139:SRF262144 SRF327675:SRF327680 SRF393211:SRF393216 SRF458747:SRF458752 SRF524283:SRF524288 SRF589819:SRF589824 SRF655355:SRF655360 SRF720891:SRF720896 SRF786427:SRF786432 SRF851963:SRF851968 SRF917499:SRF917504 SRF983035:SRF983040 TBB7:TBB12 TBB65531:TBB65536 TBB131067:TBB131072 TBB196603:TBB196608 TBB262139:TBB262144 TBB327675:TBB327680 TBB393211:TBB393216 TBB458747:TBB458752 TBB524283:TBB524288 TBB589819:TBB589824 TBB655355:TBB655360 TBB720891:TBB720896 TBB786427:TBB786432 TBB851963:TBB851968 TBB917499:TBB917504 TBB983035:TBB983040 TKX7:TKX12 TKX65531:TKX65536 TKX131067:TKX131072 TKX196603:TKX196608 TKX262139:TKX262144 TKX327675:TKX327680 TKX393211:TKX393216 TKX458747:TKX458752 TKX524283:TKX524288 TKX589819:TKX589824 TKX655355:TKX655360 TKX720891:TKX720896 TKX786427:TKX786432 TKX851963:TKX851968 TKX917499:TKX917504 TKX983035:TKX983040 TUT7:TUT12 TUT65531:TUT65536 TUT131067:TUT131072 TUT196603:TUT196608 TUT262139:TUT262144 TUT327675:TUT327680 TUT393211:TUT393216 TUT458747:TUT458752 TUT524283:TUT524288 TUT589819:TUT589824 TUT655355:TUT655360 TUT720891:TUT720896 TUT786427:TUT786432 TUT851963:TUT851968 TUT917499:TUT917504 TUT983035:TUT983040 UEP7:UEP12 UEP65531:UEP65536 UEP131067:UEP131072 UEP196603:UEP196608 UEP262139:UEP262144 UEP327675:UEP327680 UEP393211:UEP393216 UEP458747:UEP458752 UEP524283:UEP524288 UEP589819:UEP589824 UEP655355:UEP655360 UEP720891:UEP720896 UEP786427:UEP786432 UEP851963:UEP851968 UEP917499:UEP917504 UEP983035:UEP983040 UOL7:UOL12 UOL65531:UOL65536 UOL131067:UOL131072 UOL196603:UOL196608 UOL262139:UOL262144 UOL327675:UOL327680 UOL393211:UOL393216 UOL458747:UOL458752 UOL524283:UOL524288 UOL589819:UOL589824 UOL655355:UOL655360 UOL720891:UOL720896 UOL786427:UOL786432 UOL851963:UOL851968 UOL917499:UOL917504 UOL983035:UOL983040 UYH7:UYH12 UYH65531:UYH65536 UYH131067:UYH131072 UYH196603:UYH196608 UYH262139:UYH262144 UYH327675:UYH327680 UYH393211:UYH393216 UYH458747:UYH458752 UYH524283:UYH524288 UYH589819:UYH589824 UYH655355:UYH655360 UYH720891:UYH720896 UYH786427:UYH786432 UYH851963:UYH851968 UYH917499:UYH917504 UYH983035:UYH983040 VID7:VID12 VID65531:VID65536 VID131067:VID131072 VID196603:VID196608 VID262139:VID262144 VID327675:VID327680 VID393211:VID393216 VID458747:VID458752 VID524283:VID524288 VID589819:VID589824 VID655355:VID655360 VID720891:VID720896 VID786427:VID786432 VID851963:VID851968 VID917499:VID917504 VID983035:VID983040 VRZ7:VRZ12 VRZ65531:VRZ65536 VRZ131067:VRZ131072 VRZ196603:VRZ196608 VRZ262139:VRZ262144 VRZ327675:VRZ327680 VRZ393211:VRZ393216 VRZ458747:VRZ458752 VRZ524283:VRZ524288 VRZ589819:VRZ589824 VRZ655355:VRZ655360 VRZ720891:VRZ720896 VRZ786427:VRZ786432 VRZ851963:VRZ851968 VRZ917499:VRZ917504 VRZ983035:VRZ983040 WBV7:WBV12 WBV65531:WBV65536 WBV131067:WBV131072 WBV196603:WBV196608 WBV262139:WBV262144 WBV327675:WBV327680 WBV393211:WBV393216 WBV458747:WBV458752 WBV524283:WBV524288 WBV589819:WBV589824 WBV655355:WBV655360 WBV720891:WBV720896 WBV786427:WBV786432 WBV851963:WBV851968 WBV917499:WBV917504 WBV983035:WBV983040 WLR7:WLR12 WLR65531:WLR65536 WLR131067:WLR131072 WLR196603:WLR196608 WLR262139:WLR262144 WLR327675:WLR327680 WLR393211:WLR393216 WLR458747:WLR458752 WLR524283:WLR524288 WLR589819:WLR589824 WLR655355:WLR655360 WLR720891:WLR720896 WLR786427:WLR786432 WLR851963:WLR851968 WLR917499:WLR917504 WLR983035:WLR983040 WVN7:WVN12 WVN65531:WVN65536 WVN131067:WVN131072 WVN196603:WVN196608 WVN262139:WVN262144 WVN327675:WVN327680 WVN393211:WVN393216 WVN458747:WVN458752 WVN524283:WVN524288 WVN589819:WVN589824 WVN655355:WVN655360 WVN720891:WVN720896 WVN786427:WVN786432 WVN851963:WVN851968 WVN917499:WVN917504 WVN983035:WVN983040" xr:uid="{00000000-0002-0000-0700-000018000000}"/>
    <dataValidation allowBlank="1" showInputMessage="1" showErrorMessage="1" prompt="Mean amount of elementary flow or intermediate product flow. Enter your values (or the respective equation) here." sqref="L8:L12 L65532:L65536 L131068:L131072 L196604:L196608 L262140:L262144 L327676:L327680 L393212:L393216 L458748:L458752 L524284:L524288 L589820:L589824 L655356:L655360 L720892:L720896 L786428:L786432 L851964:L851968 L917500:L917504 L983036:L983040 JI8:JI12 JI65532:JI65536 JI131068:JI131072 JI196604:JI196608 JI262140:JI262144 JI327676:JI327680 JI393212:JI393216 JI458748:JI458752 JI524284:JI524288 JI589820:JI589824 JI655356:JI655360 JI720892:JI720896 JI786428:JI786432 JI851964:JI851968 JI917500:JI917504 JI983036:JI983040 TE8:TE12 TE65532:TE65536 TE131068:TE131072 TE196604:TE196608 TE262140:TE262144 TE327676:TE327680 TE393212:TE393216 TE458748:TE458752 TE524284:TE524288 TE589820:TE589824 TE655356:TE655360 TE720892:TE720896 TE786428:TE786432 TE851964:TE851968 TE917500:TE917504 TE983036:TE983040 ADA8:ADA12 ADA65532:ADA65536 ADA131068:ADA131072 ADA196604:ADA196608 ADA262140:ADA262144 ADA327676:ADA327680 ADA393212:ADA393216 ADA458748:ADA458752 ADA524284:ADA524288 ADA589820:ADA589824 ADA655356:ADA655360 ADA720892:ADA720896 ADA786428:ADA786432 ADA851964:ADA851968 ADA917500:ADA917504 ADA983036:ADA983040 AMW8:AMW12 AMW65532:AMW65536 AMW131068:AMW131072 AMW196604:AMW196608 AMW262140:AMW262144 AMW327676:AMW327680 AMW393212:AMW393216 AMW458748:AMW458752 AMW524284:AMW524288 AMW589820:AMW589824 AMW655356:AMW655360 AMW720892:AMW720896 AMW786428:AMW786432 AMW851964:AMW851968 AMW917500:AMW917504 AMW983036:AMW983040 AWS8:AWS12 AWS65532:AWS65536 AWS131068:AWS131072 AWS196604:AWS196608 AWS262140:AWS262144 AWS327676:AWS327680 AWS393212:AWS393216 AWS458748:AWS458752 AWS524284:AWS524288 AWS589820:AWS589824 AWS655356:AWS655360 AWS720892:AWS720896 AWS786428:AWS786432 AWS851964:AWS851968 AWS917500:AWS917504 AWS983036:AWS983040 BGO8:BGO12 BGO65532:BGO65536 BGO131068:BGO131072 BGO196604:BGO196608 BGO262140:BGO262144 BGO327676:BGO327680 BGO393212:BGO393216 BGO458748:BGO458752 BGO524284:BGO524288 BGO589820:BGO589824 BGO655356:BGO655360 BGO720892:BGO720896 BGO786428:BGO786432 BGO851964:BGO851968 BGO917500:BGO917504 BGO983036:BGO983040 BQK8:BQK12 BQK65532:BQK65536 BQK131068:BQK131072 BQK196604:BQK196608 BQK262140:BQK262144 BQK327676:BQK327680 BQK393212:BQK393216 BQK458748:BQK458752 BQK524284:BQK524288 BQK589820:BQK589824 BQK655356:BQK655360 BQK720892:BQK720896 BQK786428:BQK786432 BQK851964:BQK851968 BQK917500:BQK917504 BQK983036:BQK983040 CAG8:CAG12 CAG65532:CAG65536 CAG131068:CAG131072 CAG196604:CAG196608 CAG262140:CAG262144 CAG327676:CAG327680 CAG393212:CAG393216 CAG458748:CAG458752 CAG524284:CAG524288 CAG589820:CAG589824 CAG655356:CAG655360 CAG720892:CAG720896 CAG786428:CAG786432 CAG851964:CAG851968 CAG917500:CAG917504 CAG983036:CAG983040 CKC8:CKC12 CKC65532:CKC65536 CKC131068:CKC131072 CKC196604:CKC196608 CKC262140:CKC262144 CKC327676:CKC327680 CKC393212:CKC393216 CKC458748:CKC458752 CKC524284:CKC524288 CKC589820:CKC589824 CKC655356:CKC655360 CKC720892:CKC720896 CKC786428:CKC786432 CKC851964:CKC851968 CKC917500:CKC917504 CKC983036:CKC983040 CTY8:CTY12 CTY65532:CTY65536 CTY131068:CTY131072 CTY196604:CTY196608 CTY262140:CTY262144 CTY327676:CTY327680 CTY393212:CTY393216 CTY458748:CTY458752 CTY524284:CTY524288 CTY589820:CTY589824 CTY655356:CTY655360 CTY720892:CTY720896 CTY786428:CTY786432 CTY851964:CTY851968 CTY917500:CTY917504 CTY983036:CTY983040 DDU8:DDU12 DDU65532:DDU65536 DDU131068:DDU131072 DDU196604:DDU196608 DDU262140:DDU262144 DDU327676:DDU327680 DDU393212:DDU393216 DDU458748:DDU458752 DDU524284:DDU524288 DDU589820:DDU589824 DDU655356:DDU655360 DDU720892:DDU720896 DDU786428:DDU786432 DDU851964:DDU851968 DDU917500:DDU917504 DDU983036:DDU983040 DNQ8:DNQ12 DNQ65532:DNQ65536 DNQ131068:DNQ131072 DNQ196604:DNQ196608 DNQ262140:DNQ262144 DNQ327676:DNQ327680 DNQ393212:DNQ393216 DNQ458748:DNQ458752 DNQ524284:DNQ524288 DNQ589820:DNQ589824 DNQ655356:DNQ655360 DNQ720892:DNQ720896 DNQ786428:DNQ786432 DNQ851964:DNQ851968 DNQ917500:DNQ917504 DNQ983036:DNQ983040 DXM8:DXM12 DXM65532:DXM65536 DXM131068:DXM131072 DXM196604:DXM196608 DXM262140:DXM262144 DXM327676:DXM327680 DXM393212:DXM393216 DXM458748:DXM458752 DXM524284:DXM524288 DXM589820:DXM589824 DXM655356:DXM655360 DXM720892:DXM720896 DXM786428:DXM786432 DXM851964:DXM851968 DXM917500:DXM917504 DXM983036:DXM983040 EHI8:EHI12 EHI65532:EHI65536 EHI131068:EHI131072 EHI196604:EHI196608 EHI262140:EHI262144 EHI327676:EHI327680 EHI393212:EHI393216 EHI458748:EHI458752 EHI524284:EHI524288 EHI589820:EHI589824 EHI655356:EHI655360 EHI720892:EHI720896 EHI786428:EHI786432 EHI851964:EHI851968 EHI917500:EHI917504 EHI983036:EHI983040 ERE8:ERE12 ERE65532:ERE65536 ERE131068:ERE131072 ERE196604:ERE196608 ERE262140:ERE262144 ERE327676:ERE327680 ERE393212:ERE393216 ERE458748:ERE458752 ERE524284:ERE524288 ERE589820:ERE589824 ERE655356:ERE655360 ERE720892:ERE720896 ERE786428:ERE786432 ERE851964:ERE851968 ERE917500:ERE917504 ERE983036:ERE983040 FBA8:FBA12 FBA65532:FBA65536 FBA131068:FBA131072 FBA196604:FBA196608 FBA262140:FBA262144 FBA327676:FBA327680 FBA393212:FBA393216 FBA458748:FBA458752 FBA524284:FBA524288 FBA589820:FBA589824 FBA655356:FBA655360 FBA720892:FBA720896 FBA786428:FBA786432 FBA851964:FBA851968 FBA917500:FBA917504 FBA983036:FBA983040 FKW8:FKW12 FKW65532:FKW65536 FKW131068:FKW131072 FKW196604:FKW196608 FKW262140:FKW262144 FKW327676:FKW327680 FKW393212:FKW393216 FKW458748:FKW458752 FKW524284:FKW524288 FKW589820:FKW589824 FKW655356:FKW655360 FKW720892:FKW720896 FKW786428:FKW786432 FKW851964:FKW851968 FKW917500:FKW917504 FKW983036:FKW983040 FUS8:FUS12 FUS65532:FUS65536 FUS131068:FUS131072 FUS196604:FUS196608 FUS262140:FUS262144 FUS327676:FUS327680 FUS393212:FUS393216 FUS458748:FUS458752 FUS524284:FUS524288 FUS589820:FUS589824 FUS655356:FUS655360 FUS720892:FUS720896 FUS786428:FUS786432 FUS851964:FUS851968 FUS917500:FUS917504 FUS983036:FUS983040 GEO8:GEO12 GEO65532:GEO65536 GEO131068:GEO131072 GEO196604:GEO196608 GEO262140:GEO262144 GEO327676:GEO327680 GEO393212:GEO393216 GEO458748:GEO458752 GEO524284:GEO524288 GEO589820:GEO589824 GEO655356:GEO655360 GEO720892:GEO720896 GEO786428:GEO786432 GEO851964:GEO851968 GEO917500:GEO917504 GEO983036:GEO983040 GOK8:GOK12 GOK65532:GOK65536 GOK131068:GOK131072 GOK196604:GOK196608 GOK262140:GOK262144 GOK327676:GOK327680 GOK393212:GOK393216 GOK458748:GOK458752 GOK524284:GOK524288 GOK589820:GOK589824 GOK655356:GOK655360 GOK720892:GOK720896 GOK786428:GOK786432 GOK851964:GOK851968 GOK917500:GOK917504 GOK983036:GOK983040 GYG8:GYG12 GYG65532:GYG65536 GYG131068:GYG131072 GYG196604:GYG196608 GYG262140:GYG262144 GYG327676:GYG327680 GYG393212:GYG393216 GYG458748:GYG458752 GYG524284:GYG524288 GYG589820:GYG589824 GYG655356:GYG655360 GYG720892:GYG720896 GYG786428:GYG786432 GYG851964:GYG851968 GYG917500:GYG917504 GYG983036:GYG983040 HIC8:HIC12 HIC65532:HIC65536 HIC131068:HIC131072 HIC196604:HIC196608 HIC262140:HIC262144 HIC327676:HIC327680 HIC393212:HIC393216 HIC458748:HIC458752 HIC524284:HIC524288 HIC589820:HIC589824 HIC655356:HIC655360 HIC720892:HIC720896 HIC786428:HIC786432 HIC851964:HIC851968 HIC917500:HIC917504 HIC983036:HIC983040 HRY8:HRY12 HRY65532:HRY65536 HRY131068:HRY131072 HRY196604:HRY196608 HRY262140:HRY262144 HRY327676:HRY327680 HRY393212:HRY393216 HRY458748:HRY458752 HRY524284:HRY524288 HRY589820:HRY589824 HRY655356:HRY655360 HRY720892:HRY720896 HRY786428:HRY786432 HRY851964:HRY851968 HRY917500:HRY917504 HRY983036:HRY983040 IBU8:IBU12 IBU65532:IBU65536 IBU131068:IBU131072 IBU196604:IBU196608 IBU262140:IBU262144 IBU327676:IBU327680 IBU393212:IBU393216 IBU458748:IBU458752 IBU524284:IBU524288 IBU589820:IBU589824 IBU655356:IBU655360 IBU720892:IBU720896 IBU786428:IBU786432 IBU851964:IBU851968 IBU917500:IBU917504 IBU983036:IBU983040 ILQ8:ILQ12 ILQ65532:ILQ65536 ILQ131068:ILQ131072 ILQ196604:ILQ196608 ILQ262140:ILQ262144 ILQ327676:ILQ327680 ILQ393212:ILQ393216 ILQ458748:ILQ458752 ILQ524284:ILQ524288 ILQ589820:ILQ589824 ILQ655356:ILQ655360 ILQ720892:ILQ720896 ILQ786428:ILQ786432 ILQ851964:ILQ851968 ILQ917500:ILQ917504 ILQ983036:ILQ983040 IVM8:IVM12 IVM65532:IVM65536 IVM131068:IVM131072 IVM196604:IVM196608 IVM262140:IVM262144 IVM327676:IVM327680 IVM393212:IVM393216 IVM458748:IVM458752 IVM524284:IVM524288 IVM589820:IVM589824 IVM655356:IVM655360 IVM720892:IVM720896 IVM786428:IVM786432 IVM851964:IVM851968 IVM917500:IVM917504 IVM983036:IVM983040 JFI8:JFI12 JFI65532:JFI65536 JFI131068:JFI131072 JFI196604:JFI196608 JFI262140:JFI262144 JFI327676:JFI327680 JFI393212:JFI393216 JFI458748:JFI458752 JFI524284:JFI524288 JFI589820:JFI589824 JFI655356:JFI655360 JFI720892:JFI720896 JFI786428:JFI786432 JFI851964:JFI851968 JFI917500:JFI917504 JFI983036:JFI983040 JPE8:JPE12 JPE65532:JPE65536 JPE131068:JPE131072 JPE196604:JPE196608 JPE262140:JPE262144 JPE327676:JPE327680 JPE393212:JPE393216 JPE458748:JPE458752 JPE524284:JPE524288 JPE589820:JPE589824 JPE655356:JPE655360 JPE720892:JPE720896 JPE786428:JPE786432 JPE851964:JPE851968 JPE917500:JPE917504 JPE983036:JPE983040 JZA8:JZA12 JZA65532:JZA65536 JZA131068:JZA131072 JZA196604:JZA196608 JZA262140:JZA262144 JZA327676:JZA327680 JZA393212:JZA393216 JZA458748:JZA458752 JZA524284:JZA524288 JZA589820:JZA589824 JZA655356:JZA655360 JZA720892:JZA720896 JZA786428:JZA786432 JZA851964:JZA851968 JZA917500:JZA917504 JZA983036:JZA983040 KIW8:KIW12 KIW65532:KIW65536 KIW131068:KIW131072 KIW196604:KIW196608 KIW262140:KIW262144 KIW327676:KIW327680 KIW393212:KIW393216 KIW458748:KIW458752 KIW524284:KIW524288 KIW589820:KIW589824 KIW655356:KIW655360 KIW720892:KIW720896 KIW786428:KIW786432 KIW851964:KIW851968 KIW917500:KIW917504 KIW983036:KIW983040 KSS8:KSS12 KSS65532:KSS65536 KSS131068:KSS131072 KSS196604:KSS196608 KSS262140:KSS262144 KSS327676:KSS327680 KSS393212:KSS393216 KSS458748:KSS458752 KSS524284:KSS524288 KSS589820:KSS589824 KSS655356:KSS655360 KSS720892:KSS720896 KSS786428:KSS786432 KSS851964:KSS851968 KSS917500:KSS917504 KSS983036:KSS983040 LCO8:LCO12 LCO65532:LCO65536 LCO131068:LCO131072 LCO196604:LCO196608 LCO262140:LCO262144 LCO327676:LCO327680 LCO393212:LCO393216 LCO458748:LCO458752 LCO524284:LCO524288 LCO589820:LCO589824 LCO655356:LCO655360 LCO720892:LCO720896 LCO786428:LCO786432 LCO851964:LCO851968 LCO917500:LCO917504 LCO983036:LCO983040 LMK8:LMK12 LMK65532:LMK65536 LMK131068:LMK131072 LMK196604:LMK196608 LMK262140:LMK262144 LMK327676:LMK327680 LMK393212:LMK393216 LMK458748:LMK458752 LMK524284:LMK524288 LMK589820:LMK589824 LMK655356:LMK655360 LMK720892:LMK720896 LMK786428:LMK786432 LMK851964:LMK851968 LMK917500:LMK917504 LMK983036:LMK983040 LWG8:LWG12 LWG65532:LWG65536 LWG131068:LWG131072 LWG196604:LWG196608 LWG262140:LWG262144 LWG327676:LWG327680 LWG393212:LWG393216 LWG458748:LWG458752 LWG524284:LWG524288 LWG589820:LWG589824 LWG655356:LWG655360 LWG720892:LWG720896 LWG786428:LWG786432 LWG851964:LWG851968 LWG917500:LWG917504 LWG983036:LWG983040 MGC8:MGC12 MGC65532:MGC65536 MGC131068:MGC131072 MGC196604:MGC196608 MGC262140:MGC262144 MGC327676:MGC327680 MGC393212:MGC393216 MGC458748:MGC458752 MGC524284:MGC524288 MGC589820:MGC589824 MGC655356:MGC655360 MGC720892:MGC720896 MGC786428:MGC786432 MGC851964:MGC851968 MGC917500:MGC917504 MGC983036:MGC983040 MPY8:MPY12 MPY65532:MPY65536 MPY131068:MPY131072 MPY196604:MPY196608 MPY262140:MPY262144 MPY327676:MPY327680 MPY393212:MPY393216 MPY458748:MPY458752 MPY524284:MPY524288 MPY589820:MPY589824 MPY655356:MPY655360 MPY720892:MPY720896 MPY786428:MPY786432 MPY851964:MPY851968 MPY917500:MPY917504 MPY983036:MPY983040 MZU8:MZU12 MZU65532:MZU65536 MZU131068:MZU131072 MZU196604:MZU196608 MZU262140:MZU262144 MZU327676:MZU327680 MZU393212:MZU393216 MZU458748:MZU458752 MZU524284:MZU524288 MZU589820:MZU589824 MZU655356:MZU655360 MZU720892:MZU720896 MZU786428:MZU786432 MZU851964:MZU851968 MZU917500:MZU917504 MZU983036:MZU983040 NJQ8:NJQ12 NJQ65532:NJQ65536 NJQ131068:NJQ131072 NJQ196604:NJQ196608 NJQ262140:NJQ262144 NJQ327676:NJQ327680 NJQ393212:NJQ393216 NJQ458748:NJQ458752 NJQ524284:NJQ524288 NJQ589820:NJQ589824 NJQ655356:NJQ655360 NJQ720892:NJQ720896 NJQ786428:NJQ786432 NJQ851964:NJQ851968 NJQ917500:NJQ917504 NJQ983036:NJQ983040 NTM8:NTM12 NTM65532:NTM65536 NTM131068:NTM131072 NTM196604:NTM196608 NTM262140:NTM262144 NTM327676:NTM327680 NTM393212:NTM393216 NTM458748:NTM458752 NTM524284:NTM524288 NTM589820:NTM589824 NTM655356:NTM655360 NTM720892:NTM720896 NTM786428:NTM786432 NTM851964:NTM851968 NTM917500:NTM917504 NTM983036:NTM983040 ODI8:ODI12 ODI65532:ODI65536 ODI131068:ODI131072 ODI196604:ODI196608 ODI262140:ODI262144 ODI327676:ODI327680 ODI393212:ODI393216 ODI458748:ODI458752 ODI524284:ODI524288 ODI589820:ODI589824 ODI655356:ODI655360 ODI720892:ODI720896 ODI786428:ODI786432 ODI851964:ODI851968 ODI917500:ODI917504 ODI983036:ODI983040 ONE8:ONE12 ONE65532:ONE65536 ONE131068:ONE131072 ONE196604:ONE196608 ONE262140:ONE262144 ONE327676:ONE327680 ONE393212:ONE393216 ONE458748:ONE458752 ONE524284:ONE524288 ONE589820:ONE589824 ONE655356:ONE655360 ONE720892:ONE720896 ONE786428:ONE786432 ONE851964:ONE851968 ONE917500:ONE917504 ONE983036:ONE983040 OXA8:OXA12 OXA65532:OXA65536 OXA131068:OXA131072 OXA196604:OXA196608 OXA262140:OXA262144 OXA327676:OXA327680 OXA393212:OXA393216 OXA458748:OXA458752 OXA524284:OXA524288 OXA589820:OXA589824 OXA655356:OXA655360 OXA720892:OXA720896 OXA786428:OXA786432 OXA851964:OXA851968 OXA917500:OXA917504 OXA983036:OXA983040 PGW8:PGW12 PGW65532:PGW65536 PGW131068:PGW131072 PGW196604:PGW196608 PGW262140:PGW262144 PGW327676:PGW327680 PGW393212:PGW393216 PGW458748:PGW458752 PGW524284:PGW524288 PGW589820:PGW589824 PGW655356:PGW655360 PGW720892:PGW720896 PGW786428:PGW786432 PGW851964:PGW851968 PGW917500:PGW917504 PGW983036:PGW983040 PQS8:PQS12 PQS65532:PQS65536 PQS131068:PQS131072 PQS196604:PQS196608 PQS262140:PQS262144 PQS327676:PQS327680 PQS393212:PQS393216 PQS458748:PQS458752 PQS524284:PQS524288 PQS589820:PQS589824 PQS655356:PQS655360 PQS720892:PQS720896 PQS786428:PQS786432 PQS851964:PQS851968 PQS917500:PQS917504 PQS983036:PQS983040 QAO8:QAO12 QAO65532:QAO65536 QAO131068:QAO131072 QAO196604:QAO196608 QAO262140:QAO262144 QAO327676:QAO327680 QAO393212:QAO393216 QAO458748:QAO458752 QAO524284:QAO524288 QAO589820:QAO589824 QAO655356:QAO655360 QAO720892:QAO720896 QAO786428:QAO786432 QAO851964:QAO851968 QAO917500:QAO917504 QAO983036:QAO983040 QKK8:QKK12 QKK65532:QKK65536 QKK131068:QKK131072 QKK196604:QKK196608 QKK262140:QKK262144 QKK327676:QKK327680 QKK393212:QKK393216 QKK458748:QKK458752 QKK524284:QKK524288 QKK589820:QKK589824 QKK655356:QKK655360 QKK720892:QKK720896 QKK786428:QKK786432 QKK851964:QKK851968 QKK917500:QKK917504 QKK983036:QKK983040 QUG8:QUG12 QUG65532:QUG65536 QUG131068:QUG131072 QUG196604:QUG196608 QUG262140:QUG262144 QUG327676:QUG327680 QUG393212:QUG393216 QUG458748:QUG458752 QUG524284:QUG524288 QUG589820:QUG589824 QUG655356:QUG655360 QUG720892:QUG720896 QUG786428:QUG786432 QUG851964:QUG851968 QUG917500:QUG917504 QUG983036:QUG983040 REC8:REC12 REC65532:REC65536 REC131068:REC131072 REC196604:REC196608 REC262140:REC262144 REC327676:REC327680 REC393212:REC393216 REC458748:REC458752 REC524284:REC524288 REC589820:REC589824 REC655356:REC655360 REC720892:REC720896 REC786428:REC786432 REC851964:REC851968 REC917500:REC917504 REC983036:REC983040 RNY8:RNY12 RNY65532:RNY65536 RNY131068:RNY131072 RNY196604:RNY196608 RNY262140:RNY262144 RNY327676:RNY327680 RNY393212:RNY393216 RNY458748:RNY458752 RNY524284:RNY524288 RNY589820:RNY589824 RNY655356:RNY655360 RNY720892:RNY720896 RNY786428:RNY786432 RNY851964:RNY851968 RNY917500:RNY917504 RNY983036:RNY983040 RXU8:RXU12 RXU65532:RXU65536 RXU131068:RXU131072 RXU196604:RXU196608 RXU262140:RXU262144 RXU327676:RXU327680 RXU393212:RXU393216 RXU458748:RXU458752 RXU524284:RXU524288 RXU589820:RXU589824 RXU655356:RXU655360 RXU720892:RXU720896 RXU786428:RXU786432 RXU851964:RXU851968 RXU917500:RXU917504 RXU983036:RXU983040 SHQ8:SHQ12 SHQ65532:SHQ65536 SHQ131068:SHQ131072 SHQ196604:SHQ196608 SHQ262140:SHQ262144 SHQ327676:SHQ327680 SHQ393212:SHQ393216 SHQ458748:SHQ458752 SHQ524284:SHQ524288 SHQ589820:SHQ589824 SHQ655356:SHQ655360 SHQ720892:SHQ720896 SHQ786428:SHQ786432 SHQ851964:SHQ851968 SHQ917500:SHQ917504 SHQ983036:SHQ983040 SRM8:SRM12 SRM65532:SRM65536 SRM131068:SRM131072 SRM196604:SRM196608 SRM262140:SRM262144 SRM327676:SRM327680 SRM393212:SRM393216 SRM458748:SRM458752 SRM524284:SRM524288 SRM589820:SRM589824 SRM655356:SRM655360 SRM720892:SRM720896 SRM786428:SRM786432 SRM851964:SRM851968 SRM917500:SRM917504 SRM983036:SRM983040 TBI8:TBI12 TBI65532:TBI65536 TBI131068:TBI131072 TBI196604:TBI196608 TBI262140:TBI262144 TBI327676:TBI327680 TBI393212:TBI393216 TBI458748:TBI458752 TBI524284:TBI524288 TBI589820:TBI589824 TBI655356:TBI655360 TBI720892:TBI720896 TBI786428:TBI786432 TBI851964:TBI851968 TBI917500:TBI917504 TBI983036:TBI983040 TLE8:TLE12 TLE65532:TLE65536 TLE131068:TLE131072 TLE196604:TLE196608 TLE262140:TLE262144 TLE327676:TLE327680 TLE393212:TLE393216 TLE458748:TLE458752 TLE524284:TLE524288 TLE589820:TLE589824 TLE655356:TLE655360 TLE720892:TLE720896 TLE786428:TLE786432 TLE851964:TLE851968 TLE917500:TLE917504 TLE983036:TLE983040 TVA8:TVA12 TVA65532:TVA65536 TVA131068:TVA131072 TVA196604:TVA196608 TVA262140:TVA262144 TVA327676:TVA327680 TVA393212:TVA393216 TVA458748:TVA458752 TVA524284:TVA524288 TVA589820:TVA589824 TVA655356:TVA655360 TVA720892:TVA720896 TVA786428:TVA786432 TVA851964:TVA851968 TVA917500:TVA917504 TVA983036:TVA983040 UEW8:UEW12 UEW65532:UEW65536 UEW131068:UEW131072 UEW196604:UEW196608 UEW262140:UEW262144 UEW327676:UEW327680 UEW393212:UEW393216 UEW458748:UEW458752 UEW524284:UEW524288 UEW589820:UEW589824 UEW655356:UEW655360 UEW720892:UEW720896 UEW786428:UEW786432 UEW851964:UEW851968 UEW917500:UEW917504 UEW983036:UEW983040 UOS8:UOS12 UOS65532:UOS65536 UOS131068:UOS131072 UOS196604:UOS196608 UOS262140:UOS262144 UOS327676:UOS327680 UOS393212:UOS393216 UOS458748:UOS458752 UOS524284:UOS524288 UOS589820:UOS589824 UOS655356:UOS655360 UOS720892:UOS720896 UOS786428:UOS786432 UOS851964:UOS851968 UOS917500:UOS917504 UOS983036:UOS983040 UYO8:UYO12 UYO65532:UYO65536 UYO131068:UYO131072 UYO196604:UYO196608 UYO262140:UYO262144 UYO327676:UYO327680 UYO393212:UYO393216 UYO458748:UYO458752 UYO524284:UYO524288 UYO589820:UYO589824 UYO655356:UYO655360 UYO720892:UYO720896 UYO786428:UYO786432 UYO851964:UYO851968 UYO917500:UYO917504 UYO983036:UYO983040 VIK8:VIK12 VIK65532:VIK65536 VIK131068:VIK131072 VIK196604:VIK196608 VIK262140:VIK262144 VIK327676:VIK327680 VIK393212:VIK393216 VIK458748:VIK458752 VIK524284:VIK524288 VIK589820:VIK589824 VIK655356:VIK655360 VIK720892:VIK720896 VIK786428:VIK786432 VIK851964:VIK851968 VIK917500:VIK917504 VIK983036:VIK983040 VSG8:VSG12 VSG65532:VSG65536 VSG131068:VSG131072 VSG196604:VSG196608 VSG262140:VSG262144 VSG327676:VSG327680 VSG393212:VSG393216 VSG458748:VSG458752 VSG524284:VSG524288 VSG589820:VSG589824 VSG655356:VSG655360 VSG720892:VSG720896 VSG786428:VSG786432 VSG851964:VSG851968 VSG917500:VSG917504 VSG983036:VSG983040 WCC8:WCC12 WCC65532:WCC65536 WCC131068:WCC131072 WCC196604:WCC196608 WCC262140:WCC262144 WCC327676:WCC327680 WCC393212:WCC393216 WCC458748:WCC458752 WCC524284:WCC524288 WCC589820:WCC589824 WCC655356:WCC655360 WCC720892:WCC720896 WCC786428:WCC786432 WCC851964:WCC851968 WCC917500:WCC917504 WCC983036:WCC983040 WLY8:WLY12 WLY65532:WLY65536 WLY131068:WLY131072 WLY196604:WLY196608 WLY262140:WLY262144 WLY327676:WLY327680 WLY393212:WLY393216 WLY458748:WLY458752 WLY524284:WLY524288 WLY589820:WLY589824 WLY655356:WLY655360 WLY720892:WLY720896 WLY786428:WLY786432 WLY851964:WLY851968 WLY917500:WLY917504 WLY983036:WLY983040 WVU8:WVU12 WVU65532:WVU65536 WVU131068:WVU131072 WVU196604:WVU196608 WVU262140:WVU262144 WVU327676:WVU327680 WVU393212:WVU393216 WVU458748:WVU458752 WVU524284:WVU524288 WVU589820:WVU589824 WVU655356:WVU655360 WVU720892:WVU720896 WVU786428:WVU786432 WVU851964:WVU851968 WVU917500:WVU917504 WVU983036:WVU983040" xr:uid="{00000000-0002-0000-0700-000019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2 F65531:K65536 F131067:K131072 F196603:K196608 F262139:K262144 F327675:K327680 F393211:K393216 F458747:K458752 F524283:K524288 F589819:K589824 F655355:K655360 F720891:K720896 F786427:K786432 F851963:K851968 F917499:K917504 F983035:K983040 JC7:JH12 JC65531:JH65536 JC131067:JH131072 JC196603:JH196608 JC262139:JH262144 JC327675:JH327680 JC393211:JH393216 JC458747:JH458752 JC524283:JH524288 JC589819:JH589824 JC655355:JH655360 JC720891:JH720896 JC786427:JH786432 JC851963:JH851968 JC917499:JH917504 JC983035:JH983040 SY7:TD12 SY65531:TD65536 SY131067:TD131072 SY196603:TD196608 SY262139:TD262144 SY327675:TD327680 SY393211:TD393216 SY458747:TD458752 SY524283:TD524288 SY589819:TD589824 SY655355:TD655360 SY720891:TD720896 SY786427:TD786432 SY851963:TD851968 SY917499:TD917504 SY983035:TD983040 ACU7:ACZ12 ACU65531:ACZ65536 ACU131067:ACZ131072 ACU196603:ACZ196608 ACU262139:ACZ262144 ACU327675:ACZ327680 ACU393211:ACZ393216 ACU458747:ACZ458752 ACU524283:ACZ524288 ACU589819:ACZ589824 ACU655355:ACZ655360 ACU720891:ACZ720896 ACU786427:ACZ786432 ACU851963:ACZ851968 ACU917499:ACZ917504 ACU983035:ACZ983040 AMQ7:AMV12 AMQ65531:AMV65536 AMQ131067:AMV131072 AMQ196603:AMV196608 AMQ262139:AMV262144 AMQ327675:AMV327680 AMQ393211:AMV393216 AMQ458747:AMV458752 AMQ524283:AMV524288 AMQ589819:AMV589824 AMQ655355:AMV655360 AMQ720891:AMV720896 AMQ786427:AMV786432 AMQ851963:AMV851968 AMQ917499:AMV917504 AMQ983035:AMV983040 AWM7:AWR12 AWM65531:AWR65536 AWM131067:AWR131072 AWM196603:AWR196608 AWM262139:AWR262144 AWM327675:AWR327680 AWM393211:AWR393216 AWM458747:AWR458752 AWM524283:AWR524288 AWM589819:AWR589824 AWM655355:AWR655360 AWM720891:AWR720896 AWM786427:AWR786432 AWM851963:AWR851968 AWM917499:AWR917504 AWM983035:AWR983040 BGI7:BGN12 BGI65531:BGN65536 BGI131067:BGN131072 BGI196603:BGN196608 BGI262139:BGN262144 BGI327675:BGN327680 BGI393211:BGN393216 BGI458747:BGN458752 BGI524283:BGN524288 BGI589819:BGN589824 BGI655355:BGN655360 BGI720891:BGN720896 BGI786427:BGN786432 BGI851963:BGN851968 BGI917499:BGN917504 BGI983035:BGN983040 BQE7:BQJ12 BQE65531:BQJ65536 BQE131067:BQJ131072 BQE196603:BQJ196608 BQE262139:BQJ262144 BQE327675:BQJ327680 BQE393211:BQJ393216 BQE458747:BQJ458752 BQE524283:BQJ524288 BQE589819:BQJ589824 BQE655355:BQJ655360 BQE720891:BQJ720896 BQE786427:BQJ786432 BQE851963:BQJ851968 BQE917499:BQJ917504 BQE983035:BQJ983040 CAA7:CAF12 CAA65531:CAF65536 CAA131067:CAF131072 CAA196603:CAF196608 CAA262139:CAF262144 CAA327675:CAF327680 CAA393211:CAF393216 CAA458747:CAF458752 CAA524283:CAF524288 CAA589819:CAF589824 CAA655355:CAF655360 CAA720891:CAF720896 CAA786427:CAF786432 CAA851963:CAF851968 CAA917499:CAF917504 CAA983035:CAF983040 CJW7:CKB12 CJW65531:CKB65536 CJW131067:CKB131072 CJW196603:CKB196608 CJW262139:CKB262144 CJW327675:CKB327680 CJW393211:CKB393216 CJW458747:CKB458752 CJW524283:CKB524288 CJW589819:CKB589824 CJW655355:CKB655360 CJW720891:CKB720896 CJW786427:CKB786432 CJW851963:CKB851968 CJW917499:CKB917504 CJW983035:CKB983040 CTS7:CTX12 CTS65531:CTX65536 CTS131067:CTX131072 CTS196603:CTX196608 CTS262139:CTX262144 CTS327675:CTX327680 CTS393211:CTX393216 CTS458747:CTX458752 CTS524283:CTX524288 CTS589819:CTX589824 CTS655355:CTX655360 CTS720891:CTX720896 CTS786427:CTX786432 CTS851963:CTX851968 CTS917499:CTX917504 CTS983035:CTX983040 DDO7:DDT12 DDO65531:DDT65536 DDO131067:DDT131072 DDO196603:DDT196608 DDO262139:DDT262144 DDO327675:DDT327680 DDO393211:DDT393216 DDO458747:DDT458752 DDO524283:DDT524288 DDO589819:DDT589824 DDO655355:DDT655360 DDO720891:DDT720896 DDO786427:DDT786432 DDO851963:DDT851968 DDO917499:DDT917504 DDO983035:DDT983040 DNK7:DNP12 DNK65531:DNP65536 DNK131067:DNP131072 DNK196603:DNP196608 DNK262139:DNP262144 DNK327675:DNP327680 DNK393211:DNP393216 DNK458747:DNP458752 DNK524283:DNP524288 DNK589819:DNP589824 DNK655355:DNP655360 DNK720891:DNP720896 DNK786427:DNP786432 DNK851963:DNP851968 DNK917499:DNP917504 DNK983035:DNP983040 DXG7:DXL12 DXG65531:DXL65536 DXG131067:DXL131072 DXG196603:DXL196608 DXG262139:DXL262144 DXG327675:DXL327680 DXG393211:DXL393216 DXG458747:DXL458752 DXG524283:DXL524288 DXG589819:DXL589824 DXG655355:DXL655360 DXG720891:DXL720896 DXG786427:DXL786432 DXG851963:DXL851968 DXG917499:DXL917504 DXG983035:DXL983040 EHC7:EHH12 EHC65531:EHH65536 EHC131067:EHH131072 EHC196603:EHH196608 EHC262139:EHH262144 EHC327675:EHH327680 EHC393211:EHH393216 EHC458747:EHH458752 EHC524283:EHH524288 EHC589819:EHH589824 EHC655355:EHH655360 EHC720891:EHH720896 EHC786427:EHH786432 EHC851963:EHH851968 EHC917499:EHH917504 EHC983035:EHH983040 EQY7:ERD12 EQY65531:ERD65536 EQY131067:ERD131072 EQY196603:ERD196608 EQY262139:ERD262144 EQY327675:ERD327680 EQY393211:ERD393216 EQY458747:ERD458752 EQY524283:ERD524288 EQY589819:ERD589824 EQY655355:ERD655360 EQY720891:ERD720896 EQY786427:ERD786432 EQY851963:ERD851968 EQY917499:ERD917504 EQY983035:ERD983040 FAU7:FAZ12 FAU65531:FAZ65536 FAU131067:FAZ131072 FAU196603:FAZ196608 FAU262139:FAZ262144 FAU327675:FAZ327680 FAU393211:FAZ393216 FAU458747:FAZ458752 FAU524283:FAZ524288 FAU589819:FAZ589824 FAU655355:FAZ655360 FAU720891:FAZ720896 FAU786427:FAZ786432 FAU851963:FAZ851968 FAU917499:FAZ917504 FAU983035:FAZ983040 FKQ7:FKV12 FKQ65531:FKV65536 FKQ131067:FKV131072 FKQ196603:FKV196608 FKQ262139:FKV262144 FKQ327675:FKV327680 FKQ393211:FKV393216 FKQ458747:FKV458752 FKQ524283:FKV524288 FKQ589819:FKV589824 FKQ655355:FKV655360 FKQ720891:FKV720896 FKQ786427:FKV786432 FKQ851963:FKV851968 FKQ917499:FKV917504 FKQ983035:FKV983040 FUM7:FUR12 FUM65531:FUR65536 FUM131067:FUR131072 FUM196603:FUR196608 FUM262139:FUR262144 FUM327675:FUR327680 FUM393211:FUR393216 FUM458747:FUR458752 FUM524283:FUR524288 FUM589819:FUR589824 FUM655355:FUR655360 FUM720891:FUR720896 FUM786427:FUR786432 FUM851963:FUR851968 FUM917499:FUR917504 FUM983035:FUR983040 GEI7:GEN12 GEI65531:GEN65536 GEI131067:GEN131072 GEI196603:GEN196608 GEI262139:GEN262144 GEI327675:GEN327680 GEI393211:GEN393216 GEI458747:GEN458752 GEI524283:GEN524288 GEI589819:GEN589824 GEI655355:GEN655360 GEI720891:GEN720896 GEI786427:GEN786432 GEI851963:GEN851968 GEI917499:GEN917504 GEI983035:GEN983040 GOE7:GOJ12 GOE65531:GOJ65536 GOE131067:GOJ131072 GOE196603:GOJ196608 GOE262139:GOJ262144 GOE327675:GOJ327680 GOE393211:GOJ393216 GOE458747:GOJ458752 GOE524283:GOJ524288 GOE589819:GOJ589824 GOE655355:GOJ655360 GOE720891:GOJ720896 GOE786427:GOJ786432 GOE851963:GOJ851968 GOE917499:GOJ917504 GOE983035:GOJ983040 GYA7:GYF12 GYA65531:GYF65536 GYA131067:GYF131072 GYA196603:GYF196608 GYA262139:GYF262144 GYA327675:GYF327680 GYA393211:GYF393216 GYA458747:GYF458752 GYA524283:GYF524288 GYA589819:GYF589824 GYA655355:GYF655360 GYA720891:GYF720896 GYA786427:GYF786432 GYA851963:GYF851968 GYA917499:GYF917504 GYA983035:GYF983040 HHW7:HIB12 HHW65531:HIB65536 HHW131067:HIB131072 HHW196603:HIB196608 HHW262139:HIB262144 HHW327675:HIB327680 HHW393211:HIB393216 HHW458747:HIB458752 HHW524283:HIB524288 HHW589819:HIB589824 HHW655355:HIB655360 HHW720891:HIB720896 HHW786427:HIB786432 HHW851963:HIB851968 HHW917499:HIB917504 HHW983035:HIB983040 HRS7:HRX12 HRS65531:HRX65536 HRS131067:HRX131072 HRS196603:HRX196608 HRS262139:HRX262144 HRS327675:HRX327680 HRS393211:HRX393216 HRS458747:HRX458752 HRS524283:HRX524288 HRS589819:HRX589824 HRS655355:HRX655360 HRS720891:HRX720896 HRS786427:HRX786432 HRS851963:HRX851968 HRS917499:HRX917504 HRS983035:HRX983040 IBO7:IBT12 IBO65531:IBT65536 IBO131067:IBT131072 IBO196603:IBT196608 IBO262139:IBT262144 IBO327675:IBT327680 IBO393211:IBT393216 IBO458747:IBT458752 IBO524283:IBT524288 IBO589819:IBT589824 IBO655355:IBT655360 IBO720891:IBT720896 IBO786427:IBT786432 IBO851963:IBT851968 IBO917499:IBT917504 IBO983035:IBT983040 ILK7:ILP12 ILK65531:ILP65536 ILK131067:ILP131072 ILK196603:ILP196608 ILK262139:ILP262144 ILK327675:ILP327680 ILK393211:ILP393216 ILK458747:ILP458752 ILK524283:ILP524288 ILK589819:ILP589824 ILK655355:ILP655360 ILK720891:ILP720896 ILK786427:ILP786432 ILK851963:ILP851968 ILK917499:ILP917504 ILK983035:ILP983040 IVG7:IVL12 IVG65531:IVL65536 IVG131067:IVL131072 IVG196603:IVL196608 IVG262139:IVL262144 IVG327675:IVL327680 IVG393211:IVL393216 IVG458747:IVL458752 IVG524283:IVL524288 IVG589819:IVL589824 IVG655355:IVL655360 IVG720891:IVL720896 IVG786427:IVL786432 IVG851963:IVL851968 IVG917499:IVL917504 IVG983035:IVL983040 JFC7:JFH12 JFC65531:JFH65536 JFC131067:JFH131072 JFC196603:JFH196608 JFC262139:JFH262144 JFC327675:JFH327680 JFC393211:JFH393216 JFC458747:JFH458752 JFC524283:JFH524288 JFC589819:JFH589824 JFC655355:JFH655360 JFC720891:JFH720896 JFC786427:JFH786432 JFC851963:JFH851968 JFC917499:JFH917504 JFC983035:JFH983040 JOY7:JPD12 JOY65531:JPD65536 JOY131067:JPD131072 JOY196603:JPD196608 JOY262139:JPD262144 JOY327675:JPD327680 JOY393211:JPD393216 JOY458747:JPD458752 JOY524283:JPD524288 JOY589819:JPD589824 JOY655355:JPD655360 JOY720891:JPD720896 JOY786427:JPD786432 JOY851963:JPD851968 JOY917499:JPD917504 JOY983035:JPD983040 JYU7:JYZ12 JYU65531:JYZ65536 JYU131067:JYZ131072 JYU196603:JYZ196608 JYU262139:JYZ262144 JYU327675:JYZ327680 JYU393211:JYZ393216 JYU458747:JYZ458752 JYU524283:JYZ524288 JYU589819:JYZ589824 JYU655355:JYZ655360 JYU720891:JYZ720896 JYU786427:JYZ786432 JYU851963:JYZ851968 JYU917499:JYZ917504 JYU983035:JYZ983040 KIQ7:KIV12 KIQ65531:KIV65536 KIQ131067:KIV131072 KIQ196603:KIV196608 KIQ262139:KIV262144 KIQ327675:KIV327680 KIQ393211:KIV393216 KIQ458747:KIV458752 KIQ524283:KIV524288 KIQ589819:KIV589824 KIQ655355:KIV655360 KIQ720891:KIV720896 KIQ786427:KIV786432 KIQ851963:KIV851968 KIQ917499:KIV917504 KIQ983035:KIV983040 KSM7:KSR12 KSM65531:KSR65536 KSM131067:KSR131072 KSM196603:KSR196608 KSM262139:KSR262144 KSM327675:KSR327680 KSM393211:KSR393216 KSM458747:KSR458752 KSM524283:KSR524288 KSM589819:KSR589824 KSM655355:KSR655360 KSM720891:KSR720896 KSM786427:KSR786432 KSM851963:KSR851968 KSM917499:KSR917504 KSM983035:KSR983040 LCI7:LCN12 LCI65531:LCN65536 LCI131067:LCN131072 LCI196603:LCN196608 LCI262139:LCN262144 LCI327675:LCN327680 LCI393211:LCN393216 LCI458747:LCN458752 LCI524283:LCN524288 LCI589819:LCN589824 LCI655355:LCN655360 LCI720891:LCN720896 LCI786427:LCN786432 LCI851963:LCN851968 LCI917499:LCN917504 LCI983035:LCN983040 LME7:LMJ12 LME65531:LMJ65536 LME131067:LMJ131072 LME196603:LMJ196608 LME262139:LMJ262144 LME327675:LMJ327680 LME393211:LMJ393216 LME458747:LMJ458752 LME524283:LMJ524288 LME589819:LMJ589824 LME655355:LMJ655360 LME720891:LMJ720896 LME786427:LMJ786432 LME851963:LMJ851968 LME917499:LMJ917504 LME983035:LMJ983040 LWA7:LWF12 LWA65531:LWF65536 LWA131067:LWF131072 LWA196603:LWF196608 LWA262139:LWF262144 LWA327675:LWF327680 LWA393211:LWF393216 LWA458747:LWF458752 LWA524283:LWF524288 LWA589819:LWF589824 LWA655355:LWF655360 LWA720891:LWF720896 LWA786427:LWF786432 LWA851963:LWF851968 LWA917499:LWF917504 LWA983035:LWF983040 MFW7:MGB12 MFW65531:MGB65536 MFW131067:MGB131072 MFW196603:MGB196608 MFW262139:MGB262144 MFW327675:MGB327680 MFW393211:MGB393216 MFW458747:MGB458752 MFW524283:MGB524288 MFW589819:MGB589824 MFW655355:MGB655360 MFW720891:MGB720896 MFW786427:MGB786432 MFW851963:MGB851968 MFW917499:MGB917504 MFW983035:MGB983040 MPS7:MPX12 MPS65531:MPX65536 MPS131067:MPX131072 MPS196603:MPX196608 MPS262139:MPX262144 MPS327675:MPX327680 MPS393211:MPX393216 MPS458747:MPX458752 MPS524283:MPX524288 MPS589819:MPX589824 MPS655355:MPX655360 MPS720891:MPX720896 MPS786427:MPX786432 MPS851963:MPX851968 MPS917499:MPX917504 MPS983035:MPX983040 MZO7:MZT12 MZO65531:MZT65536 MZO131067:MZT131072 MZO196603:MZT196608 MZO262139:MZT262144 MZO327675:MZT327680 MZO393211:MZT393216 MZO458747:MZT458752 MZO524283:MZT524288 MZO589819:MZT589824 MZO655355:MZT655360 MZO720891:MZT720896 MZO786427:MZT786432 MZO851963:MZT851968 MZO917499:MZT917504 MZO983035:MZT983040 NJK7:NJP12 NJK65531:NJP65536 NJK131067:NJP131072 NJK196603:NJP196608 NJK262139:NJP262144 NJK327675:NJP327680 NJK393211:NJP393216 NJK458747:NJP458752 NJK524283:NJP524288 NJK589819:NJP589824 NJK655355:NJP655360 NJK720891:NJP720896 NJK786427:NJP786432 NJK851963:NJP851968 NJK917499:NJP917504 NJK983035:NJP983040 NTG7:NTL12 NTG65531:NTL65536 NTG131067:NTL131072 NTG196603:NTL196608 NTG262139:NTL262144 NTG327675:NTL327680 NTG393211:NTL393216 NTG458747:NTL458752 NTG524283:NTL524288 NTG589819:NTL589824 NTG655355:NTL655360 NTG720891:NTL720896 NTG786427:NTL786432 NTG851963:NTL851968 NTG917499:NTL917504 NTG983035:NTL983040 ODC7:ODH12 ODC65531:ODH65536 ODC131067:ODH131072 ODC196603:ODH196608 ODC262139:ODH262144 ODC327675:ODH327680 ODC393211:ODH393216 ODC458747:ODH458752 ODC524283:ODH524288 ODC589819:ODH589824 ODC655355:ODH655360 ODC720891:ODH720896 ODC786427:ODH786432 ODC851963:ODH851968 ODC917499:ODH917504 ODC983035:ODH983040 OMY7:OND12 OMY65531:OND65536 OMY131067:OND131072 OMY196603:OND196608 OMY262139:OND262144 OMY327675:OND327680 OMY393211:OND393216 OMY458747:OND458752 OMY524283:OND524288 OMY589819:OND589824 OMY655355:OND655360 OMY720891:OND720896 OMY786427:OND786432 OMY851963:OND851968 OMY917499:OND917504 OMY983035:OND983040 OWU7:OWZ12 OWU65531:OWZ65536 OWU131067:OWZ131072 OWU196603:OWZ196608 OWU262139:OWZ262144 OWU327675:OWZ327680 OWU393211:OWZ393216 OWU458747:OWZ458752 OWU524283:OWZ524288 OWU589819:OWZ589824 OWU655355:OWZ655360 OWU720891:OWZ720896 OWU786427:OWZ786432 OWU851963:OWZ851968 OWU917499:OWZ917504 OWU983035:OWZ983040 PGQ7:PGV12 PGQ65531:PGV65536 PGQ131067:PGV131072 PGQ196603:PGV196608 PGQ262139:PGV262144 PGQ327675:PGV327680 PGQ393211:PGV393216 PGQ458747:PGV458752 PGQ524283:PGV524288 PGQ589819:PGV589824 PGQ655355:PGV655360 PGQ720891:PGV720896 PGQ786427:PGV786432 PGQ851963:PGV851968 PGQ917499:PGV917504 PGQ983035:PGV983040 PQM7:PQR12 PQM65531:PQR65536 PQM131067:PQR131072 PQM196603:PQR196608 PQM262139:PQR262144 PQM327675:PQR327680 PQM393211:PQR393216 PQM458747:PQR458752 PQM524283:PQR524288 PQM589819:PQR589824 PQM655355:PQR655360 PQM720891:PQR720896 PQM786427:PQR786432 PQM851963:PQR851968 PQM917499:PQR917504 PQM983035:PQR983040 QAI7:QAN12 QAI65531:QAN65536 QAI131067:QAN131072 QAI196603:QAN196608 QAI262139:QAN262144 QAI327675:QAN327680 QAI393211:QAN393216 QAI458747:QAN458752 QAI524283:QAN524288 QAI589819:QAN589824 QAI655355:QAN655360 QAI720891:QAN720896 QAI786427:QAN786432 QAI851963:QAN851968 QAI917499:QAN917504 QAI983035:QAN983040 QKE7:QKJ12 QKE65531:QKJ65536 QKE131067:QKJ131072 QKE196603:QKJ196608 QKE262139:QKJ262144 QKE327675:QKJ327680 QKE393211:QKJ393216 QKE458747:QKJ458752 QKE524283:QKJ524288 QKE589819:QKJ589824 QKE655355:QKJ655360 QKE720891:QKJ720896 QKE786427:QKJ786432 QKE851963:QKJ851968 QKE917499:QKJ917504 QKE983035:QKJ983040 QUA7:QUF12 QUA65531:QUF65536 QUA131067:QUF131072 QUA196603:QUF196608 QUA262139:QUF262144 QUA327675:QUF327680 QUA393211:QUF393216 QUA458747:QUF458752 QUA524283:QUF524288 QUA589819:QUF589824 QUA655355:QUF655360 QUA720891:QUF720896 QUA786427:QUF786432 QUA851963:QUF851968 QUA917499:QUF917504 QUA983035:QUF983040 RDW7:REB12 RDW65531:REB65536 RDW131067:REB131072 RDW196603:REB196608 RDW262139:REB262144 RDW327675:REB327680 RDW393211:REB393216 RDW458747:REB458752 RDW524283:REB524288 RDW589819:REB589824 RDW655355:REB655360 RDW720891:REB720896 RDW786427:REB786432 RDW851963:REB851968 RDW917499:REB917504 RDW983035:REB983040 RNS7:RNX12 RNS65531:RNX65536 RNS131067:RNX131072 RNS196603:RNX196608 RNS262139:RNX262144 RNS327675:RNX327680 RNS393211:RNX393216 RNS458747:RNX458752 RNS524283:RNX524288 RNS589819:RNX589824 RNS655355:RNX655360 RNS720891:RNX720896 RNS786427:RNX786432 RNS851963:RNX851968 RNS917499:RNX917504 RNS983035:RNX983040 RXO7:RXT12 RXO65531:RXT65536 RXO131067:RXT131072 RXO196603:RXT196608 RXO262139:RXT262144 RXO327675:RXT327680 RXO393211:RXT393216 RXO458747:RXT458752 RXO524283:RXT524288 RXO589819:RXT589824 RXO655355:RXT655360 RXO720891:RXT720896 RXO786427:RXT786432 RXO851963:RXT851968 RXO917499:RXT917504 RXO983035:RXT983040 SHK7:SHP12 SHK65531:SHP65536 SHK131067:SHP131072 SHK196603:SHP196608 SHK262139:SHP262144 SHK327675:SHP327680 SHK393211:SHP393216 SHK458747:SHP458752 SHK524283:SHP524288 SHK589819:SHP589824 SHK655355:SHP655360 SHK720891:SHP720896 SHK786427:SHP786432 SHK851963:SHP851968 SHK917499:SHP917504 SHK983035:SHP983040 SRG7:SRL12 SRG65531:SRL65536 SRG131067:SRL131072 SRG196603:SRL196608 SRG262139:SRL262144 SRG327675:SRL327680 SRG393211:SRL393216 SRG458747:SRL458752 SRG524283:SRL524288 SRG589819:SRL589824 SRG655355:SRL655360 SRG720891:SRL720896 SRG786427:SRL786432 SRG851963:SRL851968 SRG917499:SRL917504 SRG983035:SRL983040 TBC7:TBH12 TBC65531:TBH65536 TBC131067:TBH131072 TBC196603:TBH196608 TBC262139:TBH262144 TBC327675:TBH327680 TBC393211:TBH393216 TBC458747:TBH458752 TBC524283:TBH524288 TBC589819:TBH589824 TBC655355:TBH655360 TBC720891:TBH720896 TBC786427:TBH786432 TBC851963:TBH851968 TBC917499:TBH917504 TBC983035:TBH983040 TKY7:TLD12 TKY65531:TLD65536 TKY131067:TLD131072 TKY196603:TLD196608 TKY262139:TLD262144 TKY327675:TLD327680 TKY393211:TLD393216 TKY458747:TLD458752 TKY524283:TLD524288 TKY589819:TLD589824 TKY655355:TLD655360 TKY720891:TLD720896 TKY786427:TLD786432 TKY851963:TLD851968 TKY917499:TLD917504 TKY983035:TLD983040 TUU7:TUZ12 TUU65531:TUZ65536 TUU131067:TUZ131072 TUU196603:TUZ196608 TUU262139:TUZ262144 TUU327675:TUZ327680 TUU393211:TUZ393216 TUU458747:TUZ458752 TUU524283:TUZ524288 TUU589819:TUZ589824 TUU655355:TUZ655360 TUU720891:TUZ720896 TUU786427:TUZ786432 TUU851963:TUZ851968 TUU917499:TUZ917504 TUU983035:TUZ983040 UEQ7:UEV12 UEQ65531:UEV65536 UEQ131067:UEV131072 UEQ196603:UEV196608 UEQ262139:UEV262144 UEQ327675:UEV327680 UEQ393211:UEV393216 UEQ458747:UEV458752 UEQ524283:UEV524288 UEQ589819:UEV589824 UEQ655355:UEV655360 UEQ720891:UEV720896 UEQ786427:UEV786432 UEQ851963:UEV851968 UEQ917499:UEV917504 UEQ983035:UEV983040 UOM7:UOR12 UOM65531:UOR65536 UOM131067:UOR131072 UOM196603:UOR196608 UOM262139:UOR262144 UOM327675:UOR327680 UOM393211:UOR393216 UOM458747:UOR458752 UOM524283:UOR524288 UOM589819:UOR589824 UOM655355:UOR655360 UOM720891:UOR720896 UOM786427:UOR786432 UOM851963:UOR851968 UOM917499:UOR917504 UOM983035:UOR983040 UYI7:UYN12 UYI65531:UYN65536 UYI131067:UYN131072 UYI196603:UYN196608 UYI262139:UYN262144 UYI327675:UYN327680 UYI393211:UYN393216 UYI458747:UYN458752 UYI524283:UYN524288 UYI589819:UYN589824 UYI655355:UYN655360 UYI720891:UYN720896 UYI786427:UYN786432 UYI851963:UYN851968 UYI917499:UYN917504 UYI983035:UYN983040 VIE7:VIJ12 VIE65531:VIJ65536 VIE131067:VIJ131072 VIE196603:VIJ196608 VIE262139:VIJ262144 VIE327675:VIJ327680 VIE393211:VIJ393216 VIE458747:VIJ458752 VIE524283:VIJ524288 VIE589819:VIJ589824 VIE655355:VIJ655360 VIE720891:VIJ720896 VIE786427:VIJ786432 VIE851963:VIJ851968 VIE917499:VIJ917504 VIE983035:VIJ983040 VSA7:VSF12 VSA65531:VSF65536 VSA131067:VSF131072 VSA196603:VSF196608 VSA262139:VSF262144 VSA327675:VSF327680 VSA393211:VSF393216 VSA458747:VSF458752 VSA524283:VSF524288 VSA589819:VSF589824 VSA655355:VSF655360 VSA720891:VSF720896 VSA786427:VSF786432 VSA851963:VSF851968 VSA917499:VSF917504 VSA983035:VSF983040 WBW7:WCB12 WBW65531:WCB65536 WBW131067:WCB131072 WBW196603:WCB196608 WBW262139:WCB262144 WBW327675:WCB327680 WBW393211:WCB393216 WBW458747:WCB458752 WBW524283:WCB524288 WBW589819:WCB589824 WBW655355:WCB655360 WBW720891:WCB720896 WBW786427:WCB786432 WBW851963:WCB851968 WBW917499:WCB917504 WBW983035:WCB983040 WLS7:WLX12 WLS65531:WLX65536 WLS131067:WLX131072 WLS196603:WLX196608 WLS262139:WLX262144 WLS327675:WLX327680 WLS393211:WLX393216 WLS458747:WLX458752 WLS524283:WLX524288 WLS589819:WLX589824 WLS655355:WLX655360 WLS720891:WLX720896 WLS786427:WLX786432 WLS851963:WLX851968 WLS917499:WLX917504 WLS983035:WLX983040 WVO7:WVT12 WVO65531:WVT65536 WVO131067:WVT131072 WVO196603:WVT196608 WVO262139:WVT262144 WVO327675:WVT327680 WVO393211:WVT393216 WVO458747:WVT458752 WVO524283:WVT524288 WVO589819:WVT589824 WVO655355:WVT655360 WVO720891:WVT720896 WVO786427:WVT786432 WVO851963:WVT851968 WVO917499:WVT917504 WVO983035:WVT983040" xr:uid="{00000000-0002-0000-0700-00001A000000}"/>
    <dataValidation allowBlank="1" showInputMessage="1" showErrorMessage="1" promptTitle="Remarks" prompt="A general comment (data source, calculation procedure, ...) can be made about each individual exchange. The remarks are added to the GeneralComment-field." sqref="Q2:Q3 Q8:Q12 Q65526:Q65527 Q65532:Q65536 Q131062:Q131063 Q131068:Q131072 Q196598:Q196599 Q196604:Q196608 Q262134:Q262135 Q262140:Q262144 Q327670:Q327671 Q327676:Q327680 Q393206:Q393207 Q393212:Q393216 Q458742:Q458743 Q458748:Q458752 Q524278:Q524279 Q524284:Q524288 Q589814:Q589815 Q589820:Q589824 Q655350:Q655351 Q655356:Q655360 Q720886:Q720887 Q720892:Q720896 Q786422:Q786423 Q786428:Q786432 Q851958:Q851959 Q851964:Q851968 Q917494:Q917495 Q917500:Q917504 Q983030:Q983031 Q983036:Q983040 JM2:JM3 JM8:JM12 JM65526:JM65527 JM65532:JM65536 JM131062:JM131063 JM131068:JM131072 JM196598:JM196599 JM196604:JM196608 JM262134:JM262135 JM262140:JM262144 JM327670:JM327671 JM327676:JM327680 JM393206:JM393207 JM393212:JM393216 JM458742:JM458743 JM458748:JM458752 JM524278:JM524279 JM524284:JM524288 JM589814:JM589815 JM589820:JM589824 JM655350:JM655351 JM655356:JM655360 JM720886:JM720887 JM720892:JM720896 JM786422:JM786423 JM786428:JM786432 JM851958:JM851959 JM851964:JM851968 JM917494:JM917495 JM917500:JM917504 JM983030:JM983031 JM983036:JM983040 TI2:TI3 TI8:TI12 TI65526:TI65527 TI65532:TI65536 TI131062:TI131063 TI131068:TI131072 TI196598:TI196599 TI196604:TI196608 TI262134:TI262135 TI262140:TI262144 TI327670:TI327671 TI327676:TI327680 TI393206:TI393207 TI393212:TI393216 TI458742:TI458743 TI458748:TI458752 TI524278:TI524279 TI524284:TI524288 TI589814:TI589815 TI589820:TI589824 TI655350:TI655351 TI655356:TI655360 TI720886:TI720887 TI720892:TI720896 TI786422:TI786423 TI786428:TI786432 TI851958:TI851959 TI851964:TI851968 TI917494:TI917495 TI917500:TI917504 TI983030:TI983031 TI983036:TI983040 ADE2:ADE3 ADE8:ADE12 ADE65526:ADE65527 ADE65532:ADE65536 ADE131062:ADE131063 ADE131068:ADE131072 ADE196598:ADE196599 ADE196604:ADE196608 ADE262134:ADE262135 ADE262140:ADE262144 ADE327670:ADE327671 ADE327676:ADE327680 ADE393206:ADE393207 ADE393212:ADE393216 ADE458742:ADE458743 ADE458748:ADE458752 ADE524278:ADE524279 ADE524284:ADE524288 ADE589814:ADE589815 ADE589820:ADE589824 ADE655350:ADE655351 ADE655356:ADE655360 ADE720886:ADE720887 ADE720892:ADE720896 ADE786422:ADE786423 ADE786428:ADE786432 ADE851958:ADE851959 ADE851964:ADE851968 ADE917494:ADE917495 ADE917500:ADE917504 ADE983030:ADE983031 ADE983036:ADE983040 ANA2:ANA3 ANA8:ANA12 ANA65526:ANA65527 ANA65532:ANA65536 ANA131062:ANA131063 ANA131068:ANA131072 ANA196598:ANA196599 ANA196604:ANA196608 ANA262134:ANA262135 ANA262140:ANA262144 ANA327670:ANA327671 ANA327676:ANA327680 ANA393206:ANA393207 ANA393212:ANA393216 ANA458742:ANA458743 ANA458748:ANA458752 ANA524278:ANA524279 ANA524284:ANA524288 ANA589814:ANA589815 ANA589820:ANA589824 ANA655350:ANA655351 ANA655356:ANA655360 ANA720886:ANA720887 ANA720892:ANA720896 ANA786422:ANA786423 ANA786428:ANA786432 ANA851958:ANA851959 ANA851964:ANA851968 ANA917494:ANA917495 ANA917500:ANA917504 ANA983030:ANA983031 ANA983036:ANA983040 AWW2:AWW3 AWW8:AWW12 AWW65526:AWW65527 AWW65532:AWW65536 AWW131062:AWW131063 AWW131068:AWW131072 AWW196598:AWW196599 AWW196604:AWW196608 AWW262134:AWW262135 AWW262140:AWW262144 AWW327670:AWW327671 AWW327676:AWW327680 AWW393206:AWW393207 AWW393212:AWW393216 AWW458742:AWW458743 AWW458748:AWW458752 AWW524278:AWW524279 AWW524284:AWW524288 AWW589814:AWW589815 AWW589820:AWW589824 AWW655350:AWW655351 AWW655356:AWW655360 AWW720886:AWW720887 AWW720892:AWW720896 AWW786422:AWW786423 AWW786428:AWW786432 AWW851958:AWW851959 AWW851964:AWW851968 AWW917494:AWW917495 AWW917500:AWW917504 AWW983030:AWW983031 AWW983036:AWW983040 BGS2:BGS3 BGS8:BGS12 BGS65526:BGS65527 BGS65532:BGS65536 BGS131062:BGS131063 BGS131068:BGS131072 BGS196598:BGS196599 BGS196604:BGS196608 BGS262134:BGS262135 BGS262140:BGS262144 BGS327670:BGS327671 BGS327676:BGS327680 BGS393206:BGS393207 BGS393212:BGS393216 BGS458742:BGS458743 BGS458748:BGS458752 BGS524278:BGS524279 BGS524284:BGS524288 BGS589814:BGS589815 BGS589820:BGS589824 BGS655350:BGS655351 BGS655356:BGS655360 BGS720886:BGS720887 BGS720892:BGS720896 BGS786422:BGS786423 BGS786428:BGS786432 BGS851958:BGS851959 BGS851964:BGS851968 BGS917494:BGS917495 BGS917500:BGS917504 BGS983030:BGS983031 BGS983036:BGS983040 BQO2:BQO3 BQO8:BQO12 BQO65526:BQO65527 BQO65532:BQO65536 BQO131062:BQO131063 BQO131068:BQO131072 BQO196598:BQO196599 BQO196604:BQO196608 BQO262134:BQO262135 BQO262140:BQO262144 BQO327670:BQO327671 BQO327676:BQO327680 BQO393206:BQO393207 BQO393212:BQO393216 BQO458742:BQO458743 BQO458748:BQO458752 BQO524278:BQO524279 BQO524284:BQO524288 BQO589814:BQO589815 BQO589820:BQO589824 BQO655350:BQO655351 BQO655356:BQO655360 BQO720886:BQO720887 BQO720892:BQO720896 BQO786422:BQO786423 BQO786428:BQO786432 BQO851958:BQO851959 BQO851964:BQO851968 BQO917494:BQO917495 BQO917500:BQO917504 BQO983030:BQO983031 BQO983036:BQO983040 CAK2:CAK3 CAK8:CAK12 CAK65526:CAK65527 CAK65532:CAK65536 CAK131062:CAK131063 CAK131068:CAK131072 CAK196598:CAK196599 CAK196604:CAK196608 CAK262134:CAK262135 CAK262140:CAK262144 CAK327670:CAK327671 CAK327676:CAK327680 CAK393206:CAK393207 CAK393212:CAK393216 CAK458742:CAK458743 CAK458748:CAK458752 CAK524278:CAK524279 CAK524284:CAK524288 CAK589814:CAK589815 CAK589820:CAK589824 CAK655350:CAK655351 CAK655356:CAK655360 CAK720886:CAK720887 CAK720892:CAK720896 CAK786422:CAK786423 CAK786428:CAK786432 CAK851958:CAK851959 CAK851964:CAK851968 CAK917494:CAK917495 CAK917500:CAK917504 CAK983030:CAK983031 CAK983036:CAK983040 CKG2:CKG3 CKG8:CKG12 CKG65526:CKG65527 CKG65532:CKG65536 CKG131062:CKG131063 CKG131068:CKG131072 CKG196598:CKG196599 CKG196604:CKG196608 CKG262134:CKG262135 CKG262140:CKG262144 CKG327670:CKG327671 CKG327676:CKG327680 CKG393206:CKG393207 CKG393212:CKG393216 CKG458742:CKG458743 CKG458748:CKG458752 CKG524278:CKG524279 CKG524284:CKG524288 CKG589814:CKG589815 CKG589820:CKG589824 CKG655350:CKG655351 CKG655356:CKG655360 CKG720886:CKG720887 CKG720892:CKG720896 CKG786422:CKG786423 CKG786428:CKG786432 CKG851958:CKG851959 CKG851964:CKG851968 CKG917494:CKG917495 CKG917500:CKG917504 CKG983030:CKG983031 CKG983036:CKG983040 CUC2:CUC3 CUC8:CUC12 CUC65526:CUC65527 CUC65532:CUC65536 CUC131062:CUC131063 CUC131068:CUC131072 CUC196598:CUC196599 CUC196604:CUC196608 CUC262134:CUC262135 CUC262140:CUC262144 CUC327670:CUC327671 CUC327676:CUC327680 CUC393206:CUC393207 CUC393212:CUC393216 CUC458742:CUC458743 CUC458748:CUC458752 CUC524278:CUC524279 CUC524284:CUC524288 CUC589814:CUC589815 CUC589820:CUC589824 CUC655350:CUC655351 CUC655356:CUC655360 CUC720886:CUC720887 CUC720892:CUC720896 CUC786422:CUC786423 CUC786428:CUC786432 CUC851958:CUC851959 CUC851964:CUC851968 CUC917494:CUC917495 CUC917500:CUC917504 CUC983030:CUC983031 CUC983036:CUC983040 DDY2:DDY3 DDY8:DDY12 DDY65526:DDY65527 DDY65532:DDY65536 DDY131062:DDY131063 DDY131068:DDY131072 DDY196598:DDY196599 DDY196604:DDY196608 DDY262134:DDY262135 DDY262140:DDY262144 DDY327670:DDY327671 DDY327676:DDY327680 DDY393206:DDY393207 DDY393212:DDY393216 DDY458742:DDY458743 DDY458748:DDY458752 DDY524278:DDY524279 DDY524284:DDY524288 DDY589814:DDY589815 DDY589820:DDY589824 DDY655350:DDY655351 DDY655356:DDY655360 DDY720886:DDY720887 DDY720892:DDY720896 DDY786422:DDY786423 DDY786428:DDY786432 DDY851958:DDY851959 DDY851964:DDY851968 DDY917494:DDY917495 DDY917500:DDY917504 DDY983030:DDY983031 DDY983036:DDY983040 DNU2:DNU3 DNU8:DNU12 DNU65526:DNU65527 DNU65532:DNU65536 DNU131062:DNU131063 DNU131068:DNU131072 DNU196598:DNU196599 DNU196604:DNU196608 DNU262134:DNU262135 DNU262140:DNU262144 DNU327670:DNU327671 DNU327676:DNU327680 DNU393206:DNU393207 DNU393212:DNU393216 DNU458742:DNU458743 DNU458748:DNU458752 DNU524278:DNU524279 DNU524284:DNU524288 DNU589814:DNU589815 DNU589820:DNU589824 DNU655350:DNU655351 DNU655356:DNU655360 DNU720886:DNU720887 DNU720892:DNU720896 DNU786422:DNU786423 DNU786428:DNU786432 DNU851958:DNU851959 DNU851964:DNU851968 DNU917494:DNU917495 DNU917500:DNU917504 DNU983030:DNU983031 DNU983036:DNU983040 DXQ2:DXQ3 DXQ8:DXQ12 DXQ65526:DXQ65527 DXQ65532:DXQ65536 DXQ131062:DXQ131063 DXQ131068:DXQ131072 DXQ196598:DXQ196599 DXQ196604:DXQ196608 DXQ262134:DXQ262135 DXQ262140:DXQ262144 DXQ327670:DXQ327671 DXQ327676:DXQ327680 DXQ393206:DXQ393207 DXQ393212:DXQ393216 DXQ458742:DXQ458743 DXQ458748:DXQ458752 DXQ524278:DXQ524279 DXQ524284:DXQ524288 DXQ589814:DXQ589815 DXQ589820:DXQ589824 DXQ655350:DXQ655351 DXQ655356:DXQ655360 DXQ720886:DXQ720887 DXQ720892:DXQ720896 DXQ786422:DXQ786423 DXQ786428:DXQ786432 DXQ851958:DXQ851959 DXQ851964:DXQ851968 DXQ917494:DXQ917495 DXQ917500:DXQ917504 DXQ983030:DXQ983031 DXQ983036:DXQ983040 EHM2:EHM3 EHM8:EHM12 EHM65526:EHM65527 EHM65532:EHM65536 EHM131062:EHM131063 EHM131068:EHM131072 EHM196598:EHM196599 EHM196604:EHM196608 EHM262134:EHM262135 EHM262140:EHM262144 EHM327670:EHM327671 EHM327676:EHM327680 EHM393206:EHM393207 EHM393212:EHM393216 EHM458742:EHM458743 EHM458748:EHM458752 EHM524278:EHM524279 EHM524284:EHM524288 EHM589814:EHM589815 EHM589820:EHM589824 EHM655350:EHM655351 EHM655356:EHM655360 EHM720886:EHM720887 EHM720892:EHM720896 EHM786422:EHM786423 EHM786428:EHM786432 EHM851958:EHM851959 EHM851964:EHM851968 EHM917494:EHM917495 EHM917500:EHM917504 EHM983030:EHM983031 EHM983036:EHM983040 ERI2:ERI3 ERI8:ERI12 ERI65526:ERI65527 ERI65532:ERI65536 ERI131062:ERI131063 ERI131068:ERI131072 ERI196598:ERI196599 ERI196604:ERI196608 ERI262134:ERI262135 ERI262140:ERI262144 ERI327670:ERI327671 ERI327676:ERI327680 ERI393206:ERI393207 ERI393212:ERI393216 ERI458742:ERI458743 ERI458748:ERI458752 ERI524278:ERI524279 ERI524284:ERI524288 ERI589814:ERI589815 ERI589820:ERI589824 ERI655350:ERI655351 ERI655356:ERI655360 ERI720886:ERI720887 ERI720892:ERI720896 ERI786422:ERI786423 ERI786428:ERI786432 ERI851958:ERI851959 ERI851964:ERI851968 ERI917494:ERI917495 ERI917500:ERI917504 ERI983030:ERI983031 ERI983036:ERI983040 FBE2:FBE3 FBE8:FBE12 FBE65526:FBE65527 FBE65532:FBE65536 FBE131062:FBE131063 FBE131068:FBE131072 FBE196598:FBE196599 FBE196604:FBE196608 FBE262134:FBE262135 FBE262140:FBE262144 FBE327670:FBE327671 FBE327676:FBE327680 FBE393206:FBE393207 FBE393212:FBE393216 FBE458742:FBE458743 FBE458748:FBE458752 FBE524278:FBE524279 FBE524284:FBE524288 FBE589814:FBE589815 FBE589820:FBE589824 FBE655350:FBE655351 FBE655356:FBE655360 FBE720886:FBE720887 FBE720892:FBE720896 FBE786422:FBE786423 FBE786428:FBE786432 FBE851958:FBE851959 FBE851964:FBE851968 FBE917494:FBE917495 FBE917500:FBE917504 FBE983030:FBE983031 FBE983036:FBE983040 FLA2:FLA3 FLA8:FLA12 FLA65526:FLA65527 FLA65532:FLA65536 FLA131062:FLA131063 FLA131068:FLA131072 FLA196598:FLA196599 FLA196604:FLA196608 FLA262134:FLA262135 FLA262140:FLA262144 FLA327670:FLA327671 FLA327676:FLA327680 FLA393206:FLA393207 FLA393212:FLA393216 FLA458742:FLA458743 FLA458748:FLA458752 FLA524278:FLA524279 FLA524284:FLA524288 FLA589814:FLA589815 FLA589820:FLA589824 FLA655350:FLA655351 FLA655356:FLA655360 FLA720886:FLA720887 FLA720892:FLA720896 FLA786422:FLA786423 FLA786428:FLA786432 FLA851958:FLA851959 FLA851964:FLA851968 FLA917494:FLA917495 FLA917500:FLA917504 FLA983030:FLA983031 FLA983036:FLA983040 FUW2:FUW3 FUW8:FUW12 FUW65526:FUW65527 FUW65532:FUW65536 FUW131062:FUW131063 FUW131068:FUW131072 FUW196598:FUW196599 FUW196604:FUW196608 FUW262134:FUW262135 FUW262140:FUW262144 FUW327670:FUW327671 FUW327676:FUW327680 FUW393206:FUW393207 FUW393212:FUW393216 FUW458742:FUW458743 FUW458748:FUW458752 FUW524278:FUW524279 FUW524284:FUW524288 FUW589814:FUW589815 FUW589820:FUW589824 FUW655350:FUW655351 FUW655356:FUW655360 FUW720886:FUW720887 FUW720892:FUW720896 FUW786422:FUW786423 FUW786428:FUW786432 FUW851958:FUW851959 FUW851964:FUW851968 FUW917494:FUW917495 FUW917500:FUW917504 FUW983030:FUW983031 FUW983036:FUW983040 GES2:GES3 GES8:GES12 GES65526:GES65527 GES65532:GES65536 GES131062:GES131063 GES131068:GES131072 GES196598:GES196599 GES196604:GES196608 GES262134:GES262135 GES262140:GES262144 GES327670:GES327671 GES327676:GES327680 GES393206:GES393207 GES393212:GES393216 GES458742:GES458743 GES458748:GES458752 GES524278:GES524279 GES524284:GES524288 GES589814:GES589815 GES589820:GES589824 GES655350:GES655351 GES655356:GES655360 GES720886:GES720887 GES720892:GES720896 GES786422:GES786423 GES786428:GES786432 GES851958:GES851959 GES851964:GES851968 GES917494:GES917495 GES917500:GES917504 GES983030:GES983031 GES983036:GES983040 GOO2:GOO3 GOO8:GOO12 GOO65526:GOO65527 GOO65532:GOO65536 GOO131062:GOO131063 GOO131068:GOO131072 GOO196598:GOO196599 GOO196604:GOO196608 GOO262134:GOO262135 GOO262140:GOO262144 GOO327670:GOO327671 GOO327676:GOO327680 GOO393206:GOO393207 GOO393212:GOO393216 GOO458742:GOO458743 GOO458748:GOO458752 GOO524278:GOO524279 GOO524284:GOO524288 GOO589814:GOO589815 GOO589820:GOO589824 GOO655350:GOO655351 GOO655356:GOO655360 GOO720886:GOO720887 GOO720892:GOO720896 GOO786422:GOO786423 GOO786428:GOO786432 GOO851958:GOO851959 GOO851964:GOO851968 GOO917494:GOO917495 GOO917500:GOO917504 GOO983030:GOO983031 GOO983036:GOO983040 GYK2:GYK3 GYK8:GYK12 GYK65526:GYK65527 GYK65532:GYK65536 GYK131062:GYK131063 GYK131068:GYK131072 GYK196598:GYK196599 GYK196604:GYK196608 GYK262134:GYK262135 GYK262140:GYK262144 GYK327670:GYK327671 GYK327676:GYK327680 GYK393206:GYK393207 GYK393212:GYK393216 GYK458742:GYK458743 GYK458748:GYK458752 GYK524278:GYK524279 GYK524284:GYK524288 GYK589814:GYK589815 GYK589820:GYK589824 GYK655350:GYK655351 GYK655356:GYK655360 GYK720886:GYK720887 GYK720892:GYK720896 GYK786422:GYK786423 GYK786428:GYK786432 GYK851958:GYK851959 GYK851964:GYK851968 GYK917494:GYK917495 GYK917500:GYK917504 GYK983030:GYK983031 GYK983036:GYK983040 HIG2:HIG3 HIG8:HIG12 HIG65526:HIG65527 HIG65532:HIG65536 HIG131062:HIG131063 HIG131068:HIG131072 HIG196598:HIG196599 HIG196604:HIG196608 HIG262134:HIG262135 HIG262140:HIG262144 HIG327670:HIG327671 HIG327676:HIG327680 HIG393206:HIG393207 HIG393212:HIG393216 HIG458742:HIG458743 HIG458748:HIG458752 HIG524278:HIG524279 HIG524284:HIG524288 HIG589814:HIG589815 HIG589820:HIG589824 HIG655350:HIG655351 HIG655356:HIG655360 HIG720886:HIG720887 HIG720892:HIG720896 HIG786422:HIG786423 HIG786428:HIG786432 HIG851958:HIG851959 HIG851964:HIG851968 HIG917494:HIG917495 HIG917500:HIG917504 HIG983030:HIG983031 HIG983036:HIG983040 HSC2:HSC3 HSC8:HSC12 HSC65526:HSC65527 HSC65532:HSC65536 HSC131062:HSC131063 HSC131068:HSC131072 HSC196598:HSC196599 HSC196604:HSC196608 HSC262134:HSC262135 HSC262140:HSC262144 HSC327670:HSC327671 HSC327676:HSC327680 HSC393206:HSC393207 HSC393212:HSC393216 HSC458742:HSC458743 HSC458748:HSC458752 HSC524278:HSC524279 HSC524284:HSC524288 HSC589814:HSC589815 HSC589820:HSC589824 HSC655350:HSC655351 HSC655356:HSC655360 HSC720886:HSC720887 HSC720892:HSC720896 HSC786422:HSC786423 HSC786428:HSC786432 HSC851958:HSC851959 HSC851964:HSC851968 HSC917494:HSC917495 HSC917500:HSC917504 HSC983030:HSC983031 HSC983036:HSC983040 IBY2:IBY3 IBY8:IBY12 IBY65526:IBY65527 IBY65532:IBY65536 IBY131062:IBY131063 IBY131068:IBY131072 IBY196598:IBY196599 IBY196604:IBY196608 IBY262134:IBY262135 IBY262140:IBY262144 IBY327670:IBY327671 IBY327676:IBY327680 IBY393206:IBY393207 IBY393212:IBY393216 IBY458742:IBY458743 IBY458748:IBY458752 IBY524278:IBY524279 IBY524284:IBY524288 IBY589814:IBY589815 IBY589820:IBY589824 IBY655350:IBY655351 IBY655356:IBY655360 IBY720886:IBY720887 IBY720892:IBY720896 IBY786422:IBY786423 IBY786428:IBY786432 IBY851958:IBY851959 IBY851964:IBY851968 IBY917494:IBY917495 IBY917500:IBY917504 IBY983030:IBY983031 IBY983036:IBY983040 ILU2:ILU3 ILU8:ILU12 ILU65526:ILU65527 ILU65532:ILU65536 ILU131062:ILU131063 ILU131068:ILU131072 ILU196598:ILU196599 ILU196604:ILU196608 ILU262134:ILU262135 ILU262140:ILU262144 ILU327670:ILU327671 ILU327676:ILU327680 ILU393206:ILU393207 ILU393212:ILU393216 ILU458742:ILU458743 ILU458748:ILU458752 ILU524278:ILU524279 ILU524284:ILU524288 ILU589814:ILU589815 ILU589820:ILU589824 ILU655350:ILU655351 ILU655356:ILU655360 ILU720886:ILU720887 ILU720892:ILU720896 ILU786422:ILU786423 ILU786428:ILU786432 ILU851958:ILU851959 ILU851964:ILU851968 ILU917494:ILU917495 ILU917500:ILU917504 ILU983030:ILU983031 ILU983036:ILU983040 IVQ2:IVQ3 IVQ8:IVQ12 IVQ65526:IVQ65527 IVQ65532:IVQ65536 IVQ131062:IVQ131063 IVQ131068:IVQ131072 IVQ196598:IVQ196599 IVQ196604:IVQ196608 IVQ262134:IVQ262135 IVQ262140:IVQ262144 IVQ327670:IVQ327671 IVQ327676:IVQ327680 IVQ393206:IVQ393207 IVQ393212:IVQ393216 IVQ458742:IVQ458743 IVQ458748:IVQ458752 IVQ524278:IVQ524279 IVQ524284:IVQ524288 IVQ589814:IVQ589815 IVQ589820:IVQ589824 IVQ655350:IVQ655351 IVQ655356:IVQ655360 IVQ720886:IVQ720887 IVQ720892:IVQ720896 IVQ786422:IVQ786423 IVQ786428:IVQ786432 IVQ851958:IVQ851959 IVQ851964:IVQ851968 IVQ917494:IVQ917495 IVQ917500:IVQ917504 IVQ983030:IVQ983031 IVQ983036:IVQ983040 JFM2:JFM3 JFM8:JFM12 JFM65526:JFM65527 JFM65532:JFM65536 JFM131062:JFM131063 JFM131068:JFM131072 JFM196598:JFM196599 JFM196604:JFM196608 JFM262134:JFM262135 JFM262140:JFM262144 JFM327670:JFM327671 JFM327676:JFM327680 JFM393206:JFM393207 JFM393212:JFM393216 JFM458742:JFM458743 JFM458748:JFM458752 JFM524278:JFM524279 JFM524284:JFM524288 JFM589814:JFM589815 JFM589820:JFM589824 JFM655350:JFM655351 JFM655356:JFM655360 JFM720886:JFM720887 JFM720892:JFM720896 JFM786422:JFM786423 JFM786428:JFM786432 JFM851958:JFM851959 JFM851964:JFM851968 JFM917494:JFM917495 JFM917500:JFM917504 JFM983030:JFM983031 JFM983036:JFM983040 JPI2:JPI3 JPI8:JPI12 JPI65526:JPI65527 JPI65532:JPI65536 JPI131062:JPI131063 JPI131068:JPI131072 JPI196598:JPI196599 JPI196604:JPI196608 JPI262134:JPI262135 JPI262140:JPI262144 JPI327670:JPI327671 JPI327676:JPI327680 JPI393206:JPI393207 JPI393212:JPI393216 JPI458742:JPI458743 JPI458748:JPI458752 JPI524278:JPI524279 JPI524284:JPI524288 JPI589814:JPI589815 JPI589820:JPI589824 JPI655350:JPI655351 JPI655356:JPI655360 JPI720886:JPI720887 JPI720892:JPI720896 JPI786422:JPI786423 JPI786428:JPI786432 JPI851958:JPI851959 JPI851964:JPI851968 JPI917494:JPI917495 JPI917500:JPI917504 JPI983030:JPI983031 JPI983036:JPI983040 JZE2:JZE3 JZE8:JZE12 JZE65526:JZE65527 JZE65532:JZE65536 JZE131062:JZE131063 JZE131068:JZE131072 JZE196598:JZE196599 JZE196604:JZE196608 JZE262134:JZE262135 JZE262140:JZE262144 JZE327670:JZE327671 JZE327676:JZE327680 JZE393206:JZE393207 JZE393212:JZE393216 JZE458742:JZE458743 JZE458748:JZE458752 JZE524278:JZE524279 JZE524284:JZE524288 JZE589814:JZE589815 JZE589820:JZE589824 JZE655350:JZE655351 JZE655356:JZE655360 JZE720886:JZE720887 JZE720892:JZE720896 JZE786422:JZE786423 JZE786428:JZE786432 JZE851958:JZE851959 JZE851964:JZE851968 JZE917494:JZE917495 JZE917500:JZE917504 JZE983030:JZE983031 JZE983036:JZE983040 KJA2:KJA3 KJA8:KJA12 KJA65526:KJA65527 KJA65532:KJA65536 KJA131062:KJA131063 KJA131068:KJA131072 KJA196598:KJA196599 KJA196604:KJA196608 KJA262134:KJA262135 KJA262140:KJA262144 KJA327670:KJA327671 KJA327676:KJA327680 KJA393206:KJA393207 KJA393212:KJA393216 KJA458742:KJA458743 KJA458748:KJA458752 KJA524278:KJA524279 KJA524284:KJA524288 KJA589814:KJA589815 KJA589820:KJA589824 KJA655350:KJA655351 KJA655356:KJA655360 KJA720886:KJA720887 KJA720892:KJA720896 KJA786422:KJA786423 KJA786428:KJA786432 KJA851958:KJA851959 KJA851964:KJA851968 KJA917494:KJA917495 KJA917500:KJA917504 KJA983030:KJA983031 KJA983036:KJA983040 KSW2:KSW3 KSW8:KSW12 KSW65526:KSW65527 KSW65532:KSW65536 KSW131062:KSW131063 KSW131068:KSW131072 KSW196598:KSW196599 KSW196604:KSW196608 KSW262134:KSW262135 KSW262140:KSW262144 KSW327670:KSW327671 KSW327676:KSW327680 KSW393206:KSW393207 KSW393212:KSW393216 KSW458742:KSW458743 KSW458748:KSW458752 KSW524278:KSW524279 KSW524284:KSW524288 KSW589814:KSW589815 KSW589820:KSW589824 KSW655350:KSW655351 KSW655356:KSW655360 KSW720886:KSW720887 KSW720892:KSW720896 KSW786422:KSW786423 KSW786428:KSW786432 KSW851958:KSW851959 KSW851964:KSW851968 KSW917494:KSW917495 KSW917500:KSW917504 KSW983030:KSW983031 KSW983036:KSW983040 LCS2:LCS3 LCS8:LCS12 LCS65526:LCS65527 LCS65532:LCS65536 LCS131062:LCS131063 LCS131068:LCS131072 LCS196598:LCS196599 LCS196604:LCS196608 LCS262134:LCS262135 LCS262140:LCS262144 LCS327670:LCS327671 LCS327676:LCS327680 LCS393206:LCS393207 LCS393212:LCS393216 LCS458742:LCS458743 LCS458748:LCS458752 LCS524278:LCS524279 LCS524284:LCS524288 LCS589814:LCS589815 LCS589820:LCS589824 LCS655350:LCS655351 LCS655356:LCS655360 LCS720886:LCS720887 LCS720892:LCS720896 LCS786422:LCS786423 LCS786428:LCS786432 LCS851958:LCS851959 LCS851964:LCS851968 LCS917494:LCS917495 LCS917500:LCS917504 LCS983030:LCS983031 LCS983036:LCS983040 LMO2:LMO3 LMO8:LMO12 LMO65526:LMO65527 LMO65532:LMO65536 LMO131062:LMO131063 LMO131068:LMO131072 LMO196598:LMO196599 LMO196604:LMO196608 LMO262134:LMO262135 LMO262140:LMO262144 LMO327670:LMO327671 LMO327676:LMO327680 LMO393206:LMO393207 LMO393212:LMO393216 LMO458742:LMO458743 LMO458748:LMO458752 LMO524278:LMO524279 LMO524284:LMO524288 LMO589814:LMO589815 LMO589820:LMO589824 LMO655350:LMO655351 LMO655356:LMO655360 LMO720886:LMO720887 LMO720892:LMO720896 LMO786422:LMO786423 LMO786428:LMO786432 LMO851958:LMO851959 LMO851964:LMO851968 LMO917494:LMO917495 LMO917500:LMO917504 LMO983030:LMO983031 LMO983036:LMO983040 LWK2:LWK3 LWK8:LWK12 LWK65526:LWK65527 LWK65532:LWK65536 LWK131062:LWK131063 LWK131068:LWK131072 LWK196598:LWK196599 LWK196604:LWK196608 LWK262134:LWK262135 LWK262140:LWK262144 LWK327670:LWK327671 LWK327676:LWK327680 LWK393206:LWK393207 LWK393212:LWK393216 LWK458742:LWK458743 LWK458748:LWK458752 LWK524278:LWK524279 LWK524284:LWK524288 LWK589814:LWK589815 LWK589820:LWK589824 LWK655350:LWK655351 LWK655356:LWK655360 LWK720886:LWK720887 LWK720892:LWK720896 LWK786422:LWK786423 LWK786428:LWK786432 LWK851958:LWK851959 LWK851964:LWK851968 LWK917494:LWK917495 LWK917500:LWK917504 LWK983030:LWK983031 LWK983036:LWK983040 MGG2:MGG3 MGG8:MGG12 MGG65526:MGG65527 MGG65532:MGG65536 MGG131062:MGG131063 MGG131068:MGG131072 MGG196598:MGG196599 MGG196604:MGG196608 MGG262134:MGG262135 MGG262140:MGG262144 MGG327670:MGG327671 MGG327676:MGG327680 MGG393206:MGG393207 MGG393212:MGG393216 MGG458742:MGG458743 MGG458748:MGG458752 MGG524278:MGG524279 MGG524284:MGG524288 MGG589814:MGG589815 MGG589820:MGG589824 MGG655350:MGG655351 MGG655356:MGG655360 MGG720886:MGG720887 MGG720892:MGG720896 MGG786422:MGG786423 MGG786428:MGG786432 MGG851958:MGG851959 MGG851964:MGG851968 MGG917494:MGG917495 MGG917500:MGG917504 MGG983030:MGG983031 MGG983036:MGG983040 MQC2:MQC3 MQC8:MQC12 MQC65526:MQC65527 MQC65532:MQC65536 MQC131062:MQC131063 MQC131068:MQC131072 MQC196598:MQC196599 MQC196604:MQC196608 MQC262134:MQC262135 MQC262140:MQC262144 MQC327670:MQC327671 MQC327676:MQC327680 MQC393206:MQC393207 MQC393212:MQC393216 MQC458742:MQC458743 MQC458748:MQC458752 MQC524278:MQC524279 MQC524284:MQC524288 MQC589814:MQC589815 MQC589820:MQC589824 MQC655350:MQC655351 MQC655356:MQC655360 MQC720886:MQC720887 MQC720892:MQC720896 MQC786422:MQC786423 MQC786428:MQC786432 MQC851958:MQC851959 MQC851964:MQC851968 MQC917494:MQC917495 MQC917500:MQC917504 MQC983030:MQC983031 MQC983036:MQC983040 MZY2:MZY3 MZY8:MZY12 MZY65526:MZY65527 MZY65532:MZY65536 MZY131062:MZY131063 MZY131068:MZY131072 MZY196598:MZY196599 MZY196604:MZY196608 MZY262134:MZY262135 MZY262140:MZY262144 MZY327670:MZY327671 MZY327676:MZY327680 MZY393206:MZY393207 MZY393212:MZY393216 MZY458742:MZY458743 MZY458748:MZY458752 MZY524278:MZY524279 MZY524284:MZY524288 MZY589814:MZY589815 MZY589820:MZY589824 MZY655350:MZY655351 MZY655356:MZY655360 MZY720886:MZY720887 MZY720892:MZY720896 MZY786422:MZY786423 MZY786428:MZY786432 MZY851958:MZY851959 MZY851964:MZY851968 MZY917494:MZY917495 MZY917500:MZY917504 MZY983030:MZY983031 MZY983036:MZY983040 NJU2:NJU3 NJU8:NJU12 NJU65526:NJU65527 NJU65532:NJU65536 NJU131062:NJU131063 NJU131068:NJU131072 NJU196598:NJU196599 NJU196604:NJU196608 NJU262134:NJU262135 NJU262140:NJU262144 NJU327670:NJU327671 NJU327676:NJU327680 NJU393206:NJU393207 NJU393212:NJU393216 NJU458742:NJU458743 NJU458748:NJU458752 NJU524278:NJU524279 NJU524284:NJU524288 NJU589814:NJU589815 NJU589820:NJU589824 NJU655350:NJU655351 NJU655356:NJU655360 NJU720886:NJU720887 NJU720892:NJU720896 NJU786422:NJU786423 NJU786428:NJU786432 NJU851958:NJU851959 NJU851964:NJU851968 NJU917494:NJU917495 NJU917500:NJU917504 NJU983030:NJU983031 NJU983036:NJU983040 NTQ2:NTQ3 NTQ8:NTQ12 NTQ65526:NTQ65527 NTQ65532:NTQ65536 NTQ131062:NTQ131063 NTQ131068:NTQ131072 NTQ196598:NTQ196599 NTQ196604:NTQ196608 NTQ262134:NTQ262135 NTQ262140:NTQ262144 NTQ327670:NTQ327671 NTQ327676:NTQ327680 NTQ393206:NTQ393207 NTQ393212:NTQ393216 NTQ458742:NTQ458743 NTQ458748:NTQ458752 NTQ524278:NTQ524279 NTQ524284:NTQ524288 NTQ589814:NTQ589815 NTQ589820:NTQ589824 NTQ655350:NTQ655351 NTQ655356:NTQ655360 NTQ720886:NTQ720887 NTQ720892:NTQ720896 NTQ786422:NTQ786423 NTQ786428:NTQ786432 NTQ851958:NTQ851959 NTQ851964:NTQ851968 NTQ917494:NTQ917495 NTQ917500:NTQ917504 NTQ983030:NTQ983031 NTQ983036:NTQ983040 ODM2:ODM3 ODM8:ODM12 ODM65526:ODM65527 ODM65532:ODM65536 ODM131062:ODM131063 ODM131068:ODM131072 ODM196598:ODM196599 ODM196604:ODM196608 ODM262134:ODM262135 ODM262140:ODM262144 ODM327670:ODM327671 ODM327676:ODM327680 ODM393206:ODM393207 ODM393212:ODM393216 ODM458742:ODM458743 ODM458748:ODM458752 ODM524278:ODM524279 ODM524284:ODM524288 ODM589814:ODM589815 ODM589820:ODM589824 ODM655350:ODM655351 ODM655356:ODM655360 ODM720886:ODM720887 ODM720892:ODM720896 ODM786422:ODM786423 ODM786428:ODM786432 ODM851958:ODM851959 ODM851964:ODM851968 ODM917494:ODM917495 ODM917500:ODM917504 ODM983030:ODM983031 ODM983036:ODM983040 ONI2:ONI3 ONI8:ONI12 ONI65526:ONI65527 ONI65532:ONI65536 ONI131062:ONI131063 ONI131068:ONI131072 ONI196598:ONI196599 ONI196604:ONI196608 ONI262134:ONI262135 ONI262140:ONI262144 ONI327670:ONI327671 ONI327676:ONI327680 ONI393206:ONI393207 ONI393212:ONI393216 ONI458742:ONI458743 ONI458748:ONI458752 ONI524278:ONI524279 ONI524284:ONI524288 ONI589814:ONI589815 ONI589820:ONI589824 ONI655350:ONI655351 ONI655356:ONI655360 ONI720886:ONI720887 ONI720892:ONI720896 ONI786422:ONI786423 ONI786428:ONI786432 ONI851958:ONI851959 ONI851964:ONI851968 ONI917494:ONI917495 ONI917500:ONI917504 ONI983030:ONI983031 ONI983036:ONI983040 OXE2:OXE3 OXE8:OXE12 OXE65526:OXE65527 OXE65532:OXE65536 OXE131062:OXE131063 OXE131068:OXE131072 OXE196598:OXE196599 OXE196604:OXE196608 OXE262134:OXE262135 OXE262140:OXE262144 OXE327670:OXE327671 OXE327676:OXE327680 OXE393206:OXE393207 OXE393212:OXE393216 OXE458742:OXE458743 OXE458748:OXE458752 OXE524278:OXE524279 OXE524284:OXE524288 OXE589814:OXE589815 OXE589820:OXE589824 OXE655350:OXE655351 OXE655356:OXE655360 OXE720886:OXE720887 OXE720892:OXE720896 OXE786422:OXE786423 OXE786428:OXE786432 OXE851958:OXE851959 OXE851964:OXE851968 OXE917494:OXE917495 OXE917500:OXE917504 OXE983030:OXE983031 OXE983036:OXE983040 PHA2:PHA3 PHA8:PHA12 PHA65526:PHA65527 PHA65532:PHA65536 PHA131062:PHA131063 PHA131068:PHA131072 PHA196598:PHA196599 PHA196604:PHA196608 PHA262134:PHA262135 PHA262140:PHA262144 PHA327670:PHA327671 PHA327676:PHA327680 PHA393206:PHA393207 PHA393212:PHA393216 PHA458742:PHA458743 PHA458748:PHA458752 PHA524278:PHA524279 PHA524284:PHA524288 PHA589814:PHA589815 PHA589820:PHA589824 PHA655350:PHA655351 PHA655356:PHA655360 PHA720886:PHA720887 PHA720892:PHA720896 PHA786422:PHA786423 PHA786428:PHA786432 PHA851958:PHA851959 PHA851964:PHA851968 PHA917494:PHA917495 PHA917500:PHA917504 PHA983030:PHA983031 PHA983036:PHA983040 PQW2:PQW3 PQW8:PQW12 PQW65526:PQW65527 PQW65532:PQW65536 PQW131062:PQW131063 PQW131068:PQW131072 PQW196598:PQW196599 PQW196604:PQW196608 PQW262134:PQW262135 PQW262140:PQW262144 PQW327670:PQW327671 PQW327676:PQW327680 PQW393206:PQW393207 PQW393212:PQW393216 PQW458742:PQW458743 PQW458748:PQW458752 PQW524278:PQW524279 PQW524284:PQW524288 PQW589814:PQW589815 PQW589820:PQW589824 PQW655350:PQW655351 PQW655356:PQW655360 PQW720886:PQW720887 PQW720892:PQW720896 PQW786422:PQW786423 PQW786428:PQW786432 PQW851958:PQW851959 PQW851964:PQW851968 PQW917494:PQW917495 PQW917500:PQW917504 PQW983030:PQW983031 PQW983036:PQW983040 QAS2:QAS3 QAS8:QAS12 QAS65526:QAS65527 QAS65532:QAS65536 QAS131062:QAS131063 QAS131068:QAS131072 QAS196598:QAS196599 QAS196604:QAS196608 QAS262134:QAS262135 QAS262140:QAS262144 QAS327670:QAS327671 QAS327676:QAS327680 QAS393206:QAS393207 QAS393212:QAS393216 QAS458742:QAS458743 QAS458748:QAS458752 QAS524278:QAS524279 QAS524284:QAS524288 QAS589814:QAS589815 QAS589820:QAS589824 QAS655350:QAS655351 QAS655356:QAS655360 QAS720886:QAS720887 QAS720892:QAS720896 QAS786422:QAS786423 QAS786428:QAS786432 QAS851958:QAS851959 QAS851964:QAS851968 QAS917494:QAS917495 QAS917500:QAS917504 QAS983030:QAS983031 QAS983036:QAS983040 QKO2:QKO3 QKO8:QKO12 QKO65526:QKO65527 QKO65532:QKO65536 QKO131062:QKO131063 QKO131068:QKO131072 QKO196598:QKO196599 QKO196604:QKO196608 QKO262134:QKO262135 QKO262140:QKO262144 QKO327670:QKO327671 QKO327676:QKO327680 QKO393206:QKO393207 QKO393212:QKO393216 QKO458742:QKO458743 QKO458748:QKO458752 QKO524278:QKO524279 QKO524284:QKO524288 QKO589814:QKO589815 QKO589820:QKO589824 QKO655350:QKO655351 QKO655356:QKO655360 QKO720886:QKO720887 QKO720892:QKO720896 QKO786422:QKO786423 QKO786428:QKO786432 QKO851958:QKO851959 QKO851964:QKO851968 QKO917494:QKO917495 QKO917500:QKO917504 QKO983030:QKO983031 QKO983036:QKO983040 QUK2:QUK3 QUK8:QUK12 QUK65526:QUK65527 QUK65532:QUK65536 QUK131062:QUK131063 QUK131068:QUK131072 QUK196598:QUK196599 QUK196604:QUK196608 QUK262134:QUK262135 QUK262140:QUK262144 QUK327670:QUK327671 QUK327676:QUK327680 QUK393206:QUK393207 QUK393212:QUK393216 QUK458742:QUK458743 QUK458748:QUK458752 QUK524278:QUK524279 QUK524284:QUK524288 QUK589814:QUK589815 QUK589820:QUK589824 QUK655350:QUK655351 QUK655356:QUK655360 QUK720886:QUK720887 QUK720892:QUK720896 QUK786422:QUK786423 QUK786428:QUK786432 QUK851958:QUK851959 QUK851964:QUK851968 QUK917494:QUK917495 QUK917500:QUK917504 QUK983030:QUK983031 QUK983036:QUK983040 REG2:REG3 REG8:REG12 REG65526:REG65527 REG65532:REG65536 REG131062:REG131063 REG131068:REG131072 REG196598:REG196599 REG196604:REG196608 REG262134:REG262135 REG262140:REG262144 REG327670:REG327671 REG327676:REG327680 REG393206:REG393207 REG393212:REG393216 REG458742:REG458743 REG458748:REG458752 REG524278:REG524279 REG524284:REG524288 REG589814:REG589815 REG589820:REG589824 REG655350:REG655351 REG655356:REG655360 REG720886:REG720887 REG720892:REG720896 REG786422:REG786423 REG786428:REG786432 REG851958:REG851959 REG851964:REG851968 REG917494:REG917495 REG917500:REG917504 REG983030:REG983031 REG983036:REG983040 ROC2:ROC3 ROC8:ROC12 ROC65526:ROC65527 ROC65532:ROC65536 ROC131062:ROC131063 ROC131068:ROC131072 ROC196598:ROC196599 ROC196604:ROC196608 ROC262134:ROC262135 ROC262140:ROC262144 ROC327670:ROC327671 ROC327676:ROC327680 ROC393206:ROC393207 ROC393212:ROC393216 ROC458742:ROC458743 ROC458748:ROC458752 ROC524278:ROC524279 ROC524284:ROC524288 ROC589814:ROC589815 ROC589820:ROC589824 ROC655350:ROC655351 ROC655356:ROC655360 ROC720886:ROC720887 ROC720892:ROC720896 ROC786422:ROC786423 ROC786428:ROC786432 ROC851958:ROC851959 ROC851964:ROC851968 ROC917494:ROC917495 ROC917500:ROC917504 ROC983030:ROC983031 ROC983036:ROC983040 RXY2:RXY3 RXY8:RXY12 RXY65526:RXY65527 RXY65532:RXY65536 RXY131062:RXY131063 RXY131068:RXY131072 RXY196598:RXY196599 RXY196604:RXY196608 RXY262134:RXY262135 RXY262140:RXY262144 RXY327670:RXY327671 RXY327676:RXY327680 RXY393206:RXY393207 RXY393212:RXY393216 RXY458742:RXY458743 RXY458748:RXY458752 RXY524278:RXY524279 RXY524284:RXY524288 RXY589814:RXY589815 RXY589820:RXY589824 RXY655350:RXY655351 RXY655356:RXY655360 RXY720886:RXY720887 RXY720892:RXY720896 RXY786422:RXY786423 RXY786428:RXY786432 RXY851958:RXY851959 RXY851964:RXY851968 RXY917494:RXY917495 RXY917500:RXY917504 RXY983030:RXY983031 RXY983036:RXY983040 SHU2:SHU3 SHU8:SHU12 SHU65526:SHU65527 SHU65532:SHU65536 SHU131062:SHU131063 SHU131068:SHU131072 SHU196598:SHU196599 SHU196604:SHU196608 SHU262134:SHU262135 SHU262140:SHU262144 SHU327670:SHU327671 SHU327676:SHU327680 SHU393206:SHU393207 SHU393212:SHU393216 SHU458742:SHU458743 SHU458748:SHU458752 SHU524278:SHU524279 SHU524284:SHU524288 SHU589814:SHU589815 SHU589820:SHU589824 SHU655350:SHU655351 SHU655356:SHU655360 SHU720886:SHU720887 SHU720892:SHU720896 SHU786422:SHU786423 SHU786428:SHU786432 SHU851958:SHU851959 SHU851964:SHU851968 SHU917494:SHU917495 SHU917500:SHU917504 SHU983030:SHU983031 SHU983036:SHU983040 SRQ2:SRQ3 SRQ8:SRQ12 SRQ65526:SRQ65527 SRQ65532:SRQ65536 SRQ131062:SRQ131063 SRQ131068:SRQ131072 SRQ196598:SRQ196599 SRQ196604:SRQ196608 SRQ262134:SRQ262135 SRQ262140:SRQ262144 SRQ327670:SRQ327671 SRQ327676:SRQ327680 SRQ393206:SRQ393207 SRQ393212:SRQ393216 SRQ458742:SRQ458743 SRQ458748:SRQ458752 SRQ524278:SRQ524279 SRQ524284:SRQ524288 SRQ589814:SRQ589815 SRQ589820:SRQ589824 SRQ655350:SRQ655351 SRQ655356:SRQ655360 SRQ720886:SRQ720887 SRQ720892:SRQ720896 SRQ786422:SRQ786423 SRQ786428:SRQ786432 SRQ851958:SRQ851959 SRQ851964:SRQ851968 SRQ917494:SRQ917495 SRQ917500:SRQ917504 SRQ983030:SRQ983031 SRQ983036:SRQ983040 TBM2:TBM3 TBM8:TBM12 TBM65526:TBM65527 TBM65532:TBM65536 TBM131062:TBM131063 TBM131068:TBM131072 TBM196598:TBM196599 TBM196604:TBM196608 TBM262134:TBM262135 TBM262140:TBM262144 TBM327670:TBM327671 TBM327676:TBM327680 TBM393206:TBM393207 TBM393212:TBM393216 TBM458742:TBM458743 TBM458748:TBM458752 TBM524278:TBM524279 TBM524284:TBM524288 TBM589814:TBM589815 TBM589820:TBM589824 TBM655350:TBM655351 TBM655356:TBM655360 TBM720886:TBM720887 TBM720892:TBM720896 TBM786422:TBM786423 TBM786428:TBM786432 TBM851958:TBM851959 TBM851964:TBM851968 TBM917494:TBM917495 TBM917500:TBM917504 TBM983030:TBM983031 TBM983036:TBM983040 TLI2:TLI3 TLI8:TLI12 TLI65526:TLI65527 TLI65532:TLI65536 TLI131062:TLI131063 TLI131068:TLI131072 TLI196598:TLI196599 TLI196604:TLI196608 TLI262134:TLI262135 TLI262140:TLI262144 TLI327670:TLI327671 TLI327676:TLI327680 TLI393206:TLI393207 TLI393212:TLI393216 TLI458742:TLI458743 TLI458748:TLI458752 TLI524278:TLI524279 TLI524284:TLI524288 TLI589814:TLI589815 TLI589820:TLI589824 TLI655350:TLI655351 TLI655356:TLI655360 TLI720886:TLI720887 TLI720892:TLI720896 TLI786422:TLI786423 TLI786428:TLI786432 TLI851958:TLI851959 TLI851964:TLI851968 TLI917494:TLI917495 TLI917500:TLI917504 TLI983030:TLI983031 TLI983036:TLI983040 TVE2:TVE3 TVE8:TVE12 TVE65526:TVE65527 TVE65532:TVE65536 TVE131062:TVE131063 TVE131068:TVE131072 TVE196598:TVE196599 TVE196604:TVE196608 TVE262134:TVE262135 TVE262140:TVE262144 TVE327670:TVE327671 TVE327676:TVE327680 TVE393206:TVE393207 TVE393212:TVE393216 TVE458742:TVE458743 TVE458748:TVE458752 TVE524278:TVE524279 TVE524284:TVE524288 TVE589814:TVE589815 TVE589820:TVE589824 TVE655350:TVE655351 TVE655356:TVE655360 TVE720886:TVE720887 TVE720892:TVE720896 TVE786422:TVE786423 TVE786428:TVE786432 TVE851958:TVE851959 TVE851964:TVE851968 TVE917494:TVE917495 TVE917500:TVE917504 TVE983030:TVE983031 TVE983036:TVE983040 UFA2:UFA3 UFA8:UFA12 UFA65526:UFA65527 UFA65532:UFA65536 UFA131062:UFA131063 UFA131068:UFA131072 UFA196598:UFA196599 UFA196604:UFA196608 UFA262134:UFA262135 UFA262140:UFA262144 UFA327670:UFA327671 UFA327676:UFA327680 UFA393206:UFA393207 UFA393212:UFA393216 UFA458742:UFA458743 UFA458748:UFA458752 UFA524278:UFA524279 UFA524284:UFA524288 UFA589814:UFA589815 UFA589820:UFA589824 UFA655350:UFA655351 UFA655356:UFA655360 UFA720886:UFA720887 UFA720892:UFA720896 UFA786422:UFA786423 UFA786428:UFA786432 UFA851958:UFA851959 UFA851964:UFA851968 UFA917494:UFA917495 UFA917500:UFA917504 UFA983030:UFA983031 UFA983036:UFA983040 UOW2:UOW3 UOW8:UOW12 UOW65526:UOW65527 UOW65532:UOW65536 UOW131062:UOW131063 UOW131068:UOW131072 UOW196598:UOW196599 UOW196604:UOW196608 UOW262134:UOW262135 UOW262140:UOW262144 UOW327670:UOW327671 UOW327676:UOW327680 UOW393206:UOW393207 UOW393212:UOW393216 UOW458742:UOW458743 UOW458748:UOW458752 UOW524278:UOW524279 UOW524284:UOW524288 UOW589814:UOW589815 UOW589820:UOW589824 UOW655350:UOW655351 UOW655356:UOW655360 UOW720886:UOW720887 UOW720892:UOW720896 UOW786422:UOW786423 UOW786428:UOW786432 UOW851958:UOW851959 UOW851964:UOW851968 UOW917494:UOW917495 UOW917500:UOW917504 UOW983030:UOW983031 UOW983036:UOW983040 UYS2:UYS3 UYS8:UYS12 UYS65526:UYS65527 UYS65532:UYS65536 UYS131062:UYS131063 UYS131068:UYS131072 UYS196598:UYS196599 UYS196604:UYS196608 UYS262134:UYS262135 UYS262140:UYS262144 UYS327670:UYS327671 UYS327676:UYS327680 UYS393206:UYS393207 UYS393212:UYS393216 UYS458742:UYS458743 UYS458748:UYS458752 UYS524278:UYS524279 UYS524284:UYS524288 UYS589814:UYS589815 UYS589820:UYS589824 UYS655350:UYS655351 UYS655356:UYS655360 UYS720886:UYS720887 UYS720892:UYS720896 UYS786422:UYS786423 UYS786428:UYS786432 UYS851958:UYS851959 UYS851964:UYS851968 UYS917494:UYS917495 UYS917500:UYS917504 UYS983030:UYS983031 UYS983036:UYS983040 VIO2:VIO3 VIO8:VIO12 VIO65526:VIO65527 VIO65532:VIO65536 VIO131062:VIO131063 VIO131068:VIO131072 VIO196598:VIO196599 VIO196604:VIO196608 VIO262134:VIO262135 VIO262140:VIO262144 VIO327670:VIO327671 VIO327676:VIO327680 VIO393206:VIO393207 VIO393212:VIO393216 VIO458742:VIO458743 VIO458748:VIO458752 VIO524278:VIO524279 VIO524284:VIO524288 VIO589814:VIO589815 VIO589820:VIO589824 VIO655350:VIO655351 VIO655356:VIO655360 VIO720886:VIO720887 VIO720892:VIO720896 VIO786422:VIO786423 VIO786428:VIO786432 VIO851958:VIO851959 VIO851964:VIO851968 VIO917494:VIO917495 VIO917500:VIO917504 VIO983030:VIO983031 VIO983036:VIO983040 VSK2:VSK3 VSK8:VSK12 VSK65526:VSK65527 VSK65532:VSK65536 VSK131062:VSK131063 VSK131068:VSK131072 VSK196598:VSK196599 VSK196604:VSK196608 VSK262134:VSK262135 VSK262140:VSK262144 VSK327670:VSK327671 VSK327676:VSK327680 VSK393206:VSK393207 VSK393212:VSK393216 VSK458742:VSK458743 VSK458748:VSK458752 VSK524278:VSK524279 VSK524284:VSK524288 VSK589814:VSK589815 VSK589820:VSK589824 VSK655350:VSK655351 VSK655356:VSK655360 VSK720886:VSK720887 VSK720892:VSK720896 VSK786422:VSK786423 VSK786428:VSK786432 VSK851958:VSK851959 VSK851964:VSK851968 VSK917494:VSK917495 VSK917500:VSK917504 VSK983030:VSK983031 VSK983036:VSK983040 WCG2:WCG3 WCG8:WCG12 WCG65526:WCG65527 WCG65532:WCG65536 WCG131062:WCG131063 WCG131068:WCG131072 WCG196598:WCG196599 WCG196604:WCG196608 WCG262134:WCG262135 WCG262140:WCG262144 WCG327670:WCG327671 WCG327676:WCG327680 WCG393206:WCG393207 WCG393212:WCG393216 WCG458742:WCG458743 WCG458748:WCG458752 WCG524278:WCG524279 WCG524284:WCG524288 WCG589814:WCG589815 WCG589820:WCG589824 WCG655350:WCG655351 WCG655356:WCG655360 WCG720886:WCG720887 WCG720892:WCG720896 WCG786422:WCG786423 WCG786428:WCG786432 WCG851958:WCG851959 WCG851964:WCG851968 WCG917494:WCG917495 WCG917500:WCG917504 WCG983030:WCG983031 WCG983036:WCG983040 WMC2:WMC3 WMC8:WMC12 WMC65526:WMC65527 WMC65532:WMC65536 WMC131062:WMC131063 WMC131068:WMC131072 WMC196598:WMC196599 WMC196604:WMC196608 WMC262134:WMC262135 WMC262140:WMC262144 WMC327670:WMC327671 WMC327676:WMC327680 WMC393206:WMC393207 WMC393212:WMC393216 WMC458742:WMC458743 WMC458748:WMC458752 WMC524278:WMC524279 WMC524284:WMC524288 WMC589814:WMC589815 WMC589820:WMC589824 WMC655350:WMC655351 WMC655356:WMC655360 WMC720886:WMC720887 WMC720892:WMC720896 WMC786422:WMC786423 WMC786428:WMC786432 WMC851958:WMC851959 WMC851964:WMC851968 WMC917494:WMC917495 WMC917500:WMC917504 WMC983030:WMC983031 WMC983036:WMC983040 WVY2:WVY3 WVY8:WVY12 WVY65526:WVY65527 WVY65532:WVY65536 WVY131062:WVY131063 WVY131068:WVY131072 WVY196598:WVY196599 WVY196604:WVY196608 WVY262134:WVY262135 WVY262140:WVY262144 WVY327670:WVY327671 WVY327676:WVY327680 WVY393206:WVY393207 WVY393212:WVY393216 WVY458742:WVY458743 WVY458748:WVY458752 WVY524278:WVY524279 WVY524284:WVY524288 WVY589814:WVY589815 WVY589820:WVY589824 WVY655350:WVY655351 WVY655356:WVY655360 WVY720886:WVY720887 WVY720892:WVY720896 WVY786422:WVY786423 WVY786428:WVY786432 WVY851958:WVY851959 WVY851964:WVY851968 WVY917494:WVY917495 WVY917500:WVY917504 WVY983030:WVY983031 WVY983036:WVY983040" xr:uid="{00000000-0002-0000-0700-00001B000000}"/>
  </dataValidations>
  <printOptions horizontalCentered="1" verticalCentered="1"/>
  <pageMargins left="0.78740157480314965" right="0.78740157480314965" top="0.98425196850393704" bottom="0.98425196850393704" header="0.51181102362204722" footer="0.51181102362204722"/>
  <pageSetup paperSize="9" scale="77" orientation="landscape" r:id="rId1"/>
  <headerFooter alignWithMargins="0">
    <oddHeader>&amp;L&amp;C&amp;R</oddHeader>
    <oddFooter>&amp;L&amp;D&amp;C&amp;F&amp;RSeite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0AA79-DA0B-4635-9C56-ECB2E0F9B04D}">
  <sheetPr codeName="Sheet14">
    <tabColor rgb="FF9CD9F0"/>
    <pageSetUpPr fitToPage="1"/>
  </sheetPr>
  <dimension ref="A1:AR37"/>
  <sheetViews>
    <sheetView workbookViewId="0">
      <selection activeCell="A38" sqref="A38:XFD46"/>
    </sheetView>
  </sheetViews>
  <sheetFormatPr baseColWidth="10" defaultColWidth="11.42578125" defaultRowHeight="12" outlineLevelCol="1"/>
  <cols>
    <col min="1" max="1" width="11.28515625" style="378" customWidth="1"/>
    <col min="2" max="2" width="15.28515625" style="114" customWidth="1"/>
    <col min="3" max="3" width="3.7109375" style="115" hidden="1" customWidth="1" outlineLevel="1"/>
    <col min="4" max="4" width="4.140625" style="378" hidden="1" customWidth="1" outlineLevel="1"/>
    <col min="5" max="5" width="4" style="378" hidden="1" customWidth="1" outlineLevel="1"/>
    <col min="6" max="6" width="73.140625" style="370"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4.7109375" style="179" hidden="1" customWidth="1" outlineLevel="1"/>
    <col min="17" max="17" width="10.7109375" style="212" customWidth="1" collapsed="1"/>
    <col min="18" max="18" width="13.85546875" style="212" customWidth="1"/>
    <col min="19" max="19" width="10.7109375" style="212" customWidth="1"/>
    <col min="20" max="21" width="8.7109375" style="212" customWidth="1"/>
    <col min="22" max="23" width="6.7109375" style="212" customWidth="1"/>
    <col min="24" max="24" width="30.7109375" style="407" customWidth="1"/>
    <col min="25" max="25" width="4.140625" style="407" customWidth="1"/>
    <col min="26" max="26" width="4.42578125" style="407" customWidth="1"/>
    <col min="27" max="27" width="4.28515625" style="407" customWidth="1"/>
    <col min="28" max="28" width="4" style="407" customWidth="1"/>
    <col min="29" max="29" width="3.7109375" style="407" customWidth="1"/>
    <col min="30" max="30" width="4.28515625" style="407" customWidth="1"/>
    <col min="31" max="31" width="3.42578125" style="407" hidden="1" customWidth="1" outlineLevel="1"/>
    <col min="32" max="32" width="4.7109375" style="378" hidden="1" customWidth="1" outlineLevel="1"/>
    <col min="33" max="34" width="5.42578125" style="378" hidden="1" customWidth="1" outlineLevel="1"/>
    <col min="35" max="35" width="14.85546875" style="378" hidden="1" customWidth="1" outlineLevel="1"/>
    <col min="36" max="36" width="4.28515625" style="378" hidden="1" customWidth="1" outlineLevel="1"/>
    <col min="37" max="39" width="4.42578125" style="378" hidden="1" customWidth="1" outlineLevel="1"/>
    <col min="40" max="40" width="4.28515625" style="378" hidden="1" customWidth="1" outlineLevel="1"/>
    <col min="41" max="41" width="4.42578125" style="378" hidden="1" customWidth="1" outlineLevel="1"/>
    <col min="42" max="42" width="11.42578125" style="399" customWidth="1" collapsed="1"/>
    <col min="43" max="43" width="17.42578125" style="207" customWidth="1"/>
    <col min="44" max="44" width="11.42578125" style="207" customWidth="1"/>
    <col min="45" max="46" width="11.42578125" style="399" customWidth="1"/>
    <col min="47" max="16384" width="11.42578125" style="399"/>
  </cols>
  <sheetData>
    <row r="1" spans="1:44">
      <c r="A1" s="77"/>
      <c r="B1" s="78"/>
      <c r="C1" s="79"/>
      <c r="D1" s="77"/>
      <c r="E1" s="77"/>
      <c r="F1" s="80" t="s">
        <v>65</v>
      </c>
      <c r="G1" s="77"/>
      <c r="H1" s="77"/>
      <c r="I1" s="77"/>
      <c r="J1" s="77"/>
      <c r="K1" s="77"/>
      <c r="L1" s="330">
        <v>264069</v>
      </c>
      <c r="M1" s="81"/>
      <c r="N1" s="81"/>
      <c r="O1" s="81"/>
      <c r="X1" s="378"/>
      <c r="Y1" s="1586"/>
      <c r="Z1" s="1581"/>
      <c r="AA1" s="1581"/>
      <c r="AB1" s="1581"/>
      <c r="AC1" s="1581"/>
      <c r="AD1" s="1581"/>
      <c r="AE1" s="406"/>
      <c r="AF1" s="406"/>
      <c r="AG1" s="406"/>
      <c r="AH1" s="406"/>
      <c r="AI1" s="406"/>
    </row>
    <row r="2" spans="1:44">
      <c r="A2" s="77"/>
      <c r="B2" s="82"/>
      <c r="C2" s="79" t="s">
        <v>67</v>
      </c>
      <c r="D2" s="82">
        <v>3503</v>
      </c>
      <c r="E2" s="82">
        <v>3504</v>
      </c>
      <c r="F2" s="82">
        <v>3702</v>
      </c>
      <c r="G2" s="82">
        <v>3703</v>
      </c>
      <c r="H2" s="82">
        <v>3506</v>
      </c>
      <c r="I2" s="82">
        <v>3507</v>
      </c>
      <c r="J2" s="82">
        <v>3508</v>
      </c>
      <c r="K2" s="82">
        <v>3706</v>
      </c>
      <c r="L2" s="82">
        <v>3707</v>
      </c>
      <c r="M2" s="419">
        <v>3708</v>
      </c>
      <c r="N2" s="419">
        <v>3709</v>
      </c>
      <c r="O2" s="420">
        <v>3792</v>
      </c>
      <c r="Q2" s="253"/>
      <c r="R2" s="253"/>
      <c r="S2" s="253"/>
      <c r="T2" s="253"/>
      <c r="U2" s="253"/>
      <c r="V2" s="253"/>
      <c r="W2" s="253"/>
      <c r="X2" s="406"/>
      <c r="Y2" s="406"/>
      <c r="Z2" s="406"/>
      <c r="AA2" s="406"/>
      <c r="AB2" s="406"/>
      <c r="AC2" s="406"/>
      <c r="AD2" s="406"/>
      <c r="AE2" s="406"/>
    </row>
    <row r="3" spans="1:44" ht="96" customHeight="1">
      <c r="A3" s="83" t="s">
        <v>68</v>
      </c>
      <c r="B3" s="84"/>
      <c r="C3" s="79">
        <v>401</v>
      </c>
      <c r="D3" s="85" t="s">
        <v>69</v>
      </c>
      <c r="E3" s="85" t="s">
        <v>70</v>
      </c>
      <c r="F3" s="86" t="s">
        <v>71</v>
      </c>
      <c r="G3" s="85" t="s">
        <v>72</v>
      </c>
      <c r="H3" s="85" t="s">
        <v>73</v>
      </c>
      <c r="I3" s="85" t="s">
        <v>74</v>
      </c>
      <c r="J3" s="85" t="s">
        <v>75</v>
      </c>
      <c r="K3" s="85" t="s">
        <v>76</v>
      </c>
      <c r="L3" s="87" t="s">
        <v>2197</v>
      </c>
      <c r="M3" s="422" t="s">
        <v>78</v>
      </c>
      <c r="N3" s="422" t="s">
        <v>79</v>
      </c>
      <c r="O3" s="423" t="s">
        <v>80</v>
      </c>
      <c r="Q3" s="210" t="s">
        <v>2198</v>
      </c>
      <c r="R3" s="210" t="s">
        <v>2199</v>
      </c>
      <c r="S3" s="210" t="s">
        <v>2200</v>
      </c>
      <c r="T3" s="210" t="s">
        <v>2201</v>
      </c>
      <c r="U3" s="210" t="s">
        <v>2202</v>
      </c>
      <c r="V3" s="210" t="s">
        <v>2033</v>
      </c>
      <c r="W3" s="210" t="s">
        <v>2203</v>
      </c>
      <c r="X3" s="97" t="s">
        <v>363</v>
      </c>
      <c r="Y3" s="98" t="s">
        <v>364</v>
      </c>
      <c r="Z3" s="98" t="s">
        <v>365</v>
      </c>
      <c r="AA3" s="98" t="s">
        <v>366</v>
      </c>
      <c r="AB3" s="98" t="s">
        <v>367</v>
      </c>
      <c r="AC3" s="98" t="s">
        <v>368</v>
      </c>
      <c r="AD3" s="98" t="s">
        <v>369</v>
      </c>
      <c r="AE3" s="99" t="s">
        <v>88</v>
      </c>
      <c r="AF3" s="99" t="s">
        <v>370</v>
      </c>
      <c r="AG3" s="99" t="s">
        <v>90</v>
      </c>
      <c r="AH3" s="99" t="s">
        <v>91</v>
      </c>
      <c r="AI3" s="99" t="s">
        <v>371</v>
      </c>
      <c r="AJ3" s="100" t="s">
        <v>364</v>
      </c>
      <c r="AK3" s="100" t="s">
        <v>365</v>
      </c>
      <c r="AL3" s="100" t="s">
        <v>366</v>
      </c>
      <c r="AM3" s="100" t="s">
        <v>367</v>
      </c>
      <c r="AN3" s="100" t="s">
        <v>368</v>
      </c>
      <c r="AO3" s="100" t="s">
        <v>369</v>
      </c>
      <c r="AQ3" s="207" t="s">
        <v>2170</v>
      </c>
    </row>
    <row r="4" spans="1:44" ht="12.75" customHeight="1">
      <c r="A4" s="77"/>
      <c r="B4" s="84"/>
      <c r="C4" s="79">
        <v>662</v>
      </c>
      <c r="D4" s="86"/>
      <c r="E4" s="86"/>
      <c r="F4" s="86" t="s">
        <v>72</v>
      </c>
      <c r="G4" s="86"/>
      <c r="H4" s="86"/>
      <c r="I4" s="86"/>
      <c r="J4" s="86"/>
      <c r="K4" s="86"/>
      <c r="L4" s="87" t="s">
        <v>103</v>
      </c>
      <c r="M4" s="425"/>
      <c r="N4" s="425"/>
      <c r="O4" s="426"/>
      <c r="Q4" s="210" t="s">
        <v>103</v>
      </c>
      <c r="R4" s="210" t="s">
        <v>103</v>
      </c>
      <c r="S4" s="210" t="s">
        <v>103</v>
      </c>
      <c r="T4" s="210"/>
      <c r="U4" s="210"/>
      <c r="V4" s="210"/>
      <c r="W4" s="210"/>
      <c r="X4" s="101"/>
      <c r="Y4" s="102" t="s">
        <v>94</v>
      </c>
      <c r="Z4" s="97"/>
      <c r="AA4" s="97"/>
      <c r="AB4" s="97"/>
      <c r="AC4" s="97"/>
      <c r="AD4" s="97"/>
      <c r="AE4" s="103"/>
      <c r="AF4" s="103"/>
      <c r="AG4" s="103" t="s">
        <v>95</v>
      </c>
      <c r="AH4" s="103" t="s">
        <v>95</v>
      </c>
      <c r="AI4" s="104"/>
      <c r="AJ4" s="105"/>
      <c r="AK4" s="105"/>
      <c r="AL4" s="105"/>
      <c r="AM4" s="105"/>
      <c r="AN4" s="105"/>
      <c r="AO4" s="105"/>
      <c r="AQ4" s="207" t="s">
        <v>2204</v>
      </c>
      <c r="AR4" s="207" t="s">
        <v>2205</v>
      </c>
    </row>
    <row r="5" spans="1:44">
      <c r="A5" s="77"/>
      <c r="B5" s="84"/>
      <c r="C5" s="79">
        <v>493</v>
      </c>
      <c r="D5" s="86"/>
      <c r="E5" s="86"/>
      <c r="F5" s="86" t="s">
        <v>75</v>
      </c>
      <c r="G5" s="86"/>
      <c r="H5" s="86"/>
      <c r="I5" s="86"/>
      <c r="J5" s="86"/>
      <c r="K5" s="86"/>
      <c r="L5" s="87">
        <v>0</v>
      </c>
      <c r="M5" s="425"/>
      <c r="N5" s="425"/>
      <c r="O5" s="426"/>
      <c r="Q5" s="210"/>
      <c r="R5" s="210"/>
      <c r="S5" s="210"/>
      <c r="T5" s="210"/>
      <c r="U5" s="210"/>
      <c r="V5" s="210"/>
      <c r="W5" s="210"/>
      <c r="X5" s="101"/>
      <c r="Y5" s="97"/>
      <c r="Z5" s="97"/>
      <c r="AA5" s="97"/>
      <c r="AB5" s="97"/>
      <c r="AC5" s="97"/>
      <c r="AD5" s="97"/>
      <c r="AE5" s="104"/>
      <c r="AF5" s="104"/>
      <c r="AG5" s="104"/>
      <c r="AH5" s="104"/>
      <c r="AI5" s="104"/>
      <c r="AJ5" s="105"/>
      <c r="AK5" s="105"/>
      <c r="AL5" s="105"/>
      <c r="AM5" s="105"/>
      <c r="AN5" s="105"/>
      <c r="AO5" s="105"/>
    </row>
    <row r="6" spans="1:44">
      <c r="A6" s="77"/>
      <c r="B6" s="84"/>
      <c r="C6" s="79">
        <v>403</v>
      </c>
      <c r="D6" s="86"/>
      <c r="E6" s="86"/>
      <c r="F6" s="86" t="s">
        <v>76</v>
      </c>
      <c r="G6" s="86"/>
      <c r="H6" s="86"/>
      <c r="I6" s="86"/>
      <c r="J6" s="86"/>
      <c r="K6" s="86"/>
      <c r="L6" s="87" t="s">
        <v>109</v>
      </c>
      <c r="M6" s="425"/>
      <c r="N6" s="425"/>
      <c r="O6" s="426"/>
      <c r="Q6" s="210" t="s">
        <v>1318</v>
      </c>
      <c r="R6" s="210" t="s">
        <v>98</v>
      </c>
      <c r="S6" s="210" t="s">
        <v>2206</v>
      </c>
      <c r="T6" s="210" t="s">
        <v>98</v>
      </c>
      <c r="U6" s="210" t="s">
        <v>2207</v>
      </c>
      <c r="V6" s="210" t="s">
        <v>1318</v>
      </c>
      <c r="W6" s="210" t="s">
        <v>679</v>
      </c>
      <c r="X6" s="101"/>
      <c r="Y6" s="106"/>
      <c r="Z6" s="106"/>
      <c r="AA6" s="106"/>
      <c r="AB6" s="106"/>
      <c r="AC6" s="106"/>
      <c r="AD6" s="106"/>
      <c r="AE6" s="104"/>
      <c r="AF6" s="104"/>
      <c r="AG6" s="428"/>
      <c r="AH6" s="428"/>
      <c r="AI6" s="107"/>
      <c r="AJ6" s="105"/>
      <c r="AK6" s="105"/>
      <c r="AL6" s="105"/>
      <c r="AM6" s="105"/>
      <c r="AN6" s="105"/>
      <c r="AO6" s="105"/>
      <c r="AQ6" s="207" t="s">
        <v>1318</v>
      </c>
      <c r="AR6" s="207" t="s">
        <v>2206</v>
      </c>
    </row>
    <row r="7" spans="1:44" ht="12" customHeight="1">
      <c r="A7" s="330">
        <v>264069</v>
      </c>
      <c r="B7" s="331"/>
      <c r="C7" s="88"/>
      <c r="D7" s="294" t="s">
        <v>98</v>
      </c>
      <c r="E7" s="295">
        <v>0</v>
      </c>
      <c r="F7" s="429" t="s">
        <v>2197</v>
      </c>
      <c r="G7" s="430" t="s">
        <v>103</v>
      </c>
      <c r="H7" s="431" t="s">
        <v>98</v>
      </c>
      <c r="I7" s="431" t="s">
        <v>98</v>
      </c>
      <c r="J7" s="89">
        <v>0</v>
      </c>
      <c r="K7" s="430" t="s">
        <v>109</v>
      </c>
      <c r="L7" s="90">
        <v>1</v>
      </c>
      <c r="M7" s="91"/>
      <c r="N7" s="92"/>
      <c r="O7" s="93"/>
      <c r="Q7" s="505"/>
      <c r="R7" s="505"/>
      <c r="S7" s="505"/>
      <c r="T7" s="505"/>
      <c r="U7" s="211"/>
      <c r="V7" s="211"/>
      <c r="W7" s="505"/>
      <c r="X7" s="101"/>
      <c r="Y7" s="97"/>
      <c r="Z7" s="97"/>
      <c r="AA7" s="97"/>
      <c r="AB7" s="97"/>
      <c r="AC7" s="97"/>
      <c r="AD7" s="97"/>
      <c r="AE7" s="104"/>
      <c r="AF7" s="104"/>
      <c r="AG7" s="104"/>
      <c r="AH7" s="104"/>
      <c r="AI7" s="104"/>
      <c r="AJ7" s="104"/>
      <c r="AK7" s="104"/>
      <c r="AL7" s="104"/>
      <c r="AM7" s="104"/>
      <c r="AN7" s="104"/>
      <c r="AO7" s="104"/>
      <c r="AQ7" s="208">
        <v>0.99999999999999967</v>
      </c>
    </row>
    <row r="8" spans="1:44" ht="12" customHeight="1">
      <c r="A8" s="330">
        <v>82305</v>
      </c>
      <c r="B8" s="331" t="s">
        <v>2208</v>
      </c>
      <c r="C8" s="88"/>
      <c r="D8" s="340">
        <v>4</v>
      </c>
      <c r="E8" s="341" t="s">
        <v>98</v>
      </c>
      <c r="F8" s="432" t="s">
        <v>2209</v>
      </c>
      <c r="G8" s="433" t="s">
        <v>98</v>
      </c>
      <c r="H8" s="434" t="s">
        <v>218</v>
      </c>
      <c r="I8" s="434" t="s">
        <v>2210</v>
      </c>
      <c r="J8" s="94" t="s">
        <v>98</v>
      </c>
      <c r="K8" s="433" t="s">
        <v>104</v>
      </c>
      <c r="L8" s="435">
        <v>3.8502673796791442</v>
      </c>
      <c r="M8" s="95">
        <v>1</v>
      </c>
      <c r="N8" s="96">
        <v>1.0906744032152329</v>
      </c>
      <c r="O8" s="432" t="s">
        <v>2269</v>
      </c>
      <c r="Q8" s="505"/>
      <c r="R8" s="505"/>
      <c r="S8" s="505"/>
      <c r="T8" s="505"/>
      <c r="U8" s="211"/>
      <c r="V8" s="211"/>
      <c r="X8" s="77" t="s">
        <v>2211</v>
      </c>
      <c r="Y8" s="339">
        <v>2</v>
      </c>
      <c r="Z8" s="339">
        <v>2</v>
      </c>
      <c r="AA8" s="339">
        <v>1</v>
      </c>
      <c r="AB8" s="339">
        <v>1</v>
      </c>
      <c r="AC8" s="339">
        <v>1</v>
      </c>
      <c r="AD8" s="339">
        <v>3</v>
      </c>
      <c r="AE8" s="104">
        <v>11</v>
      </c>
      <c r="AF8" s="104">
        <v>1.05</v>
      </c>
      <c r="AG8" s="107">
        <v>1.0744244531716256</v>
      </c>
      <c r="AH8" s="107">
        <v>1.0906744032152329</v>
      </c>
      <c r="AI8" s="107" t="s">
        <v>2270</v>
      </c>
      <c r="AJ8" s="108">
        <v>1.05</v>
      </c>
      <c r="AK8" s="108">
        <v>1.02</v>
      </c>
      <c r="AL8" s="108">
        <v>1</v>
      </c>
      <c r="AM8" s="108">
        <v>1</v>
      </c>
      <c r="AN8" s="108">
        <v>1</v>
      </c>
      <c r="AO8" s="108">
        <v>1.05</v>
      </c>
    </row>
    <row r="9" spans="1:44" ht="12" customHeight="1">
      <c r="A9" s="330">
        <v>261010</v>
      </c>
      <c r="B9" s="331" t="s">
        <v>221</v>
      </c>
      <c r="C9" s="88"/>
      <c r="D9" s="340">
        <v>5</v>
      </c>
      <c r="E9" s="341" t="s">
        <v>98</v>
      </c>
      <c r="F9" s="432" t="s">
        <v>2212</v>
      </c>
      <c r="G9" s="433" t="s">
        <v>103</v>
      </c>
      <c r="H9" s="434" t="s">
        <v>98</v>
      </c>
      <c r="I9" s="434" t="s">
        <v>98</v>
      </c>
      <c r="J9" s="94">
        <v>0</v>
      </c>
      <c r="K9" s="433" t="s">
        <v>96</v>
      </c>
      <c r="L9" s="435">
        <v>3.3850992799046636E-3</v>
      </c>
      <c r="M9" s="95">
        <v>1</v>
      </c>
      <c r="N9" s="96">
        <v>1.0906744032152329</v>
      </c>
      <c r="O9" s="432" t="s">
        <v>3098</v>
      </c>
      <c r="Q9" s="505"/>
      <c r="R9" s="505"/>
      <c r="S9" s="505"/>
      <c r="T9" s="505"/>
      <c r="U9" s="211"/>
      <c r="V9" s="211"/>
      <c r="X9" s="77" t="s">
        <v>2213</v>
      </c>
      <c r="Y9" s="339">
        <v>2</v>
      </c>
      <c r="Z9" s="339">
        <v>2</v>
      </c>
      <c r="AA9" s="339">
        <v>1</v>
      </c>
      <c r="AB9" s="339">
        <v>1</v>
      </c>
      <c r="AC9" s="339">
        <v>1</v>
      </c>
      <c r="AD9" s="339">
        <v>3</v>
      </c>
      <c r="AE9" s="104">
        <v>3</v>
      </c>
      <c r="AF9" s="104">
        <v>1.05</v>
      </c>
      <c r="AG9" s="107">
        <v>1.0744244531716256</v>
      </c>
      <c r="AH9" s="107">
        <v>1.0906744032152329</v>
      </c>
      <c r="AI9" s="107" t="s">
        <v>2270</v>
      </c>
      <c r="AJ9" s="108">
        <v>1.05</v>
      </c>
      <c r="AK9" s="108">
        <v>1.02</v>
      </c>
      <c r="AL9" s="108">
        <v>1</v>
      </c>
      <c r="AM9" s="108">
        <v>1</v>
      </c>
      <c r="AN9" s="108">
        <v>1</v>
      </c>
      <c r="AO9" s="108">
        <v>1.05</v>
      </c>
    </row>
    <row r="10" spans="1:44" ht="12" customHeight="1">
      <c r="A10" s="330">
        <v>269349</v>
      </c>
      <c r="B10" s="331"/>
      <c r="C10" s="88"/>
      <c r="D10" s="340">
        <v>5</v>
      </c>
      <c r="E10" s="341" t="s">
        <v>98</v>
      </c>
      <c r="F10" s="432" t="s">
        <v>1226</v>
      </c>
      <c r="G10" s="433" t="s">
        <v>103</v>
      </c>
      <c r="H10" s="434" t="s">
        <v>98</v>
      </c>
      <c r="I10" s="434" t="s">
        <v>98</v>
      </c>
      <c r="J10" s="94">
        <v>0</v>
      </c>
      <c r="K10" s="433" t="s">
        <v>119</v>
      </c>
      <c r="L10" s="435">
        <v>3.0465893519141974E-6</v>
      </c>
      <c r="M10" s="95">
        <v>1</v>
      </c>
      <c r="N10" s="96">
        <v>1.0906744032152329</v>
      </c>
      <c r="O10" s="432" t="s">
        <v>3098</v>
      </c>
      <c r="Q10" s="505"/>
      <c r="R10" s="505"/>
      <c r="S10" s="505"/>
      <c r="T10" s="505"/>
      <c r="U10" s="211"/>
      <c r="V10" s="211"/>
      <c r="X10" s="77" t="s">
        <v>2213</v>
      </c>
      <c r="Y10" s="339">
        <v>2</v>
      </c>
      <c r="Z10" s="339">
        <v>2</v>
      </c>
      <c r="AA10" s="339">
        <v>1</v>
      </c>
      <c r="AB10" s="339">
        <v>1</v>
      </c>
      <c r="AC10" s="339">
        <v>1</v>
      </c>
      <c r="AD10" s="339">
        <v>3</v>
      </c>
      <c r="AE10" s="104">
        <v>6</v>
      </c>
      <c r="AF10" s="104">
        <v>1.05</v>
      </c>
      <c r="AG10" s="107">
        <v>1.0744244531716256</v>
      </c>
      <c r="AH10" s="107">
        <v>1.0906744032152329</v>
      </c>
      <c r="AI10" s="107" t="s">
        <v>2270</v>
      </c>
      <c r="AJ10" s="108">
        <v>1.05</v>
      </c>
      <c r="AK10" s="108">
        <v>1.02</v>
      </c>
      <c r="AL10" s="108">
        <v>1</v>
      </c>
      <c r="AM10" s="108">
        <v>1</v>
      </c>
      <c r="AN10" s="108">
        <v>1</v>
      </c>
      <c r="AO10" s="108">
        <v>1.05</v>
      </c>
      <c r="AQ10" s="208"/>
    </row>
    <row r="11" spans="1:44" ht="12" customHeight="1" collapsed="1">
      <c r="A11" s="330" t="s">
        <v>1832</v>
      </c>
      <c r="B11" s="331"/>
      <c r="C11" s="88"/>
      <c r="D11" s="340">
        <v>5</v>
      </c>
      <c r="E11" s="341" t="s">
        <v>98</v>
      </c>
      <c r="F11" s="432" t="s">
        <v>1837</v>
      </c>
      <c r="G11" s="433" t="s">
        <v>154</v>
      </c>
      <c r="H11" s="434" t="s">
        <v>98</v>
      </c>
      <c r="I11" s="434" t="s">
        <v>98</v>
      </c>
      <c r="J11" s="94">
        <v>1</v>
      </c>
      <c r="K11" s="433" t="s">
        <v>144</v>
      </c>
      <c r="L11" s="435">
        <v>3.1793706446052042E-8</v>
      </c>
      <c r="M11" s="95">
        <v>1</v>
      </c>
      <c r="N11" s="96">
        <v>1.2365959919080913</v>
      </c>
      <c r="O11" s="432" t="s">
        <v>3099</v>
      </c>
      <c r="Q11" s="278">
        <v>0.22033865638766501</v>
      </c>
      <c r="R11" s="505" t="s">
        <v>2039</v>
      </c>
      <c r="S11" s="213">
        <v>924.03468492121601</v>
      </c>
      <c r="T11" s="505" t="s">
        <v>2214</v>
      </c>
      <c r="U11" s="211">
        <v>250</v>
      </c>
      <c r="V11" s="506">
        <v>0.22616666666666699</v>
      </c>
      <c r="W11" s="212">
        <v>1105.3795136330125</v>
      </c>
      <c r="X11" s="77" t="s">
        <v>2215</v>
      </c>
      <c r="Y11" s="339">
        <v>3</v>
      </c>
      <c r="Z11" s="339">
        <v>2</v>
      </c>
      <c r="AA11" s="339">
        <v>1</v>
      </c>
      <c r="AB11" s="339">
        <v>1</v>
      </c>
      <c r="AC11" s="339">
        <v>1</v>
      </c>
      <c r="AD11" s="339">
        <v>3</v>
      </c>
      <c r="AE11" s="104">
        <v>9</v>
      </c>
      <c r="AF11" s="104">
        <v>1.2</v>
      </c>
      <c r="AG11" s="107">
        <v>1.1150377561073679</v>
      </c>
      <c r="AH11" s="107">
        <v>1.2365959919080913</v>
      </c>
      <c r="AI11" s="107" t="s">
        <v>3100</v>
      </c>
      <c r="AJ11" s="108">
        <v>1.1000000000000001</v>
      </c>
      <c r="AK11" s="108">
        <v>1.02</v>
      </c>
      <c r="AL11" s="108">
        <v>1</v>
      </c>
      <c r="AM11" s="108">
        <v>1</v>
      </c>
      <c r="AN11" s="108">
        <v>1</v>
      </c>
      <c r="AO11" s="108">
        <v>1.05</v>
      </c>
      <c r="AQ11" s="208">
        <v>0.22033865638766501</v>
      </c>
      <c r="AR11" s="207">
        <v>924.03468492121613</v>
      </c>
    </row>
    <row r="12" spans="1:44" ht="12" customHeight="1">
      <c r="A12" s="330" t="s">
        <v>1947</v>
      </c>
      <c r="B12" s="331"/>
      <c r="C12" s="88"/>
      <c r="D12" s="340">
        <v>5</v>
      </c>
      <c r="E12" s="341" t="s">
        <v>98</v>
      </c>
      <c r="F12" s="432" t="s">
        <v>1941</v>
      </c>
      <c r="G12" s="433" t="s">
        <v>154</v>
      </c>
      <c r="H12" s="434" t="s">
        <v>98</v>
      </c>
      <c r="I12" s="434" t="s">
        <v>98</v>
      </c>
      <c r="J12" s="94">
        <v>1</v>
      </c>
      <c r="K12" s="433" t="s">
        <v>144</v>
      </c>
      <c r="L12" s="435">
        <v>6.8416836656061406E-9</v>
      </c>
      <c r="M12" s="95">
        <v>1</v>
      </c>
      <c r="N12" s="96">
        <v>1.2365959919080913</v>
      </c>
      <c r="O12" s="432" t="s">
        <v>3099</v>
      </c>
      <c r="Q12" s="278">
        <v>4.7414647577092503E-2</v>
      </c>
      <c r="R12" s="505" t="s">
        <v>2039</v>
      </c>
      <c r="S12" s="213">
        <v>924.03468492121601</v>
      </c>
      <c r="T12" s="505" t="s">
        <v>4</v>
      </c>
      <c r="U12" s="211">
        <v>250</v>
      </c>
      <c r="V12" s="506">
        <v>0.18</v>
      </c>
      <c r="W12" s="212">
        <v>1388.8888888888889</v>
      </c>
      <c r="X12" s="77" t="s">
        <v>2215</v>
      </c>
      <c r="Y12" s="339">
        <v>3</v>
      </c>
      <c r="Z12" s="339">
        <v>2</v>
      </c>
      <c r="AA12" s="339">
        <v>1</v>
      </c>
      <c r="AB12" s="339">
        <v>1</v>
      </c>
      <c r="AC12" s="339">
        <v>1</v>
      </c>
      <c r="AD12" s="339">
        <v>3</v>
      </c>
      <c r="AE12" s="104">
        <v>9</v>
      </c>
      <c r="AF12" s="104">
        <v>1.2</v>
      </c>
      <c r="AG12" s="107">
        <v>1.1150377561073679</v>
      </c>
      <c r="AH12" s="107">
        <v>1.2365959919080913</v>
      </c>
      <c r="AI12" s="107" t="s">
        <v>3100</v>
      </c>
      <c r="AJ12" s="108">
        <v>1.1000000000000001</v>
      </c>
      <c r="AK12" s="108">
        <v>1.02</v>
      </c>
      <c r="AL12" s="108">
        <v>1</v>
      </c>
      <c r="AM12" s="108">
        <v>1</v>
      </c>
      <c r="AN12" s="108">
        <v>1</v>
      </c>
      <c r="AO12" s="108">
        <v>1.05</v>
      </c>
      <c r="AQ12" s="208">
        <v>4.7414647577092503E-2</v>
      </c>
      <c r="AR12" s="207">
        <v>924.03468492121613</v>
      </c>
    </row>
    <row r="13" spans="1:44" ht="12" customHeight="1">
      <c r="A13" s="330" t="s">
        <v>1830</v>
      </c>
      <c r="B13" s="331"/>
      <c r="C13" s="88"/>
      <c r="D13" s="340">
        <v>5</v>
      </c>
      <c r="E13" s="341" t="s">
        <v>98</v>
      </c>
      <c r="F13" s="432" t="s">
        <v>1835</v>
      </c>
      <c r="G13" s="433" t="s">
        <v>154</v>
      </c>
      <c r="H13" s="434" t="s">
        <v>98</v>
      </c>
      <c r="I13" s="434" t="s">
        <v>98</v>
      </c>
      <c r="J13" s="94">
        <v>1</v>
      </c>
      <c r="K13" s="433" t="s">
        <v>144</v>
      </c>
      <c r="L13" s="435">
        <v>3.5326340495613414E-8</v>
      </c>
      <c r="M13" s="95">
        <v>1</v>
      </c>
      <c r="N13" s="96">
        <v>1.2365959919080913</v>
      </c>
      <c r="O13" s="432" t="s">
        <v>3099</v>
      </c>
      <c r="Q13" s="278">
        <v>0.24482072931962801</v>
      </c>
      <c r="R13" s="505" t="s">
        <v>2039</v>
      </c>
      <c r="S13" s="213">
        <v>924.03468492121601</v>
      </c>
      <c r="T13" s="505" t="s">
        <v>2214</v>
      </c>
      <c r="U13" s="211">
        <v>250</v>
      </c>
      <c r="V13" s="506">
        <v>0.22616666666666699</v>
      </c>
      <c r="W13" s="212">
        <v>1105.3795136330125</v>
      </c>
      <c r="X13" s="77" t="s">
        <v>2215</v>
      </c>
      <c r="Y13" s="339">
        <v>3</v>
      </c>
      <c r="Z13" s="339">
        <v>2</v>
      </c>
      <c r="AA13" s="339">
        <v>1</v>
      </c>
      <c r="AB13" s="339">
        <v>1</v>
      </c>
      <c r="AC13" s="339">
        <v>1</v>
      </c>
      <c r="AD13" s="339">
        <v>3</v>
      </c>
      <c r="AE13" s="104">
        <v>9</v>
      </c>
      <c r="AF13" s="104">
        <v>1.2</v>
      </c>
      <c r="AG13" s="107">
        <v>1.1150377561073679</v>
      </c>
      <c r="AH13" s="107">
        <v>1.2365959919080913</v>
      </c>
      <c r="AI13" s="107" t="s">
        <v>3100</v>
      </c>
      <c r="AJ13" s="108">
        <v>1.1000000000000001</v>
      </c>
      <c r="AK13" s="108">
        <v>1.02</v>
      </c>
      <c r="AL13" s="108">
        <v>1</v>
      </c>
      <c r="AM13" s="108">
        <v>1</v>
      </c>
      <c r="AN13" s="108">
        <v>1</v>
      </c>
      <c r="AO13" s="108">
        <v>1.05</v>
      </c>
      <c r="AQ13" s="208">
        <v>0.24482072931962801</v>
      </c>
      <c r="AR13" s="207">
        <v>924.03468492121613</v>
      </c>
    </row>
    <row r="14" spans="1:44" ht="12" customHeight="1">
      <c r="A14" s="330" t="s">
        <v>1831</v>
      </c>
      <c r="B14" s="331"/>
      <c r="C14" s="88"/>
      <c r="D14" s="340">
        <v>5</v>
      </c>
      <c r="E14" s="341" t="s">
        <v>98</v>
      </c>
      <c r="F14" s="432" t="s">
        <v>1836</v>
      </c>
      <c r="G14" s="433" t="s">
        <v>154</v>
      </c>
      <c r="H14" s="434" t="s">
        <v>98</v>
      </c>
      <c r="I14" s="434" t="s">
        <v>98</v>
      </c>
      <c r="J14" s="94">
        <v>1</v>
      </c>
      <c r="K14" s="433" t="s">
        <v>144</v>
      </c>
      <c r="L14" s="435">
        <v>2.1195804297368076E-9</v>
      </c>
      <c r="M14" s="95">
        <v>1</v>
      </c>
      <c r="N14" s="96">
        <v>1.2365959919080913</v>
      </c>
      <c r="O14" s="432" t="s">
        <v>3099</v>
      </c>
      <c r="Q14" s="278">
        <v>1.4689243759177699E-2</v>
      </c>
      <c r="R14" s="505" t="s">
        <v>2039</v>
      </c>
      <c r="S14" s="213">
        <v>924.03468492121601</v>
      </c>
      <c r="T14" s="505" t="s">
        <v>2214</v>
      </c>
      <c r="U14" s="211">
        <v>250</v>
      </c>
      <c r="V14" s="506">
        <v>0.22616666666666699</v>
      </c>
      <c r="W14" s="212">
        <v>1105.3795136330125</v>
      </c>
      <c r="X14" s="77" t="s">
        <v>2215</v>
      </c>
      <c r="Y14" s="339">
        <v>3</v>
      </c>
      <c r="Z14" s="339">
        <v>2</v>
      </c>
      <c r="AA14" s="339">
        <v>1</v>
      </c>
      <c r="AB14" s="339">
        <v>1</v>
      </c>
      <c r="AC14" s="339">
        <v>1</v>
      </c>
      <c r="AD14" s="339">
        <v>3</v>
      </c>
      <c r="AE14" s="104">
        <v>9</v>
      </c>
      <c r="AF14" s="104">
        <v>1.2</v>
      </c>
      <c r="AG14" s="107">
        <v>1.1150377561073679</v>
      </c>
      <c r="AH14" s="107">
        <v>1.2365959919080913</v>
      </c>
      <c r="AI14" s="107" t="s">
        <v>3100</v>
      </c>
      <c r="AJ14" s="108">
        <v>1.1000000000000001</v>
      </c>
      <c r="AK14" s="108">
        <v>1.02</v>
      </c>
      <c r="AL14" s="108">
        <v>1</v>
      </c>
      <c r="AM14" s="108">
        <v>1</v>
      </c>
      <c r="AN14" s="108">
        <v>1</v>
      </c>
      <c r="AO14" s="108">
        <v>1.05</v>
      </c>
      <c r="AQ14" s="208">
        <v>1.4689243759177699E-2</v>
      </c>
      <c r="AR14" s="207">
        <v>924.03468492121613</v>
      </c>
    </row>
    <row r="15" spans="1:44" ht="12" customHeight="1">
      <c r="A15" s="330" t="s">
        <v>1945</v>
      </c>
      <c r="B15" s="331"/>
      <c r="C15" s="88"/>
      <c r="D15" s="340">
        <v>5</v>
      </c>
      <c r="E15" s="341" t="s">
        <v>98</v>
      </c>
      <c r="F15" s="432" t="s">
        <v>1939</v>
      </c>
      <c r="G15" s="433" t="s">
        <v>154</v>
      </c>
      <c r="H15" s="434" t="s">
        <v>98</v>
      </c>
      <c r="I15" s="434" t="s">
        <v>98</v>
      </c>
      <c r="J15" s="94">
        <v>1</v>
      </c>
      <c r="K15" s="433" t="s">
        <v>144</v>
      </c>
      <c r="L15" s="435">
        <v>7.6018707395623788E-9</v>
      </c>
      <c r="M15" s="95">
        <v>1</v>
      </c>
      <c r="N15" s="96">
        <v>1.2365959919080913</v>
      </c>
      <c r="O15" s="432" t="s">
        <v>3099</v>
      </c>
      <c r="Q15" s="278">
        <v>5.2682941752324998E-2</v>
      </c>
      <c r="R15" s="505" t="s">
        <v>2039</v>
      </c>
      <c r="S15" s="213">
        <v>924.03468492121601</v>
      </c>
      <c r="T15" s="505" t="s">
        <v>4</v>
      </c>
      <c r="U15" s="211">
        <v>250</v>
      </c>
      <c r="V15" s="506">
        <v>0.18</v>
      </c>
      <c r="W15" s="212">
        <v>1388.8888888888889</v>
      </c>
      <c r="X15" s="77" t="s">
        <v>2215</v>
      </c>
      <c r="Y15" s="339">
        <v>3</v>
      </c>
      <c r="Z15" s="339">
        <v>2</v>
      </c>
      <c r="AA15" s="339">
        <v>1</v>
      </c>
      <c r="AB15" s="339">
        <v>1</v>
      </c>
      <c r="AC15" s="339">
        <v>1</v>
      </c>
      <c r="AD15" s="339">
        <v>3</v>
      </c>
      <c r="AE15" s="104">
        <v>9</v>
      </c>
      <c r="AF15" s="104">
        <v>1.2</v>
      </c>
      <c r="AG15" s="107">
        <v>1.1150377561073679</v>
      </c>
      <c r="AH15" s="107">
        <v>1.2365959919080913</v>
      </c>
      <c r="AI15" s="107" t="s">
        <v>3100</v>
      </c>
      <c r="AJ15" s="108">
        <v>1.1000000000000001</v>
      </c>
      <c r="AK15" s="108">
        <v>1.02</v>
      </c>
      <c r="AL15" s="108">
        <v>1</v>
      </c>
      <c r="AM15" s="108">
        <v>1</v>
      </c>
      <c r="AN15" s="108">
        <v>1</v>
      </c>
      <c r="AO15" s="108">
        <v>1.05</v>
      </c>
      <c r="AQ15" s="208">
        <v>5.2682941752324998E-2</v>
      </c>
      <c r="AR15" s="207">
        <v>924.0346849212159</v>
      </c>
    </row>
    <row r="16" spans="1:44" ht="12" customHeight="1">
      <c r="A16" s="330" t="s">
        <v>1946</v>
      </c>
      <c r="B16" s="331"/>
      <c r="C16" s="88"/>
      <c r="D16" s="340">
        <v>5</v>
      </c>
      <c r="E16" s="341" t="s">
        <v>98</v>
      </c>
      <c r="F16" s="432" t="s">
        <v>1940</v>
      </c>
      <c r="G16" s="433" t="s">
        <v>154</v>
      </c>
      <c r="H16" s="434" t="s">
        <v>98</v>
      </c>
      <c r="I16" s="434" t="s">
        <v>98</v>
      </c>
      <c r="J16" s="94">
        <v>1</v>
      </c>
      <c r="K16" s="433" t="s">
        <v>144</v>
      </c>
      <c r="L16" s="435">
        <v>4.5611224437374271E-10</v>
      </c>
      <c r="M16" s="95">
        <v>1</v>
      </c>
      <c r="N16" s="96">
        <v>1.2365959919080913</v>
      </c>
      <c r="O16" s="432" t="s">
        <v>3099</v>
      </c>
      <c r="Q16" s="278">
        <v>3.1609765051394999E-3</v>
      </c>
      <c r="R16" s="505" t="s">
        <v>2039</v>
      </c>
      <c r="S16" s="213">
        <v>924.03468492121601</v>
      </c>
      <c r="T16" s="505" t="s">
        <v>4</v>
      </c>
      <c r="U16" s="211">
        <v>250</v>
      </c>
      <c r="V16" s="506">
        <v>0.18</v>
      </c>
      <c r="W16" s="212">
        <v>1388.8888888888889</v>
      </c>
      <c r="X16" s="77" t="s">
        <v>2215</v>
      </c>
      <c r="Y16" s="339">
        <v>3</v>
      </c>
      <c r="Z16" s="339">
        <v>2</v>
      </c>
      <c r="AA16" s="339">
        <v>1</v>
      </c>
      <c r="AB16" s="339">
        <v>1</v>
      </c>
      <c r="AC16" s="339">
        <v>1</v>
      </c>
      <c r="AD16" s="339">
        <v>3</v>
      </c>
      <c r="AE16" s="104">
        <v>9</v>
      </c>
      <c r="AF16" s="104">
        <v>1.2</v>
      </c>
      <c r="AG16" s="107">
        <v>1.1150377561073679</v>
      </c>
      <c r="AH16" s="107">
        <v>1.2365959919080913</v>
      </c>
      <c r="AI16" s="107" t="s">
        <v>3100</v>
      </c>
      <c r="AJ16" s="108">
        <v>1.1000000000000001</v>
      </c>
      <c r="AK16" s="108">
        <v>1.02</v>
      </c>
      <c r="AL16" s="108">
        <v>1</v>
      </c>
      <c r="AM16" s="108">
        <v>1</v>
      </c>
      <c r="AN16" s="108">
        <v>1</v>
      </c>
      <c r="AO16" s="108">
        <v>1.05</v>
      </c>
      <c r="AQ16" s="208">
        <v>3.1609765051394999E-3</v>
      </c>
      <c r="AR16" s="207">
        <v>924.03468492121613</v>
      </c>
    </row>
    <row r="17" spans="1:44" ht="12" customHeight="1">
      <c r="A17" s="330" t="s">
        <v>1833</v>
      </c>
      <c r="B17" s="331"/>
      <c r="C17" s="88"/>
      <c r="D17" s="340">
        <v>5</v>
      </c>
      <c r="E17" s="341" t="s">
        <v>98</v>
      </c>
      <c r="F17" s="432" t="s">
        <v>1838</v>
      </c>
      <c r="G17" s="433" t="s">
        <v>154</v>
      </c>
      <c r="H17" s="434" t="s">
        <v>98</v>
      </c>
      <c r="I17" s="434" t="s">
        <v>98</v>
      </c>
      <c r="J17" s="94">
        <v>1</v>
      </c>
      <c r="K17" s="433" t="s">
        <v>144</v>
      </c>
      <c r="L17" s="435">
        <v>2.2365726507071617E-11</v>
      </c>
      <c r="M17" s="95">
        <v>1</v>
      </c>
      <c r="N17" s="96">
        <v>1.2365959919080913</v>
      </c>
      <c r="O17" s="432" t="s">
        <v>3099</v>
      </c>
      <c r="Q17" s="278">
        <v>6.5736661771904096E-3</v>
      </c>
      <c r="R17" s="505" t="s">
        <v>2041</v>
      </c>
      <c r="S17" s="213">
        <v>979.72317526580105</v>
      </c>
      <c r="T17" s="505" t="s">
        <v>2214</v>
      </c>
      <c r="U17" s="211">
        <v>10000</v>
      </c>
      <c r="V17" s="506">
        <v>0.22616666666666699</v>
      </c>
      <c r="W17" s="212">
        <v>44215.180545320494</v>
      </c>
      <c r="X17" s="77" t="s">
        <v>2215</v>
      </c>
      <c r="Y17" s="339">
        <v>3</v>
      </c>
      <c r="Z17" s="339">
        <v>2</v>
      </c>
      <c r="AA17" s="339">
        <v>1</v>
      </c>
      <c r="AB17" s="339">
        <v>1</v>
      </c>
      <c r="AC17" s="339">
        <v>1</v>
      </c>
      <c r="AD17" s="339">
        <v>3</v>
      </c>
      <c r="AE17" s="104">
        <v>9</v>
      </c>
      <c r="AF17" s="104">
        <v>1.2</v>
      </c>
      <c r="AG17" s="107">
        <v>1.1150377561073679</v>
      </c>
      <c r="AH17" s="107">
        <v>1.2365959919080913</v>
      </c>
      <c r="AI17" s="107" t="s">
        <v>3100</v>
      </c>
      <c r="AJ17" s="108">
        <v>1.1000000000000001</v>
      </c>
      <c r="AK17" s="108">
        <v>1.02</v>
      </c>
      <c r="AL17" s="108">
        <v>1</v>
      </c>
      <c r="AM17" s="108">
        <v>1</v>
      </c>
      <c r="AN17" s="108">
        <v>1</v>
      </c>
      <c r="AO17" s="108">
        <v>1.05</v>
      </c>
      <c r="AQ17" s="208">
        <v>6.5736661771904096E-3</v>
      </c>
      <c r="AR17" s="207">
        <v>979.72317526580093</v>
      </c>
    </row>
    <row r="18" spans="1:44" ht="12" customHeight="1">
      <c r="A18" s="330" t="s">
        <v>1948</v>
      </c>
      <c r="B18" s="331"/>
      <c r="C18" s="88"/>
      <c r="D18" s="340">
        <v>5</v>
      </c>
      <c r="E18" s="341" t="s">
        <v>98</v>
      </c>
      <c r="F18" s="432" t="s">
        <v>1942</v>
      </c>
      <c r="G18" s="433" t="s">
        <v>154</v>
      </c>
      <c r="H18" s="434" t="s">
        <v>98</v>
      </c>
      <c r="I18" s="434" t="s">
        <v>98</v>
      </c>
      <c r="J18" s="94">
        <v>1</v>
      </c>
      <c r="K18" s="433" t="s">
        <v>144</v>
      </c>
      <c r="L18" s="435">
        <v>4.8128778559521142E-12</v>
      </c>
      <c r="M18" s="95">
        <v>1</v>
      </c>
      <c r="N18" s="96">
        <v>1.2365959919080913</v>
      </c>
      <c r="O18" s="432" t="s">
        <v>3099</v>
      </c>
      <c r="Q18" s="278">
        <v>1.41458639255996E-3</v>
      </c>
      <c r="R18" s="505" t="s">
        <v>2041</v>
      </c>
      <c r="S18" s="213">
        <v>979.72317526580105</v>
      </c>
      <c r="T18" s="505" t="s">
        <v>4</v>
      </c>
      <c r="U18" s="211">
        <v>10000</v>
      </c>
      <c r="V18" s="506">
        <v>0.18</v>
      </c>
      <c r="W18" s="212">
        <v>55555.555555555555</v>
      </c>
      <c r="X18" s="77" t="s">
        <v>2215</v>
      </c>
      <c r="Y18" s="339">
        <v>3</v>
      </c>
      <c r="Z18" s="339">
        <v>2</v>
      </c>
      <c r="AA18" s="339">
        <v>1</v>
      </c>
      <c r="AB18" s="339">
        <v>1</v>
      </c>
      <c r="AC18" s="339">
        <v>1</v>
      </c>
      <c r="AD18" s="339">
        <v>3</v>
      </c>
      <c r="AE18" s="104">
        <v>9</v>
      </c>
      <c r="AF18" s="104">
        <v>1.2</v>
      </c>
      <c r="AG18" s="107">
        <v>1.1150377561073679</v>
      </c>
      <c r="AH18" s="107">
        <v>1.2365959919080913</v>
      </c>
      <c r="AI18" s="107" t="s">
        <v>3100</v>
      </c>
      <c r="AJ18" s="108">
        <v>1.1000000000000001</v>
      </c>
      <c r="AK18" s="108">
        <v>1.02</v>
      </c>
      <c r="AL18" s="108">
        <v>1</v>
      </c>
      <c r="AM18" s="108">
        <v>1</v>
      </c>
      <c r="AN18" s="108">
        <v>1</v>
      </c>
      <c r="AO18" s="108">
        <v>1.05</v>
      </c>
      <c r="AQ18" s="208">
        <v>1.41458639255996E-3</v>
      </c>
      <c r="AR18" s="207">
        <v>979.72317526580116</v>
      </c>
    </row>
    <row r="19" spans="1:44" ht="12" customHeight="1">
      <c r="A19" s="330" t="s">
        <v>2016</v>
      </c>
      <c r="B19" s="331"/>
      <c r="C19" s="88"/>
      <c r="D19" s="340">
        <v>5</v>
      </c>
      <c r="E19" s="341" t="s">
        <v>98</v>
      </c>
      <c r="F19" s="432" t="s">
        <v>2009</v>
      </c>
      <c r="G19" s="433" t="s">
        <v>154</v>
      </c>
      <c r="H19" s="434" t="s">
        <v>98</v>
      </c>
      <c r="I19" s="434" t="s">
        <v>98</v>
      </c>
      <c r="J19" s="94">
        <v>1</v>
      </c>
      <c r="K19" s="433" t="s">
        <v>144</v>
      </c>
      <c r="L19" s="435">
        <v>1.1324418484593218E-12</v>
      </c>
      <c r="M19" s="95">
        <v>1</v>
      </c>
      <c r="N19" s="96">
        <v>1.2365959919080913</v>
      </c>
      <c r="O19" s="432" t="s">
        <v>3099</v>
      </c>
      <c r="Q19" s="278">
        <v>3.3284385707293198E-4</v>
      </c>
      <c r="R19" s="505" t="s">
        <v>2041</v>
      </c>
      <c r="S19" s="213">
        <v>979.72317526580105</v>
      </c>
      <c r="T19" s="505" t="s">
        <v>2087</v>
      </c>
      <c r="U19" s="211">
        <v>10000</v>
      </c>
      <c r="V19" s="506">
        <v>0.184</v>
      </c>
      <c r="W19" s="212">
        <v>54347.82608695652</v>
      </c>
      <c r="X19" s="77" t="s">
        <v>2215</v>
      </c>
      <c r="Y19" s="339">
        <v>3</v>
      </c>
      <c r="Z19" s="339">
        <v>2</v>
      </c>
      <c r="AA19" s="339">
        <v>1</v>
      </c>
      <c r="AB19" s="339">
        <v>1</v>
      </c>
      <c r="AC19" s="339">
        <v>1</v>
      </c>
      <c r="AD19" s="339">
        <v>3</v>
      </c>
      <c r="AE19" s="104">
        <v>9</v>
      </c>
      <c r="AF19" s="104">
        <v>1.2</v>
      </c>
      <c r="AG19" s="107">
        <v>1.1150377561073679</v>
      </c>
      <c r="AH19" s="107">
        <v>1.2365959919080913</v>
      </c>
      <c r="AI19" s="107" t="s">
        <v>3100</v>
      </c>
      <c r="AJ19" s="108">
        <v>1.1000000000000001</v>
      </c>
      <c r="AK19" s="108">
        <v>1.02</v>
      </c>
      <c r="AL19" s="108">
        <v>1</v>
      </c>
      <c r="AM19" s="108">
        <v>1</v>
      </c>
      <c r="AN19" s="108">
        <v>1</v>
      </c>
      <c r="AO19" s="108">
        <v>1.05</v>
      </c>
      <c r="AQ19" s="208">
        <v>3.3284385707293198E-4</v>
      </c>
      <c r="AR19" s="207">
        <v>979.72317526580093</v>
      </c>
    </row>
    <row r="20" spans="1:44" ht="12" customHeight="1">
      <c r="A20" s="330" t="s">
        <v>1839</v>
      </c>
      <c r="B20" s="331"/>
      <c r="C20" s="88"/>
      <c r="D20" s="340">
        <v>5</v>
      </c>
      <c r="E20" s="341" t="s">
        <v>98</v>
      </c>
      <c r="F20" s="432" t="s">
        <v>1840</v>
      </c>
      <c r="G20" s="433" t="s">
        <v>103</v>
      </c>
      <c r="H20" s="434" t="s">
        <v>98</v>
      </c>
      <c r="I20" s="434" t="s">
        <v>98</v>
      </c>
      <c r="J20" s="94">
        <v>1</v>
      </c>
      <c r="K20" s="433" t="s">
        <v>144</v>
      </c>
      <c r="L20" s="435">
        <v>4.2055167256682633E-8</v>
      </c>
      <c r="M20" s="95">
        <v>1</v>
      </c>
      <c r="N20" s="96">
        <v>1.2365959919080913</v>
      </c>
      <c r="O20" s="432" t="s">
        <v>3099</v>
      </c>
      <c r="Q20" s="278">
        <v>8.1606909773209307E-3</v>
      </c>
      <c r="R20" s="505" t="s">
        <v>2040</v>
      </c>
      <c r="S20" s="213">
        <v>646.82427944485096</v>
      </c>
      <c r="T20" s="505" t="s">
        <v>2214</v>
      </c>
      <c r="U20" s="211">
        <v>10</v>
      </c>
      <c r="V20" s="506">
        <v>0.22616666666666699</v>
      </c>
      <c r="W20" s="212">
        <v>44.2151805453205</v>
      </c>
      <c r="X20" s="77" t="s">
        <v>2215</v>
      </c>
      <c r="Y20" s="339">
        <v>3</v>
      </c>
      <c r="Z20" s="339">
        <v>2</v>
      </c>
      <c r="AA20" s="339">
        <v>1</v>
      </c>
      <c r="AB20" s="339">
        <v>1</v>
      </c>
      <c r="AC20" s="339">
        <v>1</v>
      </c>
      <c r="AD20" s="339">
        <v>3</v>
      </c>
      <c r="AE20" s="104">
        <v>9</v>
      </c>
      <c r="AF20" s="104">
        <v>1.2</v>
      </c>
      <c r="AG20" s="107">
        <v>1.1150377561073679</v>
      </c>
      <c r="AH20" s="107">
        <v>1.2365959919080913</v>
      </c>
      <c r="AI20" s="107" t="s">
        <v>3100</v>
      </c>
      <c r="AJ20" s="108">
        <v>1.1000000000000001</v>
      </c>
      <c r="AK20" s="108">
        <v>1.02</v>
      </c>
      <c r="AL20" s="108">
        <v>1</v>
      </c>
      <c r="AM20" s="108">
        <v>1</v>
      </c>
      <c r="AN20" s="108">
        <v>1</v>
      </c>
      <c r="AO20" s="108">
        <v>1.05</v>
      </c>
      <c r="AQ20" s="208">
        <v>8.1606909773209307E-3</v>
      </c>
      <c r="AR20" s="207">
        <v>646.82427944485107</v>
      </c>
    </row>
    <row r="21" spans="1:44" ht="12" customHeight="1">
      <c r="A21" s="330" t="s">
        <v>1841</v>
      </c>
      <c r="B21" s="331"/>
      <c r="C21" s="88"/>
      <c r="D21" s="340">
        <v>5</v>
      </c>
      <c r="E21" s="341" t="s">
        <v>98</v>
      </c>
      <c r="F21" s="432" t="s">
        <v>1842</v>
      </c>
      <c r="G21" s="433" t="s">
        <v>103</v>
      </c>
      <c r="H21" s="434" t="s">
        <v>98</v>
      </c>
      <c r="I21" s="434" t="s">
        <v>98</v>
      </c>
      <c r="J21" s="94">
        <v>1</v>
      </c>
      <c r="K21" s="433" t="s">
        <v>144</v>
      </c>
      <c r="L21" s="435">
        <v>4.2055167256682633E-8</v>
      </c>
      <c r="M21" s="95">
        <v>1</v>
      </c>
      <c r="N21" s="96">
        <v>1.2365959919080913</v>
      </c>
      <c r="O21" s="432" t="s">
        <v>3099</v>
      </c>
      <c r="Q21" s="278">
        <v>8.1606909773209307E-3</v>
      </c>
      <c r="R21" s="505" t="s">
        <v>2040</v>
      </c>
      <c r="S21" s="213">
        <v>646.82427944485096</v>
      </c>
      <c r="T21" s="505" t="s">
        <v>2214</v>
      </c>
      <c r="U21" s="211">
        <v>10</v>
      </c>
      <c r="V21" s="506">
        <v>0.22616666666666699</v>
      </c>
      <c r="W21" s="212">
        <v>44.2151805453205</v>
      </c>
      <c r="X21" s="77" t="s">
        <v>2215</v>
      </c>
      <c r="Y21" s="339">
        <v>3</v>
      </c>
      <c r="Z21" s="339">
        <v>2</v>
      </c>
      <c r="AA21" s="339">
        <v>1</v>
      </c>
      <c r="AB21" s="339">
        <v>1</v>
      </c>
      <c r="AC21" s="339">
        <v>1</v>
      </c>
      <c r="AD21" s="339">
        <v>3</v>
      </c>
      <c r="AE21" s="104">
        <v>9</v>
      </c>
      <c r="AF21" s="104">
        <v>1.2</v>
      </c>
      <c r="AG21" s="107">
        <v>1.1150377561073679</v>
      </c>
      <c r="AH21" s="107">
        <v>1.2365959919080913</v>
      </c>
      <c r="AI21" s="107" t="s">
        <v>3100</v>
      </c>
      <c r="AJ21" s="108">
        <v>1.1000000000000001</v>
      </c>
      <c r="AK21" s="108">
        <v>1.02</v>
      </c>
      <c r="AL21" s="108">
        <v>1</v>
      </c>
      <c r="AM21" s="108">
        <v>1</v>
      </c>
      <c r="AN21" s="108">
        <v>1</v>
      </c>
      <c r="AO21" s="108">
        <v>1.05</v>
      </c>
      <c r="AQ21" s="208">
        <v>8.1606909773209307E-3</v>
      </c>
      <c r="AR21" s="207">
        <v>646.82427944485107</v>
      </c>
    </row>
    <row r="22" spans="1:44" ht="12" customHeight="1">
      <c r="A22" s="330" t="s">
        <v>1929</v>
      </c>
      <c r="B22" s="331"/>
      <c r="C22" s="88"/>
      <c r="D22" s="340">
        <v>5</v>
      </c>
      <c r="E22" s="341" t="s">
        <v>98</v>
      </c>
      <c r="F22" s="432" t="s">
        <v>1933</v>
      </c>
      <c r="G22" s="433" t="s">
        <v>103</v>
      </c>
      <c r="H22" s="434" t="s">
        <v>98</v>
      </c>
      <c r="I22" s="434" t="s">
        <v>98</v>
      </c>
      <c r="J22" s="94">
        <v>1</v>
      </c>
      <c r="K22" s="433" t="s">
        <v>144</v>
      </c>
      <c r="L22" s="435">
        <v>9.0498461185266261E-9</v>
      </c>
      <c r="M22" s="95">
        <v>1</v>
      </c>
      <c r="N22" s="96">
        <v>1.2365959919080913</v>
      </c>
      <c r="O22" s="432" t="s">
        <v>3099</v>
      </c>
      <c r="Q22" s="278">
        <v>1.75609805841083E-3</v>
      </c>
      <c r="R22" s="505" t="s">
        <v>2040</v>
      </c>
      <c r="S22" s="213">
        <v>646.82427944485096</v>
      </c>
      <c r="T22" s="505" t="s">
        <v>4</v>
      </c>
      <c r="U22" s="211">
        <v>10</v>
      </c>
      <c r="V22" s="506">
        <v>0.18</v>
      </c>
      <c r="W22" s="212">
        <v>55.555555555555557</v>
      </c>
      <c r="X22" s="77" t="s">
        <v>2215</v>
      </c>
      <c r="Y22" s="339">
        <v>3</v>
      </c>
      <c r="Z22" s="339">
        <v>2</v>
      </c>
      <c r="AA22" s="339">
        <v>1</v>
      </c>
      <c r="AB22" s="339">
        <v>1</v>
      </c>
      <c r="AC22" s="339">
        <v>1</v>
      </c>
      <c r="AD22" s="339">
        <v>3</v>
      </c>
      <c r="AE22" s="104">
        <v>9</v>
      </c>
      <c r="AF22" s="104">
        <v>1.2</v>
      </c>
      <c r="AG22" s="107">
        <v>1.1150377561073679</v>
      </c>
      <c r="AH22" s="107">
        <v>1.2365959919080913</v>
      </c>
      <c r="AI22" s="107" t="s">
        <v>3100</v>
      </c>
      <c r="AJ22" s="108">
        <v>1.1000000000000001</v>
      </c>
      <c r="AK22" s="108">
        <v>1.02</v>
      </c>
      <c r="AL22" s="108">
        <v>1</v>
      </c>
      <c r="AM22" s="108">
        <v>1</v>
      </c>
      <c r="AN22" s="108">
        <v>1</v>
      </c>
      <c r="AO22" s="108">
        <v>1.05</v>
      </c>
      <c r="AQ22" s="208">
        <v>1.75609805841083E-3</v>
      </c>
      <c r="AR22" s="207">
        <v>646.82427944485107</v>
      </c>
    </row>
    <row r="23" spans="1:44" ht="12" customHeight="1">
      <c r="A23" s="330" t="s">
        <v>1930</v>
      </c>
      <c r="B23" s="331"/>
      <c r="C23" s="88"/>
      <c r="D23" s="340">
        <v>5</v>
      </c>
      <c r="E23" s="341" t="s">
        <v>98</v>
      </c>
      <c r="F23" s="432" t="s">
        <v>1934</v>
      </c>
      <c r="G23" s="433" t="s">
        <v>103</v>
      </c>
      <c r="H23" s="434" t="s">
        <v>98</v>
      </c>
      <c r="I23" s="434" t="s">
        <v>98</v>
      </c>
      <c r="J23" s="94">
        <v>1</v>
      </c>
      <c r="K23" s="433" t="s">
        <v>144</v>
      </c>
      <c r="L23" s="435">
        <v>9.0498461185266261E-9</v>
      </c>
      <c r="M23" s="95">
        <v>1</v>
      </c>
      <c r="N23" s="96">
        <v>1.2365959919080913</v>
      </c>
      <c r="O23" s="432" t="s">
        <v>3099</v>
      </c>
      <c r="Q23" s="278">
        <v>1.75609805841083E-3</v>
      </c>
      <c r="R23" s="505" t="s">
        <v>2040</v>
      </c>
      <c r="S23" s="213">
        <v>646.82427944485096</v>
      </c>
      <c r="T23" s="505" t="s">
        <v>4</v>
      </c>
      <c r="U23" s="211">
        <v>10</v>
      </c>
      <c r="V23" s="506">
        <v>0.18</v>
      </c>
      <c r="W23" s="212">
        <v>55.555555555555557</v>
      </c>
      <c r="X23" s="77" t="s">
        <v>2215</v>
      </c>
      <c r="Y23" s="339">
        <v>3</v>
      </c>
      <c r="Z23" s="339">
        <v>2</v>
      </c>
      <c r="AA23" s="339">
        <v>1</v>
      </c>
      <c r="AB23" s="339">
        <v>1</v>
      </c>
      <c r="AC23" s="339">
        <v>1</v>
      </c>
      <c r="AD23" s="339">
        <v>3</v>
      </c>
      <c r="AE23" s="104">
        <v>9</v>
      </c>
      <c r="AF23" s="104">
        <v>1.2</v>
      </c>
      <c r="AG23" s="107">
        <v>1.1150377561073679</v>
      </c>
      <c r="AH23" s="107">
        <v>1.2365959919080913</v>
      </c>
      <c r="AI23" s="107" t="s">
        <v>3100</v>
      </c>
      <c r="AJ23" s="108">
        <v>1.1000000000000001</v>
      </c>
      <c r="AK23" s="108">
        <v>1.02</v>
      </c>
      <c r="AL23" s="108">
        <v>1</v>
      </c>
      <c r="AM23" s="108">
        <v>1</v>
      </c>
      <c r="AN23" s="108">
        <v>1</v>
      </c>
      <c r="AO23" s="108">
        <v>1.05</v>
      </c>
      <c r="AQ23" s="208">
        <v>1.75609805841083E-3</v>
      </c>
      <c r="AR23" s="207">
        <v>646.82427944485107</v>
      </c>
    </row>
    <row r="24" spans="1:44" ht="12" customHeight="1">
      <c r="A24" s="330" t="s">
        <v>1843</v>
      </c>
      <c r="B24" s="331"/>
      <c r="C24" s="88"/>
      <c r="D24" s="340">
        <v>5</v>
      </c>
      <c r="E24" s="341" t="s">
        <v>98</v>
      </c>
      <c r="F24" s="432" t="s">
        <v>1844</v>
      </c>
      <c r="G24" s="433" t="s">
        <v>103</v>
      </c>
      <c r="H24" s="434" t="s">
        <v>98</v>
      </c>
      <c r="I24" s="434" t="s">
        <v>98</v>
      </c>
      <c r="J24" s="94">
        <v>1</v>
      </c>
      <c r="K24" s="433" t="s">
        <v>144</v>
      </c>
      <c r="L24" s="435">
        <v>5.2989510743420183E-7</v>
      </c>
      <c r="M24" s="95">
        <v>1</v>
      </c>
      <c r="N24" s="96">
        <v>1.2365959919080913</v>
      </c>
      <c r="O24" s="432" t="s">
        <v>3099</v>
      </c>
      <c r="Q24" s="278">
        <v>0.146892437591777</v>
      </c>
      <c r="R24" s="505" t="s">
        <v>2039</v>
      </c>
      <c r="S24" s="213">
        <v>924.03468492121601</v>
      </c>
      <c r="T24" s="505" t="s">
        <v>2214</v>
      </c>
      <c r="U24" s="211">
        <v>10</v>
      </c>
      <c r="V24" s="506">
        <v>0.22616666666666699</v>
      </c>
      <c r="W24" s="212">
        <v>44.2151805453205</v>
      </c>
      <c r="X24" s="77" t="s">
        <v>2215</v>
      </c>
      <c r="Y24" s="339">
        <v>3</v>
      </c>
      <c r="Z24" s="339">
        <v>2</v>
      </c>
      <c r="AA24" s="339">
        <v>1</v>
      </c>
      <c r="AB24" s="339">
        <v>1</v>
      </c>
      <c r="AC24" s="339">
        <v>1</v>
      </c>
      <c r="AD24" s="339">
        <v>3</v>
      </c>
      <c r="AE24" s="104">
        <v>9</v>
      </c>
      <c r="AF24" s="104">
        <v>1.2</v>
      </c>
      <c r="AG24" s="107">
        <v>1.1150377561073679</v>
      </c>
      <c r="AH24" s="107">
        <v>1.2365959919080913</v>
      </c>
      <c r="AI24" s="107" t="s">
        <v>3100</v>
      </c>
      <c r="AJ24" s="108">
        <v>1.1000000000000001</v>
      </c>
      <c r="AK24" s="108">
        <v>1.02</v>
      </c>
      <c r="AL24" s="108">
        <v>1</v>
      </c>
      <c r="AM24" s="108">
        <v>1</v>
      </c>
      <c r="AN24" s="108">
        <v>1</v>
      </c>
      <c r="AO24" s="108">
        <v>1.05</v>
      </c>
      <c r="AQ24" s="208">
        <v>0.146892437591777</v>
      </c>
      <c r="AR24" s="207">
        <v>924.03468492121624</v>
      </c>
    </row>
    <row r="25" spans="1:44" ht="12" customHeight="1">
      <c r="A25" s="330" t="s">
        <v>1931</v>
      </c>
      <c r="B25" s="331"/>
      <c r="C25" s="88"/>
      <c r="D25" s="340">
        <v>5</v>
      </c>
      <c r="E25" s="341" t="s">
        <v>98</v>
      </c>
      <c r="F25" s="432" t="s">
        <v>1935</v>
      </c>
      <c r="G25" s="433" t="s">
        <v>103</v>
      </c>
      <c r="H25" s="434" t="s">
        <v>98</v>
      </c>
      <c r="I25" s="434" t="s">
        <v>98</v>
      </c>
      <c r="J25" s="94">
        <v>1</v>
      </c>
      <c r="K25" s="433" t="s">
        <v>144</v>
      </c>
      <c r="L25" s="435">
        <v>1.1402806109343565E-7</v>
      </c>
      <c r="M25" s="95">
        <v>1</v>
      </c>
      <c r="N25" s="96">
        <v>1.2365959919080913</v>
      </c>
      <c r="O25" s="432" t="s">
        <v>3099</v>
      </c>
      <c r="Q25" s="278">
        <v>3.1609765051394997E-2</v>
      </c>
      <c r="R25" s="505" t="s">
        <v>2039</v>
      </c>
      <c r="S25" s="213">
        <v>924.03468492121601</v>
      </c>
      <c r="T25" s="505" t="s">
        <v>4</v>
      </c>
      <c r="U25" s="211">
        <v>10</v>
      </c>
      <c r="V25" s="506">
        <v>0.18</v>
      </c>
      <c r="W25" s="212">
        <v>55.555555555555557</v>
      </c>
      <c r="X25" s="77" t="s">
        <v>2215</v>
      </c>
      <c r="Y25" s="339">
        <v>3</v>
      </c>
      <c r="Z25" s="339">
        <v>2</v>
      </c>
      <c r="AA25" s="339">
        <v>1</v>
      </c>
      <c r="AB25" s="339">
        <v>1</v>
      </c>
      <c r="AC25" s="339">
        <v>1</v>
      </c>
      <c r="AD25" s="339">
        <v>3</v>
      </c>
      <c r="AE25" s="104">
        <v>9</v>
      </c>
      <c r="AF25" s="104">
        <v>1.2</v>
      </c>
      <c r="AG25" s="107">
        <v>1.1150377561073679</v>
      </c>
      <c r="AH25" s="107">
        <v>1.2365959919080913</v>
      </c>
      <c r="AI25" s="107" t="s">
        <v>3100</v>
      </c>
      <c r="AJ25" s="108">
        <v>1.1000000000000001</v>
      </c>
      <c r="AK25" s="108">
        <v>1.02</v>
      </c>
      <c r="AL25" s="108">
        <v>1</v>
      </c>
      <c r="AM25" s="108">
        <v>1</v>
      </c>
      <c r="AN25" s="108">
        <v>1</v>
      </c>
      <c r="AO25" s="108">
        <v>1.05</v>
      </c>
      <c r="AQ25" s="208">
        <v>3.1609765051394997E-2</v>
      </c>
      <c r="AR25" s="207">
        <v>924.03468492121613</v>
      </c>
    </row>
    <row r="26" spans="1:44" ht="12" customHeight="1">
      <c r="A26" s="330" t="s">
        <v>1845</v>
      </c>
      <c r="B26" s="331"/>
      <c r="C26" s="88"/>
      <c r="D26" s="340">
        <v>5</v>
      </c>
      <c r="E26" s="341" t="s">
        <v>98</v>
      </c>
      <c r="F26" s="432" t="s">
        <v>1846</v>
      </c>
      <c r="G26" s="433" t="s">
        <v>103</v>
      </c>
      <c r="H26" s="434" t="s">
        <v>98</v>
      </c>
      <c r="I26" s="434" t="s">
        <v>98</v>
      </c>
      <c r="J26" s="94">
        <v>1</v>
      </c>
      <c r="K26" s="433" t="s">
        <v>144</v>
      </c>
      <c r="L26" s="435">
        <v>2.8660993232290112E-8</v>
      </c>
      <c r="M26" s="95">
        <v>1</v>
      </c>
      <c r="N26" s="96">
        <v>1.2365959919080913</v>
      </c>
      <c r="O26" s="432" t="s">
        <v>3099</v>
      </c>
      <c r="Q26" s="278">
        <v>7.9451255552784907E-3</v>
      </c>
      <c r="R26" s="505" t="s">
        <v>2039</v>
      </c>
      <c r="S26" s="213">
        <v>924.03468492121601</v>
      </c>
      <c r="T26" s="505" t="s">
        <v>2214</v>
      </c>
      <c r="U26" s="211">
        <v>10</v>
      </c>
      <c r="V26" s="506">
        <v>0.22616666666666699</v>
      </c>
      <c r="W26" s="212">
        <v>44.2151805453205</v>
      </c>
      <c r="X26" s="77" t="s">
        <v>2215</v>
      </c>
      <c r="Y26" s="339">
        <v>3</v>
      </c>
      <c r="Z26" s="339">
        <v>2</v>
      </c>
      <c r="AA26" s="339">
        <v>1</v>
      </c>
      <c r="AB26" s="339">
        <v>1</v>
      </c>
      <c r="AC26" s="339">
        <v>1</v>
      </c>
      <c r="AD26" s="339">
        <v>3</v>
      </c>
      <c r="AE26" s="104">
        <v>9</v>
      </c>
      <c r="AF26" s="104">
        <v>1.2</v>
      </c>
      <c r="AG26" s="107">
        <v>1.1150377561073679</v>
      </c>
      <c r="AH26" s="107">
        <v>1.2365959919080913</v>
      </c>
      <c r="AI26" s="107" t="s">
        <v>3100</v>
      </c>
      <c r="AJ26" s="108">
        <v>1.1000000000000001</v>
      </c>
      <c r="AK26" s="108">
        <v>1.02</v>
      </c>
      <c r="AL26" s="108">
        <v>1</v>
      </c>
      <c r="AM26" s="108">
        <v>1</v>
      </c>
      <c r="AN26" s="108">
        <v>1</v>
      </c>
      <c r="AO26" s="108">
        <v>1.05</v>
      </c>
      <c r="AQ26" s="208">
        <v>7.9451255552784907E-3</v>
      </c>
      <c r="AR26" s="207">
        <v>924.03468492121613</v>
      </c>
    </row>
    <row r="27" spans="1:44" ht="12" customHeight="1">
      <c r="A27" s="330" t="s">
        <v>1847</v>
      </c>
      <c r="B27" s="331"/>
      <c r="C27" s="88"/>
      <c r="D27" s="340">
        <v>5</v>
      </c>
      <c r="E27" s="341" t="s">
        <v>98</v>
      </c>
      <c r="F27" s="432" t="s">
        <v>1848</v>
      </c>
      <c r="G27" s="433" t="s">
        <v>103</v>
      </c>
      <c r="H27" s="434" t="s">
        <v>98</v>
      </c>
      <c r="I27" s="434" t="s">
        <v>98</v>
      </c>
      <c r="J27" s="94">
        <v>1</v>
      </c>
      <c r="K27" s="433" t="s">
        <v>144</v>
      </c>
      <c r="L27" s="435">
        <v>4.7768322053816673E-7</v>
      </c>
      <c r="M27" s="95">
        <v>1</v>
      </c>
      <c r="N27" s="96">
        <v>1.2365959919080913</v>
      </c>
      <c r="O27" s="432" t="s">
        <v>3099</v>
      </c>
      <c r="Q27" s="278">
        <v>0.132418759254641</v>
      </c>
      <c r="R27" s="505" t="s">
        <v>2039</v>
      </c>
      <c r="S27" s="213">
        <v>924.03468492121601</v>
      </c>
      <c r="T27" s="505" t="s">
        <v>2214</v>
      </c>
      <c r="U27" s="211">
        <v>10</v>
      </c>
      <c r="V27" s="506">
        <v>0.22616666666666699</v>
      </c>
      <c r="W27" s="212">
        <v>44.2151805453205</v>
      </c>
      <c r="X27" s="77" t="s">
        <v>2215</v>
      </c>
      <c r="Y27" s="339">
        <v>3</v>
      </c>
      <c r="Z27" s="339">
        <v>2</v>
      </c>
      <c r="AA27" s="339">
        <v>1</v>
      </c>
      <c r="AB27" s="339">
        <v>1</v>
      </c>
      <c r="AC27" s="339">
        <v>1</v>
      </c>
      <c r="AD27" s="339">
        <v>3</v>
      </c>
      <c r="AE27" s="104">
        <v>9</v>
      </c>
      <c r="AF27" s="104">
        <v>1.2</v>
      </c>
      <c r="AG27" s="107">
        <v>1.1150377561073679</v>
      </c>
      <c r="AH27" s="107">
        <v>1.2365959919080913</v>
      </c>
      <c r="AI27" s="107" t="s">
        <v>3100</v>
      </c>
      <c r="AJ27" s="108">
        <v>1.1000000000000001</v>
      </c>
      <c r="AK27" s="108">
        <v>1.02</v>
      </c>
      <c r="AL27" s="108">
        <v>1</v>
      </c>
      <c r="AM27" s="108">
        <v>1</v>
      </c>
      <c r="AN27" s="108">
        <v>1</v>
      </c>
      <c r="AO27" s="108">
        <v>1.05</v>
      </c>
      <c r="AQ27" s="208">
        <v>0.132418759254641</v>
      </c>
      <c r="AR27" s="207">
        <v>924.03468492121613</v>
      </c>
    </row>
    <row r="28" spans="1:44" ht="12" customHeight="1">
      <c r="A28" s="330" t="s">
        <v>1932</v>
      </c>
      <c r="B28" s="331"/>
      <c r="C28" s="88"/>
      <c r="D28" s="340">
        <v>5</v>
      </c>
      <c r="E28" s="341" t="s">
        <v>98</v>
      </c>
      <c r="F28" s="432" t="s">
        <v>1936</v>
      </c>
      <c r="G28" s="433" t="s">
        <v>103</v>
      </c>
      <c r="H28" s="434" t="s">
        <v>98</v>
      </c>
      <c r="I28" s="434" t="s">
        <v>98</v>
      </c>
      <c r="J28" s="94">
        <v>1</v>
      </c>
      <c r="K28" s="433" t="s">
        <v>144</v>
      </c>
      <c r="L28" s="435">
        <v>6.167555505682672E-9</v>
      </c>
      <c r="M28" s="95">
        <v>1</v>
      </c>
      <c r="N28" s="96">
        <v>1.2365959919080913</v>
      </c>
      <c r="O28" s="432" t="s">
        <v>3099</v>
      </c>
      <c r="Q28" s="278">
        <v>1.70971056252828E-3</v>
      </c>
      <c r="R28" s="505" t="s">
        <v>2039</v>
      </c>
      <c r="S28" s="213">
        <v>924.03468492121601</v>
      </c>
      <c r="T28" s="505" t="s">
        <v>4</v>
      </c>
      <c r="U28" s="211">
        <v>10</v>
      </c>
      <c r="V28" s="506">
        <v>0.18</v>
      </c>
      <c r="W28" s="212">
        <v>55.555555555555557</v>
      </c>
      <c r="X28" s="77" t="s">
        <v>2215</v>
      </c>
      <c r="Y28" s="339">
        <v>3</v>
      </c>
      <c r="Z28" s="339">
        <v>2</v>
      </c>
      <c r="AA28" s="339">
        <v>1</v>
      </c>
      <c r="AB28" s="339">
        <v>1</v>
      </c>
      <c r="AC28" s="339">
        <v>1</v>
      </c>
      <c r="AD28" s="339">
        <v>3</v>
      </c>
      <c r="AE28" s="104">
        <v>9</v>
      </c>
      <c r="AF28" s="104">
        <v>1.2</v>
      </c>
      <c r="AG28" s="107">
        <v>1.1150377561073679</v>
      </c>
      <c r="AH28" s="107">
        <v>1.2365959919080913</v>
      </c>
      <c r="AI28" s="107" t="s">
        <v>3100</v>
      </c>
      <c r="AJ28" s="108">
        <v>1.1000000000000001</v>
      </c>
      <c r="AK28" s="108">
        <v>1.02</v>
      </c>
      <c r="AL28" s="108">
        <v>1</v>
      </c>
      <c r="AM28" s="108">
        <v>1</v>
      </c>
      <c r="AN28" s="108">
        <v>1</v>
      </c>
      <c r="AO28" s="108">
        <v>1.05</v>
      </c>
      <c r="AQ28" s="208">
        <v>1.70971056252828E-3</v>
      </c>
      <c r="AR28" s="207">
        <v>924.03468492121624</v>
      </c>
    </row>
    <row r="29" spans="1:44" ht="12" customHeight="1">
      <c r="A29" s="330" t="s">
        <v>1943</v>
      </c>
      <c r="B29" s="331"/>
      <c r="C29" s="88"/>
      <c r="D29" s="340">
        <v>5</v>
      </c>
      <c r="E29" s="341" t="s">
        <v>98</v>
      </c>
      <c r="F29" s="432" t="s">
        <v>1937</v>
      </c>
      <c r="G29" s="433" t="s">
        <v>103</v>
      </c>
      <c r="H29" s="434" t="s">
        <v>98</v>
      </c>
      <c r="I29" s="434" t="s">
        <v>98</v>
      </c>
      <c r="J29" s="94">
        <v>1</v>
      </c>
      <c r="K29" s="433" t="s">
        <v>144</v>
      </c>
      <c r="L29" s="435">
        <v>1.0279259176137823E-7</v>
      </c>
      <c r="M29" s="95">
        <v>1</v>
      </c>
      <c r="N29" s="96">
        <v>1.2365959919080913</v>
      </c>
      <c r="O29" s="432" t="s">
        <v>3099</v>
      </c>
      <c r="Q29" s="278">
        <v>2.8495176042138099E-2</v>
      </c>
      <c r="R29" s="505" t="s">
        <v>2039</v>
      </c>
      <c r="S29" s="213">
        <v>924.03468492121601</v>
      </c>
      <c r="T29" s="505" t="s">
        <v>4</v>
      </c>
      <c r="U29" s="211">
        <v>10</v>
      </c>
      <c r="V29" s="506">
        <v>0.18</v>
      </c>
      <c r="W29" s="212">
        <v>55.555555555555557</v>
      </c>
      <c r="X29" s="77" t="s">
        <v>2215</v>
      </c>
      <c r="Y29" s="339">
        <v>3</v>
      </c>
      <c r="Z29" s="339">
        <v>2</v>
      </c>
      <c r="AA29" s="339">
        <v>1</v>
      </c>
      <c r="AB29" s="339">
        <v>1</v>
      </c>
      <c r="AC29" s="339">
        <v>1</v>
      </c>
      <c r="AD29" s="339">
        <v>3</v>
      </c>
      <c r="AE29" s="104">
        <v>9</v>
      </c>
      <c r="AF29" s="104">
        <v>1.2</v>
      </c>
      <c r="AG29" s="107">
        <v>1.1150377561073679</v>
      </c>
      <c r="AH29" s="107">
        <v>1.2365959919080913</v>
      </c>
      <c r="AI29" s="107" t="s">
        <v>3100</v>
      </c>
      <c r="AJ29" s="108">
        <v>1.1000000000000001</v>
      </c>
      <c r="AK29" s="108">
        <v>1.02</v>
      </c>
      <c r="AL29" s="108">
        <v>1</v>
      </c>
      <c r="AM29" s="108">
        <v>1</v>
      </c>
      <c r="AN29" s="108">
        <v>1</v>
      </c>
      <c r="AO29" s="108">
        <v>1.05</v>
      </c>
      <c r="AQ29" s="208">
        <v>2.8495176042138099E-2</v>
      </c>
      <c r="AR29" s="207">
        <v>924.03468492121613</v>
      </c>
    </row>
    <row r="30" spans="1:44" ht="12" customHeight="1">
      <c r="A30" s="330" t="s">
        <v>2001</v>
      </c>
      <c r="B30" s="331"/>
      <c r="C30" s="88"/>
      <c r="D30" s="340">
        <v>5</v>
      </c>
      <c r="E30" s="341" t="s">
        <v>98</v>
      </c>
      <c r="F30" s="432" t="s">
        <v>2004</v>
      </c>
      <c r="G30" s="433" t="s">
        <v>103</v>
      </c>
      <c r="H30" s="434" t="s">
        <v>98</v>
      </c>
      <c r="I30" s="434" t="s">
        <v>98</v>
      </c>
      <c r="J30" s="94">
        <v>1</v>
      </c>
      <c r="K30" s="433" t="s">
        <v>144</v>
      </c>
      <c r="L30" s="435">
        <v>8.0996624972029662E-9</v>
      </c>
      <c r="M30" s="95">
        <v>1</v>
      </c>
      <c r="N30" s="96">
        <v>1.2365959919080913</v>
      </c>
      <c r="O30" s="432" t="s">
        <v>3099</v>
      </c>
      <c r="Q30" s="278">
        <v>2.2453107250713401E-3</v>
      </c>
      <c r="R30" s="505" t="s">
        <v>2039</v>
      </c>
      <c r="S30" s="213">
        <v>924.03468492121601</v>
      </c>
      <c r="T30" s="505" t="s">
        <v>2087</v>
      </c>
      <c r="U30" s="211">
        <v>10</v>
      </c>
      <c r="V30" s="506">
        <v>0.184</v>
      </c>
      <c r="W30" s="212">
        <v>54.347826086956523</v>
      </c>
      <c r="X30" s="77" t="s">
        <v>2215</v>
      </c>
      <c r="Y30" s="339">
        <v>3</v>
      </c>
      <c r="Z30" s="339">
        <v>2</v>
      </c>
      <c r="AA30" s="339">
        <v>1</v>
      </c>
      <c r="AB30" s="339">
        <v>1</v>
      </c>
      <c r="AC30" s="339">
        <v>1</v>
      </c>
      <c r="AD30" s="339">
        <v>3</v>
      </c>
      <c r="AE30" s="104">
        <v>9</v>
      </c>
      <c r="AF30" s="104">
        <v>1.2</v>
      </c>
      <c r="AG30" s="107">
        <v>1.1150377561073679</v>
      </c>
      <c r="AH30" s="107">
        <v>1.2365959919080913</v>
      </c>
      <c r="AI30" s="107" t="s">
        <v>3100</v>
      </c>
      <c r="AJ30" s="108">
        <v>1.1000000000000001</v>
      </c>
      <c r="AK30" s="108">
        <v>1.02</v>
      </c>
      <c r="AL30" s="108">
        <v>1</v>
      </c>
      <c r="AM30" s="108">
        <v>1</v>
      </c>
      <c r="AN30" s="108">
        <v>1</v>
      </c>
      <c r="AO30" s="108">
        <v>1.05</v>
      </c>
      <c r="AQ30" s="208">
        <v>2.2453107250713401E-3</v>
      </c>
      <c r="AR30" s="207">
        <v>924.03468492121624</v>
      </c>
    </row>
    <row r="31" spans="1:44" ht="12" customHeight="1">
      <c r="A31" s="330" t="s">
        <v>2002</v>
      </c>
      <c r="B31" s="331"/>
      <c r="C31" s="88"/>
      <c r="D31" s="340">
        <v>5</v>
      </c>
      <c r="E31" s="341" t="s">
        <v>98</v>
      </c>
      <c r="F31" s="432" t="s">
        <v>2005</v>
      </c>
      <c r="G31" s="433" t="s">
        <v>103</v>
      </c>
      <c r="H31" s="434" t="s">
        <v>98</v>
      </c>
      <c r="I31" s="434" t="s">
        <v>98</v>
      </c>
      <c r="J31" s="94">
        <v>1</v>
      </c>
      <c r="K31" s="433" t="s">
        <v>144</v>
      </c>
      <c r="L31" s="435">
        <v>1.3499437495338289E-7</v>
      </c>
      <c r="M31" s="95">
        <v>1</v>
      </c>
      <c r="N31" s="96">
        <v>1.2365959919080913</v>
      </c>
      <c r="O31" s="432" t="s">
        <v>3099</v>
      </c>
      <c r="Q31" s="278">
        <v>3.7421845417855697E-2</v>
      </c>
      <c r="R31" s="505" t="s">
        <v>2039</v>
      </c>
      <c r="S31" s="213">
        <v>924.03468492121601</v>
      </c>
      <c r="T31" s="505" t="s">
        <v>2087</v>
      </c>
      <c r="U31" s="211">
        <v>10</v>
      </c>
      <c r="V31" s="506">
        <v>0.184</v>
      </c>
      <c r="W31" s="212">
        <v>54.347826086956523</v>
      </c>
      <c r="X31" s="77" t="s">
        <v>2215</v>
      </c>
      <c r="Y31" s="339">
        <v>3</v>
      </c>
      <c r="Z31" s="339">
        <v>2</v>
      </c>
      <c r="AA31" s="339">
        <v>1</v>
      </c>
      <c r="AB31" s="339">
        <v>1</v>
      </c>
      <c r="AC31" s="339">
        <v>1</v>
      </c>
      <c r="AD31" s="339">
        <v>3</v>
      </c>
      <c r="AE31" s="104">
        <v>9</v>
      </c>
      <c r="AF31" s="104">
        <v>1.2</v>
      </c>
      <c r="AG31" s="107">
        <v>1.1150377561073679</v>
      </c>
      <c r="AH31" s="107">
        <v>1.2365959919080913</v>
      </c>
      <c r="AI31" s="107" t="s">
        <v>3100</v>
      </c>
      <c r="AJ31" s="108">
        <v>1.1000000000000001</v>
      </c>
      <c r="AK31" s="108">
        <v>1.02</v>
      </c>
      <c r="AL31" s="108">
        <v>1</v>
      </c>
      <c r="AM31" s="108">
        <v>1</v>
      </c>
      <c r="AN31" s="108">
        <v>1</v>
      </c>
      <c r="AO31" s="108">
        <v>1.05</v>
      </c>
      <c r="AQ31" s="208">
        <v>3.7421845417855697E-2</v>
      </c>
      <c r="AR31" s="207">
        <v>924.03468492121613</v>
      </c>
    </row>
    <row r="32" spans="1:44" ht="12" customHeight="1">
      <c r="A32" s="330">
        <v>15848</v>
      </c>
      <c r="B32" s="331" t="s">
        <v>594</v>
      </c>
      <c r="C32" s="88"/>
      <c r="D32" s="340" t="s">
        <v>98</v>
      </c>
      <c r="E32" s="341">
        <v>4</v>
      </c>
      <c r="F32" s="432" t="s">
        <v>121</v>
      </c>
      <c r="G32" s="433" t="s">
        <v>98</v>
      </c>
      <c r="H32" s="434" t="s">
        <v>247</v>
      </c>
      <c r="I32" s="434" t="s">
        <v>248</v>
      </c>
      <c r="J32" s="94" t="s">
        <v>98</v>
      </c>
      <c r="K32" s="433" t="s">
        <v>104</v>
      </c>
      <c r="L32" s="435">
        <v>0.25026737967914414</v>
      </c>
      <c r="M32" s="95">
        <v>1</v>
      </c>
      <c r="N32" s="96">
        <v>1.05</v>
      </c>
      <c r="O32" s="432" t="s">
        <v>3101</v>
      </c>
      <c r="Q32" s="505"/>
      <c r="R32" s="505"/>
      <c r="S32" s="505"/>
      <c r="T32" s="505"/>
      <c r="U32" s="211"/>
      <c r="V32" s="211"/>
      <c r="X32" s="77" t="s">
        <v>249</v>
      </c>
      <c r="Y32" s="339">
        <v>1</v>
      </c>
      <c r="Z32" s="339" t="s">
        <v>106</v>
      </c>
      <c r="AA32" s="339" t="s">
        <v>106</v>
      </c>
      <c r="AB32" s="339" t="s">
        <v>106</v>
      </c>
      <c r="AC32" s="339" t="s">
        <v>106</v>
      </c>
      <c r="AD32" s="339" t="s">
        <v>106</v>
      </c>
      <c r="AE32" s="104">
        <v>13</v>
      </c>
      <c r="AF32" s="104">
        <v>1.05</v>
      </c>
      <c r="AG32" s="107">
        <v>1</v>
      </c>
      <c r="AH32" s="107">
        <v>1.05</v>
      </c>
      <c r="AI32" s="107" t="s">
        <v>3102</v>
      </c>
      <c r="AJ32" s="108">
        <v>1</v>
      </c>
      <c r="AK32" s="108">
        <v>1</v>
      </c>
      <c r="AL32" s="108">
        <v>1</v>
      </c>
      <c r="AM32" s="108">
        <v>1</v>
      </c>
      <c r="AN32" s="108">
        <v>1</v>
      </c>
      <c r="AO32" s="108">
        <v>1</v>
      </c>
      <c r="AQ32" s="208"/>
    </row>
    <row r="33" spans="1:43" ht="12" customHeight="1">
      <c r="A33" s="330">
        <v>52456</v>
      </c>
      <c r="B33" s="331"/>
      <c r="C33" s="88"/>
      <c r="D33" s="340" t="s">
        <v>98</v>
      </c>
      <c r="E33" s="341">
        <v>4</v>
      </c>
      <c r="F33" s="432" t="s">
        <v>2216</v>
      </c>
      <c r="G33" s="433" t="s">
        <v>98</v>
      </c>
      <c r="H33" s="434" t="s">
        <v>247</v>
      </c>
      <c r="I33" s="434" t="s">
        <v>248</v>
      </c>
      <c r="J33" s="94" t="s">
        <v>98</v>
      </c>
      <c r="K33" s="433" t="s">
        <v>96</v>
      </c>
      <c r="L33" s="435">
        <v>3.3850992799046639E-4</v>
      </c>
      <c r="M33" s="95">
        <v>1</v>
      </c>
      <c r="N33" s="96">
        <v>1.0906744032152329</v>
      </c>
      <c r="O33" s="432" t="s">
        <v>3103</v>
      </c>
      <c r="Q33" s="505"/>
      <c r="R33" s="505"/>
      <c r="S33" s="505"/>
      <c r="T33" s="505"/>
      <c r="U33" s="211"/>
      <c r="V33" s="211"/>
      <c r="X33" s="77" t="s">
        <v>2217</v>
      </c>
      <c r="Y33" s="339">
        <v>2</v>
      </c>
      <c r="Z33" s="339">
        <v>2</v>
      </c>
      <c r="AA33" s="339">
        <v>1</v>
      </c>
      <c r="AB33" s="339">
        <v>1</v>
      </c>
      <c r="AC33" s="339">
        <v>1</v>
      </c>
      <c r="AD33" s="339">
        <v>3</v>
      </c>
      <c r="AE33" s="104">
        <v>13</v>
      </c>
      <c r="AF33" s="104">
        <v>1.05</v>
      </c>
      <c r="AG33" s="107">
        <v>1.0744244531716256</v>
      </c>
      <c r="AH33" s="107">
        <v>1.0906744032152329</v>
      </c>
      <c r="AI33" s="107" t="s">
        <v>2270</v>
      </c>
      <c r="AJ33" s="108">
        <v>1.05</v>
      </c>
      <c r="AK33" s="108">
        <v>1.02</v>
      </c>
      <c r="AL33" s="108">
        <v>1</v>
      </c>
      <c r="AM33" s="108">
        <v>1</v>
      </c>
      <c r="AN33" s="108">
        <v>1</v>
      </c>
      <c r="AO33" s="108">
        <v>1.05</v>
      </c>
      <c r="AQ33" s="208"/>
    </row>
    <row r="34" spans="1:43" s="207" customFormat="1" ht="12" customHeight="1">
      <c r="A34" s="330"/>
      <c r="B34" s="331"/>
      <c r="C34" s="88"/>
      <c r="D34" s="340"/>
      <c r="E34" s="341"/>
      <c r="F34" s="432"/>
      <c r="G34" s="433"/>
      <c r="H34" s="434"/>
      <c r="I34" s="434"/>
      <c r="J34" s="94"/>
      <c r="K34" s="433"/>
      <c r="L34" s="435"/>
      <c r="M34" s="95"/>
      <c r="N34" s="96"/>
      <c r="O34" s="432"/>
      <c r="P34" s="179"/>
      <c r="Q34" s="505"/>
      <c r="R34" s="505"/>
      <c r="S34" s="505"/>
      <c r="T34" s="505"/>
      <c r="U34" s="211"/>
      <c r="V34" s="211"/>
      <c r="W34" s="212"/>
      <c r="X34" s="77"/>
      <c r="Y34" s="339"/>
      <c r="Z34" s="339"/>
      <c r="AA34" s="339"/>
      <c r="AB34" s="339"/>
      <c r="AC34" s="339"/>
      <c r="AD34" s="339"/>
      <c r="AE34" s="104"/>
      <c r="AF34" s="104"/>
      <c r="AG34" s="107"/>
      <c r="AH34" s="107"/>
      <c r="AI34" s="107"/>
      <c r="AJ34" s="108"/>
      <c r="AK34" s="108"/>
      <c r="AL34" s="108"/>
      <c r="AM34" s="108"/>
      <c r="AN34" s="108"/>
      <c r="AO34" s="108"/>
      <c r="AP34" s="399"/>
      <c r="AQ34" s="208"/>
    </row>
    <row r="35" spans="1:43" s="207" customFormat="1" ht="12.75">
      <c r="A35" s="378"/>
      <c r="B35" s="114"/>
      <c r="C35" s="115"/>
      <c r="D35" s="378"/>
      <c r="E35" s="378"/>
      <c r="F35" s="370"/>
      <c r="G35" s="378"/>
      <c r="H35" s="378"/>
      <c r="I35" s="378"/>
      <c r="J35" s="378"/>
      <c r="K35" s="378"/>
      <c r="L35" s="500">
        <v>1</v>
      </c>
      <c r="M35" s="116"/>
      <c r="N35" s="116"/>
      <c r="O35" s="116"/>
      <c r="P35" s="179"/>
      <c r="Q35" s="542">
        <v>0.99999999999999967</v>
      </c>
      <c r="R35" s="505"/>
      <c r="S35" s="505"/>
      <c r="T35" s="505"/>
      <c r="U35" s="212"/>
      <c r="V35" s="212"/>
      <c r="W35" s="212"/>
      <c r="X35" s="407"/>
      <c r="Y35" s="407"/>
      <c r="Z35" s="407"/>
      <c r="AA35" s="407"/>
      <c r="AB35" s="407"/>
      <c r="AC35" s="407"/>
      <c r="AD35" s="407"/>
      <c r="AE35" s="407"/>
      <c r="AF35" s="378"/>
      <c r="AG35" s="378"/>
      <c r="AH35" s="378"/>
      <c r="AI35" s="378"/>
      <c r="AJ35" s="378"/>
      <c r="AK35" s="378"/>
      <c r="AL35" s="378"/>
      <c r="AM35" s="378"/>
      <c r="AN35" s="378"/>
      <c r="AO35" s="378"/>
      <c r="AP35" s="399"/>
      <c r="AQ35" s="208"/>
    </row>
    <row r="36" spans="1:43" s="207" customFormat="1">
      <c r="A36" s="378"/>
      <c r="B36" s="114"/>
      <c r="C36" s="115"/>
      <c r="D36" s="378"/>
      <c r="E36" s="378"/>
      <c r="F36" s="370"/>
      <c r="G36" s="378"/>
      <c r="H36" s="378"/>
      <c r="I36" s="378"/>
      <c r="J36" s="378"/>
      <c r="K36" s="378"/>
      <c r="L36" s="378"/>
      <c r="M36" s="116"/>
      <c r="N36" s="116"/>
      <c r="O36" s="116"/>
      <c r="P36" s="179"/>
      <c r="Q36" s="505"/>
      <c r="R36" s="505"/>
      <c r="S36" s="505"/>
      <c r="T36" s="505"/>
      <c r="U36" s="212"/>
      <c r="V36" s="212"/>
      <c r="W36" s="212"/>
      <c r="X36" s="407"/>
      <c r="Y36" s="407"/>
      <c r="Z36" s="407"/>
      <c r="AA36" s="407"/>
      <c r="AB36" s="407"/>
      <c r="AC36" s="407"/>
      <c r="AD36" s="407"/>
      <c r="AE36" s="407"/>
      <c r="AF36" s="378"/>
      <c r="AG36" s="378"/>
      <c r="AH36" s="378"/>
      <c r="AI36" s="378"/>
      <c r="AJ36" s="378"/>
      <c r="AK36" s="378"/>
      <c r="AL36" s="378"/>
      <c r="AM36" s="378"/>
      <c r="AN36" s="378"/>
      <c r="AO36" s="378"/>
      <c r="AP36" s="399"/>
      <c r="AQ36" s="208"/>
    </row>
    <row r="37" spans="1:43" s="207" customFormat="1">
      <c r="A37" s="378"/>
      <c r="B37" s="114"/>
      <c r="C37" s="115"/>
      <c r="D37" s="378"/>
      <c r="E37" s="378"/>
      <c r="F37" s="370"/>
      <c r="G37" s="378"/>
      <c r="H37" s="378"/>
      <c r="I37" s="378"/>
      <c r="J37" s="378"/>
      <c r="K37" s="378"/>
      <c r="L37" s="378"/>
      <c r="M37" s="116"/>
      <c r="N37" s="116"/>
      <c r="O37" s="116"/>
      <c r="P37" s="179"/>
      <c r="Q37" s="212"/>
      <c r="R37" s="212"/>
      <c r="S37" s="212"/>
      <c r="T37" s="212"/>
      <c r="U37" s="212"/>
      <c r="V37" s="212"/>
      <c r="W37" s="212"/>
      <c r="X37" s="407"/>
      <c r="Y37" s="407"/>
      <c r="Z37" s="407"/>
      <c r="AA37" s="407"/>
      <c r="AB37" s="407"/>
      <c r="AC37" s="407"/>
      <c r="AD37" s="407"/>
      <c r="AE37" s="407"/>
      <c r="AF37" s="378"/>
      <c r="AG37" s="378"/>
      <c r="AH37" s="378"/>
      <c r="AI37" s="378"/>
      <c r="AJ37" s="378"/>
      <c r="AK37" s="378"/>
      <c r="AL37" s="378"/>
      <c r="AM37" s="378"/>
      <c r="AN37" s="378"/>
      <c r="AO37" s="378"/>
      <c r="AP37" s="399"/>
      <c r="AQ37" s="208"/>
    </row>
  </sheetData>
  <mergeCells count="1">
    <mergeCell ref="Y1:AD1"/>
  </mergeCells>
  <conditionalFormatting sqref="D8:O34 X8:AD34">
    <cfRule type="expression" dxfId="48" priority="1">
      <formula>MOD(ROW(),2)=0</formula>
    </cfRule>
  </conditionalFormatting>
  <conditionalFormatting sqref="AE8:AO34">
    <cfRule type="expression" dxfId="47" priority="2">
      <formula>MOD(ROW(),2)=0</formula>
    </cfRule>
  </conditionalFormatting>
  <dataValidations count="12">
    <dataValidation allowBlank="1" showInputMessage="1" showErrorMessage="1" promptTitle="Remarks" prompt="A general comment (data source, calculation procedure, ...) can be made about each individual exchange. The remarks are added to the GeneralComment-field." sqref="X3" xr:uid="{EE81C10B-54B4-41B1-A992-91B9E7CB4581}"/>
    <dataValidation allowBlank="1" showInputMessage="1" showErrorMessage="1" prompt="Do not change." sqref="AE3:AO4" xr:uid="{CB6F6524-31DC-4245-9BD3-2CEB2CAE748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Z3" xr:uid="{D8923F32-FBF4-40E6-804E-C3C22A296462}"/>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A3" xr:uid="{0FA8D772-DBD3-42A0-B8D2-31221008AD6B}"/>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B3" xr:uid="{B2ABC0D3-FD5C-4A90-A63D-04D578CB7019}"/>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C3" xr:uid="{8FE692C5-BC8E-4FDB-9EBA-5850966FA16F}"/>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D3" xr:uid="{377A54B0-7407-4181-95B9-21E88E43D143}"/>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Y3" xr:uid="{642508CF-DC2C-4031-9E6D-B6C5132C0264}"/>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7" xr:uid="{3A516082-874D-492E-9576-D4E88D7FC115}"/>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7" xr:uid="{2C4DFA48-1C80-4188-95EC-91524F837E6C}"/>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7" xr:uid="{28AF689A-7E46-4696-A74F-B0CA1DE96C8D}"/>
    <dataValidation allowBlank="1" showInputMessage="1" showErrorMessage="1" promptTitle="Do not change" prompt="This field is automatically updated from the names-list" sqref="AE8:AE34" xr:uid="{684A700E-BDAF-4ECD-AC42-63979816571F}"/>
  </dataValidations>
  <pageMargins left="0.78740157499999996" right="0.78740157499999996" top="0.984251969" bottom="0.984251969" header="0.4921259845" footer="0.4921259845"/>
  <pageSetup paperSize="9" scale="12"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960B9-788B-4800-8690-F7514C49BB6A}">
  <sheetPr codeName="Sheet15">
    <tabColor rgb="FF9CD9F0"/>
    <pageSetUpPr fitToPage="1"/>
  </sheetPr>
  <dimension ref="A1:CI30"/>
  <sheetViews>
    <sheetView topLeftCell="J1" workbookViewId="0">
      <selection activeCell="A31" sqref="A31:XFD42"/>
    </sheetView>
  </sheetViews>
  <sheetFormatPr baseColWidth="10" defaultColWidth="11.42578125" defaultRowHeight="12" outlineLevelCol="1"/>
  <cols>
    <col min="1" max="1" width="11.28515625" style="378" customWidth="1"/>
    <col min="2" max="2" width="15.28515625" style="114" customWidth="1"/>
    <col min="3" max="3" width="3.7109375" style="115" hidden="1" customWidth="1" outlineLevel="1"/>
    <col min="4" max="4" width="4.140625" style="378" hidden="1" customWidth="1" outlineLevel="1"/>
    <col min="5" max="5" width="4" style="378" hidden="1" customWidth="1" outlineLevel="1"/>
    <col min="6" max="6" width="73.140625" style="370"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2.7109375" style="378" customWidth="1" collapsed="1"/>
    <col min="33" max="34" width="5.7109375" style="116" hidden="1" customWidth="1" outlineLevel="1"/>
    <col min="35" max="35" width="50.7109375" style="116" hidden="1" customWidth="1" outlineLevel="1"/>
    <col min="36" max="36" width="12.7109375" style="378" customWidth="1" collapsed="1"/>
    <col min="37" max="38" width="5.7109375" style="116" hidden="1" customWidth="1" outlineLevel="1"/>
    <col min="39" max="39" width="50.7109375" style="116" hidden="1" customWidth="1" outlineLevel="1"/>
    <col min="40" max="40" width="12.7109375" style="378" customWidth="1" collapsed="1"/>
    <col min="41" max="42" width="5.7109375" style="116" hidden="1" customWidth="1" outlineLevel="1"/>
    <col min="43" max="43" width="50.7109375" style="116" hidden="1" customWidth="1" outlineLevel="1"/>
    <col min="44" max="44" width="12.7109375" style="378" customWidth="1" collapsed="1"/>
    <col min="45" max="46" width="5.7109375" style="116" hidden="1" customWidth="1" outlineLevel="1"/>
    <col min="47" max="47" width="50.7109375" style="116" hidden="1" customWidth="1" outlineLevel="1"/>
    <col min="48" max="48" width="12.7109375" style="378" customWidth="1" collapsed="1"/>
    <col min="49" max="50" width="5.7109375" style="116" hidden="1" customWidth="1" outlineLevel="1"/>
    <col min="51" max="51" width="50.7109375" style="116" hidden="1" customWidth="1" outlineLevel="1"/>
    <col min="52" max="52" width="12.7109375" style="378" customWidth="1" collapsed="1"/>
    <col min="53" max="54" width="5.7109375" style="116" hidden="1" customWidth="1" outlineLevel="1"/>
    <col min="55" max="55" width="50.7109375" style="116" hidden="1" customWidth="1" outlineLevel="1"/>
    <col min="56" max="56" width="12.7109375" style="378" customWidth="1" collapsed="1"/>
    <col min="57" max="58" width="5.7109375" style="116" hidden="1" customWidth="1" outlineLevel="1"/>
    <col min="59" max="59" width="50.7109375" style="116" hidden="1" customWidth="1" outlineLevel="1"/>
    <col min="60" max="60" width="10.7109375" style="212" customWidth="1" collapsed="1"/>
    <col min="61" max="61" width="13.85546875" style="212" customWidth="1"/>
    <col min="62" max="62" width="10.7109375" style="212" customWidth="1"/>
    <col min="63" max="64" width="8.7109375" style="212" customWidth="1"/>
    <col min="65" max="66" width="6.7109375" style="212" customWidth="1"/>
    <col min="67" max="67" width="30.7109375" style="407" customWidth="1"/>
    <col min="68" max="68" width="4.140625" style="407" customWidth="1"/>
    <col min="69" max="69" width="4.42578125" style="407" customWidth="1"/>
    <col min="70" max="70" width="4.28515625" style="407" customWidth="1"/>
    <col min="71" max="71" width="4" style="407" customWidth="1"/>
    <col min="72" max="72" width="3.7109375" style="407" customWidth="1"/>
    <col min="73" max="73" width="4.28515625" style="407" customWidth="1"/>
    <col min="74" max="74" width="3.42578125" style="407" hidden="1" customWidth="1" outlineLevel="1"/>
    <col min="75" max="75" width="4.7109375" style="378" hidden="1" customWidth="1" outlineLevel="1"/>
    <col min="76" max="77" width="5.42578125" style="378" hidden="1" customWidth="1" outlineLevel="1"/>
    <col min="78" max="78" width="14.85546875" style="378" hidden="1" customWidth="1" outlineLevel="1"/>
    <col min="79" max="79" width="4.28515625" style="378" hidden="1" customWidth="1" outlineLevel="1"/>
    <col min="80" max="82" width="4.42578125" style="378" hidden="1" customWidth="1" outlineLevel="1"/>
    <col min="83" max="83" width="4.28515625" style="378" hidden="1" customWidth="1" outlineLevel="1"/>
    <col min="84" max="84" width="4.42578125" style="378" hidden="1" customWidth="1" outlineLevel="1"/>
    <col min="85" max="85" width="11.42578125" style="399" customWidth="1" collapsed="1"/>
    <col min="86" max="86" width="17.42578125" style="207" customWidth="1"/>
    <col min="87" max="87" width="11.42578125" style="207" customWidth="1"/>
    <col min="88" max="89" width="11.42578125" style="399" customWidth="1"/>
    <col min="90" max="16384" width="11.42578125" style="399"/>
  </cols>
  <sheetData>
    <row r="1" spans="1:86">
      <c r="A1" s="1205"/>
      <c r="B1" s="1206"/>
      <c r="C1" s="1207"/>
      <c r="D1" s="1205"/>
      <c r="E1" s="1205"/>
      <c r="F1" s="1208" t="s">
        <v>65</v>
      </c>
      <c r="G1" s="1205"/>
      <c r="H1" s="1205"/>
      <c r="I1" s="1205"/>
      <c r="J1" s="1205"/>
      <c r="K1" s="1205"/>
      <c r="L1" s="1227" t="s">
        <v>2231</v>
      </c>
      <c r="M1" s="1209"/>
      <c r="N1" s="1209"/>
      <c r="O1" s="1209"/>
      <c r="P1" s="1227" t="s">
        <v>2232</v>
      </c>
      <c r="Q1" s="1209"/>
      <c r="R1" s="1209"/>
      <c r="S1" s="1209"/>
      <c r="T1" s="1227" t="s">
        <v>2233</v>
      </c>
      <c r="U1" s="1209"/>
      <c r="V1" s="1209"/>
      <c r="W1" s="1209"/>
      <c r="X1" s="1227" t="s">
        <v>2234</v>
      </c>
      <c r="Y1" s="1209"/>
      <c r="Z1" s="1209"/>
      <c r="AA1" s="1209"/>
      <c r="AB1" s="1227" t="s">
        <v>2235</v>
      </c>
      <c r="AC1" s="1209"/>
      <c r="AD1" s="1209"/>
      <c r="AE1" s="1209"/>
      <c r="AF1" s="1227" t="s">
        <v>2236</v>
      </c>
      <c r="AG1" s="1209"/>
      <c r="AH1" s="1209"/>
      <c r="AI1" s="1209"/>
      <c r="AJ1" s="1227" t="s">
        <v>2237</v>
      </c>
      <c r="AK1" s="1209"/>
      <c r="AL1" s="1209"/>
      <c r="AM1" s="1209"/>
      <c r="AN1" s="1227" t="s">
        <v>2238</v>
      </c>
      <c r="AO1" s="1209"/>
      <c r="AP1" s="1209"/>
      <c r="AQ1" s="1209"/>
      <c r="AR1" s="1227" t="s">
        <v>2239</v>
      </c>
      <c r="AS1" s="1209"/>
      <c r="AT1" s="1209"/>
      <c r="AU1" s="1209"/>
      <c r="AV1" s="1227" t="s">
        <v>2240</v>
      </c>
      <c r="AW1" s="1209"/>
      <c r="AX1" s="1209"/>
      <c r="AY1" s="1209"/>
      <c r="AZ1" s="1227" t="s">
        <v>2241</v>
      </c>
      <c r="BA1" s="1209"/>
      <c r="BB1" s="1209"/>
      <c r="BC1" s="1209"/>
      <c r="BD1" s="1227" t="s">
        <v>2242</v>
      </c>
      <c r="BE1" s="81"/>
      <c r="BF1" s="81"/>
      <c r="BG1" s="81"/>
      <c r="BO1" s="378"/>
      <c r="BP1" s="1586"/>
      <c r="BQ1" s="1581"/>
      <c r="BR1" s="1581"/>
      <c r="BS1" s="1581"/>
      <c r="BT1" s="1581"/>
      <c r="BU1" s="1581"/>
      <c r="BV1" s="406"/>
      <c r="BW1" s="406"/>
      <c r="BX1" s="406"/>
      <c r="BY1" s="406"/>
      <c r="BZ1" s="406"/>
    </row>
    <row r="2" spans="1:86">
      <c r="A2" s="1205"/>
      <c r="B2" s="1210"/>
      <c r="C2" s="1207" t="s">
        <v>67</v>
      </c>
      <c r="D2" s="1210">
        <v>3503</v>
      </c>
      <c r="E2" s="1210">
        <v>3504</v>
      </c>
      <c r="F2" s="1210">
        <v>3702</v>
      </c>
      <c r="G2" s="1210">
        <v>3703</v>
      </c>
      <c r="H2" s="1210">
        <v>3506</v>
      </c>
      <c r="I2" s="1210">
        <v>3507</v>
      </c>
      <c r="J2" s="1210">
        <v>3508</v>
      </c>
      <c r="K2" s="1210">
        <v>3706</v>
      </c>
      <c r="L2" s="1210">
        <v>3707</v>
      </c>
      <c r="M2" s="1231">
        <v>3708</v>
      </c>
      <c r="N2" s="1231">
        <v>3709</v>
      </c>
      <c r="O2" s="1232">
        <v>3792</v>
      </c>
      <c r="P2" s="1210">
        <v>3707</v>
      </c>
      <c r="Q2" s="1231">
        <v>3708</v>
      </c>
      <c r="R2" s="1231">
        <v>3709</v>
      </c>
      <c r="S2" s="1232">
        <v>3792</v>
      </c>
      <c r="T2" s="1210">
        <v>3707</v>
      </c>
      <c r="U2" s="1231">
        <v>3708</v>
      </c>
      <c r="V2" s="1231">
        <v>3709</v>
      </c>
      <c r="W2" s="1232">
        <v>3792</v>
      </c>
      <c r="X2" s="1210">
        <v>3707</v>
      </c>
      <c r="Y2" s="1231">
        <v>3708</v>
      </c>
      <c r="Z2" s="1231">
        <v>3709</v>
      </c>
      <c r="AA2" s="1232">
        <v>3792</v>
      </c>
      <c r="AB2" s="1210">
        <v>3707</v>
      </c>
      <c r="AC2" s="1231">
        <v>3708</v>
      </c>
      <c r="AD2" s="1231">
        <v>3709</v>
      </c>
      <c r="AE2" s="1232">
        <v>3792</v>
      </c>
      <c r="AF2" s="1210">
        <v>3707</v>
      </c>
      <c r="AG2" s="1231">
        <v>3708</v>
      </c>
      <c r="AH2" s="1231">
        <v>3709</v>
      </c>
      <c r="AI2" s="1232">
        <v>3792</v>
      </c>
      <c r="AJ2" s="1210">
        <v>3707</v>
      </c>
      <c r="AK2" s="1231">
        <v>3708</v>
      </c>
      <c r="AL2" s="1231">
        <v>3709</v>
      </c>
      <c r="AM2" s="1232">
        <v>3792</v>
      </c>
      <c r="AN2" s="1210">
        <v>3707</v>
      </c>
      <c r="AO2" s="1231">
        <v>3708</v>
      </c>
      <c r="AP2" s="1231">
        <v>3709</v>
      </c>
      <c r="AQ2" s="1232">
        <v>3792</v>
      </c>
      <c r="AR2" s="1210">
        <v>3707</v>
      </c>
      <c r="AS2" s="1231">
        <v>3708</v>
      </c>
      <c r="AT2" s="1231">
        <v>3709</v>
      </c>
      <c r="AU2" s="1232">
        <v>3792</v>
      </c>
      <c r="AV2" s="1210">
        <v>3707</v>
      </c>
      <c r="AW2" s="1231">
        <v>3708</v>
      </c>
      <c r="AX2" s="1231">
        <v>3709</v>
      </c>
      <c r="AY2" s="1232">
        <v>3792</v>
      </c>
      <c r="AZ2" s="1210">
        <v>3707</v>
      </c>
      <c r="BA2" s="1231">
        <v>3708</v>
      </c>
      <c r="BB2" s="1231">
        <v>3709</v>
      </c>
      <c r="BC2" s="1232">
        <v>3792</v>
      </c>
      <c r="BD2" s="1210">
        <v>3707</v>
      </c>
      <c r="BE2" s="419">
        <v>3708</v>
      </c>
      <c r="BF2" s="419">
        <v>3709</v>
      </c>
      <c r="BG2" s="420">
        <v>3792</v>
      </c>
      <c r="BH2" s="253"/>
      <c r="BI2" s="253"/>
      <c r="BJ2" s="253"/>
      <c r="BK2" s="253"/>
      <c r="BL2" s="253"/>
      <c r="BM2" s="253"/>
      <c r="BN2" s="253"/>
      <c r="BO2" s="406"/>
      <c r="BP2" s="406"/>
      <c r="BQ2" s="406"/>
      <c r="BR2" s="406"/>
      <c r="BS2" s="406"/>
      <c r="BT2" s="406"/>
      <c r="BU2" s="406"/>
      <c r="BV2" s="406"/>
    </row>
    <row r="3" spans="1:86" ht="96" customHeight="1">
      <c r="A3" s="1211" t="s">
        <v>68</v>
      </c>
      <c r="B3" s="1212"/>
      <c r="C3" s="1207">
        <v>401</v>
      </c>
      <c r="D3" s="1213" t="s">
        <v>69</v>
      </c>
      <c r="E3" s="1213" t="s">
        <v>70</v>
      </c>
      <c r="F3" s="1214" t="s">
        <v>71</v>
      </c>
      <c r="G3" s="1213" t="s">
        <v>72</v>
      </c>
      <c r="H3" s="1213" t="s">
        <v>73</v>
      </c>
      <c r="I3" s="1213" t="s">
        <v>74</v>
      </c>
      <c r="J3" s="1213" t="s">
        <v>75</v>
      </c>
      <c r="K3" s="1213" t="s">
        <v>76</v>
      </c>
      <c r="L3" s="1215" t="s">
        <v>2218</v>
      </c>
      <c r="M3" s="1233" t="s">
        <v>78</v>
      </c>
      <c r="N3" s="1233" t="s">
        <v>79</v>
      </c>
      <c r="O3" s="1234" t="s">
        <v>80</v>
      </c>
      <c r="P3" s="1215" t="s">
        <v>2219</v>
      </c>
      <c r="Q3" s="1233" t="s">
        <v>78</v>
      </c>
      <c r="R3" s="1233" t="s">
        <v>79</v>
      </c>
      <c r="S3" s="1234" t="s">
        <v>80</v>
      </c>
      <c r="T3" s="1215" t="s">
        <v>2220</v>
      </c>
      <c r="U3" s="1233" t="s">
        <v>78</v>
      </c>
      <c r="V3" s="1233" t="s">
        <v>79</v>
      </c>
      <c r="W3" s="1234" t="s">
        <v>80</v>
      </c>
      <c r="X3" s="1215" t="s">
        <v>2221</v>
      </c>
      <c r="Y3" s="1233" t="s">
        <v>78</v>
      </c>
      <c r="Z3" s="1233" t="s">
        <v>79</v>
      </c>
      <c r="AA3" s="1234" t="s">
        <v>80</v>
      </c>
      <c r="AB3" s="1215" t="s">
        <v>2222</v>
      </c>
      <c r="AC3" s="1233" t="s">
        <v>78</v>
      </c>
      <c r="AD3" s="1233" t="s">
        <v>79</v>
      </c>
      <c r="AE3" s="1234" t="s">
        <v>80</v>
      </c>
      <c r="AF3" s="1215" t="s">
        <v>2223</v>
      </c>
      <c r="AG3" s="1233" t="s">
        <v>78</v>
      </c>
      <c r="AH3" s="1233" t="s">
        <v>79</v>
      </c>
      <c r="AI3" s="1234" t="s">
        <v>80</v>
      </c>
      <c r="AJ3" s="1215" t="s">
        <v>2224</v>
      </c>
      <c r="AK3" s="1233" t="s">
        <v>78</v>
      </c>
      <c r="AL3" s="1233" t="s">
        <v>79</v>
      </c>
      <c r="AM3" s="1234" t="s">
        <v>80</v>
      </c>
      <c r="AN3" s="1215" t="s">
        <v>2225</v>
      </c>
      <c r="AO3" s="1233" t="s">
        <v>78</v>
      </c>
      <c r="AP3" s="1233" t="s">
        <v>79</v>
      </c>
      <c r="AQ3" s="1234" t="s">
        <v>80</v>
      </c>
      <c r="AR3" s="1215" t="s">
        <v>2226</v>
      </c>
      <c r="AS3" s="1233" t="s">
        <v>78</v>
      </c>
      <c r="AT3" s="1233" t="s">
        <v>79</v>
      </c>
      <c r="AU3" s="1234" t="s">
        <v>80</v>
      </c>
      <c r="AV3" s="1215" t="s">
        <v>2227</v>
      </c>
      <c r="AW3" s="1233" t="s">
        <v>78</v>
      </c>
      <c r="AX3" s="1233" t="s">
        <v>79</v>
      </c>
      <c r="AY3" s="1234" t="s">
        <v>80</v>
      </c>
      <c r="AZ3" s="1215" t="s">
        <v>2228</v>
      </c>
      <c r="BA3" s="1233" t="s">
        <v>78</v>
      </c>
      <c r="BB3" s="1233" t="s">
        <v>79</v>
      </c>
      <c r="BC3" s="1234" t="s">
        <v>80</v>
      </c>
      <c r="BD3" s="1215" t="s">
        <v>2229</v>
      </c>
      <c r="BE3" s="422" t="s">
        <v>78</v>
      </c>
      <c r="BF3" s="422" t="s">
        <v>79</v>
      </c>
      <c r="BG3" s="423" t="s">
        <v>80</v>
      </c>
      <c r="BH3" s="210" t="s">
        <v>2198</v>
      </c>
      <c r="BI3" s="210" t="s">
        <v>2199</v>
      </c>
      <c r="BJ3" s="210" t="s">
        <v>2200</v>
      </c>
      <c r="BK3" s="210" t="s">
        <v>2201</v>
      </c>
      <c r="BL3" s="210" t="s">
        <v>2202</v>
      </c>
      <c r="BM3" s="210" t="s">
        <v>2033</v>
      </c>
      <c r="BN3" s="210" t="s">
        <v>2203</v>
      </c>
      <c r="BO3" s="97" t="s">
        <v>363</v>
      </c>
      <c r="BP3" s="98" t="s">
        <v>364</v>
      </c>
      <c r="BQ3" s="98" t="s">
        <v>365</v>
      </c>
      <c r="BR3" s="98" t="s">
        <v>366</v>
      </c>
      <c r="BS3" s="98" t="s">
        <v>367</v>
      </c>
      <c r="BT3" s="98" t="s">
        <v>368</v>
      </c>
      <c r="BU3" s="98" t="s">
        <v>369</v>
      </c>
      <c r="BV3" s="99" t="s">
        <v>88</v>
      </c>
      <c r="BW3" s="99" t="s">
        <v>370</v>
      </c>
      <c r="BX3" s="99" t="s">
        <v>90</v>
      </c>
      <c r="BY3" s="99" t="s">
        <v>91</v>
      </c>
      <c r="BZ3" s="99" t="s">
        <v>371</v>
      </c>
      <c r="CA3" s="100" t="s">
        <v>364</v>
      </c>
      <c r="CB3" s="100" t="s">
        <v>365</v>
      </c>
      <c r="CC3" s="100" t="s">
        <v>366</v>
      </c>
      <c r="CD3" s="100" t="s">
        <v>367</v>
      </c>
      <c r="CE3" s="100" t="s">
        <v>368</v>
      </c>
      <c r="CF3" s="100" t="s">
        <v>369</v>
      </c>
    </row>
    <row r="4" spans="1:86" ht="12.75" customHeight="1">
      <c r="A4" s="1205"/>
      <c r="B4" s="1212"/>
      <c r="C4" s="1207">
        <v>662</v>
      </c>
      <c r="D4" s="1214"/>
      <c r="E4" s="1214"/>
      <c r="F4" s="1214" t="s">
        <v>72</v>
      </c>
      <c r="G4" s="1214"/>
      <c r="H4" s="1214"/>
      <c r="I4" s="1214"/>
      <c r="J4" s="1214"/>
      <c r="K4" s="1214"/>
      <c r="L4" s="1215" t="s">
        <v>2230</v>
      </c>
      <c r="M4" s="1235"/>
      <c r="N4" s="1235"/>
      <c r="O4" s="1236"/>
      <c r="P4" s="1215" t="s">
        <v>2230</v>
      </c>
      <c r="Q4" s="1235"/>
      <c r="R4" s="1235"/>
      <c r="S4" s="1236"/>
      <c r="T4" s="1215" t="s">
        <v>2230</v>
      </c>
      <c r="U4" s="1235"/>
      <c r="V4" s="1235"/>
      <c r="W4" s="1236"/>
      <c r="X4" s="1215" t="s">
        <v>2230</v>
      </c>
      <c r="Y4" s="1235"/>
      <c r="Z4" s="1235"/>
      <c r="AA4" s="1236"/>
      <c r="AB4" s="1215" t="s">
        <v>2230</v>
      </c>
      <c r="AC4" s="1235"/>
      <c r="AD4" s="1235"/>
      <c r="AE4" s="1236"/>
      <c r="AF4" s="1215" t="s">
        <v>2230</v>
      </c>
      <c r="AG4" s="1235"/>
      <c r="AH4" s="1235"/>
      <c r="AI4" s="1236"/>
      <c r="AJ4" s="1215" t="s">
        <v>2230</v>
      </c>
      <c r="AK4" s="1235"/>
      <c r="AL4" s="1235"/>
      <c r="AM4" s="1236"/>
      <c r="AN4" s="1215" t="s">
        <v>2230</v>
      </c>
      <c r="AO4" s="1235"/>
      <c r="AP4" s="1235"/>
      <c r="AQ4" s="1236"/>
      <c r="AR4" s="1215" t="s">
        <v>2230</v>
      </c>
      <c r="AS4" s="1235"/>
      <c r="AT4" s="1235"/>
      <c r="AU4" s="1236"/>
      <c r="AV4" s="1215" t="s">
        <v>2230</v>
      </c>
      <c r="AW4" s="1235"/>
      <c r="AX4" s="1235"/>
      <c r="AY4" s="1236"/>
      <c r="AZ4" s="1215" t="s">
        <v>2230</v>
      </c>
      <c r="BA4" s="1235"/>
      <c r="BB4" s="1235"/>
      <c r="BC4" s="1236"/>
      <c r="BD4" s="1215" t="s">
        <v>2230</v>
      </c>
      <c r="BE4" s="425"/>
      <c r="BF4" s="425"/>
      <c r="BG4" s="426"/>
      <c r="BH4" s="210" t="s">
        <v>103</v>
      </c>
      <c r="BI4" s="210" t="s">
        <v>103</v>
      </c>
      <c r="BJ4" s="210" t="s">
        <v>103</v>
      </c>
      <c r="BK4" s="210"/>
      <c r="BL4" s="210"/>
      <c r="BM4" s="210"/>
      <c r="BN4" s="210"/>
      <c r="BO4" s="101"/>
      <c r="BP4" s="102" t="s">
        <v>94</v>
      </c>
      <c r="BQ4" s="97"/>
      <c r="BR4" s="97"/>
      <c r="BS4" s="97"/>
      <c r="BT4" s="97"/>
      <c r="BU4" s="97"/>
      <c r="BV4" s="103"/>
      <c r="BW4" s="103"/>
      <c r="BX4" s="103" t="s">
        <v>95</v>
      </c>
      <c r="BY4" s="103" t="s">
        <v>95</v>
      </c>
      <c r="BZ4" s="104"/>
      <c r="CA4" s="105"/>
      <c r="CB4" s="105"/>
      <c r="CC4" s="105"/>
      <c r="CD4" s="105"/>
      <c r="CE4" s="105"/>
      <c r="CF4" s="105"/>
    </row>
    <row r="5" spans="1:86">
      <c r="A5" s="1205"/>
      <c r="B5" s="1212"/>
      <c r="C5" s="1207">
        <v>493</v>
      </c>
      <c r="D5" s="1214"/>
      <c r="E5" s="1214"/>
      <c r="F5" s="1214" t="s">
        <v>75</v>
      </c>
      <c r="G5" s="1214"/>
      <c r="H5" s="1214"/>
      <c r="I5" s="1214"/>
      <c r="J5" s="1214"/>
      <c r="K5" s="1214"/>
      <c r="L5" s="1215">
        <v>0</v>
      </c>
      <c r="M5" s="1235"/>
      <c r="N5" s="1235"/>
      <c r="O5" s="1236"/>
      <c r="P5" s="1215">
        <v>0</v>
      </c>
      <c r="Q5" s="1235"/>
      <c r="R5" s="1235"/>
      <c r="S5" s="1236"/>
      <c r="T5" s="1215">
        <v>0</v>
      </c>
      <c r="U5" s="1235"/>
      <c r="V5" s="1235"/>
      <c r="W5" s="1236"/>
      <c r="X5" s="1215">
        <v>0</v>
      </c>
      <c r="Y5" s="1235"/>
      <c r="Z5" s="1235"/>
      <c r="AA5" s="1236"/>
      <c r="AB5" s="1215">
        <v>0</v>
      </c>
      <c r="AC5" s="1235"/>
      <c r="AD5" s="1235"/>
      <c r="AE5" s="1236"/>
      <c r="AF5" s="1215">
        <v>0</v>
      </c>
      <c r="AG5" s="1235"/>
      <c r="AH5" s="1235"/>
      <c r="AI5" s="1236"/>
      <c r="AJ5" s="1215">
        <v>0</v>
      </c>
      <c r="AK5" s="1235"/>
      <c r="AL5" s="1235"/>
      <c r="AM5" s="1236"/>
      <c r="AN5" s="1215">
        <v>0</v>
      </c>
      <c r="AO5" s="1235"/>
      <c r="AP5" s="1235"/>
      <c r="AQ5" s="1236"/>
      <c r="AR5" s="1215">
        <v>0</v>
      </c>
      <c r="AS5" s="1235"/>
      <c r="AT5" s="1235"/>
      <c r="AU5" s="1236"/>
      <c r="AV5" s="1215">
        <v>0</v>
      </c>
      <c r="AW5" s="1235"/>
      <c r="AX5" s="1235"/>
      <c r="AY5" s="1236"/>
      <c r="AZ5" s="1215">
        <v>0</v>
      </c>
      <c r="BA5" s="1235"/>
      <c r="BB5" s="1235"/>
      <c r="BC5" s="1236"/>
      <c r="BD5" s="1215">
        <v>0</v>
      </c>
      <c r="BE5" s="425"/>
      <c r="BF5" s="425"/>
      <c r="BG5" s="426"/>
      <c r="BH5" s="210"/>
      <c r="BI5" s="210"/>
      <c r="BJ5" s="210"/>
      <c r="BK5" s="210"/>
      <c r="BL5" s="210"/>
      <c r="BM5" s="210"/>
      <c r="BN5" s="210"/>
      <c r="BO5" s="101"/>
      <c r="BP5" s="97"/>
      <c r="BQ5" s="97"/>
      <c r="BR5" s="97"/>
      <c r="BS5" s="97"/>
      <c r="BT5" s="97"/>
      <c r="BU5" s="97"/>
      <c r="BV5" s="104"/>
      <c r="BW5" s="104"/>
      <c r="BX5" s="104"/>
      <c r="BY5" s="104"/>
      <c r="BZ5" s="104"/>
      <c r="CA5" s="105"/>
      <c r="CB5" s="105"/>
      <c r="CC5" s="105"/>
      <c r="CD5" s="105"/>
      <c r="CE5" s="105"/>
      <c r="CF5" s="105"/>
    </row>
    <row r="6" spans="1:86">
      <c r="A6" s="1205"/>
      <c r="B6" s="1212"/>
      <c r="C6" s="1207">
        <v>403</v>
      </c>
      <c r="D6" s="1214"/>
      <c r="E6" s="1214"/>
      <c r="F6" s="1214" t="s">
        <v>76</v>
      </c>
      <c r="G6" s="1214"/>
      <c r="H6" s="1214"/>
      <c r="I6" s="1214"/>
      <c r="J6" s="1214"/>
      <c r="K6" s="1214"/>
      <c r="L6" s="1215" t="s">
        <v>109</v>
      </c>
      <c r="M6" s="1235"/>
      <c r="N6" s="1235"/>
      <c r="O6" s="1236"/>
      <c r="P6" s="1215" t="s">
        <v>109</v>
      </c>
      <c r="Q6" s="1235"/>
      <c r="R6" s="1235"/>
      <c r="S6" s="1236"/>
      <c r="T6" s="1215" t="s">
        <v>109</v>
      </c>
      <c r="U6" s="1235"/>
      <c r="V6" s="1235"/>
      <c r="W6" s="1236"/>
      <c r="X6" s="1215" t="s">
        <v>109</v>
      </c>
      <c r="Y6" s="1235"/>
      <c r="Z6" s="1235"/>
      <c r="AA6" s="1236"/>
      <c r="AB6" s="1215" t="s">
        <v>109</v>
      </c>
      <c r="AC6" s="1235"/>
      <c r="AD6" s="1235"/>
      <c r="AE6" s="1236"/>
      <c r="AF6" s="1215" t="s">
        <v>109</v>
      </c>
      <c r="AG6" s="1235"/>
      <c r="AH6" s="1235"/>
      <c r="AI6" s="1236"/>
      <c r="AJ6" s="1215" t="s">
        <v>109</v>
      </c>
      <c r="AK6" s="1235"/>
      <c r="AL6" s="1235"/>
      <c r="AM6" s="1236"/>
      <c r="AN6" s="1215" t="s">
        <v>109</v>
      </c>
      <c r="AO6" s="1235"/>
      <c r="AP6" s="1235"/>
      <c r="AQ6" s="1236"/>
      <c r="AR6" s="1215" t="s">
        <v>109</v>
      </c>
      <c r="AS6" s="1235"/>
      <c r="AT6" s="1235"/>
      <c r="AU6" s="1236"/>
      <c r="AV6" s="1215" t="s">
        <v>109</v>
      </c>
      <c r="AW6" s="1235"/>
      <c r="AX6" s="1235"/>
      <c r="AY6" s="1236"/>
      <c r="AZ6" s="1215" t="s">
        <v>109</v>
      </c>
      <c r="BA6" s="1235"/>
      <c r="BB6" s="1235"/>
      <c r="BC6" s="1236"/>
      <c r="BD6" s="1215" t="s">
        <v>109</v>
      </c>
      <c r="BE6" s="425"/>
      <c r="BF6" s="425"/>
      <c r="BG6" s="426"/>
      <c r="BH6" s="210" t="s">
        <v>1318</v>
      </c>
      <c r="BI6" s="210" t="s">
        <v>98</v>
      </c>
      <c r="BJ6" s="210" t="s">
        <v>2206</v>
      </c>
      <c r="BK6" s="210" t="s">
        <v>98</v>
      </c>
      <c r="BL6" s="210" t="s">
        <v>2207</v>
      </c>
      <c r="BM6" s="210" t="s">
        <v>1318</v>
      </c>
      <c r="BN6" s="210" t="s">
        <v>679</v>
      </c>
      <c r="BO6" s="101"/>
      <c r="BP6" s="106"/>
      <c r="BQ6" s="106"/>
      <c r="BR6" s="106"/>
      <c r="BS6" s="106"/>
      <c r="BT6" s="106"/>
      <c r="BU6" s="106"/>
      <c r="BV6" s="104"/>
      <c r="BW6" s="104"/>
      <c r="BX6" s="428"/>
      <c r="BY6" s="428"/>
      <c r="BZ6" s="107"/>
      <c r="CA6" s="105"/>
      <c r="CB6" s="105"/>
      <c r="CC6" s="105"/>
      <c r="CD6" s="105"/>
      <c r="CE6" s="105"/>
      <c r="CF6" s="105"/>
    </row>
    <row r="7" spans="1:86" ht="12" customHeight="1">
      <c r="A7" s="1227" t="s">
        <v>2231</v>
      </c>
      <c r="B7" s="1228"/>
      <c r="C7" s="1216"/>
      <c r="D7" s="1225" t="s">
        <v>98</v>
      </c>
      <c r="E7" s="1226">
        <v>0</v>
      </c>
      <c r="F7" s="1237" t="s">
        <v>2218</v>
      </c>
      <c r="G7" s="1238" t="s">
        <v>2230</v>
      </c>
      <c r="H7" s="1239" t="s">
        <v>98</v>
      </c>
      <c r="I7" s="1239" t="s">
        <v>98</v>
      </c>
      <c r="J7" s="1217">
        <v>0</v>
      </c>
      <c r="K7" s="1238" t="s">
        <v>109</v>
      </c>
      <c r="L7" s="1218">
        <v>1</v>
      </c>
      <c r="M7" s="1219"/>
      <c r="N7" s="1220"/>
      <c r="O7" s="1221"/>
      <c r="P7" s="1218">
        <v>0</v>
      </c>
      <c r="Q7" s="1219"/>
      <c r="R7" s="1220"/>
      <c r="S7" s="1221"/>
      <c r="T7" s="1218">
        <v>0</v>
      </c>
      <c r="U7" s="1219"/>
      <c r="V7" s="1220"/>
      <c r="W7" s="1221"/>
      <c r="X7" s="1218">
        <v>0</v>
      </c>
      <c r="Y7" s="1219"/>
      <c r="Z7" s="1220"/>
      <c r="AA7" s="1221"/>
      <c r="AB7" s="1218">
        <v>0</v>
      </c>
      <c r="AC7" s="1219"/>
      <c r="AD7" s="1220"/>
      <c r="AE7" s="1221"/>
      <c r="AF7" s="1218">
        <v>0</v>
      </c>
      <c r="AG7" s="1219"/>
      <c r="AH7" s="1220"/>
      <c r="AI7" s="1221"/>
      <c r="AJ7" s="1218">
        <v>0</v>
      </c>
      <c r="AK7" s="1219"/>
      <c r="AL7" s="1220"/>
      <c r="AM7" s="1221"/>
      <c r="AN7" s="1218">
        <v>0</v>
      </c>
      <c r="AO7" s="1219"/>
      <c r="AP7" s="1220"/>
      <c r="AQ7" s="1221"/>
      <c r="AR7" s="1218">
        <v>0</v>
      </c>
      <c r="AS7" s="1219"/>
      <c r="AT7" s="1220"/>
      <c r="AU7" s="1221"/>
      <c r="AV7" s="1218">
        <v>0</v>
      </c>
      <c r="AW7" s="1219"/>
      <c r="AX7" s="1220"/>
      <c r="AY7" s="1221"/>
      <c r="AZ7" s="1218">
        <v>0</v>
      </c>
      <c r="BA7" s="1219"/>
      <c r="BB7" s="1220"/>
      <c r="BC7" s="1221"/>
      <c r="BD7" s="1218">
        <v>0</v>
      </c>
      <c r="BE7" s="91"/>
      <c r="BF7" s="92"/>
      <c r="BG7" s="93"/>
      <c r="BH7" s="505"/>
      <c r="BI7" s="505"/>
      <c r="BJ7" s="505"/>
      <c r="BK7" s="505"/>
      <c r="BL7" s="211"/>
      <c r="BM7" s="211"/>
      <c r="BN7" s="505"/>
      <c r="BO7" s="101"/>
      <c r="BP7" s="97"/>
      <c r="BQ7" s="97"/>
      <c r="BR7" s="97"/>
      <c r="BS7" s="97"/>
      <c r="BT7" s="97"/>
      <c r="BU7" s="97"/>
      <c r="BV7" s="104"/>
      <c r="BW7" s="104"/>
      <c r="BX7" s="104"/>
      <c r="BY7" s="104"/>
      <c r="BZ7" s="104"/>
      <c r="CA7" s="104"/>
      <c r="CB7" s="104"/>
      <c r="CC7" s="104"/>
      <c r="CD7" s="104"/>
      <c r="CE7" s="104"/>
      <c r="CF7" s="104"/>
      <c r="CH7" s="208"/>
    </row>
    <row r="8" spans="1:86" ht="12" customHeight="1">
      <c r="A8" s="1227" t="s">
        <v>2232</v>
      </c>
      <c r="B8" s="1228"/>
      <c r="C8" s="1216"/>
      <c r="D8" s="1225" t="s">
        <v>98</v>
      </c>
      <c r="E8" s="1226">
        <v>0</v>
      </c>
      <c r="F8" s="1237" t="s">
        <v>2219</v>
      </c>
      <c r="G8" s="1238" t="s">
        <v>2230</v>
      </c>
      <c r="H8" s="1239" t="s">
        <v>98</v>
      </c>
      <c r="I8" s="1239" t="s">
        <v>98</v>
      </c>
      <c r="J8" s="1217">
        <v>0</v>
      </c>
      <c r="K8" s="1238" t="s">
        <v>109</v>
      </c>
      <c r="L8" s="1218">
        <v>0</v>
      </c>
      <c r="M8" s="1219"/>
      <c r="N8" s="1220"/>
      <c r="O8" s="1221"/>
      <c r="P8" s="1218">
        <v>1</v>
      </c>
      <c r="Q8" s="1219"/>
      <c r="R8" s="1220"/>
      <c r="S8" s="1221"/>
      <c r="T8" s="1218">
        <v>0</v>
      </c>
      <c r="U8" s="1219"/>
      <c r="V8" s="1220"/>
      <c r="W8" s="1221"/>
      <c r="X8" s="1218">
        <v>0</v>
      </c>
      <c r="Y8" s="1219"/>
      <c r="Z8" s="1220"/>
      <c r="AA8" s="1221"/>
      <c r="AB8" s="1218">
        <v>0</v>
      </c>
      <c r="AC8" s="1219"/>
      <c r="AD8" s="1220"/>
      <c r="AE8" s="1221"/>
      <c r="AF8" s="1218">
        <v>0</v>
      </c>
      <c r="AG8" s="1219"/>
      <c r="AH8" s="1220"/>
      <c r="AI8" s="1221"/>
      <c r="AJ8" s="1218">
        <v>0</v>
      </c>
      <c r="AK8" s="1219"/>
      <c r="AL8" s="1220"/>
      <c r="AM8" s="1221"/>
      <c r="AN8" s="1218">
        <v>0</v>
      </c>
      <c r="AO8" s="1219"/>
      <c r="AP8" s="1220"/>
      <c r="AQ8" s="1221"/>
      <c r="AR8" s="1218">
        <v>0</v>
      </c>
      <c r="AS8" s="1219"/>
      <c r="AT8" s="1220"/>
      <c r="AU8" s="1221"/>
      <c r="AV8" s="1218">
        <v>0</v>
      </c>
      <c r="AW8" s="1219"/>
      <c r="AX8" s="1220"/>
      <c r="AY8" s="1221"/>
      <c r="AZ8" s="1218">
        <v>0</v>
      </c>
      <c r="BA8" s="1219"/>
      <c r="BB8" s="1220"/>
      <c r="BC8" s="1221"/>
      <c r="BD8" s="1218">
        <v>0</v>
      </c>
      <c r="BE8" s="91"/>
      <c r="BF8" s="92"/>
      <c r="BG8" s="93"/>
      <c r="BH8" s="505"/>
      <c r="BI8" s="505"/>
      <c r="BJ8" s="505"/>
      <c r="BK8" s="505"/>
      <c r="BL8" s="211"/>
      <c r="BM8" s="211"/>
      <c r="BN8" s="505"/>
      <c r="BO8" s="101"/>
      <c r="BP8" s="97"/>
      <c r="BQ8" s="97"/>
      <c r="BR8" s="97"/>
      <c r="BS8" s="97"/>
      <c r="BT8" s="97"/>
      <c r="BU8" s="97"/>
      <c r="BV8" s="104"/>
      <c r="BW8" s="104"/>
      <c r="BX8" s="104"/>
      <c r="BY8" s="104"/>
      <c r="BZ8" s="104"/>
      <c r="CA8" s="104"/>
      <c r="CB8" s="104"/>
      <c r="CC8" s="104"/>
      <c r="CD8" s="104"/>
      <c r="CE8" s="104"/>
      <c r="CF8" s="104"/>
      <c r="CH8" s="208"/>
    </row>
    <row r="9" spans="1:86" ht="12" customHeight="1">
      <c r="A9" s="1227" t="s">
        <v>2233</v>
      </c>
      <c r="B9" s="1228"/>
      <c r="C9" s="1216"/>
      <c r="D9" s="1225" t="s">
        <v>98</v>
      </c>
      <c r="E9" s="1226">
        <v>0</v>
      </c>
      <c r="F9" s="1237" t="s">
        <v>2220</v>
      </c>
      <c r="G9" s="1238" t="s">
        <v>2230</v>
      </c>
      <c r="H9" s="1239" t="s">
        <v>98</v>
      </c>
      <c r="I9" s="1239" t="s">
        <v>98</v>
      </c>
      <c r="J9" s="1217">
        <v>0</v>
      </c>
      <c r="K9" s="1238" t="s">
        <v>109</v>
      </c>
      <c r="L9" s="1218">
        <v>0</v>
      </c>
      <c r="M9" s="1219"/>
      <c r="N9" s="1220"/>
      <c r="O9" s="1221"/>
      <c r="P9" s="1218">
        <v>0</v>
      </c>
      <c r="Q9" s="1219"/>
      <c r="R9" s="1220"/>
      <c r="S9" s="1221"/>
      <c r="T9" s="1218">
        <v>1</v>
      </c>
      <c r="U9" s="1219"/>
      <c r="V9" s="1220"/>
      <c r="W9" s="1221"/>
      <c r="X9" s="1218">
        <v>0</v>
      </c>
      <c r="Y9" s="1219"/>
      <c r="Z9" s="1220"/>
      <c r="AA9" s="1221"/>
      <c r="AB9" s="1218">
        <v>0</v>
      </c>
      <c r="AC9" s="1219"/>
      <c r="AD9" s="1220"/>
      <c r="AE9" s="1221"/>
      <c r="AF9" s="1218">
        <v>0</v>
      </c>
      <c r="AG9" s="1219"/>
      <c r="AH9" s="1220"/>
      <c r="AI9" s="1221"/>
      <c r="AJ9" s="1218">
        <v>0</v>
      </c>
      <c r="AK9" s="1219"/>
      <c r="AL9" s="1220"/>
      <c r="AM9" s="1221"/>
      <c r="AN9" s="1218">
        <v>0</v>
      </c>
      <c r="AO9" s="1219"/>
      <c r="AP9" s="1220"/>
      <c r="AQ9" s="1221"/>
      <c r="AR9" s="1218">
        <v>0</v>
      </c>
      <c r="AS9" s="1219"/>
      <c r="AT9" s="1220"/>
      <c r="AU9" s="1221"/>
      <c r="AV9" s="1218">
        <v>0</v>
      </c>
      <c r="AW9" s="1219"/>
      <c r="AX9" s="1220"/>
      <c r="AY9" s="1221"/>
      <c r="AZ9" s="1218">
        <v>0</v>
      </c>
      <c r="BA9" s="1219"/>
      <c r="BB9" s="1220"/>
      <c r="BC9" s="1221"/>
      <c r="BD9" s="1218">
        <v>0</v>
      </c>
      <c r="BE9" s="91"/>
      <c r="BF9" s="92"/>
      <c r="BG9" s="93"/>
      <c r="BH9" s="505"/>
      <c r="BI9" s="505"/>
      <c r="BJ9" s="505"/>
      <c r="BK9" s="505"/>
      <c r="BL9" s="211"/>
      <c r="BM9" s="211"/>
      <c r="BN9" s="505"/>
      <c r="BO9" s="101"/>
      <c r="BP9" s="97"/>
      <c r="BQ9" s="97"/>
      <c r="BR9" s="97"/>
      <c r="BS9" s="97"/>
      <c r="BT9" s="97"/>
      <c r="BU9" s="97"/>
      <c r="BV9" s="104"/>
      <c r="BW9" s="104"/>
      <c r="BX9" s="104"/>
      <c r="BY9" s="104"/>
      <c r="BZ9" s="104"/>
      <c r="CA9" s="104"/>
      <c r="CB9" s="104"/>
      <c r="CC9" s="104"/>
      <c r="CD9" s="104"/>
      <c r="CE9" s="104"/>
      <c r="CF9" s="104"/>
      <c r="CH9" s="208"/>
    </row>
    <row r="10" spans="1:86" ht="12" customHeight="1">
      <c r="A10" s="1227" t="s">
        <v>2234</v>
      </c>
      <c r="B10" s="1228"/>
      <c r="C10" s="1216"/>
      <c r="D10" s="1225" t="s">
        <v>98</v>
      </c>
      <c r="E10" s="1226">
        <v>0</v>
      </c>
      <c r="F10" s="1237" t="s">
        <v>2221</v>
      </c>
      <c r="G10" s="1238" t="s">
        <v>2230</v>
      </c>
      <c r="H10" s="1239" t="s">
        <v>98</v>
      </c>
      <c r="I10" s="1239" t="s">
        <v>98</v>
      </c>
      <c r="J10" s="1217">
        <v>0</v>
      </c>
      <c r="K10" s="1238" t="s">
        <v>109</v>
      </c>
      <c r="L10" s="1218">
        <v>0</v>
      </c>
      <c r="M10" s="1219"/>
      <c r="N10" s="1220"/>
      <c r="O10" s="1221"/>
      <c r="P10" s="1218">
        <v>0</v>
      </c>
      <c r="Q10" s="1219"/>
      <c r="R10" s="1220"/>
      <c r="S10" s="1221"/>
      <c r="T10" s="1218">
        <v>0</v>
      </c>
      <c r="U10" s="1219"/>
      <c r="V10" s="1220"/>
      <c r="W10" s="1221"/>
      <c r="X10" s="1218">
        <v>1</v>
      </c>
      <c r="Y10" s="1219"/>
      <c r="Z10" s="1220"/>
      <c r="AA10" s="1221"/>
      <c r="AB10" s="1218">
        <v>0</v>
      </c>
      <c r="AC10" s="1219"/>
      <c r="AD10" s="1220"/>
      <c r="AE10" s="1221"/>
      <c r="AF10" s="1218">
        <v>0</v>
      </c>
      <c r="AG10" s="1219"/>
      <c r="AH10" s="1220"/>
      <c r="AI10" s="1221"/>
      <c r="AJ10" s="1218">
        <v>0</v>
      </c>
      <c r="AK10" s="1219"/>
      <c r="AL10" s="1220"/>
      <c r="AM10" s="1221"/>
      <c r="AN10" s="1218">
        <v>0</v>
      </c>
      <c r="AO10" s="1219"/>
      <c r="AP10" s="1220"/>
      <c r="AQ10" s="1221"/>
      <c r="AR10" s="1218">
        <v>0</v>
      </c>
      <c r="AS10" s="1219"/>
      <c r="AT10" s="1220"/>
      <c r="AU10" s="1221"/>
      <c r="AV10" s="1218">
        <v>0</v>
      </c>
      <c r="AW10" s="1219"/>
      <c r="AX10" s="1220"/>
      <c r="AY10" s="1221"/>
      <c r="AZ10" s="1218">
        <v>0</v>
      </c>
      <c r="BA10" s="1219"/>
      <c r="BB10" s="1220"/>
      <c r="BC10" s="1221"/>
      <c r="BD10" s="1218">
        <v>0</v>
      </c>
      <c r="BE10" s="91"/>
      <c r="BF10" s="92"/>
      <c r="BG10" s="93"/>
      <c r="BH10" s="505"/>
      <c r="BI10" s="505"/>
      <c r="BJ10" s="505"/>
      <c r="BK10" s="505"/>
      <c r="BL10" s="211"/>
      <c r="BM10" s="211"/>
      <c r="BN10" s="505"/>
      <c r="BO10" s="101"/>
      <c r="BP10" s="97"/>
      <c r="BQ10" s="97"/>
      <c r="BR10" s="97"/>
      <c r="BS10" s="97"/>
      <c r="BT10" s="97"/>
      <c r="BU10" s="97"/>
      <c r="BV10" s="104"/>
      <c r="BW10" s="104"/>
      <c r="BX10" s="104"/>
      <c r="BY10" s="104"/>
      <c r="BZ10" s="104"/>
      <c r="CA10" s="104"/>
      <c r="CB10" s="104"/>
      <c r="CC10" s="104"/>
      <c r="CD10" s="104"/>
      <c r="CE10" s="104"/>
      <c r="CF10" s="104"/>
      <c r="CH10" s="208"/>
    </row>
    <row r="11" spans="1:86" ht="12" customHeight="1">
      <c r="A11" s="1227" t="s">
        <v>2235</v>
      </c>
      <c r="B11" s="1228"/>
      <c r="C11" s="1216"/>
      <c r="D11" s="1225" t="s">
        <v>98</v>
      </c>
      <c r="E11" s="1226">
        <v>0</v>
      </c>
      <c r="F11" s="1237" t="s">
        <v>2222</v>
      </c>
      <c r="G11" s="1238" t="s">
        <v>2230</v>
      </c>
      <c r="H11" s="1239" t="s">
        <v>98</v>
      </c>
      <c r="I11" s="1239" t="s">
        <v>98</v>
      </c>
      <c r="J11" s="1217">
        <v>0</v>
      </c>
      <c r="K11" s="1238" t="s">
        <v>109</v>
      </c>
      <c r="L11" s="1218">
        <v>0</v>
      </c>
      <c r="M11" s="1219"/>
      <c r="N11" s="1220"/>
      <c r="O11" s="1221"/>
      <c r="P11" s="1218">
        <v>0</v>
      </c>
      <c r="Q11" s="1219"/>
      <c r="R11" s="1220"/>
      <c r="S11" s="1221"/>
      <c r="T11" s="1218">
        <v>0</v>
      </c>
      <c r="U11" s="1219"/>
      <c r="V11" s="1220"/>
      <c r="W11" s="1221"/>
      <c r="X11" s="1218">
        <v>0</v>
      </c>
      <c r="Y11" s="1219"/>
      <c r="Z11" s="1220"/>
      <c r="AA11" s="1221"/>
      <c r="AB11" s="1218">
        <v>1</v>
      </c>
      <c r="AC11" s="1219"/>
      <c r="AD11" s="1220"/>
      <c r="AE11" s="1221"/>
      <c r="AF11" s="1218">
        <v>0</v>
      </c>
      <c r="AG11" s="1219"/>
      <c r="AH11" s="1220"/>
      <c r="AI11" s="1221"/>
      <c r="AJ11" s="1218">
        <v>0</v>
      </c>
      <c r="AK11" s="1219"/>
      <c r="AL11" s="1220"/>
      <c r="AM11" s="1221"/>
      <c r="AN11" s="1218">
        <v>0</v>
      </c>
      <c r="AO11" s="1219"/>
      <c r="AP11" s="1220"/>
      <c r="AQ11" s="1221"/>
      <c r="AR11" s="1218">
        <v>0</v>
      </c>
      <c r="AS11" s="1219"/>
      <c r="AT11" s="1220"/>
      <c r="AU11" s="1221"/>
      <c r="AV11" s="1218">
        <v>0</v>
      </c>
      <c r="AW11" s="1219"/>
      <c r="AX11" s="1220"/>
      <c r="AY11" s="1221"/>
      <c r="AZ11" s="1218">
        <v>0</v>
      </c>
      <c r="BA11" s="1219"/>
      <c r="BB11" s="1220"/>
      <c r="BC11" s="1221"/>
      <c r="BD11" s="1218">
        <v>0</v>
      </c>
      <c r="BE11" s="91"/>
      <c r="BF11" s="92"/>
      <c r="BG11" s="93"/>
      <c r="BH11" s="505"/>
      <c r="BI11" s="505"/>
      <c r="BJ11" s="505"/>
      <c r="BK11" s="505"/>
      <c r="BL11" s="211"/>
      <c r="BM11" s="211"/>
      <c r="BN11" s="505"/>
      <c r="BO11" s="101"/>
      <c r="BP11" s="97"/>
      <c r="BQ11" s="97"/>
      <c r="BR11" s="97"/>
      <c r="BS11" s="97"/>
      <c r="BT11" s="97"/>
      <c r="BU11" s="97"/>
      <c r="BV11" s="104"/>
      <c r="BW11" s="104"/>
      <c r="BX11" s="104"/>
      <c r="BY11" s="104"/>
      <c r="BZ11" s="104"/>
      <c r="CA11" s="104"/>
      <c r="CB11" s="104"/>
      <c r="CC11" s="104"/>
      <c r="CD11" s="104"/>
      <c r="CE11" s="104"/>
      <c r="CF11" s="104"/>
      <c r="CH11" s="208"/>
    </row>
    <row r="12" spans="1:86" ht="12" customHeight="1">
      <c r="A12" s="1227" t="s">
        <v>2236</v>
      </c>
      <c r="B12" s="1228"/>
      <c r="C12" s="1216"/>
      <c r="D12" s="1225" t="s">
        <v>98</v>
      </c>
      <c r="E12" s="1226">
        <v>0</v>
      </c>
      <c r="F12" s="1237" t="s">
        <v>2223</v>
      </c>
      <c r="G12" s="1238" t="s">
        <v>2230</v>
      </c>
      <c r="H12" s="1239" t="s">
        <v>98</v>
      </c>
      <c r="I12" s="1239" t="s">
        <v>98</v>
      </c>
      <c r="J12" s="1217">
        <v>0</v>
      </c>
      <c r="K12" s="1238" t="s">
        <v>109</v>
      </c>
      <c r="L12" s="1218">
        <v>0</v>
      </c>
      <c r="M12" s="1219"/>
      <c r="N12" s="1220"/>
      <c r="O12" s="1221"/>
      <c r="P12" s="1218">
        <v>0</v>
      </c>
      <c r="Q12" s="1219"/>
      <c r="R12" s="1220"/>
      <c r="S12" s="1221"/>
      <c r="T12" s="1218">
        <v>0</v>
      </c>
      <c r="U12" s="1219"/>
      <c r="V12" s="1220"/>
      <c r="W12" s="1221"/>
      <c r="X12" s="1218">
        <v>0</v>
      </c>
      <c r="Y12" s="1219"/>
      <c r="Z12" s="1220"/>
      <c r="AA12" s="1221"/>
      <c r="AB12" s="1218">
        <v>0</v>
      </c>
      <c r="AC12" s="1219"/>
      <c r="AD12" s="1220"/>
      <c r="AE12" s="1221"/>
      <c r="AF12" s="1218">
        <v>1</v>
      </c>
      <c r="AG12" s="1219"/>
      <c r="AH12" s="1220"/>
      <c r="AI12" s="1221"/>
      <c r="AJ12" s="1218">
        <v>0</v>
      </c>
      <c r="AK12" s="1219"/>
      <c r="AL12" s="1220"/>
      <c r="AM12" s="1221"/>
      <c r="AN12" s="1218">
        <v>0</v>
      </c>
      <c r="AO12" s="1219"/>
      <c r="AP12" s="1220"/>
      <c r="AQ12" s="1221"/>
      <c r="AR12" s="1218">
        <v>0</v>
      </c>
      <c r="AS12" s="1219"/>
      <c r="AT12" s="1220"/>
      <c r="AU12" s="1221"/>
      <c r="AV12" s="1218">
        <v>0</v>
      </c>
      <c r="AW12" s="1219"/>
      <c r="AX12" s="1220"/>
      <c r="AY12" s="1221"/>
      <c r="AZ12" s="1218">
        <v>0</v>
      </c>
      <c r="BA12" s="1219"/>
      <c r="BB12" s="1220"/>
      <c r="BC12" s="1221"/>
      <c r="BD12" s="1218">
        <v>0</v>
      </c>
      <c r="BE12" s="91"/>
      <c r="BF12" s="92"/>
      <c r="BG12" s="93"/>
      <c r="BH12" s="505"/>
      <c r="BI12" s="505"/>
      <c r="BJ12" s="505"/>
      <c r="BK12" s="505"/>
      <c r="BL12" s="211"/>
      <c r="BM12" s="211"/>
      <c r="BN12" s="505"/>
      <c r="BO12" s="101"/>
      <c r="BP12" s="97"/>
      <c r="BQ12" s="97"/>
      <c r="BR12" s="97"/>
      <c r="BS12" s="97"/>
      <c r="BT12" s="97"/>
      <c r="BU12" s="97"/>
      <c r="BV12" s="104"/>
      <c r="BW12" s="104"/>
      <c r="BX12" s="104"/>
      <c r="BY12" s="104"/>
      <c r="BZ12" s="104"/>
      <c r="CA12" s="104"/>
      <c r="CB12" s="104"/>
      <c r="CC12" s="104"/>
      <c r="CD12" s="104"/>
      <c r="CE12" s="104"/>
      <c r="CF12" s="104"/>
      <c r="CH12" s="208"/>
    </row>
    <row r="13" spans="1:86" ht="12" customHeight="1">
      <c r="A13" s="1227" t="s">
        <v>2237</v>
      </c>
      <c r="B13" s="1228"/>
      <c r="C13" s="1216"/>
      <c r="D13" s="1225" t="s">
        <v>98</v>
      </c>
      <c r="E13" s="1226">
        <v>0</v>
      </c>
      <c r="F13" s="1237" t="s">
        <v>2224</v>
      </c>
      <c r="G13" s="1238" t="s">
        <v>2230</v>
      </c>
      <c r="H13" s="1239" t="s">
        <v>98</v>
      </c>
      <c r="I13" s="1239" t="s">
        <v>98</v>
      </c>
      <c r="J13" s="1217">
        <v>0</v>
      </c>
      <c r="K13" s="1238" t="s">
        <v>109</v>
      </c>
      <c r="L13" s="1218">
        <v>0</v>
      </c>
      <c r="M13" s="1219"/>
      <c r="N13" s="1220"/>
      <c r="O13" s="1221"/>
      <c r="P13" s="1218">
        <v>0</v>
      </c>
      <c r="Q13" s="1219"/>
      <c r="R13" s="1220"/>
      <c r="S13" s="1221"/>
      <c r="T13" s="1218">
        <v>0</v>
      </c>
      <c r="U13" s="1219"/>
      <c r="V13" s="1220"/>
      <c r="W13" s="1221"/>
      <c r="X13" s="1218">
        <v>0</v>
      </c>
      <c r="Y13" s="1219"/>
      <c r="Z13" s="1220"/>
      <c r="AA13" s="1221"/>
      <c r="AB13" s="1218">
        <v>0</v>
      </c>
      <c r="AC13" s="1219"/>
      <c r="AD13" s="1220"/>
      <c r="AE13" s="1221"/>
      <c r="AF13" s="1218">
        <v>0</v>
      </c>
      <c r="AG13" s="1219"/>
      <c r="AH13" s="1220"/>
      <c r="AI13" s="1221"/>
      <c r="AJ13" s="1218">
        <v>1</v>
      </c>
      <c r="AK13" s="1219"/>
      <c r="AL13" s="1220"/>
      <c r="AM13" s="1221"/>
      <c r="AN13" s="1218">
        <v>0</v>
      </c>
      <c r="AO13" s="1219"/>
      <c r="AP13" s="1220"/>
      <c r="AQ13" s="1221"/>
      <c r="AR13" s="1218">
        <v>0</v>
      </c>
      <c r="AS13" s="1219"/>
      <c r="AT13" s="1220"/>
      <c r="AU13" s="1221"/>
      <c r="AV13" s="1218">
        <v>0</v>
      </c>
      <c r="AW13" s="1219"/>
      <c r="AX13" s="1220"/>
      <c r="AY13" s="1221"/>
      <c r="AZ13" s="1218">
        <v>0</v>
      </c>
      <c r="BA13" s="1219"/>
      <c r="BB13" s="1220"/>
      <c r="BC13" s="1221"/>
      <c r="BD13" s="1218">
        <v>0</v>
      </c>
      <c r="BE13" s="91"/>
      <c r="BF13" s="92"/>
      <c r="BG13" s="93"/>
      <c r="BH13" s="505"/>
      <c r="BI13" s="505"/>
      <c r="BJ13" s="505"/>
      <c r="BK13" s="505"/>
      <c r="BL13" s="211"/>
      <c r="BM13" s="211"/>
      <c r="BN13" s="505"/>
      <c r="BO13" s="101"/>
      <c r="BP13" s="97"/>
      <c r="BQ13" s="97"/>
      <c r="BR13" s="97"/>
      <c r="BS13" s="97"/>
      <c r="BT13" s="97"/>
      <c r="BU13" s="97"/>
      <c r="BV13" s="104"/>
      <c r="BW13" s="104"/>
      <c r="BX13" s="104"/>
      <c r="BY13" s="104"/>
      <c r="BZ13" s="104"/>
      <c r="CA13" s="104"/>
      <c r="CB13" s="104"/>
      <c r="CC13" s="104"/>
      <c r="CD13" s="104"/>
      <c r="CE13" s="104"/>
      <c r="CF13" s="104"/>
      <c r="CH13" s="208"/>
    </row>
    <row r="14" spans="1:86" ht="12" customHeight="1">
      <c r="A14" s="1227" t="s">
        <v>2238</v>
      </c>
      <c r="B14" s="1228"/>
      <c r="C14" s="1216"/>
      <c r="D14" s="1225" t="s">
        <v>98</v>
      </c>
      <c r="E14" s="1226">
        <v>0</v>
      </c>
      <c r="F14" s="1237" t="s">
        <v>2225</v>
      </c>
      <c r="G14" s="1238" t="s">
        <v>2230</v>
      </c>
      <c r="H14" s="1239" t="s">
        <v>98</v>
      </c>
      <c r="I14" s="1239" t="s">
        <v>98</v>
      </c>
      <c r="J14" s="1217">
        <v>0</v>
      </c>
      <c r="K14" s="1238" t="s">
        <v>109</v>
      </c>
      <c r="L14" s="1218">
        <v>0</v>
      </c>
      <c r="M14" s="1219"/>
      <c r="N14" s="1220"/>
      <c r="O14" s="1221"/>
      <c r="P14" s="1218">
        <v>0</v>
      </c>
      <c r="Q14" s="1219"/>
      <c r="R14" s="1220"/>
      <c r="S14" s="1221"/>
      <c r="T14" s="1218">
        <v>0</v>
      </c>
      <c r="U14" s="1219"/>
      <c r="V14" s="1220"/>
      <c r="W14" s="1221"/>
      <c r="X14" s="1218">
        <v>0</v>
      </c>
      <c r="Y14" s="1219"/>
      <c r="Z14" s="1220"/>
      <c r="AA14" s="1221"/>
      <c r="AB14" s="1218">
        <v>0</v>
      </c>
      <c r="AC14" s="1219"/>
      <c r="AD14" s="1220"/>
      <c r="AE14" s="1221"/>
      <c r="AF14" s="1218">
        <v>0</v>
      </c>
      <c r="AG14" s="1219"/>
      <c r="AH14" s="1220"/>
      <c r="AI14" s="1221"/>
      <c r="AJ14" s="1218">
        <v>0</v>
      </c>
      <c r="AK14" s="1219"/>
      <c r="AL14" s="1220"/>
      <c r="AM14" s="1221"/>
      <c r="AN14" s="1218">
        <v>1</v>
      </c>
      <c r="AO14" s="1219"/>
      <c r="AP14" s="1220"/>
      <c r="AQ14" s="1221"/>
      <c r="AR14" s="1218">
        <v>0</v>
      </c>
      <c r="AS14" s="1219"/>
      <c r="AT14" s="1220"/>
      <c r="AU14" s="1221"/>
      <c r="AV14" s="1218">
        <v>0</v>
      </c>
      <c r="AW14" s="1219"/>
      <c r="AX14" s="1220"/>
      <c r="AY14" s="1221"/>
      <c r="AZ14" s="1218">
        <v>0</v>
      </c>
      <c r="BA14" s="1219"/>
      <c r="BB14" s="1220"/>
      <c r="BC14" s="1221"/>
      <c r="BD14" s="1218">
        <v>0</v>
      </c>
      <c r="BE14" s="91"/>
      <c r="BF14" s="92"/>
      <c r="BG14" s="93"/>
      <c r="BH14" s="505"/>
      <c r="BI14" s="505"/>
      <c r="BJ14" s="505"/>
      <c r="BK14" s="505"/>
      <c r="BL14" s="211"/>
      <c r="BM14" s="211"/>
      <c r="BN14" s="505"/>
      <c r="BO14" s="101"/>
      <c r="BP14" s="97"/>
      <c r="BQ14" s="97"/>
      <c r="BR14" s="97"/>
      <c r="BS14" s="97"/>
      <c r="BT14" s="97"/>
      <c r="BU14" s="97"/>
      <c r="BV14" s="104"/>
      <c r="BW14" s="104"/>
      <c r="BX14" s="104"/>
      <c r="BY14" s="104"/>
      <c r="BZ14" s="104"/>
      <c r="CA14" s="104"/>
      <c r="CB14" s="104"/>
      <c r="CC14" s="104"/>
      <c r="CD14" s="104"/>
      <c r="CE14" s="104"/>
      <c r="CF14" s="104"/>
      <c r="CH14" s="208"/>
    </row>
    <row r="15" spans="1:86" ht="12" customHeight="1">
      <c r="A15" s="1227" t="s">
        <v>2239</v>
      </c>
      <c r="B15" s="1228"/>
      <c r="C15" s="1216"/>
      <c r="D15" s="1225" t="s">
        <v>98</v>
      </c>
      <c r="E15" s="1226">
        <v>0</v>
      </c>
      <c r="F15" s="1237" t="s">
        <v>2226</v>
      </c>
      <c r="G15" s="1238" t="s">
        <v>2230</v>
      </c>
      <c r="H15" s="1239" t="s">
        <v>98</v>
      </c>
      <c r="I15" s="1239" t="s">
        <v>98</v>
      </c>
      <c r="J15" s="1217">
        <v>0</v>
      </c>
      <c r="K15" s="1238" t="s">
        <v>109</v>
      </c>
      <c r="L15" s="1218">
        <v>0</v>
      </c>
      <c r="M15" s="1219"/>
      <c r="N15" s="1220"/>
      <c r="O15" s="1221"/>
      <c r="P15" s="1218">
        <v>0</v>
      </c>
      <c r="Q15" s="1219"/>
      <c r="R15" s="1220"/>
      <c r="S15" s="1221"/>
      <c r="T15" s="1218">
        <v>0</v>
      </c>
      <c r="U15" s="1219"/>
      <c r="V15" s="1220"/>
      <c r="W15" s="1221"/>
      <c r="X15" s="1218">
        <v>0</v>
      </c>
      <c r="Y15" s="1219"/>
      <c r="Z15" s="1220"/>
      <c r="AA15" s="1221"/>
      <c r="AB15" s="1218">
        <v>0</v>
      </c>
      <c r="AC15" s="1219"/>
      <c r="AD15" s="1220"/>
      <c r="AE15" s="1221"/>
      <c r="AF15" s="1218">
        <v>0</v>
      </c>
      <c r="AG15" s="1219"/>
      <c r="AH15" s="1220"/>
      <c r="AI15" s="1221"/>
      <c r="AJ15" s="1218">
        <v>0</v>
      </c>
      <c r="AK15" s="1219"/>
      <c r="AL15" s="1220"/>
      <c r="AM15" s="1221"/>
      <c r="AN15" s="1218">
        <v>0</v>
      </c>
      <c r="AO15" s="1219"/>
      <c r="AP15" s="1220"/>
      <c r="AQ15" s="1221"/>
      <c r="AR15" s="1218">
        <v>1</v>
      </c>
      <c r="AS15" s="1219"/>
      <c r="AT15" s="1220"/>
      <c r="AU15" s="1221"/>
      <c r="AV15" s="1218">
        <v>0</v>
      </c>
      <c r="AW15" s="1219"/>
      <c r="AX15" s="1220"/>
      <c r="AY15" s="1221"/>
      <c r="AZ15" s="1218">
        <v>0</v>
      </c>
      <c r="BA15" s="1219"/>
      <c r="BB15" s="1220"/>
      <c r="BC15" s="1221"/>
      <c r="BD15" s="1218">
        <v>0</v>
      </c>
      <c r="BE15" s="91"/>
      <c r="BF15" s="92"/>
      <c r="BG15" s="93"/>
      <c r="BH15" s="505"/>
      <c r="BI15" s="505"/>
      <c r="BJ15" s="505"/>
      <c r="BK15" s="505"/>
      <c r="BL15" s="211"/>
      <c r="BM15" s="211"/>
      <c r="BN15" s="505"/>
      <c r="BO15" s="101"/>
      <c r="BP15" s="97"/>
      <c r="BQ15" s="97"/>
      <c r="BR15" s="97"/>
      <c r="BS15" s="97"/>
      <c r="BT15" s="97"/>
      <c r="BU15" s="97"/>
      <c r="BV15" s="104"/>
      <c r="BW15" s="104"/>
      <c r="BX15" s="104"/>
      <c r="BY15" s="104"/>
      <c r="BZ15" s="104"/>
      <c r="CA15" s="104"/>
      <c r="CB15" s="104"/>
      <c r="CC15" s="104"/>
      <c r="CD15" s="104"/>
      <c r="CE15" s="104"/>
      <c r="CF15" s="104"/>
      <c r="CH15" s="208"/>
    </row>
    <row r="16" spans="1:86" ht="12" customHeight="1">
      <c r="A16" s="1227" t="s">
        <v>2240</v>
      </c>
      <c r="B16" s="1228"/>
      <c r="C16" s="1216"/>
      <c r="D16" s="1225" t="s">
        <v>98</v>
      </c>
      <c r="E16" s="1226">
        <v>0</v>
      </c>
      <c r="F16" s="1237" t="s">
        <v>2227</v>
      </c>
      <c r="G16" s="1238" t="s">
        <v>2230</v>
      </c>
      <c r="H16" s="1239" t="s">
        <v>98</v>
      </c>
      <c r="I16" s="1239" t="s">
        <v>98</v>
      </c>
      <c r="J16" s="1217">
        <v>0</v>
      </c>
      <c r="K16" s="1238" t="s">
        <v>109</v>
      </c>
      <c r="L16" s="1218">
        <v>0</v>
      </c>
      <c r="M16" s="1219"/>
      <c r="N16" s="1220"/>
      <c r="O16" s="1221"/>
      <c r="P16" s="1218">
        <v>0</v>
      </c>
      <c r="Q16" s="1219"/>
      <c r="R16" s="1220"/>
      <c r="S16" s="1221"/>
      <c r="T16" s="1218">
        <v>0</v>
      </c>
      <c r="U16" s="1219"/>
      <c r="V16" s="1220"/>
      <c r="W16" s="1221"/>
      <c r="X16" s="1218">
        <v>0</v>
      </c>
      <c r="Y16" s="1219"/>
      <c r="Z16" s="1220"/>
      <c r="AA16" s="1221"/>
      <c r="AB16" s="1218">
        <v>0</v>
      </c>
      <c r="AC16" s="1219"/>
      <c r="AD16" s="1220"/>
      <c r="AE16" s="1221"/>
      <c r="AF16" s="1218">
        <v>0</v>
      </c>
      <c r="AG16" s="1219"/>
      <c r="AH16" s="1220"/>
      <c r="AI16" s="1221"/>
      <c r="AJ16" s="1218">
        <v>0</v>
      </c>
      <c r="AK16" s="1219"/>
      <c r="AL16" s="1220"/>
      <c r="AM16" s="1221"/>
      <c r="AN16" s="1218">
        <v>0</v>
      </c>
      <c r="AO16" s="1219"/>
      <c r="AP16" s="1220"/>
      <c r="AQ16" s="1221"/>
      <c r="AR16" s="1218">
        <v>0</v>
      </c>
      <c r="AS16" s="1219"/>
      <c r="AT16" s="1220"/>
      <c r="AU16" s="1221"/>
      <c r="AV16" s="1218">
        <v>1</v>
      </c>
      <c r="AW16" s="1219"/>
      <c r="AX16" s="1220"/>
      <c r="AY16" s="1221"/>
      <c r="AZ16" s="1218">
        <v>0</v>
      </c>
      <c r="BA16" s="1219"/>
      <c r="BB16" s="1220"/>
      <c r="BC16" s="1221"/>
      <c r="BD16" s="1218">
        <v>0</v>
      </c>
      <c r="BE16" s="91"/>
      <c r="BF16" s="92"/>
      <c r="BG16" s="93"/>
      <c r="BH16" s="505"/>
      <c r="BI16" s="505"/>
      <c r="BJ16" s="505"/>
      <c r="BK16" s="505"/>
      <c r="BL16" s="211"/>
      <c r="BM16" s="211"/>
      <c r="BN16" s="505"/>
      <c r="BO16" s="101"/>
      <c r="BP16" s="97"/>
      <c r="BQ16" s="97"/>
      <c r="BR16" s="97"/>
      <c r="BS16" s="97"/>
      <c r="BT16" s="97"/>
      <c r="BU16" s="97"/>
      <c r="BV16" s="104"/>
      <c r="BW16" s="104"/>
      <c r="BX16" s="104"/>
      <c r="BY16" s="104"/>
      <c r="BZ16" s="104"/>
      <c r="CA16" s="104"/>
      <c r="CB16" s="104"/>
      <c r="CC16" s="104"/>
      <c r="CD16" s="104"/>
      <c r="CE16" s="104"/>
      <c r="CF16" s="104"/>
      <c r="CH16" s="208"/>
    </row>
    <row r="17" spans="1:86" ht="12" customHeight="1">
      <c r="A17" s="1227" t="s">
        <v>2241</v>
      </c>
      <c r="B17" s="1228"/>
      <c r="C17" s="1216"/>
      <c r="D17" s="1225" t="s">
        <v>98</v>
      </c>
      <c r="E17" s="1226">
        <v>0</v>
      </c>
      <c r="F17" s="1237" t="s">
        <v>2228</v>
      </c>
      <c r="G17" s="1238" t="s">
        <v>2230</v>
      </c>
      <c r="H17" s="1239" t="s">
        <v>98</v>
      </c>
      <c r="I17" s="1239" t="s">
        <v>98</v>
      </c>
      <c r="J17" s="1217">
        <v>0</v>
      </c>
      <c r="K17" s="1238" t="s">
        <v>109</v>
      </c>
      <c r="L17" s="1218">
        <v>0</v>
      </c>
      <c r="M17" s="1219"/>
      <c r="N17" s="1220"/>
      <c r="O17" s="1221"/>
      <c r="P17" s="1218">
        <v>0</v>
      </c>
      <c r="Q17" s="1219"/>
      <c r="R17" s="1220"/>
      <c r="S17" s="1221"/>
      <c r="T17" s="1218">
        <v>0</v>
      </c>
      <c r="U17" s="1219"/>
      <c r="V17" s="1220"/>
      <c r="W17" s="1221"/>
      <c r="X17" s="1218">
        <v>0</v>
      </c>
      <c r="Y17" s="1219"/>
      <c r="Z17" s="1220"/>
      <c r="AA17" s="1221"/>
      <c r="AB17" s="1218">
        <v>0</v>
      </c>
      <c r="AC17" s="1219"/>
      <c r="AD17" s="1220"/>
      <c r="AE17" s="1221"/>
      <c r="AF17" s="1218">
        <v>0</v>
      </c>
      <c r="AG17" s="1219"/>
      <c r="AH17" s="1220"/>
      <c r="AI17" s="1221"/>
      <c r="AJ17" s="1218">
        <v>0</v>
      </c>
      <c r="AK17" s="1219"/>
      <c r="AL17" s="1220"/>
      <c r="AM17" s="1221"/>
      <c r="AN17" s="1218">
        <v>0</v>
      </c>
      <c r="AO17" s="1219"/>
      <c r="AP17" s="1220"/>
      <c r="AQ17" s="1221"/>
      <c r="AR17" s="1218">
        <v>0</v>
      </c>
      <c r="AS17" s="1219"/>
      <c r="AT17" s="1220"/>
      <c r="AU17" s="1221"/>
      <c r="AV17" s="1218">
        <v>0</v>
      </c>
      <c r="AW17" s="1219"/>
      <c r="AX17" s="1220"/>
      <c r="AY17" s="1221"/>
      <c r="AZ17" s="1218">
        <v>1</v>
      </c>
      <c r="BA17" s="1219"/>
      <c r="BB17" s="1220"/>
      <c r="BC17" s="1221"/>
      <c r="BD17" s="1218">
        <v>0</v>
      </c>
      <c r="BE17" s="91"/>
      <c r="BF17" s="92"/>
      <c r="BG17" s="93"/>
      <c r="BH17" s="505"/>
      <c r="BI17" s="505"/>
      <c r="BJ17" s="505"/>
      <c r="BK17" s="505"/>
      <c r="BL17" s="211"/>
      <c r="BM17" s="211"/>
      <c r="BN17" s="505"/>
      <c r="BO17" s="101"/>
      <c r="BP17" s="97"/>
      <c r="BQ17" s="97"/>
      <c r="BR17" s="97"/>
      <c r="BS17" s="97"/>
      <c r="BT17" s="97"/>
      <c r="BU17" s="97"/>
      <c r="BV17" s="104"/>
      <c r="BW17" s="104"/>
      <c r="BX17" s="104"/>
      <c r="BY17" s="104"/>
      <c r="BZ17" s="104"/>
      <c r="CA17" s="104"/>
      <c r="CB17" s="104"/>
      <c r="CC17" s="104"/>
      <c r="CD17" s="104"/>
      <c r="CE17" s="104"/>
      <c r="CF17" s="104"/>
      <c r="CH17" s="208"/>
    </row>
    <row r="18" spans="1:86" ht="12" customHeight="1">
      <c r="A18" s="1227" t="s">
        <v>2242</v>
      </c>
      <c r="B18" s="1228"/>
      <c r="C18" s="1216"/>
      <c r="D18" s="1225" t="s">
        <v>98</v>
      </c>
      <c r="E18" s="1226">
        <v>0</v>
      </c>
      <c r="F18" s="1237" t="s">
        <v>2229</v>
      </c>
      <c r="G18" s="1238" t="s">
        <v>2230</v>
      </c>
      <c r="H18" s="1239" t="s">
        <v>98</v>
      </c>
      <c r="I18" s="1239" t="s">
        <v>98</v>
      </c>
      <c r="J18" s="1217">
        <v>0</v>
      </c>
      <c r="K18" s="1238" t="s">
        <v>109</v>
      </c>
      <c r="L18" s="1218">
        <v>0</v>
      </c>
      <c r="M18" s="1219"/>
      <c r="N18" s="1220"/>
      <c r="O18" s="1221"/>
      <c r="P18" s="1218">
        <v>0</v>
      </c>
      <c r="Q18" s="1219"/>
      <c r="R18" s="1220"/>
      <c r="S18" s="1221"/>
      <c r="T18" s="1218">
        <v>0</v>
      </c>
      <c r="U18" s="1219"/>
      <c r="V18" s="1220"/>
      <c r="W18" s="1221"/>
      <c r="X18" s="1218">
        <v>0</v>
      </c>
      <c r="Y18" s="1219"/>
      <c r="Z18" s="1220"/>
      <c r="AA18" s="1221"/>
      <c r="AB18" s="1218">
        <v>0</v>
      </c>
      <c r="AC18" s="1219"/>
      <c r="AD18" s="1220"/>
      <c r="AE18" s="1221"/>
      <c r="AF18" s="1218">
        <v>0</v>
      </c>
      <c r="AG18" s="1219"/>
      <c r="AH18" s="1220"/>
      <c r="AI18" s="1221"/>
      <c r="AJ18" s="1218">
        <v>0</v>
      </c>
      <c r="AK18" s="1219"/>
      <c r="AL18" s="1220"/>
      <c r="AM18" s="1221"/>
      <c r="AN18" s="1218">
        <v>0</v>
      </c>
      <c r="AO18" s="1219"/>
      <c r="AP18" s="1220"/>
      <c r="AQ18" s="1221"/>
      <c r="AR18" s="1218">
        <v>0</v>
      </c>
      <c r="AS18" s="1219"/>
      <c r="AT18" s="1220"/>
      <c r="AU18" s="1221"/>
      <c r="AV18" s="1218">
        <v>0</v>
      </c>
      <c r="AW18" s="1219"/>
      <c r="AX18" s="1220"/>
      <c r="AY18" s="1221"/>
      <c r="AZ18" s="1218">
        <v>0</v>
      </c>
      <c r="BA18" s="1219"/>
      <c r="BB18" s="1220"/>
      <c r="BC18" s="1221"/>
      <c r="BD18" s="1218">
        <v>1</v>
      </c>
      <c r="BE18" s="91"/>
      <c r="BF18" s="92"/>
      <c r="BG18" s="93"/>
      <c r="BH18" s="505"/>
      <c r="BI18" s="505"/>
      <c r="BJ18" s="505"/>
      <c r="BK18" s="505"/>
      <c r="BL18" s="211"/>
      <c r="BM18" s="211"/>
      <c r="BN18" s="505"/>
      <c r="BO18" s="101"/>
      <c r="BP18" s="97"/>
      <c r="BQ18" s="97"/>
      <c r="BR18" s="97"/>
      <c r="BS18" s="97"/>
      <c r="BT18" s="97"/>
      <c r="BU18" s="97"/>
      <c r="BV18" s="104"/>
      <c r="BW18" s="104"/>
      <c r="BX18" s="104"/>
      <c r="BY18" s="104"/>
      <c r="BZ18" s="104"/>
      <c r="CA18" s="104"/>
      <c r="CB18" s="104"/>
      <c r="CC18" s="104"/>
      <c r="CD18" s="104"/>
      <c r="CE18" s="104"/>
      <c r="CF18" s="104"/>
      <c r="CH18" s="208"/>
    </row>
    <row r="19" spans="1:86" ht="12" customHeight="1">
      <c r="A19" s="1227">
        <v>82305</v>
      </c>
      <c r="B19" s="1228" t="s">
        <v>2208</v>
      </c>
      <c r="C19" s="1216"/>
      <c r="D19" s="1229">
        <v>4</v>
      </c>
      <c r="E19" s="1230" t="s">
        <v>98</v>
      </c>
      <c r="F19" s="1240" t="s">
        <v>2209</v>
      </c>
      <c r="G19" s="1241" t="s">
        <v>98</v>
      </c>
      <c r="H19" s="1242" t="s">
        <v>218</v>
      </c>
      <c r="I19" s="1242" t="s">
        <v>2210</v>
      </c>
      <c r="J19" s="1222" t="s">
        <v>98</v>
      </c>
      <c r="K19" s="1241" t="s">
        <v>104</v>
      </c>
      <c r="L19" s="1243">
        <v>3.8502673796791442</v>
      </c>
      <c r="M19" s="1223">
        <v>1</v>
      </c>
      <c r="N19" s="1224">
        <v>1.0906744032152329</v>
      </c>
      <c r="O19" s="1240" t="s">
        <v>2269</v>
      </c>
      <c r="P19" s="1243">
        <v>3.8502673796791442</v>
      </c>
      <c r="Q19" s="1223">
        <v>1</v>
      </c>
      <c r="R19" s="1224">
        <v>1.0906744032152329</v>
      </c>
      <c r="S19" s="1240" t="s">
        <v>2269</v>
      </c>
      <c r="T19" s="1243">
        <v>3.8502673796791442</v>
      </c>
      <c r="U19" s="1223">
        <v>1</v>
      </c>
      <c r="V19" s="1224">
        <v>1.0906744032152329</v>
      </c>
      <c r="W19" s="1240" t="s">
        <v>2269</v>
      </c>
      <c r="X19" s="1243">
        <v>3.8502673796791442</v>
      </c>
      <c r="Y19" s="1223">
        <v>1</v>
      </c>
      <c r="Z19" s="1224">
        <v>1.0906744032152329</v>
      </c>
      <c r="AA19" s="1240" t="s">
        <v>2269</v>
      </c>
      <c r="AB19" s="1243">
        <v>3.8502673796791442</v>
      </c>
      <c r="AC19" s="1223">
        <v>1</v>
      </c>
      <c r="AD19" s="1224">
        <v>1.0906744032152329</v>
      </c>
      <c r="AE19" s="1240" t="s">
        <v>2269</v>
      </c>
      <c r="AF19" s="1243">
        <v>3.8502673796791442</v>
      </c>
      <c r="AG19" s="1223">
        <v>1</v>
      </c>
      <c r="AH19" s="1224">
        <v>1.0906744032152329</v>
      </c>
      <c r="AI19" s="1240" t="s">
        <v>2269</v>
      </c>
      <c r="AJ19" s="1243">
        <v>3.8502673796791442</v>
      </c>
      <c r="AK19" s="1223">
        <v>1</v>
      </c>
      <c r="AL19" s="1224">
        <v>1.0906744032152329</v>
      </c>
      <c r="AM19" s="1240" t="s">
        <v>2269</v>
      </c>
      <c r="AN19" s="1243">
        <v>3.8502673796791442</v>
      </c>
      <c r="AO19" s="1223">
        <v>1</v>
      </c>
      <c r="AP19" s="1224">
        <v>1.0906744032152329</v>
      </c>
      <c r="AQ19" s="1240" t="s">
        <v>2269</v>
      </c>
      <c r="AR19" s="1243">
        <v>3.8502673796791442</v>
      </c>
      <c r="AS19" s="1223">
        <v>1</v>
      </c>
      <c r="AT19" s="1224">
        <v>1.0906744032152329</v>
      </c>
      <c r="AU19" s="1240" t="s">
        <v>2269</v>
      </c>
      <c r="AV19" s="1243">
        <v>3.8502673796791442</v>
      </c>
      <c r="AW19" s="1223">
        <v>1</v>
      </c>
      <c r="AX19" s="1224">
        <v>1.0906744032152329</v>
      </c>
      <c r="AY19" s="1240" t="s">
        <v>2269</v>
      </c>
      <c r="AZ19" s="1243">
        <v>3.8502673796791442</v>
      </c>
      <c r="BA19" s="1223">
        <v>1</v>
      </c>
      <c r="BB19" s="1224">
        <v>1.0906744032152329</v>
      </c>
      <c r="BC19" s="1240" t="s">
        <v>2269</v>
      </c>
      <c r="BD19" s="1243">
        <v>3.8502673796791442</v>
      </c>
      <c r="BE19" s="95">
        <v>1</v>
      </c>
      <c r="BF19" s="96">
        <v>1.0906744032152329</v>
      </c>
      <c r="BG19" s="432" t="s">
        <v>2269</v>
      </c>
      <c r="BH19" s="505"/>
      <c r="BI19" s="505"/>
      <c r="BJ19" s="505"/>
      <c r="BK19" s="505"/>
      <c r="BL19" s="211"/>
      <c r="BM19" s="211"/>
      <c r="BO19" s="77" t="s">
        <v>2211</v>
      </c>
      <c r="BP19" s="339">
        <v>2</v>
      </c>
      <c r="BQ19" s="339">
        <v>2</v>
      </c>
      <c r="BR19" s="339">
        <v>1</v>
      </c>
      <c r="BS19" s="339">
        <v>1</v>
      </c>
      <c r="BT19" s="339">
        <v>1</v>
      </c>
      <c r="BU19" s="339">
        <v>3</v>
      </c>
      <c r="BV19" s="104">
        <v>11</v>
      </c>
      <c r="BW19" s="104">
        <v>1.05</v>
      </c>
      <c r="BX19" s="107">
        <v>1.0744244531716256</v>
      </c>
      <c r="BY19" s="107">
        <v>1.0906744032152329</v>
      </c>
      <c r="BZ19" s="107" t="s">
        <v>2270</v>
      </c>
      <c r="CA19" s="108">
        <v>1.05</v>
      </c>
      <c r="CB19" s="108">
        <v>1.02</v>
      </c>
      <c r="CC19" s="108">
        <v>1</v>
      </c>
      <c r="CD19" s="108">
        <v>1</v>
      </c>
      <c r="CE19" s="108">
        <v>1</v>
      </c>
      <c r="CF19" s="108">
        <v>1.05</v>
      </c>
      <c r="CH19" s="208"/>
    </row>
    <row r="20" spans="1:86" ht="12" customHeight="1">
      <c r="A20" s="1227">
        <v>261010</v>
      </c>
      <c r="B20" s="1228" t="s">
        <v>221</v>
      </c>
      <c r="C20" s="1216"/>
      <c r="D20" s="1229">
        <v>5</v>
      </c>
      <c r="E20" s="1230" t="s">
        <v>98</v>
      </c>
      <c r="F20" s="1240" t="s">
        <v>2212</v>
      </c>
      <c r="G20" s="1241" t="s">
        <v>103</v>
      </c>
      <c r="H20" s="1242" t="s">
        <v>98</v>
      </c>
      <c r="I20" s="1242" t="s">
        <v>98</v>
      </c>
      <c r="J20" s="1222">
        <v>0</v>
      </c>
      <c r="K20" s="1241" t="s">
        <v>96</v>
      </c>
      <c r="L20" s="1243">
        <v>2.2674451561702849E-3</v>
      </c>
      <c r="M20" s="1223">
        <v>1</v>
      </c>
      <c r="N20" s="1224">
        <v>1.0906744032152329</v>
      </c>
      <c r="O20" s="1240" t="s">
        <v>3098</v>
      </c>
      <c r="P20" s="1243">
        <v>2.2674451561702849E-3</v>
      </c>
      <c r="Q20" s="1223">
        <v>1</v>
      </c>
      <c r="R20" s="1224">
        <v>1.0906744032152329</v>
      </c>
      <c r="S20" s="1240" t="s">
        <v>3098</v>
      </c>
      <c r="T20" s="1243">
        <v>2.2674451561702849E-3</v>
      </c>
      <c r="U20" s="1223">
        <v>1</v>
      </c>
      <c r="V20" s="1224">
        <v>1.0906744032152329</v>
      </c>
      <c r="W20" s="1240" t="s">
        <v>3098</v>
      </c>
      <c r="X20" s="1243">
        <v>2.9476787030213703E-3</v>
      </c>
      <c r="Y20" s="1223">
        <v>1</v>
      </c>
      <c r="Z20" s="1224">
        <v>1.0906744032152329</v>
      </c>
      <c r="AA20" s="1240" t="s">
        <v>3098</v>
      </c>
      <c r="AB20" s="1243">
        <v>2.9476787030213703E-3</v>
      </c>
      <c r="AC20" s="1223">
        <v>1</v>
      </c>
      <c r="AD20" s="1224">
        <v>1.0906744032152329</v>
      </c>
      <c r="AE20" s="1240" t="s">
        <v>3098</v>
      </c>
      <c r="AF20" s="1243">
        <v>2.9476787030213707E-3</v>
      </c>
      <c r="AG20" s="1223">
        <v>1</v>
      </c>
      <c r="AH20" s="1224">
        <v>1.0906744032152329</v>
      </c>
      <c r="AI20" s="1240" t="s">
        <v>3098</v>
      </c>
      <c r="AJ20" s="1243">
        <v>2.1860249092198972E-3</v>
      </c>
      <c r="AK20" s="1223">
        <v>1</v>
      </c>
      <c r="AL20" s="1224">
        <v>1.0906744032152329</v>
      </c>
      <c r="AM20" s="1240" t="s">
        <v>3098</v>
      </c>
      <c r="AN20" s="1243">
        <v>2.1860249092198968E-3</v>
      </c>
      <c r="AO20" s="1223">
        <v>1</v>
      </c>
      <c r="AP20" s="1224">
        <v>1.0906744032152329</v>
      </c>
      <c r="AQ20" s="1240" t="s">
        <v>3098</v>
      </c>
      <c r="AR20" s="1243">
        <v>2.1860249092198977E-3</v>
      </c>
      <c r="AS20" s="1223">
        <v>1</v>
      </c>
      <c r="AT20" s="1224">
        <v>1.0906744032152329</v>
      </c>
      <c r="AU20" s="1240" t="s">
        <v>3098</v>
      </c>
      <c r="AV20" s="1243">
        <v>2.8418323819858664E-3</v>
      </c>
      <c r="AW20" s="1223">
        <v>1</v>
      </c>
      <c r="AX20" s="1224">
        <v>1.0906744032152329</v>
      </c>
      <c r="AY20" s="1240" t="s">
        <v>3098</v>
      </c>
      <c r="AZ20" s="1243">
        <v>2.8418323819858664E-3</v>
      </c>
      <c r="BA20" s="1223">
        <v>1</v>
      </c>
      <c r="BB20" s="1224">
        <v>1.0906744032152329</v>
      </c>
      <c r="BC20" s="1240" t="s">
        <v>3098</v>
      </c>
      <c r="BD20" s="1243">
        <v>2.8418323819858664E-3</v>
      </c>
      <c r="BE20" s="95">
        <v>1</v>
      </c>
      <c r="BF20" s="96">
        <v>1.0906744032152329</v>
      </c>
      <c r="BG20" s="432" t="s">
        <v>3098</v>
      </c>
      <c r="BH20" s="505"/>
      <c r="BI20" s="505"/>
      <c r="BJ20" s="505"/>
      <c r="BK20" s="505"/>
      <c r="BL20" s="211"/>
      <c r="BM20" s="211"/>
      <c r="BO20" s="77" t="s">
        <v>2213</v>
      </c>
      <c r="BP20" s="339">
        <v>2</v>
      </c>
      <c r="BQ20" s="339">
        <v>2</v>
      </c>
      <c r="BR20" s="339">
        <v>1</v>
      </c>
      <c r="BS20" s="339">
        <v>1</v>
      </c>
      <c r="BT20" s="339">
        <v>1</v>
      </c>
      <c r="BU20" s="339">
        <v>3</v>
      </c>
      <c r="BV20" s="104">
        <v>3</v>
      </c>
      <c r="BW20" s="104">
        <v>1.05</v>
      </c>
      <c r="BX20" s="107">
        <v>1.0744244531716256</v>
      </c>
      <c r="BY20" s="107">
        <v>1.0906744032152329</v>
      </c>
      <c r="BZ20" s="107" t="s">
        <v>2270</v>
      </c>
      <c r="CA20" s="108">
        <v>1.05</v>
      </c>
      <c r="CB20" s="108">
        <v>1.02</v>
      </c>
      <c r="CC20" s="108">
        <v>1</v>
      </c>
      <c r="CD20" s="108">
        <v>1</v>
      </c>
      <c r="CE20" s="108">
        <v>1</v>
      </c>
      <c r="CF20" s="108">
        <v>1.05</v>
      </c>
    </row>
    <row r="21" spans="1:86" ht="12" customHeight="1">
      <c r="A21" s="1227">
        <v>269349</v>
      </c>
      <c r="B21" s="1228"/>
      <c r="C21" s="1216"/>
      <c r="D21" s="1229">
        <v>5</v>
      </c>
      <c r="E21" s="1230" t="s">
        <v>98</v>
      </c>
      <c r="F21" s="1240" t="s">
        <v>1226</v>
      </c>
      <c r="G21" s="1241" t="s">
        <v>103</v>
      </c>
      <c r="H21" s="1242" t="s">
        <v>98</v>
      </c>
      <c r="I21" s="1242" t="s">
        <v>98</v>
      </c>
      <c r="J21" s="1222">
        <v>0</v>
      </c>
      <c r="K21" s="1241" t="s">
        <v>119</v>
      </c>
      <c r="L21" s="1243">
        <v>2.0407006405532565E-6</v>
      </c>
      <c r="M21" s="1223">
        <v>1</v>
      </c>
      <c r="N21" s="1224">
        <v>1.0906744032152329</v>
      </c>
      <c r="O21" s="1240" t="s">
        <v>3098</v>
      </c>
      <c r="P21" s="1243">
        <v>2.0407006405532565E-6</v>
      </c>
      <c r="Q21" s="1223">
        <v>1</v>
      </c>
      <c r="R21" s="1224">
        <v>1.0906744032152329</v>
      </c>
      <c r="S21" s="1240" t="s">
        <v>3098</v>
      </c>
      <c r="T21" s="1243">
        <v>2.0407006405532565E-6</v>
      </c>
      <c r="U21" s="1223">
        <v>1</v>
      </c>
      <c r="V21" s="1224">
        <v>1.0906744032152329</v>
      </c>
      <c r="W21" s="1240" t="s">
        <v>3098</v>
      </c>
      <c r="X21" s="1243">
        <v>2.6529108327192334E-6</v>
      </c>
      <c r="Y21" s="1223">
        <v>1</v>
      </c>
      <c r="Z21" s="1224">
        <v>1.0906744032152329</v>
      </c>
      <c r="AA21" s="1240" t="s">
        <v>3098</v>
      </c>
      <c r="AB21" s="1243">
        <v>2.6529108327192334E-6</v>
      </c>
      <c r="AC21" s="1223">
        <v>1</v>
      </c>
      <c r="AD21" s="1224">
        <v>1.0906744032152329</v>
      </c>
      <c r="AE21" s="1240" t="s">
        <v>3098</v>
      </c>
      <c r="AF21" s="1243">
        <v>2.6529108327192338E-6</v>
      </c>
      <c r="AG21" s="1223">
        <v>1</v>
      </c>
      <c r="AH21" s="1224">
        <v>1.0906744032152329</v>
      </c>
      <c r="AI21" s="1240" t="s">
        <v>3098</v>
      </c>
      <c r="AJ21" s="1243">
        <v>1.9674224182979076E-6</v>
      </c>
      <c r="AK21" s="1223">
        <v>1</v>
      </c>
      <c r="AL21" s="1224">
        <v>1.0906744032152329</v>
      </c>
      <c r="AM21" s="1240" t="s">
        <v>3098</v>
      </c>
      <c r="AN21" s="1243">
        <v>1.9674224182979072E-6</v>
      </c>
      <c r="AO21" s="1223">
        <v>1</v>
      </c>
      <c r="AP21" s="1224">
        <v>1.0906744032152329</v>
      </c>
      <c r="AQ21" s="1240" t="s">
        <v>3098</v>
      </c>
      <c r="AR21" s="1243">
        <v>1.9674224182979081E-6</v>
      </c>
      <c r="AS21" s="1223">
        <v>1</v>
      </c>
      <c r="AT21" s="1224">
        <v>1.0906744032152329</v>
      </c>
      <c r="AU21" s="1240" t="s">
        <v>3098</v>
      </c>
      <c r="AV21" s="1243">
        <v>2.5576491437872798E-6</v>
      </c>
      <c r="AW21" s="1223">
        <v>1</v>
      </c>
      <c r="AX21" s="1224">
        <v>1.0906744032152329</v>
      </c>
      <c r="AY21" s="1240" t="s">
        <v>3098</v>
      </c>
      <c r="AZ21" s="1243">
        <v>2.5576491437872798E-6</v>
      </c>
      <c r="BA21" s="1223">
        <v>1</v>
      </c>
      <c r="BB21" s="1224">
        <v>1.0906744032152329</v>
      </c>
      <c r="BC21" s="1240" t="s">
        <v>3098</v>
      </c>
      <c r="BD21" s="1243">
        <v>2.5576491437872798E-6</v>
      </c>
      <c r="BE21" s="95">
        <v>1</v>
      </c>
      <c r="BF21" s="96">
        <v>1.0906744032152329</v>
      </c>
      <c r="BG21" s="432" t="s">
        <v>3098</v>
      </c>
      <c r="BH21" s="505"/>
      <c r="BI21" s="505"/>
      <c r="BJ21" s="505"/>
      <c r="BK21" s="505"/>
      <c r="BL21" s="211"/>
      <c r="BM21" s="211"/>
      <c r="BO21" s="77" t="s">
        <v>2213</v>
      </c>
      <c r="BP21" s="339">
        <v>2</v>
      </c>
      <c r="BQ21" s="339">
        <v>2</v>
      </c>
      <c r="BR21" s="339">
        <v>1</v>
      </c>
      <c r="BS21" s="339">
        <v>1</v>
      </c>
      <c r="BT21" s="339">
        <v>1</v>
      </c>
      <c r="BU21" s="339">
        <v>3</v>
      </c>
      <c r="BV21" s="104">
        <v>6</v>
      </c>
      <c r="BW21" s="104">
        <v>1.05</v>
      </c>
      <c r="BX21" s="107">
        <v>1.0744244531716256</v>
      </c>
      <c r="BY21" s="107">
        <v>1.0906744032152329</v>
      </c>
      <c r="BZ21" s="107" t="s">
        <v>2270</v>
      </c>
      <c r="CA21" s="108">
        <v>1.05</v>
      </c>
      <c r="CB21" s="108">
        <v>1.02</v>
      </c>
      <c r="CC21" s="108">
        <v>1</v>
      </c>
      <c r="CD21" s="108">
        <v>1</v>
      </c>
      <c r="CE21" s="108">
        <v>1</v>
      </c>
      <c r="CF21" s="108">
        <v>1.05</v>
      </c>
      <c r="CH21" s="208"/>
    </row>
    <row r="22" spans="1:86" ht="12" customHeight="1">
      <c r="A22" s="1227" t="s">
        <v>1849</v>
      </c>
      <c r="B22" s="1228"/>
      <c r="C22" s="1216"/>
      <c r="D22" s="1229">
        <v>5</v>
      </c>
      <c r="E22" s="1230" t="s">
        <v>98</v>
      </c>
      <c r="F22" s="1240" t="s">
        <v>1834</v>
      </c>
      <c r="G22" s="1241" t="s">
        <v>154</v>
      </c>
      <c r="H22" s="1242" t="s">
        <v>98</v>
      </c>
      <c r="I22" s="1242" t="s">
        <v>98</v>
      </c>
      <c r="J22" s="1222">
        <v>1</v>
      </c>
      <c r="K22" s="1241" t="s">
        <v>144</v>
      </c>
      <c r="L22" s="1243">
        <v>2.564102564102564E-6</v>
      </c>
      <c r="M22" s="1223">
        <v>1</v>
      </c>
      <c r="N22" s="1224">
        <v>1.2365959919080913</v>
      </c>
      <c r="O22" s="1240" t="s">
        <v>3099</v>
      </c>
      <c r="P22" s="1243">
        <v>0</v>
      </c>
      <c r="Q22" s="1223">
        <v>1</v>
      </c>
      <c r="R22" s="1224">
        <v>1.2365959919080913</v>
      </c>
      <c r="S22" s="1240" t="s">
        <v>3099</v>
      </c>
      <c r="T22" s="1243">
        <v>0</v>
      </c>
      <c r="U22" s="1223">
        <v>1</v>
      </c>
      <c r="V22" s="1224">
        <v>1.2365959919080913</v>
      </c>
      <c r="W22" s="1240" t="s">
        <v>3099</v>
      </c>
      <c r="X22" s="1243">
        <v>3.3333333333333333E-6</v>
      </c>
      <c r="Y22" s="1223">
        <v>1</v>
      </c>
      <c r="Z22" s="1224">
        <v>1.2365959919080913</v>
      </c>
      <c r="AA22" s="1240" t="s">
        <v>3099</v>
      </c>
      <c r="AB22" s="1243">
        <v>0</v>
      </c>
      <c r="AC22" s="1223">
        <v>1</v>
      </c>
      <c r="AD22" s="1224">
        <v>1.2365959919080913</v>
      </c>
      <c r="AE22" s="1240" t="s">
        <v>3099</v>
      </c>
      <c r="AF22" s="1243">
        <v>0</v>
      </c>
      <c r="AG22" s="1223">
        <v>1</v>
      </c>
      <c r="AH22" s="1224">
        <v>1.2365959919080913</v>
      </c>
      <c r="AI22" s="1240" t="s">
        <v>3099</v>
      </c>
      <c r="AJ22" s="1243">
        <v>0</v>
      </c>
      <c r="AK22" s="1223">
        <v>1</v>
      </c>
      <c r="AL22" s="1224">
        <v>1.2365959919080913</v>
      </c>
      <c r="AM22" s="1240" t="s">
        <v>3099</v>
      </c>
      <c r="AN22" s="1243">
        <v>0</v>
      </c>
      <c r="AO22" s="1223">
        <v>1</v>
      </c>
      <c r="AP22" s="1224">
        <v>1.2365959919080913</v>
      </c>
      <c r="AQ22" s="1240" t="s">
        <v>3099</v>
      </c>
      <c r="AR22" s="1243">
        <v>0</v>
      </c>
      <c r="AS22" s="1223">
        <v>1</v>
      </c>
      <c r="AT22" s="1224">
        <v>1.2365959919080913</v>
      </c>
      <c r="AU22" s="1240" t="s">
        <v>3099</v>
      </c>
      <c r="AV22" s="1243">
        <v>0</v>
      </c>
      <c r="AW22" s="1223">
        <v>1</v>
      </c>
      <c r="AX22" s="1224">
        <v>1.2365959919080913</v>
      </c>
      <c r="AY22" s="1240" t="s">
        <v>3099</v>
      </c>
      <c r="AZ22" s="1243">
        <v>0</v>
      </c>
      <c r="BA22" s="1223">
        <v>1</v>
      </c>
      <c r="BB22" s="1224">
        <v>1.2365959919080913</v>
      </c>
      <c r="BC22" s="1240" t="s">
        <v>3099</v>
      </c>
      <c r="BD22" s="1243">
        <v>0</v>
      </c>
      <c r="BE22" s="95">
        <v>1</v>
      </c>
      <c r="BF22" s="96">
        <v>1.2365959919080913</v>
      </c>
      <c r="BG22" s="432" t="s">
        <v>3099</v>
      </c>
      <c r="BH22" s="278"/>
      <c r="BI22" s="505" t="s">
        <v>2039</v>
      </c>
      <c r="BJ22" s="213">
        <v>1300</v>
      </c>
      <c r="BK22" s="505" t="s">
        <v>2214</v>
      </c>
      <c r="BL22" s="211">
        <v>10</v>
      </c>
      <c r="BM22" s="506">
        <v>0.22616666666666699</v>
      </c>
      <c r="BN22" s="212">
        <v>44.2151805453205</v>
      </c>
      <c r="BO22" s="77" t="s">
        <v>2215</v>
      </c>
      <c r="BP22" s="339">
        <v>3</v>
      </c>
      <c r="BQ22" s="339">
        <v>2</v>
      </c>
      <c r="BR22" s="339">
        <v>1</v>
      </c>
      <c r="BS22" s="339">
        <v>1</v>
      </c>
      <c r="BT22" s="339">
        <v>1</v>
      </c>
      <c r="BU22" s="339">
        <v>3</v>
      </c>
      <c r="BV22" s="104">
        <v>9</v>
      </c>
      <c r="BW22" s="104">
        <v>1.2</v>
      </c>
      <c r="BX22" s="107">
        <v>1.1150377561073679</v>
      </c>
      <c r="BY22" s="107">
        <v>1.2365959919080913</v>
      </c>
      <c r="BZ22" s="107" t="s">
        <v>3100</v>
      </c>
      <c r="CA22" s="108">
        <v>1.1000000000000001</v>
      </c>
      <c r="CB22" s="108">
        <v>1.02</v>
      </c>
      <c r="CC22" s="108">
        <v>1</v>
      </c>
      <c r="CD22" s="108">
        <v>1</v>
      </c>
      <c r="CE22" s="108">
        <v>1</v>
      </c>
      <c r="CF22" s="108">
        <v>1.05</v>
      </c>
      <c r="CH22" s="208"/>
    </row>
    <row r="23" spans="1:86" ht="12" customHeight="1" collapsed="1">
      <c r="A23" s="1227" t="s">
        <v>1832</v>
      </c>
      <c r="B23" s="1228"/>
      <c r="C23" s="1216"/>
      <c r="D23" s="1229">
        <v>5</v>
      </c>
      <c r="E23" s="1230" t="s">
        <v>98</v>
      </c>
      <c r="F23" s="1240" t="s">
        <v>1837</v>
      </c>
      <c r="G23" s="1241" t="s">
        <v>154</v>
      </c>
      <c r="H23" s="1242" t="s">
        <v>98</v>
      </c>
      <c r="I23" s="1242" t="s">
        <v>98</v>
      </c>
      <c r="J23" s="1222">
        <v>1</v>
      </c>
      <c r="K23" s="1241" t="s">
        <v>144</v>
      </c>
      <c r="L23" s="1243">
        <v>0</v>
      </c>
      <c r="M23" s="1223">
        <v>1</v>
      </c>
      <c r="N23" s="1224">
        <v>1.2365959919080913</v>
      </c>
      <c r="O23" s="1240" t="s">
        <v>3099</v>
      </c>
      <c r="P23" s="1243">
        <v>1.0256410256410256E-7</v>
      </c>
      <c r="Q23" s="1223">
        <v>1</v>
      </c>
      <c r="R23" s="1224">
        <v>1.2365959919080913</v>
      </c>
      <c r="S23" s="1240" t="s">
        <v>3099</v>
      </c>
      <c r="T23" s="1243">
        <v>0</v>
      </c>
      <c r="U23" s="1223">
        <v>1</v>
      </c>
      <c r="V23" s="1224">
        <v>1.2365959919080913</v>
      </c>
      <c r="W23" s="1240" t="s">
        <v>3099</v>
      </c>
      <c r="X23" s="1243">
        <v>0</v>
      </c>
      <c r="Y23" s="1223">
        <v>1</v>
      </c>
      <c r="Z23" s="1224">
        <v>1.2365959919080913</v>
      </c>
      <c r="AA23" s="1240" t="s">
        <v>3099</v>
      </c>
      <c r="AB23" s="1243">
        <v>1.3333333333333334E-7</v>
      </c>
      <c r="AC23" s="1223">
        <v>1</v>
      </c>
      <c r="AD23" s="1224">
        <v>1.2365959919080913</v>
      </c>
      <c r="AE23" s="1240" t="s">
        <v>3099</v>
      </c>
      <c r="AF23" s="1243">
        <v>0</v>
      </c>
      <c r="AG23" s="1223">
        <v>1</v>
      </c>
      <c r="AH23" s="1224">
        <v>1.2365959919080913</v>
      </c>
      <c r="AI23" s="1240" t="s">
        <v>3099</v>
      </c>
      <c r="AJ23" s="1243">
        <v>0</v>
      </c>
      <c r="AK23" s="1223">
        <v>1</v>
      </c>
      <c r="AL23" s="1224">
        <v>1.2365959919080913</v>
      </c>
      <c r="AM23" s="1240" t="s">
        <v>3099</v>
      </c>
      <c r="AN23" s="1243">
        <v>0</v>
      </c>
      <c r="AO23" s="1223">
        <v>1</v>
      </c>
      <c r="AP23" s="1224">
        <v>1.2365959919080913</v>
      </c>
      <c r="AQ23" s="1240" t="s">
        <v>3099</v>
      </c>
      <c r="AR23" s="1243">
        <v>0</v>
      </c>
      <c r="AS23" s="1223">
        <v>1</v>
      </c>
      <c r="AT23" s="1224">
        <v>1.2365959919080913</v>
      </c>
      <c r="AU23" s="1240" t="s">
        <v>3099</v>
      </c>
      <c r="AV23" s="1243">
        <v>0</v>
      </c>
      <c r="AW23" s="1223">
        <v>1</v>
      </c>
      <c r="AX23" s="1224">
        <v>1.2365959919080913</v>
      </c>
      <c r="AY23" s="1240" t="s">
        <v>3099</v>
      </c>
      <c r="AZ23" s="1243">
        <v>0</v>
      </c>
      <c r="BA23" s="1223">
        <v>1</v>
      </c>
      <c r="BB23" s="1224">
        <v>1.2365959919080913</v>
      </c>
      <c r="BC23" s="1240" t="s">
        <v>3099</v>
      </c>
      <c r="BD23" s="1243">
        <v>0</v>
      </c>
      <c r="BE23" s="95">
        <v>1</v>
      </c>
      <c r="BF23" s="96">
        <v>1.2365959919080913</v>
      </c>
      <c r="BG23" s="432" t="s">
        <v>3099</v>
      </c>
      <c r="BH23" s="278"/>
      <c r="BI23" s="505" t="s">
        <v>2039</v>
      </c>
      <c r="BJ23" s="213">
        <v>1300</v>
      </c>
      <c r="BK23" s="505" t="s">
        <v>2214</v>
      </c>
      <c r="BL23" s="211">
        <v>250</v>
      </c>
      <c r="BM23" s="506">
        <v>0.22616666666666699</v>
      </c>
      <c r="BN23" s="212">
        <v>1105.3795136330125</v>
      </c>
      <c r="BO23" s="77" t="s">
        <v>2215</v>
      </c>
      <c r="BP23" s="339">
        <v>3</v>
      </c>
      <c r="BQ23" s="339">
        <v>2</v>
      </c>
      <c r="BR23" s="339">
        <v>1</v>
      </c>
      <c r="BS23" s="339">
        <v>1</v>
      </c>
      <c r="BT23" s="339">
        <v>1</v>
      </c>
      <c r="BU23" s="339">
        <v>3</v>
      </c>
      <c r="BV23" s="104">
        <v>9</v>
      </c>
      <c r="BW23" s="104">
        <v>1.2</v>
      </c>
      <c r="BX23" s="107">
        <v>1.1150377561073679</v>
      </c>
      <c r="BY23" s="107">
        <v>1.2365959919080913</v>
      </c>
      <c r="BZ23" s="107" t="s">
        <v>3100</v>
      </c>
      <c r="CA23" s="108">
        <v>1.1000000000000001</v>
      </c>
      <c r="CB23" s="108">
        <v>1.02</v>
      </c>
      <c r="CC23" s="108">
        <v>1</v>
      </c>
      <c r="CD23" s="108">
        <v>1</v>
      </c>
      <c r="CE23" s="108">
        <v>1</v>
      </c>
      <c r="CF23" s="108">
        <v>1.05</v>
      </c>
      <c r="CH23" s="208"/>
    </row>
    <row r="24" spans="1:86" ht="12" customHeight="1">
      <c r="A24" s="1227" t="s">
        <v>1833</v>
      </c>
      <c r="B24" s="1228"/>
      <c r="C24" s="1216"/>
      <c r="D24" s="1229">
        <v>5</v>
      </c>
      <c r="E24" s="1230" t="s">
        <v>98</v>
      </c>
      <c r="F24" s="1240" t="s">
        <v>1838</v>
      </c>
      <c r="G24" s="1241" t="s">
        <v>154</v>
      </c>
      <c r="H24" s="1242" t="s">
        <v>98</v>
      </c>
      <c r="I24" s="1242" t="s">
        <v>98</v>
      </c>
      <c r="J24" s="1222">
        <v>1</v>
      </c>
      <c r="K24" s="1241" t="s">
        <v>144</v>
      </c>
      <c r="L24" s="1243">
        <v>0</v>
      </c>
      <c r="M24" s="1223">
        <v>1</v>
      </c>
      <c r="N24" s="1224">
        <v>1.2365959919080913</v>
      </c>
      <c r="O24" s="1240" t="s">
        <v>3099</v>
      </c>
      <c r="P24" s="1243">
        <v>0</v>
      </c>
      <c r="Q24" s="1223">
        <v>1</v>
      </c>
      <c r="R24" s="1224">
        <v>1.2365959919080913</v>
      </c>
      <c r="S24" s="1240" t="s">
        <v>3099</v>
      </c>
      <c r="T24" s="1243">
        <v>2.5641025641025641E-9</v>
      </c>
      <c r="U24" s="1223">
        <v>1</v>
      </c>
      <c r="V24" s="1224">
        <v>1.2365959919080913</v>
      </c>
      <c r="W24" s="1240" t="s">
        <v>3099</v>
      </c>
      <c r="X24" s="1243">
        <v>0</v>
      </c>
      <c r="Y24" s="1223">
        <v>1</v>
      </c>
      <c r="Z24" s="1224">
        <v>1.2365959919080913</v>
      </c>
      <c r="AA24" s="1240" t="s">
        <v>3099</v>
      </c>
      <c r="AB24" s="1243">
        <v>0</v>
      </c>
      <c r="AC24" s="1223">
        <v>1</v>
      </c>
      <c r="AD24" s="1224">
        <v>1.2365959919080913</v>
      </c>
      <c r="AE24" s="1240" t="s">
        <v>3099</v>
      </c>
      <c r="AF24" s="1243">
        <v>3.3333333333333334E-9</v>
      </c>
      <c r="AG24" s="1223">
        <v>1</v>
      </c>
      <c r="AH24" s="1224">
        <v>1.2365959919080913</v>
      </c>
      <c r="AI24" s="1240" t="s">
        <v>3099</v>
      </c>
      <c r="AJ24" s="1243">
        <v>0</v>
      </c>
      <c r="AK24" s="1223">
        <v>1</v>
      </c>
      <c r="AL24" s="1224">
        <v>1.2365959919080913</v>
      </c>
      <c r="AM24" s="1240" t="s">
        <v>3099</v>
      </c>
      <c r="AN24" s="1243">
        <v>0</v>
      </c>
      <c r="AO24" s="1223">
        <v>1</v>
      </c>
      <c r="AP24" s="1224">
        <v>1.2365959919080913</v>
      </c>
      <c r="AQ24" s="1240" t="s">
        <v>3099</v>
      </c>
      <c r="AR24" s="1243">
        <v>0</v>
      </c>
      <c r="AS24" s="1223">
        <v>1</v>
      </c>
      <c r="AT24" s="1224">
        <v>1.2365959919080913</v>
      </c>
      <c r="AU24" s="1240" t="s">
        <v>3099</v>
      </c>
      <c r="AV24" s="1243">
        <v>0</v>
      </c>
      <c r="AW24" s="1223">
        <v>1</v>
      </c>
      <c r="AX24" s="1224">
        <v>1.2365959919080913</v>
      </c>
      <c r="AY24" s="1240" t="s">
        <v>3099</v>
      </c>
      <c r="AZ24" s="1243">
        <v>0</v>
      </c>
      <c r="BA24" s="1223">
        <v>1</v>
      </c>
      <c r="BB24" s="1224">
        <v>1.2365959919080913</v>
      </c>
      <c r="BC24" s="1240" t="s">
        <v>3099</v>
      </c>
      <c r="BD24" s="1243">
        <v>0</v>
      </c>
      <c r="BE24" s="95">
        <v>1</v>
      </c>
      <c r="BF24" s="96">
        <v>1.2365959919080913</v>
      </c>
      <c r="BG24" s="432" t="s">
        <v>3099</v>
      </c>
      <c r="BH24" s="278"/>
      <c r="BI24" s="505" t="s">
        <v>2041</v>
      </c>
      <c r="BJ24" s="213">
        <v>1300</v>
      </c>
      <c r="BK24" s="505" t="s">
        <v>2214</v>
      </c>
      <c r="BL24" s="211">
        <v>10000</v>
      </c>
      <c r="BM24" s="506">
        <v>0.22616666666666699</v>
      </c>
      <c r="BN24" s="212">
        <v>44215.180545320494</v>
      </c>
      <c r="BO24" s="77" t="s">
        <v>2215</v>
      </c>
      <c r="BP24" s="339">
        <v>3</v>
      </c>
      <c r="BQ24" s="339">
        <v>2</v>
      </c>
      <c r="BR24" s="339">
        <v>1</v>
      </c>
      <c r="BS24" s="339">
        <v>1</v>
      </c>
      <c r="BT24" s="339">
        <v>1</v>
      </c>
      <c r="BU24" s="339">
        <v>3</v>
      </c>
      <c r="BV24" s="104">
        <v>9</v>
      </c>
      <c r="BW24" s="104">
        <v>1.2</v>
      </c>
      <c r="BX24" s="107">
        <v>1.1150377561073679</v>
      </c>
      <c r="BY24" s="107">
        <v>1.2365959919080913</v>
      </c>
      <c r="BZ24" s="107" t="s">
        <v>3100</v>
      </c>
      <c r="CA24" s="108">
        <v>1.1000000000000001</v>
      </c>
      <c r="CB24" s="108">
        <v>1.02</v>
      </c>
      <c r="CC24" s="108">
        <v>1</v>
      </c>
      <c r="CD24" s="108">
        <v>1</v>
      </c>
      <c r="CE24" s="108">
        <v>1</v>
      </c>
      <c r="CF24" s="108">
        <v>1.05</v>
      </c>
      <c r="CH24" s="208"/>
    </row>
    <row r="25" spans="1:86" ht="12" customHeight="1">
      <c r="A25" s="1227" t="s">
        <v>2014</v>
      </c>
      <c r="B25" s="1228"/>
      <c r="C25" s="1216"/>
      <c r="D25" s="1229">
        <v>5</v>
      </c>
      <c r="E25" s="1230" t="s">
        <v>98</v>
      </c>
      <c r="F25" s="1240" t="s">
        <v>2007</v>
      </c>
      <c r="G25" s="1241" t="s">
        <v>154</v>
      </c>
      <c r="H25" s="1242" t="s">
        <v>98</v>
      </c>
      <c r="I25" s="1242" t="s">
        <v>98</v>
      </c>
      <c r="J25" s="1222">
        <v>1</v>
      </c>
      <c r="K25" s="1241" t="s">
        <v>144</v>
      </c>
      <c r="L25" s="1243">
        <v>0</v>
      </c>
      <c r="M25" s="1223">
        <v>1</v>
      </c>
      <c r="N25" s="1224">
        <v>1.2365959919080913</v>
      </c>
      <c r="O25" s="1240" t="s">
        <v>3099</v>
      </c>
      <c r="P25" s="1243">
        <v>0</v>
      </c>
      <c r="Q25" s="1223">
        <v>1</v>
      </c>
      <c r="R25" s="1224">
        <v>1.2365959919080913</v>
      </c>
      <c r="S25" s="1240" t="s">
        <v>3099</v>
      </c>
      <c r="T25" s="1243">
        <v>0</v>
      </c>
      <c r="U25" s="1223">
        <v>1</v>
      </c>
      <c r="V25" s="1224">
        <v>1.2365959919080913</v>
      </c>
      <c r="W25" s="1240" t="s">
        <v>3099</v>
      </c>
      <c r="X25" s="1243">
        <v>0</v>
      </c>
      <c r="Y25" s="1223">
        <v>1</v>
      </c>
      <c r="Z25" s="1224">
        <v>1.2365959919080913</v>
      </c>
      <c r="AA25" s="1240" t="s">
        <v>3099</v>
      </c>
      <c r="AB25" s="1243">
        <v>0</v>
      </c>
      <c r="AC25" s="1223">
        <v>1</v>
      </c>
      <c r="AD25" s="1224">
        <v>1.2365959919080913</v>
      </c>
      <c r="AE25" s="1240" t="s">
        <v>3099</v>
      </c>
      <c r="AF25" s="1243">
        <v>0</v>
      </c>
      <c r="AG25" s="1223">
        <v>1</v>
      </c>
      <c r="AH25" s="1224">
        <v>1.2365959919080913</v>
      </c>
      <c r="AI25" s="1240" t="s">
        <v>3099</v>
      </c>
      <c r="AJ25" s="1243">
        <v>2.472029834842834E-6</v>
      </c>
      <c r="AK25" s="1223">
        <v>1</v>
      </c>
      <c r="AL25" s="1224">
        <v>1.2365959919080913</v>
      </c>
      <c r="AM25" s="1240" t="s">
        <v>3099</v>
      </c>
      <c r="AN25" s="1243">
        <v>0</v>
      </c>
      <c r="AO25" s="1223">
        <v>1</v>
      </c>
      <c r="AP25" s="1224">
        <v>1.2365959919080913</v>
      </c>
      <c r="AQ25" s="1240" t="s">
        <v>3099</v>
      </c>
      <c r="AR25" s="1243">
        <v>0</v>
      </c>
      <c r="AS25" s="1223">
        <v>1</v>
      </c>
      <c r="AT25" s="1224">
        <v>1.2365959919080913</v>
      </c>
      <c r="AU25" s="1240" t="s">
        <v>3099</v>
      </c>
      <c r="AV25" s="1243">
        <v>3.213638785295684E-6</v>
      </c>
      <c r="AW25" s="1223">
        <v>1</v>
      </c>
      <c r="AX25" s="1224">
        <v>1.2365959919080913</v>
      </c>
      <c r="AY25" s="1240" t="s">
        <v>3099</v>
      </c>
      <c r="AZ25" s="1243">
        <v>0</v>
      </c>
      <c r="BA25" s="1223">
        <v>1</v>
      </c>
      <c r="BB25" s="1224">
        <v>1.2365959919080913</v>
      </c>
      <c r="BC25" s="1240" t="s">
        <v>3099</v>
      </c>
      <c r="BD25" s="1243">
        <v>0</v>
      </c>
      <c r="BE25" s="95">
        <v>1</v>
      </c>
      <c r="BF25" s="96">
        <v>1.2365959919080913</v>
      </c>
      <c r="BG25" s="432" t="s">
        <v>3099</v>
      </c>
      <c r="BH25" s="278"/>
      <c r="BI25" s="505" t="s">
        <v>2039</v>
      </c>
      <c r="BJ25" s="213">
        <v>1300</v>
      </c>
      <c r="BK25" s="505" t="s">
        <v>2214</v>
      </c>
      <c r="BL25" s="211">
        <v>10</v>
      </c>
      <c r="BM25" s="506">
        <v>0.22616666666666699</v>
      </c>
      <c r="BN25" s="212">
        <v>44.2151805453205</v>
      </c>
      <c r="BO25" s="77" t="s">
        <v>2215</v>
      </c>
      <c r="BP25" s="339">
        <v>3</v>
      </c>
      <c r="BQ25" s="339">
        <v>2</v>
      </c>
      <c r="BR25" s="339">
        <v>1</v>
      </c>
      <c r="BS25" s="339">
        <v>1</v>
      </c>
      <c r="BT25" s="339">
        <v>1</v>
      </c>
      <c r="BU25" s="339">
        <v>3</v>
      </c>
      <c r="BV25" s="104">
        <v>9</v>
      </c>
      <c r="BW25" s="104">
        <v>1.2</v>
      </c>
      <c r="BX25" s="107">
        <v>1.1150377561073679</v>
      </c>
      <c r="BY25" s="107">
        <v>1.2365959919080913</v>
      </c>
      <c r="BZ25" s="107" t="s">
        <v>3100</v>
      </c>
      <c r="CA25" s="108">
        <v>1.1000000000000001</v>
      </c>
      <c r="CB25" s="108">
        <v>1.02</v>
      </c>
      <c r="CC25" s="108">
        <v>1</v>
      </c>
      <c r="CD25" s="108">
        <v>1</v>
      </c>
      <c r="CE25" s="108">
        <v>1</v>
      </c>
      <c r="CF25" s="108">
        <v>1.05</v>
      </c>
      <c r="CH25" s="208"/>
    </row>
    <row r="26" spans="1:86" ht="12" customHeight="1" collapsed="1">
      <c r="A26" s="1227" t="s">
        <v>2015</v>
      </c>
      <c r="B26" s="1228"/>
      <c r="C26" s="1216"/>
      <c r="D26" s="1229">
        <v>5</v>
      </c>
      <c r="E26" s="1230" t="s">
        <v>98</v>
      </c>
      <c r="F26" s="1240" t="s">
        <v>2008</v>
      </c>
      <c r="G26" s="1241" t="s">
        <v>154</v>
      </c>
      <c r="H26" s="1242" t="s">
        <v>98</v>
      </c>
      <c r="I26" s="1242" t="s">
        <v>98</v>
      </c>
      <c r="J26" s="1222">
        <v>1</v>
      </c>
      <c r="K26" s="1241" t="s">
        <v>144</v>
      </c>
      <c r="L26" s="1243">
        <v>0</v>
      </c>
      <c r="M26" s="1223">
        <v>1</v>
      </c>
      <c r="N26" s="1224">
        <v>1.2365959919080913</v>
      </c>
      <c r="O26" s="1240" t="s">
        <v>3099</v>
      </c>
      <c r="P26" s="1243">
        <v>0</v>
      </c>
      <c r="Q26" s="1223">
        <v>1</v>
      </c>
      <c r="R26" s="1224">
        <v>1.2365959919080913</v>
      </c>
      <c r="S26" s="1240" t="s">
        <v>3099</v>
      </c>
      <c r="T26" s="1243">
        <v>0</v>
      </c>
      <c r="U26" s="1223">
        <v>1</v>
      </c>
      <c r="V26" s="1224">
        <v>1.2365959919080913</v>
      </c>
      <c r="W26" s="1240" t="s">
        <v>3099</v>
      </c>
      <c r="X26" s="1243">
        <v>0</v>
      </c>
      <c r="Y26" s="1223">
        <v>1</v>
      </c>
      <c r="Z26" s="1224">
        <v>1.2365959919080913</v>
      </c>
      <c r="AA26" s="1240" t="s">
        <v>3099</v>
      </c>
      <c r="AB26" s="1243">
        <v>0</v>
      </c>
      <c r="AC26" s="1223">
        <v>1</v>
      </c>
      <c r="AD26" s="1224">
        <v>1.2365959919080913</v>
      </c>
      <c r="AE26" s="1240" t="s">
        <v>3099</v>
      </c>
      <c r="AF26" s="1243">
        <v>0</v>
      </c>
      <c r="AG26" s="1223">
        <v>1</v>
      </c>
      <c r="AH26" s="1224">
        <v>1.2365959919080913</v>
      </c>
      <c r="AI26" s="1240" t="s">
        <v>3099</v>
      </c>
      <c r="AJ26" s="1243">
        <v>0</v>
      </c>
      <c r="AK26" s="1223">
        <v>1</v>
      </c>
      <c r="AL26" s="1224">
        <v>1.2365959919080913</v>
      </c>
      <c r="AM26" s="1240" t="s">
        <v>3099</v>
      </c>
      <c r="AN26" s="1243">
        <v>9.8881193393713351E-8</v>
      </c>
      <c r="AO26" s="1223">
        <v>1</v>
      </c>
      <c r="AP26" s="1224">
        <v>1.2365959919080913</v>
      </c>
      <c r="AQ26" s="1240" t="s">
        <v>3099</v>
      </c>
      <c r="AR26" s="1243">
        <v>0</v>
      </c>
      <c r="AS26" s="1223">
        <v>1</v>
      </c>
      <c r="AT26" s="1224">
        <v>1.2365959919080913</v>
      </c>
      <c r="AU26" s="1240" t="s">
        <v>3099</v>
      </c>
      <c r="AV26" s="1243">
        <v>0</v>
      </c>
      <c r="AW26" s="1223">
        <v>1</v>
      </c>
      <c r="AX26" s="1224">
        <v>1.2365959919080913</v>
      </c>
      <c r="AY26" s="1240" t="s">
        <v>3099</v>
      </c>
      <c r="AZ26" s="1243">
        <v>1.2854555141182737E-7</v>
      </c>
      <c r="BA26" s="1223">
        <v>1</v>
      </c>
      <c r="BB26" s="1224">
        <v>1.2365959919080913</v>
      </c>
      <c r="BC26" s="1240" t="s">
        <v>3099</v>
      </c>
      <c r="BD26" s="1243">
        <v>0</v>
      </c>
      <c r="BE26" s="95">
        <v>1</v>
      </c>
      <c r="BF26" s="96">
        <v>1.2365959919080913</v>
      </c>
      <c r="BG26" s="432" t="s">
        <v>3099</v>
      </c>
      <c r="BH26" s="278"/>
      <c r="BI26" s="505" t="s">
        <v>2039</v>
      </c>
      <c r="BJ26" s="213">
        <v>1300</v>
      </c>
      <c r="BK26" s="505" t="s">
        <v>2214</v>
      </c>
      <c r="BL26" s="211">
        <v>250</v>
      </c>
      <c r="BM26" s="506">
        <v>0.22616666666666699</v>
      </c>
      <c r="BN26" s="212">
        <v>1105.3795136330125</v>
      </c>
      <c r="BO26" s="77" t="s">
        <v>2215</v>
      </c>
      <c r="BP26" s="339">
        <v>3</v>
      </c>
      <c r="BQ26" s="339">
        <v>2</v>
      </c>
      <c r="BR26" s="339">
        <v>1</v>
      </c>
      <c r="BS26" s="339">
        <v>1</v>
      </c>
      <c r="BT26" s="339">
        <v>1</v>
      </c>
      <c r="BU26" s="339">
        <v>3</v>
      </c>
      <c r="BV26" s="104">
        <v>9</v>
      </c>
      <c r="BW26" s="104">
        <v>1.2</v>
      </c>
      <c r="BX26" s="107">
        <v>1.1150377561073679</v>
      </c>
      <c r="BY26" s="107">
        <v>1.2365959919080913</v>
      </c>
      <c r="BZ26" s="107" t="s">
        <v>3100</v>
      </c>
      <c r="CA26" s="108">
        <v>1.1000000000000001</v>
      </c>
      <c r="CB26" s="108">
        <v>1.02</v>
      </c>
      <c r="CC26" s="108">
        <v>1</v>
      </c>
      <c r="CD26" s="108">
        <v>1</v>
      </c>
      <c r="CE26" s="108">
        <v>1</v>
      </c>
      <c r="CF26" s="108">
        <v>1.05</v>
      </c>
      <c r="CH26" s="208"/>
    </row>
    <row r="27" spans="1:86" ht="12" customHeight="1">
      <c r="A27" s="1227" t="s">
        <v>2016</v>
      </c>
      <c r="B27" s="1228"/>
      <c r="C27" s="1216"/>
      <c r="D27" s="1229">
        <v>5</v>
      </c>
      <c r="E27" s="1230" t="s">
        <v>98</v>
      </c>
      <c r="F27" s="1240" t="s">
        <v>2009</v>
      </c>
      <c r="G27" s="1241" t="s">
        <v>154</v>
      </c>
      <c r="H27" s="1242" t="s">
        <v>98</v>
      </c>
      <c r="I27" s="1242" t="s">
        <v>98</v>
      </c>
      <c r="J27" s="1222">
        <v>1</v>
      </c>
      <c r="K27" s="1241" t="s">
        <v>144</v>
      </c>
      <c r="L27" s="1243">
        <v>0</v>
      </c>
      <c r="M27" s="1223">
        <v>1</v>
      </c>
      <c r="N27" s="1224">
        <v>1.2365959919080913</v>
      </c>
      <c r="O27" s="1240" t="s">
        <v>3099</v>
      </c>
      <c r="P27" s="1243">
        <v>0</v>
      </c>
      <c r="Q27" s="1223">
        <v>1</v>
      </c>
      <c r="R27" s="1224">
        <v>1.2365959919080913</v>
      </c>
      <c r="S27" s="1240" t="s">
        <v>3099</v>
      </c>
      <c r="T27" s="1243">
        <v>0</v>
      </c>
      <c r="U27" s="1223">
        <v>1</v>
      </c>
      <c r="V27" s="1224">
        <v>1.2365959919080913</v>
      </c>
      <c r="W27" s="1240" t="s">
        <v>3099</v>
      </c>
      <c r="X27" s="1243">
        <v>0</v>
      </c>
      <c r="Y27" s="1223">
        <v>1</v>
      </c>
      <c r="Z27" s="1224">
        <v>1.2365959919080913</v>
      </c>
      <c r="AA27" s="1240" t="s">
        <v>3099</v>
      </c>
      <c r="AB27" s="1243">
        <v>0</v>
      </c>
      <c r="AC27" s="1223">
        <v>1</v>
      </c>
      <c r="AD27" s="1224">
        <v>1.2365959919080913</v>
      </c>
      <c r="AE27" s="1240" t="s">
        <v>3099</v>
      </c>
      <c r="AF27" s="1243">
        <v>0</v>
      </c>
      <c r="AG27" s="1223">
        <v>1</v>
      </c>
      <c r="AH27" s="1224">
        <v>1.2365959919080913</v>
      </c>
      <c r="AI27" s="1240" t="s">
        <v>3099</v>
      </c>
      <c r="AJ27" s="1243">
        <v>0</v>
      </c>
      <c r="AK27" s="1223">
        <v>1</v>
      </c>
      <c r="AL27" s="1224">
        <v>1.2365959919080913</v>
      </c>
      <c r="AM27" s="1240" t="s">
        <v>3099</v>
      </c>
      <c r="AN27" s="1243">
        <v>0</v>
      </c>
      <c r="AO27" s="1223">
        <v>1</v>
      </c>
      <c r="AP27" s="1224">
        <v>1.2365959919080913</v>
      </c>
      <c r="AQ27" s="1240" t="s">
        <v>3099</v>
      </c>
      <c r="AR27" s="1243">
        <v>2.472029834842834E-9</v>
      </c>
      <c r="AS27" s="1223">
        <v>1</v>
      </c>
      <c r="AT27" s="1224">
        <v>1.2365959919080913</v>
      </c>
      <c r="AU27" s="1240" t="s">
        <v>3099</v>
      </c>
      <c r="AV27" s="1243">
        <v>0</v>
      </c>
      <c r="AW27" s="1223">
        <v>1</v>
      </c>
      <c r="AX27" s="1224">
        <v>1.2365959919080913</v>
      </c>
      <c r="AY27" s="1240" t="s">
        <v>3099</v>
      </c>
      <c r="AZ27" s="1243">
        <v>0</v>
      </c>
      <c r="BA27" s="1223">
        <v>1</v>
      </c>
      <c r="BB27" s="1224">
        <v>1.2365959919080913</v>
      </c>
      <c r="BC27" s="1240" t="s">
        <v>3099</v>
      </c>
      <c r="BD27" s="1243">
        <v>3.2136387852956839E-9</v>
      </c>
      <c r="BE27" s="95">
        <v>1</v>
      </c>
      <c r="BF27" s="96">
        <v>1.2365959919080913</v>
      </c>
      <c r="BG27" s="432" t="s">
        <v>3099</v>
      </c>
      <c r="BH27" s="278"/>
      <c r="BI27" s="505" t="s">
        <v>2041</v>
      </c>
      <c r="BJ27" s="213">
        <v>1300</v>
      </c>
      <c r="BK27" s="505" t="s">
        <v>2214</v>
      </c>
      <c r="BL27" s="211">
        <v>10000</v>
      </c>
      <c r="BM27" s="506">
        <v>0.22616666666666699</v>
      </c>
      <c r="BN27" s="212">
        <v>44215.180545320494</v>
      </c>
      <c r="BO27" s="77" t="s">
        <v>2215</v>
      </c>
      <c r="BP27" s="339">
        <v>3</v>
      </c>
      <c r="BQ27" s="339">
        <v>2</v>
      </c>
      <c r="BR27" s="339">
        <v>1</v>
      </c>
      <c r="BS27" s="339">
        <v>1</v>
      </c>
      <c r="BT27" s="339">
        <v>1</v>
      </c>
      <c r="BU27" s="339">
        <v>3</v>
      </c>
      <c r="BV27" s="104">
        <v>9</v>
      </c>
      <c r="BW27" s="104">
        <v>1.2</v>
      </c>
      <c r="BX27" s="107">
        <v>1.1150377561073679</v>
      </c>
      <c r="BY27" s="107">
        <v>1.2365959919080913</v>
      </c>
      <c r="BZ27" s="107" t="s">
        <v>3100</v>
      </c>
      <c r="CA27" s="108">
        <v>1.1000000000000001</v>
      </c>
      <c r="CB27" s="108">
        <v>1.02</v>
      </c>
      <c r="CC27" s="108">
        <v>1</v>
      </c>
      <c r="CD27" s="108">
        <v>1</v>
      </c>
      <c r="CE27" s="108">
        <v>1</v>
      </c>
      <c r="CF27" s="108">
        <v>1.05</v>
      </c>
      <c r="CH27" s="208"/>
    </row>
    <row r="28" spans="1:86" ht="12" customHeight="1">
      <c r="A28" s="1227">
        <v>15848</v>
      </c>
      <c r="B28" s="1228" t="s">
        <v>594</v>
      </c>
      <c r="C28" s="1216"/>
      <c r="D28" s="1229" t="s">
        <v>98</v>
      </c>
      <c r="E28" s="1230">
        <v>4</v>
      </c>
      <c r="F28" s="1240" t="s">
        <v>121</v>
      </c>
      <c r="G28" s="1241" t="s">
        <v>98</v>
      </c>
      <c r="H28" s="1242" t="s">
        <v>247</v>
      </c>
      <c r="I28" s="1242" t="s">
        <v>248</v>
      </c>
      <c r="J28" s="1222" t="s">
        <v>98</v>
      </c>
      <c r="K28" s="1241" t="s">
        <v>104</v>
      </c>
      <c r="L28" s="1243">
        <v>0.25026737967914414</v>
      </c>
      <c r="M28" s="1223">
        <v>1</v>
      </c>
      <c r="N28" s="1224">
        <v>1.05</v>
      </c>
      <c r="O28" s="1240" t="s">
        <v>3101</v>
      </c>
      <c r="P28" s="1243">
        <v>0.25026737967914414</v>
      </c>
      <c r="Q28" s="1223">
        <v>1</v>
      </c>
      <c r="R28" s="1224">
        <v>1.05</v>
      </c>
      <c r="S28" s="1240" t="s">
        <v>3101</v>
      </c>
      <c r="T28" s="1243">
        <v>0.25026737967914414</v>
      </c>
      <c r="U28" s="1223">
        <v>1</v>
      </c>
      <c r="V28" s="1224">
        <v>1.05</v>
      </c>
      <c r="W28" s="1240" t="s">
        <v>3101</v>
      </c>
      <c r="X28" s="1243">
        <v>0.25026737967914414</v>
      </c>
      <c r="Y28" s="1223">
        <v>1</v>
      </c>
      <c r="Z28" s="1224">
        <v>1.05</v>
      </c>
      <c r="AA28" s="1240" t="s">
        <v>3101</v>
      </c>
      <c r="AB28" s="1243">
        <v>0.25026737967914414</v>
      </c>
      <c r="AC28" s="1223">
        <v>1</v>
      </c>
      <c r="AD28" s="1224">
        <v>1.05</v>
      </c>
      <c r="AE28" s="1240" t="s">
        <v>3101</v>
      </c>
      <c r="AF28" s="1243">
        <v>0.25026737967914414</v>
      </c>
      <c r="AG28" s="1223">
        <v>1</v>
      </c>
      <c r="AH28" s="1224">
        <v>1.05</v>
      </c>
      <c r="AI28" s="1240" t="s">
        <v>3101</v>
      </c>
      <c r="AJ28" s="1243">
        <v>0.25026737967914414</v>
      </c>
      <c r="AK28" s="1223">
        <v>1</v>
      </c>
      <c r="AL28" s="1224">
        <v>1.05</v>
      </c>
      <c r="AM28" s="1240" t="s">
        <v>3101</v>
      </c>
      <c r="AN28" s="1243">
        <v>0.25026737967914414</v>
      </c>
      <c r="AO28" s="1223">
        <v>1</v>
      </c>
      <c r="AP28" s="1224">
        <v>1.05</v>
      </c>
      <c r="AQ28" s="1240" t="s">
        <v>3101</v>
      </c>
      <c r="AR28" s="1243">
        <v>0.25026737967914414</v>
      </c>
      <c r="AS28" s="1223">
        <v>1</v>
      </c>
      <c r="AT28" s="1224">
        <v>1.05</v>
      </c>
      <c r="AU28" s="1240" t="s">
        <v>3101</v>
      </c>
      <c r="AV28" s="1243">
        <v>0.25026737967914414</v>
      </c>
      <c r="AW28" s="1223">
        <v>1</v>
      </c>
      <c r="AX28" s="1224">
        <v>1.05</v>
      </c>
      <c r="AY28" s="1240" t="s">
        <v>3101</v>
      </c>
      <c r="AZ28" s="1243">
        <v>0.25026737967914414</v>
      </c>
      <c r="BA28" s="1223">
        <v>1</v>
      </c>
      <c r="BB28" s="1224">
        <v>1.05</v>
      </c>
      <c r="BC28" s="1240" t="s">
        <v>3101</v>
      </c>
      <c r="BD28" s="1243">
        <v>0.25026737967914414</v>
      </c>
      <c r="BE28" s="95">
        <v>1</v>
      </c>
      <c r="BF28" s="96">
        <v>1.05</v>
      </c>
      <c r="BG28" s="432" t="s">
        <v>3101</v>
      </c>
      <c r="BH28" s="505"/>
      <c r="BI28" s="505"/>
      <c r="BJ28" s="505"/>
      <c r="BK28" s="505"/>
      <c r="BL28" s="211"/>
      <c r="BM28" s="211"/>
      <c r="BO28" s="77" t="s">
        <v>249</v>
      </c>
      <c r="BP28" s="339">
        <v>1</v>
      </c>
      <c r="BQ28" s="339" t="s">
        <v>106</v>
      </c>
      <c r="BR28" s="339" t="s">
        <v>106</v>
      </c>
      <c r="BS28" s="339" t="s">
        <v>106</v>
      </c>
      <c r="BT28" s="339" t="s">
        <v>106</v>
      </c>
      <c r="BU28" s="339" t="s">
        <v>106</v>
      </c>
      <c r="BV28" s="104">
        <v>13</v>
      </c>
      <c r="BW28" s="104">
        <v>1.05</v>
      </c>
      <c r="BX28" s="107">
        <v>1</v>
      </c>
      <c r="BY28" s="107">
        <v>1.05</v>
      </c>
      <c r="BZ28" s="107" t="s">
        <v>3102</v>
      </c>
      <c r="CA28" s="108">
        <v>1</v>
      </c>
      <c r="CB28" s="108">
        <v>1</v>
      </c>
      <c r="CC28" s="108">
        <v>1</v>
      </c>
      <c r="CD28" s="108">
        <v>1</v>
      </c>
      <c r="CE28" s="108">
        <v>1</v>
      </c>
      <c r="CF28" s="108">
        <v>1</v>
      </c>
      <c r="CH28" s="208"/>
    </row>
    <row r="29" spans="1:86" ht="12" customHeight="1">
      <c r="A29" s="1227">
        <v>52456</v>
      </c>
      <c r="B29" s="1228"/>
      <c r="C29" s="1216"/>
      <c r="D29" s="1229" t="s">
        <v>98</v>
      </c>
      <c r="E29" s="1230">
        <v>4</v>
      </c>
      <c r="F29" s="1240" t="s">
        <v>2216</v>
      </c>
      <c r="G29" s="1241" t="s">
        <v>98</v>
      </c>
      <c r="H29" s="1242" t="s">
        <v>247</v>
      </c>
      <c r="I29" s="1242" t="s">
        <v>248</v>
      </c>
      <c r="J29" s="1222" t="s">
        <v>98</v>
      </c>
      <c r="K29" s="1241" t="s">
        <v>96</v>
      </c>
      <c r="L29" s="1243">
        <v>2.2674451561702851E-4</v>
      </c>
      <c r="M29" s="1223">
        <v>1</v>
      </c>
      <c r="N29" s="1224">
        <v>1.0906744032152329</v>
      </c>
      <c r="O29" s="1240" t="s">
        <v>3103</v>
      </c>
      <c r="P29" s="1243">
        <v>2.2674451561702851E-4</v>
      </c>
      <c r="Q29" s="1223">
        <v>1</v>
      </c>
      <c r="R29" s="1224">
        <v>1.0906744032152329</v>
      </c>
      <c r="S29" s="1240" t="s">
        <v>3103</v>
      </c>
      <c r="T29" s="1243">
        <v>2.2674451561702851E-4</v>
      </c>
      <c r="U29" s="1223">
        <v>1</v>
      </c>
      <c r="V29" s="1224">
        <v>1.0906744032152329</v>
      </c>
      <c r="W29" s="1240" t="s">
        <v>3103</v>
      </c>
      <c r="X29" s="1243">
        <v>2.9476787030213703E-4</v>
      </c>
      <c r="Y29" s="1223">
        <v>1</v>
      </c>
      <c r="Z29" s="1224">
        <v>1.0906744032152329</v>
      </c>
      <c r="AA29" s="1240" t="s">
        <v>3103</v>
      </c>
      <c r="AB29" s="1243">
        <v>2.9476787030213703E-4</v>
      </c>
      <c r="AC29" s="1223">
        <v>1</v>
      </c>
      <c r="AD29" s="1224">
        <v>1.0906744032152329</v>
      </c>
      <c r="AE29" s="1240" t="s">
        <v>3103</v>
      </c>
      <c r="AF29" s="1243">
        <v>2.9476787030213708E-4</v>
      </c>
      <c r="AG29" s="1223">
        <v>1</v>
      </c>
      <c r="AH29" s="1224">
        <v>1.0906744032152329</v>
      </c>
      <c r="AI29" s="1240" t="s">
        <v>3103</v>
      </c>
      <c r="AJ29" s="1243">
        <v>2.1860249092198972E-4</v>
      </c>
      <c r="AK29" s="1223">
        <v>1</v>
      </c>
      <c r="AL29" s="1224">
        <v>1.0906744032152329</v>
      </c>
      <c r="AM29" s="1240" t="s">
        <v>3103</v>
      </c>
      <c r="AN29" s="1243">
        <v>2.186024909219897E-4</v>
      </c>
      <c r="AO29" s="1223">
        <v>1</v>
      </c>
      <c r="AP29" s="1224">
        <v>1.0906744032152329</v>
      </c>
      <c r="AQ29" s="1240" t="s">
        <v>3103</v>
      </c>
      <c r="AR29" s="1243">
        <v>2.1860249092198978E-4</v>
      </c>
      <c r="AS29" s="1223">
        <v>1</v>
      </c>
      <c r="AT29" s="1224">
        <v>1.0906744032152329</v>
      </c>
      <c r="AU29" s="1240" t="s">
        <v>3103</v>
      </c>
      <c r="AV29" s="1243">
        <v>2.8418323819858664E-4</v>
      </c>
      <c r="AW29" s="1223">
        <v>1</v>
      </c>
      <c r="AX29" s="1224">
        <v>1.0906744032152329</v>
      </c>
      <c r="AY29" s="1240" t="s">
        <v>3103</v>
      </c>
      <c r="AZ29" s="1243">
        <v>2.8418323819858664E-4</v>
      </c>
      <c r="BA29" s="1223">
        <v>1</v>
      </c>
      <c r="BB29" s="1224">
        <v>1.0906744032152329</v>
      </c>
      <c r="BC29" s="1240" t="s">
        <v>3103</v>
      </c>
      <c r="BD29" s="1243">
        <v>2.8418323819858664E-4</v>
      </c>
      <c r="BE29" s="95">
        <v>1</v>
      </c>
      <c r="BF29" s="96">
        <v>1.0906744032152329</v>
      </c>
      <c r="BG29" s="432" t="s">
        <v>3103</v>
      </c>
      <c r="BH29" s="505"/>
      <c r="BI29" s="505"/>
      <c r="BJ29" s="505"/>
      <c r="BK29" s="505"/>
      <c r="BL29" s="211"/>
      <c r="BM29" s="211"/>
      <c r="BO29" s="77" t="s">
        <v>2217</v>
      </c>
      <c r="BP29" s="339">
        <v>2</v>
      </c>
      <c r="BQ29" s="339">
        <v>2</v>
      </c>
      <c r="BR29" s="339">
        <v>1</v>
      </c>
      <c r="BS29" s="339">
        <v>1</v>
      </c>
      <c r="BT29" s="339">
        <v>1</v>
      </c>
      <c r="BU29" s="339">
        <v>3</v>
      </c>
      <c r="BV29" s="104">
        <v>13</v>
      </c>
      <c r="BW29" s="104">
        <v>1.05</v>
      </c>
      <c r="BX29" s="107">
        <v>1.0744244531716256</v>
      </c>
      <c r="BY29" s="107">
        <v>1.0906744032152329</v>
      </c>
      <c r="BZ29" s="107" t="s">
        <v>2270</v>
      </c>
      <c r="CA29" s="108">
        <v>1.05</v>
      </c>
      <c r="CB29" s="108">
        <v>1.02</v>
      </c>
      <c r="CC29" s="108">
        <v>1</v>
      </c>
      <c r="CD29" s="108">
        <v>1</v>
      </c>
      <c r="CE29" s="108">
        <v>1</v>
      </c>
      <c r="CF29" s="108">
        <v>1.05</v>
      </c>
      <c r="CH29" s="208"/>
    </row>
    <row r="30" spans="1:86" s="207" customFormat="1" ht="12" customHeight="1">
      <c r="A30" s="1227"/>
      <c r="B30" s="1228"/>
      <c r="C30" s="1216"/>
      <c r="D30" s="1229"/>
      <c r="E30" s="1230"/>
      <c r="F30" s="1240"/>
      <c r="G30" s="1241"/>
      <c r="H30" s="1242"/>
      <c r="I30" s="1242"/>
      <c r="J30" s="1222"/>
      <c r="K30" s="1241"/>
      <c r="L30" s="1243"/>
      <c r="M30" s="1223"/>
      <c r="N30" s="1224"/>
      <c r="O30" s="1240"/>
      <c r="P30" s="1243"/>
      <c r="Q30" s="1223"/>
      <c r="R30" s="1224"/>
      <c r="S30" s="1240"/>
      <c r="T30" s="1243"/>
      <c r="U30" s="1223"/>
      <c r="V30" s="1224"/>
      <c r="W30" s="1240"/>
      <c r="X30" s="1243"/>
      <c r="Y30" s="1223"/>
      <c r="Z30" s="1224"/>
      <c r="AA30" s="1240"/>
      <c r="AB30" s="1243"/>
      <c r="AC30" s="1223"/>
      <c r="AD30" s="1224"/>
      <c r="AE30" s="1240"/>
      <c r="AF30" s="1243"/>
      <c r="AG30" s="1223"/>
      <c r="AH30" s="1224"/>
      <c r="AI30" s="1240"/>
      <c r="AJ30" s="1243"/>
      <c r="AK30" s="1223"/>
      <c r="AL30" s="1224"/>
      <c r="AM30" s="1240"/>
      <c r="AN30" s="1243"/>
      <c r="AO30" s="1223"/>
      <c r="AP30" s="1224"/>
      <c r="AQ30" s="1240"/>
      <c r="AR30" s="1243"/>
      <c r="AS30" s="1223"/>
      <c r="AT30" s="1224"/>
      <c r="AU30" s="1240"/>
      <c r="AV30" s="1243"/>
      <c r="AW30" s="1223"/>
      <c r="AX30" s="1224"/>
      <c r="AY30" s="1240"/>
      <c r="AZ30" s="1243"/>
      <c r="BA30" s="1223"/>
      <c r="BB30" s="1224"/>
      <c r="BC30" s="1240"/>
      <c r="BD30" s="1243"/>
      <c r="BE30" s="95"/>
      <c r="BF30" s="96"/>
      <c r="BG30" s="432"/>
      <c r="BH30" s="505"/>
      <c r="BI30" s="505"/>
      <c r="BJ30" s="505"/>
      <c r="BK30" s="505"/>
      <c r="BL30" s="211"/>
      <c r="BM30" s="211"/>
      <c r="BN30" s="212"/>
      <c r="BO30" s="77"/>
      <c r="BP30" s="339"/>
      <c r="BQ30" s="339"/>
      <c r="BR30" s="339"/>
      <c r="BS30" s="339"/>
      <c r="BT30" s="339"/>
      <c r="BU30" s="339"/>
      <c r="BV30" s="104"/>
      <c r="BW30" s="104"/>
      <c r="BX30" s="107"/>
      <c r="BY30" s="107"/>
      <c r="BZ30" s="107"/>
      <c r="CA30" s="108"/>
      <c r="CB30" s="108"/>
      <c r="CC30" s="108"/>
      <c r="CD30" s="108"/>
      <c r="CE30" s="108"/>
      <c r="CF30" s="108"/>
      <c r="CG30" s="399"/>
      <c r="CH30" s="208"/>
    </row>
  </sheetData>
  <mergeCells count="1">
    <mergeCell ref="BP1:BU1"/>
  </mergeCells>
  <conditionalFormatting sqref="D19:BG30 BO19:BU30">
    <cfRule type="expression" dxfId="46" priority="1">
      <formula>MOD(ROW(),2)=0</formula>
    </cfRule>
  </conditionalFormatting>
  <conditionalFormatting sqref="BH22:BH27">
    <cfRule type="colorScale" priority="850">
      <colorScale>
        <cfvo type="min"/>
        <cfvo type="percentile" val="50"/>
        <cfvo type="max"/>
        <color rgb="FF63BE7B"/>
        <color rgb="FFFFEB84"/>
        <color rgb="FFF8696B"/>
      </colorScale>
    </cfRule>
  </conditionalFormatting>
  <conditionalFormatting sqref="BV19:CF30">
    <cfRule type="expression" dxfId="45" priority="2">
      <formula>MOD(ROW(),2)=0</formula>
    </cfRule>
  </conditionalFormatting>
  <dataValidations disablePrompts="1" count="12">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BC1:BC18 AY1:AY18 AU1:AU18 AQ1:AQ18 AM1:AM18 AI1:AI18 O1:O18 AE1:AE18 AA1:AA18 W1:W18 S1:S18 BG1:BG18" xr:uid="{D98CE423-DD6F-4249-876E-EEFB27BC714B}"/>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BB2:BB18 AX2:AX18 AT2:AT18 AP2:AP18 AL2:AL18 N2:N18 AH2:AH18 AD2:AD18 Z2:Z18 V2:V18 R2:R18 BF2:BF18" xr:uid="{0C1FE37C-964D-4ACC-AFD2-F9D4D10F26FB}"/>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BA2:BA18 AW2:AW18 AS2:AS18 AO2:AO18 AK2:AK18 M2:M18 AG2:AG18 AC2:AC18 Y2:Y18 U2:U18 Q2:Q18 BE2:BE18" xr:uid="{944C105B-EC40-4ED3-BA85-835C5C4DF88E}"/>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BP3" xr:uid="{31B14D40-6A0B-4502-B2D0-2A971854B1BF}"/>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U3" xr:uid="{278ECD9C-EF2A-458A-8B18-A834E97D4FBF}"/>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T3" xr:uid="{15797125-E868-4B37-B693-6FE8B0B04527}"/>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S3" xr:uid="{9B3E1C76-CCC8-49DF-B7F2-9FFF5E25A518}"/>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BR3" xr:uid="{7295CB0C-FA20-409B-B762-04FB11FDADC7}"/>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BQ3" xr:uid="{F03B4DA7-83CE-44D8-B23D-C3DE8FD44B6A}"/>
    <dataValidation allowBlank="1" showInputMessage="1" showErrorMessage="1" prompt="Do not change." sqref="BV3:CF4" xr:uid="{94D29C70-0D42-4363-949E-5E7865ADE883}"/>
    <dataValidation allowBlank="1" showInputMessage="1" showErrorMessage="1" promptTitle="Remarks" prompt="A general comment (data source, calculation procedure, ...) can be made about each individual exchange. The remarks are added to the GeneralComment-field." sqref="BO3" xr:uid="{04BE74C3-8703-4F82-A69C-3E5FE0DCAA36}"/>
    <dataValidation allowBlank="1" showInputMessage="1" showErrorMessage="1" promptTitle="Do not change" prompt="This field is automatically updated from the names-list" sqref="BV19:BV30" xr:uid="{79222306-B24A-436F-933D-E431BB4E1419}"/>
  </dataValidations>
  <pageMargins left="0.78740157499999996" right="0.78740157499999996" top="0.984251969" bottom="0.984251969" header="0.4921259845" footer="0.4921259845"/>
  <pageSetup paperSize="9" scale="12"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Tabelle96">
    <tabColor rgb="FF9CD9F0"/>
    <pageSetUpPr fitToPage="1"/>
  </sheetPr>
  <dimension ref="A1:DN90"/>
  <sheetViews>
    <sheetView workbookViewId="0">
      <selection activeCell="G31" sqref="G31"/>
    </sheetView>
  </sheetViews>
  <sheetFormatPr baseColWidth="10" defaultColWidth="11.42578125" defaultRowHeight="12" outlineLevelRow="1" outlineLevelCol="1"/>
  <cols>
    <col min="1" max="1" width="11.28515625" style="378" customWidth="1"/>
    <col min="2" max="2" width="12.7109375" style="114" customWidth="1"/>
    <col min="3" max="3" width="8.28515625" style="115" hidden="1" customWidth="1" outlineLevel="1"/>
    <col min="4" max="4" width="6.140625" style="378" hidden="1" customWidth="1" outlineLevel="1"/>
    <col min="5" max="5" width="5.85546875"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2.7109375" style="378" customWidth="1" collapsed="1"/>
    <col min="33" max="34" width="5.7109375" style="116" hidden="1" customWidth="1" outlineLevel="1"/>
    <col min="35" max="35" width="50.7109375" style="116" hidden="1" customWidth="1" outlineLevel="1"/>
    <col min="36" max="36" width="12.7109375" style="378" customWidth="1" collapsed="1"/>
    <col min="37" max="38" width="5.7109375" style="116" hidden="1" customWidth="1" outlineLevel="1"/>
    <col min="39" max="39" width="50.7109375" style="116" hidden="1" customWidth="1" outlineLevel="1"/>
    <col min="40" max="40" width="12.7109375" style="378" customWidth="1" collapsed="1"/>
    <col min="41" max="42" width="5.7109375" style="116" hidden="1" customWidth="1" outlineLevel="1"/>
    <col min="43" max="43" width="50.7109375" style="116" hidden="1" customWidth="1" outlineLevel="1"/>
    <col min="44" max="44" width="12.7109375" style="378" customWidth="1" collapsed="1"/>
    <col min="45" max="46" width="5.7109375" style="116" hidden="1" customWidth="1" outlineLevel="1"/>
    <col min="47" max="47" width="50.7109375" style="116" hidden="1" customWidth="1" outlineLevel="1"/>
    <col min="48" max="48" width="12.7109375" style="378" customWidth="1" collapsed="1"/>
    <col min="49" max="50" width="5.7109375" style="116" hidden="1" customWidth="1" outlineLevel="1"/>
    <col min="51" max="51" width="50.7109375" style="116" hidden="1" customWidth="1" outlineLevel="1"/>
    <col min="52" max="52" width="12.7109375" style="378" customWidth="1" collapsed="1"/>
    <col min="53" max="54" width="5.7109375" style="116" hidden="1" customWidth="1" outlineLevel="1"/>
    <col min="55" max="55" width="50.7109375" style="116" hidden="1" customWidth="1" outlineLevel="1"/>
    <col min="56" max="56" width="12.7109375" style="378" customWidth="1" collapsed="1"/>
    <col min="57" max="58" width="5.7109375" style="116" hidden="1" customWidth="1" outlineLevel="1"/>
    <col min="59" max="59" width="50.7109375" style="116" hidden="1" customWidth="1" outlineLevel="1"/>
    <col min="60" max="60" width="12.7109375" style="378" customWidth="1" collapsed="1"/>
    <col min="61" max="62" width="5.7109375" style="116" hidden="1" customWidth="1" outlineLevel="1"/>
    <col min="63" max="63" width="50.7109375" style="116" hidden="1" customWidth="1" outlineLevel="1"/>
    <col min="64" max="64" width="12.7109375" style="378" customWidth="1" collapsed="1"/>
    <col min="65" max="66" width="5.7109375" style="116" hidden="1" customWidth="1" outlineLevel="1"/>
    <col min="67" max="67" width="50.7109375" style="116" hidden="1" customWidth="1" outlineLevel="1"/>
    <col min="68" max="68" width="12.7109375" style="378" customWidth="1" collapsed="1"/>
    <col min="69" max="70" width="5.7109375" style="116" hidden="1" customWidth="1" outlineLevel="1"/>
    <col min="71" max="71" width="50.7109375" style="116" hidden="1" customWidth="1" outlineLevel="1"/>
    <col min="72" max="72" width="12.7109375" style="378" customWidth="1" collapsed="1"/>
    <col min="73" max="74" width="5.7109375" style="116" hidden="1" customWidth="1" outlineLevel="1"/>
    <col min="75" max="75" width="50.7109375" style="116" hidden="1" customWidth="1" outlineLevel="1"/>
    <col min="76" max="76" width="12.7109375" style="378" customWidth="1" collapsed="1"/>
    <col min="77" max="78" width="5.7109375" style="116" hidden="1" customWidth="1" outlineLevel="1"/>
    <col min="79" max="79" width="50.7109375" style="116" hidden="1" customWidth="1" outlineLevel="1"/>
    <col min="80" max="80" width="12.7109375" style="378" customWidth="1" collapsed="1"/>
    <col min="81" max="82" width="5.7109375" style="116" hidden="1" customWidth="1" outlineLevel="1"/>
    <col min="83" max="83" width="50.7109375" style="116" hidden="1" customWidth="1" outlineLevel="1"/>
    <col min="84" max="84" width="12.7109375" style="378" customWidth="1" collapsed="1"/>
    <col min="85" max="86" width="5.7109375" style="116" hidden="1" customWidth="1" outlineLevel="1"/>
    <col min="87" max="87" width="50.7109375" style="116" hidden="1" customWidth="1" outlineLevel="1"/>
    <col min="88" max="88" width="10.7109375" style="212" customWidth="1" collapsed="1"/>
    <col min="89" max="89" width="11.5703125" style="212" customWidth="1"/>
    <col min="90" max="90" width="8.7109375" style="212" customWidth="1"/>
    <col min="91" max="91" width="6.7109375" style="507" customWidth="1"/>
    <col min="92" max="92" width="6.7109375" style="212" customWidth="1"/>
    <col min="93" max="93" width="30.7109375" style="407" customWidth="1"/>
    <col min="94" max="94" width="4.140625" style="407" customWidth="1"/>
    <col min="95" max="95" width="4.42578125" style="407" customWidth="1"/>
    <col min="96" max="96" width="4.28515625" style="407" customWidth="1"/>
    <col min="97" max="97" width="4" style="407" customWidth="1"/>
    <col min="98" max="98" width="3.7109375" style="407" customWidth="1"/>
    <col min="99" max="99" width="4.28515625" style="407" customWidth="1"/>
    <col min="100" max="100" width="3.42578125" style="407" hidden="1" customWidth="1" outlineLevel="1"/>
    <col min="101" max="101" width="4.7109375" style="378" hidden="1" customWidth="1" outlineLevel="1"/>
    <col min="102" max="103" width="5.42578125" style="378" hidden="1" customWidth="1" outlineLevel="1"/>
    <col min="104" max="104" width="14.85546875" style="378" hidden="1" customWidth="1" outlineLevel="1"/>
    <col min="105" max="110" width="4.28515625" style="378" hidden="1" customWidth="1" outlineLevel="1"/>
    <col min="111" max="111" width="11.42578125" style="399" customWidth="1" collapsed="1"/>
    <col min="112" max="113" width="11.42578125" style="207" customWidth="1"/>
    <col min="114" max="115" width="11.42578125" style="399" customWidth="1"/>
    <col min="116" max="16384" width="11.42578125" style="399"/>
  </cols>
  <sheetData>
    <row r="1" spans="1:118">
      <c r="A1" s="77"/>
      <c r="B1" s="78"/>
      <c r="C1" s="79"/>
      <c r="D1" s="77"/>
      <c r="E1" s="77"/>
      <c r="F1" s="80" t="s">
        <v>65</v>
      </c>
      <c r="G1" s="77"/>
      <c r="H1" s="77"/>
      <c r="I1" s="77"/>
      <c r="J1" s="77"/>
      <c r="K1" s="77"/>
      <c r="L1" s="330">
        <v>268679</v>
      </c>
      <c r="M1" s="81"/>
      <c r="N1" s="81"/>
      <c r="O1" s="81"/>
      <c r="P1" s="330">
        <v>259235</v>
      </c>
      <c r="Q1" s="81"/>
      <c r="R1" s="81"/>
      <c r="S1" s="81"/>
      <c r="T1" s="330">
        <v>259111</v>
      </c>
      <c r="U1" s="81"/>
      <c r="V1" s="81"/>
      <c r="W1" s="81"/>
      <c r="X1" s="330">
        <v>259163</v>
      </c>
      <c r="Y1" s="81"/>
      <c r="Z1" s="81"/>
      <c r="AA1" s="81"/>
      <c r="AB1" s="330">
        <v>259137</v>
      </c>
      <c r="AC1" s="81"/>
      <c r="AD1" s="81"/>
      <c r="AE1" s="81"/>
      <c r="AF1" s="330">
        <v>263751</v>
      </c>
      <c r="AG1" s="81"/>
      <c r="AH1" s="81"/>
      <c r="AI1" s="81"/>
      <c r="AJ1" s="330">
        <v>267646</v>
      </c>
      <c r="AK1" s="81"/>
      <c r="AL1" s="81"/>
      <c r="AM1" s="81"/>
      <c r="AN1" s="330">
        <v>259673</v>
      </c>
      <c r="AO1" s="81"/>
      <c r="AP1" s="81"/>
      <c r="AQ1" s="81"/>
      <c r="AR1" s="330">
        <v>259655</v>
      </c>
      <c r="AS1" s="81"/>
      <c r="AT1" s="81"/>
      <c r="AU1" s="81"/>
      <c r="AV1" s="330">
        <v>259637</v>
      </c>
      <c r="AW1" s="81"/>
      <c r="AX1" s="81"/>
      <c r="AY1" s="81"/>
      <c r="AZ1" s="330">
        <v>263849</v>
      </c>
      <c r="BA1" s="81"/>
      <c r="BB1" s="81"/>
      <c r="BC1" s="81"/>
      <c r="BD1" s="330">
        <v>259583</v>
      </c>
      <c r="BE1" s="81"/>
      <c r="BF1" s="81"/>
      <c r="BG1" s="81"/>
      <c r="BH1" s="330">
        <v>259555</v>
      </c>
      <c r="BI1" s="81"/>
      <c r="BJ1" s="81"/>
      <c r="BK1" s="81"/>
      <c r="BL1" s="330">
        <v>259559</v>
      </c>
      <c r="BM1" s="81"/>
      <c r="BN1" s="81"/>
      <c r="BO1" s="81"/>
      <c r="BP1" s="330">
        <v>259619</v>
      </c>
      <c r="BQ1" s="81"/>
      <c r="BR1" s="81"/>
      <c r="BS1" s="81"/>
      <c r="BT1" s="330">
        <v>259149</v>
      </c>
      <c r="BU1" s="81"/>
      <c r="BV1" s="81"/>
      <c r="BW1" s="81"/>
      <c r="BX1" s="330">
        <v>259609</v>
      </c>
      <c r="BY1" s="81"/>
      <c r="BZ1" s="81"/>
      <c r="CA1" s="81"/>
      <c r="CB1" s="330">
        <v>259677</v>
      </c>
      <c r="CC1" s="81"/>
      <c r="CD1" s="81"/>
      <c r="CE1" s="81"/>
      <c r="CF1" s="330">
        <v>259511</v>
      </c>
      <c r="CG1" s="81"/>
      <c r="CH1" s="81"/>
      <c r="CI1" s="81"/>
      <c r="CO1" s="378"/>
      <c r="CP1" s="1586"/>
      <c r="CQ1" s="1581"/>
      <c r="CR1" s="1581"/>
      <c r="CS1" s="1581"/>
      <c r="CT1" s="1581"/>
      <c r="CU1" s="1581"/>
      <c r="CV1" s="406"/>
      <c r="CW1" s="406"/>
      <c r="CX1" s="406"/>
      <c r="CY1" s="406"/>
      <c r="CZ1" s="406"/>
    </row>
    <row r="2" spans="1:118">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82">
        <v>3707</v>
      </c>
      <c r="AS2" s="419">
        <v>3708</v>
      </c>
      <c r="AT2" s="419">
        <v>3709</v>
      </c>
      <c r="AU2" s="420">
        <v>3792</v>
      </c>
      <c r="AV2" s="82">
        <v>3707</v>
      </c>
      <c r="AW2" s="419">
        <v>3708</v>
      </c>
      <c r="AX2" s="419">
        <v>3709</v>
      </c>
      <c r="AY2" s="420">
        <v>3792</v>
      </c>
      <c r="AZ2" s="82">
        <v>3707</v>
      </c>
      <c r="BA2" s="419">
        <v>3708</v>
      </c>
      <c r="BB2" s="419">
        <v>3709</v>
      </c>
      <c r="BC2" s="420">
        <v>3792</v>
      </c>
      <c r="BD2" s="82">
        <v>3707</v>
      </c>
      <c r="BE2" s="419">
        <v>3708</v>
      </c>
      <c r="BF2" s="419">
        <v>3709</v>
      </c>
      <c r="BG2" s="420">
        <v>3792</v>
      </c>
      <c r="BH2" s="82">
        <v>3707</v>
      </c>
      <c r="BI2" s="419">
        <v>3708</v>
      </c>
      <c r="BJ2" s="419">
        <v>3709</v>
      </c>
      <c r="BK2" s="420">
        <v>3792</v>
      </c>
      <c r="BL2" s="82">
        <v>3707</v>
      </c>
      <c r="BM2" s="419">
        <v>3708</v>
      </c>
      <c r="BN2" s="419">
        <v>3709</v>
      </c>
      <c r="BO2" s="420">
        <v>3792</v>
      </c>
      <c r="BP2" s="82">
        <v>3707</v>
      </c>
      <c r="BQ2" s="419">
        <v>3708</v>
      </c>
      <c r="BR2" s="419">
        <v>3709</v>
      </c>
      <c r="BS2" s="420">
        <v>3792</v>
      </c>
      <c r="BT2" s="82">
        <v>3707</v>
      </c>
      <c r="BU2" s="419">
        <v>3708</v>
      </c>
      <c r="BV2" s="419">
        <v>3709</v>
      </c>
      <c r="BW2" s="420">
        <v>3792</v>
      </c>
      <c r="BX2" s="82">
        <v>3707</v>
      </c>
      <c r="BY2" s="419">
        <v>3708</v>
      </c>
      <c r="BZ2" s="419">
        <v>3709</v>
      </c>
      <c r="CA2" s="420">
        <v>3792</v>
      </c>
      <c r="CB2" s="82">
        <v>3707</v>
      </c>
      <c r="CC2" s="419">
        <v>3708</v>
      </c>
      <c r="CD2" s="419">
        <v>3709</v>
      </c>
      <c r="CE2" s="420">
        <v>3792</v>
      </c>
      <c r="CF2" s="82">
        <v>3707</v>
      </c>
      <c r="CG2" s="419">
        <v>3708</v>
      </c>
      <c r="CH2" s="419">
        <v>3709</v>
      </c>
      <c r="CI2" s="420">
        <v>3792</v>
      </c>
      <c r="CJ2" s="253"/>
      <c r="CK2" s="253"/>
      <c r="CL2" s="253"/>
      <c r="CM2" s="508"/>
      <c r="CN2" s="253"/>
      <c r="CO2" s="406"/>
      <c r="CP2" s="406"/>
      <c r="CQ2" s="406"/>
      <c r="CR2" s="406"/>
      <c r="CS2" s="406"/>
      <c r="CT2" s="406"/>
      <c r="CU2" s="406"/>
      <c r="CV2" s="406"/>
    </row>
    <row r="3" spans="1:118" ht="86.25" customHeight="1">
      <c r="A3" s="83" t="s">
        <v>68</v>
      </c>
      <c r="B3" s="84"/>
      <c r="C3" s="79">
        <v>401</v>
      </c>
      <c r="D3" s="85" t="s">
        <v>69</v>
      </c>
      <c r="E3" s="85" t="s">
        <v>70</v>
      </c>
      <c r="F3" s="86" t="s">
        <v>71</v>
      </c>
      <c r="G3" s="85" t="s">
        <v>72</v>
      </c>
      <c r="H3" s="85" t="s">
        <v>73</v>
      </c>
      <c r="I3" s="85" t="s">
        <v>74</v>
      </c>
      <c r="J3" s="85" t="s">
        <v>75</v>
      </c>
      <c r="K3" s="85" t="s">
        <v>76</v>
      </c>
      <c r="L3" s="87" t="s">
        <v>2243</v>
      </c>
      <c r="M3" s="422" t="s">
        <v>78</v>
      </c>
      <c r="N3" s="422" t="s">
        <v>79</v>
      </c>
      <c r="O3" s="423" t="s">
        <v>80</v>
      </c>
      <c r="P3" s="87" t="s">
        <v>2244</v>
      </c>
      <c r="Q3" s="422" t="s">
        <v>78</v>
      </c>
      <c r="R3" s="422" t="s">
        <v>79</v>
      </c>
      <c r="S3" s="423" t="s">
        <v>80</v>
      </c>
      <c r="T3" s="87" t="s">
        <v>2245</v>
      </c>
      <c r="U3" s="422" t="s">
        <v>78</v>
      </c>
      <c r="V3" s="422" t="s">
        <v>79</v>
      </c>
      <c r="W3" s="423" t="s">
        <v>80</v>
      </c>
      <c r="X3" s="87" t="s">
        <v>2246</v>
      </c>
      <c r="Y3" s="422" t="s">
        <v>78</v>
      </c>
      <c r="Z3" s="422" t="s">
        <v>79</v>
      </c>
      <c r="AA3" s="423" t="s">
        <v>80</v>
      </c>
      <c r="AB3" s="87" t="s">
        <v>2247</v>
      </c>
      <c r="AC3" s="422" t="s">
        <v>78</v>
      </c>
      <c r="AD3" s="422" t="s">
        <v>79</v>
      </c>
      <c r="AE3" s="423" t="s">
        <v>80</v>
      </c>
      <c r="AF3" s="87" t="s">
        <v>2248</v>
      </c>
      <c r="AG3" s="422" t="s">
        <v>78</v>
      </c>
      <c r="AH3" s="422" t="s">
        <v>79</v>
      </c>
      <c r="AI3" s="423" t="s">
        <v>80</v>
      </c>
      <c r="AJ3" s="87" t="s">
        <v>2249</v>
      </c>
      <c r="AK3" s="422" t="s">
        <v>78</v>
      </c>
      <c r="AL3" s="422" t="s">
        <v>79</v>
      </c>
      <c r="AM3" s="423" t="s">
        <v>80</v>
      </c>
      <c r="AN3" s="87" t="s">
        <v>2250</v>
      </c>
      <c r="AO3" s="422" t="s">
        <v>78</v>
      </c>
      <c r="AP3" s="422" t="s">
        <v>79</v>
      </c>
      <c r="AQ3" s="423" t="s">
        <v>80</v>
      </c>
      <c r="AR3" s="87" t="s">
        <v>2251</v>
      </c>
      <c r="AS3" s="422" t="s">
        <v>78</v>
      </c>
      <c r="AT3" s="422" t="s">
        <v>79</v>
      </c>
      <c r="AU3" s="423" t="s">
        <v>80</v>
      </c>
      <c r="AV3" s="87" t="s">
        <v>2252</v>
      </c>
      <c r="AW3" s="422" t="s">
        <v>78</v>
      </c>
      <c r="AX3" s="422" t="s">
        <v>79</v>
      </c>
      <c r="AY3" s="423" t="s">
        <v>80</v>
      </c>
      <c r="AZ3" s="87" t="s">
        <v>2253</v>
      </c>
      <c r="BA3" s="422" t="s">
        <v>78</v>
      </c>
      <c r="BB3" s="422" t="s">
        <v>79</v>
      </c>
      <c r="BC3" s="423" t="s">
        <v>80</v>
      </c>
      <c r="BD3" s="87" t="s">
        <v>2254</v>
      </c>
      <c r="BE3" s="422" t="s">
        <v>78</v>
      </c>
      <c r="BF3" s="422" t="s">
        <v>79</v>
      </c>
      <c r="BG3" s="423" t="s">
        <v>80</v>
      </c>
      <c r="BH3" s="87" t="s">
        <v>2255</v>
      </c>
      <c r="BI3" s="422" t="s">
        <v>78</v>
      </c>
      <c r="BJ3" s="422" t="s">
        <v>79</v>
      </c>
      <c r="BK3" s="423" t="s">
        <v>80</v>
      </c>
      <c r="BL3" s="87" t="s">
        <v>2256</v>
      </c>
      <c r="BM3" s="422" t="s">
        <v>78</v>
      </c>
      <c r="BN3" s="422" t="s">
        <v>79</v>
      </c>
      <c r="BO3" s="423" t="s">
        <v>80</v>
      </c>
      <c r="BP3" s="87" t="s">
        <v>2257</v>
      </c>
      <c r="BQ3" s="422" t="s">
        <v>78</v>
      </c>
      <c r="BR3" s="422" t="s">
        <v>79</v>
      </c>
      <c r="BS3" s="423" t="s">
        <v>80</v>
      </c>
      <c r="BT3" s="87" t="s">
        <v>2258</v>
      </c>
      <c r="BU3" s="422" t="s">
        <v>78</v>
      </c>
      <c r="BV3" s="422" t="s">
        <v>79</v>
      </c>
      <c r="BW3" s="423" t="s">
        <v>80</v>
      </c>
      <c r="BX3" s="87" t="s">
        <v>2259</v>
      </c>
      <c r="BY3" s="422" t="s">
        <v>78</v>
      </c>
      <c r="BZ3" s="422" t="s">
        <v>79</v>
      </c>
      <c r="CA3" s="423" t="s">
        <v>80</v>
      </c>
      <c r="CB3" s="87" t="s">
        <v>2260</v>
      </c>
      <c r="CC3" s="422" t="s">
        <v>78</v>
      </c>
      <c r="CD3" s="422" t="s">
        <v>79</v>
      </c>
      <c r="CE3" s="423" t="s">
        <v>80</v>
      </c>
      <c r="CF3" s="87" t="s">
        <v>2261</v>
      </c>
      <c r="CG3" s="422" t="s">
        <v>78</v>
      </c>
      <c r="CH3" s="422" t="s">
        <v>79</v>
      </c>
      <c r="CI3" s="423" t="s">
        <v>80</v>
      </c>
      <c r="CJ3" s="210" t="s">
        <v>2199</v>
      </c>
      <c r="CK3" s="210" t="s">
        <v>2201</v>
      </c>
      <c r="CL3" s="210" t="s">
        <v>2202</v>
      </c>
      <c r="CM3" s="509" t="s">
        <v>2033</v>
      </c>
      <c r="CN3" s="210" t="s">
        <v>2203</v>
      </c>
      <c r="CO3" s="97" t="s">
        <v>363</v>
      </c>
      <c r="CP3" s="98" t="s">
        <v>364</v>
      </c>
      <c r="CQ3" s="98" t="s">
        <v>365</v>
      </c>
      <c r="CR3" s="98" t="s">
        <v>366</v>
      </c>
      <c r="CS3" s="98" t="s">
        <v>367</v>
      </c>
      <c r="CT3" s="98" t="s">
        <v>368</v>
      </c>
      <c r="CU3" s="98" t="s">
        <v>369</v>
      </c>
      <c r="CV3" s="99" t="s">
        <v>88</v>
      </c>
      <c r="CW3" s="99" t="s">
        <v>370</v>
      </c>
      <c r="CX3" s="99" t="s">
        <v>90</v>
      </c>
      <c r="CY3" s="99" t="s">
        <v>91</v>
      </c>
      <c r="CZ3" s="99" t="s">
        <v>371</v>
      </c>
      <c r="DA3" s="100" t="s">
        <v>364</v>
      </c>
      <c r="DB3" s="100" t="s">
        <v>365</v>
      </c>
      <c r="DC3" s="100" t="s">
        <v>366</v>
      </c>
      <c r="DD3" s="100" t="s">
        <v>367</v>
      </c>
      <c r="DE3" s="100" t="s">
        <v>368</v>
      </c>
      <c r="DF3" s="100" t="s">
        <v>369</v>
      </c>
      <c r="DH3" s="207" t="s">
        <v>2262</v>
      </c>
      <c r="DK3" s="207" t="s">
        <v>2263</v>
      </c>
      <c r="DM3" s="207" t="s">
        <v>2264</v>
      </c>
    </row>
    <row r="4" spans="1:118" ht="12" customHeight="1">
      <c r="A4" s="77"/>
      <c r="B4" s="84"/>
      <c r="C4" s="79">
        <v>662</v>
      </c>
      <c r="D4" s="86"/>
      <c r="E4" s="86"/>
      <c r="F4" s="86" t="s">
        <v>72</v>
      </c>
      <c r="G4" s="86"/>
      <c r="H4" s="86"/>
      <c r="I4" s="86"/>
      <c r="J4" s="86"/>
      <c r="K4" s="86"/>
      <c r="L4" s="87" t="s">
        <v>2102</v>
      </c>
      <c r="M4" s="425"/>
      <c r="N4" s="425"/>
      <c r="O4" s="426"/>
      <c r="P4" s="87" t="s">
        <v>2104</v>
      </c>
      <c r="Q4" s="425"/>
      <c r="R4" s="425"/>
      <c r="S4" s="426"/>
      <c r="T4" s="87" t="s">
        <v>2113</v>
      </c>
      <c r="U4" s="425"/>
      <c r="V4" s="425"/>
      <c r="W4" s="426"/>
      <c r="X4" s="87" t="s">
        <v>2115</v>
      </c>
      <c r="Y4" s="425"/>
      <c r="Z4" s="425"/>
      <c r="AA4" s="426"/>
      <c r="AB4" s="87" t="s">
        <v>2117</v>
      </c>
      <c r="AC4" s="425"/>
      <c r="AD4" s="425"/>
      <c r="AE4" s="426"/>
      <c r="AF4" s="87" t="s">
        <v>2119</v>
      </c>
      <c r="AG4" s="425"/>
      <c r="AH4" s="425"/>
      <c r="AI4" s="426"/>
      <c r="AJ4" s="87" t="s">
        <v>340</v>
      </c>
      <c r="AK4" s="425"/>
      <c r="AL4" s="425"/>
      <c r="AM4" s="426"/>
      <c r="AN4" s="87" t="s">
        <v>2121</v>
      </c>
      <c r="AO4" s="425"/>
      <c r="AP4" s="425"/>
      <c r="AQ4" s="426"/>
      <c r="AR4" s="87" t="s">
        <v>2123</v>
      </c>
      <c r="AS4" s="425"/>
      <c r="AT4" s="425"/>
      <c r="AU4" s="426"/>
      <c r="AV4" s="87" t="s">
        <v>2125</v>
      </c>
      <c r="AW4" s="425"/>
      <c r="AX4" s="425"/>
      <c r="AY4" s="426"/>
      <c r="AZ4" s="87" t="s">
        <v>1670</v>
      </c>
      <c r="BA4" s="425"/>
      <c r="BB4" s="425"/>
      <c r="BC4" s="426"/>
      <c r="BD4" s="87" t="s">
        <v>2131</v>
      </c>
      <c r="BE4" s="425"/>
      <c r="BF4" s="425"/>
      <c r="BG4" s="426"/>
      <c r="BH4" s="87" t="s">
        <v>2139</v>
      </c>
      <c r="BI4" s="425"/>
      <c r="BJ4" s="425"/>
      <c r="BK4" s="426"/>
      <c r="BL4" s="87" t="s">
        <v>336</v>
      </c>
      <c r="BM4" s="425"/>
      <c r="BN4" s="425"/>
      <c r="BO4" s="426"/>
      <c r="BP4" s="87" t="s">
        <v>2144</v>
      </c>
      <c r="BQ4" s="425"/>
      <c r="BR4" s="425"/>
      <c r="BS4" s="426"/>
      <c r="BT4" s="87" t="s">
        <v>2147</v>
      </c>
      <c r="BU4" s="425"/>
      <c r="BV4" s="425"/>
      <c r="BW4" s="426"/>
      <c r="BX4" s="87" t="s">
        <v>2149</v>
      </c>
      <c r="BY4" s="425"/>
      <c r="BZ4" s="425"/>
      <c r="CA4" s="426"/>
      <c r="CB4" s="87" t="s">
        <v>2154</v>
      </c>
      <c r="CC4" s="425"/>
      <c r="CD4" s="425"/>
      <c r="CE4" s="426"/>
      <c r="CF4" s="87" t="s">
        <v>2152</v>
      </c>
      <c r="CG4" s="425"/>
      <c r="CH4" s="425"/>
      <c r="CI4" s="426"/>
      <c r="CJ4" s="210" t="s">
        <v>103</v>
      </c>
      <c r="CK4" s="210"/>
      <c r="CL4" s="210"/>
      <c r="CM4" s="509"/>
      <c r="CN4" s="210"/>
      <c r="CO4" s="101"/>
      <c r="CP4" s="102" t="s">
        <v>94</v>
      </c>
      <c r="CQ4" s="97"/>
      <c r="CR4" s="97"/>
      <c r="CS4" s="97"/>
      <c r="CT4" s="97"/>
      <c r="CU4" s="97"/>
      <c r="CV4" s="103"/>
      <c r="CW4" s="103"/>
      <c r="CX4" s="103" t="s">
        <v>95</v>
      </c>
      <c r="CY4" s="103" t="s">
        <v>95</v>
      </c>
      <c r="CZ4" s="104"/>
      <c r="DA4" s="105"/>
      <c r="DB4" s="105"/>
      <c r="DC4" s="105"/>
      <c r="DD4" s="105"/>
      <c r="DE4" s="105"/>
      <c r="DF4" s="105"/>
      <c r="DH4" s="207" t="s">
        <v>2204</v>
      </c>
      <c r="DI4" s="207" t="s">
        <v>2205</v>
      </c>
      <c r="DK4" s="399" t="s">
        <v>2265</v>
      </c>
      <c r="DL4" s="399" t="s">
        <v>2266</v>
      </c>
      <c r="DM4" s="399" t="s">
        <v>2267</v>
      </c>
      <c r="DN4" s="399" t="s">
        <v>2268</v>
      </c>
    </row>
    <row r="5" spans="1:118" ht="12" customHeight="1">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F5" s="87">
        <v>0</v>
      </c>
      <c r="AG5" s="425"/>
      <c r="AH5" s="425"/>
      <c r="AI5" s="426"/>
      <c r="AJ5" s="87">
        <v>0</v>
      </c>
      <c r="AK5" s="425"/>
      <c r="AL5" s="425"/>
      <c r="AM5" s="426"/>
      <c r="AN5" s="87">
        <v>0</v>
      </c>
      <c r="AO5" s="425"/>
      <c r="AP5" s="425"/>
      <c r="AQ5" s="426"/>
      <c r="AR5" s="87">
        <v>0</v>
      </c>
      <c r="AS5" s="425"/>
      <c r="AT5" s="425"/>
      <c r="AU5" s="426"/>
      <c r="AV5" s="87">
        <v>0</v>
      </c>
      <c r="AW5" s="425"/>
      <c r="AX5" s="425"/>
      <c r="AY5" s="426"/>
      <c r="AZ5" s="87">
        <v>0</v>
      </c>
      <c r="BA5" s="425"/>
      <c r="BB5" s="425"/>
      <c r="BC5" s="426"/>
      <c r="BD5" s="87">
        <v>0</v>
      </c>
      <c r="BE5" s="425"/>
      <c r="BF5" s="425"/>
      <c r="BG5" s="426"/>
      <c r="BH5" s="87">
        <v>0</v>
      </c>
      <c r="BI5" s="425"/>
      <c r="BJ5" s="425"/>
      <c r="BK5" s="426"/>
      <c r="BL5" s="87">
        <v>0</v>
      </c>
      <c r="BM5" s="425"/>
      <c r="BN5" s="425"/>
      <c r="BO5" s="426"/>
      <c r="BP5" s="87">
        <v>0</v>
      </c>
      <c r="BQ5" s="425"/>
      <c r="BR5" s="425"/>
      <c r="BS5" s="426"/>
      <c r="BT5" s="87">
        <v>0</v>
      </c>
      <c r="BU5" s="425"/>
      <c r="BV5" s="425"/>
      <c r="BW5" s="426"/>
      <c r="BX5" s="87">
        <v>0</v>
      </c>
      <c r="BY5" s="425"/>
      <c r="BZ5" s="425"/>
      <c r="CA5" s="426"/>
      <c r="CB5" s="87">
        <v>0</v>
      </c>
      <c r="CC5" s="425"/>
      <c r="CD5" s="425"/>
      <c r="CE5" s="426"/>
      <c r="CF5" s="87">
        <v>0</v>
      </c>
      <c r="CG5" s="425"/>
      <c r="CH5" s="425"/>
      <c r="CI5" s="426"/>
      <c r="CJ5" s="210"/>
      <c r="CK5" s="210"/>
      <c r="CL5" s="210"/>
      <c r="CM5" s="509"/>
      <c r="CN5" s="210"/>
      <c r="CO5" s="101"/>
      <c r="CP5" s="97"/>
      <c r="CQ5" s="97"/>
      <c r="CR5" s="97"/>
      <c r="CS5" s="97"/>
      <c r="CT5" s="97"/>
      <c r="CU5" s="97"/>
      <c r="CV5" s="104"/>
      <c r="CW5" s="104"/>
      <c r="CX5" s="104"/>
      <c r="CY5" s="104"/>
      <c r="CZ5" s="104"/>
      <c r="DA5" s="105"/>
      <c r="DB5" s="105"/>
      <c r="DC5" s="105"/>
      <c r="DD5" s="105"/>
      <c r="DE5" s="105"/>
      <c r="DF5" s="105"/>
    </row>
    <row r="6" spans="1:118">
      <c r="A6" s="77"/>
      <c r="B6" s="84"/>
      <c r="C6" s="79">
        <v>403</v>
      </c>
      <c r="D6" s="86"/>
      <c r="E6" s="86"/>
      <c r="F6" s="86" t="s">
        <v>76</v>
      </c>
      <c r="G6" s="86"/>
      <c r="H6" s="86"/>
      <c r="I6" s="86"/>
      <c r="J6" s="86"/>
      <c r="K6" s="86"/>
      <c r="L6" s="87" t="s">
        <v>109</v>
      </c>
      <c r="M6" s="425"/>
      <c r="N6" s="425"/>
      <c r="O6" s="426"/>
      <c r="P6" s="87" t="s">
        <v>109</v>
      </c>
      <c r="Q6" s="425"/>
      <c r="R6" s="425"/>
      <c r="S6" s="426"/>
      <c r="T6" s="87" t="s">
        <v>109</v>
      </c>
      <c r="U6" s="425"/>
      <c r="V6" s="425"/>
      <c r="W6" s="426"/>
      <c r="X6" s="87" t="s">
        <v>109</v>
      </c>
      <c r="Y6" s="425"/>
      <c r="Z6" s="425"/>
      <c r="AA6" s="426"/>
      <c r="AB6" s="87" t="s">
        <v>109</v>
      </c>
      <c r="AC6" s="425"/>
      <c r="AD6" s="425"/>
      <c r="AE6" s="426"/>
      <c r="AF6" s="87" t="s">
        <v>109</v>
      </c>
      <c r="AG6" s="425"/>
      <c r="AH6" s="425"/>
      <c r="AI6" s="426"/>
      <c r="AJ6" s="87" t="s">
        <v>109</v>
      </c>
      <c r="AK6" s="425"/>
      <c r="AL6" s="425"/>
      <c r="AM6" s="426"/>
      <c r="AN6" s="87" t="s">
        <v>109</v>
      </c>
      <c r="AO6" s="425"/>
      <c r="AP6" s="425"/>
      <c r="AQ6" s="426"/>
      <c r="AR6" s="87" t="s">
        <v>109</v>
      </c>
      <c r="AS6" s="425"/>
      <c r="AT6" s="425"/>
      <c r="AU6" s="426"/>
      <c r="AV6" s="87" t="s">
        <v>109</v>
      </c>
      <c r="AW6" s="425"/>
      <c r="AX6" s="425"/>
      <c r="AY6" s="426"/>
      <c r="AZ6" s="87" t="s">
        <v>109</v>
      </c>
      <c r="BA6" s="425"/>
      <c r="BB6" s="425"/>
      <c r="BC6" s="426"/>
      <c r="BD6" s="87" t="s">
        <v>109</v>
      </c>
      <c r="BE6" s="425"/>
      <c r="BF6" s="425"/>
      <c r="BG6" s="426"/>
      <c r="BH6" s="87" t="s">
        <v>109</v>
      </c>
      <c r="BI6" s="425"/>
      <c r="BJ6" s="425"/>
      <c r="BK6" s="426"/>
      <c r="BL6" s="87" t="s">
        <v>109</v>
      </c>
      <c r="BM6" s="425"/>
      <c r="BN6" s="425"/>
      <c r="BO6" s="426"/>
      <c r="BP6" s="87" t="s">
        <v>109</v>
      </c>
      <c r="BQ6" s="425"/>
      <c r="BR6" s="425"/>
      <c r="BS6" s="426"/>
      <c r="BT6" s="87" t="s">
        <v>109</v>
      </c>
      <c r="BU6" s="425"/>
      <c r="BV6" s="425"/>
      <c r="BW6" s="426"/>
      <c r="BX6" s="87" t="s">
        <v>109</v>
      </c>
      <c r="BY6" s="425"/>
      <c r="BZ6" s="425"/>
      <c r="CA6" s="426"/>
      <c r="CB6" s="87" t="s">
        <v>109</v>
      </c>
      <c r="CC6" s="425"/>
      <c r="CD6" s="425"/>
      <c r="CE6" s="426"/>
      <c r="CF6" s="87" t="s">
        <v>109</v>
      </c>
      <c r="CG6" s="425"/>
      <c r="CH6" s="425"/>
      <c r="CI6" s="426"/>
      <c r="CJ6" s="210" t="s">
        <v>98</v>
      </c>
      <c r="CK6" s="210" t="s">
        <v>98</v>
      </c>
      <c r="CL6" s="210" t="s">
        <v>2207</v>
      </c>
      <c r="CM6" s="509" t="s">
        <v>1318</v>
      </c>
      <c r="CN6" s="210" t="s">
        <v>679</v>
      </c>
      <c r="CO6" s="101"/>
      <c r="CP6" s="106"/>
      <c r="CQ6" s="106"/>
      <c r="CR6" s="106"/>
      <c r="CS6" s="106"/>
      <c r="CT6" s="106"/>
      <c r="CU6" s="106"/>
      <c r="CV6" s="104"/>
      <c r="CW6" s="104"/>
      <c r="CX6" s="428"/>
      <c r="CY6" s="428"/>
      <c r="CZ6" s="107"/>
      <c r="DA6" s="105"/>
      <c r="DB6" s="105"/>
      <c r="DC6" s="105"/>
      <c r="DD6" s="105"/>
      <c r="DE6" s="105"/>
      <c r="DF6" s="105"/>
      <c r="DH6" s="207" t="s">
        <v>1318</v>
      </c>
      <c r="DI6" s="207" t="s">
        <v>2206</v>
      </c>
      <c r="DK6" s="399" t="s">
        <v>1318</v>
      </c>
      <c r="DL6" s="399" t="s">
        <v>2206</v>
      </c>
      <c r="DM6" s="399" t="s">
        <v>1318</v>
      </c>
      <c r="DN6" s="399" t="s">
        <v>2206</v>
      </c>
    </row>
    <row r="7" spans="1:118" ht="24" customHeight="1" outlineLevel="1">
      <c r="A7" s="330">
        <v>268679</v>
      </c>
      <c r="B7" s="331" t="s">
        <v>97</v>
      </c>
      <c r="C7" s="88"/>
      <c r="D7" s="294" t="s">
        <v>98</v>
      </c>
      <c r="E7" s="295">
        <v>0</v>
      </c>
      <c r="F7" s="429" t="s">
        <v>2243</v>
      </c>
      <c r="G7" s="430" t="s">
        <v>2102</v>
      </c>
      <c r="H7" s="431" t="s">
        <v>98</v>
      </c>
      <c r="I7" s="431" t="s">
        <v>98</v>
      </c>
      <c r="J7" s="89">
        <v>0</v>
      </c>
      <c r="K7" s="430" t="s">
        <v>109</v>
      </c>
      <c r="L7" s="90">
        <f t="shared" ref="L7:L25" si="0">IF($A7=L$1,1,0)</f>
        <v>1</v>
      </c>
      <c r="M7" s="91"/>
      <c r="N7" s="92"/>
      <c r="O7" s="93"/>
      <c r="P7" s="90">
        <f t="shared" ref="P7:P25" si="1">IF($A7=P$1,1,0)</f>
        <v>0</v>
      </c>
      <c r="Q7" s="91"/>
      <c r="R7" s="92"/>
      <c r="S7" s="93"/>
      <c r="T7" s="90">
        <f t="shared" ref="T7:T25" si="2">IF($A7=T$1,1,0)</f>
        <v>0</v>
      </c>
      <c r="U7" s="91"/>
      <c r="V7" s="92"/>
      <c r="W7" s="93"/>
      <c r="X7" s="90">
        <f t="shared" ref="X7:X25" si="3">IF($A7=X$1,1,0)</f>
        <v>0</v>
      </c>
      <c r="Y7" s="91"/>
      <c r="Z7" s="92"/>
      <c r="AA7" s="93"/>
      <c r="AB7" s="90">
        <f t="shared" ref="AB7:AB25" si="4">IF($A7=AB$1,1,0)</f>
        <v>0</v>
      </c>
      <c r="AC7" s="91"/>
      <c r="AD7" s="92"/>
      <c r="AE7" s="93"/>
      <c r="AF7" s="90">
        <f t="shared" ref="AF7:AF25" si="5">IF($A7=AF$1,1,0)</f>
        <v>0</v>
      </c>
      <c r="AG7" s="91"/>
      <c r="AH7" s="92"/>
      <c r="AI7" s="93"/>
      <c r="AJ7" s="90">
        <f t="shared" ref="AJ7:AJ25" si="6">IF($A7=AJ$1,1,0)</f>
        <v>0</v>
      </c>
      <c r="AK7" s="91"/>
      <c r="AL7" s="92"/>
      <c r="AM7" s="93"/>
      <c r="AN7" s="90">
        <f t="shared" ref="AN7:AN25" si="7">IF($A7=AN$1,1,0)</f>
        <v>0</v>
      </c>
      <c r="AO7" s="91"/>
      <c r="AP7" s="92"/>
      <c r="AQ7" s="93"/>
      <c r="AR7" s="90">
        <f t="shared" ref="AR7:AR25" si="8">IF($A7=AR$1,1,0)</f>
        <v>0</v>
      </c>
      <c r="AS7" s="91"/>
      <c r="AT7" s="92"/>
      <c r="AU7" s="93"/>
      <c r="AV7" s="90">
        <f t="shared" ref="AV7:AV25" si="9">IF($A7=AV$1,1,0)</f>
        <v>0</v>
      </c>
      <c r="AW7" s="91"/>
      <c r="AX7" s="92"/>
      <c r="AY7" s="93"/>
      <c r="AZ7" s="90">
        <f t="shared" ref="AZ7:AZ25" si="10">IF($A7=AZ$1,1,0)</f>
        <v>0</v>
      </c>
      <c r="BA7" s="91"/>
      <c r="BB7" s="92"/>
      <c r="BC7" s="93"/>
      <c r="BD7" s="90">
        <f t="shared" ref="BD7:BD25" si="11">IF($A7=BD$1,1,0)</f>
        <v>0</v>
      </c>
      <c r="BE7" s="91"/>
      <c r="BF7" s="92"/>
      <c r="BG7" s="93"/>
      <c r="BH7" s="90">
        <f t="shared" ref="BH7:BH25" si="12">IF($A7=BH$1,1,0)</f>
        <v>0</v>
      </c>
      <c r="BI7" s="91"/>
      <c r="BJ7" s="92"/>
      <c r="BK7" s="93"/>
      <c r="BL7" s="90">
        <f t="shared" ref="BL7:BL25" si="13">IF($A7=BL$1,1,0)</f>
        <v>0</v>
      </c>
      <c r="BM7" s="91"/>
      <c r="BN7" s="92"/>
      <c r="BO7" s="93"/>
      <c r="BP7" s="90">
        <f t="shared" ref="BP7:BP25" si="14">IF($A7=BP$1,1,0)</f>
        <v>0</v>
      </c>
      <c r="BQ7" s="91"/>
      <c r="BR7" s="92"/>
      <c r="BS7" s="93"/>
      <c r="BT7" s="90">
        <f t="shared" ref="BT7:BT25" si="15">IF($A7=BT$1,1,0)</f>
        <v>0</v>
      </c>
      <c r="BU7" s="91"/>
      <c r="BV7" s="92"/>
      <c r="BW7" s="93"/>
      <c r="BX7" s="90">
        <f t="shared" ref="BX7:BX25" si="16">IF($A7=BX$1,1,0)</f>
        <v>0</v>
      </c>
      <c r="BY7" s="91"/>
      <c r="BZ7" s="92"/>
      <c r="CA7" s="93"/>
      <c r="CB7" s="90">
        <f t="shared" ref="CB7:CB25" si="17">IF($A7=CB$1,1,0)</f>
        <v>0</v>
      </c>
      <c r="CC7" s="91"/>
      <c r="CD7" s="92"/>
      <c r="CE7" s="93"/>
      <c r="CF7" s="90">
        <f t="shared" ref="CF7:CF25" si="18">IF($A7=CF$1,1,0)</f>
        <v>0</v>
      </c>
      <c r="CG7" s="91"/>
      <c r="CH7" s="92"/>
      <c r="CI7" s="93"/>
      <c r="CJ7" s="505"/>
      <c r="CK7" s="505"/>
      <c r="CL7" s="211"/>
      <c r="CM7" s="510"/>
      <c r="CN7" s="505"/>
      <c r="CO7" s="101"/>
      <c r="CP7" s="97"/>
      <c r="CQ7" s="97"/>
      <c r="CR7" s="97"/>
      <c r="CS7" s="97"/>
      <c r="CT7" s="97"/>
      <c r="CU7" s="97"/>
      <c r="CV7" s="104"/>
      <c r="CW7" s="104"/>
      <c r="CX7" s="104"/>
      <c r="CY7" s="104"/>
      <c r="CZ7" s="104"/>
      <c r="DA7" s="104"/>
      <c r="DB7" s="104"/>
      <c r="DC7" s="104"/>
      <c r="DD7" s="104"/>
      <c r="DE7" s="104"/>
      <c r="DF7" s="104"/>
      <c r="DH7" s="208">
        <f>SUM(DH47:DH67)</f>
        <v>1</v>
      </c>
      <c r="DI7" s="209">
        <f>SUMPRODUCT(DH47:DH67,DI47:DI67)</f>
        <v>1499.9999999999982</v>
      </c>
      <c r="DK7" s="192">
        <f>SUM(DK47:DK67)</f>
        <v>0.99999999999999933</v>
      </c>
      <c r="DL7" s="399">
        <f>SUMPRODUCT(DK47:DK67,DL47:DL67)</f>
        <v>932.61401159085358</v>
      </c>
      <c r="DM7" s="192">
        <f>SUM(DM47:DM67)</f>
        <v>0.99999999999999922</v>
      </c>
      <c r="DN7" s="399">
        <f>SUMPRODUCT(DM47:DM67,DN47:DN67)</f>
        <v>1065.9999999999995</v>
      </c>
    </row>
    <row r="8" spans="1:118" ht="24" customHeight="1" outlineLevel="1">
      <c r="A8" s="330">
        <v>259235</v>
      </c>
      <c r="B8" s="331"/>
      <c r="C8" s="88"/>
      <c r="D8" s="294" t="s">
        <v>98</v>
      </c>
      <c r="E8" s="295">
        <v>0</v>
      </c>
      <c r="F8" s="429" t="s">
        <v>2244</v>
      </c>
      <c r="G8" s="430" t="s">
        <v>2104</v>
      </c>
      <c r="H8" s="431" t="s">
        <v>98</v>
      </c>
      <c r="I8" s="431" t="s">
        <v>98</v>
      </c>
      <c r="J8" s="89">
        <v>0</v>
      </c>
      <c r="K8" s="430" t="s">
        <v>109</v>
      </c>
      <c r="L8" s="90">
        <f t="shared" si="0"/>
        <v>0</v>
      </c>
      <c r="M8" s="91"/>
      <c r="N8" s="92"/>
      <c r="O8" s="93"/>
      <c r="P8" s="90">
        <f t="shared" si="1"/>
        <v>1</v>
      </c>
      <c r="Q8" s="91"/>
      <c r="R8" s="92"/>
      <c r="S8" s="93"/>
      <c r="T8" s="90">
        <f t="shared" si="2"/>
        <v>0</v>
      </c>
      <c r="U8" s="91"/>
      <c r="V8" s="92"/>
      <c r="W8" s="93"/>
      <c r="X8" s="90">
        <f t="shared" si="3"/>
        <v>0</v>
      </c>
      <c r="Y8" s="91"/>
      <c r="Z8" s="92"/>
      <c r="AA8" s="93"/>
      <c r="AB8" s="90">
        <f t="shared" si="4"/>
        <v>0</v>
      </c>
      <c r="AC8" s="91"/>
      <c r="AD8" s="92"/>
      <c r="AE8" s="93"/>
      <c r="AF8" s="90">
        <f t="shared" si="5"/>
        <v>0</v>
      </c>
      <c r="AG8" s="91"/>
      <c r="AH8" s="92"/>
      <c r="AI8" s="93"/>
      <c r="AJ8" s="90">
        <f t="shared" si="6"/>
        <v>0</v>
      </c>
      <c r="AK8" s="91"/>
      <c r="AL8" s="92"/>
      <c r="AM8" s="93"/>
      <c r="AN8" s="90">
        <f t="shared" si="7"/>
        <v>0</v>
      </c>
      <c r="AO8" s="91"/>
      <c r="AP8" s="92"/>
      <c r="AQ8" s="93"/>
      <c r="AR8" s="90">
        <f t="shared" si="8"/>
        <v>0</v>
      </c>
      <c r="AS8" s="91"/>
      <c r="AT8" s="92"/>
      <c r="AU8" s="93"/>
      <c r="AV8" s="90">
        <f t="shared" si="9"/>
        <v>0</v>
      </c>
      <c r="AW8" s="91"/>
      <c r="AX8" s="92"/>
      <c r="AY8" s="93"/>
      <c r="AZ8" s="90">
        <f t="shared" si="10"/>
        <v>0</v>
      </c>
      <c r="BA8" s="91"/>
      <c r="BB8" s="92"/>
      <c r="BC8" s="93"/>
      <c r="BD8" s="90">
        <f t="shared" si="11"/>
        <v>0</v>
      </c>
      <c r="BE8" s="91"/>
      <c r="BF8" s="92"/>
      <c r="BG8" s="93"/>
      <c r="BH8" s="90">
        <f t="shared" si="12"/>
        <v>0</v>
      </c>
      <c r="BI8" s="91"/>
      <c r="BJ8" s="92"/>
      <c r="BK8" s="93"/>
      <c r="BL8" s="90">
        <f t="shared" si="13"/>
        <v>0</v>
      </c>
      <c r="BM8" s="91"/>
      <c r="BN8" s="92"/>
      <c r="BO8" s="93"/>
      <c r="BP8" s="90">
        <f t="shared" si="14"/>
        <v>0</v>
      </c>
      <c r="BQ8" s="91"/>
      <c r="BR8" s="92"/>
      <c r="BS8" s="93"/>
      <c r="BT8" s="90">
        <f t="shared" si="15"/>
        <v>0</v>
      </c>
      <c r="BU8" s="91"/>
      <c r="BV8" s="92"/>
      <c r="BW8" s="93"/>
      <c r="BX8" s="90">
        <f t="shared" si="16"/>
        <v>0</v>
      </c>
      <c r="BY8" s="91"/>
      <c r="BZ8" s="92"/>
      <c r="CA8" s="93"/>
      <c r="CB8" s="90">
        <f t="shared" si="17"/>
        <v>0</v>
      </c>
      <c r="CC8" s="91"/>
      <c r="CD8" s="92"/>
      <c r="CE8" s="93"/>
      <c r="CF8" s="90">
        <f t="shared" si="18"/>
        <v>0</v>
      </c>
      <c r="CG8" s="91"/>
      <c r="CH8" s="92"/>
      <c r="CI8" s="93"/>
      <c r="CJ8" s="505"/>
      <c r="CK8" s="505"/>
      <c r="CL8" s="211"/>
      <c r="CM8" s="510"/>
      <c r="CN8" s="505"/>
      <c r="CO8" s="101"/>
      <c r="CP8" s="97"/>
      <c r="CQ8" s="97"/>
      <c r="CR8" s="97"/>
      <c r="CS8" s="97"/>
      <c r="CT8" s="97"/>
      <c r="CU8" s="97"/>
      <c r="CV8" s="104"/>
      <c r="CW8" s="104"/>
      <c r="CX8" s="104"/>
      <c r="CY8" s="104"/>
      <c r="CZ8" s="104"/>
      <c r="DA8" s="104"/>
      <c r="DB8" s="104"/>
      <c r="DC8" s="104"/>
      <c r="DD8" s="104"/>
      <c r="DE8" s="104"/>
      <c r="DF8" s="104"/>
      <c r="DH8" s="208">
        <f>SUMIF($CJ$47:$CJ$67,"yield centralized",$DH$47:$DH$67)</f>
        <v>0.79806419589675726</v>
      </c>
      <c r="DI8" s="207" t="s">
        <v>2169</v>
      </c>
      <c r="DK8" s="192">
        <f>SUMIF($CJ$47:$CJ$67,"yield centralized",$DK$47:$DK$67)</f>
        <v>0.26373177726439878</v>
      </c>
      <c r="DL8" s="399" t="s">
        <v>2169</v>
      </c>
      <c r="DM8" s="192">
        <f>SUMIF($CJ$47:$CJ$67,"yield centralized",$DM$47:$DM$67)</f>
        <v>0.31264181523500767</v>
      </c>
      <c r="DN8" s="399" t="s">
        <v>2169</v>
      </c>
    </row>
    <row r="9" spans="1:118" ht="24" customHeight="1" outlineLevel="1">
      <c r="A9" s="330">
        <v>259111</v>
      </c>
      <c r="B9" s="331"/>
      <c r="C9" s="88"/>
      <c r="D9" s="294" t="s">
        <v>98</v>
      </c>
      <c r="E9" s="295">
        <v>0</v>
      </c>
      <c r="F9" s="429" t="s">
        <v>2245</v>
      </c>
      <c r="G9" s="430" t="s">
        <v>2113</v>
      </c>
      <c r="H9" s="431" t="s">
        <v>98</v>
      </c>
      <c r="I9" s="431" t="s">
        <v>98</v>
      </c>
      <c r="J9" s="89">
        <v>0</v>
      </c>
      <c r="K9" s="430" t="s">
        <v>109</v>
      </c>
      <c r="L9" s="90">
        <f t="shared" si="0"/>
        <v>0</v>
      </c>
      <c r="M9" s="91"/>
      <c r="N9" s="92"/>
      <c r="O9" s="93"/>
      <c r="P9" s="90">
        <f t="shared" si="1"/>
        <v>0</v>
      </c>
      <c r="Q9" s="91"/>
      <c r="R9" s="92"/>
      <c r="S9" s="93"/>
      <c r="T9" s="90">
        <f t="shared" si="2"/>
        <v>1</v>
      </c>
      <c r="U9" s="91"/>
      <c r="V9" s="92"/>
      <c r="W9" s="93"/>
      <c r="X9" s="90">
        <f t="shared" si="3"/>
        <v>0</v>
      </c>
      <c r="Y9" s="91"/>
      <c r="Z9" s="92"/>
      <c r="AA9" s="93"/>
      <c r="AB9" s="90">
        <f t="shared" si="4"/>
        <v>0</v>
      </c>
      <c r="AC9" s="91"/>
      <c r="AD9" s="92"/>
      <c r="AE9" s="93"/>
      <c r="AF9" s="90">
        <f t="shared" si="5"/>
        <v>0</v>
      </c>
      <c r="AG9" s="91"/>
      <c r="AH9" s="92"/>
      <c r="AI9" s="93"/>
      <c r="AJ9" s="90">
        <f t="shared" si="6"/>
        <v>0</v>
      </c>
      <c r="AK9" s="91"/>
      <c r="AL9" s="92"/>
      <c r="AM9" s="93"/>
      <c r="AN9" s="90">
        <f t="shared" si="7"/>
        <v>0</v>
      </c>
      <c r="AO9" s="91"/>
      <c r="AP9" s="92"/>
      <c r="AQ9" s="93"/>
      <c r="AR9" s="90">
        <f t="shared" si="8"/>
        <v>0</v>
      </c>
      <c r="AS9" s="91"/>
      <c r="AT9" s="92"/>
      <c r="AU9" s="93"/>
      <c r="AV9" s="90">
        <f t="shared" si="9"/>
        <v>0</v>
      </c>
      <c r="AW9" s="91"/>
      <c r="AX9" s="92"/>
      <c r="AY9" s="93"/>
      <c r="AZ9" s="90">
        <f t="shared" si="10"/>
        <v>0</v>
      </c>
      <c r="BA9" s="91"/>
      <c r="BB9" s="92"/>
      <c r="BC9" s="93"/>
      <c r="BD9" s="90">
        <f t="shared" si="11"/>
        <v>0</v>
      </c>
      <c r="BE9" s="91"/>
      <c r="BF9" s="92"/>
      <c r="BG9" s="93"/>
      <c r="BH9" s="90">
        <f t="shared" si="12"/>
        <v>0</v>
      </c>
      <c r="BI9" s="91"/>
      <c r="BJ9" s="92"/>
      <c r="BK9" s="93"/>
      <c r="BL9" s="90">
        <f t="shared" si="13"/>
        <v>0</v>
      </c>
      <c r="BM9" s="91"/>
      <c r="BN9" s="92"/>
      <c r="BO9" s="93"/>
      <c r="BP9" s="90">
        <f t="shared" si="14"/>
        <v>0</v>
      </c>
      <c r="BQ9" s="91"/>
      <c r="BR9" s="92"/>
      <c r="BS9" s="93"/>
      <c r="BT9" s="90">
        <f t="shared" si="15"/>
        <v>0</v>
      </c>
      <c r="BU9" s="91"/>
      <c r="BV9" s="92"/>
      <c r="BW9" s="93"/>
      <c r="BX9" s="90">
        <f t="shared" si="16"/>
        <v>0</v>
      </c>
      <c r="BY9" s="91"/>
      <c r="BZ9" s="92"/>
      <c r="CA9" s="93"/>
      <c r="CB9" s="90">
        <f t="shared" si="17"/>
        <v>0</v>
      </c>
      <c r="CC9" s="91"/>
      <c r="CD9" s="92"/>
      <c r="CE9" s="93"/>
      <c r="CF9" s="90">
        <f t="shared" si="18"/>
        <v>0</v>
      </c>
      <c r="CG9" s="91"/>
      <c r="CH9" s="92"/>
      <c r="CI9" s="93"/>
      <c r="CJ9" s="505"/>
      <c r="CK9" s="505"/>
      <c r="CL9" s="211"/>
      <c r="CM9" s="510"/>
      <c r="CN9" s="505"/>
      <c r="CO9" s="101"/>
      <c r="CP9" s="97"/>
      <c r="CQ9" s="97"/>
      <c r="CR9" s="97"/>
      <c r="CS9" s="97"/>
      <c r="CT9" s="97"/>
      <c r="CU9" s="97"/>
      <c r="CV9" s="104"/>
      <c r="CW9" s="104"/>
      <c r="CX9" s="104"/>
      <c r="CY9" s="104"/>
      <c r="CZ9" s="104"/>
      <c r="DA9" s="104"/>
      <c r="DB9" s="104"/>
      <c r="DC9" s="104"/>
      <c r="DD9" s="104"/>
      <c r="DE9" s="104"/>
      <c r="DF9" s="104"/>
      <c r="DH9" s="208">
        <f>SUMIF($CK$47:$CK$67,$DI9,$DH$47:$DH$67)</f>
        <v>0.78999999999999981</v>
      </c>
      <c r="DI9" s="207" t="s">
        <v>2214</v>
      </c>
      <c r="DK9" s="192">
        <f>SUMIF($CK$47:$CK$67,$DL9,$DK$47:$DK$67)</f>
        <v>0.78999999999999893</v>
      </c>
      <c r="DL9" s="399" t="s">
        <v>2214</v>
      </c>
      <c r="DM9" s="192">
        <f>SUMIF($CK$47:$CK$67,$DN9,$DM$47:$DM$67)</f>
        <v>0.78999999999999915</v>
      </c>
      <c r="DN9" s="399" t="s">
        <v>2214</v>
      </c>
    </row>
    <row r="10" spans="1:118" ht="24" customHeight="1" outlineLevel="1">
      <c r="A10" s="330">
        <v>259163</v>
      </c>
      <c r="B10" s="331"/>
      <c r="C10" s="88"/>
      <c r="D10" s="294" t="s">
        <v>98</v>
      </c>
      <c r="E10" s="295">
        <v>0</v>
      </c>
      <c r="F10" s="429" t="s">
        <v>2246</v>
      </c>
      <c r="G10" s="430" t="s">
        <v>2115</v>
      </c>
      <c r="H10" s="431" t="s">
        <v>98</v>
      </c>
      <c r="I10" s="431" t="s">
        <v>98</v>
      </c>
      <c r="J10" s="89">
        <v>0</v>
      </c>
      <c r="K10" s="430" t="s">
        <v>109</v>
      </c>
      <c r="L10" s="90">
        <f t="shared" si="0"/>
        <v>0</v>
      </c>
      <c r="M10" s="91"/>
      <c r="N10" s="92"/>
      <c r="O10" s="93"/>
      <c r="P10" s="90">
        <f t="shared" si="1"/>
        <v>0</v>
      </c>
      <c r="Q10" s="91"/>
      <c r="R10" s="92"/>
      <c r="S10" s="93"/>
      <c r="T10" s="90">
        <f t="shared" si="2"/>
        <v>0</v>
      </c>
      <c r="U10" s="91"/>
      <c r="V10" s="92"/>
      <c r="W10" s="93"/>
      <c r="X10" s="90">
        <f t="shared" si="3"/>
        <v>1</v>
      </c>
      <c r="Y10" s="91"/>
      <c r="Z10" s="92"/>
      <c r="AA10" s="93"/>
      <c r="AB10" s="90">
        <f t="shared" si="4"/>
        <v>0</v>
      </c>
      <c r="AC10" s="91"/>
      <c r="AD10" s="92"/>
      <c r="AE10" s="93"/>
      <c r="AF10" s="90">
        <f t="shared" si="5"/>
        <v>0</v>
      </c>
      <c r="AG10" s="91"/>
      <c r="AH10" s="92"/>
      <c r="AI10" s="93"/>
      <c r="AJ10" s="90">
        <f t="shared" si="6"/>
        <v>0</v>
      </c>
      <c r="AK10" s="91"/>
      <c r="AL10" s="92"/>
      <c r="AM10" s="93"/>
      <c r="AN10" s="90">
        <f t="shared" si="7"/>
        <v>0</v>
      </c>
      <c r="AO10" s="91"/>
      <c r="AP10" s="92"/>
      <c r="AQ10" s="93"/>
      <c r="AR10" s="90">
        <f t="shared" si="8"/>
        <v>0</v>
      </c>
      <c r="AS10" s="91"/>
      <c r="AT10" s="92"/>
      <c r="AU10" s="93"/>
      <c r="AV10" s="90">
        <f t="shared" si="9"/>
        <v>0</v>
      </c>
      <c r="AW10" s="91"/>
      <c r="AX10" s="92"/>
      <c r="AY10" s="93"/>
      <c r="AZ10" s="90">
        <f t="shared" si="10"/>
        <v>0</v>
      </c>
      <c r="BA10" s="91"/>
      <c r="BB10" s="92"/>
      <c r="BC10" s="93"/>
      <c r="BD10" s="90">
        <f t="shared" si="11"/>
        <v>0</v>
      </c>
      <c r="BE10" s="91"/>
      <c r="BF10" s="92"/>
      <c r="BG10" s="93"/>
      <c r="BH10" s="90">
        <f t="shared" si="12"/>
        <v>0</v>
      </c>
      <c r="BI10" s="91"/>
      <c r="BJ10" s="92"/>
      <c r="BK10" s="93"/>
      <c r="BL10" s="90">
        <f t="shared" si="13"/>
        <v>0</v>
      </c>
      <c r="BM10" s="91"/>
      <c r="BN10" s="92"/>
      <c r="BO10" s="93"/>
      <c r="BP10" s="90">
        <f t="shared" si="14"/>
        <v>0</v>
      </c>
      <c r="BQ10" s="91"/>
      <c r="BR10" s="92"/>
      <c r="BS10" s="93"/>
      <c r="BT10" s="90">
        <f t="shared" si="15"/>
        <v>0</v>
      </c>
      <c r="BU10" s="91"/>
      <c r="BV10" s="92"/>
      <c r="BW10" s="93"/>
      <c r="BX10" s="90">
        <f t="shared" si="16"/>
        <v>0</v>
      </c>
      <c r="BY10" s="91"/>
      <c r="BZ10" s="92"/>
      <c r="CA10" s="93"/>
      <c r="CB10" s="90">
        <f t="shared" si="17"/>
        <v>0</v>
      </c>
      <c r="CC10" s="91"/>
      <c r="CD10" s="92"/>
      <c r="CE10" s="93"/>
      <c r="CF10" s="90">
        <f t="shared" si="18"/>
        <v>0</v>
      </c>
      <c r="CG10" s="91"/>
      <c r="CH10" s="92"/>
      <c r="CI10" s="93"/>
      <c r="CJ10" s="505"/>
      <c r="CK10" s="505"/>
      <c r="CL10" s="211"/>
      <c r="CM10" s="510"/>
      <c r="CN10" s="505"/>
      <c r="CO10" s="101"/>
      <c r="CP10" s="97"/>
      <c r="CQ10" s="97"/>
      <c r="CR10" s="97"/>
      <c r="CS10" s="97"/>
      <c r="CT10" s="97"/>
      <c r="CU10" s="97"/>
      <c r="CV10" s="104"/>
      <c r="CW10" s="104"/>
      <c r="CX10" s="104"/>
      <c r="CY10" s="104"/>
      <c r="CZ10" s="104"/>
      <c r="DA10" s="104"/>
      <c r="DB10" s="104"/>
      <c r="DC10" s="104"/>
      <c r="DD10" s="104"/>
      <c r="DE10" s="104"/>
      <c r="DF10" s="104"/>
      <c r="DH10" s="208">
        <f>SUMIF($CK$47:$CK$67,$DI10,$DH$47:$DH$67)</f>
        <v>4.0000000000000015E-2</v>
      </c>
      <c r="DI10" s="207" t="s">
        <v>2087</v>
      </c>
      <c r="DK10" s="192">
        <f>SUMIF($CK$47:$CK$67,$DL10,$DK$47:$DK$67)</f>
        <v>4.000000000000007E-2</v>
      </c>
      <c r="DL10" s="399" t="s">
        <v>2087</v>
      </c>
      <c r="DM10" s="192">
        <f>SUMIF($CK$47:$CK$67,$DN10,$DM$47:$DM$67)</f>
        <v>3.9999999999999966E-2</v>
      </c>
      <c r="DN10" s="399" t="s">
        <v>2087</v>
      </c>
    </row>
    <row r="11" spans="1:118" ht="24" customHeight="1" outlineLevel="1">
      <c r="A11" s="330">
        <v>259137</v>
      </c>
      <c r="B11" s="331"/>
      <c r="C11" s="88"/>
      <c r="D11" s="294" t="s">
        <v>98</v>
      </c>
      <c r="E11" s="295">
        <v>0</v>
      </c>
      <c r="F11" s="429" t="s">
        <v>2247</v>
      </c>
      <c r="G11" s="430" t="s">
        <v>2117</v>
      </c>
      <c r="H11" s="431" t="s">
        <v>98</v>
      </c>
      <c r="I11" s="431" t="s">
        <v>98</v>
      </c>
      <c r="J11" s="89">
        <v>0</v>
      </c>
      <c r="K11" s="430" t="s">
        <v>109</v>
      </c>
      <c r="L11" s="90">
        <f t="shared" si="0"/>
        <v>0</v>
      </c>
      <c r="M11" s="91"/>
      <c r="N11" s="92"/>
      <c r="O11" s="93"/>
      <c r="P11" s="90">
        <f t="shared" si="1"/>
        <v>0</v>
      </c>
      <c r="Q11" s="91"/>
      <c r="R11" s="92"/>
      <c r="S11" s="93"/>
      <c r="T11" s="90">
        <f t="shared" si="2"/>
        <v>0</v>
      </c>
      <c r="U11" s="91"/>
      <c r="V11" s="92"/>
      <c r="W11" s="93"/>
      <c r="X11" s="90">
        <f t="shared" si="3"/>
        <v>0</v>
      </c>
      <c r="Y11" s="91"/>
      <c r="Z11" s="92"/>
      <c r="AA11" s="93"/>
      <c r="AB11" s="90">
        <f t="shared" si="4"/>
        <v>1</v>
      </c>
      <c r="AC11" s="91"/>
      <c r="AD11" s="92"/>
      <c r="AE11" s="93"/>
      <c r="AF11" s="90">
        <f t="shared" si="5"/>
        <v>0</v>
      </c>
      <c r="AG11" s="91"/>
      <c r="AH11" s="92"/>
      <c r="AI11" s="93"/>
      <c r="AJ11" s="90">
        <f t="shared" si="6"/>
        <v>0</v>
      </c>
      <c r="AK11" s="91"/>
      <c r="AL11" s="92"/>
      <c r="AM11" s="93"/>
      <c r="AN11" s="90">
        <f t="shared" si="7"/>
        <v>0</v>
      </c>
      <c r="AO11" s="91"/>
      <c r="AP11" s="92"/>
      <c r="AQ11" s="93"/>
      <c r="AR11" s="90">
        <f t="shared" si="8"/>
        <v>0</v>
      </c>
      <c r="AS11" s="91"/>
      <c r="AT11" s="92"/>
      <c r="AU11" s="93"/>
      <c r="AV11" s="90">
        <f t="shared" si="9"/>
        <v>0</v>
      </c>
      <c r="AW11" s="91"/>
      <c r="AX11" s="92"/>
      <c r="AY11" s="93"/>
      <c r="AZ11" s="90">
        <f t="shared" si="10"/>
        <v>0</v>
      </c>
      <c r="BA11" s="91"/>
      <c r="BB11" s="92"/>
      <c r="BC11" s="93"/>
      <c r="BD11" s="90">
        <f t="shared" si="11"/>
        <v>0</v>
      </c>
      <c r="BE11" s="91"/>
      <c r="BF11" s="92"/>
      <c r="BG11" s="93"/>
      <c r="BH11" s="90">
        <f t="shared" si="12"/>
        <v>0</v>
      </c>
      <c r="BI11" s="91"/>
      <c r="BJ11" s="92"/>
      <c r="BK11" s="93"/>
      <c r="BL11" s="90">
        <f t="shared" si="13"/>
        <v>0</v>
      </c>
      <c r="BM11" s="91"/>
      <c r="BN11" s="92"/>
      <c r="BO11" s="93"/>
      <c r="BP11" s="90">
        <f t="shared" si="14"/>
        <v>0</v>
      </c>
      <c r="BQ11" s="91"/>
      <c r="BR11" s="92"/>
      <c r="BS11" s="93"/>
      <c r="BT11" s="90">
        <f t="shared" si="15"/>
        <v>0</v>
      </c>
      <c r="BU11" s="91"/>
      <c r="BV11" s="92"/>
      <c r="BW11" s="93"/>
      <c r="BX11" s="90">
        <f t="shared" si="16"/>
        <v>0</v>
      </c>
      <c r="BY11" s="91"/>
      <c r="BZ11" s="92"/>
      <c r="CA11" s="93"/>
      <c r="CB11" s="90">
        <f t="shared" si="17"/>
        <v>0</v>
      </c>
      <c r="CC11" s="91"/>
      <c r="CD11" s="92"/>
      <c r="CE11" s="93"/>
      <c r="CF11" s="90">
        <f t="shared" si="18"/>
        <v>0</v>
      </c>
      <c r="CG11" s="91"/>
      <c r="CH11" s="92"/>
      <c r="CI11" s="93"/>
      <c r="CJ11" s="505"/>
      <c r="CK11" s="505"/>
      <c r="CL11" s="211"/>
      <c r="CM11" s="510"/>
      <c r="CN11" s="505"/>
      <c r="CO11" s="101"/>
      <c r="CP11" s="97"/>
      <c r="CQ11" s="97"/>
      <c r="CR11" s="97"/>
      <c r="CS11" s="97"/>
      <c r="CT11" s="97"/>
      <c r="CU11" s="97"/>
      <c r="CV11" s="104"/>
      <c r="CW11" s="104"/>
      <c r="CX11" s="104"/>
      <c r="CY11" s="104"/>
      <c r="CZ11" s="104"/>
      <c r="DA11" s="104"/>
      <c r="DB11" s="104"/>
      <c r="DC11" s="104"/>
      <c r="DD11" s="104"/>
      <c r="DE11" s="104"/>
      <c r="DF11" s="104"/>
    </row>
    <row r="12" spans="1:118" ht="24" customHeight="1" outlineLevel="1">
      <c r="A12" s="330">
        <v>263751</v>
      </c>
      <c r="B12" s="331"/>
      <c r="C12" s="88"/>
      <c r="D12" s="294" t="s">
        <v>98</v>
      </c>
      <c r="E12" s="295">
        <v>0</v>
      </c>
      <c r="F12" s="429" t="s">
        <v>2248</v>
      </c>
      <c r="G12" s="430" t="s">
        <v>2119</v>
      </c>
      <c r="H12" s="431" t="s">
        <v>98</v>
      </c>
      <c r="I12" s="431" t="s">
        <v>98</v>
      </c>
      <c r="J12" s="89">
        <v>0</v>
      </c>
      <c r="K12" s="430" t="s">
        <v>109</v>
      </c>
      <c r="L12" s="90">
        <f t="shared" si="0"/>
        <v>0</v>
      </c>
      <c r="M12" s="91"/>
      <c r="N12" s="92"/>
      <c r="O12" s="93"/>
      <c r="P12" s="90">
        <f t="shared" si="1"/>
        <v>0</v>
      </c>
      <c r="Q12" s="91"/>
      <c r="R12" s="92"/>
      <c r="S12" s="93"/>
      <c r="T12" s="90">
        <f t="shared" si="2"/>
        <v>0</v>
      </c>
      <c r="U12" s="91"/>
      <c r="V12" s="92"/>
      <c r="W12" s="93"/>
      <c r="X12" s="90">
        <f t="shared" si="3"/>
        <v>0</v>
      </c>
      <c r="Y12" s="91"/>
      <c r="Z12" s="92"/>
      <c r="AA12" s="93"/>
      <c r="AB12" s="90">
        <f t="shared" si="4"/>
        <v>0</v>
      </c>
      <c r="AC12" s="91"/>
      <c r="AD12" s="92"/>
      <c r="AE12" s="93"/>
      <c r="AF12" s="90">
        <f t="shared" si="5"/>
        <v>1</v>
      </c>
      <c r="AG12" s="91"/>
      <c r="AH12" s="92"/>
      <c r="AI12" s="93"/>
      <c r="AJ12" s="90">
        <f t="shared" si="6"/>
        <v>0</v>
      </c>
      <c r="AK12" s="91"/>
      <c r="AL12" s="92"/>
      <c r="AM12" s="93"/>
      <c r="AN12" s="90">
        <f t="shared" si="7"/>
        <v>0</v>
      </c>
      <c r="AO12" s="91"/>
      <c r="AP12" s="92"/>
      <c r="AQ12" s="93"/>
      <c r="AR12" s="90">
        <f t="shared" si="8"/>
        <v>0</v>
      </c>
      <c r="AS12" s="91"/>
      <c r="AT12" s="92"/>
      <c r="AU12" s="93"/>
      <c r="AV12" s="90">
        <f t="shared" si="9"/>
        <v>0</v>
      </c>
      <c r="AW12" s="91"/>
      <c r="AX12" s="92"/>
      <c r="AY12" s="93"/>
      <c r="AZ12" s="90">
        <f t="shared" si="10"/>
        <v>0</v>
      </c>
      <c r="BA12" s="91"/>
      <c r="BB12" s="92"/>
      <c r="BC12" s="93"/>
      <c r="BD12" s="90">
        <f t="shared" si="11"/>
        <v>0</v>
      </c>
      <c r="BE12" s="91"/>
      <c r="BF12" s="92"/>
      <c r="BG12" s="93"/>
      <c r="BH12" s="90">
        <f t="shared" si="12"/>
        <v>0</v>
      </c>
      <c r="BI12" s="91"/>
      <c r="BJ12" s="92"/>
      <c r="BK12" s="93"/>
      <c r="BL12" s="90">
        <f t="shared" si="13"/>
        <v>0</v>
      </c>
      <c r="BM12" s="91"/>
      <c r="BN12" s="92"/>
      <c r="BO12" s="93"/>
      <c r="BP12" s="90">
        <f t="shared" si="14"/>
        <v>0</v>
      </c>
      <c r="BQ12" s="91"/>
      <c r="BR12" s="92"/>
      <c r="BS12" s="93"/>
      <c r="BT12" s="90">
        <f t="shared" si="15"/>
        <v>0</v>
      </c>
      <c r="BU12" s="91"/>
      <c r="BV12" s="92"/>
      <c r="BW12" s="93"/>
      <c r="BX12" s="90">
        <f t="shared" si="16"/>
        <v>0</v>
      </c>
      <c r="BY12" s="91"/>
      <c r="BZ12" s="92"/>
      <c r="CA12" s="93"/>
      <c r="CB12" s="90">
        <f t="shared" si="17"/>
        <v>0</v>
      </c>
      <c r="CC12" s="91"/>
      <c r="CD12" s="92"/>
      <c r="CE12" s="93"/>
      <c r="CF12" s="90">
        <f t="shared" si="18"/>
        <v>0</v>
      </c>
      <c r="CG12" s="91"/>
      <c r="CH12" s="92"/>
      <c r="CI12" s="93"/>
      <c r="CJ12" s="505"/>
      <c r="CK12" s="505"/>
      <c r="CL12" s="211"/>
      <c r="CM12" s="510"/>
      <c r="CN12" s="505"/>
      <c r="CO12" s="101"/>
      <c r="CP12" s="97"/>
      <c r="CQ12" s="97"/>
      <c r="CR12" s="97"/>
      <c r="CS12" s="97"/>
      <c r="CT12" s="97"/>
      <c r="CU12" s="97"/>
      <c r="CV12" s="104"/>
      <c r="CW12" s="104"/>
      <c r="CX12" s="104"/>
      <c r="CY12" s="104"/>
      <c r="CZ12" s="104"/>
      <c r="DA12" s="104"/>
      <c r="DB12" s="104"/>
      <c r="DC12" s="104"/>
      <c r="DD12" s="104"/>
      <c r="DE12" s="104"/>
      <c r="DF12" s="104"/>
    </row>
    <row r="13" spans="1:118" ht="24" customHeight="1" outlineLevel="1">
      <c r="A13" s="330">
        <v>267646</v>
      </c>
      <c r="B13" s="331"/>
      <c r="C13" s="88"/>
      <c r="D13" s="294" t="s">
        <v>98</v>
      </c>
      <c r="E13" s="295">
        <v>0</v>
      </c>
      <c r="F13" s="429" t="s">
        <v>2249</v>
      </c>
      <c r="G13" s="430" t="s">
        <v>340</v>
      </c>
      <c r="H13" s="431" t="s">
        <v>98</v>
      </c>
      <c r="I13" s="431" t="s">
        <v>98</v>
      </c>
      <c r="J13" s="89">
        <v>0</v>
      </c>
      <c r="K13" s="430" t="s">
        <v>109</v>
      </c>
      <c r="L13" s="90">
        <f t="shared" si="0"/>
        <v>0</v>
      </c>
      <c r="M13" s="91"/>
      <c r="N13" s="92"/>
      <c r="O13" s="93"/>
      <c r="P13" s="90">
        <f t="shared" si="1"/>
        <v>0</v>
      </c>
      <c r="Q13" s="91"/>
      <c r="R13" s="92"/>
      <c r="S13" s="93"/>
      <c r="T13" s="90">
        <f t="shared" si="2"/>
        <v>0</v>
      </c>
      <c r="U13" s="91"/>
      <c r="V13" s="92"/>
      <c r="W13" s="93"/>
      <c r="X13" s="90">
        <f t="shared" si="3"/>
        <v>0</v>
      </c>
      <c r="Y13" s="91"/>
      <c r="Z13" s="92"/>
      <c r="AA13" s="93"/>
      <c r="AB13" s="90">
        <f t="shared" si="4"/>
        <v>0</v>
      </c>
      <c r="AC13" s="91"/>
      <c r="AD13" s="92"/>
      <c r="AE13" s="93"/>
      <c r="AF13" s="90">
        <f t="shared" si="5"/>
        <v>0</v>
      </c>
      <c r="AG13" s="91"/>
      <c r="AH13" s="92"/>
      <c r="AI13" s="93"/>
      <c r="AJ13" s="90">
        <f t="shared" si="6"/>
        <v>1</v>
      </c>
      <c r="AK13" s="91"/>
      <c r="AL13" s="92"/>
      <c r="AM13" s="93"/>
      <c r="AN13" s="90">
        <f t="shared" si="7"/>
        <v>0</v>
      </c>
      <c r="AO13" s="91"/>
      <c r="AP13" s="92"/>
      <c r="AQ13" s="93"/>
      <c r="AR13" s="90">
        <f t="shared" si="8"/>
        <v>0</v>
      </c>
      <c r="AS13" s="91"/>
      <c r="AT13" s="92"/>
      <c r="AU13" s="93"/>
      <c r="AV13" s="90">
        <f t="shared" si="9"/>
        <v>0</v>
      </c>
      <c r="AW13" s="91"/>
      <c r="AX13" s="92"/>
      <c r="AY13" s="93"/>
      <c r="AZ13" s="90">
        <f t="shared" si="10"/>
        <v>0</v>
      </c>
      <c r="BA13" s="91"/>
      <c r="BB13" s="92"/>
      <c r="BC13" s="93"/>
      <c r="BD13" s="90">
        <f t="shared" si="11"/>
        <v>0</v>
      </c>
      <c r="BE13" s="91"/>
      <c r="BF13" s="92"/>
      <c r="BG13" s="93"/>
      <c r="BH13" s="90">
        <f t="shared" si="12"/>
        <v>0</v>
      </c>
      <c r="BI13" s="91"/>
      <c r="BJ13" s="92"/>
      <c r="BK13" s="93"/>
      <c r="BL13" s="90">
        <f t="shared" si="13"/>
        <v>0</v>
      </c>
      <c r="BM13" s="91"/>
      <c r="BN13" s="92"/>
      <c r="BO13" s="93"/>
      <c r="BP13" s="90">
        <f t="shared" si="14"/>
        <v>0</v>
      </c>
      <c r="BQ13" s="91"/>
      <c r="BR13" s="92"/>
      <c r="BS13" s="93"/>
      <c r="BT13" s="90">
        <f t="shared" si="15"/>
        <v>0</v>
      </c>
      <c r="BU13" s="91"/>
      <c r="BV13" s="92"/>
      <c r="BW13" s="93"/>
      <c r="BX13" s="90">
        <f t="shared" si="16"/>
        <v>0</v>
      </c>
      <c r="BY13" s="91"/>
      <c r="BZ13" s="92"/>
      <c r="CA13" s="93"/>
      <c r="CB13" s="90">
        <f t="shared" si="17"/>
        <v>0</v>
      </c>
      <c r="CC13" s="91"/>
      <c r="CD13" s="92"/>
      <c r="CE13" s="93"/>
      <c r="CF13" s="90">
        <f t="shared" si="18"/>
        <v>0</v>
      </c>
      <c r="CG13" s="91"/>
      <c r="CH13" s="92"/>
      <c r="CI13" s="93"/>
      <c r="CJ13" s="505"/>
      <c r="CK13" s="505"/>
      <c r="CL13" s="211"/>
      <c r="CM13" s="510"/>
      <c r="CN13" s="505"/>
      <c r="CO13" s="101"/>
      <c r="CP13" s="97"/>
      <c r="CQ13" s="97"/>
      <c r="CR13" s="97"/>
      <c r="CS13" s="97"/>
      <c r="CT13" s="97"/>
      <c r="CU13" s="97"/>
      <c r="CV13" s="104"/>
      <c r="CW13" s="104"/>
      <c r="CX13" s="104"/>
      <c r="CY13" s="104"/>
      <c r="CZ13" s="104"/>
      <c r="DA13" s="104"/>
      <c r="DB13" s="104"/>
      <c r="DC13" s="104"/>
      <c r="DD13" s="104"/>
      <c r="DE13" s="104"/>
      <c r="DF13" s="104"/>
    </row>
    <row r="14" spans="1:118" ht="24" customHeight="1" outlineLevel="1">
      <c r="A14" s="330">
        <v>259673</v>
      </c>
      <c r="B14" s="331"/>
      <c r="C14" s="88"/>
      <c r="D14" s="294" t="s">
        <v>98</v>
      </c>
      <c r="E14" s="295">
        <v>0</v>
      </c>
      <c r="F14" s="429" t="s">
        <v>2250</v>
      </c>
      <c r="G14" s="430" t="s">
        <v>2121</v>
      </c>
      <c r="H14" s="431" t="s">
        <v>98</v>
      </c>
      <c r="I14" s="431" t="s">
        <v>98</v>
      </c>
      <c r="J14" s="89">
        <v>0</v>
      </c>
      <c r="K14" s="430" t="s">
        <v>109</v>
      </c>
      <c r="L14" s="90">
        <f t="shared" si="0"/>
        <v>0</v>
      </c>
      <c r="M14" s="91"/>
      <c r="N14" s="92"/>
      <c r="O14" s="93"/>
      <c r="P14" s="90">
        <f t="shared" si="1"/>
        <v>0</v>
      </c>
      <c r="Q14" s="91"/>
      <c r="R14" s="92"/>
      <c r="S14" s="93"/>
      <c r="T14" s="90">
        <f t="shared" si="2"/>
        <v>0</v>
      </c>
      <c r="U14" s="91"/>
      <c r="V14" s="92"/>
      <c r="W14" s="93"/>
      <c r="X14" s="90">
        <f t="shared" si="3"/>
        <v>0</v>
      </c>
      <c r="Y14" s="91"/>
      <c r="Z14" s="92"/>
      <c r="AA14" s="93"/>
      <c r="AB14" s="90">
        <f t="shared" si="4"/>
        <v>0</v>
      </c>
      <c r="AC14" s="91"/>
      <c r="AD14" s="92"/>
      <c r="AE14" s="93"/>
      <c r="AF14" s="90">
        <f t="shared" si="5"/>
        <v>0</v>
      </c>
      <c r="AG14" s="91"/>
      <c r="AH14" s="92"/>
      <c r="AI14" s="93"/>
      <c r="AJ14" s="90">
        <f t="shared" si="6"/>
        <v>0</v>
      </c>
      <c r="AK14" s="91"/>
      <c r="AL14" s="92"/>
      <c r="AM14" s="93"/>
      <c r="AN14" s="90">
        <f t="shared" si="7"/>
        <v>1</v>
      </c>
      <c r="AO14" s="91"/>
      <c r="AP14" s="92"/>
      <c r="AQ14" s="93"/>
      <c r="AR14" s="90">
        <f t="shared" si="8"/>
        <v>0</v>
      </c>
      <c r="AS14" s="91"/>
      <c r="AT14" s="92"/>
      <c r="AU14" s="93"/>
      <c r="AV14" s="90">
        <f t="shared" si="9"/>
        <v>0</v>
      </c>
      <c r="AW14" s="91"/>
      <c r="AX14" s="92"/>
      <c r="AY14" s="93"/>
      <c r="AZ14" s="90">
        <f t="shared" si="10"/>
        <v>0</v>
      </c>
      <c r="BA14" s="91"/>
      <c r="BB14" s="92"/>
      <c r="BC14" s="93"/>
      <c r="BD14" s="90">
        <f t="shared" si="11"/>
        <v>0</v>
      </c>
      <c r="BE14" s="91"/>
      <c r="BF14" s="92"/>
      <c r="BG14" s="93"/>
      <c r="BH14" s="90">
        <f t="shared" si="12"/>
        <v>0</v>
      </c>
      <c r="BI14" s="91"/>
      <c r="BJ14" s="92"/>
      <c r="BK14" s="93"/>
      <c r="BL14" s="90">
        <f t="shared" si="13"/>
        <v>0</v>
      </c>
      <c r="BM14" s="91"/>
      <c r="BN14" s="92"/>
      <c r="BO14" s="93"/>
      <c r="BP14" s="90">
        <f t="shared" si="14"/>
        <v>0</v>
      </c>
      <c r="BQ14" s="91"/>
      <c r="BR14" s="92"/>
      <c r="BS14" s="93"/>
      <c r="BT14" s="90">
        <f t="shared" si="15"/>
        <v>0</v>
      </c>
      <c r="BU14" s="91"/>
      <c r="BV14" s="92"/>
      <c r="BW14" s="93"/>
      <c r="BX14" s="90">
        <f t="shared" si="16"/>
        <v>0</v>
      </c>
      <c r="BY14" s="91"/>
      <c r="BZ14" s="92"/>
      <c r="CA14" s="93"/>
      <c r="CB14" s="90">
        <f t="shared" si="17"/>
        <v>0</v>
      </c>
      <c r="CC14" s="91"/>
      <c r="CD14" s="92"/>
      <c r="CE14" s="93"/>
      <c r="CF14" s="90">
        <f t="shared" si="18"/>
        <v>0</v>
      </c>
      <c r="CG14" s="91"/>
      <c r="CH14" s="92"/>
      <c r="CI14" s="93"/>
      <c r="CJ14" s="505"/>
      <c r="CK14" s="505"/>
      <c r="CL14" s="211"/>
      <c r="CM14" s="510"/>
      <c r="CN14" s="505"/>
      <c r="CO14" s="101"/>
      <c r="CP14" s="97"/>
      <c r="CQ14" s="97"/>
      <c r="CR14" s="97"/>
      <c r="CS14" s="97"/>
      <c r="CT14" s="97"/>
      <c r="CU14" s="97"/>
      <c r="CV14" s="104"/>
      <c r="CW14" s="104"/>
      <c r="CX14" s="104"/>
      <c r="CY14" s="104"/>
      <c r="CZ14" s="104"/>
      <c r="DA14" s="104"/>
      <c r="DB14" s="104"/>
      <c r="DC14" s="104"/>
      <c r="DD14" s="104"/>
      <c r="DE14" s="104"/>
      <c r="DF14" s="104"/>
    </row>
    <row r="15" spans="1:118" ht="24" customHeight="1" outlineLevel="1">
      <c r="A15" s="330">
        <v>259655</v>
      </c>
      <c r="B15" s="331"/>
      <c r="C15" s="88"/>
      <c r="D15" s="294" t="s">
        <v>98</v>
      </c>
      <c r="E15" s="295">
        <v>0</v>
      </c>
      <c r="F15" s="429" t="s">
        <v>2251</v>
      </c>
      <c r="G15" s="430" t="s">
        <v>2123</v>
      </c>
      <c r="H15" s="431" t="s">
        <v>98</v>
      </c>
      <c r="I15" s="431" t="s">
        <v>98</v>
      </c>
      <c r="J15" s="89">
        <v>0</v>
      </c>
      <c r="K15" s="430" t="s">
        <v>109</v>
      </c>
      <c r="L15" s="90">
        <f t="shared" si="0"/>
        <v>0</v>
      </c>
      <c r="M15" s="91"/>
      <c r="N15" s="92"/>
      <c r="O15" s="93"/>
      <c r="P15" s="90">
        <f t="shared" si="1"/>
        <v>0</v>
      </c>
      <c r="Q15" s="91"/>
      <c r="R15" s="92"/>
      <c r="S15" s="93"/>
      <c r="T15" s="90">
        <f t="shared" si="2"/>
        <v>0</v>
      </c>
      <c r="U15" s="91"/>
      <c r="V15" s="92"/>
      <c r="W15" s="93"/>
      <c r="X15" s="90">
        <f t="shared" si="3"/>
        <v>0</v>
      </c>
      <c r="Y15" s="91"/>
      <c r="Z15" s="92"/>
      <c r="AA15" s="93"/>
      <c r="AB15" s="90">
        <f t="shared" si="4"/>
        <v>0</v>
      </c>
      <c r="AC15" s="91"/>
      <c r="AD15" s="92"/>
      <c r="AE15" s="93"/>
      <c r="AF15" s="90">
        <f t="shared" si="5"/>
        <v>0</v>
      </c>
      <c r="AG15" s="91"/>
      <c r="AH15" s="92"/>
      <c r="AI15" s="93"/>
      <c r="AJ15" s="90">
        <f t="shared" si="6"/>
        <v>0</v>
      </c>
      <c r="AK15" s="91"/>
      <c r="AL15" s="92"/>
      <c r="AM15" s="93"/>
      <c r="AN15" s="90">
        <f t="shared" si="7"/>
        <v>0</v>
      </c>
      <c r="AO15" s="91"/>
      <c r="AP15" s="92"/>
      <c r="AQ15" s="93"/>
      <c r="AR15" s="90">
        <f t="shared" si="8"/>
        <v>1</v>
      </c>
      <c r="AS15" s="91"/>
      <c r="AT15" s="92"/>
      <c r="AU15" s="93"/>
      <c r="AV15" s="90">
        <f t="shared" si="9"/>
        <v>0</v>
      </c>
      <c r="AW15" s="91"/>
      <c r="AX15" s="92"/>
      <c r="AY15" s="93"/>
      <c r="AZ15" s="90">
        <f t="shared" si="10"/>
        <v>0</v>
      </c>
      <c r="BA15" s="91"/>
      <c r="BB15" s="92"/>
      <c r="BC15" s="93"/>
      <c r="BD15" s="90">
        <f t="shared" si="11"/>
        <v>0</v>
      </c>
      <c r="BE15" s="91"/>
      <c r="BF15" s="92"/>
      <c r="BG15" s="93"/>
      <c r="BH15" s="90">
        <f t="shared" si="12"/>
        <v>0</v>
      </c>
      <c r="BI15" s="91"/>
      <c r="BJ15" s="92"/>
      <c r="BK15" s="93"/>
      <c r="BL15" s="90">
        <f t="shared" si="13"/>
        <v>0</v>
      </c>
      <c r="BM15" s="91"/>
      <c r="BN15" s="92"/>
      <c r="BO15" s="93"/>
      <c r="BP15" s="90">
        <f t="shared" si="14"/>
        <v>0</v>
      </c>
      <c r="BQ15" s="91"/>
      <c r="BR15" s="92"/>
      <c r="BS15" s="93"/>
      <c r="BT15" s="90">
        <f t="shared" si="15"/>
        <v>0</v>
      </c>
      <c r="BU15" s="91"/>
      <c r="BV15" s="92"/>
      <c r="BW15" s="93"/>
      <c r="BX15" s="90">
        <f t="shared" si="16"/>
        <v>0</v>
      </c>
      <c r="BY15" s="91"/>
      <c r="BZ15" s="92"/>
      <c r="CA15" s="93"/>
      <c r="CB15" s="90">
        <f t="shared" si="17"/>
        <v>0</v>
      </c>
      <c r="CC15" s="91"/>
      <c r="CD15" s="92"/>
      <c r="CE15" s="93"/>
      <c r="CF15" s="90">
        <f t="shared" si="18"/>
        <v>0</v>
      </c>
      <c r="CG15" s="91"/>
      <c r="CH15" s="92"/>
      <c r="CI15" s="93"/>
      <c r="CJ15" s="505"/>
      <c r="CK15" s="505"/>
      <c r="CL15" s="211"/>
      <c r="CM15" s="510"/>
      <c r="CN15" s="505"/>
      <c r="CO15" s="101"/>
      <c r="CP15" s="97"/>
      <c r="CQ15" s="97"/>
      <c r="CR15" s="97"/>
      <c r="CS15" s="97"/>
      <c r="CT15" s="97"/>
      <c r="CU15" s="97"/>
      <c r="CV15" s="104"/>
      <c r="CW15" s="104"/>
      <c r="CX15" s="104"/>
      <c r="CY15" s="104"/>
      <c r="CZ15" s="104"/>
      <c r="DA15" s="104"/>
      <c r="DB15" s="104"/>
      <c r="DC15" s="104"/>
      <c r="DD15" s="104"/>
      <c r="DE15" s="104"/>
      <c r="DF15" s="104"/>
    </row>
    <row r="16" spans="1:118" ht="24" customHeight="1" outlineLevel="1">
      <c r="A16" s="330">
        <v>259637</v>
      </c>
      <c r="B16" s="331"/>
      <c r="C16" s="88"/>
      <c r="D16" s="294" t="s">
        <v>98</v>
      </c>
      <c r="E16" s="295">
        <v>0</v>
      </c>
      <c r="F16" s="429" t="s">
        <v>2252</v>
      </c>
      <c r="G16" s="430" t="s">
        <v>2125</v>
      </c>
      <c r="H16" s="431" t="s">
        <v>98</v>
      </c>
      <c r="I16" s="431" t="s">
        <v>98</v>
      </c>
      <c r="J16" s="89">
        <v>0</v>
      </c>
      <c r="K16" s="430" t="s">
        <v>109</v>
      </c>
      <c r="L16" s="90">
        <f t="shared" si="0"/>
        <v>0</v>
      </c>
      <c r="M16" s="91"/>
      <c r="N16" s="92"/>
      <c r="O16" s="93"/>
      <c r="P16" s="90">
        <f t="shared" si="1"/>
        <v>0</v>
      </c>
      <c r="Q16" s="91"/>
      <c r="R16" s="92"/>
      <c r="S16" s="93"/>
      <c r="T16" s="90">
        <f t="shared" si="2"/>
        <v>0</v>
      </c>
      <c r="U16" s="91"/>
      <c r="V16" s="92"/>
      <c r="W16" s="93"/>
      <c r="X16" s="90">
        <f t="shared" si="3"/>
        <v>0</v>
      </c>
      <c r="Y16" s="91"/>
      <c r="Z16" s="92"/>
      <c r="AA16" s="93"/>
      <c r="AB16" s="90">
        <f t="shared" si="4"/>
        <v>0</v>
      </c>
      <c r="AC16" s="91"/>
      <c r="AD16" s="92"/>
      <c r="AE16" s="93"/>
      <c r="AF16" s="90">
        <f t="shared" si="5"/>
        <v>0</v>
      </c>
      <c r="AG16" s="91"/>
      <c r="AH16" s="92"/>
      <c r="AI16" s="93"/>
      <c r="AJ16" s="90">
        <f t="shared" si="6"/>
        <v>0</v>
      </c>
      <c r="AK16" s="91"/>
      <c r="AL16" s="92"/>
      <c r="AM16" s="93"/>
      <c r="AN16" s="90">
        <f t="shared" si="7"/>
        <v>0</v>
      </c>
      <c r="AO16" s="91"/>
      <c r="AP16" s="92"/>
      <c r="AQ16" s="93"/>
      <c r="AR16" s="90">
        <f t="shared" si="8"/>
        <v>0</v>
      </c>
      <c r="AS16" s="91"/>
      <c r="AT16" s="92"/>
      <c r="AU16" s="93"/>
      <c r="AV16" s="90">
        <f t="shared" si="9"/>
        <v>1</v>
      </c>
      <c r="AW16" s="91"/>
      <c r="AX16" s="92"/>
      <c r="AY16" s="93"/>
      <c r="AZ16" s="90">
        <f t="shared" si="10"/>
        <v>0</v>
      </c>
      <c r="BA16" s="91"/>
      <c r="BB16" s="92"/>
      <c r="BC16" s="93"/>
      <c r="BD16" s="90">
        <f t="shared" si="11"/>
        <v>0</v>
      </c>
      <c r="BE16" s="91"/>
      <c r="BF16" s="92"/>
      <c r="BG16" s="93"/>
      <c r="BH16" s="90">
        <f t="shared" si="12"/>
        <v>0</v>
      </c>
      <c r="BI16" s="91"/>
      <c r="BJ16" s="92"/>
      <c r="BK16" s="93"/>
      <c r="BL16" s="90">
        <f t="shared" si="13"/>
        <v>0</v>
      </c>
      <c r="BM16" s="91"/>
      <c r="BN16" s="92"/>
      <c r="BO16" s="93"/>
      <c r="BP16" s="90">
        <f t="shared" si="14"/>
        <v>0</v>
      </c>
      <c r="BQ16" s="91"/>
      <c r="BR16" s="92"/>
      <c r="BS16" s="93"/>
      <c r="BT16" s="90">
        <f t="shared" si="15"/>
        <v>0</v>
      </c>
      <c r="BU16" s="91"/>
      <c r="BV16" s="92"/>
      <c r="BW16" s="93"/>
      <c r="BX16" s="90">
        <f t="shared" si="16"/>
        <v>0</v>
      </c>
      <c r="BY16" s="91"/>
      <c r="BZ16" s="92"/>
      <c r="CA16" s="93"/>
      <c r="CB16" s="90">
        <f t="shared" si="17"/>
        <v>0</v>
      </c>
      <c r="CC16" s="91"/>
      <c r="CD16" s="92"/>
      <c r="CE16" s="93"/>
      <c r="CF16" s="90">
        <f t="shared" si="18"/>
        <v>0</v>
      </c>
      <c r="CG16" s="91"/>
      <c r="CH16" s="92"/>
      <c r="CI16" s="93"/>
      <c r="CJ16" s="505"/>
      <c r="CK16" s="505"/>
      <c r="CL16" s="211"/>
      <c r="CM16" s="510"/>
      <c r="CN16" s="505"/>
      <c r="CO16" s="101"/>
      <c r="CP16" s="97"/>
      <c r="CQ16" s="97"/>
      <c r="CR16" s="97"/>
      <c r="CS16" s="97"/>
      <c r="CT16" s="97"/>
      <c r="CU16" s="97"/>
      <c r="CV16" s="104"/>
      <c r="CW16" s="104"/>
      <c r="CX16" s="104"/>
      <c r="CY16" s="104"/>
      <c r="CZ16" s="104"/>
      <c r="DA16" s="104"/>
      <c r="DB16" s="104"/>
      <c r="DC16" s="104"/>
      <c r="DD16" s="104"/>
      <c r="DE16" s="104"/>
      <c r="DF16" s="104"/>
    </row>
    <row r="17" spans="1:110" ht="24" customHeight="1">
      <c r="A17" s="330">
        <v>263849</v>
      </c>
      <c r="B17" s="331"/>
      <c r="C17" s="88"/>
      <c r="D17" s="294" t="s">
        <v>98</v>
      </c>
      <c r="E17" s="295">
        <v>0</v>
      </c>
      <c r="F17" s="429" t="s">
        <v>2253</v>
      </c>
      <c r="G17" s="430" t="s">
        <v>1670</v>
      </c>
      <c r="H17" s="431" t="s">
        <v>98</v>
      </c>
      <c r="I17" s="431" t="s">
        <v>98</v>
      </c>
      <c r="J17" s="89">
        <v>0</v>
      </c>
      <c r="K17" s="430" t="s">
        <v>109</v>
      </c>
      <c r="L17" s="90">
        <f t="shared" si="0"/>
        <v>0</v>
      </c>
      <c r="M17" s="91"/>
      <c r="N17" s="92"/>
      <c r="O17" s="93"/>
      <c r="P17" s="90">
        <f t="shared" si="1"/>
        <v>0</v>
      </c>
      <c r="Q17" s="91"/>
      <c r="R17" s="92"/>
      <c r="S17" s="93"/>
      <c r="T17" s="90">
        <f t="shared" si="2"/>
        <v>0</v>
      </c>
      <c r="U17" s="91"/>
      <c r="V17" s="92"/>
      <c r="W17" s="93"/>
      <c r="X17" s="90">
        <f t="shared" si="3"/>
        <v>0</v>
      </c>
      <c r="Y17" s="91"/>
      <c r="Z17" s="92"/>
      <c r="AA17" s="93"/>
      <c r="AB17" s="90">
        <f t="shared" si="4"/>
        <v>0</v>
      </c>
      <c r="AC17" s="91"/>
      <c r="AD17" s="92"/>
      <c r="AE17" s="93"/>
      <c r="AF17" s="90">
        <f t="shared" si="5"/>
        <v>0</v>
      </c>
      <c r="AG17" s="91"/>
      <c r="AH17" s="92"/>
      <c r="AI17" s="93"/>
      <c r="AJ17" s="90">
        <f t="shared" si="6"/>
        <v>0</v>
      </c>
      <c r="AK17" s="91"/>
      <c r="AL17" s="92"/>
      <c r="AM17" s="93"/>
      <c r="AN17" s="90">
        <f t="shared" si="7"/>
        <v>0</v>
      </c>
      <c r="AO17" s="91"/>
      <c r="AP17" s="92"/>
      <c r="AQ17" s="93"/>
      <c r="AR17" s="90">
        <f t="shared" si="8"/>
        <v>0</v>
      </c>
      <c r="AS17" s="91"/>
      <c r="AT17" s="92"/>
      <c r="AU17" s="93"/>
      <c r="AV17" s="90">
        <f t="shared" si="9"/>
        <v>0</v>
      </c>
      <c r="AW17" s="91"/>
      <c r="AX17" s="92"/>
      <c r="AY17" s="93"/>
      <c r="AZ17" s="90">
        <f t="shared" si="10"/>
        <v>1</v>
      </c>
      <c r="BA17" s="91"/>
      <c r="BB17" s="92"/>
      <c r="BC17" s="93"/>
      <c r="BD17" s="90">
        <f t="shared" si="11"/>
        <v>0</v>
      </c>
      <c r="BE17" s="91"/>
      <c r="BF17" s="92"/>
      <c r="BG17" s="93"/>
      <c r="BH17" s="90">
        <f t="shared" si="12"/>
        <v>0</v>
      </c>
      <c r="BI17" s="91"/>
      <c r="BJ17" s="92"/>
      <c r="BK17" s="93"/>
      <c r="BL17" s="90">
        <f t="shared" si="13"/>
        <v>0</v>
      </c>
      <c r="BM17" s="91"/>
      <c r="BN17" s="92"/>
      <c r="BO17" s="93"/>
      <c r="BP17" s="90">
        <f t="shared" si="14"/>
        <v>0</v>
      </c>
      <c r="BQ17" s="91"/>
      <c r="BR17" s="92"/>
      <c r="BS17" s="93"/>
      <c r="BT17" s="90">
        <f t="shared" si="15"/>
        <v>0</v>
      </c>
      <c r="BU17" s="91"/>
      <c r="BV17" s="92"/>
      <c r="BW17" s="93"/>
      <c r="BX17" s="90">
        <f t="shared" si="16"/>
        <v>0</v>
      </c>
      <c r="BY17" s="91"/>
      <c r="BZ17" s="92"/>
      <c r="CA17" s="93"/>
      <c r="CB17" s="90">
        <f t="shared" si="17"/>
        <v>0</v>
      </c>
      <c r="CC17" s="91"/>
      <c r="CD17" s="92"/>
      <c r="CE17" s="93"/>
      <c r="CF17" s="90">
        <f t="shared" si="18"/>
        <v>0</v>
      </c>
      <c r="CG17" s="91"/>
      <c r="CH17" s="92"/>
      <c r="CI17" s="93"/>
      <c r="CJ17" s="505"/>
      <c r="CK17" s="505"/>
      <c r="CL17" s="211"/>
      <c r="CM17" s="510"/>
      <c r="CN17" s="505"/>
      <c r="CO17" s="101"/>
      <c r="CP17" s="97"/>
      <c r="CQ17" s="97"/>
      <c r="CR17" s="97"/>
      <c r="CS17" s="97"/>
      <c r="CT17" s="97"/>
      <c r="CU17" s="97"/>
      <c r="CV17" s="104"/>
      <c r="CW17" s="104"/>
      <c r="CX17" s="104"/>
      <c r="CY17" s="104"/>
      <c r="CZ17" s="104"/>
      <c r="DA17" s="104"/>
      <c r="DB17" s="104"/>
      <c r="DC17" s="104"/>
      <c r="DD17" s="104"/>
      <c r="DE17" s="104"/>
      <c r="DF17" s="104"/>
    </row>
    <row r="18" spans="1:110" ht="24" customHeight="1">
      <c r="A18" s="330">
        <v>259583</v>
      </c>
      <c r="B18" s="331"/>
      <c r="C18" s="88"/>
      <c r="D18" s="294" t="s">
        <v>98</v>
      </c>
      <c r="E18" s="295">
        <v>0</v>
      </c>
      <c r="F18" s="429" t="s">
        <v>2254</v>
      </c>
      <c r="G18" s="430" t="s">
        <v>2131</v>
      </c>
      <c r="H18" s="431" t="s">
        <v>98</v>
      </c>
      <c r="I18" s="431" t="s">
        <v>98</v>
      </c>
      <c r="J18" s="89">
        <v>0</v>
      </c>
      <c r="K18" s="430" t="s">
        <v>109</v>
      </c>
      <c r="L18" s="90">
        <f t="shared" si="0"/>
        <v>0</v>
      </c>
      <c r="M18" s="91"/>
      <c r="N18" s="92"/>
      <c r="O18" s="93"/>
      <c r="P18" s="90">
        <f t="shared" si="1"/>
        <v>0</v>
      </c>
      <c r="Q18" s="91"/>
      <c r="R18" s="92"/>
      <c r="S18" s="93"/>
      <c r="T18" s="90">
        <f t="shared" si="2"/>
        <v>0</v>
      </c>
      <c r="U18" s="91"/>
      <c r="V18" s="92"/>
      <c r="W18" s="93"/>
      <c r="X18" s="90">
        <f t="shared" si="3"/>
        <v>0</v>
      </c>
      <c r="Y18" s="91"/>
      <c r="Z18" s="92"/>
      <c r="AA18" s="93"/>
      <c r="AB18" s="90">
        <f t="shared" si="4"/>
        <v>0</v>
      </c>
      <c r="AC18" s="91"/>
      <c r="AD18" s="92"/>
      <c r="AE18" s="93"/>
      <c r="AF18" s="90">
        <f t="shared" si="5"/>
        <v>0</v>
      </c>
      <c r="AG18" s="91"/>
      <c r="AH18" s="92"/>
      <c r="AI18" s="93"/>
      <c r="AJ18" s="90">
        <f t="shared" si="6"/>
        <v>0</v>
      </c>
      <c r="AK18" s="91"/>
      <c r="AL18" s="92"/>
      <c r="AM18" s="93"/>
      <c r="AN18" s="90">
        <f t="shared" si="7"/>
        <v>0</v>
      </c>
      <c r="AO18" s="91"/>
      <c r="AP18" s="92"/>
      <c r="AQ18" s="93"/>
      <c r="AR18" s="90">
        <f t="shared" si="8"/>
        <v>0</v>
      </c>
      <c r="AS18" s="91"/>
      <c r="AT18" s="92"/>
      <c r="AU18" s="93"/>
      <c r="AV18" s="90">
        <f t="shared" si="9"/>
        <v>0</v>
      </c>
      <c r="AW18" s="91"/>
      <c r="AX18" s="92"/>
      <c r="AY18" s="93"/>
      <c r="AZ18" s="90">
        <f t="shared" si="10"/>
        <v>0</v>
      </c>
      <c r="BA18" s="91"/>
      <c r="BB18" s="92"/>
      <c r="BC18" s="93"/>
      <c r="BD18" s="90">
        <f t="shared" si="11"/>
        <v>1</v>
      </c>
      <c r="BE18" s="91"/>
      <c r="BF18" s="92"/>
      <c r="BG18" s="93"/>
      <c r="BH18" s="90">
        <f t="shared" si="12"/>
        <v>0</v>
      </c>
      <c r="BI18" s="91"/>
      <c r="BJ18" s="92"/>
      <c r="BK18" s="93"/>
      <c r="BL18" s="90">
        <f t="shared" si="13"/>
        <v>0</v>
      </c>
      <c r="BM18" s="91"/>
      <c r="BN18" s="92"/>
      <c r="BO18" s="93"/>
      <c r="BP18" s="90">
        <f t="shared" si="14"/>
        <v>0</v>
      </c>
      <c r="BQ18" s="91"/>
      <c r="BR18" s="92"/>
      <c r="BS18" s="93"/>
      <c r="BT18" s="90">
        <f t="shared" si="15"/>
        <v>0</v>
      </c>
      <c r="BU18" s="91"/>
      <c r="BV18" s="92"/>
      <c r="BW18" s="93"/>
      <c r="BX18" s="90">
        <f t="shared" si="16"/>
        <v>0</v>
      </c>
      <c r="BY18" s="91"/>
      <c r="BZ18" s="92"/>
      <c r="CA18" s="93"/>
      <c r="CB18" s="90">
        <f t="shared" si="17"/>
        <v>0</v>
      </c>
      <c r="CC18" s="91"/>
      <c r="CD18" s="92"/>
      <c r="CE18" s="93"/>
      <c r="CF18" s="90">
        <f t="shared" si="18"/>
        <v>0</v>
      </c>
      <c r="CG18" s="91"/>
      <c r="CH18" s="92"/>
      <c r="CI18" s="93"/>
      <c r="CJ18" s="505"/>
      <c r="CK18" s="505"/>
      <c r="CL18" s="211"/>
      <c r="CM18" s="510"/>
      <c r="CN18" s="505"/>
      <c r="CO18" s="101"/>
      <c r="CP18" s="97"/>
      <c r="CQ18" s="97"/>
      <c r="CR18" s="97"/>
      <c r="CS18" s="97"/>
      <c r="CT18" s="97"/>
      <c r="CU18" s="97"/>
      <c r="CV18" s="104"/>
      <c r="CW18" s="104"/>
      <c r="CX18" s="104"/>
      <c r="CY18" s="104"/>
      <c r="CZ18" s="104"/>
      <c r="DA18" s="104"/>
      <c r="DB18" s="104"/>
      <c r="DC18" s="104"/>
      <c r="DD18" s="104"/>
      <c r="DE18" s="104"/>
      <c r="DF18" s="104"/>
    </row>
    <row r="19" spans="1:110" ht="24" customHeight="1">
      <c r="A19" s="330">
        <v>259555</v>
      </c>
      <c r="B19" s="331"/>
      <c r="C19" s="88"/>
      <c r="D19" s="294" t="s">
        <v>98</v>
      </c>
      <c r="E19" s="295">
        <v>0</v>
      </c>
      <c r="F19" s="429" t="s">
        <v>2255</v>
      </c>
      <c r="G19" s="430" t="s">
        <v>2139</v>
      </c>
      <c r="H19" s="431" t="s">
        <v>98</v>
      </c>
      <c r="I19" s="431" t="s">
        <v>98</v>
      </c>
      <c r="J19" s="89">
        <v>0</v>
      </c>
      <c r="K19" s="430" t="s">
        <v>109</v>
      </c>
      <c r="L19" s="90">
        <f t="shared" si="0"/>
        <v>0</v>
      </c>
      <c r="M19" s="91"/>
      <c r="N19" s="92"/>
      <c r="O19" s="93"/>
      <c r="P19" s="90">
        <f t="shared" si="1"/>
        <v>0</v>
      </c>
      <c r="Q19" s="91"/>
      <c r="R19" s="92"/>
      <c r="S19" s="93"/>
      <c r="T19" s="90">
        <f t="shared" si="2"/>
        <v>0</v>
      </c>
      <c r="U19" s="91"/>
      <c r="V19" s="92"/>
      <c r="W19" s="93"/>
      <c r="X19" s="90">
        <f t="shared" si="3"/>
        <v>0</v>
      </c>
      <c r="Y19" s="91"/>
      <c r="Z19" s="92"/>
      <c r="AA19" s="93"/>
      <c r="AB19" s="90">
        <f t="shared" si="4"/>
        <v>0</v>
      </c>
      <c r="AC19" s="91"/>
      <c r="AD19" s="92"/>
      <c r="AE19" s="93"/>
      <c r="AF19" s="90">
        <f t="shared" si="5"/>
        <v>0</v>
      </c>
      <c r="AG19" s="91"/>
      <c r="AH19" s="92"/>
      <c r="AI19" s="93"/>
      <c r="AJ19" s="90">
        <f t="shared" si="6"/>
        <v>0</v>
      </c>
      <c r="AK19" s="91"/>
      <c r="AL19" s="92"/>
      <c r="AM19" s="93"/>
      <c r="AN19" s="90">
        <f t="shared" si="7"/>
        <v>0</v>
      </c>
      <c r="AO19" s="91"/>
      <c r="AP19" s="92"/>
      <c r="AQ19" s="93"/>
      <c r="AR19" s="90">
        <f t="shared" si="8"/>
        <v>0</v>
      </c>
      <c r="AS19" s="91"/>
      <c r="AT19" s="92"/>
      <c r="AU19" s="93"/>
      <c r="AV19" s="90">
        <f t="shared" si="9"/>
        <v>0</v>
      </c>
      <c r="AW19" s="91"/>
      <c r="AX19" s="92"/>
      <c r="AY19" s="93"/>
      <c r="AZ19" s="90">
        <f t="shared" si="10"/>
        <v>0</v>
      </c>
      <c r="BA19" s="91"/>
      <c r="BB19" s="92"/>
      <c r="BC19" s="93"/>
      <c r="BD19" s="90">
        <f t="shared" si="11"/>
        <v>0</v>
      </c>
      <c r="BE19" s="91"/>
      <c r="BF19" s="92"/>
      <c r="BG19" s="93"/>
      <c r="BH19" s="90">
        <f t="shared" si="12"/>
        <v>1</v>
      </c>
      <c r="BI19" s="91"/>
      <c r="BJ19" s="92"/>
      <c r="BK19" s="93"/>
      <c r="BL19" s="90">
        <f t="shared" si="13"/>
        <v>0</v>
      </c>
      <c r="BM19" s="91"/>
      <c r="BN19" s="92"/>
      <c r="BO19" s="93"/>
      <c r="BP19" s="90">
        <f t="shared" si="14"/>
        <v>0</v>
      </c>
      <c r="BQ19" s="91"/>
      <c r="BR19" s="92"/>
      <c r="BS19" s="93"/>
      <c r="BT19" s="90">
        <f t="shared" si="15"/>
        <v>0</v>
      </c>
      <c r="BU19" s="91"/>
      <c r="BV19" s="92"/>
      <c r="BW19" s="93"/>
      <c r="BX19" s="90">
        <f t="shared" si="16"/>
        <v>0</v>
      </c>
      <c r="BY19" s="91"/>
      <c r="BZ19" s="92"/>
      <c r="CA19" s="93"/>
      <c r="CB19" s="90">
        <f t="shared" si="17"/>
        <v>0</v>
      </c>
      <c r="CC19" s="91"/>
      <c r="CD19" s="92"/>
      <c r="CE19" s="93"/>
      <c r="CF19" s="90">
        <f t="shared" si="18"/>
        <v>0</v>
      </c>
      <c r="CG19" s="91"/>
      <c r="CH19" s="92"/>
      <c r="CI19" s="93"/>
      <c r="CJ19" s="505"/>
      <c r="CK19" s="505"/>
      <c r="CL19" s="211"/>
      <c r="CM19" s="510"/>
      <c r="CN19" s="505"/>
      <c r="CO19" s="101"/>
      <c r="CP19" s="97"/>
      <c r="CQ19" s="97"/>
      <c r="CR19" s="97"/>
      <c r="CS19" s="97"/>
      <c r="CT19" s="97"/>
      <c r="CU19" s="97"/>
      <c r="CV19" s="104"/>
      <c r="CW19" s="104"/>
      <c r="CX19" s="104"/>
      <c r="CY19" s="104"/>
      <c r="CZ19" s="104"/>
      <c r="DA19" s="104"/>
      <c r="DB19" s="104"/>
      <c r="DC19" s="104"/>
      <c r="DD19" s="104"/>
      <c r="DE19" s="104"/>
      <c r="DF19" s="104"/>
    </row>
    <row r="20" spans="1:110" ht="24" customHeight="1">
      <c r="A20" s="330">
        <v>259559</v>
      </c>
      <c r="B20" s="331"/>
      <c r="C20" s="88"/>
      <c r="D20" s="294" t="s">
        <v>98</v>
      </c>
      <c r="E20" s="295">
        <v>0</v>
      </c>
      <c r="F20" s="429" t="s">
        <v>2256</v>
      </c>
      <c r="G20" s="430" t="s">
        <v>336</v>
      </c>
      <c r="H20" s="431" t="s">
        <v>98</v>
      </c>
      <c r="I20" s="431" t="s">
        <v>98</v>
      </c>
      <c r="J20" s="89">
        <v>0</v>
      </c>
      <c r="K20" s="430" t="s">
        <v>109</v>
      </c>
      <c r="L20" s="90">
        <f t="shared" si="0"/>
        <v>0</v>
      </c>
      <c r="M20" s="91"/>
      <c r="N20" s="92"/>
      <c r="O20" s="93"/>
      <c r="P20" s="90">
        <f t="shared" si="1"/>
        <v>0</v>
      </c>
      <c r="Q20" s="91"/>
      <c r="R20" s="92"/>
      <c r="S20" s="93"/>
      <c r="T20" s="90">
        <f t="shared" si="2"/>
        <v>0</v>
      </c>
      <c r="U20" s="91"/>
      <c r="V20" s="92"/>
      <c r="W20" s="93"/>
      <c r="X20" s="90">
        <f t="shared" si="3"/>
        <v>0</v>
      </c>
      <c r="Y20" s="91"/>
      <c r="Z20" s="92"/>
      <c r="AA20" s="93"/>
      <c r="AB20" s="90">
        <f t="shared" si="4"/>
        <v>0</v>
      </c>
      <c r="AC20" s="91"/>
      <c r="AD20" s="92"/>
      <c r="AE20" s="93"/>
      <c r="AF20" s="90">
        <f t="shared" si="5"/>
        <v>0</v>
      </c>
      <c r="AG20" s="91"/>
      <c r="AH20" s="92"/>
      <c r="AI20" s="93"/>
      <c r="AJ20" s="90">
        <f t="shared" si="6"/>
        <v>0</v>
      </c>
      <c r="AK20" s="91"/>
      <c r="AL20" s="92"/>
      <c r="AM20" s="93"/>
      <c r="AN20" s="90">
        <f t="shared" si="7"/>
        <v>0</v>
      </c>
      <c r="AO20" s="91"/>
      <c r="AP20" s="92"/>
      <c r="AQ20" s="93"/>
      <c r="AR20" s="90">
        <f t="shared" si="8"/>
        <v>0</v>
      </c>
      <c r="AS20" s="91"/>
      <c r="AT20" s="92"/>
      <c r="AU20" s="93"/>
      <c r="AV20" s="90">
        <f t="shared" si="9"/>
        <v>0</v>
      </c>
      <c r="AW20" s="91"/>
      <c r="AX20" s="92"/>
      <c r="AY20" s="93"/>
      <c r="AZ20" s="90">
        <f t="shared" si="10"/>
        <v>0</v>
      </c>
      <c r="BA20" s="91"/>
      <c r="BB20" s="92"/>
      <c r="BC20" s="93"/>
      <c r="BD20" s="90">
        <f t="shared" si="11"/>
        <v>0</v>
      </c>
      <c r="BE20" s="91"/>
      <c r="BF20" s="92"/>
      <c r="BG20" s="93"/>
      <c r="BH20" s="90">
        <f t="shared" si="12"/>
        <v>0</v>
      </c>
      <c r="BI20" s="91"/>
      <c r="BJ20" s="92"/>
      <c r="BK20" s="93"/>
      <c r="BL20" s="90">
        <f t="shared" si="13"/>
        <v>1</v>
      </c>
      <c r="BM20" s="91"/>
      <c r="BN20" s="92"/>
      <c r="BO20" s="93"/>
      <c r="BP20" s="90">
        <f t="shared" si="14"/>
        <v>0</v>
      </c>
      <c r="BQ20" s="91"/>
      <c r="BR20" s="92"/>
      <c r="BS20" s="93"/>
      <c r="BT20" s="90">
        <f t="shared" si="15"/>
        <v>0</v>
      </c>
      <c r="BU20" s="91"/>
      <c r="BV20" s="92"/>
      <c r="BW20" s="93"/>
      <c r="BX20" s="90">
        <f t="shared" si="16"/>
        <v>0</v>
      </c>
      <c r="BY20" s="91"/>
      <c r="BZ20" s="92"/>
      <c r="CA20" s="93"/>
      <c r="CB20" s="90">
        <f t="shared" si="17"/>
        <v>0</v>
      </c>
      <c r="CC20" s="91"/>
      <c r="CD20" s="92"/>
      <c r="CE20" s="93"/>
      <c r="CF20" s="90">
        <f t="shared" si="18"/>
        <v>0</v>
      </c>
      <c r="CG20" s="91"/>
      <c r="CH20" s="92"/>
      <c r="CI20" s="93"/>
      <c r="CJ20" s="505"/>
      <c r="CK20" s="505"/>
      <c r="CL20" s="211"/>
      <c r="CM20" s="510"/>
      <c r="CN20" s="505"/>
      <c r="CO20" s="101"/>
      <c r="CP20" s="97"/>
      <c r="CQ20" s="97"/>
      <c r="CR20" s="97"/>
      <c r="CS20" s="97"/>
      <c r="CT20" s="97"/>
      <c r="CU20" s="97"/>
      <c r="CV20" s="104"/>
      <c r="CW20" s="104"/>
      <c r="CX20" s="104"/>
      <c r="CY20" s="104"/>
      <c r="CZ20" s="104"/>
      <c r="DA20" s="104"/>
      <c r="DB20" s="104"/>
      <c r="DC20" s="104"/>
      <c r="DD20" s="104"/>
      <c r="DE20" s="104"/>
      <c r="DF20" s="104"/>
    </row>
    <row r="21" spans="1:110" ht="24" customHeight="1">
      <c r="A21" s="330">
        <v>259619</v>
      </c>
      <c r="B21" s="331"/>
      <c r="C21" s="88"/>
      <c r="D21" s="294" t="s">
        <v>98</v>
      </c>
      <c r="E21" s="295">
        <v>0</v>
      </c>
      <c r="F21" s="429" t="s">
        <v>2257</v>
      </c>
      <c r="G21" s="430" t="s">
        <v>2144</v>
      </c>
      <c r="H21" s="431" t="s">
        <v>98</v>
      </c>
      <c r="I21" s="431" t="s">
        <v>98</v>
      </c>
      <c r="J21" s="89">
        <v>0</v>
      </c>
      <c r="K21" s="430" t="s">
        <v>109</v>
      </c>
      <c r="L21" s="90">
        <f t="shared" si="0"/>
        <v>0</v>
      </c>
      <c r="M21" s="91"/>
      <c r="N21" s="92"/>
      <c r="O21" s="93"/>
      <c r="P21" s="90">
        <f t="shared" si="1"/>
        <v>0</v>
      </c>
      <c r="Q21" s="91"/>
      <c r="R21" s="92"/>
      <c r="S21" s="93"/>
      <c r="T21" s="90">
        <f t="shared" si="2"/>
        <v>0</v>
      </c>
      <c r="U21" s="91"/>
      <c r="V21" s="92"/>
      <c r="W21" s="93"/>
      <c r="X21" s="90">
        <f t="shared" si="3"/>
        <v>0</v>
      </c>
      <c r="Y21" s="91"/>
      <c r="Z21" s="92"/>
      <c r="AA21" s="93"/>
      <c r="AB21" s="90">
        <f t="shared" si="4"/>
        <v>0</v>
      </c>
      <c r="AC21" s="91"/>
      <c r="AD21" s="92"/>
      <c r="AE21" s="93"/>
      <c r="AF21" s="90">
        <f t="shared" si="5"/>
        <v>0</v>
      </c>
      <c r="AG21" s="91"/>
      <c r="AH21" s="92"/>
      <c r="AI21" s="93"/>
      <c r="AJ21" s="90">
        <f t="shared" si="6"/>
        <v>0</v>
      </c>
      <c r="AK21" s="91"/>
      <c r="AL21" s="92"/>
      <c r="AM21" s="93"/>
      <c r="AN21" s="90">
        <f t="shared" si="7"/>
        <v>0</v>
      </c>
      <c r="AO21" s="91"/>
      <c r="AP21" s="92"/>
      <c r="AQ21" s="93"/>
      <c r="AR21" s="90">
        <f t="shared" si="8"/>
        <v>0</v>
      </c>
      <c r="AS21" s="91"/>
      <c r="AT21" s="92"/>
      <c r="AU21" s="93"/>
      <c r="AV21" s="90">
        <f t="shared" si="9"/>
        <v>0</v>
      </c>
      <c r="AW21" s="91"/>
      <c r="AX21" s="92"/>
      <c r="AY21" s="93"/>
      <c r="AZ21" s="90">
        <f t="shared" si="10"/>
        <v>0</v>
      </c>
      <c r="BA21" s="91"/>
      <c r="BB21" s="92"/>
      <c r="BC21" s="93"/>
      <c r="BD21" s="90">
        <f t="shared" si="11"/>
        <v>0</v>
      </c>
      <c r="BE21" s="91"/>
      <c r="BF21" s="92"/>
      <c r="BG21" s="93"/>
      <c r="BH21" s="90">
        <f t="shared" si="12"/>
        <v>0</v>
      </c>
      <c r="BI21" s="91"/>
      <c r="BJ21" s="92"/>
      <c r="BK21" s="93"/>
      <c r="BL21" s="90">
        <f t="shared" si="13"/>
        <v>0</v>
      </c>
      <c r="BM21" s="91"/>
      <c r="BN21" s="92"/>
      <c r="BO21" s="93"/>
      <c r="BP21" s="90">
        <f t="shared" si="14"/>
        <v>1</v>
      </c>
      <c r="BQ21" s="91"/>
      <c r="BR21" s="92"/>
      <c r="BS21" s="93"/>
      <c r="BT21" s="90">
        <f t="shared" si="15"/>
        <v>0</v>
      </c>
      <c r="BU21" s="91"/>
      <c r="BV21" s="92"/>
      <c r="BW21" s="93"/>
      <c r="BX21" s="90">
        <f t="shared" si="16"/>
        <v>0</v>
      </c>
      <c r="BY21" s="91"/>
      <c r="BZ21" s="92"/>
      <c r="CA21" s="93"/>
      <c r="CB21" s="90">
        <f t="shared" si="17"/>
        <v>0</v>
      </c>
      <c r="CC21" s="91"/>
      <c r="CD21" s="92"/>
      <c r="CE21" s="93"/>
      <c r="CF21" s="90">
        <f t="shared" si="18"/>
        <v>0</v>
      </c>
      <c r="CG21" s="91"/>
      <c r="CH21" s="92"/>
      <c r="CI21" s="93"/>
      <c r="CJ21" s="505"/>
      <c r="CK21" s="505"/>
      <c r="CL21" s="211"/>
      <c r="CM21" s="510"/>
      <c r="CN21" s="505"/>
      <c r="CO21" s="101"/>
      <c r="CP21" s="97"/>
      <c r="CQ21" s="97"/>
      <c r="CR21" s="97"/>
      <c r="CS21" s="97"/>
      <c r="CT21" s="97"/>
      <c r="CU21" s="97"/>
      <c r="CV21" s="104"/>
      <c r="CW21" s="104"/>
      <c r="CX21" s="104"/>
      <c r="CY21" s="104"/>
      <c r="CZ21" s="104"/>
      <c r="DA21" s="104"/>
      <c r="DB21" s="104"/>
      <c r="DC21" s="104"/>
      <c r="DD21" s="104"/>
      <c r="DE21" s="104"/>
      <c r="DF21" s="104"/>
    </row>
    <row r="22" spans="1:110" ht="24" customHeight="1">
      <c r="A22" s="330">
        <v>259149</v>
      </c>
      <c r="B22" s="331"/>
      <c r="C22" s="88"/>
      <c r="D22" s="294" t="s">
        <v>98</v>
      </c>
      <c r="E22" s="295">
        <v>0</v>
      </c>
      <c r="F22" s="429" t="s">
        <v>2258</v>
      </c>
      <c r="G22" s="430" t="s">
        <v>2147</v>
      </c>
      <c r="H22" s="431" t="s">
        <v>98</v>
      </c>
      <c r="I22" s="431" t="s">
        <v>98</v>
      </c>
      <c r="J22" s="89">
        <v>0</v>
      </c>
      <c r="K22" s="430" t="s">
        <v>109</v>
      </c>
      <c r="L22" s="90">
        <f t="shared" si="0"/>
        <v>0</v>
      </c>
      <c r="M22" s="91"/>
      <c r="N22" s="92"/>
      <c r="O22" s="93"/>
      <c r="P22" s="90">
        <f t="shared" si="1"/>
        <v>0</v>
      </c>
      <c r="Q22" s="91"/>
      <c r="R22" s="92"/>
      <c r="S22" s="93"/>
      <c r="T22" s="90">
        <f t="shared" si="2"/>
        <v>0</v>
      </c>
      <c r="U22" s="91"/>
      <c r="V22" s="92"/>
      <c r="W22" s="93"/>
      <c r="X22" s="90">
        <f t="shared" si="3"/>
        <v>0</v>
      </c>
      <c r="Y22" s="91"/>
      <c r="Z22" s="92"/>
      <c r="AA22" s="93"/>
      <c r="AB22" s="90">
        <f t="shared" si="4"/>
        <v>0</v>
      </c>
      <c r="AC22" s="91"/>
      <c r="AD22" s="92"/>
      <c r="AE22" s="93"/>
      <c r="AF22" s="90">
        <f t="shared" si="5"/>
        <v>0</v>
      </c>
      <c r="AG22" s="91"/>
      <c r="AH22" s="92"/>
      <c r="AI22" s="93"/>
      <c r="AJ22" s="90">
        <f t="shared" si="6"/>
        <v>0</v>
      </c>
      <c r="AK22" s="91"/>
      <c r="AL22" s="92"/>
      <c r="AM22" s="93"/>
      <c r="AN22" s="90">
        <f t="shared" si="7"/>
        <v>0</v>
      </c>
      <c r="AO22" s="91"/>
      <c r="AP22" s="92"/>
      <c r="AQ22" s="93"/>
      <c r="AR22" s="90">
        <f t="shared" si="8"/>
        <v>0</v>
      </c>
      <c r="AS22" s="91"/>
      <c r="AT22" s="92"/>
      <c r="AU22" s="93"/>
      <c r="AV22" s="90">
        <f t="shared" si="9"/>
        <v>0</v>
      </c>
      <c r="AW22" s="91"/>
      <c r="AX22" s="92"/>
      <c r="AY22" s="93"/>
      <c r="AZ22" s="90">
        <f t="shared" si="10"/>
        <v>0</v>
      </c>
      <c r="BA22" s="91"/>
      <c r="BB22" s="92"/>
      <c r="BC22" s="93"/>
      <c r="BD22" s="90">
        <f t="shared" si="11"/>
        <v>0</v>
      </c>
      <c r="BE22" s="91"/>
      <c r="BF22" s="92"/>
      <c r="BG22" s="93"/>
      <c r="BH22" s="90">
        <f t="shared" si="12"/>
        <v>0</v>
      </c>
      <c r="BI22" s="91"/>
      <c r="BJ22" s="92"/>
      <c r="BK22" s="93"/>
      <c r="BL22" s="90">
        <f t="shared" si="13"/>
        <v>0</v>
      </c>
      <c r="BM22" s="91"/>
      <c r="BN22" s="92"/>
      <c r="BO22" s="93"/>
      <c r="BP22" s="90">
        <f t="shared" si="14"/>
        <v>0</v>
      </c>
      <c r="BQ22" s="91"/>
      <c r="BR22" s="92"/>
      <c r="BS22" s="93"/>
      <c r="BT22" s="90">
        <f t="shared" si="15"/>
        <v>1</v>
      </c>
      <c r="BU22" s="91"/>
      <c r="BV22" s="92"/>
      <c r="BW22" s="93"/>
      <c r="BX22" s="90">
        <f t="shared" si="16"/>
        <v>0</v>
      </c>
      <c r="BY22" s="91"/>
      <c r="BZ22" s="92"/>
      <c r="CA22" s="93"/>
      <c r="CB22" s="90">
        <f t="shared" si="17"/>
        <v>0</v>
      </c>
      <c r="CC22" s="91"/>
      <c r="CD22" s="92"/>
      <c r="CE22" s="93"/>
      <c r="CF22" s="90">
        <f t="shared" si="18"/>
        <v>0</v>
      </c>
      <c r="CG22" s="91"/>
      <c r="CH22" s="92"/>
      <c r="CI22" s="93"/>
      <c r="CJ22" s="505"/>
      <c r="CK22" s="505"/>
      <c r="CL22" s="211"/>
      <c r="CM22" s="510"/>
      <c r="CN22" s="505"/>
      <c r="CO22" s="101"/>
      <c r="CP22" s="97"/>
      <c r="CQ22" s="97"/>
      <c r="CR22" s="97"/>
      <c r="CS22" s="97"/>
      <c r="CT22" s="97"/>
      <c r="CU22" s="97"/>
      <c r="CV22" s="104"/>
      <c r="CW22" s="104"/>
      <c r="CX22" s="104"/>
      <c r="CY22" s="104"/>
      <c r="CZ22" s="104"/>
      <c r="DA22" s="104"/>
      <c r="DB22" s="104"/>
      <c r="DC22" s="104"/>
      <c r="DD22" s="104"/>
      <c r="DE22" s="104"/>
      <c r="DF22" s="104"/>
    </row>
    <row r="23" spans="1:110" ht="24" customHeight="1">
      <c r="A23" s="330">
        <v>259609</v>
      </c>
      <c r="B23" s="331"/>
      <c r="C23" s="88"/>
      <c r="D23" s="294" t="s">
        <v>98</v>
      </c>
      <c r="E23" s="295">
        <v>0</v>
      </c>
      <c r="F23" s="429" t="s">
        <v>2259</v>
      </c>
      <c r="G23" s="430" t="s">
        <v>2149</v>
      </c>
      <c r="H23" s="431" t="s">
        <v>98</v>
      </c>
      <c r="I23" s="431" t="s">
        <v>98</v>
      </c>
      <c r="J23" s="89">
        <v>0</v>
      </c>
      <c r="K23" s="430" t="s">
        <v>109</v>
      </c>
      <c r="L23" s="90">
        <f t="shared" si="0"/>
        <v>0</v>
      </c>
      <c r="M23" s="91"/>
      <c r="N23" s="92"/>
      <c r="O23" s="93"/>
      <c r="P23" s="90">
        <f t="shared" si="1"/>
        <v>0</v>
      </c>
      <c r="Q23" s="91"/>
      <c r="R23" s="92"/>
      <c r="S23" s="93"/>
      <c r="T23" s="90">
        <f t="shared" si="2"/>
        <v>0</v>
      </c>
      <c r="U23" s="91"/>
      <c r="V23" s="92"/>
      <c r="W23" s="93"/>
      <c r="X23" s="90">
        <f t="shared" si="3"/>
        <v>0</v>
      </c>
      <c r="Y23" s="91"/>
      <c r="Z23" s="92"/>
      <c r="AA23" s="93"/>
      <c r="AB23" s="90">
        <f t="shared" si="4"/>
        <v>0</v>
      </c>
      <c r="AC23" s="91"/>
      <c r="AD23" s="92"/>
      <c r="AE23" s="93"/>
      <c r="AF23" s="90">
        <f t="shared" si="5"/>
        <v>0</v>
      </c>
      <c r="AG23" s="91"/>
      <c r="AH23" s="92"/>
      <c r="AI23" s="93"/>
      <c r="AJ23" s="90">
        <f t="shared" si="6"/>
        <v>0</v>
      </c>
      <c r="AK23" s="91"/>
      <c r="AL23" s="92"/>
      <c r="AM23" s="93"/>
      <c r="AN23" s="90">
        <f t="shared" si="7"/>
        <v>0</v>
      </c>
      <c r="AO23" s="91"/>
      <c r="AP23" s="92"/>
      <c r="AQ23" s="93"/>
      <c r="AR23" s="90">
        <f t="shared" si="8"/>
        <v>0</v>
      </c>
      <c r="AS23" s="91"/>
      <c r="AT23" s="92"/>
      <c r="AU23" s="93"/>
      <c r="AV23" s="90">
        <f t="shared" si="9"/>
        <v>0</v>
      </c>
      <c r="AW23" s="91"/>
      <c r="AX23" s="92"/>
      <c r="AY23" s="93"/>
      <c r="AZ23" s="90">
        <f t="shared" si="10"/>
        <v>0</v>
      </c>
      <c r="BA23" s="91"/>
      <c r="BB23" s="92"/>
      <c r="BC23" s="93"/>
      <c r="BD23" s="90">
        <f t="shared" si="11"/>
        <v>0</v>
      </c>
      <c r="BE23" s="91"/>
      <c r="BF23" s="92"/>
      <c r="BG23" s="93"/>
      <c r="BH23" s="90">
        <f t="shared" si="12"/>
        <v>0</v>
      </c>
      <c r="BI23" s="91"/>
      <c r="BJ23" s="92"/>
      <c r="BK23" s="93"/>
      <c r="BL23" s="90">
        <f t="shared" si="13"/>
        <v>0</v>
      </c>
      <c r="BM23" s="91"/>
      <c r="BN23" s="92"/>
      <c r="BO23" s="93"/>
      <c r="BP23" s="90">
        <f t="shared" si="14"/>
        <v>0</v>
      </c>
      <c r="BQ23" s="91"/>
      <c r="BR23" s="92"/>
      <c r="BS23" s="93"/>
      <c r="BT23" s="90">
        <f t="shared" si="15"/>
        <v>0</v>
      </c>
      <c r="BU23" s="91"/>
      <c r="BV23" s="92"/>
      <c r="BW23" s="93"/>
      <c r="BX23" s="90">
        <f t="shared" si="16"/>
        <v>1</v>
      </c>
      <c r="BY23" s="91"/>
      <c r="BZ23" s="92"/>
      <c r="CA23" s="93"/>
      <c r="CB23" s="90">
        <f t="shared" si="17"/>
        <v>0</v>
      </c>
      <c r="CC23" s="91"/>
      <c r="CD23" s="92"/>
      <c r="CE23" s="93"/>
      <c r="CF23" s="90">
        <f t="shared" si="18"/>
        <v>0</v>
      </c>
      <c r="CG23" s="91"/>
      <c r="CH23" s="92"/>
      <c r="CI23" s="93"/>
      <c r="CJ23" s="505"/>
      <c r="CK23" s="505"/>
      <c r="CL23" s="211"/>
      <c r="CM23" s="510"/>
      <c r="CN23" s="505"/>
      <c r="CO23" s="101"/>
      <c r="CP23" s="97"/>
      <c r="CQ23" s="97"/>
      <c r="CR23" s="97"/>
      <c r="CS23" s="97"/>
      <c r="CT23" s="97"/>
      <c r="CU23" s="97"/>
      <c r="CV23" s="104"/>
      <c r="CW23" s="104"/>
      <c r="CX23" s="104"/>
      <c r="CY23" s="104"/>
      <c r="CZ23" s="104"/>
      <c r="DA23" s="104"/>
      <c r="DB23" s="104"/>
      <c r="DC23" s="104"/>
      <c r="DD23" s="104"/>
      <c r="DE23" s="104"/>
      <c r="DF23" s="104"/>
    </row>
    <row r="24" spans="1:110" ht="24" customHeight="1">
      <c r="A24" s="330">
        <v>259677</v>
      </c>
      <c r="B24" s="331"/>
      <c r="C24" s="88"/>
      <c r="D24" s="294" t="s">
        <v>98</v>
      </c>
      <c r="E24" s="295">
        <v>0</v>
      </c>
      <c r="F24" s="429" t="s">
        <v>2260</v>
      </c>
      <c r="G24" s="430" t="s">
        <v>2154</v>
      </c>
      <c r="H24" s="431" t="s">
        <v>98</v>
      </c>
      <c r="I24" s="431" t="s">
        <v>98</v>
      </c>
      <c r="J24" s="89">
        <v>0</v>
      </c>
      <c r="K24" s="430" t="s">
        <v>109</v>
      </c>
      <c r="L24" s="90">
        <f t="shared" si="0"/>
        <v>0</v>
      </c>
      <c r="M24" s="91"/>
      <c r="N24" s="92"/>
      <c r="O24" s="93"/>
      <c r="P24" s="90">
        <f t="shared" si="1"/>
        <v>0</v>
      </c>
      <c r="Q24" s="91"/>
      <c r="R24" s="92"/>
      <c r="S24" s="93"/>
      <c r="T24" s="90">
        <f t="shared" si="2"/>
        <v>0</v>
      </c>
      <c r="U24" s="91"/>
      <c r="V24" s="92"/>
      <c r="W24" s="93"/>
      <c r="X24" s="90">
        <f t="shared" si="3"/>
        <v>0</v>
      </c>
      <c r="Y24" s="91"/>
      <c r="Z24" s="92"/>
      <c r="AA24" s="93"/>
      <c r="AB24" s="90">
        <f t="shared" si="4"/>
        <v>0</v>
      </c>
      <c r="AC24" s="91"/>
      <c r="AD24" s="92"/>
      <c r="AE24" s="93"/>
      <c r="AF24" s="90">
        <f t="shared" si="5"/>
        <v>0</v>
      </c>
      <c r="AG24" s="91"/>
      <c r="AH24" s="92"/>
      <c r="AI24" s="93"/>
      <c r="AJ24" s="90">
        <f t="shared" si="6"/>
        <v>0</v>
      </c>
      <c r="AK24" s="91"/>
      <c r="AL24" s="92"/>
      <c r="AM24" s="93"/>
      <c r="AN24" s="90">
        <f t="shared" si="7"/>
        <v>0</v>
      </c>
      <c r="AO24" s="91"/>
      <c r="AP24" s="92"/>
      <c r="AQ24" s="93"/>
      <c r="AR24" s="90">
        <f t="shared" si="8"/>
        <v>0</v>
      </c>
      <c r="AS24" s="91"/>
      <c r="AT24" s="92"/>
      <c r="AU24" s="93"/>
      <c r="AV24" s="90">
        <f t="shared" si="9"/>
        <v>0</v>
      </c>
      <c r="AW24" s="91"/>
      <c r="AX24" s="92"/>
      <c r="AY24" s="93"/>
      <c r="AZ24" s="90">
        <f t="shared" si="10"/>
        <v>0</v>
      </c>
      <c r="BA24" s="91"/>
      <c r="BB24" s="92"/>
      <c r="BC24" s="93"/>
      <c r="BD24" s="90">
        <f t="shared" si="11"/>
        <v>0</v>
      </c>
      <c r="BE24" s="91"/>
      <c r="BF24" s="92"/>
      <c r="BG24" s="93"/>
      <c r="BH24" s="90">
        <f t="shared" si="12"/>
        <v>0</v>
      </c>
      <c r="BI24" s="91"/>
      <c r="BJ24" s="92"/>
      <c r="BK24" s="93"/>
      <c r="BL24" s="90">
        <f t="shared" si="13"/>
        <v>0</v>
      </c>
      <c r="BM24" s="91"/>
      <c r="BN24" s="92"/>
      <c r="BO24" s="93"/>
      <c r="BP24" s="90">
        <f t="shared" si="14"/>
        <v>0</v>
      </c>
      <c r="BQ24" s="91"/>
      <c r="BR24" s="92"/>
      <c r="BS24" s="93"/>
      <c r="BT24" s="90">
        <f t="shared" si="15"/>
        <v>0</v>
      </c>
      <c r="BU24" s="91"/>
      <c r="BV24" s="92"/>
      <c r="BW24" s="93"/>
      <c r="BX24" s="90">
        <f t="shared" si="16"/>
        <v>0</v>
      </c>
      <c r="BY24" s="91"/>
      <c r="BZ24" s="92"/>
      <c r="CA24" s="93"/>
      <c r="CB24" s="90">
        <f t="shared" si="17"/>
        <v>1</v>
      </c>
      <c r="CC24" s="91"/>
      <c r="CD24" s="92"/>
      <c r="CE24" s="93"/>
      <c r="CF24" s="90">
        <f t="shared" si="18"/>
        <v>0</v>
      </c>
      <c r="CG24" s="91"/>
      <c r="CH24" s="92"/>
      <c r="CI24" s="93"/>
      <c r="CJ24" s="505"/>
      <c r="CK24" s="505"/>
      <c r="CL24" s="211"/>
      <c r="CM24" s="510"/>
      <c r="CN24" s="505"/>
      <c r="CO24" s="101"/>
      <c r="CP24" s="97"/>
      <c r="CQ24" s="97"/>
      <c r="CR24" s="97"/>
      <c r="CS24" s="97"/>
      <c r="CT24" s="97"/>
      <c r="CU24" s="97"/>
      <c r="CV24" s="104"/>
      <c r="CW24" s="104"/>
      <c r="CX24" s="104"/>
      <c r="CY24" s="104"/>
      <c r="CZ24" s="104"/>
      <c r="DA24" s="104"/>
      <c r="DB24" s="104"/>
      <c r="DC24" s="104"/>
      <c r="DD24" s="104"/>
      <c r="DE24" s="104"/>
      <c r="DF24" s="104"/>
    </row>
    <row r="25" spans="1:110" ht="24" customHeight="1">
      <c r="A25" s="330">
        <v>259511</v>
      </c>
      <c r="B25" s="331"/>
      <c r="C25" s="88"/>
      <c r="D25" s="294" t="s">
        <v>98</v>
      </c>
      <c r="E25" s="295">
        <v>0</v>
      </c>
      <c r="F25" s="429" t="s">
        <v>2261</v>
      </c>
      <c r="G25" s="430" t="s">
        <v>2152</v>
      </c>
      <c r="H25" s="431" t="s">
        <v>98</v>
      </c>
      <c r="I25" s="431" t="s">
        <v>98</v>
      </c>
      <c r="J25" s="89">
        <v>0</v>
      </c>
      <c r="K25" s="430" t="s">
        <v>109</v>
      </c>
      <c r="L25" s="90">
        <f t="shared" si="0"/>
        <v>0</v>
      </c>
      <c r="M25" s="91"/>
      <c r="N25" s="92"/>
      <c r="O25" s="93"/>
      <c r="P25" s="90">
        <f t="shared" si="1"/>
        <v>0</v>
      </c>
      <c r="Q25" s="91"/>
      <c r="R25" s="92"/>
      <c r="S25" s="93"/>
      <c r="T25" s="90">
        <f t="shared" si="2"/>
        <v>0</v>
      </c>
      <c r="U25" s="91"/>
      <c r="V25" s="92"/>
      <c r="W25" s="93"/>
      <c r="X25" s="90">
        <f t="shared" si="3"/>
        <v>0</v>
      </c>
      <c r="Y25" s="91"/>
      <c r="Z25" s="92"/>
      <c r="AA25" s="93"/>
      <c r="AB25" s="90">
        <f t="shared" si="4"/>
        <v>0</v>
      </c>
      <c r="AC25" s="91"/>
      <c r="AD25" s="92"/>
      <c r="AE25" s="93"/>
      <c r="AF25" s="90">
        <f t="shared" si="5"/>
        <v>0</v>
      </c>
      <c r="AG25" s="91"/>
      <c r="AH25" s="92"/>
      <c r="AI25" s="93"/>
      <c r="AJ25" s="90">
        <f t="shared" si="6"/>
        <v>0</v>
      </c>
      <c r="AK25" s="91"/>
      <c r="AL25" s="92"/>
      <c r="AM25" s="93"/>
      <c r="AN25" s="90">
        <f t="shared" si="7"/>
        <v>0</v>
      </c>
      <c r="AO25" s="91"/>
      <c r="AP25" s="92"/>
      <c r="AQ25" s="93"/>
      <c r="AR25" s="90">
        <f t="shared" si="8"/>
        <v>0</v>
      </c>
      <c r="AS25" s="91"/>
      <c r="AT25" s="92"/>
      <c r="AU25" s="93"/>
      <c r="AV25" s="90">
        <f t="shared" si="9"/>
        <v>0</v>
      </c>
      <c r="AW25" s="91"/>
      <c r="AX25" s="92"/>
      <c r="AY25" s="93"/>
      <c r="AZ25" s="90">
        <f t="shared" si="10"/>
        <v>0</v>
      </c>
      <c r="BA25" s="91"/>
      <c r="BB25" s="92"/>
      <c r="BC25" s="93"/>
      <c r="BD25" s="90">
        <f t="shared" si="11"/>
        <v>0</v>
      </c>
      <c r="BE25" s="91"/>
      <c r="BF25" s="92"/>
      <c r="BG25" s="93"/>
      <c r="BH25" s="90">
        <f t="shared" si="12"/>
        <v>0</v>
      </c>
      <c r="BI25" s="91"/>
      <c r="BJ25" s="92"/>
      <c r="BK25" s="93"/>
      <c r="BL25" s="90">
        <f t="shared" si="13"/>
        <v>0</v>
      </c>
      <c r="BM25" s="91"/>
      <c r="BN25" s="92"/>
      <c r="BO25" s="93"/>
      <c r="BP25" s="90">
        <f t="shared" si="14"/>
        <v>0</v>
      </c>
      <c r="BQ25" s="91"/>
      <c r="BR25" s="92"/>
      <c r="BS25" s="93"/>
      <c r="BT25" s="90">
        <f t="shared" si="15"/>
        <v>0</v>
      </c>
      <c r="BU25" s="91"/>
      <c r="BV25" s="92"/>
      <c r="BW25" s="93"/>
      <c r="BX25" s="90">
        <f t="shared" si="16"/>
        <v>0</v>
      </c>
      <c r="BY25" s="91"/>
      <c r="BZ25" s="92"/>
      <c r="CA25" s="93"/>
      <c r="CB25" s="90">
        <f t="shared" si="17"/>
        <v>0</v>
      </c>
      <c r="CC25" s="91"/>
      <c r="CD25" s="92"/>
      <c r="CE25" s="93"/>
      <c r="CF25" s="90">
        <f t="shared" si="18"/>
        <v>1</v>
      </c>
      <c r="CG25" s="91"/>
      <c r="CH25" s="92"/>
      <c r="CI25" s="93"/>
      <c r="CJ25" s="505"/>
      <c r="CK25" s="505"/>
      <c r="CL25" s="211"/>
      <c r="CM25" s="510"/>
      <c r="CN25" s="505"/>
      <c r="CO25" s="101"/>
      <c r="CP25" s="97"/>
      <c r="CQ25" s="97"/>
      <c r="CR25" s="97"/>
      <c r="CS25" s="97"/>
      <c r="CT25" s="97"/>
      <c r="CU25" s="97"/>
      <c r="CV25" s="104"/>
      <c r="CW25" s="104"/>
      <c r="CX25" s="104"/>
      <c r="CY25" s="104"/>
      <c r="CZ25" s="104"/>
      <c r="DA25" s="104"/>
      <c r="DB25" s="104"/>
      <c r="DC25" s="104"/>
      <c r="DD25" s="104"/>
      <c r="DE25" s="104"/>
      <c r="DF25" s="104"/>
    </row>
    <row r="26" spans="1:110" outlineLevel="1">
      <c r="A26" s="330">
        <v>82305</v>
      </c>
      <c r="B26" s="331" t="s">
        <v>2208</v>
      </c>
      <c r="C26" s="88"/>
      <c r="D26" s="340">
        <v>4</v>
      </c>
      <c r="E26" s="341" t="s">
        <v>98</v>
      </c>
      <c r="F26" s="432" t="s">
        <v>2209</v>
      </c>
      <c r="G26" s="433" t="s">
        <v>98</v>
      </c>
      <c r="H26" s="434" t="s">
        <v>218</v>
      </c>
      <c r="I26" s="434" t="s">
        <v>2210</v>
      </c>
      <c r="J26" s="94" t="s">
        <v>98</v>
      </c>
      <c r="K26" s="433" t="s">
        <v>104</v>
      </c>
      <c r="L26" s="435">
        <v>3.8502673796791442</v>
      </c>
      <c r="M26" s="95">
        <v>1</v>
      </c>
      <c r="N26" s="96">
        <v>1.0906744032152329</v>
      </c>
      <c r="O26" s="432" t="s">
        <v>2269</v>
      </c>
      <c r="P26" s="435">
        <v>3.8502673796791442</v>
      </c>
      <c r="Q26" s="95">
        <v>1</v>
      </c>
      <c r="R26" s="96">
        <v>1.0906744032152329</v>
      </c>
      <c r="S26" s="432" t="s">
        <v>2269</v>
      </c>
      <c r="T26" s="435">
        <v>3.8502673796791442</v>
      </c>
      <c r="U26" s="95">
        <v>1</v>
      </c>
      <c r="V26" s="96">
        <v>1.0906744032152329</v>
      </c>
      <c r="W26" s="432" t="s">
        <v>2269</v>
      </c>
      <c r="X26" s="435">
        <v>3.8502673796791442</v>
      </c>
      <c r="Y26" s="95">
        <v>1</v>
      </c>
      <c r="Z26" s="96">
        <v>1.0906744032152329</v>
      </c>
      <c r="AA26" s="432" t="s">
        <v>2269</v>
      </c>
      <c r="AB26" s="435">
        <v>3.8502673796791442</v>
      </c>
      <c r="AC26" s="95">
        <v>1</v>
      </c>
      <c r="AD26" s="96">
        <v>1.0906744032152329</v>
      </c>
      <c r="AE26" s="432" t="s">
        <v>2269</v>
      </c>
      <c r="AF26" s="435">
        <v>3.8502673796791442</v>
      </c>
      <c r="AG26" s="95">
        <v>1</v>
      </c>
      <c r="AH26" s="96">
        <v>1.0906744032152329</v>
      </c>
      <c r="AI26" s="432" t="s">
        <v>2269</v>
      </c>
      <c r="AJ26" s="435">
        <v>3.8502673796791442</v>
      </c>
      <c r="AK26" s="95">
        <v>1</v>
      </c>
      <c r="AL26" s="96">
        <v>1.0906744032152329</v>
      </c>
      <c r="AM26" s="432" t="s">
        <v>2269</v>
      </c>
      <c r="AN26" s="435">
        <v>3.8502673796791442</v>
      </c>
      <c r="AO26" s="95">
        <v>1</v>
      </c>
      <c r="AP26" s="96">
        <v>1.0906744032152329</v>
      </c>
      <c r="AQ26" s="432" t="s">
        <v>2269</v>
      </c>
      <c r="AR26" s="435">
        <v>3.8502673796791442</v>
      </c>
      <c r="AS26" s="95">
        <v>1</v>
      </c>
      <c r="AT26" s="96">
        <v>1.0906744032152329</v>
      </c>
      <c r="AU26" s="432" t="s">
        <v>2269</v>
      </c>
      <c r="AV26" s="435">
        <v>3.8502673796791442</v>
      </c>
      <c r="AW26" s="95">
        <v>1</v>
      </c>
      <c r="AX26" s="96">
        <v>1.0906744032152329</v>
      </c>
      <c r="AY26" s="432" t="s">
        <v>2269</v>
      </c>
      <c r="AZ26" s="435">
        <v>3.8502673796791442</v>
      </c>
      <c r="BA26" s="95">
        <v>1</v>
      </c>
      <c r="BB26" s="96">
        <v>1.0906744032152329</v>
      </c>
      <c r="BC26" s="432" t="s">
        <v>2269</v>
      </c>
      <c r="BD26" s="435">
        <v>3.8502673796791442</v>
      </c>
      <c r="BE26" s="95">
        <v>1</v>
      </c>
      <c r="BF26" s="96">
        <v>1.0906744032152329</v>
      </c>
      <c r="BG26" s="432" t="s">
        <v>2269</v>
      </c>
      <c r="BH26" s="435">
        <v>3.8502673796791442</v>
      </c>
      <c r="BI26" s="95">
        <v>1</v>
      </c>
      <c r="BJ26" s="96">
        <v>1.0906744032152329</v>
      </c>
      <c r="BK26" s="432" t="s">
        <v>2269</v>
      </c>
      <c r="BL26" s="435">
        <v>3.8502673796791442</v>
      </c>
      <c r="BM26" s="95">
        <v>1</v>
      </c>
      <c r="BN26" s="96">
        <v>1.0906744032152329</v>
      </c>
      <c r="BO26" s="432" t="s">
        <v>2269</v>
      </c>
      <c r="BP26" s="435">
        <v>3.8502673796791442</v>
      </c>
      <c r="BQ26" s="95">
        <v>1</v>
      </c>
      <c r="BR26" s="96">
        <v>1.0906744032152329</v>
      </c>
      <c r="BS26" s="432" t="s">
        <v>2269</v>
      </c>
      <c r="BT26" s="435">
        <v>3.8502673796791442</v>
      </c>
      <c r="BU26" s="95">
        <v>1</v>
      </c>
      <c r="BV26" s="96">
        <v>1.0906744032152329</v>
      </c>
      <c r="BW26" s="432" t="s">
        <v>2269</v>
      </c>
      <c r="BX26" s="435">
        <v>3.8502673796791442</v>
      </c>
      <c r="BY26" s="95">
        <v>1</v>
      </c>
      <c r="BZ26" s="96">
        <v>1.0906744032152329</v>
      </c>
      <c r="CA26" s="432" t="s">
        <v>2269</v>
      </c>
      <c r="CB26" s="435">
        <v>3.8502673796791442</v>
      </c>
      <c r="CC26" s="95">
        <v>1</v>
      </c>
      <c r="CD26" s="96">
        <v>1.0906744032152329</v>
      </c>
      <c r="CE26" s="432" t="s">
        <v>2269</v>
      </c>
      <c r="CF26" s="435">
        <v>3.8502673796791442</v>
      </c>
      <c r="CG26" s="95">
        <v>1</v>
      </c>
      <c r="CH26" s="96">
        <v>1.0906744032152329</v>
      </c>
      <c r="CI26" s="432" t="s">
        <v>2269</v>
      </c>
      <c r="CJ26" s="505"/>
      <c r="CK26" s="505"/>
      <c r="CL26" s="211"/>
      <c r="CM26" s="510"/>
      <c r="CO26" s="77" t="s">
        <v>2211</v>
      </c>
      <c r="CP26" s="339">
        <v>2</v>
      </c>
      <c r="CQ26" s="339">
        <v>2</v>
      </c>
      <c r="CR26" s="339">
        <v>1</v>
      </c>
      <c r="CS26" s="339">
        <v>1</v>
      </c>
      <c r="CT26" s="339">
        <v>1</v>
      </c>
      <c r="CU26" s="339">
        <v>3</v>
      </c>
      <c r="CV26" s="104">
        <v>11</v>
      </c>
      <c r="CW26" s="104">
        <v>1.05</v>
      </c>
      <c r="CX26" s="107">
        <v>1.0744244531716256</v>
      </c>
      <c r="CY26" s="107">
        <v>1.0906744032152329</v>
      </c>
      <c r="CZ26" s="107" t="s">
        <v>2270</v>
      </c>
      <c r="DA26" s="108">
        <v>1.05</v>
      </c>
      <c r="DB26" s="108">
        <v>1.02</v>
      </c>
      <c r="DC26" s="108">
        <v>1</v>
      </c>
      <c r="DD26" s="108">
        <v>1</v>
      </c>
      <c r="DE26" s="108">
        <v>1</v>
      </c>
      <c r="DF26" s="108">
        <v>1.05</v>
      </c>
    </row>
    <row r="27" spans="1:110" ht="24" customHeight="1" outlineLevel="1">
      <c r="A27" s="330">
        <v>255755</v>
      </c>
      <c r="B27" s="331" t="s">
        <v>221</v>
      </c>
      <c r="C27" s="88"/>
      <c r="D27" s="340">
        <v>5</v>
      </c>
      <c r="E27" s="341" t="s">
        <v>98</v>
      </c>
      <c r="F27" s="432" t="s">
        <v>2271</v>
      </c>
      <c r="G27" s="433" t="s">
        <v>2102</v>
      </c>
      <c r="H27" s="434" t="s">
        <v>98</v>
      </c>
      <c r="I27" s="434" t="s">
        <v>98</v>
      </c>
      <c r="J27" s="94">
        <v>0</v>
      </c>
      <c r="K27" s="433" t="s">
        <v>96</v>
      </c>
      <c r="L27" s="435">
        <f t="shared" ref="L27:L45" si="19">IF($G27=L$4,20*SUMPRODUCT(L$47:L$67,$CN$47:$CN$67),0)</f>
        <v>2.962555737515088E-3</v>
      </c>
      <c r="M27" s="95">
        <v>1</v>
      </c>
      <c r="N27" s="96">
        <f t="shared" ref="N27:N58" si="20">$CY27</f>
        <v>1.0906744032152329</v>
      </c>
      <c r="O27" s="432" t="str">
        <f t="shared" ref="O27:O58" si="21">$CZ27&amp;"; "&amp;$CO27</f>
        <v>(2,2,1,1,1,3); Estimation 20l/m2 panel</v>
      </c>
      <c r="P27" s="435">
        <f t="shared" ref="P27:P45" si="22">IF($G27=P$4,20*SUMPRODUCT(P$47:P$67,$CN$47:$CN$67),0)</f>
        <v>0</v>
      </c>
      <c r="Q27" s="95">
        <v>1</v>
      </c>
      <c r="R27" s="96">
        <f t="shared" ref="R27:R58" si="23">$CY27</f>
        <v>1.0906744032152329</v>
      </c>
      <c r="S27" s="432" t="str">
        <f t="shared" ref="S27:S58" si="24">$CZ27&amp;"; "&amp;$CO27</f>
        <v>(2,2,1,1,1,3); Estimation 20l/m2 panel</v>
      </c>
      <c r="T27" s="435">
        <f t="shared" ref="T27:T45" si="25">IF($G27=T$4,20*SUMPRODUCT(T$47:T$67,$CN$47:$CN$67),0)</f>
        <v>0</v>
      </c>
      <c r="U27" s="95">
        <v>1</v>
      </c>
      <c r="V27" s="96">
        <f t="shared" ref="V27:V58" si="26">$CY27</f>
        <v>1.0906744032152329</v>
      </c>
      <c r="W27" s="432" t="str">
        <f t="shared" ref="W27:W58" si="27">$CZ27&amp;"; "&amp;$CO27</f>
        <v>(2,2,1,1,1,3); Estimation 20l/m2 panel</v>
      </c>
      <c r="X27" s="435">
        <f t="shared" ref="X27:X45" si="28">IF($G27=X$4,20*SUMPRODUCT(X$47:X$67,$CN$47:$CN$67),0)</f>
        <v>0</v>
      </c>
      <c r="Y27" s="95">
        <v>1</v>
      </c>
      <c r="Z27" s="96">
        <f t="shared" ref="Z27:Z58" si="29">$CY27</f>
        <v>1.0906744032152329</v>
      </c>
      <c r="AA27" s="432" t="str">
        <f t="shared" ref="AA27:AA58" si="30">$CZ27&amp;"; "&amp;$CO27</f>
        <v>(2,2,1,1,1,3); Estimation 20l/m2 panel</v>
      </c>
      <c r="AB27" s="435">
        <f t="shared" ref="AB27:AB45" si="31">IF($G27=AB$4,20*SUMPRODUCT(AB$47:AB$67,$CN$47:$CN$67),0)</f>
        <v>0</v>
      </c>
      <c r="AC27" s="95">
        <v>1</v>
      </c>
      <c r="AD27" s="96">
        <f t="shared" ref="AD27:AD58" si="32">$CY27</f>
        <v>1.0906744032152329</v>
      </c>
      <c r="AE27" s="432" t="str">
        <f t="shared" ref="AE27:AE58" si="33">$CZ27&amp;"; "&amp;$CO27</f>
        <v>(2,2,1,1,1,3); Estimation 20l/m2 panel</v>
      </c>
      <c r="AF27" s="435">
        <f t="shared" ref="AF27:AF45" si="34">IF($G27=AF$4,20*SUMPRODUCT(AF$47:AF$67,$CN$47:$CN$67),0)</f>
        <v>0</v>
      </c>
      <c r="AG27" s="95">
        <v>1</v>
      </c>
      <c r="AH27" s="96">
        <f t="shared" ref="AH27:AH58" si="35">$CY27</f>
        <v>1.0906744032152329</v>
      </c>
      <c r="AI27" s="432" t="str">
        <f t="shared" ref="AI27:AI58" si="36">$CZ27&amp;"; "&amp;$CO27</f>
        <v>(2,2,1,1,1,3); Estimation 20l/m2 panel</v>
      </c>
      <c r="AJ27" s="435">
        <f t="shared" ref="AJ27:AJ45" si="37">IF($G27=AJ$4,20*SUMPRODUCT(AJ$47:AJ$67,$CN$47:$CN$67),0)</f>
        <v>0</v>
      </c>
      <c r="AK27" s="95">
        <v>1</v>
      </c>
      <c r="AL27" s="96">
        <f t="shared" ref="AL27:AL58" si="38">$CY27</f>
        <v>1.0906744032152329</v>
      </c>
      <c r="AM27" s="432" t="str">
        <f t="shared" ref="AM27:AM58" si="39">$CZ27&amp;"; "&amp;$CO27</f>
        <v>(2,2,1,1,1,3); Estimation 20l/m2 panel</v>
      </c>
      <c r="AN27" s="435">
        <f t="shared" ref="AN27:AN45" si="40">IF($G27=AN$4,20*SUMPRODUCT(AN$47:AN$67,$CN$47:$CN$67),0)</f>
        <v>0</v>
      </c>
      <c r="AO27" s="95">
        <v>1</v>
      </c>
      <c r="AP27" s="96">
        <f t="shared" ref="AP27:AP58" si="41">$CY27</f>
        <v>1.0906744032152329</v>
      </c>
      <c r="AQ27" s="432" t="str">
        <f t="shared" ref="AQ27:AQ58" si="42">$CZ27&amp;"; "&amp;$CO27</f>
        <v>(2,2,1,1,1,3); Estimation 20l/m2 panel</v>
      </c>
      <c r="AR27" s="435">
        <f t="shared" ref="AR27:AR45" si="43">IF($G27=AR$4,20*SUMPRODUCT(AR$47:AR$67,$CN$47:$CN$67),0)</f>
        <v>0</v>
      </c>
      <c r="AS27" s="95">
        <v>1</v>
      </c>
      <c r="AT27" s="96">
        <f t="shared" ref="AT27:AT58" si="44">$CY27</f>
        <v>1.0906744032152329</v>
      </c>
      <c r="AU27" s="432" t="str">
        <f t="shared" ref="AU27:AU58" si="45">$CZ27&amp;"; "&amp;$CO27</f>
        <v>(2,2,1,1,1,3); Estimation 20l/m2 panel</v>
      </c>
      <c r="AV27" s="435">
        <f t="shared" ref="AV27:AV45" si="46">IF($G27=AV$4,20*SUMPRODUCT(AV$47:AV$67,$CN$47:$CN$67),0)</f>
        <v>0</v>
      </c>
      <c r="AW27" s="95">
        <v>1</v>
      </c>
      <c r="AX27" s="96">
        <f t="shared" ref="AX27:AX58" si="47">$CY27</f>
        <v>1.0906744032152329</v>
      </c>
      <c r="AY27" s="432" t="str">
        <f t="shared" ref="AY27:AY58" si="48">$CZ27&amp;"; "&amp;$CO27</f>
        <v>(2,2,1,1,1,3); Estimation 20l/m2 panel</v>
      </c>
      <c r="AZ27" s="435">
        <f t="shared" ref="AZ27:AZ45" si="49">IF($G27=AZ$4,20*SUMPRODUCT(AZ$47:AZ$67,$CN$47:$CN$67),0)</f>
        <v>0</v>
      </c>
      <c r="BA27" s="95">
        <v>1</v>
      </c>
      <c r="BB27" s="96">
        <f t="shared" ref="BB27:BB58" si="50">$CY27</f>
        <v>1.0906744032152329</v>
      </c>
      <c r="BC27" s="432" t="str">
        <f t="shared" ref="BC27:BC58" si="51">$CZ27&amp;"; "&amp;$CO27</f>
        <v>(2,2,1,1,1,3); Estimation 20l/m2 panel</v>
      </c>
      <c r="BD27" s="435">
        <f t="shared" ref="BD27:BD45" si="52">IF($G27=BD$4,20*SUMPRODUCT(BD$47:BD$67,$CN$47:$CN$67),0)</f>
        <v>0</v>
      </c>
      <c r="BE27" s="95">
        <v>1</v>
      </c>
      <c r="BF27" s="96">
        <f t="shared" ref="BF27:BF58" si="53">$CY27</f>
        <v>1.0906744032152329</v>
      </c>
      <c r="BG27" s="432" t="str">
        <f t="shared" ref="BG27:BG58" si="54">$CZ27&amp;"; "&amp;$CO27</f>
        <v>(2,2,1,1,1,3); Estimation 20l/m2 panel</v>
      </c>
      <c r="BH27" s="435">
        <f t="shared" ref="BH27:BH45" si="55">IF($G27=BH$4,20*SUMPRODUCT(BH$47:BH$67,$CN$47:$CN$67),0)</f>
        <v>0</v>
      </c>
      <c r="BI27" s="95">
        <v>1</v>
      </c>
      <c r="BJ27" s="96">
        <f t="shared" ref="BJ27:BJ58" si="56">$CY27</f>
        <v>1.0906744032152329</v>
      </c>
      <c r="BK27" s="432" t="str">
        <f t="shared" ref="BK27:BK58" si="57">$CZ27&amp;"; "&amp;$CO27</f>
        <v>(2,2,1,1,1,3); Estimation 20l/m2 panel</v>
      </c>
      <c r="BL27" s="435">
        <f t="shared" ref="BL27:BL45" si="58">IF($G27=BL$4,20*SUMPRODUCT(BL$47:BL$67,$CN$47:$CN$67),0)</f>
        <v>0</v>
      </c>
      <c r="BM27" s="95">
        <v>1</v>
      </c>
      <c r="BN27" s="96">
        <f t="shared" ref="BN27:BN58" si="59">$CY27</f>
        <v>1.0906744032152329</v>
      </c>
      <c r="BO27" s="432" t="str">
        <f t="shared" ref="BO27:BO58" si="60">$CZ27&amp;"; "&amp;$CO27</f>
        <v>(2,2,1,1,1,3); Estimation 20l/m2 panel</v>
      </c>
      <c r="BP27" s="435">
        <f t="shared" ref="BP27:BP45" si="61">IF($G27=BP$4,20*SUMPRODUCT(BP$47:BP$67,$CN$47:$CN$67),0)</f>
        <v>0</v>
      </c>
      <c r="BQ27" s="95">
        <v>1</v>
      </c>
      <c r="BR27" s="96">
        <f t="shared" ref="BR27:BR58" si="62">$CY27</f>
        <v>1.0906744032152329</v>
      </c>
      <c r="BS27" s="432" t="str">
        <f t="shared" ref="BS27:BS58" si="63">$CZ27&amp;"; "&amp;$CO27</f>
        <v>(2,2,1,1,1,3); Estimation 20l/m2 panel</v>
      </c>
      <c r="BT27" s="435">
        <f t="shared" ref="BT27:BT45" si="64">IF($G27=BT$4,20*SUMPRODUCT(BT$47:BT$67,$CN$47:$CN$67),0)</f>
        <v>0</v>
      </c>
      <c r="BU27" s="95">
        <v>1</v>
      </c>
      <c r="BV27" s="96">
        <f t="shared" ref="BV27:BV58" si="65">$CY27</f>
        <v>1.0906744032152329</v>
      </c>
      <c r="BW27" s="432" t="str">
        <f t="shared" ref="BW27:BW58" si="66">$CZ27&amp;"; "&amp;$CO27</f>
        <v>(2,2,1,1,1,3); Estimation 20l/m2 panel</v>
      </c>
      <c r="BX27" s="435">
        <f t="shared" ref="BX27:BX45" si="67">IF($G27=BX$4,20*SUMPRODUCT(BX$47:BX$67,$CN$47:$CN$67),0)</f>
        <v>0</v>
      </c>
      <c r="BY27" s="95">
        <v>1</v>
      </c>
      <c r="BZ27" s="96">
        <f t="shared" ref="BZ27:BZ58" si="68">$CY27</f>
        <v>1.0906744032152329</v>
      </c>
      <c r="CA27" s="432" t="str">
        <f t="shared" ref="CA27:CA58" si="69">$CZ27&amp;"; "&amp;$CO27</f>
        <v>(2,2,1,1,1,3); Estimation 20l/m2 panel</v>
      </c>
      <c r="CB27" s="435">
        <f t="shared" ref="CB27:CB45" si="70">IF($G27=CB$4,20*SUMPRODUCT(CB$47:CB$67,$CN$47:$CN$67),0)</f>
        <v>0</v>
      </c>
      <c r="CC27" s="95">
        <v>1</v>
      </c>
      <c r="CD27" s="96">
        <f t="shared" ref="CD27:CD58" si="71">$CY27</f>
        <v>1.0906744032152329</v>
      </c>
      <c r="CE27" s="432" t="str">
        <f t="shared" ref="CE27:CE58" si="72">$CZ27&amp;"; "&amp;$CO27</f>
        <v>(2,2,1,1,1,3); Estimation 20l/m2 panel</v>
      </c>
      <c r="CF27" s="435">
        <f t="shared" ref="CF27:CF45" si="73">IF($G27=CF$4,20*SUMPRODUCT(CF$47:CF$67,$CN$47:$CN$67),0)</f>
        <v>0</v>
      </c>
      <c r="CG27" s="95">
        <v>1</v>
      </c>
      <c r="CH27" s="96">
        <f t="shared" ref="CH27:CH58" si="74">$CY27</f>
        <v>1.0906744032152329</v>
      </c>
      <c r="CI27" s="432" t="str">
        <f t="shared" ref="CI27:CI58" si="75">$CZ27&amp;"; "&amp;$CO27</f>
        <v>(2,2,1,1,1,3); Estimation 20l/m2 panel</v>
      </c>
      <c r="CJ27" s="213"/>
      <c r="CK27" s="505"/>
      <c r="CL27" s="211"/>
      <c r="CM27" s="510"/>
      <c r="CO27" s="77" t="s">
        <v>2213</v>
      </c>
      <c r="CP27" s="339">
        <v>2</v>
      </c>
      <c r="CQ27" s="339">
        <v>2</v>
      </c>
      <c r="CR27" s="339">
        <v>1</v>
      </c>
      <c r="CS27" s="339">
        <v>1</v>
      </c>
      <c r="CT27" s="339">
        <v>1</v>
      </c>
      <c r="CU27" s="339">
        <v>3</v>
      </c>
      <c r="CV27" s="104">
        <v>3</v>
      </c>
      <c r="CW27" s="104">
        <v>1.05</v>
      </c>
      <c r="CX27" s="107">
        <f t="shared" ref="CX27:CX58" si="76">EXP(SQRT((LN(DA27)^2)+(LN(DB27)^2)+(LN(DC27)^2)+(LN(DD27)^2)+(LN(DE27)^2)+(LN(DF27)^2)))</f>
        <v>1.0744244531716256</v>
      </c>
      <c r="CY27" s="107">
        <f t="shared" ref="CY27:CY58" si="77">EXP(SQRT((LN(DA27)^2)+(LN(DB27)^2)+(LN(DC27)^2)+(LN(DD27)^2)+(LN(DE27)^2)+(LN(DF27)^2)+LN(CW27)^2))</f>
        <v>1.0906744032152329</v>
      </c>
      <c r="CZ27" s="107" t="str">
        <f t="shared" ref="CZ27:CZ58" si="78">CONCATENATE("(",CP27,",",CQ27,",",CR27,",",CS27,",",CT27,",",CU27,")")</f>
        <v>(2,2,1,1,1,3)</v>
      </c>
      <c r="DA27" s="108">
        <v>1.05</v>
      </c>
      <c r="DB27" s="108">
        <v>1.02</v>
      </c>
      <c r="DC27" s="108">
        <v>1</v>
      </c>
      <c r="DD27" s="108">
        <v>1</v>
      </c>
      <c r="DE27" s="108">
        <v>1</v>
      </c>
      <c r="DF27" s="108">
        <v>1.05</v>
      </c>
    </row>
    <row r="28" spans="1:110" ht="24" customHeight="1" outlineLevel="1">
      <c r="A28" s="330">
        <v>255801</v>
      </c>
      <c r="B28" s="331"/>
      <c r="C28" s="88"/>
      <c r="D28" s="340">
        <v>5</v>
      </c>
      <c r="E28" s="341" t="s">
        <v>98</v>
      </c>
      <c r="F28" s="432" t="s">
        <v>2272</v>
      </c>
      <c r="G28" s="433" t="s">
        <v>2104</v>
      </c>
      <c r="H28" s="434" t="s">
        <v>98</v>
      </c>
      <c r="I28" s="434" t="s">
        <v>98</v>
      </c>
      <c r="J28" s="94">
        <v>0</v>
      </c>
      <c r="K28" s="433" t="s">
        <v>96</v>
      </c>
      <c r="L28" s="435">
        <f t="shared" si="19"/>
        <v>0</v>
      </c>
      <c r="M28" s="95">
        <v>1</v>
      </c>
      <c r="N28" s="96">
        <f t="shared" si="20"/>
        <v>1.0906744032152329</v>
      </c>
      <c r="O28" s="432" t="str">
        <f t="shared" si="21"/>
        <v>(2,2,1,1,1,3); Estimation 20l/m2 panel</v>
      </c>
      <c r="P28" s="435">
        <f t="shared" si="22"/>
        <v>3.6471191907720686E-3</v>
      </c>
      <c r="Q28" s="95">
        <v>1</v>
      </c>
      <c r="R28" s="96">
        <f t="shared" si="23"/>
        <v>1.0906744032152329</v>
      </c>
      <c r="S28" s="432" t="str">
        <f t="shared" si="24"/>
        <v>(2,2,1,1,1,3); Estimation 20l/m2 panel</v>
      </c>
      <c r="T28" s="435">
        <f t="shared" si="25"/>
        <v>0</v>
      </c>
      <c r="U28" s="95">
        <v>1</v>
      </c>
      <c r="V28" s="96">
        <f t="shared" si="26"/>
        <v>1.0906744032152329</v>
      </c>
      <c r="W28" s="432" t="str">
        <f t="shared" si="27"/>
        <v>(2,2,1,1,1,3); Estimation 20l/m2 panel</v>
      </c>
      <c r="X28" s="435">
        <f t="shared" si="28"/>
        <v>0</v>
      </c>
      <c r="Y28" s="95">
        <v>1</v>
      </c>
      <c r="Z28" s="96">
        <f t="shared" si="29"/>
        <v>1.0906744032152329</v>
      </c>
      <c r="AA28" s="432" t="str">
        <f t="shared" si="30"/>
        <v>(2,2,1,1,1,3); Estimation 20l/m2 panel</v>
      </c>
      <c r="AB28" s="435">
        <f t="shared" si="31"/>
        <v>0</v>
      </c>
      <c r="AC28" s="95">
        <v>1</v>
      </c>
      <c r="AD28" s="96">
        <f t="shared" si="32"/>
        <v>1.0906744032152329</v>
      </c>
      <c r="AE28" s="432" t="str">
        <f t="shared" si="33"/>
        <v>(2,2,1,1,1,3); Estimation 20l/m2 panel</v>
      </c>
      <c r="AF28" s="435">
        <f t="shared" si="34"/>
        <v>0</v>
      </c>
      <c r="AG28" s="95">
        <v>1</v>
      </c>
      <c r="AH28" s="96">
        <f t="shared" si="35"/>
        <v>1.0906744032152329</v>
      </c>
      <c r="AI28" s="432" t="str">
        <f t="shared" si="36"/>
        <v>(2,2,1,1,1,3); Estimation 20l/m2 panel</v>
      </c>
      <c r="AJ28" s="435">
        <f t="shared" si="37"/>
        <v>0</v>
      </c>
      <c r="AK28" s="95">
        <v>1</v>
      </c>
      <c r="AL28" s="96">
        <f t="shared" si="38"/>
        <v>1.0906744032152329</v>
      </c>
      <c r="AM28" s="432" t="str">
        <f t="shared" si="39"/>
        <v>(2,2,1,1,1,3); Estimation 20l/m2 panel</v>
      </c>
      <c r="AN28" s="435">
        <f t="shared" si="40"/>
        <v>0</v>
      </c>
      <c r="AO28" s="95">
        <v>1</v>
      </c>
      <c r="AP28" s="96">
        <f t="shared" si="41"/>
        <v>1.0906744032152329</v>
      </c>
      <c r="AQ28" s="432" t="str">
        <f t="shared" si="42"/>
        <v>(2,2,1,1,1,3); Estimation 20l/m2 panel</v>
      </c>
      <c r="AR28" s="435">
        <f t="shared" si="43"/>
        <v>0</v>
      </c>
      <c r="AS28" s="95">
        <v>1</v>
      </c>
      <c r="AT28" s="96">
        <f t="shared" si="44"/>
        <v>1.0906744032152329</v>
      </c>
      <c r="AU28" s="432" t="str">
        <f t="shared" si="45"/>
        <v>(2,2,1,1,1,3); Estimation 20l/m2 panel</v>
      </c>
      <c r="AV28" s="435">
        <f t="shared" si="46"/>
        <v>0</v>
      </c>
      <c r="AW28" s="95">
        <v>1</v>
      </c>
      <c r="AX28" s="96">
        <f t="shared" si="47"/>
        <v>1.0906744032152329</v>
      </c>
      <c r="AY28" s="432" t="str">
        <f t="shared" si="48"/>
        <v>(2,2,1,1,1,3); Estimation 20l/m2 panel</v>
      </c>
      <c r="AZ28" s="435">
        <f t="shared" si="49"/>
        <v>0</v>
      </c>
      <c r="BA28" s="95">
        <v>1</v>
      </c>
      <c r="BB28" s="96">
        <f t="shared" si="50"/>
        <v>1.0906744032152329</v>
      </c>
      <c r="BC28" s="432" t="str">
        <f t="shared" si="51"/>
        <v>(2,2,1,1,1,3); Estimation 20l/m2 panel</v>
      </c>
      <c r="BD28" s="435">
        <f t="shared" si="52"/>
        <v>0</v>
      </c>
      <c r="BE28" s="95">
        <v>1</v>
      </c>
      <c r="BF28" s="96">
        <f t="shared" si="53"/>
        <v>1.0906744032152329</v>
      </c>
      <c r="BG28" s="432" t="str">
        <f t="shared" si="54"/>
        <v>(2,2,1,1,1,3); Estimation 20l/m2 panel</v>
      </c>
      <c r="BH28" s="435">
        <f t="shared" si="55"/>
        <v>0</v>
      </c>
      <c r="BI28" s="95">
        <v>1</v>
      </c>
      <c r="BJ28" s="96">
        <f t="shared" si="56"/>
        <v>1.0906744032152329</v>
      </c>
      <c r="BK28" s="432" t="str">
        <f t="shared" si="57"/>
        <v>(2,2,1,1,1,3); Estimation 20l/m2 panel</v>
      </c>
      <c r="BL28" s="435">
        <f t="shared" si="58"/>
        <v>0</v>
      </c>
      <c r="BM28" s="95">
        <v>1</v>
      </c>
      <c r="BN28" s="96">
        <f t="shared" si="59"/>
        <v>1.0906744032152329</v>
      </c>
      <c r="BO28" s="432" t="str">
        <f t="shared" si="60"/>
        <v>(2,2,1,1,1,3); Estimation 20l/m2 panel</v>
      </c>
      <c r="BP28" s="435">
        <f t="shared" si="61"/>
        <v>0</v>
      </c>
      <c r="BQ28" s="95">
        <v>1</v>
      </c>
      <c r="BR28" s="96">
        <f t="shared" si="62"/>
        <v>1.0906744032152329</v>
      </c>
      <c r="BS28" s="432" t="str">
        <f t="shared" si="63"/>
        <v>(2,2,1,1,1,3); Estimation 20l/m2 panel</v>
      </c>
      <c r="BT28" s="435">
        <f t="shared" si="64"/>
        <v>0</v>
      </c>
      <c r="BU28" s="95">
        <v>1</v>
      </c>
      <c r="BV28" s="96">
        <f t="shared" si="65"/>
        <v>1.0906744032152329</v>
      </c>
      <c r="BW28" s="432" t="str">
        <f t="shared" si="66"/>
        <v>(2,2,1,1,1,3); Estimation 20l/m2 panel</v>
      </c>
      <c r="BX28" s="435">
        <f t="shared" si="67"/>
        <v>0</v>
      </c>
      <c r="BY28" s="95">
        <v>1</v>
      </c>
      <c r="BZ28" s="96">
        <f t="shared" si="68"/>
        <v>1.0906744032152329</v>
      </c>
      <c r="CA28" s="432" t="str">
        <f t="shared" si="69"/>
        <v>(2,2,1,1,1,3); Estimation 20l/m2 panel</v>
      </c>
      <c r="CB28" s="435">
        <f t="shared" si="70"/>
        <v>0</v>
      </c>
      <c r="CC28" s="95">
        <v>1</v>
      </c>
      <c r="CD28" s="96">
        <f t="shared" si="71"/>
        <v>1.0906744032152329</v>
      </c>
      <c r="CE28" s="432" t="str">
        <f t="shared" si="72"/>
        <v>(2,2,1,1,1,3); Estimation 20l/m2 panel</v>
      </c>
      <c r="CF28" s="435">
        <f t="shared" si="73"/>
        <v>0</v>
      </c>
      <c r="CG28" s="95">
        <v>1</v>
      </c>
      <c r="CH28" s="96">
        <f t="shared" si="74"/>
        <v>1.0906744032152329</v>
      </c>
      <c r="CI28" s="432" t="str">
        <f t="shared" si="75"/>
        <v>(2,2,1,1,1,3); Estimation 20l/m2 panel</v>
      </c>
      <c r="CJ28" s="213"/>
      <c r="CK28" s="505"/>
      <c r="CL28" s="211"/>
      <c r="CM28" s="510"/>
      <c r="CO28" s="77" t="s">
        <v>2213</v>
      </c>
      <c r="CP28" s="339">
        <v>2</v>
      </c>
      <c r="CQ28" s="339">
        <v>2</v>
      </c>
      <c r="CR28" s="339">
        <v>1</v>
      </c>
      <c r="CS28" s="339">
        <v>1</v>
      </c>
      <c r="CT28" s="339">
        <v>1</v>
      </c>
      <c r="CU28" s="339">
        <v>3</v>
      </c>
      <c r="CV28" s="104">
        <v>3</v>
      </c>
      <c r="CW28" s="104">
        <v>1.05</v>
      </c>
      <c r="CX28" s="107">
        <f t="shared" si="76"/>
        <v>1.0744244531716256</v>
      </c>
      <c r="CY28" s="107">
        <f t="shared" si="77"/>
        <v>1.0906744032152329</v>
      </c>
      <c r="CZ28" s="107" t="str">
        <f t="shared" si="78"/>
        <v>(2,2,1,1,1,3)</v>
      </c>
      <c r="DA28" s="108">
        <v>1.05</v>
      </c>
      <c r="DB28" s="108">
        <v>1.02</v>
      </c>
      <c r="DC28" s="108">
        <v>1</v>
      </c>
      <c r="DD28" s="108">
        <v>1</v>
      </c>
      <c r="DE28" s="108">
        <v>1</v>
      </c>
      <c r="DF28" s="108">
        <v>1.05</v>
      </c>
    </row>
    <row r="29" spans="1:110" ht="24" customHeight="1" outlineLevel="1">
      <c r="A29" s="330">
        <v>256228</v>
      </c>
      <c r="B29" s="331"/>
      <c r="C29" s="88"/>
      <c r="D29" s="340">
        <v>5</v>
      </c>
      <c r="E29" s="341" t="s">
        <v>98</v>
      </c>
      <c r="F29" s="432" t="s">
        <v>2273</v>
      </c>
      <c r="G29" s="433" t="s">
        <v>2113</v>
      </c>
      <c r="H29" s="434" t="s">
        <v>98</v>
      </c>
      <c r="I29" s="434" t="s">
        <v>98</v>
      </c>
      <c r="J29" s="94">
        <v>0</v>
      </c>
      <c r="K29" s="433" t="s">
        <v>96</v>
      </c>
      <c r="L29" s="435">
        <f t="shared" si="19"/>
        <v>0</v>
      </c>
      <c r="M29" s="95">
        <v>1</v>
      </c>
      <c r="N29" s="96">
        <f t="shared" si="20"/>
        <v>1.0906744032152329</v>
      </c>
      <c r="O29" s="432" t="str">
        <f t="shared" si="21"/>
        <v>(2,2,1,1,1,3); Estimation 20l/m2 panel</v>
      </c>
      <c r="P29" s="435">
        <f t="shared" si="22"/>
        <v>0</v>
      </c>
      <c r="Q29" s="95">
        <v>1</v>
      </c>
      <c r="R29" s="96">
        <f t="shared" si="23"/>
        <v>1.0906744032152329</v>
      </c>
      <c r="S29" s="432" t="str">
        <f t="shared" si="24"/>
        <v>(2,2,1,1,1,3); Estimation 20l/m2 panel</v>
      </c>
      <c r="T29" s="435">
        <f t="shared" si="25"/>
        <v>3.2307990487651698E-3</v>
      </c>
      <c r="U29" s="95">
        <v>1</v>
      </c>
      <c r="V29" s="96">
        <f t="shared" si="26"/>
        <v>1.0906744032152329</v>
      </c>
      <c r="W29" s="432" t="str">
        <f t="shared" si="27"/>
        <v>(2,2,1,1,1,3); Estimation 20l/m2 panel</v>
      </c>
      <c r="X29" s="435">
        <f t="shared" si="28"/>
        <v>0</v>
      </c>
      <c r="Y29" s="95">
        <v>1</v>
      </c>
      <c r="Z29" s="96">
        <f t="shared" si="29"/>
        <v>1.0906744032152329</v>
      </c>
      <c r="AA29" s="432" t="str">
        <f t="shared" si="30"/>
        <v>(2,2,1,1,1,3); Estimation 20l/m2 panel</v>
      </c>
      <c r="AB29" s="435">
        <f t="shared" si="31"/>
        <v>0</v>
      </c>
      <c r="AC29" s="95">
        <v>1</v>
      </c>
      <c r="AD29" s="96">
        <f t="shared" si="32"/>
        <v>1.0906744032152329</v>
      </c>
      <c r="AE29" s="432" t="str">
        <f t="shared" si="33"/>
        <v>(2,2,1,1,1,3); Estimation 20l/m2 panel</v>
      </c>
      <c r="AF29" s="435">
        <f t="shared" si="34"/>
        <v>0</v>
      </c>
      <c r="AG29" s="95">
        <v>1</v>
      </c>
      <c r="AH29" s="96">
        <f t="shared" si="35"/>
        <v>1.0906744032152329</v>
      </c>
      <c r="AI29" s="432" t="str">
        <f t="shared" si="36"/>
        <v>(2,2,1,1,1,3); Estimation 20l/m2 panel</v>
      </c>
      <c r="AJ29" s="435">
        <f t="shared" si="37"/>
        <v>0</v>
      </c>
      <c r="AK29" s="95">
        <v>1</v>
      </c>
      <c r="AL29" s="96">
        <f t="shared" si="38"/>
        <v>1.0906744032152329</v>
      </c>
      <c r="AM29" s="432" t="str">
        <f t="shared" si="39"/>
        <v>(2,2,1,1,1,3); Estimation 20l/m2 panel</v>
      </c>
      <c r="AN29" s="435">
        <f t="shared" si="40"/>
        <v>0</v>
      </c>
      <c r="AO29" s="95">
        <v>1</v>
      </c>
      <c r="AP29" s="96">
        <f t="shared" si="41"/>
        <v>1.0906744032152329</v>
      </c>
      <c r="AQ29" s="432" t="str">
        <f t="shared" si="42"/>
        <v>(2,2,1,1,1,3); Estimation 20l/m2 panel</v>
      </c>
      <c r="AR29" s="435">
        <f t="shared" si="43"/>
        <v>0</v>
      </c>
      <c r="AS29" s="95">
        <v>1</v>
      </c>
      <c r="AT29" s="96">
        <f t="shared" si="44"/>
        <v>1.0906744032152329</v>
      </c>
      <c r="AU29" s="432" t="str">
        <f t="shared" si="45"/>
        <v>(2,2,1,1,1,3); Estimation 20l/m2 panel</v>
      </c>
      <c r="AV29" s="435">
        <f t="shared" si="46"/>
        <v>0</v>
      </c>
      <c r="AW29" s="95">
        <v>1</v>
      </c>
      <c r="AX29" s="96">
        <f t="shared" si="47"/>
        <v>1.0906744032152329</v>
      </c>
      <c r="AY29" s="432" t="str">
        <f t="shared" si="48"/>
        <v>(2,2,1,1,1,3); Estimation 20l/m2 panel</v>
      </c>
      <c r="AZ29" s="435">
        <f t="shared" si="49"/>
        <v>0</v>
      </c>
      <c r="BA29" s="95">
        <v>1</v>
      </c>
      <c r="BB29" s="96">
        <f t="shared" si="50"/>
        <v>1.0906744032152329</v>
      </c>
      <c r="BC29" s="432" t="str">
        <f t="shared" si="51"/>
        <v>(2,2,1,1,1,3); Estimation 20l/m2 panel</v>
      </c>
      <c r="BD29" s="435">
        <f t="shared" si="52"/>
        <v>0</v>
      </c>
      <c r="BE29" s="95">
        <v>1</v>
      </c>
      <c r="BF29" s="96">
        <f t="shared" si="53"/>
        <v>1.0906744032152329</v>
      </c>
      <c r="BG29" s="432" t="str">
        <f t="shared" si="54"/>
        <v>(2,2,1,1,1,3); Estimation 20l/m2 panel</v>
      </c>
      <c r="BH29" s="435">
        <f t="shared" si="55"/>
        <v>0</v>
      </c>
      <c r="BI29" s="95">
        <v>1</v>
      </c>
      <c r="BJ29" s="96">
        <f t="shared" si="56"/>
        <v>1.0906744032152329</v>
      </c>
      <c r="BK29" s="432" t="str">
        <f t="shared" si="57"/>
        <v>(2,2,1,1,1,3); Estimation 20l/m2 panel</v>
      </c>
      <c r="BL29" s="435">
        <f t="shared" si="58"/>
        <v>0</v>
      </c>
      <c r="BM29" s="95">
        <v>1</v>
      </c>
      <c r="BN29" s="96">
        <f t="shared" si="59"/>
        <v>1.0906744032152329</v>
      </c>
      <c r="BO29" s="432" t="str">
        <f t="shared" si="60"/>
        <v>(2,2,1,1,1,3); Estimation 20l/m2 panel</v>
      </c>
      <c r="BP29" s="435">
        <f t="shared" si="61"/>
        <v>0</v>
      </c>
      <c r="BQ29" s="95">
        <v>1</v>
      </c>
      <c r="BR29" s="96">
        <f t="shared" si="62"/>
        <v>1.0906744032152329</v>
      </c>
      <c r="BS29" s="432" t="str">
        <f t="shared" si="63"/>
        <v>(2,2,1,1,1,3); Estimation 20l/m2 panel</v>
      </c>
      <c r="BT29" s="435">
        <f t="shared" si="64"/>
        <v>0</v>
      </c>
      <c r="BU29" s="95">
        <v>1</v>
      </c>
      <c r="BV29" s="96">
        <f t="shared" si="65"/>
        <v>1.0906744032152329</v>
      </c>
      <c r="BW29" s="432" t="str">
        <f t="shared" si="66"/>
        <v>(2,2,1,1,1,3); Estimation 20l/m2 panel</v>
      </c>
      <c r="BX29" s="435">
        <f t="shared" si="67"/>
        <v>0</v>
      </c>
      <c r="BY29" s="95">
        <v>1</v>
      </c>
      <c r="BZ29" s="96">
        <f t="shared" si="68"/>
        <v>1.0906744032152329</v>
      </c>
      <c r="CA29" s="432" t="str">
        <f t="shared" si="69"/>
        <v>(2,2,1,1,1,3); Estimation 20l/m2 panel</v>
      </c>
      <c r="CB29" s="435">
        <f t="shared" si="70"/>
        <v>0</v>
      </c>
      <c r="CC29" s="95">
        <v>1</v>
      </c>
      <c r="CD29" s="96">
        <f t="shared" si="71"/>
        <v>1.0906744032152329</v>
      </c>
      <c r="CE29" s="432" t="str">
        <f t="shared" si="72"/>
        <v>(2,2,1,1,1,3); Estimation 20l/m2 panel</v>
      </c>
      <c r="CF29" s="435">
        <f t="shared" si="73"/>
        <v>0</v>
      </c>
      <c r="CG29" s="95">
        <v>1</v>
      </c>
      <c r="CH29" s="96">
        <f t="shared" si="74"/>
        <v>1.0906744032152329</v>
      </c>
      <c r="CI29" s="432" t="str">
        <f t="shared" si="75"/>
        <v>(2,2,1,1,1,3); Estimation 20l/m2 panel</v>
      </c>
      <c r="CJ29" s="213"/>
      <c r="CK29" s="505"/>
      <c r="CL29" s="211"/>
      <c r="CM29" s="510"/>
      <c r="CO29" s="77" t="s">
        <v>2213</v>
      </c>
      <c r="CP29" s="339">
        <v>2</v>
      </c>
      <c r="CQ29" s="339">
        <v>2</v>
      </c>
      <c r="CR29" s="339">
        <v>1</v>
      </c>
      <c r="CS29" s="339">
        <v>1</v>
      </c>
      <c r="CT29" s="339">
        <v>1</v>
      </c>
      <c r="CU29" s="339">
        <v>3</v>
      </c>
      <c r="CV29" s="104">
        <v>3</v>
      </c>
      <c r="CW29" s="104">
        <v>1.05</v>
      </c>
      <c r="CX29" s="107">
        <f t="shared" si="76"/>
        <v>1.0744244531716256</v>
      </c>
      <c r="CY29" s="107">
        <f t="shared" si="77"/>
        <v>1.0906744032152329</v>
      </c>
      <c r="CZ29" s="107" t="str">
        <f t="shared" si="78"/>
        <v>(2,2,1,1,1,3)</v>
      </c>
      <c r="DA29" s="108">
        <v>1.05</v>
      </c>
      <c r="DB29" s="108">
        <v>1.02</v>
      </c>
      <c r="DC29" s="108">
        <v>1</v>
      </c>
      <c r="DD29" s="108">
        <v>1</v>
      </c>
      <c r="DE29" s="108">
        <v>1</v>
      </c>
      <c r="DF29" s="108">
        <v>1.05</v>
      </c>
    </row>
    <row r="30" spans="1:110" ht="24" customHeight="1" outlineLevel="1">
      <c r="A30" s="330">
        <v>256204</v>
      </c>
      <c r="B30" s="331"/>
      <c r="C30" s="88"/>
      <c r="D30" s="340">
        <v>5</v>
      </c>
      <c r="E30" s="341" t="s">
        <v>98</v>
      </c>
      <c r="F30" s="432" t="s">
        <v>2274</v>
      </c>
      <c r="G30" s="433" t="s">
        <v>2115</v>
      </c>
      <c r="H30" s="434" t="s">
        <v>98</v>
      </c>
      <c r="I30" s="434" t="s">
        <v>98</v>
      </c>
      <c r="J30" s="94">
        <v>0</v>
      </c>
      <c r="K30" s="433" t="s">
        <v>96</v>
      </c>
      <c r="L30" s="435">
        <f t="shared" si="19"/>
        <v>0</v>
      </c>
      <c r="M30" s="95">
        <v>1</v>
      </c>
      <c r="N30" s="96">
        <f t="shared" si="20"/>
        <v>1.0906744032152329</v>
      </c>
      <c r="O30" s="432" t="str">
        <f t="shared" si="21"/>
        <v>(2,2,1,1,1,3); Estimation 20l/m2 panel</v>
      </c>
      <c r="P30" s="435">
        <f t="shared" si="22"/>
        <v>0</v>
      </c>
      <c r="Q30" s="95">
        <v>1</v>
      </c>
      <c r="R30" s="96">
        <f t="shared" si="23"/>
        <v>1.0906744032152329</v>
      </c>
      <c r="S30" s="432" t="str">
        <f t="shared" si="24"/>
        <v>(2,2,1,1,1,3); Estimation 20l/m2 panel</v>
      </c>
      <c r="T30" s="435">
        <f t="shared" si="25"/>
        <v>0</v>
      </c>
      <c r="U30" s="95">
        <v>1</v>
      </c>
      <c r="V30" s="96">
        <f t="shared" si="26"/>
        <v>1.0906744032152329</v>
      </c>
      <c r="W30" s="432" t="str">
        <f t="shared" si="27"/>
        <v>(2,2,1,1,1,3); Estimation 20l/m2 panel</v>
      </c>
      <c r="X30" s="435">
        <f t="shared" si="28"/>
        <v>3.1908868680528835E-3</v>
      </c>
      <c r="Y30" s="95">
        <v>1</v>
      </c>
      <c r="Z30" s="96">
        <f t="shared" si="29"/>
        <v>1.0906744032152329</v>
      </c>
      <c r="AA30" s="432" t="str">
        <f t="shared" si="30"/>
        <v>(2,2,1,1,1,3); Estimation 20l/m2 panel</v>
      </c>
      <c r="AB30" s="435">
        <f t="shared" si="31"/>
        <v>0</v>
      </c>
      <c r="AC30" s="95">
        <v>1</v>
      </c>
      <c r="AD30" s="96">
        <f t="shared" si="32"/>
        <v>1.0906744032152329</v>
      </c>
      <c r="AE30" s="432" t="str">
        <f t="shared" si="33"/>
        <v>(2,2,1,1,1,3); Estimation 20l/m2 panel</v>
      </c>
      <c r="AF30" s="435">
        <f t="shared" si="34"/>
        <v>0</v>
      </c>
      <c r="AG30" s="95">
        <v>1</v>
      </c>
      <c r="AH30" s="96">
        <f t="shared" si="35"/>
        <v>1.0906744032152329</v>
      </c>
      <c r="AI30" s="432" t="str">
        <f t="shared" si="36"/>
        <v>(2,2,1,1,1,3); Estimation 20l/m2 panel</v>
      </c>
      <c r="AJ30" s="435">
        <f t="shared" si="37"/>
        <v>0</v>
      </c>
      <c r="AK30" s="95">
        <v>1</v>
      </c>
      <c r="AL30" s="96">
        <f t="shared" si="38"/>
        <v>1.0906744032152329</v>
      </c>
      <c r="AM30" s="432" t="str">
        <f t="shared" si="39"/>
        <v>(2,2,1,1,1,3); Estimation 20l/m2 panel</v>
      </c>
      <c r="AN30" s="435">
        <f t="shared" si="40"/>
        <v>0</v>
      </c>
      <c r="AO30" s="95">
        <v>1</v>
      </c>
      <c r="AP30" s="96">
        <f t="shared" si="41"/>
        <v>1.0906744032152329</v>
      </c>
      <c r="AQ30" s="432" t="str">
        <f t="shared" si="42"/>
        <v>(2,2,1,1,1,3); Estimation 20l/m2 panel</v>
      </c>
      <c r="AR30" s="435">
        <f t="shared" si="43"/>
        <v>0</v>
      </c>
      <c r="AS30" s="95">
        <v>1</v>
      </c>
      <c r="AT30" s="96">
        <f t="shared" si="44"/>
        <v>1.0906744032152329</v>
      </c>
      <c r="AU30" s="432" t="str">
        <f t="shared" si="45"/>
        <v>(2,2,1,1,1,3); Estimation 20l/m2 panel</v>
      </c>
      <c r="AV30" s="435">
        <f t="shared" si="46"/>
        <v>0</v>
      </c>
      <c r="AW30" s="95">
        <v>1</v>
      </c>
      <c r="AX30" s="96">
        <f t="shared" si="47"/>
        <v>1.0906744032152329</v>
      </c>
      <c r="AY30" s="432" t="str">
        <f t="shared" si="48"/>
        <v>(2,2,1,1,1,3); Estimation 20l/m2 panel</v>
      </c>
      <c r="AZ30" s="435">
        <f t="shared" si="49"/>
        <v>0</v>
      </c>
      <c r="BA30" s="95">
        <v>1</v>
      </c>
      <c r="BB30" s="96">
        <f t="shared" si="50"/>
        <v>1.0906744032152329</v>
      </c>
      <c r="BC30" s="432" t="str">
        <f t="shared" si="51"/>
        <v>(2,2,1,1,1,3); Estimation 20l/m2 panel</v>
      </c>
      <c r="BD30" s="435">
        <f t="shared" si="52"/>
        <v>0</v>
      </c>
      <c r="BE30" s="95">
        <v>1</v>
      </c>
      <c r="BF30" s="96">
        <f t="shared" si="53"/>
        <v>1.0906744032152329</v>
      </c>
      <c r="BG30" s="432" t="str">
        <f t="shared" si="54"/>
        <v>(2,2,1,1,1,3); Estimation 20l/m2 panel</v>
      </c>
      <c r="BH30" s="435">
        <f t="shared" si="55"/>
        <v>0</v>
      </c>
      <c r="BI30" s="95">
        <v>1</v>
      </c>
      <c r="BJ30" s="96">
        <f t="shared" si="56"/>
        <v>1.0906744032152329</v>
      </c>
      <c r="BK30" s="432" t="str">
        <f t="shared" si="57"/>
        <v>(2,2,1,1,1,3); Estimation 20l/m2 panel</v>
      </c>
      <c r="BL30" s="435">
        <f t="shared" si="58"/>
        <v>0</v>
      </c>
      <c r="BM30" s="95">
        <v>1</v>
      </c>
      <c r="BN30" s="96">
        <f t="shared" si="59"/>
        <v>1.0906744032152329</v>
      </c>
      <c r="BO30" s="432" t="str">
        <f t="shared" si="60"/>
        <v>(2,2,1,1,1,3); Estimation 20l/m2 panel</v>
      </c>
      <c r="BP30" s="435">
        <f t="shared" si="61"/>
        <v>0</v>
      </c>
      <c r="BQ30" s="95">
        <v>1</v>
      </c>
      <c r="BR30" s="96">
        <f t="shared" si="62"/>
        <v>1.0906744032152329</v>
      </c>
      <c r="BS30" s="432" t="str">
        <f t="shared" si="63"/>
        <v>(2,2,1,1,1,3); Estimation 20l/m2 panel</v>
      </c>
      <c r="BT30" s="435">
        <f t="shared" si="64"/>
        <v>0</v>
      </c>
      <c r="BU30" s="95">
        <v>1</v>
      </c>
      <c r="BV30" s="96">
        <f t="shared" si="65"/>
        <v>1.0906744032152329</v>
      </c>
      <c r="BW30" s="432" t="str">
        <f t="shared" si="66"/>
        <v>(2,2,1,1,1,3); Estimation 20l/m2 panel</v>
      </c>
      <c r="BX30" s="435">
        <f t="shared" si="67"/>
        <v>0</v>
      </c>
      <c r="BY30" s="95">
        <v>1</v>
      </c>
      <c r="BZ30" s="96">
        <f t="shared" si="68"/>
        <v>1.0906744032152329</v>
      </c>
      <c r="CA30" s="432" t="str">
        <f t="shared" si="69"/>
        <v>(2,2,1,1,1,3); Estimation 20l/m2 panel</v>
      </c>
      <c r="CB30" s="435">
        <f t="shared" si="70"/>
        <v>0</v>
      </c>
      <c r="CC30" s="95">
        <v>1</v>
      </c>
      <c r="CD30" s="96">
        <f t="shared" si="71"/>
        <v>1.0906744032152329</v>
      </c>
      <c r="CE30" s="432" t="str">
        <f t="shared" si="72"/>
        <v>(2,2,1,1,1,3); Estimation 20l/m2 panel</v>
      </c>
      <c r="CF30" s="435">
        <f t="shared" si="73"/>
        <v>0</v>
      </c>
      <c r="CG30" s="95">
        <v>1</v>
      </c>
      <c r="CH30" s="96">
        <f t="shared" si="74"/>
        <v>1.0906744032152329</v>
      </c>
      <c r="CI30" s="432" t="str">
        <f t="shared" si="75"/>
        <v>(2,2,1,1,1,3); Estimation 20l/m2 panel</v>
      </c>
      <c r="CJ30" s="213"/>
      <c r="CK30" s="505"/>
      <c r="CL30" s="211"/>
      <c r="CM30" s="510"/>
      <c r="CO30" s="77" t="s">
        <v>2213</v>
      </c>
      <c r="CP30" s="339">
        <v>2</v>
      </c>
      <c r="CQ30" s="339">
        <v>2</v>
      </c>
      <c r="CR30" s="339">
        <v>1</v>
      </c>
      <c r="CS30" s="339">
        <v>1</v>
      </c>
      <c r="CT30" s="339">
        <v>1</v>
      </c>
      <c r="CU30" s="339">
        <v>3</v>
      </c>
      <c r="CV30" s="104">
        <v>3</v>
      </c>
      <c r="CW30" s="104">
        <v>1.05</v>
      </c>
      <c r="CX30" s="107">
        <f t="shared" si="76"/>
        <v>1.0744244531716256</v>
      </c>
      <c r="CY30" s="107">
        <f t="shared" si="77"/>
        <v>1.0906744032152329</v>
      </c>
      <c r="CZ30" s="107" t="str">
        <f t="shared" si="78"/>
        <v>(2,2,1,1,1,3)</v>
      </c>
      <c r="DA30" s="108">
        <v>1.05</v>
      </c>
      <c r="DB30" s="108">
        <v>1.02</v>
      </c>
      <c r="DC30" s="108">
        <v>1</v>
      </c>
      <c r="DD30" s="108">
        <v>1</v>
      </c>
      <c r="DE30" s="108">
        <v>1</v>
      </c>
      <c r="DF30" s="108">
        <v>1.05</v>
      </c>
    </row>
    <row r="31" spans="1:110" ht="24" customHeight="1" outlineLevel="1">
      <c r="A31" s="330">
        <v>256114</v>
      </c>
      <c r="B31" s="331"/>
      <c r="C31" s="88"/>
      <c r="D31" s="340">
        <v>5</v>
      </c>
      <c r="E31" s="341" t="s">
        <v>98</v>
      </c>
      <c r="F31" s="432" t="s">
        <v>2275</v>
      </c>
      <c r="G31" s="433" t="s">
        <v>2117</v>
      </c>
      <c r="H31" s="434" t="s">
        <v>98</v>
      </c>
      <c r="I31" s="434" t="s">
        <v>98</v>
      </c>
      <c r="J31" s="94">
        <v>0</v>
      </c>
      <c r="K31" s="433" t="s">
        <v>96</v>
      </c>
      <c r="L31" s="435">
        <f t="shared" si="19"/>
        <v>0</v>
      </c>
      <c r="M31" s="95">
        <v>1</v>
      </c>
      <c r="N31" s="96">
        <f t="shared" si="20"/>
        <v>1.0906744032152329</v>
      </c>
      <c r="O31" s="432" t="str">
        <f t="shared" si="21"/>
        <v>(2,2,1,1,1,3); Estimation 20l/m2 panel</v>
      </c>
      <c r="P31" s="435">
        <f t="shared" si="22"/>
        <v>0</v>
      </c>
      <c r="Q31" s="95">
        <v>1</v>
      </c>
      <c r="R31" s="96">
        <f t="shared" si="23"/>
        <v>1.0906744032152329</v>
      </c>
      <c r="S31" s="432" t="str">
        <f t="shared" si="24"/>
        <v>(2,2,1,1,1,3); Estimation 20l/m2 panel</v>
      </c>
      <c r="T31" s="435">
        <f t="shared" si="25"/>
        <v>0</v>
      </c>
      <c r="U31" s="95">
        <v>1</v>
      </c>
      <c r="V31" s="96">
        <f t="shared" si="26"/>
        <v>1.0906744032152329</v>
      </c>
      <c r="W31" s="432" t="str">
        <f t="shared" si="27"/>
        <v>(2,2,1,1,1,3); Estimation 20l/m2 panel</v>
      </c>
      <c r="X31" s="435">
        <f t="shared" si="28"/>
        <v>0</v>
      </c>
      <c r="Y31" s="95">
        <v>1</v>
      </c>
      <c r="Z31" s="96">
        <f t="shared" si="29"/>
        <v>1.0906744032152329</v>
      </c>
      <c r="AA31" s="432" t="str">
        <f t="shared" si="30"/>
        <v>(2,2,1,1,1,3); Estimation 20l/m2 panel</v>
      </c>
      <c r="AB31" s="435">
        <f t="shared" si="31"/>
        <v>3.660302860084232E-3</v>
      </c>
      <c r="AC31" s="95">
        <v>1</v>
      </c>
      <c r="AD31" s="96">
        <f t="shared" si="32"/>
        <v>1.0906744032152329</v>
      </c>
      <c r="AE31" s="432" t="str">
        <f t="shared" si="33"/>
        <v>(2,2,1,1,1,3); Estimation 20l/m2 panel</v>
      </c>
      <c r="AF31" s="435">
        <f t="shared" si="34"/>
        <v>0</v>
      </c>
      <c r="AG31" s="95">
        <v>1</v>
      </c>
      <c r="AH31" s="96">
        <f t="shared" si="35"/>
        <v>1.0906744032152329</v>
      </c>
      <c r="AI31" s="432" t="str">
        <f t="shared" si="36"/>
        <v>(2,2,1,1,1,3); Estimation 20l/m2 panel</v>
      </c>
      <c r="AJ31" s="435">
        <f t="shared" si="37"/>
        <v>0</v>
      </c>
      <c r="AK31" s="95">
        <v>1</v>
      </c>
      <c r="AL31" s="96">
        <f t="shared" si="38"/>
        <v>1.0906744032152329</v>
      </c>
      <c r="AM31" s="432" t="str">
        <f t="shared" si="39"/>
        <v>(2,2,1,1,1,3); Estimation 20l/m2 panel</v>
      </c>
      <c r="AN31" s="435">
        <f t="shared" si="40"/>
        <v>0</v>
      </c>
      <c r="AO31" s="95">
        <v>1</v>
      </c>
      <c r="AP31" s="96">
        <f t="shared" si="41"/>
        <v>1.0906744032152329</v>
      </c>
      <c r="AQ31" s="432" t="str">
        <f t="shared" si="42"/>
        <v>(2,2,1,1,1,3); Estimation 20l/m2 panel</v>
      </c>
      <c r="AR31" s="435">
        <f t="shared" si="43"/>
        <v>0</v>
      </c>
      <c r="AS31" s="95">
        <v>1</v>
      </c>
      <c r="AT31" s="96">
        <f t="shared" si="44"/>
        <v>1.0906744032152329</v>
      </c>
      <c r="AU31" s="432" t="str">
        <f t="shared" si="45"/>
        <v>(2,2,1,1,1,3); Estimation 20l/m2 panel</v>
      </c>
      <c r="AV31" s="435">
        <f t="shared" si="46"/>
        <v>0</v>
      </c>
      <c r="AW31" s="95">
        <v>1</v>
      </c>
      <c r="AX31" s="96">
        <f t="shared" si="47"/>
        <v>1.0906744032152329</v>
      </c>
      <c r="AY31" s="432" t="str">
        <f t="shared" si="48"/>
        <v>(2,2,1,1,1,3); Estimation 20l/m2 panel</v>
      </c>
      <c r="AZ31" s="435">
        <f t="shared" si="49"/>
        <v>0</v>
      </c>
      <c r="BA31" s="95">
        <v>1</v>
      </c>
      <c r="BB31" s="96">
        <f t="shared" si="50"/>
        <v>1.0906744032152329</v>
      </c>
      <c r="BC31" s="432" t="str">
        <f t="shared" si="51"/>
        <v>(2,2,1,1,1,3); Estimation 20l/m2 panel</v>
      </c>
      <c r="BD31" s="435">
        <f t="shared" si="52"/>
        <v>0</v>
      </c>
      <c r="BE31" s="95">
        <v>1</v>
      </c>
      <c r="BF31" s="96">
        <f t="shared" si="53"/>
        <v>1.0906744032152329</v>
      </c>
      <c r="BG31" s="432" t="str">
        <f t="shared" si="54"/>
        <v>(2,2,1,1,1,3); Estimation 20l/m2 panel</v>
      </c>
      <c r="BH31" s="435">
        <f t="shared" si="55"/>
        <v>0</v>
      </c>
      <c r="BI31" s="95">
        <v>1</v>
      </c>
      <c r="BJ31" s="96">
        <f t="shared" si="56"/>
        <v>1.0906744032152329</v>
      </c>
      <c r="BK31" s="432" t="str">
        <f t="shared" si="57"/>
        <v>(2,2,1,1,1,3); Estimation 20l/m2 panel</v>
      </c>
      <c r="BL31" s="435">
        <f t="shared" si="58"/>
        <v>0</v>
      </c>
      <c r="BM31" s="95">
        <v>1</v>
      </c>
      <c r="BN31" s="96">
        <f t="shared" si="59"/>
        <v>1.0906744032152329</v>
      </c>
      <c r="BO31" s="432" t="str">
        <f t="shared" si="60"/>
        <v>(2,2,1,1,1,3); Estimation 20l/m2 panel</v>
      </c>
      <c r="BP31" s="435">
        <f t="shared" si="61"/>
        <v>0</v>
      </c>
      <c r="BQ31" s="95">
        <v>1</v>
      </c>
      <c r="BR31" s="96">
        <f t="shared" si="62"/>
        <v>1.0906744032152329</v>
      </c>
      <c r="BS31" s="432" t="str">
        <f t="shared" si="63"/>
        <v>(2,2,1,1,1,3); Estimation 20l/m2 panel</v>
      </c>
      <c r="BT31" s="435">
        <f t="shared" si="64"/>
        <v>0</v>
      </c>
      <c r="BU31" s="95">
        <v>1</v>
      </c>
      <c r="BV31" s="96">
        <f t="shared" si="65"/>
        <v>1.0906744032152329</v>
      </c>
      <c r="BW31" s="432" t="str">
        <f t="shared" si="66"/>
        <v>(2,2,1,1,1,3); Estimation 20l/m2 panel</v>
      </c>
      <c r="BX31" s="435">
        <f t="shared" si="67"/>
        <v>0</v>
      </c>
      <c r="BY31" s="95">
        <v>1</v>
      </c>
      <c r="BZ31" s="96">
        <f t="shared" si="68"/>
        <v>1.0906744032152329</v>
      </c>
      <c r="CA31" s="432" t="str">
        <f t="shared" si="69"/>
        <v>(2,2,1,1,1,3); Estimation 20l/m2 panel</v>
      </c>
      <c r="CB31" s="435">
        <f t="shared" si="70"/>
        <v>0</v>
      </c>
      <c r="CC31" s="95">
        <v>1</v>
      </c>
      <c r="CD31" s="96">
        <f t="shared" si="71"/>
        <v>1.0906744032152329</v>
      </c>
      <c r="CE31" s="432" t="str">
        <f t="shared" si="72"/>
        <v>(2,2,1,1,1,3); Estimation 20l/m2 panel</v>
      </c>
      <c r="CF31" s="435">
        <f t="shared" si="73"/>
        <v>0</v>
      </c>
      <c r="CG31" s="95">
        <v>1</v>
      </c>
      <c r="CH31" s="96">
        <f t="shared" si="74"/>
        <v>1.0906744032152329</v>
      </c>
      <c r="CI31" s="432" t="str">
        <f t="shared" si="75"/>
        <v>(2,2,1,1,1,3); Estimation 20l/m2 panel</v>
      </c>
      <c r="CJ31" s="213"/>
      <c r="CK31" s="505"/>
      <c r="CL31" s="211"/>
      <c r="CM31" s="510"/>
      <c r="CO31" s="77" t="s">
        <v>2213</v>
      </c>
      <c r="CP31" s="339">
        <v>2</v>
      </c>
      <c r="CQ31" s="339">
        <v>2</v>
      </c>
      <c r="CR31" s="339">
        <v>1</v>
      </c>
      <c r="CS31" s="339">
        <v>1</v>
      </c>
      <c r="CT31" s="339">
        <v>1</v>
      </c>
      <c r="CU31" s="339">
        <v>3</v>
      </c>
      <c r="CV31" s="104">
        <v>3</v>
      </c>
      <c r="CW31" s="104">
        <v>1.05</v>
      </c>
      <c r="CX31" s="107">
        <f t="shared" si="76"/>
        <v>1.0744244531716256</v>
      </c>
      <c r="CY31" s="107">
        <f t="shared" si="77"/>
        <v>1.0906744032152329</v>
      </c>
      <c r="CZ31" s="107" t="str">
        <f t="shared" si="78"/>
        <v>(2,2,1,1,1,3)</v>
      </c>
      <c r="DA31" s="108">
        <v>1.05</v>
      </c>
      <c r="DB31" s="108">
        <v>1.02</v>
      </c>
      <c r="DC31" s="108">
        <v>1</v>
      </c>
      <c r="DD31" s="108">
        <v>1</v>
      </c>
      <c r="DE31" s="108">
        <v>1</v>
      </c>
      <c r="DF31" s="108">
        <v>1.05</v>
      </c>
    </row>
    <row r="32" spans="1:110" ht="24" customHeight="1" outlineLevel="1">
      <c r="A32" s="330">
        <v>256362</v>
      </c>
      <c r="B32" s="331"/>
      <c r="C32" s="88"/>
      <c r="D32" s="340">
        <v>5</v>
      </c>
      <c r="E32" s="341" t="s">
        <v>98</v>
      </c>
      <c r="F32" s="432" t="s">
        <v>2276</v>
      </c>
      <c r="G32" s="433" t="s">
        <v>2119</v>
      </c>
      <c r="H32" s="434" t="s">
        <v>98</v>
      </c>
      <c r="I32" s="434" t="s">
        <v>98</v>
      </c>
      <c r="J32" s="94">
        <v>0</v>
      </c>
      <c r="K32" s="433" t="s">
        <v>96</v>
      </c>
      <c r="L32" s="435">
        <f t="shared" si="19"/>
        <v>0</v>
      </c>
      <c r="M32" s="95">
        <v>1</v>
      </c>
      <c r="N32" s="96">
        <f t="shared" si="20"/>
        <v>1.0906744032152329</v>
      </c>
      <c r="O32" s="432" t="str">
        <f t="shared" si="21"/>
        <v>(2,2,1,1,1,3); Estimation 20l/m2 panel</v>
      </c>
      <c r="P32" s="435">
        <f t="shared" si="22"/>
        <v>0</v>
      </c>
      <c r="Q32" s="95">
        <v>1</v>
      </c>
      <c r="R32" s="96">
        <f t="shared" si="23"/>
        <v>1.0906744032152329</v>
      </c>
      <c r="S32" s="432" t="str">
        <f t="shared" si="24"/>
        <v>(2,2,1,1,1,3); Estimation 20l/m2 panel</v>
      </c>
      <c r="T32" s="435">
        <f t="shared" si="25"/>
        <v>0</v>
      </c>
      <c r="U32" s="95">
        <v>1</v>
      </c>
      <c r="V32" s="96">
        <f t="shared" si="26"/>
        <v>1.0906744032152329</v>
      </c>
      <c r="W32" s="432" t="str">
        <f t="shared" si="27"/>
        <v>(2,2,1,1,1,3); Estimation 20l/m2 panel</v>
      </c>
      <c r="X32" s="435">
        <f t="shared" si="28"/>
        <v>0</v>
      </c>
      <c r="Y32" s="95">
        <v>1</v>
      </c>
      <c r="Z32" s="96">
        <f t="shared" si="29"/>
        <v>1.0906744032152329</v>
      </c>
      <c r="AA32" s="432" t="str">
        <f t="shared" si="30"/>
        <v>(2,2,1,1,1,3); Estimation 20l/m2 panel</v>
      </c>
      <c r="AB32" s="435">
        <f t="shared" si="31"/>
        <v>0</v>
      </c>
      <c r="AC32" s="95">
        <v>1</v>
      </c>
      <c r="AD32" s="96">
        <f t="shared" si="32"/>
        <v>1.0906744032152329</v>
      </c>
      <c r="AE32" s="432" t="str">
        <f t="shared" si="33"/>
        <v>(2,2,1,1,1,3); Estimation 20l/m2 panel</v>
      </c>
      <c r="AF32" s="435">
        <f t="shared" si="34"/>
        <v>2.8280507962017629E-3</v>
      </c>
      <c r="AG32" s="95">
        <v>1</v>
      </c>
      <c r="AH32" s="96">
        <f t="shared" si="35"/>
        <v>1.0906744032152329</v>
      </c>
      <c r="AI32" s="432" t="str">
        <f t="shared" si="36"/>
        <v>(2,2,1,1,1,3); Estimation 20l/m2 panel</v>
      </c>
      <c r="AJ32" s="435">
        <f t="shared" si="37"/>
        <v>0</v>
      </c>
      <c r="AK32" s="95">
        <v>1</v>
      </c>
      <c r="AL32" s="96">
        <f t="shared" si="38"/>
        <v>1.0906744032152329</v>
      </c>
      <c r="AM32" s="432" t="str">
        <f t="shared" si="39"/>
        <v>(2,2,1,1,1,3); Estimation 20l/m2 panel</v>
      </c>
      <c r="AN32" s="435">
        <f t="shared" si="40"/>
        <v>0</v>
      </c>
      <c r="AO32" s="95">
        <v>1</v>
      </c>
      <c r="AP32" s="96">
        <f t="shared" si="41"/>
        <v>1.0906744032152329</v>
      </c>
      <c r="AQ32" s="432" t="str">
        <f t="shared" si="42"/>
        <v>(2,2,1,1,1,3); Estimation 20l/m2 panel</v>
      </c>
      <c r="AR32" s="435">
        <f t="shared" si="43"/>
        <v>0</v>
      </c>
      <c r="AS32" s="95">
        <v>1</v>
      </c>
      <c r="AT32" s="96">
        <f t="shared" si="44"/>
        <v>1.0906744032152329</v>
      </c>
      <c r="AU32" s="432" t="str">
        <f t="shared" si="45"/>
        <v>(2,2,1,1,1,3); Estimation 20l/m2 panel</v>
      </c>
      <c r="AV32" s="435">
        <f t="shared" si="46"/>
        <v>0</v>
      </c>
      <c r="AW32" s="95">
        <v>1</v>
      </c>
      <c r="AX32" s="96">
        <f t="shared" si="47"/>
        <v>1.0906744032152329</v>
      </c>
      <c r="AY32" s="432" t="str">
        <f t="shared" si="48"/>
        <v>(2,2,1,1,1,3); Estimation 20l/m2 panel</v>
      </c>
      <c r="AZ32" s="435">
        <f t="shared" si="49"/>
        <v>0</v>
      </c>
      <c r="BA32" s="95">
        <v>1</v>
      </c>
      <c r="BB32" s="96">
        <f t="shared" si="50"/>
        <v>1.0906744032152329</v>
      </c>
      <c r="BC32" s="432" t="str">
        <f t="shared" si="51"/>
        <v>(2,2,1,1,1,3); Estimation 20l/m2 panel</v>
      </c>
      <c r="BD32" s="435">
        <f t="shared" si="52"/>
        <v>0</v>
      </c>
      <c r="BE32" s="95">
        <v>1</v>
      </c>
      <c r="BF32" s="96">
        <f t="shared" si="53"/>
        <v>1.0906744032152329</v>
      </c>
      <c r="BG32" s="432" t="str">
        <f t="shared" si="54"/>
        <v>(2,2,1,1,1,3); Estimation 20l/m2 panel</v>
      </c>
      <c r="BH32" s="435">
        <f t="shared" si="55"/>
        <v>0</v>
      </c>
      <c r="BI32" s="95">
        <v>1</v>
      </c>
      <c r="BJ32" s="96">
        <f t="shared" si="56"/>
        <v>1.0906744032152329</v>
      </c>
      <c r="BK32" s="432" t="str">
        <f t="shared" si="57"/>
        <v>(2,2,1,1,1,3); Estimation 20l/m2 panel</v>
      </c>
      <c r="BL32" s="435">
        <f t="shared" si="58"/>
        <v>0</v>
      </c>
      <c r="BM32" s="95">
        <v>1</v>
      </c>
      <c r="BN32" s="96">
        <f t="shared" si="59"/>
        <v>1.0906744032152329</v>
      </c>
      <c r="BO32" s="432" t="str">
        <f t="shared" si="60"/>
        <v>(2,2,1,1,1,3); Estimation 20l/m2 panel</v>
      </c>
      <c r="BP32" s="435">
        <f t="shared" si="61"/>
        <v>0</v>
      </c>
      <c r="BQ32" s="95">
        <v>1</v>
      </c>
      <c r="BR32" s="96">
        <f t="shared" si="62"/>
        <v>1.0906744032152329</v>
      </c>
      <c r="BS32" s="432" t="str">
        <f t="shared" si="63"/>
        <v>(2,2,1,1,1,3); Estimation 20l/m2 panel</v>
      </c>
      <c r="BT32" s="435">
        <f t="shared" si="64"/>
        <v>0</v>
      </c>
      <c r="BU32" s="95">
        <v>1</v>
      </c>
      <c r="BV32" s="96">
        <f t="shared" si="65"/>
        <v>1.0906744032152329</v>
      </c>
      <c r="BW32" s="432" t="str">
        <f t="shared" si="66"/>
        <v>(2,2,1,1,1,3); Estimation 20l/m2 panel</v>
      </c>
      <c r="BX32" s="435">
        <f t="shared" si="67"/>
        <v>0</v>
      </c>
      <c r="BY32" s="95">
        <v>1</v>
      </c>
      <c r="BZ32" s="96">
        <f t="shared" si="68"/>
        <v>1.0906744032152329</v>
      </c>
      <c r="CA32" s="432" t="str">
        <f t="shared" si="69"/>
        <v>(2,2,1,1,1,3); Estimation 20l/m2 panel</v>
      </c>
      <c r="CB32" s="435">
        <f t="shared" si="70"/>
        <v>0</v>
      </c>
      <c r="CC32" s="95">
        <v>1</v>
      </c>
      <c r="CD32" s="96">
        <f t="shared" si="71"/>
        <v>1.0906744032152329</v>
      </c>
      <c r="CE32" s="432" t="str">
        <f t="shared" si="72"/>
        <v>(2,2,1,1,1,3); Estimation 20l/m2 panel</v>
      </c>
      <c r="CF32" s="435">
        <f t="shared" si="73"/>
        <v>0</v>
      </c>
      <c r="CG32" s="95">
        <v>1</v>
      </c>
      <c r="CH32" s="96">
        <f t="shared" si="74"/>
        <v>1.0906744032152329</v>
      </c>
      <c r="CI32" s="432" t="str">
        <f t="shared" si="75"/>
        <v>(2,2,1,1,1,3); Estimation 20l/m2 panel</v>
      </c>
      <c r="CJ32" s="213"/>
      <c r="CK32" s="505"/>
      <c r="CL32" s="211"/>
      <c r="CM32" s="510"/>
      <c r="CO32" s="77" t="s">
        <v>2213</v>
      </c>
      <c r="CP32" s="339">
        <v>2</v>
      </c>
      <c r="CQ32" s="339">
        <v>2</v>
      </c>
      <c r="CR32" s="339">
        <v>1</v>
      </c>
      <c r="CS32" s="339">
        <v>1</v>
      </c>
      <c r="CT32" s="339">
        <v>1</v>
      </c>
      <c r="CU32" s="339">
        <v>3</v>
      </c>
      <c r="CV32" s="104">
        <v>3</v>
      </c>
      <c r="CW32" s="104">
        <v>1.05</v>
      </c>
      <c r="CX32" s="107">
        <f t="shared" si="76"/>
        <v>1.0744244531716256</v>
      </c>
      <c r="CY32" s="107">
        <f t="shared" si="77"/>
        <v>1.0906744032152329</v>
      </c>
      <c r="CZ32" s="107" t="str">
        <f t="shared" si="78"/>
        <v>(2,2,1,1,1,3)</v>
      </c>
      <c r="DA32" s="108">
        <v>1.05</v>
      </c>
      <c r="DB32" s="108">
        <v>1.02</v>
      </c>
      <c r="DC32" s="108">
        <v>1</v>
      </c>
      <c r="DD32" s="108">
        <v>1</v>
      </c>
      <c r="DE32" s="108">
        <v>1</v>
      </c>
      <c r="DF32" s="108">
        <v>1.05</v>
      </c>
    </row>
    <row r="33" spans="1:118" ht="24" customHeight="1" outlineLevel="1">
      <c r="A33" s="330">
        <v>259545</v>
      </c>
      <c r="B33" s="331"/>
      <c r="C33" s="88"/>
      <c r="D33" s="340">
        <v>5</v>
      </c>
      <c r="E33" s="341" t="s">
        <v>98</v>
      </c>
      <c r="F33" s="432" t="s">
        <v>993</v>
      </c>
      <c r="G33" s="433" t="s">
        <v>340</v>
      </c>
      <c r="H33" s="434" t="s">
        <v>98</v>
      </c>
      <c r="I33" s="434" t="s">
        <v>98</v>
      </c>
      <c r="J33" s="94">
        <v>0</v>
      </c>
      <c r="K33" s="433" t="s">
        <v>96</v>
      </c>
      <c r="L33" s="435">
        <f t="shared" si="19"/>
        <v>0</v>
      </c>
      <c r="M33" s="95">
        <v>1</v>
      </c>
      <c r="N33" s="96">
        <f t="shared" si="20"/>
        <v>1.0906744032152329</v>
      </c>
      <c r="O33" s="432" t="str">
        <f t="shared" si="21"/>
        <v>(2,2,1,1,1,3); Estimation 20l/m2 panel</v>
      </c>
      <c r="P33" s="435">
        <f t="shared" si="22"/>
        <v>0</v>
      </c>
      <c r="Q33" s="95">
        <v>1</v>
      </c>
      <c r="R33" s="96">
        <f t="shared" si="23"/>
        <v>1.0906744032152329</v>
      </c>
      <c r="S33" s="432" t="str">
        <f t="shared" si="24"/>
        <v>(2,2,1,1,1,3); Estimation 20l/m2 panel</v>
      </c>
      <c r="T33" s="435">
        <f t="shared" si="25"/>
        <v>0</v>
      </c>
      <c r="U33" s="95">
        <v>1</v>
      </c>
      <c r="V33" s="96">
        <f t="shared" si="26"/>
        <v>1.0906744032152329</v>
      </c>
      <c r="W33" s="432" t="str">
        <f t="shared" si="27"/>
        <v>(2,2,1,1,1,3); Estimation 20l/m2 panel</v>
      </c>
      <c r="X33" s="435">
        <f t="shared" si="28"/>
        <v>0</v>
      </c>
      <c r="Y33" s="95">
        <v>1</v>
      </c>
      <c r="Z33" s="96">
        <f t="shared" si="29"/>
        <v>1.0906744032152329</v>
      </c>
      <c r="AA33" s="432" t="str">
        <f t="shared" si="30"/>
        <v>(2,2,1,1,1,3); Estimation 20l/m2 panel</v>
      </c>
      <c r="AB33" s="435">
        <f t="shared" si="31"/>
        <v>0</v>
      </c>
      <c r="AC33" s="95">
        <v>1</v>
      </c>
      <c r="AD33" s="96">
        <f t="shared" si="32"/>
        <v>1.0906744032152329</v>
      </c>
      <c r="AE33" s="432" t="str">
        <f t="shared" si="33"/>
        <v>(2,2,1,1,1,3); Estimation 20l/m2 panel</v>
      </c>
      <c r="AF33" s="435">
        <f t="shared" si="34"/>
        <v>0</v>
      </c>
      <c r="AG33" s="95">
        <v>1</v>
      </c>
      <c r="AH33" s="96">
        <f t="shared" si="35"/>
        <v>1.0906744032152329</v>
      </c>
      <c r="AI33" s="432" t="str">
        <f t="shared" si="36"/>
        <v>(2,2,1,1,1,3); Estimation 20l/m2 panel</v>
      </c>
      <c r="AJ33" s="435">
        <f t="shared" si="37"/>
        <v>3.3362727553259285E-3</v>
      </c>
      <c r="AK33" s="95">
        <v>1</v>
      </c>
      <c r="AL33" s="96">
        <f t="shared" si="38"/>
        <v>1.0906744032152329</v>
      </c>
      <c r="AM33" s="432" t="str">
        <f t="shared" si="39"/>
        <v>(2,2,1,1,1,3); Estimation 20l/m2 panel</v>
      </c>
      <c r="AN33" s="435">
        <f t="shared" si="40"/>
        <v>0</v>
      </c>
      <c r="AO33" s="95">
        <v>1</v>
      </c>
      <c r="AP33" s="96">
        <f t="shared" si="41"/>
        <v>1.0906744032152329</v>
      </c>
      <c r="AQ33" s="432" t="str">
        <f t="shared" si="42"/>
        <v>(2,2,1,1,1,3); Estimation 20l/m2 panel</v>
      </c>
      <c r="AR33" s="435">
        <f t="shared" si="43"/>
        <v>0</v>
      </c>
      <c r="AS33" s="95">
        <v>1</v>
      </c>
      <c r="AT33" s="96">
        <f t="shared" si="44"/>
        <v>1.0906744032152329</v>
      </c>
      <c r="AU33" s="432" t="str">
        <f t="shared" si="45"/>
        <v>(2,2,1,1,1,3); Estimation 20l/m2 panel</v>
      </c>
      <c r="AV33" s="435">
        <f t="shared" si="46"/>
        <v>0</v>
      </c>
      <c r="AW33" s="95">
        <v>1</v>
      </c>
      <c r="AX33" s="96">
        <f t="shared" si="47"/>
        <v>1.0906744032152329</v>
      </c>
      <c r="AY33" s="432" t="str">
        <f t="shared" si="48"/>
        <v>(2,2,1,1,1,3); Estimation 20l/m2 panel</v>
      </c>
      <c r="AZ33" s="435">
        <f t="shared" si="49"/>
        <v>0</v>
      </c>
      <c r="BA33" s="95">
        <v>1</v>
      </c>
      <c r="BB33" s="96">
        <f t="shared" si="50"/>
        <v>1.0906744032152329</v>
      </c>
      <c r="BC33" s="432" t="str">
        <f t="shared" si="51"/>
        <v>(2,2,1,1,1,3); Estimation 20l/m2 panel</v>
      </c>
      <c r="BD33" s="435">
        <f t="shared" si="52"/>
        <v>0</v>
      </c>
      <c r="BE33" s="95">
        <v>1</v>
      </c>
      <c r="BF33" s="96">
        <f t="shared" si="53"/>
        <v>1.0906744032152329</v>
      </c>
      <c r="BG33" s="432" t="str">
        <f t="shared" si="54"/>
        <v>(2,2,1,1,1,3); Estimation 20l/m2 panel</v>
      </c>
      <c r="BH33" s="435">
        <f t="shared" si="55"/>
        <v>0</v>
      </c>
      <c r="BI33" s="95">
        <v>1</v>
      </c>
      <c r="BJ33" s="96">
        <f t="shared" si="56"/>
        <v>1.0906744032152329</v>
      </c>
      <c r="BK33" s="432" t="str">
        <f t="shared" si="57"/>
        <v>(2,2,1,1,1,3); Estimation 20l/m2 panel</v>
      </c>
      <c r="BL33" s="435">
        <f t="shared" si="58"/>
        <v>0</v>
      </c>
      <c r="BM33" s="95">
        <v>1</v>
      </c>
      <c r="BN33" s="96">
        <f t="shared" si="59"/>
        <v>1.0906744032152329</v>
      </c>
      <c r="BO33" s="432" t="str">
        <f t="shared" si="60"/>
        <v>(2,2,1,1,1,3); Estimation 20l/m2 panel</v>
      </c>
      <c r="BP33" s="435">
        <f t="shared" si="61"/>
        <v>0</v>
      </c>
      <c r="BQ33" s="95">
        <v>1</v>
      </c>
      <c r="BR33" s="96">
        <f t="shared" si="62"/>
        <v>1.0906744032152329</v>
      </c>
      <c r="BS33" s="432" t="str">
        <f t="shared" si="63"/>
        <v>(2,2,1,1,1,3); Estimation 20l/m2 panel</v>
      </c>
      <c r="BT33" s="435">
        <f t="shared" si="64"/>
        <v>0</v>
      </c>
      <c r="BU33" s="95">
        <v>1</v>
      </c>
      <c r="BV33" s="96">
        <f t="shared" si="65"/>
        <v>1.0906744032152329</v>
      </c>
      <c r="BW33" s="432" t="str">
        <f t="shared" si="66"/>
        <v>(2,2,1,1,1,3); Estimation 20l/m2 panel</v>
      </c>
      <c r="BX33" s="435">
        <f t="shared" si="67"/>
        <v>0</v>
      </c>
      <c r="BY33" s="95">
        <v>1</v>
      </c>
      <c r="BZ33" s="96">
        <f t="shared" si="68"/>
        <v>1.0906744032152329</v>
      </c>
      <c r="CA33" s="432" t="str">
        <f t="shared" si="69"/>
        <v>(2,2,1,1,1,3); Estimation 20l/m2 panel</v>
      </c>
      <c r="CB33" s="435">
        <f t="shared" si="70"/>
        <v>0</v>
      </c>
      <c r="CC33" s="95">
        <v>1</v>
      </c>
      <c r="CD33" s="96">
        <f t="shared" si="71"/>
        <v>1.0906744032152329</v>
      </c>
      <c r="CE33" s="432" t="str">
        <f t="shared" si="72"/>
        <v>(2,2,1,1,1,3); Estimation 20l/m2 panel</v>
      </c>
      <c r="CF33" s="435">
        <f t="shared" si="73"/>
        <v>0</v>
      </c>
      <c r="CG33" s="95">
        <v>1</v>
      </c>
      <c r="CH33" s="96">
        <f t="shared" si="74"/>
        <v>1.0906744032152329</v>
      </c>
      <c r="CI33" s="432" t="str">
        <f t="shared" si="75"/>
        <v>(2,2,1,1,1,3); Estimation 20l/m2 panel</v>
      </c>
      <c r="CJ33" s="213"/>
      <c r="CK33" s="505"/>
      <c r="CL33" s="211"/>
      <c r="CM33" s="510"/>
      <c r="CO33" s="77" t="s">
        <v>2213</v>
      </c>
      <c r="CP33" s="339">
        <v>2</v>
      </c>
      <c r="CQ33" s="339">
        <v>2</v>
      </c>
      <c r="CR33" s="339">
        <v>1</v>
      </c>
      <c r="CS33" s="339">
        <v>1</v>
      </c>
      <c r="CT33" s="339">
        <v>1</v>
      </c>
      <c r="CU33" s="339">
        <v>3</v>
      </c>
      <c r="CV33" s="104">
        <v>3</v>
      </c>
      <c r="CW33" s="104">
        <v>1.05</v>
      </c>
      <c r="CX33" s="107">
        <f t="shared" si="76"/>
        <v>1.0744244531716256</v>
      </c>
      <c r="CY33" s="107">
        <f t="shared" si="77"/>
        <v>1.0906744032152329</v>
      </c>
      <c r="CZ33" s="107" t="str">
        <f t="shared" si="78"/>
        <v>(2,2,1,1,1,3)</v>
      </c>
      <c r="DA33" s="108">
        <v>1.05</v>
      </c>
      <c r="DB33" s="108">
        <v>1.02</v>
      </c>
      <c r="DC33" s="108">
        <v>1</v>
      </c>
      <c r="DD33" s="108">
        <v>1</v>
      </c>
      <c r="DE33" s="108">
        <v>1</v>
      </c>
      <c r="DF33" s="108">
        <v>1.05</v>
      </c>
    </row>
    <row r="34" spans="1:118" ht="24" customHeight="1" outlineLevel="1">
      <c r="A34" s="330">
        <v>256578</v>
      </c>
      <c r="B34" s="331"/>
      <c r="C34" s="88"/>
      <c r="D34" s="340">
        <v>5</v>
      </c>
      <c r="E34" s="341" t="s">
        <v>98</v>
      </c>
      <c r="F34" s="432" t="s">
        <v>2277</v>
      </c>
      <c r="G34" s="433" t="s">
        <v>2121</v>
      </c>
      <c r="H34" s="434" t="s">
        <v>98</v>
      </c>
      <c r="I34" s="434" t="s">
        <v>98</v>
      </c>
      <c r="J34" s="94">
        <v>0</v>
      </c>
      <c r="K34" s="433" t="s">
        <v>96</v>
      </c>
      <c r="L34" s="435">
        <f t="shared" si="19"/>
        <v>0</v>
      </c>
      <c r="M34" s="95">
        <v>1</v>
      </c>
      <c r="N34" s="96">
        <f t="shared" si="20"/>
        <v>1.0906744032152329</v>
      </c>
      <c r="O34" s="432" t="str">
        <f t="shared" si="21"/>
        <v>(2,2,1,1,1,3); Estimation 20l/m2 panel</v>
      </c>
      <c r="P34" s="435">
        <f t="shared" si="22"/>
        <v>0</v>
      </c>
      <c r="Q34" s="95">
        <v>1</v>
      </c>
      <c r="R34" s="96">
        <f t="shared" si="23"/>
        <v>1.0906744032152329</v>
      </c>
      <c r="S34" s="432" t="str">
        <f t="shared" si="24"/>
        <v>(2,2,1,1,1,3); Estimation 20l/m2 panel</v>
      </c>
      <c r="T34" s="435">
        <f t="shared" si="25"/>
        <v>0</v>
      </c>
      <c r="U34" s="95">
        <v>1</v>
      </c>
      <c r="V34" s="96">
        <f t="shared" si="26"/>
        <v>1.0906744032152329</v>
      </c>
      <c r="W34" s="432" t="str">
        <f t="shared" si="27"/>
        <v>(2,2,1,1,1,3); Estimation 20l/m2 panel</v>
      </c>
      <c r="X34" s="435">
        <f t="shared" si="28"/>
        <v>0</v>
      </c>
      <c r="Y34" s="95">
        <v>1</v>
      </c>
      <c r="Z34" s="96">
        <f t="shared" si="29"/>
        <v>1.0906744032152329</v>
      </c>
      <c r="AA34" s="432" t="str">
        <f t="shared" si="30"/>
        <v>(2,2,1,1,1,3); Estimation 20l/m2 panel</v>
      </c>
      <c r="AB34" s="435">
        <f t="shared" si="31"/>
        <v>0</v>
      </c>
      <c r="AC34" s="95">
        <v>1</v>
      </c>
      <c r="AD34" s="96">
        <f t="shared" si="32"/>
        <v>1.0906744032152329</v>
      </c>
      <c r="AE34" s="432" t="str">
        <f t="shared" si="33"/>
        <v>(2,2,1,1,1,3); Estimation 20l/m2 panel</v>
      </c>
      <c r="AF34" s="435">
        <f t="shared" si="34"/>
        <v>0</v>
      </c>
      <c r="AG34" s="95">
        <v>1</v>
      </c>
      <c r="AH34" s="96">
        <f t="shared" si="35"/>
        <v>1.0906744032152329</v>
      </c>
      <c r="AI34" s="432" t="str">
        <f t="shared" si="36"/>
        <v>(2,2,1,1,1,3); Estimation 20l/m2 panel</v>
      </c>
      <c r="AJ34" s="435">
        <f t="shared" si="37"/>
        <v>0</v>
      </c>
      <c r="AK34" s="95">
        <v>1</v>
      </c>
      <c r="AL34" s="96">
        <f t="shared" si="38"/>
        <v>1.0906744032152329</v>
      </c>
      <c r="AM34" s="432" t="str">
        <f t="shared" si="39"/>
        <v>(2,2,1,1,1,3); Estimation 20l/m2 panel</v>
      </c>
      <c r="AN34" s="435">
        <f t="shared" si="40"/>
        <v>2.3056073074758888E-3</v>
      </c>
      <c r="AO34" s="95">
        <v>1</v>
      </c>
      <c r="AP34" s="96">
        <f t="shared" si="41"/>
        <v>1.0906744032152329</v>
      </c>
      <c r="AQ34" s="432" t="str">
        <f t="shared" si="42"/>
        <v>(2,2,1,1,1,3); Estimation 20l/m2 panel</v>
      </c>
      <c r="AR34" s="435">
        <f t="shared" si="43"/>
        <v>0</v>
      </c>
      <c r="AS34" s="95">
        <v>1</v>
      </c>
      <c r="AT34" s="96">
        <f t="shared" si="44"/>
        <v>1.0906744032152329</v>
      </c>
      <c r="AU34" s="432" t="str">
        <f t="shared" si="45"/>
        <v>(2,2,1,1,1,3); Estimation 20l/m2 panel</v>
      </c>
      <c r="AV34" s="435">
        <f t="shared" si="46"/>
        <v>0</v>
      </c>
      <c r="AW34" s="95">
        <v>1</v>
      </c>
      <c r="AX34" s="96">
        <f t="shared" si="47"/>
        <v>1.0906744032152329</v>
      </c>
      <c r="AY34" s="432" t="str">
        <f t="shared" si="48"/>
        <v>(2,2,1,1,1,3); Estimation 20l/m2 panel</v>
      </c>
      <c r="AZ34" s="435">
        <f t="shared" si="49"/>
        <v>0</v>
      </c>
      <c r="BA34" s="95">
        <v>1</v>
      </c>
      <c r="BB34" s="96">
        <f t="shared" si="50"/>
        <v>1.0906744032152329</v>
      </c>
      <c r="BC34" s="432" t="str">
        <f t="shared" si="51"/>
        <v>(2,2,1,1,1,3); Estimation 20l/m2 panel</v>
      </c>
      <c r="BD34" s="435">
        <f t="shared" si="52"/>
        <v>0</v>
      </c>
      <c r="BE34" s="95">
        <v>1</v>
      </c>
      <c r="BF34" s="96">
        <f t="shared" si="53"/>
        <v>1.0906744032152329</v>
      </c>
      <c r="BG34" s="432" t="str">
        <f t="shared" si="54"/>
        <v>(2,2,1,1,1,3); Estimation 20l/m2 panel</v>
      </c>
      <c r="BH34" s="435">
        <f t="shared" si="55"/>
        <v>0</v>
      </c>
      <c r="BI34" s="95">
        <v>1</v>
      </c>
      <c r="BJ34" s="96">
        <f t="shared" si="56"/>
        <v>1.0906744032152329</v>
      </c>
      <c r="BK34" s="432" t="str">
        <f t="shared" si="57"/>
        <v>(2,2,1,1,1,3); Estimation 20l/m2 panel</v>
      </c>
      <c r="BL34" s="435">
        <f t="shared" si="58"/>
        <v>0</v>
      </c>
      <c r="BM34" s="95">
        <v>1</v>
      </c>
      <c r="BN34" s="96">
        <f t="shared" si="59"/>
        <v>1.0906744032152329</v>
      </c>
      <c r="BO34" s="432" t="str">
        <f t="shared" si="60"/>
        <v>(2,2,1,1,1,3); Estimation 20l/m2 panel</v>
      </c>
      <c r="BP34" s="435">
        <f t="shared" si="61"/>
        <v>0</v>
      </c>
      <c r="BQ34" s="95">
        <v>1</v>
      </c>
      <c r="BR34" s="96">
        <f t="shared" si="62"/>
        <v>1.0906744032152329</v>
      </c>
      <c r="BS34" s="432" t="str">
        <f t="shared" si="63"/>
        <v>(2,2,1,1,1,3); Estimation 20l/m2 panel</v>
      </c>
      <c r="BT34" s="435">
        <f t="shared" si="64"/>
        <v>0</v>
      </c>
      <c r="BU34" s="95">
        <v>1</v>
      </c>
      <c r="BV34" s="96">
        <f t="shared" si="65"/>
        <v>1.0906744032152329</v>
      </c>
      <c r="BW34" s="432" t="str">
        <f t="shared" si="66"/>
        <v>(2,2,1,1,1,3); Estimation 20l/m2 panel</v>
      </c>
      <c r="BX34" s="435">
        <f t="shared" si="67"/>
        <v>0</v>
      </c>
      <c r="BY34" s="95">
        <v>1</v>
      </c>
      <c r="BZ34" s="96">
        <f t="shared" si="68"/>
        <v>1.0906744032152329</v>
      </c>
      <c r="CA34" s="432" t="str">
        <f t="shared" si="69"/>
        <v>(2,2,1,1,1,3); Estimation 20l/m2 panel</v>
      </c>
      <c r="CB34" s="435">
        <f t="shared" si="70"/>
        <v>0</v>
      </c>
      <c r="CC34" s="95">
        <v>1</v>
      </c>
      <c r="CD34" s="96">
        <f t="shared" si="71"/>
        <v>1.0906744032152329</v>
      </c>
      <c r="CE34" s="432" t="str">
        <f t="shared" si="72"/>
        <v>(2,2,1,1,1,3); Estimation 20l/m2 panel</v>
      </c>
      <c r="CF34" s="435">
        <f t="shared" si="73"/>
        <v>0</v>
      </c>
      <c r="CG34" s="95">
        <v>1</v>
      </c>
      <c r="CH34" s="96">
        <f t="shared" si="74"/>
        <v>1.0906744032152329</v>
      </c>
      <c r="CI34" s="432" t="str">
        <f t="shared" si="75"/>
        <v>(2,2,1,1,1,3); Estimation 20l/m2 panel</v>
      </c>
      <c r="CJ34" s="213"/>
      <c r="CK34" s="505"/>
      <c r="CL34" s="211"/>
      <c r="CM34" s="510"/>
      <c r="CO34" s="77" t="s">
        <v>2213</v>
      </c>
      <c r="CP34" s="339">
        <v>2</v>
      </c>
      <c r="CQ34" s="339">
        <v>2</v>
      </c>
      <c r="CR34" s="339">
        <v>1</v>
      </c>
      <c r="CS34" s="339">
        <v>1</v>
      </c>
      <c r="CT34" s="339">
        <v>1</v>
      </c>
      <c r="CU34" s="339">
        <v>3</v>
      </c>
      <c r="CV34" s="104">
        <v>3</v>
      </c>
      <c r="CW34" s="104">
        <v>1.05</v>
      </c>
      <c r="CX34" s="107">
        <f t="shared" si="76"/>
        <v>1.0744244531716256</v>
      </c>
      <c r="CY34" s="107">
        <f t="shared" si="77"/>
        <v>1.0906744032152329</v>
      </c>
      <c r="CZ34" s="107" t="str">
        <f t="shared" si="78"/>
        <v>(2,2,1,1,1,3)</v>
      </c>
      <c r="DA34" s="108">
        <v>1.05</v>
      </c>
      <c r="DB34" s="108">
        <v>1.02</v>
      </c>
      <c r="DC34" s="108">
        <v>1</v>
      </c>
      <c r="DD34" s="108">
        <v>1</v>
      </c>
      <c r="DE34" s="108">
        <v>1</v>
      </c>
      <c r="DF34" s="108">
        <v>1.05</v>
      </c>
    </row>
    <row r="35" spans="1:118" ht="24" customHeight="1" outlineLevel="1">
      <c r="A35" s="330">
        <v>256494</v>
      </c>
      <c r="B35" s="331"/>
      <c r="C35" s="88"/>
      <c r="D35" s="340">
        <v>5</v>
      </c>
      <c r="E35" s="341" t="s">
        <v>98</v>
      </c>
      <c r="F35" s="432" t="s">
        <v>2278</v>
      </c>
      <c r="G35" s="433" t="s">
        <v>2123</v>
      </c>
      <c r="H35" s="434" t="s">
        <v>98</v>
      </c>
      <c r="I35" s="434" t="s">
        <v>98</v>
      </c>
      <c r="J35" s="94">
        <v>0</v>
      </c>
      <c r="K35" s="433" t="s">
        <v>96</v>
      </c>
      <c r="L35" s="435">
        <f t="shared" si="19"/>
        <v>0</v>
      </c>
      <c r="M35" s="95">
        <v>1</v>
      </c>
      <c r="N35" s="96">
        <f t="shared" si="20"/>
        <v>1.0906744032152329</v>
      </c>
      <c r="O35" s="432" t="str">
        <f t="shared" si="21"/>
        <v>(2,2,1,1,1,3); Estimation 20l/m2 panel</v>
      </c>
      <c r="P35" s="435">
        <f t="shared" si="22"/>
        <v>0</v>
      </c>
      <c r="Q35" s="95">
        <v>1</v>
      </c>
      <c r="R35" s="96">
        <f t="shared" si="23"/>
        <v>1.0906744032152329</v>
      </c>
      <c r="S35" s="432" t="str">
        <f t="shared" si="24"/>
        <v>(2,2,1,1,1,3); Estimation 20l/m2 panel</v>
      </c>
      <c r="T35" s="435">
        <f t="shared" si="25"/>
        <v>0</v>
      </c>
      <c r="U35" s="95">
        <v>1</v>
      </c>
      <c r="V35" s="96">
        <f t="shared" si="26"/>
        <v>1.0906744032152329</v>
      </c>
      <c r="W35" s="432" t="str">
        <f t="shared" si="27"/>
        <v>(2,2,1,1,1,3); Estimation 20l/m2 panel</v>
      </c>
      <c r="X35" s="435">
        <f t="shared" si="28"/>
        <v>0</v>
      </c>
      <c r="Y35" s="95">
        <v>1</v>
      </c>
      <c r="Z35" s="96">
        <f t="shared" si="29"/>
        <v>1.0906744032152329</v>
      </c>
      <c r="AA35" s="432" t="str">
        <f t="shared" si="30"/>
        <v>(2,2,1,1,1,3); Estimation 20l/m2 panel</v>
      </c>
      <c r="AB35" s="435">
        <f t="shared" si="31"/>
        <v>0</v>
      </c>
      <c r="AC35" s="95">
        <v>1</v>
      </c>
      <c r="AD35" s="96">
        <f t="shared" si="32"/>
        <v>1.0906744032152329</v>
      </c>
      <c r="AE35" s="432" t="str">
        <f t="shared" si="33"/>
        <v>(2,2,1,1,1,3); Estimation 20l/m2 panel</v>
      </c>
      <c r="AF35" s="435">
        <f t="shared" si="34"/>
        <v>0</v>
      </c>
      <c r="AG35" s="95">
        <v>1</v>
      </c>
      <c r="AH35" s="96">
        <f t="shared" si="35"/>
        <v>1.0906744032152329</v>
      </c>
      <c r="AI35" s="432" t="str">
        <f t="shared" si="36"/>
        <v>(2,2,1,1,1,3); Estimation 20l/m2 panel</v>
      </c>
      <c r="AJ35" s="435">
        <f t="shared" si="37"/>
        <v>0</v>
      </c>
      <c r="AK35" s="95">
        <v>1</v>
      </c>
      <c r="AL35" s="96">
        <f t="shared" si="38"/>
        <v>1.0906744032152329</v>
      </c>
      <c r="AM35" s="432" t="str">
        <f t="shared" si="39"/>
        <v>(2,2,1,1,1,3); Estimation 20l/m2 panel</v>
      </c>
      <c r="AN35" s="435">
        <f t="shared" si="40"/>
        <v>0</v>
      </c>
      <c r="AO35" s="95">
        <v>1</v>
      </c>
      <c r="AP35" s="96">
        <f t="shared" si="41"/>
        <v>1.0906744032152329</v>
      </c>
      <c r="AQ35" s="432" t="str">
        <f t="shared" si="42"/>
        <v>(2,2,1,1,1,3); Estimation 20l/m2 panel</v>
      </c>
      <c r="AR35" s="435">
        <f t="shared" si="43"/>
        <v>2.7970447128063867E-3</v>
      </c>
      <c r="AS35" s="95">
        <v>1</v>
      </c>
      <c r="AT35" s="96">
        <f t="shared" si="44"/>
        <v>1.0906744032152329</v>
      </c>
      <c r="AU35" s="432" t="str">
        <f t="shared" si="45"/>
        <v>(2,2,1,1,1,3); Estimation 20l/m2 panel</v>
      </c>
      <c r="AV35" s="435">
        <f t="shared" si="46"/>
        <v>0</v>
      </c>
      <c r="AW35" s="95">
        <v>1</v>
      </c>
      <c r="AX35" s="96">
        <f t="shared" si="47"/>
        <v>1.0906744032152329</v>
      </c>
      <c r="AY35" s="432" t="str">
        <f t="shared" si="48"/>
        <v>(2,2,1,1,1,3); Estimation 20l/m2 panel</v>
      </c>
      <c r="AZ35" s="435">
        <f t="shared" si="49"/>
        <v>0</v>
      </c>
      <c r="BA35" s="95">
        <v>1</v>
      </c>
      <c r="BB35" s="96">
        <f t="shared" si="50"/>
        <v>1.0906744032152329</v>
      </c>
      <c r="BC35" s="432" t="str">
        <f t="shared" si="51"/>
        <v>(2,2,1,1,1,3); Estimation 20l/m2 panel</v>
      </c>
      <c r="BD35" s="435">
        <f t="shared" si="52"/>
        <v>0</v>
      </c>
      <c r="BE35" s="95">
        <v>1</v>
      </c>
      <c r="BF35" s="96">
        <f t="shared" si="53"/>
        <v>1.0906744032152329</v>
      </c>
      <c r="BG35" s="432" t="str">
        <f t="shared" si="54"/>
        <v>(2,2,1,1,1,3); Estimation 20l/m2 panel</v>
      </c>
      <c r="BH35" s="435">
        <f t="shared" si="55"/>
        <v>0</v>
      </c>
      <c r="BI35" s="95">
        <v>1</v>
      </c>
      <c r="BJ35" s="96">
        <f t="shared" si="56"/>
        <v>1.0906744032152329</v>
      </c>
      <c r="BK35" s="432" t="str">
        <f t="shared" si="57"/>
        <v>(2,2,1,1,1,3); Estimation 20l/m2 panel</v>
      </c>
      <c r="BL35" s="435">
        <f t="shared" si="58"/>
        <v>0</v>
      </c>
      <c r="BM35" s="95">
        <v>1</v>
      </c>
      <c r="BN35" s="96">
        <f t="shared" si="59"/>
        <v>1.0906744032152329</v>
      </c>
      <c r="BO35" s="432" t="str">
        <f t="shared" si="60"/>
        <v>(2,2,1,1,1,3); Estimation 20l/m2 panel</v>
      </c>
      <c r="BP35" s="435">
        <f t="shared" si="61"/>
        <v>0</v>
      </c>
      <c r="BQ35" s="95">
        <v>1</v>
      </c>
      <c r="BR35" s="96">
        <f t="shared" si="62"/>
        <v>1.0906744032152329</v>
      </c>
      <c r="BS35" s="432" t="str">
        <f t="shared" si="63"/>
        <v>(2,2,1,1,1,3); Estimation 20l/m2 panel</v>
      </c>
      <c r="BT35" s="435">
        <f t="shared" si="64"/>
        <v>0</v>
      </c>
      <c r="BU35" s="95">
        <v>1</v>
      </c>
      <c r="BV35" s="96">
        <f t="shared" si="65"/>
        <v>1.0906744032152329</v>
      </c>
      <c r="BW35" s="432" t="str">
        <f t="shared" si="66"/>
        <v>(2,2,1,1,1,3); Estimation 20l/m2 panel</v>
      </c>
      <c r="BX35" s="435">
        <f t="shared" si="67"/>
        <v>0</v>
      </c>
      <c r="BY35" s="95">
        <v>1</v>
      </c>
      <c r="BZ35" s="96">
        <f t="shared" si="68"/>
        <v>1.0906744032152329</v>
      </c>
      <c r="CA35" s="432" t="str">
        <f t="shared" si="69"/>
        <v>(2,2,1,1,1,3); Estimation 20l/m2 panel</v>
      </c>
      <c r="CB35" s="435">
        <f t="shared" si="70"/>
        <v>0</v>
      </c>
      <c r="CC35" s="95">
        <v>1</v>
      </c>
      <c r="CD35" s="96">
        <f t="shared" si="71"/>
        <v>1.0906744032152329</v>
      </c>
      <c r="CE35" s="432" t="str">
        <f t="shared" si="72"/>
        <v>(2,2,1,1,1,3); Estimation 20l/m2 panel</v>
      </c>
      <c r="CF35" s="435">
        <f t="shared" si="73"/>
        <v>0</v>
      </c>
      <c r="CG35" s="95">
        <v>1</v>
      </c>
      <c r="CH35" s="96">
        <f t="shared" si="74"/>
        <v>1.0906744032152329</v>
      </c>
      <c r="CI35" s="432" t="str">
        <f t="shared" si="75"/>
        <v>(2,2,1,1,1,3); Estimation 20l/m2 panel</v>
      </c>
      <c r="CJ35" s="213"/>
      <c r="CK35" s="505"/>
      <c r="CL35" s="211"/>
      <c r="CM35" s="510"/>
      <c r="CO35" s="77" t="s">
        <v>2213</v>
      </c>
      <c r="CP35" s="339">
        <v>2</v>
      </c>
      <c r="CQ35" s="339">
        <v>2</v>
      </c>
      <c r="CR35" s="339">
        <v>1</v>
      </c>
      <c r="CS35" s="339">
        <v>1</v>
      </c>
      <c r="CT35" s="339">
        <v>1</v>
      </c>
      <c r="CU35" s="339">
        <v>3</v>
      </c>
      <c r="CV35" s="104">
        <v>3</v>
      </c>
      <c r="CW35" s="104">
        <v>1.05</v>
      </c>
      <c r="CX35" s="107">
        <f t="shared" si="76"/>
        <v>1.0744244531716256</v>
      </c>
      <c r="CY35" s="107">
        <f t="shared" si="77"/>
        <v>1.0906744032152329</v>
      </c>
      <c r="CZ35" s="107" t="str">
        <f t="shared" si="78"/>
        <v>(2,2,1,1,1,3)</v>
      </c>
      <c r="DA35" s="108">
        <v>1.05</v>
      </c>
      <c r="DB35" s="108">
        <v>1.02</v>
      </c>
      <c r="DC35" s="108">
        <v>1</v>
      </c>
      <c r="DD35" s="108">
        <v>1</v>
      </c>
      <c r="DE35" s="108">
        <v>1</v>
      </c>
      <c r="DF35" s="108">
        <v>1.05</v>
      </c>
    </row>
    <row r="36" spans="1:118" ht="24" customHeight="1" outlineLevel="1">
      <c r="A36" s="330">
        <v>256130</v>
      </c>
      <c r="B36" s="331"/>
      <c r="C36" s="88"/>
      <c r="D36" s="340">
        <v>5</v>
      </c>
      <c r="E36" s="341" t="s">
        <v>98</v>
      </c>
      <c r="F36" s="432" t="s">
        <v>2279</v>
      </c>
      <c r="G36" s="433" t="s">
        <v>2125</v>
      </c>
      <c r="H36" s="434" t="s">
        <v>98</v>
      </c>
      <c r="I36" s="434" t="s">
        <v>98</v>
      </c>
      <c r="J36" s="94">
        <v>0</v>
      </c>
      <c r="K36" s="433" t="s">
        <v>96</v>
      </c>
      <c r="L36" s="435">
        <f t="shared" si="19"/>
        <v>0</v>
      </c>
      <c r="M36" s="95">
        <v>1</v>
      </c>
      <c r="N36" s="96">
        <f t="shared" si="20"/>
        <v>1.0906744032152329</v>
      </c>
      <c r="O36" s="432" t="str">
        <f t="shared" si="21"/>
        <v>(2,2,1,1,1,3); Estimation 20l/m2 panel</v>
      </c>
      <c r="P36" s="435">
        <f t="shared" si="22"/>
        <v>0</v>
      </c>
      <c r="Q36" s="95">
        <v>1</v>
      </c>
      <c r="R36" s="96">
        <f t="shared" si="23"/>
        <v>1.0906744032152329</v>
      </c>
      <c r="S36" s="432" t="str">
        <f t="shared" si="24"/>
        <v>(2,2,1,1,1,3); Estimation 20l/m2 panel</v>
      </c>
      <c r="T36" s="435">
        <f t="shared" si="25"/>
        <v>0</v>
      </c>
      <c r="U36" s="95">
        <v>1</v>
      </c>
      <c r="V36" s="96">
        <f t="shared" si="26"/>
        <v>1.0906744032152329</v>
      </c>
      <c r="W36" s="432" t="str">
        <f t="shared" si="27"/>
        <v>(2,2,1,1,1,3); Estimation 20l/m2 panel</v>
      </c>
      <c r="X36" s="435">
        <f t="shared" si="28"/>
        <v>0</v>
      </c>
      <c r="Y36" s="95">
        <v>1</v>
      </c>
      <c r="Z36" s="96">
        <f t="shared" si="29"/>
        <v>1.0906744032152329</v>
      </c>
      <c r="AA36" s="432" t="str">
        <f t="shared" si="30"/>
        <v>(2,2,1,1,1,3); Estimation 20l/m2 panel</v>
      </c>
      <c r="AB36" s="435">
        <f t="shared" si="31"/>
        <v>0</v>
      </c>
      <c r="AC36" s="95">
        <v>1</v>
      </c>
      <c r="AD36" s="96">
        <f t="shared" si="32"/>
        <v>1.0906744032152329</v>
      </c>
      <c r="AE36" s="432" t="str">
        <f t="shared" si="33"/>
        <v>(2,2,1,1,1,3); Estimation 20l/m2 panel</v>
      </c>
      <c r="AF36" s="435">
        <f t="shared" si="34"/>
        <v>0</v>
      </c>
      <c r="AG36" s="95">
        <v>1</v>
      </c>
      <c r="AH36" s="96">
        <f t="shared" si="35"/>
        <v>1.0906744032152329</v>
      </c>
      <c r="AI36" s="432" t="str">
        <f t="shared" si="36"/>
        <v>(2,2,1,1,1,3); Estimation 20l/m2 panel</v>
      </c>
      <c r="AJ36" s="435">
        <f t="shared" si="37"/>
        <v>0</v>
      </c>
      <c r="AK36" s="95">
        <v>1</v>
      </c>
      <c r="AL36" s="96">
        <f t="shared" si="38"/>
        <v>1.0906744032152329</v>
      </c>
      <c r="AM36" s="432" t="str">
        <f t="shared" si="39"/>
        <v>(2,2,1,1,1,3); Estimation 20l/m2 panel</v>
      </c>
      <c r="AN36" s="435">
        <f t="shared" si="40"/>
        <v>0</v>
      </c>
      <c r="AO36" s="95">
        <v>1</v>
      </c>
      <c r="AP36" s="96">
        <f t="shared" si="41"/>
        <v>1.0906744032152329</v>
      </c>
      <c r="AQ36" s="432" t="str">
        <f t="shared" si="42"/>
        <v>(2,2,1,1,1,3); Estimation 20l/m2 panel</v>
      </c>
      <c r="AR36" s="435">
        <f t="shared" si="43"/>
        <v>0</v>
      </c>
      <c r="AS36" s="95">
        <v>1</v>
      </c>
      <c r="AT36" s="96">
        <f t="shared" si="44"/>
        <v>1.0906744032152329</v>
      </c>
      <c r="AU36" s="432" t="str">
        <f t="shared" si="45"/>
        <v>(2,2,1,1,1,3); Estimation 20l/m2 panel</v>
      </c>
      <c r="AV36" s="435">
        <f t="shared" si="46"/>
        <v>3.831023327019172E-3</v>
      </c>
      <c r="AW36" s="95">
        <v>1</v>
      </c>
      <c r="AX36" s="96">
        <f t="shared" si="47"/>
        <v>1.0906744032152329</v>
      </c>
      <c r="AY36" s="432" t="str">
        <f t="shared" si="48"/>
        <v>(2,2,1,1,1,3); Estimation 20l/m2 panel</v>
      </c>
      <c r="AZ36" s="435">
        <f t="shared" si="49"/>
        <v>0</v>
      </c>
      <c r="BA36" s="95">
        <v>1</v>
      </c>
      <c r="BB36" s="96">
        <f t="shared" si="50"/>
        <v>1.0906744032152329</v>
      </c>
      <c r="BC36" s="432" t="str">
        <f t="shared" si="51"/>
        <v>(2,2,1,1,1,3); Estimation 20l/m2 panel</v>
      </c>
      <c r="BD36" s="435">
        <f t="shared" si="52"/>
        <v>0</v>
      </c>
      <c r="BE36" s="95">
        <v>1</v>
      </c>
      <c r="BF36" s="96">
        <f t="shared" si="53"/>
        <v>1.0906744032152329</v>
      </c>
      <c r="BG36" s="432" t="str">
        <f t="shared" si="54"/>
        <v>(2,2,1,1,1,3); Estimation 20l/m2 panel</v>
      </c>
      <c r="BH36" s="435">
        <f t="shared" si="55"/>
        <v>0</v>
      </c>
      <c r="BI36" s="95">
        <v>1</v>
      </c>
      <c r="BJ36" s="96">
        <f t="shared" si="56"/>
        <v>1.0906744032152329</v>
      </c>
      <c r="BK36" s="432" t="str">
        <f t="shared" si="57"/>
        <v>(2,2,1,1,1,3); Estimation 20l/m2 panel</v>
      </c>
      <c r="BL36" s="435">
        <f t="shared" si="58"/>
        <v>0</v>
      </c>
      <c r="BM36" s="95">
        <v>1</v>
      </c>
      <c r="BN36" s="96">
        <f t="shared" si="59"/>
        <v>1.0906744032152329</v>
      </c>
      <c r="BO36" s="432" t="str">
        <f t="shared" si="60"/>
        <v>(2,2,1,1,1,3); Estimation 20l/m2 panel</v>
      </c>
      <c r="BP36" s="435">
        <f t="shared" si="61"/>
        <v>0</v>
      </c>
      <c r="BQ36" s="95">
        <v>1</v>
      </c>
      <c r="BR36" s="96">
        <f t="shared" si="62"/>
        <v>1.0906744032152329</v>
      </c>
      <c r="BS36" s="432" t="str">
        <f t="shared" si="63"/>
        <v>(2,2,1,1,1,3); Estimation 20l/m2 panel</v>
      </c>
      <c r="BT36" s="435">
        <f t="shared" si="64"/>
        <v>0</v>
      </c>
      <c r="BU36" s="95">
        <v>1</v>
      </c>
      <c r="BV36" s="96">
        <f t="shared" si="65"/>
        <v>1.0906744032152329</v>
      </c>
      <c r="BW36" s="432" t="str">
        <f t="shared" si="66"/>
        <v>(2,2,1,1,1,3); Estimation 20l/m2 panel</v>
      </c>
      <c r="BX36" s="435">
        <f t="shared" si="67"/>
        <v>0</v>
      </c>
      <c r="BY36" s="95">
        <v>1</v>
      </c>
      <c r="BZ36" s="96">
        <f t="shared" si="68"/>
        <v>1.0906744032152329</v>
      </c>
      <c r="CA36" s="432" t="str">
        <f t="shared" si="69"/>
        <v>(2,2,1,1,1,3); Estimation 20l/m2 panel</v>
      </c>
      <c r="CB36" s="435">
        <f t="shared" si="70"/>
        <v>0</v>
      </c>
      <c r="CC36" s="95">
        <v>1</v>
      </c>
      <c r="CD36" s="96">
        <f t="shared" si="71"/>
        <v>1.0906744032152329</v>
      </c>
      <c r="CE36" s="432" t="str">
        <f t="shared" si="72"/>
        <v>(2,2,1,1,1,3); Estimation 20l/m2 panel</v>
      </c>
      <c r="CF36" s="435">
        <f t="shared" si="73"/>
        <v>0</v>
      </c>
      <c r="CG36" s="95">
        <v>1</v>
      </c>
      <c r="CH36" s="96">
        <f t="shared" si="74"/>
        <v>1.0906744032152329</v>
      </c>
      <c r="CI36" s="432" t="str">
        <f t="shared" si="75"/>
        <v>(2,2,1,1,1,3); Estimation 20l/m2 panel</v>
      </c>
      <c r="CJ36" s="213"/>
      <c r="CK36" s="505"/>
      <c r="CL36" s="211"/>
      <c r="CM36" s="510"/>
      <c r="CO36" s="77" t="s">
        <v>2213</v>
      </c>
      <c r="CP36" s="339">
        <v>2</v>
      </c>
      <c r="CQ36" s="339">
        <v>2</v>
      </c>
      <c r="CR36" s="339">
        <v>1</v>
      </c>
      <c r="CS36" s="339">
        <v>1</v>
      </c>
      <c r="CT36" s="339">
        <v>1</v>
      </c>
      <c r="CU36" s="339">
        <v>3</v>
      </c>
      <c r="CV36" s="104">
        <v>3</v>
      </c>
      <c r="CW36" s="104">
        <v>1.05</v>
      </c>
      <c r="CX36" s="107">
        <f t="shared" si="76"/>
        <v>1.0744244531716256</v>
      </c>
      <c r="CY36" s="107">
        <f t="shared" si="77"/>
        <v>1.0906744032152329</v>
      </c>
      <c r="CZ36" s="107" t="str">
        <f t="shared" si="78"/>
        <v>(2,2,1,1,1,3)</v>
      </c>
      <c r="DA36" s="108">
        <v>1.05</v>
      </c>
      <c r="DB36" s="108">
        <v>1.02</v>
      </c>
      <c r="DC36" s="108">
        <v>1</v>
      </c>
      <c r="DD36" s="108">
        <v>1</v>
      </c>
      <c r="DE36" s="108">
        <v>1</v>
      </c>
      <c r="DF36" s="108">
        <v>1.05</v>
      </c>
    </row>
    <row r="37" spans="1:118" ht="24" customHeight="1" outlineLevel="1">
      <c r="A37" s="330">
        <v>256206</v>
      </c>
      <c r="B37" s="331"/>
      <c r="C37" s="88"/>
      <c r="D37" s="340">
        <v>5</v>
      </c>
      <c r="E37" s="341" t="s">
        <v>98</v>
      </c>
      <c r="F37" s="432" t="s">
        <v>2280</v>
      </c>
      <c r="G37" s="433" t="s">
        <v>1670</v>
      </c>
      <c r="H37" s="434" t="s">
        <v>98</v>
      </c>
      <c r="I37" s="434" t="s">
        <v>98</v>
      </c>
      <c r="J37" s="94">
        <v>0</v>
      </c>
      <c r="K37" s="433" t="s">
        <v>96</v>
      </c>
      <c r="L37" s="435">
        <f t="shared" si="19"/>
        <v>0</v>
      </c>
      <c r="M37" s="95">
        <v>1</v>
      </c>
      <c r="N37" s="96">
        <f t="shared" si="20"/>
        <v>1.0906744032152329</v>
      </c>
      <c r="O37" s="432" t="str">
        <f t="shared" si="21"/>
        <v>(2,2,1,1,1,3); Estimation 20l/m2 panel</v>
      </c>
      <c r="P37" s="435">
        <f t="shared" si="22"/>
        <v>0</v>
      </c>
      <c r="Q37" s="95">
        <v>1</v>
      </c>
      <c r="R37" s="96">
        <f t="shared" si="23"/>
        <v>1.0906744032152329</v>
      </c>
      <c r="S37" s="432" t="str">
        <f t="shared" si="24"/>
        <v>(2,2,1,1,1,3); Estimation 20l/m2 panel</v>
      </c>
      <c r="T37" s="435">
        <f t="shared" si="25"/>
        <v>0</v>
      </c>
      <c r="U37" s="95">
        <v>1</v>
      </c>
      <c r="V37" s="96">
        <f t="shared" si="26"/>
        <v>1.0906744032152329</v>
      </c>
      <c r="W37" s="432" t="str">
        <f t="shared" si="27"/>
        <v>(2,2,1,1,1,3); Estimation 20l/m2 panel</v>
      </c>
      <c r="X37" s="435">
        <f t="shared" si="28"/>
        <v>0</v>
      </c>
      <c r="Y37" s="95">
        <v>1</v>
      </c>
      <c r="Z37" s="96">
        <f t="shared" si="29"/>
        <v>1.0906744032152329</v>
      </c>
      <c r="AA37" s="432" t="str">
        <f t="shared" si="30"/>
        <v>(2,2,1,1,1,3); Estimation 20l/m2 panel</v>
      </c>
      <c r="AB37" s="435">
        <f t="shared" si="31"/>
        <v>0</v>
      </c>
      <c r="AC37" s="95">
        <v>1</v>
      </c>
      <c r="AD37" s="96">
        <f t="shared" si="32"/>
        <v>1.0906744032152329</v>
      </c>
      <c r="AE37" s="432" t="str">
        <f t="shared" si="33"/>
        <v>(2,2,1,1,1,3); Estimation 20l/m2 panel</v>
      </c>
      <c r="AF37" s="435">
        <f t="shared" si="34"/>
        <v>0</v>
      </c>
      <c r="AG37" s="95">
        <v>1</v>
      </c>
      <c r="AH37" s="96">
        <f t="shared" si="35"/>
        <v>1.0906744032152329</v>
      </c>
      <c r="AI37" s="432" t="str">
        <f t="shared" si="36"/>
        <v>(2,2,1,1,1,3); Estimation 20l/m2 panel</v>
      </c>
      <c r="AJ37" s="435">
        <f t="shared" si="37"/>
        <v>0</v>
      </c>
      <c r="AK37" s="95">
        <v>1</v>
      </c>
      <c r="AL37" s="96">
        <f t="shared" si="38"/>
        <v>1.0906744032152329</v>
      </c>
      <c r="AM37" s="432" t="str">
        <f t="shared" si="39"/>
        <v>(2,2,1,1,1,3); Estimation 20l/m2 panel</v>
      </c>
      <c r="AN37" s="435">
        <f t="shared" si="40"/>
        <v>0</v>
      </c>
      <c r="AO37" s="95">
        <v>1</v>
      </c>
      <c r="AP37" s="96">
        <f t="shared" si="41"/>
        <v>1.0906744032152329</v>
      </c>
      <c r="AQ37" s="432" t="str">
        <f t="shared" si="42"/>
        <v>(2,2,1,1,1,3); Estimation 20l/m2 panel</v>
      </c>
      <c r="AR37" s="435">
        <f t="shared" si="43"/>
        <v>0</v>
      </c>
      <c r="AS37" s="95">
        <v>1</v>
      </c>
      <c r="AT37" s="96">
        <f t="shared" si="44"/>
        <v>1.0906744032152329</v>
      </c>
      <c r="AU37" s="432" t="str">
        <f t="shared" si="45"/>
        <v>(2,2,1,1,1,3); Estimation 20l/m2 panel</v>
      </c>
      <c r="AV37" s="435">
        <f t="shared" si="46"/>
        <v>0</v>
      </c>
      <c r="AW37" s="95">
        <v>1</v>
      </c>
      <c r="AX37" s="96">
        <f t="shared" si="47"/>
        <v>1.0906744032152329</v>
      </c>
      <c r="AY37" s="432" t="str">
        <f t="shared" si="48"/>
        <v>(2,2,1,1,1,3); Estimation 20l/m2 panel</v>
      </c>
      <c r="AZ37" s="435">
        <f t="shared" si="49"/>
        <v>2.918723937174079E-3</v>
      </c>
      <c r="BA37" s="95">
        <v>1</v>
      </c>
      <c r="BB37" s="96">
        <f t="shared" si="50"/>
        <v>1.0906744032152329</v>
      </c>
      <c r="BC37" s="432" t="str">
        <f t="shared" si="51"/>
        <v>(2,2,1,1,1,3); Estimation 20l/m2 panel</v>
      </c>
      <c r="BD37" s="435">
        <f t="shared" si="52"/>
        <v>0</v>
      </c>
      <c r="BE37" s="95">
        <v>1</v>
      </c>
      <c r="BF37" s="96">
        <f t="shared" si="53"/>
        <v>1.0906744032152329</v>
      </c>
      <c r="BG37" s="432" t="str">
        <f t="shared" si="54"/>
        <v>(2,2,1,1,1,3); Estimation 20l/m2 panel</v>
      </c>
      <c r="BH37" s="435">
        <f t="shared" si="55"/>
        <v>0</v>
      </c>
      <c r="BI37" s="95">
        <v>1</v>
      </c>
      <c r="BJ37" s="96">
        <f t="shared" si="56"/>
        <v>1.0906744032152329</v>
      </c>
      <c r="BK37" s="432" t="str">
        <f t="shared" si="57"/>
        <v>(2,2,1,1,1,3); Estimation 20l/m2 panel</v>
      </c>
      <c r="BL37" s="435">
        <f t="shared" si="58"/>
        <v>0</v>
      </c>
      <c r="BM37" s="95">
        <v>1</v>
      </c>
      <c r="BN37" s="96">
        <f t="shared" si="59"/>
        <v>1.0906744032152329</v>
      </c>
      <c r="BO37" s="432" t="str">
        <f t="shared" si="60"/>
        <v>(2,2,1,1,1,3); Estimation 20l/m2 panel</v>
      </c>
      <c r="BP37" s="435">
        <f t="shared" si="61"/>
        <v>0</v>
      </c>
      <c r="BQ37" s="95">
        <v>1</v>
      </c>
      <c r="BR37" s="96">
        <f t="shared" si="62"/>
        <v>1.0906744032152329</v>
      </c>
      <c r="BS37" s="432" t="str">
        <f t="shared" si="63"/>
        <v>(2,2,1,1,1,3); Estimation 20l/m2 panel</v>
      </c>
      <c r="BT37" s="435">
        <f t="shared" si="64"/>
        <v>0</v>
      </c>
      <c r="BU37" s="95">
        <v>1</v>
      </c>
      <c r="BV37" s="96">
        <f t="shared" si="65"/>
        <v>1.0906744032152329</v>
      </c>
      <c r="BW37" s="432" t="str">
        <f t="shared" si="66"/>
        <v>(2,2,1,1,1,3); Estimation 20l/m2 panel</v>
      </c>
      <c r="BX37" s="435">
        <f t="shared" si="67"/>
        <v>0</v>
      </c>
      <c r="BY37" s="95">
        <v>1</v>
      </c>
      <c r="BZ37" s="96">
        <f t="shared" si="68"/>
        <v>1.0906744032152329</v>
      </c>
      <c r="CA37" s="432" t="str">
        <f t="shared" si="69"/>
        <v>(2,2,1,1,1,3); Estimation 20l/m2 panel</v>
      </c>
      <c r="CB37" s="435">
        <f t="shared" si="70"/>
        <v>0</v>
      </c>
      <c r="CC37" s="95">
        <v>1</v>
      </c>
      <c r="CD37" s="96">
        <f t="shared" si="71"/>
        <v>1.0906744032152329</v>
      </c>
      <c r="CE37" s="432" t="str">
        <f t="shared" si="72"/>
        <v>(2,2,1,1,1,3); Estimation 20l/m2 panel</v>
      </c>
      <c r="CF37" s="435">
        <f t="shared" si="73"/>
        <v>0</v>
      </c>
      <c r="CG37" s="95">
        <v>1</v>
      </c>
      <c r="CH37" s="96">
        <f t="shared" si="74"/>
        <v>1.0906744032152329</v>
      </c>
      <c r="CI37" s="432" t="str">
        <f t="shared" si="75"/>
        <v>(2,2,1,1,1,3); Estimation 20l/m2 panel</v>
      </c>
      <c r="CJ37" s="213"/>
      <c r="CK37" s="505"/>
      <c r="CL37" s="211"/>
      <c r="CM37" s="510"/>
      <c r="CO37" s="77" t="s">
        <v>2213</v>
      </c>
      <c r="CP37" s="339">
        <v>2</v>
      </c>
      <c r="CQ37" s="339">
        <v>2</v>
      </c>
      <c r="CR37" s="339">
        <v>1</v>
      </c>
      <c r="CS37" s="339">
        <v>1</v>
      </c>
      <c r="CT37" s="339">
        <v>1</v>
      </c>
      <c r="CU37" s="339">
        <v>3</v>
      </c>
      <c r="CV37" s="104">
        <v>3</v>
      </c>
      <c r="CW37" s="104">
        <v>1.05</v>
      </c>
      <c r="CX37" s="107">
        <f t="shared" si="76"/>
        <v>1.0744244531716256</v>
      </c>
      <c r="CY37" s="107">
        <f t="shared" si="77"/>
        <v>1.0906744032152329</v>
      </c>
      <c r="CZ37" s="107" t="str">
        <f t="shared" si="78"/>
        <v>(2,2,1,1,1,3)</v>
      </c>
      <c r="DA37" s="108">
        <v>1.05</v>
      </c>
      <c r="DB37" s="108">
        <v>1.02</v>
      </c>
      <c r="DC37" s="108">
        <v>1</v>
      </c>
      <c r="DD37" s="108">
        <v>1</v>
      </c>
      <c r="DE37" s="108">
        <v>1</v>
      </c>
      <c r="DF37" s="108">
        <v>1.05</v>
      </c>
    </row>
    <row r="38" spans="1:118" ht="24" customHeight="1" outlineLevel="1">
      <c r="A38" s="330">
        <v>256080</v>
      </c>
      <c r="B38" s="331"/>
      <c r="C38" s="88"/>
      <c r="D38" s="340">
        <v>5</v>
      </c>
      <c r="E38" s="341" t="s">
        <v>98</v>
      </c>
      <c r="F38" s="432" t="s">
        <v>2281</v>
      </c>
      <c r="G38" s="433" t="s">
        <v>2131</v>
      </c>
      <c r="H38" s="434" t="s">
        <v>98</v>
      </c>
      <c r="I38" s="434" t="s">
        <v>98</v>
      </c>
      <c r="J38" s="94">
        <v>0</v>
      </c>
      <c r="K38" s="433" t="s">
        <v>96</v>
      </c>
      <c r="L38" s="435">
        <f t="shared" si="19"/>
        <v>0</v>
      </c>
      <c r="M38" s="95">
        <v>1</v>
      </c>
      <c r="N38" s="96">
        <f t="shared" si="20"/>
        <v>1.0906744032152329</v>
      </c>
      <c r="O38" s="432" t="str">
        <f t="shared" si="21"/>
        <v>(2,2,1,1,1,3); Estimation 20l/m2 panel</v>
      </c>
      <c r="P38" s="435">
        <f t="shared" si="22"/>
        <v>0</v>
      </c>
      <c r="Q38" s="95">
        <v>1</v>
      </c>
      <c r="R38" s="96">
        <f t="shared" si="23"/>
        <v>1.0906744032152329</v>
      </c>
      <c r="S38" s="432" t="str">
        <f t="shared" si="24"/>
        <v>(2,2,1,1,1,3); Estimation 20l/m2 panel</v>
      </c>
      <c r="T38" s="435">
        <f t="shared" si="25"/>
        <v>0</v>
      </c>
      <c r="U38" s="95">
        <v>1</v>
      </c>
      <c r="V38" s="96">
        <f t="shared" si="26"/>
        <v>1.0906744032152329</v>
      </c>
      <c r="W38" s="432" t="str">
        <f t="shared" si="27"/>
        <v>(2,2,1,1,1,3); Estimation 20l/m2 panel</v>
      </c>
      <c r="X38" s="435">
        <f t="shared" si="28"/>
        <v>0</v>
      </c>
      <c r="Y38" s="95">
        <v>1</v>
      </c>
      <c r="Z38" s="96">
        <f t="shared" si="29"/>
        <v>1.0906744032152329</v>
      </c>
      <c r="AA38" s="432" t="str">
        <f t="shared" si="30"/>
        <v>(2,2,1,1,1,3); Estimation 20l/m2 panel</v>
      </c>
      <c r="AB38" s="435">
        <f t="shared" si="31"/>
        <v>0</v>
      </c>
      <c r="AC38" s="95">
        <v>1</v>
      </c>
      <c r="AD38" s="96">
        <f t="shared" si="32"/>
        <v>1.0906744032152329</v>
      </c>
      <c r="AE38" s="432" t="str">
        <f t="shared" si="33"/>
        <v>(2,2,1,1,1,3); Estimation 20l/m2 panel</v>
      </c>
      <c r="AF38" s="435">
        <f t="shared" si="34"/>
        <v>0</v>
      </c>
      <c r="AG38" s="95">
        <v>1</v>
      </c>
      <c r="AH38" s="96">
        <f t="shared" si="35"/>
        <v>1.0906744032152329</v>
      </c>
      <c r="AI38" s="432" t="str">
        <f t="shared" si="36"/>
        <v>(2,2,1,1,1,3); Estimation 20l/m2 panel</v>
      </c>
      <c r="AJ38" s="435">
        <f t="shared" si="37"/>
        <v>0</v>
      </c>
      <c r="AK38" s="95">
        <v>1</v>
      </c>
      <c r="AL38" s="96">
        <f t="shared" si="38"/>
        <v>1.0906744032152329</v>
      </c>
      <c r="AM38" s="432" t="str">
        <f t="shared" si="39"/>
        <v>(2,2,1,1,1,3); Estimation 20l/m2 panel</v>
      </c>
      <c r="AN38" s="435">
        <f t="shared" si="40"/>
        <v>0</v>
      </c>
      <c r="AO38" s="95">
        <v>1</v>
      </c>
      <c r="AP38" s="96">
        <f t="shared" si="41"/>
        <v>1.0906744032152329</v>
      </c>
      <c r="AQ38" s="432" t="str">
        <f t="shared" si="42"/>
        <v>(2,2,1,1,1,3); Estimation 20l/m2 panel</v>
      </c>
      <c r="AR38" s="435">
        <f t="shared" si="43"/>
        <v>0</v>
      </c>
      <c r="AS38" s="95">
        <v>1</v>
      </c>
      <c r="AT38" s="96">
        <f t="shared" si="44"/>
        <v>1.0906744032152329</v>
      </c>
      <c r="AU38" s="432" t="str">
        <f t="shared" si="45"/>
        <v>(2,2,1,1,1,3); Estimation 20l/m2 panel</v>
      </c>
      <c r="AV38" s="435">
        <f t="shared" si="46"/>
        <v>0</v>
      </c>
      <c r="AW38" s="95">
        <v>1</v>
      </c>
      <c r="AX38" s="96">
        <f t="shared" si="47"/>
        <v>1.0906744032152329</v>
      </c>
      <c r="AY38" s="432" t="str">
        <f t="shared" si="48"/>
        <v>(2,2,1,1,1,3); Estimation 20l/m2 panel</v>
      </c>
      <c r="AZ38" s="435">
        <f t="shared" si="49"/>
        <v>0</v>
      </c>
      <c r="BA38" s="95">
        <v>1</v>
      </c>
      <c r="BB38" s="96">
        <f t="shared" si="50"/>
        <v>1.0906744032152329</v>
      </c>
      <c r="BC38" s="432" t="str">
        <f t="shared" si="51"/>
        <v>(2,2,1,1,1,3); Estimation 20l/m2 panel</v>
      </c>
      <c r="BD38" s="435">
        <f t="shared" si="52"/>
        <v>3.5594788318225202E-3</v>
      </c>
      <c r="BE38" s="95">
        <v>1</v>
      </c>
      <c r="BF38" s="96">
        <f t="shared" si="53"/>
        <v>1.0906744032152329</v>
      </c>
      <c r="BG38" s="432" t="str">
        <f t="shared" si="54"/>
        <v>(2,2,1,1,1,3); Estimation 20l/m2 panel</v>
      </c>
      <c r="BH38" s="435">
        <f t="shared" si="55"/>
        <v>0</v>
      </c>
      <c r="BI38" s="95">
        <v>1</v>
      </c>
      <c r="BJ38" s="96">
        <f t="shared" si="56"/>
        <v>1.0906744032152329</v>
      </c>
      <c r="BK38" s="432" t="str">
        <f t="shared" si="57"/>
        <v>(2,2,1,1,1,3); Estimation 20l/m2 panel</v>
      </c>
      <c r="BL38" s="435">
        <f t="shared" si="58"/>
        <v>0</v>
      </c>
      <c r="BM38" s="95">
        <v>1</v>
      </c>
      <c r="BN38" s="96">
        <f t="shared" si="59"/>
        <v>1.0906744032152329</v>
      </c>
      <c r="BO38" s="432" t="str">
        <f t="shared" si="60"/>
        <v>(2,2,1,1,1,3); Estimation 20l/m2 panel</v>
      </c>
      <c r="BP38" s="435">
        <f t="shared" si="61"/>
        <v>0</v>
      </c>
      <c r="BQ38" s="95">
        <v>1</v>
      </c>
      <c r="BR38" s="96">
        <f t="shared" si="62"/>
        <v>1.0906744032152329</v>
      </c>
      <c r="BS38" s="432" t="str">
        <f t="shared" si="63"/>
        <v>(2,2,1,1,1,3); Estimation 20l/m2 panel</v>
      </c>
      <c r="BT38" s="435">
        <f t="shared" si="64"/>
        <v>0</v>
      </c>
      <c r="BU38" s="95">
        <v>1</v>
      </c>
      <c r="BV38" s="96">
        <f t="shared" si="65"/>
        <v>1.0906744032152329</v>
      </c>
      <c r="BW38" s="432" t="str">
        <f t="shared" si="66"/>
        <v>(2,2,1,1,1,3); Estimation 20l/m2 panel</v>
      </c>
      <c r="BX38" s="435">
        <f t="shared" si="67"/>
        <v>0</v>
      </c>
      <c r="BY38" s="95">
        <v>1</v>
      </c>
      <c r="BZ38" s="96">
        <f t="shared" si="68"/>
        <v>1.0906744032152329</v>
      </c>
      <c r="CA38" s="432" t="str">
        <f t="shared" si="69"/>
        <v>(2,2,1,1,1,3); Estimation 20l/m2 panel</v>
      </c>
      <c r="CB38" s="435">
        <f t="shared" si="70"/>
        <v>0</v>
      </c>
      <c r="CC38" s="95">
        <v>1</v>
      </c>
      <c r="CD38" s="96">
        <f t="shared" si="71"/>
        <v>1.0906744032152329</v>
      </c>
      <c r="CE38" s="432" t="str">
        <f t="shared" si="72"/>
        <v>(2,2,1,1,1,3); Estimation 20l/m2 panel</v>
      </c>
      <c r="CF38" s="435">
        <f t="shared" si="73"/>
        <v>0</v>
      </c>
      <c r="CG38" s="95">
        <v>1</v>
      </c>
      <c r="CH38" s="96">
        <f t="shared" si="74"/>
        <v>1.0906744032152329</v>
      </c>
      <c r="CI38" s="432" t="str">
        <f t="shared" si="75"/>
        <v>(2,2,1,1,1,3); Estimation 20l/m2 panel</v>
      </c>
      <c r="CJ38" s="213"/>
      <c r="CK38" s="505"/>
      <c r="CL38" s="211"/>
      <c r="CM38" s="510"/>
      <c r="CO38" s="77" t="s">
        <v>2213</v>
      </c>
      <c r="CP38" s="339">
        <v>2</v>
      </c>
      <c r="CQ38" s="339">
        <v>2</v>
      </c>
      <c r="CR38" s="339">
        <v>1</v>
      </c>
      <c r="CS38" s="339">
        <v>1</v>
      </c>
      <c r="CT38" s="339">
        <v>1</v>
      </c>
      <c r="CU38" s="339">
        <v>3</v>
      </c>
      <c r="CV38" s="104">
        <v>3</v>
      </c>
      <c r="CW38" s="104">
        <v>1.05</v>
      </c>
      <c r="CX38" s="107">
        <f t="shared" si="76"/>
        <v>1.0744244531716256</v>
      </c>
      <c r="CY38" s="107">
        <f t="shared" si="77"/>
        <v>1.0906744032152329</v>
      </c>
      <c r="CZ38" s="107" t="str">
        <f t="shared" si="78"/>
        <v>(2,2,1,1,1,3)</v>
      </c>
      <c r="DA38" s="108">
        <v>1.05</v>
      </c>
      <c r="DB38" s="108">
        <v>1.02</v>
      </c>
      <c r="DC38" s="108">
        <v>1</v>
      </c>
      <c r="DD38" s="108">
        <v>1</v>
      </c>
      <c r="DE38" s="108">
        <v>1</v>
      </c>
      <c r="DF38" s="108">
        <v>1.05</v>
      </c>
    </row>
    <row r="39" spans="1:118" ht="24" customHeight="1" outlineLevel="1">
      <c r="A39" s="330">
        <v>256006</v>
      </c>
      <c r="B39" s="331"/>
      <c r="C39" s="88"/>
      <c r="D39" s="340">
        <v>5</v>
      </c>
      <c r="E39" s="341" t="s">
        <v>98</v>
      </c>
      <c r="F39" s="432" t="s">
        <v>2282</v>
      </c>
      <c r="G39" s="433" t="s">
        <v>2139</v>
      </c>
      <c r="H39" s="434" t="s">
        <v>98</v>
      </c>
      <c r="I39" s="434" t="s">
        <v>98</v>
      </c>
      <c r="J39" s="94">
        <v>0</v>
      </c>
      <c r="K39" s="433" t="s">
        <v>96</v>
      </c>
      <c r="L39" s="435">
        <f t="shared" si="19"/>
        <v>0</v>
      </c>
      <c r="M39" s="95">
        <v>1</v>
      </c>
      <c r="N39" s="96">
        <f t="shared" si="20"/>
        <v>1.0906744032152329</v>
      </c>
      <c r="O39" s="432" t="str">
        <f t="shared" si="21"/>
        <v>(2,2,1,1,1,3); Estimation 20l/m2 panel</v>
      </c>
      <c r="P39" s="435">
        <f t="shared" si="22"/>
        <v>0</v>
      </c>
      <c r="Q39" s="95">
        <v>1</v>
      </c>
      <c r="R39" s="96">
        <f t="shared" si="23"/>
        <v>1.0906744032152329</v>
      </c>
      <c r="S39" s="432" t="str">
        <f t="shared" si="24"/>
        <v>(2,2,1,1,1,3); Estimation 20l/m2 panel</v>
      </c>
      <c r="T39" s="435">
        <f t="shared" si="25"/>
        <v>0</v>
      </c>
      <c r="U39" s="95">
        <v>1</v>
      </c>
      <c r="V39" s="96">
        <f t="shared" si="26"/>
        <v>1.0906744032152329</v>
      </c>
      <c r="W39" s="432" t="str">
        <f t="shared" si="27"/>
        <v>(2,2,1,1,1,3); Estimation 20l/m2 panel</v>
      </c>
      <c r="X39" s="435">
        <f t="shared" si="28"/>
        <v>0</v>
      </c>
      <c r="Y39" s="95">
        <v>1</v>
      </c>
      <c r="Z39" s="96">
        <f t="shared" si="29"/>
        <v>1.0906744032152329</v>
      </c>
      <c r="AA39" s="432" t="str">
        <f t="shared" si="30"/>
        <v>(2,2,1,1,1,3); Estimation 20l/m2 panel</v>
      </c>
      <c r="AB39" s="435">
        <f t="shared" si="31"/>
        <v>0</v>
      </c>
      <c r="AC39" s="95">
        <v>1</v>
      </c>
      <c r="AD39" s="96">
        <f t="shared" si="32"/>
        <v>1.0906744032152329</v>
      </c>
      <c r="AE39" s="432" t="str">
        <f t="shared" si="33"/>
        <v>(2,2,1,1,1,3); Estimation 20l/m2 panel</v>
      </c>
      <c r="AF39" s="435">
        <f t="shared" si="34"/>
        <v>0</v>
      </c>
      <c r="AG39" s="95">
        <v>1</v>
      </c>
      <c r="AH39" s="96">
        <f t="shared" si="35"/>
        <v>1.0906744032152329</v>
      </c>
      <c r="AI39" s="432" t="str">
        <f t="shared" si="36"/>
        <v>(2,2,1,1,1,3); Estimation 20l/m2 panel</v>
      </c>
      <c r="AJ39" s="435">
        <f t="shared" si="37"/>
        <v>0</v>
      </c>
      <c r="AK39" s="95">
        <v>1</v>
      </c>
      <c r="AL39" s="96">
        <f t="shared" si="38"/>
        <v>1.0906744032152329</v>
      </c>
      <c r="AM39" s="432" t="str">
        <f t="shared" si="39"/>
        <v>(2,2,1,1,1,3); Estimation 20l/m2 panel</v>
      </c>
      <c r="AN39" s="435">
        <f t="shared" si="40"/>
        <v>0</v>
      </c>
      <c r="AO39" s="95">
        <v>1</v>
      </c>
      <c r="AP39" s="96">
        <f t="shared" si="41"/>
        <v>1.0906744032152329</v>
      </c>
      <c r="AQ39" s="432" t="str">
        <f t="shared" si="42"/>
        <v>(2,2,1,1,1,3); Estimation 20l/m2 panel</v>
      </c>
      <c r="AR39" s="435">
        <f t="shared" si="43"/>
        <v>0</v>
      </c>
      <c r="AS39" s="95">
        <v>1</v>
      </c>
      <c r="AT39" s="96">
        <f t="shared" si="44"/>
        <v>1.0906744032152329</v>
      </c>
      <c r="AU39" s="432" t="str">
        <f t="shared" si="45"/>
        <v>(2,2,1,1,1,3); Estimation 20l/m2 panel</v>
      </c>
      <c r="AV39" s="435">
        <f t="shared" si="46"/>
        <v>0</v>
      </c>
      <c r="AW39" s="95">
        <v>1</v>
      </c>
      <c r="AX39" s="96">
        <f t="shared" si="47"/>
        <v>1.0906744032152329</v>
      </c>
      <c r="AY39" s="432" t="str">
        <f t="shared" si="48"/>
        <v>(2,2,1,1,1,3); Estimation 20l/m2 panel</v>
      </c>
      <c r="AZ39" s="435">
        <f t="shared" si="49"/>
        <v>0</v>
      </c>
      <c r="BA39" s="95">
        <v>1</v>
      </c>
      <c r="BB39" s="96">
        <f t="shared" si="50"/>
        <v>1.0906744032152329</v>
      </c>
      <c r="BC39" s="432" t="str">
        <f t="shared" si="51"/>
        <v>(2,2,1,1,1,3); Estimation 20l/m2 panel</v>
      </c>
      <c r="BD39" s="435">
        <f t="shared" si="52"/>
        <v>0</v>
      </c>
      <c r="BE39" s="95">
        <v>1</v>
      </c>
      <c r="BF39" s="96">
        <f t="shared" si="53"/>
        <v>1.0906744032152329</v>
      </c>
      <c r="BG39" s="432" t="str">
        <f t="shared" si="54"/>
        <v>(2,2,1,1,1,3); Estimation 20l/m2 panel</v>
      </c>
      <c r="BH39" s="435">
        <f t="shared" si="55"/>
        <v>3.5539722683894737E-3</v>
      </c>
      <c r="BI39" s="95">
        <v>1</v>
      </c>
      <c r="BJ39" s="96">
        <f t="shared" si="56"/>
        <v>1.0906744032152329</v>
      </c>
      <c r="BK39" s="432" t="str">
        <f t="shared" si="57"/>
        <v>(2,2,1,1,1,3); Estimation 20l/m2 panel</v>
      </c>
      <c r="BL39" s="435">
        <f t="shared" si="58"/>
        <v>0</v>
      </c>
      <c r="BM39" s="95">
        <v>1</v>
      </c>
      <c r="BN39" s="96">
        <f t="shared" si="59"/>
        <v>1.0906744032152329</v>
      </c>
      <c r="BO39" s="432" t="str">
        <f t="shared" si="60"/>
        <v>(2,2,1,1,1,3); Estimation 20l/m2 panel</v>
      </c>
      <c r="BP39" s="435">
        <f t="shared" si="61"/>
        <v>0</v>
      </c>
      <c r="BQ39" s="95">
        <v>1</v>
      </c>
      <c r="BR39" s="96">
        <f t="shared" si="62"/>
        <v>1.0906744032152329</v>
      </c>
      <c r="BS39" s="432" t="str">
        <f t="shared" si="63"/>
        <v>(2,2,1,1,1,3); Estimation 20l/m2 panel</v>
      </c>
      <c r="BT39" s="435">
        <f t="shared" si="64"/>
        <v>0</v>
      </c>
      <c r="BU39" s="95">
        <v>1</v>
      </c>
      <c r="BV39" s="96">
        <f t="shared" si="65"/>
        <v>1.0906744032152329</v>
      </c>
      <c r="BW39" s="432" t="str">
        <f t="shared" si="66"/>
        <v>(2,2,1,1,1,3); Estimation 20l/m2 panel</v>
      </c>
      <c r="BX39" s="435">
        <f t="shared" si="67"/>
        <v>0</v>
      </c>
      <c r="BY39" s="95">
        <v>1</v>
      </c>
      <c r="BZ39" s="96">
        <f t="shared" si="68"/>
        <v>1.0906744032152329</v>
      </c>
      <c r="CA39" s="432" t="str">
        <f t="shared" si="69"/>
        <v>(2,2,1,1,1,3); Estimation 20l/m2 panel</v>
      </c>
      <c r="CB39" s="435">
        <f t="shared" si="70"/>
        <v>0</v>
      </c>
      <c r="CC39" s="95">
        <v>1</v>
      </c>
      <c r="CD39" s="96">
        <f t="shared" si="71"/>
        <v>1.0906744032152329</v>
      </c>
      <c r="CE39" s="432" t="str">
        <f t="shared" si="72"/>
        <v>(2,2,1,1,1,3); Estimation 20l/m2 panel</v>
      </c>
      <c r="CF39" s="435">
        <f t="shared" si="73"/>
        <v>0</v>
      </c>
      <c r="CG39" s="95">
        <v>1</v>
      </c>
      <c r="CH39" s="96">
        <f t="shared" si="74"/>
        <v>1.0906744032152329</v>
      </c>
      <c r="CI39" s="432" t="str">
        <f t="shared" si="75"/>
        <v>(2,2,1,1,1,3); Estimation 20l/m2 panel</v>
      </c>
      <c r="CJ39" s="213"/>
      <c r="CK39" s="505"/>
      <c r="CL39" s="211"/>
      <c r="CM39" s="510"/>
      <c r="CO39" s="77" t="s">
        <v>2213</v>
      </c>
      <c r="CP39" s="339">
        <v>2</v>
      </c>
      <c r="CQ39" s="339">
        <v>2</v>
      </c>
      <c r="CR39" s="339">
        <v>1</v>
      </c>
      <c r="CS39" s="339">
        <v>1</v>
      </c>
      <c r="CT39" s="339">
        <v>1</v>
      </c>
      <c r="CU39" s="339">
        <v>3</v>
      </c>
      <c r="CV39" s="104">
        <v>3</v>
      </c>
      <c r="CW39" s="104">
        <v>1.05</v>
      </c>
      <c r="CX39" s="107">
        <f t="shared" si="76"/>
        <v>1.0744244531716256</v>
      </c>
      <c r="CY39" s="107">
        <f t="shared" si="77"/>
        <v>1.0906744032152329</v>
      </c>
      <c r="CZ39" s="107" t="str">
        <f t="shared" si="78"/>
        <v>(2,2,1,1,1,3)</v>
      </c>
      <c r="DA39" s="108">
        <v>1.05</v>
      </c>
      <c r="DB39" s="108">
        <v>1.02</v>
      </c>
      <c r="DC39" s="108">
        <v>1</v>
      </c>
      <c r="DD39" s="108">
        <v>1</v>
      </c>
      <c r="DE39" s="108">
        <v>1</v>
      </c>
      <c r="DF39" s="108">
        <v>1.05</v>
      </c>
    </row>
    <row r="40" spans="1:118" ht="24" customHeight="1" outlineLevel="1">
      <c r="A40" s="330">
        <v>255998</v>
      </c>
      <c r="B40" s="331"/>
      <c r="C40" s="88"/>
      <c r="D40" s="340">
        <v>5</v>
      </c>
      <c r="E40" s="341" t="s">
        <v>98</v>
      </c>
      <c r="F40" s="432" t="s">
        <v>2283</v>
      </c>
      <c r="G40" s="433" t="s">
        <v>336</v>
      </c>
      <c r="H40" s="434" t="s">
        <v>98</v>
      </c>
      <c r="I40" s="434" t="s">
        <v>98</v>
      </c>
      <c r="J40" s="94">
        <v>0</v>
      </c>
      <c r="K40" s="433" t="s">
        <v>96</v>
      </c>
      <c r="L40" s="435">
        <f t="shared" si="19"/>
        <v>0</v>
      </c>
      <c r="M40" s="95">
        <v>1</v>
      </c>
      <c r="N40" s="96">
        <f t="shared" si="20"/>
        <v>1.0906744032152329</v>
      </c>
      <c r="O40" s="432" t="str">
        <f t="shared" si="21"/>
        <v>(2,2,1,1,1,3); Estimation 20l/m2 panel</v>
      </c>
      <c r="P40" s="435">
        <f t="shared" si="22"/>
        <v>0</v>
      </c>
      <c r="Q40" s="95">
        <v>1</v>
      </c>
      <c r="R40" s="96">
        <f t="shared" si="23"/>
        <v>1.0906744032152329</v>
      </c>
      <c r="S40" s="432" t="str">
        <f t="shared" si="24"/>
        <v>(2,2,1,1,1,3); Estimation 20l/m2 panel</v>
      </c>
      <c r="T40" s="435">
        <f t="shared" si="25"/>
        <v>0</v>
      </c>
      <c r="U40" s="95">
        <v>1</v>
      </c>
      <c r="V40" s="96">
        <f t="shared" si="26"/>
        <v>1.0906744032152329</v>
      </c>
      <c r="W40" s="432" t="str">
        <f t="shared" si="27"/>
        <v>(2,2,1,1,1,3); Estimation 20l/m2 panel</v>
      </c>
      <c r="X40" s="435">
        <f t="shared" si="28"/>
        <v>0</v>
      </c>
      <c r="Y40" s="95">
        <v>1</v>
      </c>
      <c r="Z40" s="96">
        <f t="shared" si="29"/>
        <v>1.0906744032152329</v>
      </c>
      <c r="AA40" s="432" t="str">
        <f t="shared" si="30"/>
        <v>(2,2,1,1,1,3); Estimation 20l/m2 panel</v>
      </c>
      <c r="AB40" s="435">
        <f t="shared" si="31"/>
        <v>0</v>
      </c>
      <c r="AC40" s="95">
        <v>1</v>
      </c>
      <c r="AD40" s="96">
        <f t="shared" si="32"/>
        <v>1.0906744032152329</v>
      </c>
      <c r="AE40" s="432" t="str">
        <f t="shared" si="33"/>
        <v>(2,2,1,1,1,3); Estimation 20l/m2 panel</v>
      </c>
      <c r="AF40" s="435">
        <f t="shared" si="34"/>
        <v>0</v>
      </c>
      <c r="AG40" s="95">
        <v>1</v>
      </c>
      <c r="AH40" s="96">
        <f t="shared" si="35"/>
        <v>1.0906744032152329</v>
      </c>
      <c r="AI40" s="432" t="str">
        <f t="shared" si="36"/>
        <v>(2,2,1,1,1,3); Estimation 20l/m2 panel</v>
      </c>
      <c r="AJ40" s="435">
        <f t="shared" si="37"/>
        <v>0</v>
      </c>
      <c r="AK40" s="95">
        <v>1</v>
      </c>
      <c r="AL40" s="96">
        <f t="shared" si="38"/>
        <v>1.0906744032152329</v>
      </c>
      <c r="AM40" s="432" t="str">
        <f t="shared" si="39"/>
        <v>(2,2,1,1,1,3); Estimation 20l/m2 panel</v>
      </c>
      <c r="AN40" s="435">
        <f t="shared" si="40"/>
        <v>0</v>
      </c>
      <c r="AO40" s="95">
        <v>1</v>
      </c>
      <c r="AP40" s="96">
        <f t="shared" si="41"/>
        <v>1.0906744032152329</v>
      </c>
      <c r="AQ40" s="432" t="str">
        <f t="shared" si="42"/>
        <v>(2,2,1,1,1,3); Estimation 20l/m2 panel</v>
      </c>
      <c r="AR40" s="435">
        <f t="shared" si="43"/>
        <v>0</v>
      </c>
      <c r="AS40" s="95">
        <v>1</v>
      </c>
      <c r="AT40" s="96">
        <f t="shared" si="44"/>
        <v>1.0906744032152329</v>
      </c>
      <c r="AU40" s="432" t="str">
        <f t="shared" si="45"/>
        <v>(2,2,1,1,1,3); Estimation 20l/m2 panel</v>
      </c>
      <c r="AV40" s="435">
        <f t="shared" si="46"/>
        <v>0</v>
      </c>
      <c r="AW40" s="95">
        <v>1</v>
      </c>
      <c r="AX40" s="96">
        <f t="shared" si="47"/>
        <v>1.0906744032152329</v>
      </c>
      <c r="AY40" s="432" t="str">
        <f t="shared" si="48"/>
        <v>(2,2,1,1,1,3); Estimation 20l/m2 panel</v>
      </c>
      <c r="AZ40" s="435">
        <f t="shared" si="49"/>
        <v>0</v>
      </c>
      <c r="BA40" s="95">
        <v>1</v>
      </c>
      <c r="BB40" s="96">
        <f t="shared" si="50"/>
        <v>1.0906744032152329</v>
      </c>
      <c r="BC40" s="432" t="str">
        <f t="shared" si="51"/>
        <v>(2,2,1,1,1,3); Estimation 20l/m2 panel</v>
      </c>
      <c r="BD40" s="435">
        <f t="shared" si="52"/>
        <v>0</v>
      </c>
      <c r="BE40" s="95">
        <v>1</v>
      </c>
      <c r="BF40" s="96">
        <f t="shared" si="53"/>
        <v>1.0906744032152329</v>
      </c>
      <c r="BG40" s="432" t="str">
        <f t="shared" si="54"/>
        <v>(2,2,1,1,1,3); Estimation 20l/m2 panel</v>
      </c>
      <c r="BH40" s="435">
        <f t="shared" si="55"/>
        <v>0</v>
      </c>
      <c r="BI40" s="95">
        <v>1</v>
      </c>
      <c r="BJ40" s="96">
        <f t="shared" si="56"/>
        <v>1.0906744032152329</v>
      </c>
      <c r="BK40" s="432" t="str">
        <f t="shared" si="57"/>
        <v>(2,2,1,1,1,3); Estimation 20l/m2 panel</v>
      </c>
      <c r="BL40" s="435">
        <f t="shared" si="58"/>
        <v>4.0933430742262217E-3</v>
      </c>
      <c r="BM40" s="95">
        <v>1</v>
      </c>
      <c r="BN40" s="96">
        <f t="shared" si="59"/>
        <v>1.0906744032152329</v>
      </c>
      <c r="BO40" s="432" t="str">
        <f t="shared" si="60"/>
        <v>(2,2,1,1,1,3); Estimation 20l/m2 panel</v>
      </c>
      <c r="BP40" s="435">
        <f t="shared" si="61"/>
        <v>0</v>
      </c>
      <c r="BQ40" s="95">
        <v>1</v>
      </c>
      <c r="BR40" s="96">
        <f t="shared" si="62"/>
        <v>1.0906744032152329</v>
      </c>
      <c r="BS40" s="432" t="str">
        <f t="shared" si="63"/>
        <v>(2,2,1,1,1,3); Estimation 20l/m2 panel</v>
      </c>
      <c r="BT40" s="435">
        <f t="shared" si="64"/>
        <v>0</v>
      </c>
      <c r="BU40" s="95">
        <v>1</v>
      </c>
      <c r="BV40" s="96">
        <f t="shared" si="65"/>
        <v>1.0906744032152329</v>
      </c>
      <c r="BW40" s="432" t="str">
        <f t="shared" si="66"/>
        <v>(2,2,1,1,1,3); Estimation 20l/m2 panel</v>
      </c>
      <c r="BX40" s="435">
        <f t="shared" si="67"/>
        <v>0</v>
      </c>
      <c r="BY40" s="95">
        <v>1</v>
      </c>
      <c r="BZ40" s="96">
        <f t="shared" si="68"/>
        <v>1.0906744032152329</v>
      </c>
      <c r="CA40" s="432" t="str">
        <f t="shared" si="69"/>
        <v>(2,2,1,1,1,3); Estimation 20l/m2 panel</v>
      </c>
      <c r="CB40" s="435">
        <f t="shared" si="70"/>
        <v>0</v>
      </c>
      <c r="CC40" s="95">
        <v>1</v>
      </c>
      <c r="CD40" s="96">
        <f t="shared" si="71"/>
        <v>1.0906744032152329</v>
      </c>
      <c r="CE40" s="432" t="str">
        <f t="shared" si="72"/>
        <v>(2,2,1,1,1,3); Estimation 20l/m2 panel</v>
      </c>
      <c r="CF40" s="435">
        <f t="shared" si="73"/>
        <v>0</v>
      </c>
      <c r="CG40" s="95">
        <v>1</v>
      </c>
      <c r="CH40" s="96">
        <f t="shared" si="74"/>
        <v>1.0906744032152329</v>
      </c>
      <c r="CI40" s="432" t="str">
        <f t="shared" si="75"/>
        <v>(2,2,1,1,1,3); Estimation 20l/m2 panel</v>
      </c>
      <c r="CJ40" s="213"/>
      <c r="CK40" s="505"/>
      <c r="CL40" s="211"/>
      <c r="CM40" s="510"/>
      <c r="CO40" s="77" t="s">
        <v>2213</v>
      </c>
      <c r="CP40" s="339">
        <v>2</v>
      </c>
      <c r="CQ40" s="339">
        <v>2</v>
      </c>
      <c r="CR40" s="339">
        <v>1</v>
      </c>
      <c r="CS40" s="339">
        <v>1</v>
      </c>
      <c r="CT40" s="339">
        <v>1</v>
      </c>
      <c r="CU40" s="339">
        <v>3</v>
      </c>
      <c r="CV40" s="104">
        <v>3</v>
      </c>
      <c r="CW40" s="104">
        <v>1.05</v>
      </c>
      <c r="CX40" s="107">
        <f t="shared" si="76"/>
        <v>1.0744244531716256</v>
      </c>
      <c r="CY40" s="107">
        <f t="shared" si="77"/>
        <v>1.0906744032152329</v>
      </c>
      <c r="CZ40" s="107" t="str">
        <f t="shared" si="78"/>
        <v>(2,2,1,1,1,3)</v>
      </c>
      <c r="DA40" s="108">
        <v>1.05</v>
      </c>
      <c r="DB40" s="108">
        <v>1.02</v>
      </c>
      <c r="DC40" s="108">
        <v>1</v>
      </c>
      <c r="DD40" s="108">
        <v>1</v>
      </c>
      <c r="DE40" s="108">
        <v>1</v>
      </c>
      <c r="DF40" s="108">
        <v>1.05</v>
      </c>
    </row>
    <row r="41" spans="1:118" ht="24" customHeight="1" outlineLevel="1">
      <c r="A41" s="330">
        <v>256042</v>
      </c>
      <c r="B41" s="331"/>
      <c r="C41" s="88"/>
      <c r="D41" s="340">
        <v>5</v>
      </c>
      <c r="E41" s="341" t="s">
        <v>98</v>
      </c>
      <c r="F41" s="432" t="s">
        <v>2284</v>
      </c>
      <c r="G41" s="433" t="s">
        <v>2144</v>
      </c>
      <c r="H41" s="434" t="s">
        <v>98</v>
      </c>
      <c r="I41" s="434" t="s">
        <v>98</v>
      </c>
      <c r="J41" s="94">
        <v>0</v>
      </c>
      <c r="K41" s="433" t="s">
        <v>96</v>
      </c>
      <c r="L41" s="435">
        <f t="shared" si="19"/>
        <v>0</v>
      </c>
      <c r="M41" s="95">
        <v>1</v>
      </c>
      <c r="N41" s="96">
        <f t="shared" si="20"/>
        <v>1.0906744032152329</v>
      </c>
      <c r="O41" s="432" t="str">
        <f t="shared" si="21"/>
        <v>(2,2,1,1,1,3); Estimation 20l/m2 panel</v>
      </c>
      <c r="P41" s="435">
        <f t="shared" si="22"/>
        <v>0</v>
      </c>
      <c r="Q41" s="95">
        <v>1</v>
      </c>
      <c r="R41" s="96">
        <f t="shared" si="23"/>
        <v>1.0906744032152329</v>
      </c>
      <c r="S41" s="432" t="str">
        <f t="shared" si="24"/>
        <v>(2,2,1,1,1,3); Estimation 20l/m2 panel</v>
      </c>
      <c r="T41" s="435">
        <f t="shared" si="25"/>
        <v>0</v>
      </c>
      <c r="U41" s="95">
        <v>1</v>
      </c>
      <c r="V41" s="96">
        <f t="shared" si="26"/>
        <v>1.0906744032152329</v>
      </c>
      <c r="W41" s="432" t="str">
        <f t="shared" si="27"/>
        <v>(2,2,1,1,1,3); Estimation 20l/m2 panel</v>
      </c>
      <c r="X41" s="435">
        <f t="shared" si="28"/>
        <v>0</v>
      </c>
      <c r="Y41" s="95">
        <v>1</v>
      </c>
      <c r="Z41" s="96">
        <f t="shared" si="29"/>
        <v>1.0906744032152329</v>
      </c>
      <c r="AA41" s="432" t="str">
        <f t="shared" si="30"/>
        <v>(2,2,1,1,1,3); Estimation 20l/m2 panel</v>
      </c>
      <c r="AB41" s="435">
        <f t="shared" si="31"/>
        <v>0</v>
      </c>
      <c r="AC41" s="95">
        <v>1</v>
      </c>
      <c r="AD41" s="96">
        <f t="shared" si="32"/>
        <v>1.0906744032152329</v>
      </c>
      <c r="AE41" s="432" t="str">
        <f t="shared" si="33"/>
        <v>(2,2,1,1,1,3); Estimation 20l/m2 panel</v>
      </c>
      <c r="AF41" s="435">
        <f t="shared" si="34"/>
        <v>0</v>
      </c>
      <c r="AG41" s="95">
        <v>1</v>
      </c>
      <c r="AH41" s="96">
        <f t="shared" si="35"/>
        <v>1.0906744032152329</v>
      </c>
      <c r="AI41" s="432" t="str">
        <f t="shared" si="36"/>
        <v>(2,2,1,1,1,3); Estimation 20l/m2 panel</v>
      </c>
      <c r="AJ41" s="435">
        <f t="shared" si="37"/>
        <v>0</v>
      </c>
      <c r="AK41" s="95">
        <v>1</v>
      </c>
      <c r="AL41" s="96">
        <f t="shared" si="38"/>
        <v>1.0906744032152329</v>
      </c>
      <c r="AM41" s="432" t="str">
        <f t="shared" si="39"/>
        <v>(2,2,1,1,1,3); Estimation 20l/m2 panel</v>
      </c>
      <c r="AN41" s="435">
        <f t="shared" si="40"/>
        <v>0</v>
      </c>
      <c r="AO41" s="95">
        <v>1</v>
      </c>
      <c r="AP41" s="96">
        <f t="shared" si="41"/>
        <v>1.0906744032152329</v>
      </c>
      <c r="AQ41" s="432" t="str">
        <f t="shared" si="42"/>
        <v>(2,2,1,1,1,3); Estimation 20l/m2 panel</v>
      </c>
      <c r="AR41" s="435">
        <f t="shared" si="43"/>
        <v>0</v>
      </c>
      <c r="AS41" s="95">
        <v>1</v>
      </c>
      <c r="AT41" s="96">
        <f t="shared" si="44"/>
        <v>1.0906744032152329</v>
      </c>
      <c r="AU41" s="432" t="str">
        <f t="shared" si="45"/>
        <v>(2,2,1,1,1,3); Estimation 20l/m2 panel</v>
      </c>
      <c r="AV41" s="435">
        <f t="shared" si="46"/>
        <v>0</v>
      </c>
      <c r="AW41" s="95">
        <v>1</v>
      </c>
      <c r="AX41" s="96">
        <f t="shared" si="47"/>
        <v>1.0906744032152329</v>
      </c>
      <c r="AY41" s="432" t="str">
        <f t="shared" si="48"/>
        <v>(2,2,1,1,1,3); Estimation 20l/m2 panel</v>
      </c>
      <c r="AZ41" s="435">
        <f t="shared" si="49"/>
        <v>0</v>
      </c>
      <c r="BA41" s="95">
        <v>1</v>
      </c>
      <c r="BB41" s="96">
        <f t="shared" si="50"/>
        <v>1.0906744032152329</v>
      </c>
      <c r="BC41" s="432" t="str">
        <f t="shared" si="51"/>
        <v>(2,2,1,1,1,3); Estimation 20l/m2 panel</v>
      </c>
      <c r="BD41" s="435">
        <f t="shared" si="52"/>
        <v>0</v>
      </c>
      <c r="BE41" s="95">
        <v>1</v>
      </c>
      <c r="BF41" s="96">
        <f t="shared" si="53"/>
        <v>1.0906744032152329</v>
      </c>
      <c r="BG41" s="432" t="str">
        <f t="shared" si="54"/>
        <v>(2,2,1,1,1,3); Estimation 20l/m2 panel</v>
      </c>
      <c r="BH41" s="435">
        <f t="shared" si="55"/>
        <v>0</v>
      </c>
      <c r="BI41" s="95">
        <v>1</v>
      </c>
      <c r="BJ41" s="96">
        <f t="shared" si="56"/>
        <v>1.0906744032152329</v>
      </c>
      <c r="BK41" s="432" t="str">
        <f t="shared" si="57"/>
        <v>(2,2,1,1,1,3); Estimation 20l/m2 panel</v>
      </c>
      <c r="BL41" s="435">
        <f t="shared" si="58"/>
        <v>0</v>
      </c>
      <c r="BM41" s="95">
        <v>1</v>
      </c>
      <c r="BN41" s="96">
        <f t="shared" si="59"/>
        <v>1.0906744032152329</v>
      </c>
      <c r="BO41" s="432" t="str">
        <f t="shared" si="60"/>
        <v>(2,2,1,1,1,3); Estimation 20l/m2 panel</v>
      </c>
      <c r="BP41" s="435">
        <f t="shared" si="61"/>
        <v>2.2105855332668887E-3</v>
      </c>
      <c r="BQ41" s="95">
        <v>1</v>
      </c>
      <c r="BR41" s="96">
        <f t="shared" si="62"/>
        <v>1.0906744032152329</v>
      </c>
      <c r="BS41" s="432" t="str">
        <f t="shared" si="63"/>
        <v>(2,2,1,1,1,3); Estimation 20l/m2 panel</v>
      </c>
      <c r="BT41" s="435">
        <f t="shared" si="64"/>
        <v>0</v>
      </c>
      <c r="BU41" s="95">
        <v>1</v>
      </c>
      <c r="BV41" s="96">
        <f t="shared" si="65"/>
        <v>1.0906744032152329</v>
      </c>
      <c r="BW41" s="432" t="str">
        <f t="shared" si="66"/>
        <v>(2,2,1,1,1,3); Estimation 20l/m2 panel</v>
      </c>
      <c r="BX41" s="435">
        <f t="shared" si="67"/>
        <v>0</v>
      </c>
      <c r="BY41" s="95">
        <v>1</v>
      </c>
      <c r="BZ41" s="96">
        <f t="shared" si="68"/>
        <v>1.0906744032152329</v>
      </c>
      <c r="CA41" s="432" t="str">
        <f t="shared" si="69"/>
        <v>(2,2,1,1,1,3); Estimation 20l/m2 panel</v>
      </c>
      <c r="CB41" s="435">
        <f t="shared" si="70"/>
        <v>0</v>
      </c>
      <c r="CC41" s="95">
        <v>1</v>
      </c>
      <c r="CD41" s="96">
        <f t="shared" si="71"/>
        <v>1.0906744032152329</v>
      </c>
      <c r="CE41" s="432" t="str">
        <f t="shared" si="72"/>
        <v>(2,2,1,1,1,3); Estimation 20l/m2 panel</v>
      </c>
      <c r="CF41" s="435">
        <f t="shared" si="73"/>
        <v>0</v>
      </c>
      <c r="CG41" s="95">
        <v>1</v>
      </c>
      <c r="CH41" s="96">
        <f t="shared" si="74"/>
        <v>1.0906744032152329</v>
      </c>
      <c r="CI41" s="432" t="str">
        <f t="shared" si="75"/>
        <v>(2,2,1,1,1,3); Estimation 20l/m2 panel</v>
      </c>
      <c r="CJ41" s="213"/>
      <c r="CK41" s="505"/>
      <c r="CL41" s="211"/>
      <c r="CM41" s="510"/>
      <c r="CO41" s="77" t="s">
        <v>2213</v>
      </c>
      <c r="CP41" s="339">
        <v>2</v>
      </c>
      <c r="CQ41" s="339">
        <v>2</v>
      </c>
      <c r="CR41" s="339">
        <v>1</v>
      </c>
      <c r="CS41" s="339">
        <v>1</v>
      </c>
      <c r="CT41" s="339">
        <v>1</v>
      </c>
      <c r="CU41" s="339">
        <v>3</v>
      </c>
      <c r="CV41" s="104">
        <v>3</v>
      </c>
      <c r="CW41" s="104">
        <v>1.05</v>
      </c>
      <c r="CX41" s="107">
        <f t="shared" si="76"/>
        <v>1.0744244531716256</v>
      </c>
      <c r="CY41" s="107">
        <f t="shared" si="77"/>
        <v>1.0906744032152329</v>
      </c>
      <c r="CZ41" s="107" t="str">
        <f t="shared" si="78"/>
        <v>(2,2,1,1,1,3)</v>
      </c>
      <c r="DA41" s="108">
        <v>1.05</v>
      </c>
      <c r="DB41" s="108">
        <v>1.02</v>
      </c>
      <c r="DC41" s="108">
        <v>1</v>
      </c>
      <c r="DD41" s="108">
        <v>1</v>
      </c>
      <c r="DE41" s="108">
        <v>1</v>
      </c>
      <c r="DF41" s="108">
        <v>1.05</v>
      </c>
    </row>
    <row r="42" spans="1:118" ht="24" customHeight="1" outlineLevel="1">
      <c r="A42" s="330">
        <v>258833</v>
      </c>
      <c r="B42" s="331"/>
      <c r="C42" s="88"/>
      <c r="D42" s="340">
        <v>5</v>
      </c>
      <c r="E42" s="341" t="s">
        <v>98</v>
      </c>
      <c r="F42" s="432" t="s">
        <v>2285</v>
      </c>
      <c r="G42" s="433" t="s">
        <v>2147</v>
      </c>
      <c r="H42" s="434" t="s">
        <v>98</v>
      </c>
      <c r="I42" s="434" t="s">
        <v>98</v>
      </c>
      <c r="J42" s="94">
        <v>0</v>
      </c>
      <c r="K42" s="433" t="s">
        <v>96</v>
      </c>
      <c r="L42" s="435">
        <f t="shared" si="19"/>
        <v>0</v>
      </c>
      <c r="M42" s="95">
        <v>1</v>
      </c>
      <c r="N42" s="96">
        <f t="shared" si="20"/>
        <v>1.0906744032152329</v>
      </c>
      <c r="O42" s="432" t="str">
        <f t="shared" si="21"/>
        <v>(2,2,1,1,1,3); Estimation 20l/m2 panel</v>
      </c>
      <c r="P42" s="435">
        <f t="shared" si="22"/>
        <v>0</v>
      </c>
      <c r="Q42" s="95">
        <v>1</v>
      </c>
      <c r="R42" s="96">
        <f t="shared" si="23"/>
        <v>1.0906744032152329</v>
      </c>
      <c r="S42" s="432" t="str">
        <f t="shared" si="24"/>
        <v>(2,2,1,1,1,3); Estimation 20l/m2 panel</v>
      </c>
      <c r="T42" s="435">
        <f t="shared" si="25"/>
        <v>0</v>
      </c>
      <c r="U42" s="95">
        <v>1</v>
      </c>
      <c r="V42" s="96">
        <f t="shared" si="26"/>
        <v>1.0906744032152329</v>
      </c>
      <c r="W42" s="432" t="str">
        <f t="shared" si="27"/>
        <v>(2,2,1,1,1,3); Estimation 20l/m2 panel</v>
      </c>
      <c r="X42" s="435">
        <f t="shared" si="28"/>
        <v>0</v>
      </c>
      <c r="Y42" s="95">
        <v>1</v>
      </c>
      <c r="Z42" s="96">
        <f t="shared" si="29"/>
        <v>1.0906744032152329</v>
      </c>
      <c r="AA42" s="432" t="str">
        <f t="shared" si="30"/>
        <v>(2,2,1,1,1,3); Estimation 20l/m2 panel</v>
      </c>
      <c r="AB42" s="435">
        <f t="shared" si="31"/>
        <v>0</v>
      </c>
      <c r="AC42" s="95">
        <v>1</v>
      </c>
      <c r="AD42" s="96">
        <f t="shared" si="32"/>
        <v>1.0906744032152329</v>
      </c>
      <c r="AE42" s="432" t="str">
        <f t="shared" si="33"/>
        <v>(2,2,1,1,1,3); Estimation 20l/m2 panel</v>
      </c>
      <c r="AF42" s="435">
        <f t="shared" si="34"/>
        <v>0</v>
      </c>
      <c r="AG42" s="95">
        <v>1</v>
      </c>
      <c r="AH42" s="96">
        <f t="shared" si="35"/>
        <v>1.0906744032152329</v>
      </c>
      <c r="AI42" s="432" t="str">
        <f t="shared" si="36"/>
        <v>(2,2,1,1,1,3); Estimation 20l/m2 panel</v>
      </c>
      <c r="AJ42" s="435">
        <f t="shared" si="37"/>
        <v>0</v>
      </c>
      <c r="AK42" s="95">
        <v>1</v>
      </c>
      <c r="AL42" s="96">
        <f t="shared" si="38"/>
        <v>1.0906744032152329</v>
      </c>
      <c r="AM42" s="432" t="str">
        <f t="shared" si="39"/>
        <v>(2,2,1,1,1,3); Estimation 20l/m2 panel</v>
      </c>
      <c r="AN42" s="435">
        <f t="shared" si="40"/>
        <v>0</v>
      </c>
      <c r="AO42" s="95">
        <v>1</v>
      </c>
      <c r="AP42" s="96">
        <f t="shared" si="41"/>
        <v>1.0906744032152329</v>
      </c>
      <c r="AQ42" s="432" t="str">
        <f t="shared" si="42"/>
        <v>(2,2,1,1,1,3); Estimation 20l/m2 panel</v>
      </c>
      <c r="AR42" s="435">
        <f t="shared" si="43"/>
        <v>0</v>
      </c>
      <c r="AS42" s="95">
        <v>1</v>
      </c>
      <c r="AT42" s="96">
        <f t="shared" si="44"/>
        <v>1.0906744032152329</v>
      </c>
      <c r="AU42" s="432" t="str">
        <f t="shared" si="45"/>
        <v>(2,2,1,1,1,3); Estimation 20l/m2 panel</v>
      </c>
      <c r="AV42" s="435">
        <f t="shared" si="46"/>
        <v>0</v>
      </c>
      <c r="AW42" s="95">
        <v>1</v>
      </c>
      <c r="AX42" s="96">
        <f t="shared" si="47"/>
        <v>1.0906744032152329</v>
      </c>
      <c r="AY42" s="432" t="str">
        <f t="shared" si="48"/>
        <v>(2,2,1,1,1,3); Estimation 20l/m2 panel</v>
      </c>
      <c r="AZ42" s="435">
        <f t="shared" si="49"/>
        <v>0</v>
      </c>
      <c r="BA42" s="95">
        <v>1</v>
      </c>
      <c r="BB42" s="96">
        <f t="shared" si="50"/>
        <v>1.0906744032152329</v>
      </c>
      <c r="BC42" s="432" t="str">
        <f t="shared" si="51"/>
        <v>(2,2,1,1,1,3); Estimation 20l/m2 panel</v>
      </c>
      <c r="BD42" s="435">
        <f t="shared" si="52"/>
        <v>0</v>
      </c>
      <c r="BE42" s="95">
        <v>1</v>
      </c>
      <c r="BF42" s="96">
        <f t="shared" si="53"/>
        <v>1.0906744032152329</v>
      </c>
      <c r="BG42" s="432" t="str">
        <f t="shared" si="54"/>
        <v>(2,2,1,1,1,3); Estimation 20l/m2 panel</v>
      </c>
      <c r="BH42" s="435">
        <f t="shared" si="55"/>
        <v>0</v>
      </c>
      <c r="BI42" s="95">
        <v>1</v>
      </c>
      <c r="BJ42" s="96">
        <f t="shared" si="56"/>
        <v>1.0906744032152329</v>
      </c>
      <c r="BK42" s="432" t="str">
        <f t="shared" si="57"/>
        <v>(2,2,1,1,1,3); Estimation 20l/m2 panel</v>
      </c>
      <c r="BL42" s="435">
        <f t="shared" si="58"/>
        <v>0</v>
      </c>
      <c r="BM42" s="95">
        <v>1</v>
      </c>
      <c r="BN42" s="96">
        <f t="shared" si="59"/>
        <v>1.0906744032152329</v>
      </c>
      <c r="BO42" s="432" t="str">
        <f t="shared" si="60"/>
        <v>(2,2,1,1,1,3); Estimation 20l/m2 panel</v>
      </c>
      <c r="BP42" s="435">
        <f t="shared" si="61"/>
        <v>0</v>
      </c>
      <c r="BQ42" s="95">
        <v>1</v>
      </c>
      <c r="BR42" s="96">
        <f t="shared" si="62"/>
        <v>1.0906744032152329</v>
      </c>
      <c r="BS42" s="432" t="str">
        <f t="shared" si="63"/>
        <v>(2,2,1,1,1,3); Estimation 20l/m2 panel</v>
      </c>
      <c r="BT42" s="435">
        <f t="shared" si="64"/>
        <v>2.0712873662795516E-3</v>
      </c>
      <c r="BU42" s="95">
        <v>1</v>
      </c>
      <c r="BV42" s="96">
        <f t="shared" si="65"/>
        <v>1.0906744032152329</v>
      </c>
      <c r="BW42" s="432" t="str">
        <f t="shared" si="66"/>
        <v>(2,2,1,1,1,3); Estimation 20l/m2 panel</v>
      </c>
      <c r="BX42" s="435">
        <f t="shared" si="67"/>
        <v>0</v>
      </c>
      <c r="BY42" s="95">
        <v>1</v>
      </c>
      <c r="BZ42" s="96">
        <f t="shared" si="68"/>
        <v>1.0906744032152329</v>
      </c>
      <c r="CA42" s="432" t="str">
        <f t="shared" si="69"/>
        <v>(2,2,1,1,1,3); Estimation 20l/m2 panel</v>
      </c>
      <c r="CB42" s="435">
        <f t="shared" si="70"/>
        <v>0</v>
      </c>
      <c r="CC42" s="95">
        <v>1</v>
      </c>
      <c r="CD42" s="96">
        <f t="shared" si="71"/>
        <v>1.0906744032152329</v>
      </c>
      <c r="CE42" s="432" t="str">
        <f t="shared" si="72"/>
        <v>(2,2,1,1,1,3); Estimation 20l/m2 panel</v>
      </c>
      <c r="CF42" s="435">
        <f t="shared" si="73"/>
        <v>0</v>
      </c>
      <c r="CG42" s="95">
        <v>1</v>
      </c>
      <c r="CH42" s="96">
        <f t="shared" si="74"/>
        <v>1.0906744032152329</v>
      </c>
      <c r="CI42" s="432" t="str">
        <f t="shared" si="75"/>
        <v>(2,2,1,1,1,3); Estimation 20l/m2 panel</v>
      </c>
      <c r="CJ42" s="213"/>
      <c r="CK42" s="505"/>
      <c r="CL42" s="211"/>
      <c r="CM42" s="510"/>
      <c r="CO42" s="77" t="s">
        <v>2213</v>
      </c>
      <c r="CP42" s="339">
        <v>2</v>
      </c>
      <c r="CQ42" s="339">
        <v>2</v>
      </c>
      <c r="CR42" s="339">
        <v>1</v>
      </c>
      <c r="CS42" s="339">
        <v>1</v>
      </c>
      <c r="CT42" s="339">
        <v>1</v>
      </c>
      <c r="CU42" s="339">
        <v>3</v>
      </c>
      <c r="CV42" s="104">
        <v>3</v>
      </c>
      <c r="CW42" s="104">
        <v>1.05</v>
      </c>
      <c r="CX42" s="107">
        <f t="shared" si="76"/>
        <v>1.0744244531716256</v>
      </c>
      <c r="CY42" s="107">
        <f t="shared" si="77"/>
        <v>1.0906744032152329</v>
      </c>
      <c r="CZ42" s="107" t="str">
        <f t="shared" si="78"/>
        <v>(2,2,1,1,1,3)</v>
      </c>
      <c r="DA42" s="108">
        <v>1.05</v>
      </c>
      <c r="DB42" s="108">
        <v>1.02</v>
      </c>
      <c r="DC42" s="108">
        <v>1</v>
      </c>
      <c r="DD42" s="108">
        <v>1</v>
      </c>
      <c r="DE42" s="108">
        <v>1</v>
      </c>
      <c r="DF42" s="108">
        <v>1.05</v>
      </c>
    </row>
    <row r="43" spans="1:118" ht="24" customHeight="1" outlineLevel="1">
      <c r="A43" s="330">
        <v>256492</v>
      </c>
      <c r="B43" s="331"/>
      <c r="C43" s="88"/>
      <c r="D43" s="340">
        <v>5</v>
      </c>
      <c r="E43" s="341" t="s">
        <v>98</v>
      </c>
      <c r="F43" s="432" t="s">
        <v>2286</v>
      </c>
      <c r="G43" s="433" t="s">
        <v>2149</v>
      </c>
      <c r="H43" s="434" t="s">
        <v>98</v>
      </c>
      <c r="I43" s="434" t="s">
        <v>98</v>
      </c>
      <c r="J43" s="94">
        <v>0</v>
      </c>
      <c r="K43" s="433" t="s">
        <v>96</v>
      </c>
      <c r="L43" s="435">
        <f t="shared" si="19"/>
        <v>0</v>
      </c>
      <c r="M43" s="95">
        <v>1</v>
      </c>
      <c r="N43" s="96">
        <f t="shared" si="20"/>
        <v>1.0906744032152329</v>
      </c>
      <c r="O43" s="432" t="str">
        <f t="shared" si="21"/>
        <v>(2,2,1,1,1,3); Estimation 20l/m2 panel</v>
      </c>
      <c r="P43" s="435">
        <f t="shared" si="22"/>
        <v>0</v>
      </c>
      <c r="Q43" s="95">
        <v>1</v>
      </c>
      <c r="R43" s="96">
        <f t="shared" si="23"/>
        <v>1.0906744032152329</v>
      </c>
      <c r="S43" s="432" t="str">
        <f t="shared" si="24"/>
        <v>(2,2,1,1,1,3); Estimation 20l/m2 panel</v>
      </c>
      <c r="T43" s="435">
        <f t="shared" si="25"/>
        <v>0</v>
      </c>
      <c r="U43" s="95">
        <v>1</v>
      </c>
      <c r="V43" s="96">
        <f t="shared" si="26"/>
        <v>1.0906744032152329</v>
      </c>
      <c r="W43" s="432" t="str">
        <f t="shared" si="27"/>
        <v>(2,2,1,1,1,3); Estimation 20l/m2 panel</v>
      </c>
      <c r="X43" s="435">
        <f t="shared" si="28"/>
        <v>0</v>
      </c>
      <c r="Y43" s="95">
        <v>1</v>
      </c>
      <c r="Z43" s="96">
        <f t="shared" si="29"/>
        <v>1.0906744032152329</v>
      </c>
      <c r="AA43" s="432" t="str">
        <f t="shared" si="30"/>
        <v>(2,2,1,1,1,3); Estimation 20l/m2 panel</v>
      </c>
      <c r="AB43" s="435">
        <f t="shared" si="31"/>
        <v>0</v>
      </c>
      <c r="AC43" s="95">
        <v>1</v>
      </c>
      <c r="AD43" s="96">
        <f t="shared" si="32"/>
        <v>1.0906744032152329</v>
      </c>
      <c r="AE43" s="432" t="str">
        <f t="shared" si="33"/>
        <v>(2,2,1,1,1,3); Estimation 20l/m2 panel</v>
      </c>
      <c r="AF43" s="435">
        <f t="shared" si="34"/>
        <v>0</v>
      </c>
      <c r="AG43" s="95">
        <v>1</v>
      </c>
      <c r="AH43" s="96">
        <f t="shared" si="35"/>
        <v>1.0906744032152329</v>
      </c>
      <c r="AI43" s="432" t="str">
        <f t="shared" si="36"/>
        <v>(2,2,1,1,1,3); Estimation 20l/m2 panel</v>
      </c>
      <c r="AJ43" s="435">
        <f t="shared" si="37"/>
        <v>0</v>
      </c>
      <c r="AK43" s="95">
        <v>1</v>
      </c>
      <c r="AL43" s="96">
        <f t="shared" si="38"/>
        <v>1.0906744032152329</v>
      </c>
      <c r="AM43" s="432" t="str">
        <f t="shared" si="39"/>
        <v>(2,2,1,1,1,3); Estimation 20l/m2 panel</v>
      </c>
      <c r="AN43" s="435">
        <f t="shared" si="40"/>
        <v>0</v>
      </c>
      <c r="AO43" s="95">
        <v>1</v>
      </c>
      <c r="AP43" s="96">
        <f t="shared" si="41"/>
        <v>1.0906744032152329</v>
      </c>
      <c r="AQ43" s="432" t="str">
        <f t="shared" si="42"/>
        <v>(2,2,1,1,1,3); Estimation 20l/m2 panel</v>
      </c>
      <c r="AR43" s="435">
        <f t="shared" si="43"/>
        <v>0</v>
      </c>
      <c r="AS43" s="95">
        <v>1</v>
      </c>
      <c r="AT43" s="96">
        <f t="shared" si="44"/>
        <v>1.0906744032152329</v>
      </c>
      <c r="AU43" s="432" t="str">
        <f t="shared" si="45"/>
        <v>(2,2,1,1,1,3); Estimation 20l/m2 panel</v>
      </c>
      <c r="AV43" s="435">
        <f t="shared" si="46"/>
        <v>0</v>
      </c>
      <c r="AW43" s="95">
        <v>1</v>
      </c>
      <c r="AX43" s="96">
        <f t="shared" si="47"/>
        <v>1.0906744032152329</v>
      </c>
      <c r="AY43" s="432" t="str">
        <f t="shared" si="48"/>
        <v>(2,2,1,1,1,3); Estimation 20l/m2 panel</v>
      </c>
      <c r="AZ43" s="435">
        <f t="shared" si="49"/>
        <v>0</v>
      </c>
      <c r="BA43" s="95">
        <v>1</v>
      </c>
      <c r="BB43" s="96">
        <f t="shared" si="50"/>
        <v>1.0906744032152329</v>
      </c>
      <c r="BC43" s="432" t="str">
        <f t="shared" si="51"/>
        <v>(2,2,1,1,1,3); Estimation 20l/m2 panel</v>
      </c>
      <c r="BD43" s="435">
        <f t="shared" si="52"/>
        <v>0</v>
      </c>
      <c r="BE43" s="95">
        <v>1</v>
      </c>
      <c r="BF43" s="96">
        <f t="shared" si="53"/>
        <v>1.0906744032152329</v>
      </c>
      <c r="BG43" s="432" t="str">
        <f t="shared" si="54"/>
        <v>(2,2,1,1,1,3); Estimation 20l/m2 panel</v>
      </c>
      <c r="BH43" s="435">
        <f t="shared" si="55"/>
        <v>0</v>
      </c>
      <c r="BI43" s="95">
        <v>1</v>
      </c>
      <c r="BJ43" s="96">
        <f t="shared" si="56"/>
        <v>1.0906744032152329</v>
      </c>
      <c r="BK43" s="432" t="str">
        <f t="shared" si="57"/>
        <v>(2,2,1,1,1,3); Estimation 20l/m2 panel</v>
      </c>
      <c r="BL43" s="435">
        <f t="shared" si="58"/>
        <v>0</v>
      </c>
      <c r="BM43" s="95">
        <v>1</v>
      </c>
      <c r="BN43" s="96">
        <f t="shared" si="59"/>
        <v>1.0906744032152329</v>
      </c>
      <c r="BO43" s="432" t="str">
        <f t="shared" si="60"/>
        <v>(2,2,1,1,1,3); Estimation 20l/m2 panel</v>
      </c>
      <c r="BP43" s="435">
        <f t="shared" si="61"/>
        <v>0</v>
      </c>
      <c r="BQ43" s="95">
        <v>1</v>
      </c>
      <c r="BR43" s="96">
        <f t="shared" si="62"/>
        <v>1.0906744032152329</v>
      </c>
      <c r="BS43" s="432" t="str">
        <f t="shared" si="63"/>
        <v>(2,2,1,1,1,3); Estimation 20l/m2 panel</v>
      </c>
      <c r="BT43" s="435">
        <f t="shared" si="64"/>
        <v>0</v>
      </c>
      <c r="BU43" s="95">
        <v>1</v>
      </c>
      <c r="BV43" s="96">
        <f t="shared" si="65"/>
        <v>1.0906744032152329</v>
      </c>
      <c r="BW43" s="432" t="str">
        <f t="shared" si="66"/>
        <v>(2,2,1,1,1,3); Estimation 20l/m2 panel</v>
      </c>
      <c r="BX43" s="435">
        <f t="shared" si="67"/>
        <v>3.6602883146776731E-3</v>
      </c>
      <c r="BY43" s="95">
        <v>1</v>
      </c>
      <c r="BZ43" s="96">
        <f t="shared" si="68"/>
        <v>1.0906744032152329</v>
      </c>
      <c r="CA43" s="432" t="str">
        <f t="shared" si="69"/>
        <v>(2,2,1,1,1,3); Estimation 20l/m2 panel</v>
      </c>
      <c r="CB43" s="435">
        <f t="shared" si="70"/>
        <v>0</v>
      </c>
      <c r="CC43" s="95">
        <v>1</v>
      </c>
      <c r="CD43" s="96">
        <f t="shared" si="71"/>
        <v>1.0906744032152329</v>
      </c>
      <c r="CE43" s="432" t="str">
        <f t="shared" si="72"/>
        <v>(2,2,1,1,1,3); Estimation 20l/m2 panel</v>
      </c>
      <c r="CF43" s="435">
        <f t="shared" si="73"/>
        <v>0</v>
      </c>
      <c r="CG43" s="95">
        <v>1</v>
      </c>
      <c r="CH43" s="96">
        <f t="shared" si="74"/>
        <v>1.0906744032152329</v>
      </c>
      <c r="CI43" s="432" t="str">
        <f t="shared" si="75"/>
        <v>(2,2,1,1,1,3); Estimation 20l/m2 panel</v>
      </c>
      <c r="CJ43" s="213"/>
      <c r="CK43" s="505"/>
      <c r="CL43" s="211"/>
      <c r="CM43" s="510"/>
      <c r="CO43" s="77" t="s">
        <v>2213</v>
      </c>
      <c r="CP43" s="339">
        <v>2</v>
      </c>
      <c r="CQ43" s="339">
        <v>2</v>
      </c>
      <c r="CR43" s="339">
        <v>1</v>
      </c>
      <c r="CS43" s="339">
        <v>1</v>
      </c>
      <c r="CT43" s="339">
        <v>1</v>
      </c>
      <c r="CU43" s="339">
        <v>3</v>
      </c>
      <c r="CV43" s="104">
        <v>3</v>
      </c>
      <c r="CW43" s="104">
        <v>1.05</v>
      </c>
      <c r="CX43" s="107">
        <f t="shared" si="76"/>
        <v>1.0744244531716256</v>
      </c>
      <c r="CY43" s="107">
        <f t="shared" si="77"/>
        <v>1.0906744032152329</v>
      </c>
      <c r="CZ43" s="107" t="str">
        <f t="shared" si="78"/>
        <v>(2,2,1,1,1,3)</v>
      </c>
      <c r="DA43" s="108">
        <v>1.05</v>
      </c>
      <c r="DB43" s="108">
        <v>1.02</v>
      </c>
      <c r="DC43" s="108">
        <v>1</v>
      </c>
      <c r="DD43" s="108">
        <v>1</v>
      </c>
      <c r="DE43" s="108">
        <v>1</v>
      </c>
      <c r="DF43" s="108">
        <v>1.05</v>
      </c>
    </row>
    <row r="44" spans="1:118" ht="24" customHeight="1" outlineLevel="1">
      <c r="A44" s="330">
        <v>256270</v>
      </c>
      <c r="B44" s="331"/>
      <c r="C44" s="88"/>
      <c r="D44" s="340">
        <v>5</v>
      </c>
      <c r="E44" s="341" t="s">
        <v>98</v>
      </c>
      <c r="F44" s="432" t="s">
        <v>2287</v>
      </c>
      <c r="G44" s="433" t="s">
        <v>2154</v>
      </c>
      <c r="H44" s="434" t="s">
        <v>98</v>
      </c>
      <c r="I44" s="434" t="s">
        <v>98</v>
      </c>
      <c r="J44" s="94">
        <v>0</v>
      </c>
      <c r="K44" s="433" t="s">
        <v>96</v>
      </c>
      <c r="L44" s="435">
        <f t="shared" si="19"/>
        <v>0</v>
      </c>
      <c r="M44" s="95">
        <v>1</v>
      </c>
      <c r="N44" s="96">
        <f t="shared" si="20"/>
        <v>1.0906744032152329</v>
      </c>
      <c r="O44" s="432" t="str">
        <f t="shared" si="21"/>
        <v>(2,2,1,1,1,3); Estimation 20l/m2 panel</v>
      </c>
      <c r="P44" s="435">
        <f t="shared" si="22"/>
        <v>0</v>
      </c>
      <c r="Q44" s="95">
        <v>1</v>
      </c>
      <c r="R44" s="96">
        <f t="shared" si="23"/>
        <v>1.0906744032152329</v>
      </c>
      <c r="S44" s="432" t="str">
        <f t="shared" si="24"/>
        <v>(2,2,1,1,1,3); Estimation 20l/m2 panel</v>
      </c>
      <c r="T44" s="435">
        <f t="shared" si="25"/>
        <v>0</v>
      </c>
      <c r="U44" s="95">
        <v>1</v>
      </c>
      <c r="V44" s="96">
        <f t="shared" si="26"/>
        <v>1.0906744032152329</v>
      </c>
      <c r="W44" s="432" t="str">
        <f t="shared" si="27"/>
        <v>(2,2,1,1,1,3); Estimation 20l/m2 panel</v>
      </c>
      <c r="X44" s="435">
        <f t="shared" si="28"/>
        <v>0</v>
      </c>
      <c r="Y44" s="95">
        <v>1</v>
      </c>
      <c r="Z44" s="96">
        <f t="shared" si="29"/>
        <v>1.0906744032152329</v>
      </c>
      <c r="AA44" s="432" t="str">
        <f t="shared" si="30"/>
        <v>(2,2,1,1,1,3); Estimation 20l/m2 panel</v>
      </c>
      <c r="AB44" s="435">
        <f t="shared" si="31"/>
        <v>0</v>
      </c>
      <c r="AC44" s="95">
        <v>1</v>
      </c>
      <c r="AD44" s="96">
        <f t="shared" si="32"/>
        <v>1.0906744032152329</v>
      </c>
      <c r="AE44" s="432" t="str">
        <f t="shared" si="33"/>
        <v>(2,2,1,1,1,3); Estimation 20l/m2 panel</v>
      </c>
      <c r="AF44" s="435">
        <f t="shared" si="34"/>
        <v>0</v>
      </c>
      <c r="AG44" s="95">
        <v>1</v>
      </c>
      <c r="AH44" s="96">
        <f t="shared" si="35"/>
        <v>1.0906744032152329</v>
      </c>
      <c r="AI44" s="432" t="str">
        <f t="shared" si="36"/>
        <v>(2,2,1,1,1,3); Estimation 20l/m2 panel</v>
      </c>
      <c r="AJ44" s="435">
        <f t="shared" si="37"/>
        <v>0</v>
      </c>
      <c r="AK44" s="95">
        <v>1</v>
      </c>
      <c r="AL44" s="96">
        <f t="shared" si="38"/>
        <v>1.0906744032152329</v>
      </c>
      <c r="AM44" s="432" t="str">
        <f t="shared" si="39"/>
        <v>(2,2,1,1,1,3); Estimation 20l/m2 panel</v>
      </c>
      <c r="AN44" s="435">
        <f t="shared" si="40"/>
        <v>0</v>
      </c>
      <c r="AO44" s="95">
        <v>1</v>
      </c>
      <c r="AP44" s="96">
        <f t="shared" si="41"/>
        <v>1.0906744032152329</v>
      </c>
      <c r="AQ44" s="432" t="str">
        <f t="shared" si="42"/>
        <v>(2,2,1,1,1,3); Estimation 20l/m2 panel</v>
      </c>
      <c r="AR44" s="435">
        <f t="shared" si="43"/>
        <v>0</v>
      </c>
      <c r="AS44" s="95">
        <v>1</v>
      </c>
      <c r="AT44" s="96">
        <f t="shared" si="44"/>
        <v>1.0906744032152329</v>
      </c>
      <c r="AU44" s="432" t="str">
        <f t="shared" si="45"/>
        <v>(2,2,1,1,1,3); Estimation 20l/m2 panel</v>
      </c>
      <c r="AV44" s="435">
        <f t="shared" si="46"/>
        <v>0</v>
      </c>
      <c r="AW44" s="95">
        <v>1</v>
      </c>
      <c r="AX44" s="96">
        <f t="shared" si="47"/>
        <v>1.0906744032152329</v>
      </c>
      <c r="AY44" s="432" t="str">
        <f t="shared" si="48"/>
        <v>(2,2,1,1,1,3); Estimation 20l/m2 panel</v>
      </c>
      <c r="AZ44" s="435">
        <f t="shared" si="49"/>
        <v>0</v>
      </c>
      <c r="BA44" s="95">
        <v>1</v>
      </c>
      <c r="BB44" s="96">
        <f t="shared" si="50"/>
        <v>1.0906744032152329</v>
      </c>
      <c r="BC44" s="432" t="str">
        <f t="shared" si="51"/>
        <v>(2,2,1,1,1,3); Estimation 20l/m2 panel</v>
      </c>
      <c r="BD44" s="435">
        <f t="shared" si="52"/>
        <v>0</v>
      </c>
      <c r="BE44" s="95">
        <v>1</v>
      </c>
      <c r="BF44" s="96">
        <f t="shared" si="53"/>
        <v>1.0906744032152329</v>
      </c>
      <c r="BG44" s="432" t="str">
        <f t="shared" si="54"/>
        <v>(2,2,1,1,1,3); Estimation 20l/m2 panel</v>
      </c>
      <c r="BH44" s="435">
        <f t="shared" si="55"/>
        <v>0</v>
      </c>
      <c r="BI44" s="95">
        <v>1</v>
      </c>
      <c r="BJ44" s="96">
        <f t="shared" si="56"/>
        <v>1.0906744032152329</v>
      </c>
      <c r="BK44" s="432" t="str">
        <f t="shared" si="57"/>
        <v>(2,2,1,1,1,3); Estimation 20l/m2 panel</v>
      </c>
      <c r="BL44" s="435">
        <f t="shared" si="58"/>
        <v>0</v>
      </c>
      <c r="BM44" s="95">
        <v>1</v>
      </c>
      <c r="BN44" s="96">
        <f t="shared" si="59"/>
        <v>1.0906744032152329</v>
      </c>
      <c r="BO44" s="432" t="str">
        <f t="shared" si="60"/>
        <v>(2,2,1,1,1,3); Estimation 20l/m2 panel</v>
      </c>
      <c r="BP44" s="435">
        <f t="shared" si="61"/>
        <v>0</v>
      </c>
      <c r="BQ44" s="95">
        <v>1</v>
      </c>
      <c r="BR44" s="96">
        <f t="shared" si="62"/>
        <v>1.0906744032152329</v>
      </c>
      <c r="BS44" s="432" t="str">
        <f t="shared" si="63"/>
        <v>(2,2,1,1,1,3); Estimation 20l/m2 panel</v>
      </c>
      <c r="BT44" s="435">
        <f t="shared" si="64"/>
        <v>0</v>
      </c>
      <c r="BU44" s="95">
        <v>1</v>
      </c>
      <c r="BV44" s="96">
        <f t="shared" si="65"/>
        <v>1.0906744032152329</v>
      </c>
      <c r="BW44" s="432" t="str">
        <f t="shared" si="66"/>
        <v>(2,2,1,1,1,3); Estimation 20l/m2 panel</v>
      </c>
      <c r="BX44" s="435">
        <f t="shared" si="67"/>
        <v>0</v>
      </c>
      <c r="BY44" s="95">
        <v>1</v>
      </c>
      <c r="BZ44" s="96">
        <f t="shared" si="68"/>
        <v>1.0906744032152329</v>
      </c>
      <c r="CA44" s="432" t="str">
        <f t="shared" si="69"/>
        <v>(2,2,1,1,1,3); Estimation 20l/m2 panel</v>
      </c>
      <c r="CB44" s="435">
        <f t="shared" si="70"/>
        <v>3.4490643149481378E-3</v>
      </c>
      <c r="CC44" s="95">
        <v>1</v>
      </c>
      <c r="CD44" s="96">
        <f t="shared" si="71"/>
        <v>1.0906744032152329</v>
      </c>
      <c r="CE44" s="432" t="str">
        <f t="shared" si="72"/>
        <v>(2,2,1,1,1,3); Estimation 20l/m2 panel</v>
      </c>
      <c r="CF44" s="435">
        <f t="shared" si="73"/>
        <v>0</v>
      </c>
      <c r="CG44" s="95">
        <v>1</v>
      </c>
      <c r="CH44" s="96">
        <f t="shared" si="74"/>
        <v>1.0906744032152329</v>
      </c>
      <c r="CI44" s="432" t="str">
        <f t="shared" si="75"/>
        <v>(2,2,1,1,1,3); Estimation 20l/m2 panel</v>
      </c>
      <c r="CJ44" s="213"/>
      <c r="CK44" s="505"/>
      <c r="CL44" s="211"/>
      <c r="CM44" s="510"/>
      <c r="CO44" s="77" t="s">
        <v>2213</v>
      </c>
      <c r="CP44" s="339">
        <v>2</v>
      </c>
      <c r="CQ44" s="339">
        <v>2</v>
      </c>
      <c r="CR44" s="339">
        <v>1</v>
      </c>
      <c r="CS44" s="339">
        <v>1</v>
      </c>
      <c r="CT44" s="339">
        <v>1</v>
      </c>
      <c r="CU44" s="339">
        <v>3</v>
      </c>
      <c r="CV44" s="104">
        <v>3</v>
      </c>
      <c r="CW44" s="104">
        <v>1.05</v>
      </c>
      <c r="CX44" s="107">
        <f t="shared" si="76"/>
        <v>1.0744244531716256</v>
      </c>
      <c r="CY44" s="107">
        <f t="shared" si="77"/>
        <v>1.0906744032152329</v>
      </c>
      <c r="CZ44" s="107" t="str">
        <f t="shared" si="78"/>
        <v>(2,2,1,1,1,3)</v>
      </c>
      <c r="DA44" s="108">
        <v>1.05</v>
      </c>
      <c r="DB44" s="108">
        <v>1.02</v>
      </c>
      <c r="DC44" s="108">
        <v>1</v>
      </c>
      <c r="DD44" s="108">
        <v>1</v>
      </c>
      <c r="DE44" s="108">
        <v>1</v>
      </c>
      <c r="DF44" s="108">
        <v>1.05</v>
      </c>
    </row>
    <row r="45" spans="1:118" ht="24" customHeight="1" outlineLevel="1">
      <c r="A45" s="330">
        <v>255990</v>
      </c>
      <c r="B45" s="331"/>
      <c r="C45" s="88"/>
      <c r="D45" s="340">
        <v>5</v>
      </c>
      <c r="E45" s="341" t="s">
        <v>98</v>
      </c>
      <c r="F45" s="432" t="s">
        <v>2288</v>
      </c>
      <c r="G45" s="433" t="s">
        <v>2152</v>
      </c>
      <c r="H45" s="434" t="s">
        <v>98</v>
      </c>
      <c r="I45" s="434" t="s">
        <v>98</v>
      </c>
      <c r="J45" s="94">
        <v>0</v>
      </c>
      <c r="K45" s="433" t="s">
        <v>96</v>
      </c>
      <c r="L45" s="435">
        <f t="shared" si="19"/>
        <v>0</v>
      </c>
      <c r="M45" s="95">
        <v>1</v>
      </c>
      <c r="N45" s="96">
        <f t="shared" si="20"/>
        <v>1.0906744032152329</v>
      </c>
      <c r="O45" s="432" t="str">
        <f t="shared" si="21"/>
        <v>(2,2,1,1,1,3); Estimation 20l/m2 panel</v>
      </c>
      <c r="P45" s="435">
        <f t="shared" si="22"/>
        <v>0</v>
      </c>
      <c r="Q45" s="95">
        <v>1</v>
      </c>
      <c r="R45" s="96">
        <f t="shared" si="23"/>
        <v>1.0906744032152329</v>
      </c>
      <c r="S45" s="432" t="str">
        <f t="shared" si="24"/>
        <v>(2,2,1,1,1,3); Estimation 20l/m2 panel</v>
      </c>
      <c r="T45" s="435">
        <f t="shared" si="25"/>
        <v>0</v>
      </c>
      <c r="U45" s="95">
        <v>1</v>
      </c>
      <c r="V45" s="96">
        <f t="shared" si="26"/>
        <v>1.0906744032152329</v>
      </c>
      <c r="W45" s="432" t="str">
        <f t="shared" si="27"/>
        <v>(2,2,1,1,1,3); Estimation 20l/m2 panel</v>
      </c>
      <c r="X45" s="435">
        <f t="shared" si="28"/>
        <v>0</v>
      </c>
      <c r="Y45" s="95">
        <v>1</v>
      </c>
      <c r="Z45" s="96">
        <f t="shared" si="29"/>
        <v>1.0906744032152329</v>
      </c>
      <c r="AA45" s="432" t="str">
        <f t="shared" si="30"/>
        <v>(2,2,1,1,1,3); Estimation 20l/m2 panel</v>
      </c>
      <c r="AB45" s="435">
        <f t="shared" si="31"/>
        <v>0</v>
      </c>
      <c r="AC45" s="95">
        <v>1</v>
      </c>
      <c r="AD45" s="96">
        <f t="shared" si="32"/>
        <v>1.0906744032152329</v>
      </c>
      <c r="AE45" s="432" t="str">
        <f t="shared" si="33"/>
        <v>(2,2,1,1,1,3); Estimation 20l/m2 panel</v>
      </c>
      <c r="AF45" s="435">
        <f t="shared" si="34"/>
        <v>0</v>
      </c>
      <c r="AG45" s="95">
        <v>1</v>
      </c>
      <c r="AH45" s="96">
        <f t="shared" si="35"/>
        <v>1.0906744032152329</v>
      </c>
      <c r="AI45" s="432" t="str">
        <f t="shared" si="36"/>
        <v>(2,2,1,1,1,3); Estimation 20l/m2 panel</v>
      </c>
      <c r="AJ45" s="435">
        <f t="shared" si="37"/>
        <v>0</v>
      </c>
      <c r="AK45" s="95">
        <v>1</v>
      </c>
      <c r="AL45" s="96">
        <f t="shared" si="38"/>
        <v>1.0906744032152329</v>
      </c>
      <c r="AM45" s="432" t="str">
        <f t="shared" si="39"/>
        <v>(2,2,1,1,1,3); Estimation 20l/m2 panel</v>
      </c>
      <c r="AN45" s="435">
        <f t="shared" si="40"/>
        <v>0</v>
      </c>
      <c r="AO45" s="95">
        <v>1</v>
      </c>
      <c r="AP45" s="96">
        <f t="shared" si="41"/>
        <v>1.0906744032152329</v>
      </c>
      <c r="AQ45" s="432" t="str">
        <f t="shared" si="42"/>
        <v>(2,2,1,1,1,3); Estimation 20l/m2 panel</v>
      </c>
      <c r="AR45" s="435">
        <f t="shared" si="43"/>
        <v>0</v>
      </c>
      <c r="AS45" s="95">
        <v>1</v>
      </c>
      <c r="AT45" s="96">
        <f t="shared" si="44"/>
        <v>1.0906744032152329</v>
      </c>
      <c r="AU45" s="432" t="str">
        <f t="shared" si="45"/>
        <v>(2,2,1,1,1,3); Estimation 20l/m2 panel</v>
      </c>
      <c r="AV45" s="435">
        <f t="shared" si="46"/>
        <v>0</v>
      </c>
      <c r="AW45" s="95">
        <v>1</v>
      </c>
      <c r="AX45" s="96">
        <f t="shared" si="47"/>
        <v>1.0906744032152329</v>
      </c>
      <c r="AY45" s="432" t="str">
        <f t="shared" si="48"/>
        <v>(2,2,1,1,1,3); Estimation 20l/m2 panel</v>
      </c>
      <c r="AZ45" s="435">
        <f t="shared" si="49"/>
        <v>0</v>
      </c>
      <c r="BA45" s="95">
        <v>1</v>
      </c>
      <c r="BB45" s="96">
        <f t="shared" si="50"/>
        <v>1.0906744032152329</v>
      </c>
      <c r="BC45" s="432" t="str">
        <f t="shared" si="51"/>
        <v>(2,2,1,1,1,3); Estimation 20l/m2 panel</v>
      </c>
      <c r="BD45" s="435">
        <f t="shared" si="52"/>
        <v>0</v>
      </c>
      <c r="BE45" s="95">
        <v>1</v>
      </c>
      <c r="BF45" s="96">
        <f t="shared" si="53"/>
        <v>1.0906744032152329</v>
      </c>
      <c r="BG45" s="432" t="str">
        <f t="shared" si="54"/>
        <v>(2,2,1,1,1,3); Estimation 20l/m2 panel</v>
      </c>
      <c r="BH45" s="435">
        <f t="shared" si="55"/>
        <v>0</v>
      </c>
      <c r="BI45" s="95">
        <v>1</v>
      </c>
      <c r="BJ45" s="96">
        <f t="shared" si="56"/>
        <v>1.0906744032152329</v>
      </c>
      <c r="BK45" s="432" t="str">
        <f t="shared" si="57"/>
        <v>(2,2,1,1,1,3); Estimation 20l/m2 panel</v>
      </c>
      <c r="BL45" s="435">
        <f t="shared" si="58"/>
        <v>0</v>
      </c>
      <c r="BM45" s="95">
        <v>1</v>
      </c>
      <c r="BN45" s="96">
        <f t="shared" si="59"/>
        <v>1.0906744032152329</v>
      </c>
      <c r="BO45" s="432" t="str">
        <f t="shared" si="60"/>
        <v>(2,2,1,1,1,3); Estimation 20l/m2 panel</v>
      </c>
      <c r="BP45" s="435">
        <f t="shared" si="61"/>
        <v>0</v>
      </c>
      <c r="BQ45" s="95">
        <v>1</v>
      </c>
      <c r="BR45" s="96">
        <f t="shared" si="62"/>
        <v>1.0906744032152329</v>
      </c>
      <c r="BS45" s="432" t="str">
        <f t="shared" si="63"/>
        <v>(2,2,1,1,1,3); Estimation 20l/m2 panel</v>
      </c>
      <c r="BT45" s="435">
        <f t="shared" si="64"/>
        <v>0</v>
      </c>
      <c r="BU45" s="95">
        <v>1</v>
      </c>
      <c r="BV45" s="96">
        <f t="shared" si="65"/>
        <v>1.0906744032152329</v>
      </c>
      <c r="BW45" s="432" t="str">
        <f t="shared" si="66"/>
        <v>(2,2,1,1,1,3); Estimation 20l/m2 panel</v>
      </c>
      <c r="BX45" s="435">
        <f t="shared" si="67"/>
        <v>0</v>
      </c>
      <c r="BY45" s="95">
        <v>1</v>
      </c>
      <c r="BZ45" s="96">
        <f t="shared" si="68"/>
        <v>1.0906744032152329</v>
      </c>
      <c r="CA45" s="432" t="str">
        <f t="shared" si="69"/>
        <v>(2,2,1,1,1,3); Estimation 20l/m2 panel</v>
      </c>
      <c r="CB45" s="435">
        <f t="shared" si="70"/>
        <v>0</v>
      </c>
      <c r="CC45" s="95">
        <v>1</v>
      </c>
      <c r="CD45" s="96">
        <f t="shared" si="71"/>
        <v>1.0906744032152329</v>
      </c>
      <c r="CE45" s="432" t="str">
        <f t="shared" si="72"/>
        <v>(2,2,1,1,1,3); Estimation 20l/m2 panel</v>
      </c>
      <c r="CF45" s="435">
        <f t="shared" si="73"/>
        <v>2.1152166816549747E-3</v>
      </c>
      <c r="CG45" s="95">
        <v>1</v>
      </c>
      <c r="CH45" s="96">
        <f t="shared" si="74"/>
        <v>1.0906744032152329</v>
      </c>
      <c r="CI45" s="432" t="str">
        <f t="shared" si="75"/>
        <v>(2,2,1,1,1,3); Estimation 20l/m2 panel</v>
      </c>
      <c r="CJ45" s="213"/>
      <c r="CK45" s="505"/>
      <c r="CL45" s="211"/>
      <c r="CM45" s="510"/>
      <c r="CO45" s="77" t="s">
        <v>2213</v>
      </c>
      <c r="CP45" s="339">
        <v>2</v>
      </c>
      <c r="CQ45" s="339">
        <v>2</v>
      </c>
      <c r="CR45" s="339">
        <v>1</v>
      </c>
      <c r="CS45" s="339">
        <v>1</v>
      </c>
      <c r="CT45" s="339">
        <v>1</v>
      </c>
      <c r="CU45" s="339">
        <v>3</v>
      </c>
      <c r="CV45" s="104">
        <v>3</v>
      </c>
      <c r="CW45" s="104">
        <v>1.05</v>
      </c>
      <c r="CX45" s="107">
        <f t="shared" si="76"/>
        <v>1.0744244531716256</v>
      </c>
      <c r="CY45" s="107">
        <f t="shared" si="77"/>
        <v>1.0906744032152329</v>
      </c>
      <c r="CZ45" s="107" t="str">
        <f t="shared" si="78"/>
        <v>(2,2,1,1,1,3)</v>
      </c>
      <c r="DA45" s="108">
        <v>1.05</v>
      </c>
      <c r="DB45" s="108">
        <v>1.02</v>
      </c>
      <c r="DC45" s="108">
        <v>1</v>
      </c>
      <c r="DD45" s="108">
        <v>1</v>
      </c>
      <c r="DE45" s="108">
        <v>1</v>
      </c>
      <c r="DF45" s="108">
        <v>1.05</v>
      </c>
    </row>
    <row r="46" spans="1:118" ht="24" customHeight="1" outlineLevel="1">
      <c r="A46" s="330">
        <v>269349</v>
      </c>
      <c r="B46" s="331"/>
      <c r="C46" s="88"/>
      <c r="D46" s="340">
        <v>5</v>
      </c>
      <c r="E46" s="341" t="s">
        <v>98</v>
      </c>
      <c r="F46" s="432" t="s">
        <v>1226</v>
      </c>
      <c r="G46" s="433" t="s">
        <v>103</v>
      </c>
      <c r="H46" s="434" t="s">
        <v>98</v>
      </c>
      <c r="I46" s="434" t="s">
        <v>98</v>
      </c>
      <c r="J46" s="94">
        <v>0</v>
      </c>
      <c r="K46" s="433" t="s">
        <v>119</v>
      </c>
      <c r="L46" s="435">
        <f>0.9*SUM(L27:L45)/1000</f>
        <v>2.6663001637635795E-6</v>
      </c>
      <c r="M46" s="95">
        <v>1</v>
      </c>
      <c r="N46" s="96">
        <f t="shared" si="20"/>
        <v>1.0906744032152329</v>
      </c>
      <c r="O46" s="432" t="str">
        <f t="shared" si="21"/>
        <v>(2,2,1,1,1,3); Estimation 20l/m2 panel</v>
      </c>
      <c r="P46" s="435">
        <f>0.9*SUM(P27:P45)/1000</f>
        <v>3.2824072716948617E-6</v>
      </c>
      <c r="Q46" s="95">
        <v>1</v>
      </c>
      <c r="R46" s="96">
        <f t="shared" si="23"/>
        <v>1.0906744032152329</v>
      </c>
      <c r="S46" s="432" t="str">
        <f t="shared" si="24"/>
        <v>(2,2,1,1,1,3); Estimation 20l/m2 panel</v>
      </c>
      <c r="T46" s="435">
        <f>0.9*SUM(T27:T45)/1000</f>
        <v>2.9077191438886526E-6</v>
      </c>
      <c r="U46" s="95">
        <v>1</v>
      </c>
      <c r="V46" s="96">
        <f t="shared" si="26"/>
        <v>1.0906744032152329</v>
      </c>
      <c r="W46" s="432" t="str">
        <f t="shared" si="27"/>
        <v>(2,2,1,1,1,3); Estimation 20l/m2 panel</v>
      </c>
      <c r="X46" s="435">
        <f>0.9*SUM(X27:X45)/1000</f>
        <v>2.8717981812475952E-6</v>
      </c>
      <c r="Y46" s="95">
        <v>1</v>
      </c>
      <c r="Z46" s="96">
        <f t="shared" si="29"/>
        <v>1.0906744032152329</v>
      </c>
      <c r="AA46" s="432" t="str">
        <f t="shared" si="30"/>
        <v>(2,2,1,1,1,3); Estimation 20l/m2 panel</v>
      </c>
      <c r="AB46" s="435">
        <f>0.9*SUM(AB27:AB45)/1000</f>
        <v>3.2942725740758092E-6</v>
      </c>
      <c r="AC46" s="95">
        <v>1</v>
      </c>
      <c r="AD46" s="96">
        <f t="shared" si="32"/>
        <v>1.0906744032152329</v>
      </c>
      <c r="AE46" s="432" t="str">
        <f t="shared" si="33"/>
        <v>(2,2,1,1,1,3); Estimation 20l/m2 panel</v>
      </c>
      <c r="AF46" s="435">
        <f>0.9*SUM(AF27:AF45)/1000</f>
        <v>2.5452457165815868E-6</v>
      </c>
      <c r="AG46" s="95">
        <v>1</v>
      </c>
      <c r="AH46" s="96">
        <f t="shared" si="35"/>
        <v>1.0906744032152329</v>
      </c>
      <c r="AI46" s="432" t="str">
        <f t="shared" si="36"/>
        <v>(2,2,1,1,1,3); Estimation 20l/m2 panel</v>
      </c>
      <c r="AJ46" s="435">
        <f>0.9*SUM(AJ27:AJ45)/1000</f>
        <v>3.0026454797933355E-6</v>
      </c>
      <c r="AK46" s="95">
        <v>1</v>
      </c>
      <c r="AL46" s="96">
        <f t="shared" si="38"/>
        <v>1.0906744032152329</v>
      </c>
      <c r="AM46" s="432" t="str">
        <f t="shared" si="39"/>
        <v>(2,2,1,1,1,3); Estimation 20l/m2 panel</v>
      </c>
      <c r="AN46" s="435">
        <f>0.9*SUM(AN27:AN45)/1000</f>
        <v>2.0750465767283001E-6</v>
      </c>
      <c r="AO46" s="95">
        <v>1</v>
      </c>
      <c r="AP46" s="96">
        <f t="shared" si="41"/>
        <v>1.0906744032152329</v>
      </c>
      <c r="AQ46" s="432" t="str">
        <f t="shared" si="42"/>
        <v>(2,2,1,1,1,3); Estimation 20l/m2 panel</v>
      </c>
      <c r="AR46" s="435">
        <f>0.9*SUM(AR27:AR45)/1000</f>
        <v>2.517340241525748E-6</v>
      </c>
      <c r="AS46" s="95">
        <v>1</v>
      </c>
      <c r="AT46" s="96">
        <f t="shared" si="44"/>
        <v>1.0906744032152329</v>
      </c>
      <c r="AU46" s="432" t="str">
        <f t="shared" si="45"/>
        <v>(2,2,1,1,1,3); Estimation 20l/m2 panel</v>
      </c>
      <c r="AV46" s="435">
        <f>0.9*SUM(AV27:AV45)/1000</f>
        <v>3.4479209943172551E-6</v>
      </c>
      <c r="AW46" s="95">
        <v>1</v>
      </c>
      <c r="AX46" s="96">
        <f t="shared" si="47"/>
        <v>1.0906744032152329</v>
      </c>
      <c r="AY46" s="432" t="str">
        <f t="shared" si="48"/>
        <v>(2,2,1,1,1,3); Estimation 20l/m2 panel</v>
      </c>
      <c r="AZ46" s="435">
        <f>0.9*SUM(AZ27:AZ45)/1000</f>
        <v>2.6268515434566709E-6</v>
      </c>
      <c r="BA46" s="95">
        <v>1</v>
      </c>
      <c r="BB46" s="96">
        <f t="shared" si="50"/>
        <v>1.0906744032152329</v>
      </c>
      <c r="BC46" s="432" t="str">
        <f t="shared" si="51"/>
        <v>(2,2,1,1,1,3); Estimation 20l/m2 panel</v>
      </c>
      <c r="BD46" s="435">
        <f>0.9*SUM(BD27:BD45)/1000</f>
        <v>3.2035309486402683E-6</v>
      </c>
      <c r="BE46" s="95">
        <v>1</v>
      </c>
      <c r="BF46" s="96">
        <f t="shared" si="53"/>
        <v>1.0906744032152329</v>
      </c>
      <c r="BG46" s="432" t="str">
        <f t="shared" si="54"/>
        <v>(2,2,1,1,1,3); Estimation 20l/m2 panel</v>
      </c>
      <c r="BH46" s="435">
        <f>0.9*SUM(BH27:BH45)/1000</f>
        <v>3.1985750415505263E-6</v>
      </c>
      <c r="BI46" s="95">
        <v>1</v>
      </c>
      <c r="BJ46" s="96">
        <f t="shared" si="56"/>
        <v>1.0906744032152329</v>
      </c>
      <c r="BK46" s="432" t="str">
        <f t="shared" si="57"/>
        <v>(2,2,1,1,1,3); Estimation 20l/m2 panel</v>
      </c>
      <c r="BL46" s="435">
        <f>0.9*SUM(BL27:BL45)/1000</f>
        <v>3.6840087668035997E-6</v>
      </c>
      <c r="BM46" s="95">
        <v>1</v>
      </c>
      <c r="BN46" s="96">
        <f t="shared" si="59"/>
        <v>1.0906744032152329</v>
      </c>
      <c r="BO46" s="432" t="str">
        <f t="shared" si="60"/>
        <v>(2,2,1,1,1,3); Estimation 20l/m2 panel</v>
      </c>
      <c r="BP46" s="435">
        <f>0.9*SUM(BP27:BP45)/1000</f>
        <v>1.9895269799401997E-6</v>
      </c>
      <c r="BQ46" s="95">
        <v>1</v>
      </c>
      <c r="BR46" s="96">
        <f t="shared" si="62"/>
        <v>1.0906744032152329</v>
      </c>
      <c r="BS46" s="432" t="str">
        <f t="shared" si="63"/>
        <v>(2,2,1,1,1,3); Estimation 20l/m2 panel</v>
      </c>
      <c r="BT46" s="435">
        <f>0.9*SUM(BT27:BT45)/1000</f>
        <v>1.8641586296515967E-6</v>
      </c>
      <c r="BU46" s="95">
        <v>1</v>
      </c>
      <c r="BV46" s="96">
        <f t="shared" si="65"/>
        <v>1.0906744032152329</v>
      </c>
      <c r="BW46" s="432" t="str">
        <f t="shared" si="66"/>
        <v>(2,2,1,1,1,3); Estimation 20l/m2 panel</v>
      </c>
      <c r="BX46" s="435">
        <f>0.9*SUM(BX27:BX45)/1000</f>
        <v>3.2942594832099058E-6</v>
      </c>
      <c r="BY46" s="95">
        <v>1</v>
      </c>
      <c r="BZ46" s="96">
        <f t="shared" si="68"/>
        <v>1.0906744032152329</v>
      </c>
      <c r="CA46" s="432" t="str">
        <f t="shared" si="69"/>
        <v>(2,2,1,1,1,3); Estimation 20l/m2 panel</v>
      </c>
      <c r="CB46" s="435">
        <f>0.9*SUM(CB27:CB45)/1000</f>
        <v>3.1041578834533241E-6</v>
      </c>
      <c r="CC46" s="95">
        <v>1</v>
      </c>
      <c r="CD46" s="96">
        <f t="shared" si="71"/>
        <v>1.0906744032152329</v>
      </c>
      <c r="CE46" s="432" t="str">
        <f t="shared" si="72"/>
        <v>(2,2,1,1,1,3); Estimation 20l/m2 panel</v>
      </c>
      <c r="CF46" s="435">
        <f>0.9*SUM(CF27:CF45)/1000</f>
        <v>1.9036950134894774E-6</v>
      </c>
      <c r="CG46" s="95">
        <v>1</v>
      </c>
      <c r="CH46" s="96">
        <f t="shared" si="74"/>
        <v>1.0906744032152329</v>
      </c>
      <c r="CI46" s="432" t="str">
        <f t="shared" si="75"/>
        <v>(2,2,1,1,1,3); Estimation 20l/m2 panel</v>
      </c>
      <c r="CJ46" s="213"/>
      <c r="CK46" s="505"/>
      <c r="CL46" s="211"/>
      <c r="CM46" s="510"/>
      <c r="CO46" s="77" t="s">
        <v>2213</v>
      </c>
      <c r="CP46" s="339">
        <v>2</v>
      </c>
      <c r="CQ46" s="339">
        <v>2</v>
      </c>
      <c r="CR46" s="339">
        <v>1</v>
      </c>
      <c r="CS46" s="339">
        <v>1</v>
      </c>
      <c r="CT46" s="339">
        <v>1</v>
      </c>
      <c r="CU46" s="339">
        <v>3</v>
      </c>
      <c r="CV46" s="104">
        <v>6</v>
      </c>
      <c r="CW46" s="104">
        <v>1.05</v>
      </c>
      <c r="CX46" s="107">
        <f t="shared" si="76"/>
        <v>1.0744244531716256</v>
      </c>
      <c r="CY46" s="107">
        <f t="shared" si="77"/>
        <v>1.0906744032152329</v>
      </c>
      <c r="CZ46" s="107" t="str">
        <f t="shared" si="78"/>
        <v>(2,2,1,1,1,3)</v>
      </c>
      <c r="DA46" s="108">
        <v>1.05</v>
      </c>
      <c r="DB46" s="108">
        <v>1.02</v>
      </c>
      <c r="DC46" s="108">
        <v>1</v>
      </c>
      <c r="DD46" s="108">
        <v>1</v>
      </c>
      <c r="DE46" s="108">
        <v>1</v>
      </c>
      <c r="DF46" s="108">
        <v>1.05</v>
      </c>
    </row>
    <row r="47" spans="1:118" ht="24" customHeight="1" outlineLevel="1">
      <c r="A47" s="330" t="s">
        <v>1831</v>
      </c>
      <c r="B47" s="331"/>
      <c r="C47" s="88"/>
      <c r="D47" s="340">
        <v>5</v>
      </c>
      <c r="E47" s="341" t="s">
        <v>98</v>
      </c>
      <c r="F47" s="432" t="s">
        <v>1836</v>
      </c>
      <c r="G47" s="433" t="s">
        <v>154</v>
      </c>
      <c r="H47" s="434" t="s">
        <v>98</v>
      </c>
      <c r="I47" s="434" t="s">
        <v>98</v>
      </c>
      <c r="J47" s="94">
        <v>1</v>
      </c>
      <c r="K47" s="433" t="s">
        <v>144</v>
      </c>
      <c r="L47" s="435">
        <v>8.4244439072606301E-10</v>
      </c>
      <c r="M47" s="95">
        <v>1</v>
      </c>
      <c r="N47" s="96">
        <f t="shared" si="20"/>
        <v>1.2164594125584303</v>
      </c>
      <c r="O47" s="432" t="str">
        <f t="shared" si="21"/>
        <v>(2,2,1,1,1,3); Calculation with average annual yield and share of technologies. Lifetime: 30a.</v>
      </c>
      <c r="P47" s="435">
        <v>2.2488838895327703E-9</v>
      </c>
      <c r="Q47" s="95">
        <v>1</v>
      </c>
      <c r="R47" s="96">
        <f t="shared" si="23"/>
        <v>1.2164594125584303</v>
      </c>
      <c r="S47" s="432" t="str">
        <f t="shared" si="24"/>
        <v>(2,2,1,1,1,3); Calculation with average annual yield and share of technologies. Lifetime: 30a.</v>
      </c>
      <c r="T47" s="435">
        <v>1.2665501061405901E-9</v>
      </c>
      <c r="U47" s="95">
        <v>1</v>
      </c>
      <c r="V47" s="96">
        <f t="shared" si="26"/>
        <v>1.2164594125584303</v>
      </c>
      <c r="W47" s="432" t="str">
        <f t="shared" si="27"/>
        <v>(2,2,1,1,1,3); Calculation with average annual yield and share of technologies. Lifetime: 30a.</v>
      </c>
      <c r="X47" s="435">
        <v>1.2759964363969801E-9</v>
      </c>
      <c r="Y47" s="95">
        <v>1</v>
      </c>
      <c r="Z47" s="96">
        <f t="shared" si="29"/>
        <v>1.2164594125584303</v>
      </c>
      <c r="AA47" s="432" t="str">
        <f t="shared" si="30"/>
        <v>(2,2,1,1,1,3); Calculation with average annual yield and share of technologies. Lifetime: 30a.</v>
      </c>
      <c r="AB47" s="435">
        <v>2.1237897781940902E-9</v>
      </c>
      <c r="AC47" s="95">
        <v>1</v>
      </c>
      <c r="AD47" s="96">
        <f t="shared" si="32"/>
        <v>1.2164594125584303</v>
      </c>
      <c r="AE47" s="432" t="str">
        <f t="shared" si="33"/>
        <v>(2,2,1,1,1,3); Calculation with average annual yield and share of technologies. Lifetime: 30a.</v>
      </c>
      <c r="AF47" s="435">
        <v>1.0422578774148401E-9</v>
      </c>
      <c r="AG47" s="95">
        <v>1</v>
      </c>
      <c r="AH47" s="96">
        <f t="shared" si="35"/>
        <v>1.2164594125584303</v>
      </c>
      <c r="AI47" s="432" t="str">
        <f t="shared" si="36"/>
        <v>(2,2,1,1,1,3); Calculation with average annual yield and share of technologies. Lifetime: 30a.</v>
      </c>
      <c r="AJ47" s="435">
        <v>1.5770921565339801E-9</v>
      </c>
      <c r="AK47" s="95">
        <v>1</v>
      </c>
      <c r="AL47" s="96">
        <f t="shared" si="38"/>
        <v>1.2164594125584303</v>
      </c>
      <c r="AM47" s="432" t="str">
        <f t="shared" si="39"/>
        <v>(2,2,1,1,1,3); Calculation with average annual yield and share of technologies. Lifetime: 30a.</v>
      </c>
      <c r="AN47" s="435">
        <v>9.0385292799879198E-10</v>
      </c>
      <c r="AO47" s="95">
        <v>1</v>
      </c>
      <c r="AP47" s="96">
        <f t="shared" si="41"/>
        <v>1.2164594125584303</v>
      </c>
      <c r="AQ47" s="432" t="str">
        <f t="shared" si="42"/>
        <v>(2,2,1,1,1,3); Calculation with average annual yield and share of technologies. Lifetime: 30a.</v>
      </c>
      <c r="AR47" s="435">
        <v>1.0965080849701601E-9</v>
      </c>
      <c r="AS47" s="95">
        <v>1</v>
      </c>
      <c r="AT47" s="96">
        <f t="shared" si="44"/>
        <v>1.2164594125584303</v>
      </c>
      <c r="AU47" s="432" t="str">
        <f t="shared" si="45"/>
        <v>(2,2,1,1,1,3); Calculation with average annual yield and share of technologies. Lifetime: 30a.</v>
      </c>
      <c r="AV47" s="435">
        <v>1.5018523059543902E-9</v>
      </c>
      <c r="AW47" s="95">
        <v>1</v>
      </c>
      <c r="AX47" s="96">
        <f t="shared" si="47"/>
        <v>1.2164594125584303</v>
      </c>
      <c r="AY47" s="432" t="str">
        <f t="shared" si="48"/>
        <v>(2,2,1,1,1,3); Calculation with average annual yield and share of technologies. Lifetime: 30a.</v>
      </c>
      <c r="AZ47" s="435">
        <v>1.2922253393601201E-9</v>
      </c>
      <c r="BA47" s="95">
        <v>1</v>
      </c>
      <c r="BB47" s="96">
        <f t="shared" si="50"/>
        <v>1.2164594125584303</v>
      </c>
      <c r="BC47" s="432" t="str">
        <f t="shared" si="51"/>
        <v>(2,2,1,1,1,3); Calculation with average annual yield and share of technologies. Lifetime: 30a.</v>
      </c>
      <c r="BD47" s="435">
        <v>1.3954004022543901E-9</v>
      </c>
      <c r="BE47" s="95">
        <v>1</v>
      </c>
      <c r="BF47" s="96">
        <f t="shared" si="53"/>
        <v>1.2164594125584303</v>
      </c>
      <c r="BG47" s="432" t="str">
        <f t="shared" si="54"/>
        <v>(2,2,1,1,1,3); Calculation with average annual yield and share of technologies. Lifetime: 30a.</v>
      </c>
      <c r="BH47" s="435">
        <v>9.8379005294629801E-10</v>
      </c>
      <c r="BI47" s="95">
        <v>1</v>
      </c>
      <c r="BJ47" s="96">
        <f t="shared" si="56"/>
        <v>1.2164594125584303</v>
      </c>
      <c r="BK47" s="432" t="str">
        <f t="shared" si="57"/>
        <v>(2,2,1,1,1,3); Calculation with average annual yield and share of technologies. Lifetime: 30a.</v>
      </c>
      <c r="BL47" s="435">
        <v>2.5478599895965101E-9</v>
      </c>
      <c r="BM47" s="95">
        <v>1</v>
      </c>
      <c r="BN47" s="96">
        <f t="shared" si="59"/>
        <v>1.2164594125584303</v>
      </c>
      <c r="BO47" s="432" t="str">
        <f t="shared" si="60"/>
        <v>(2,2,1,1,1,3); Calculation with average annual yield and share of technologies. Lifetime: 30a.</v>
      </c>
      <c r="BP47" s="435">
        <v>7.0177306647889704E-10</v>
      </c>
      <c r="BQ47" s="95">
        <v>1</v>
      </c>
      <c r="BR47" s="96">
        <f t="shared" si="62"/>
        <v>1.2164594125584303</v>
      </c>
      <c r="BS47" s="432" t="str">
        <f t="shared" si="63"/>
        <v>(2,2,1,1,1,3); Calculation with average annual yield and share of technologies. Lifetime: 30a.</v>
      </c>
      <c r="BT47" s="435">
        <v>2.78348040670609E-10</v>
      </c>
      <c r="BU47" s="95">
        <v>1</v>
      </c>
      <c r="BV47" s="96">
        <f t="shared" si="65"/>
        <v>1.2164594125584303</v>
      </c>
      <c r="BW47" s="432" t="str">
        <f t="shared" si="66"/>
        <v>(2,2,1,1,1,3); Calculation with average annual yield and share of technologies. Lifetime: 30a.</v>
      </c>
      <c r="BX47" s="435">
        <v>2.13139184741976E-9</v>
      </c>
      <c r="BY47" s="95">
        <v>1</v>
      </c>
      <c r="BZ47" s="96">
        <f t="shared" si="68"/>
        <v>1.2164594125584303</v>
      </c>
      <c r="CA47" s="432" t="str">
        <f t="shared" si="69"/>
        <v>(2,2,1,1,1,3); Calculation with average annual yield and share of technologies. Lifetime: 30a.</v>
      </c>
      <c r="CB47" s="435">
        <v>1.3521152842523401E-9</v>
      </c>
      <c r="CC47" s="95">
        <v>1</v>
      </c>
      <c r="CD47" s="96">
        <f t="shared" si="71"/>
        <v>1.2164594125584303</v>
      </c>
      <c r="CE47" s="432" t="str">
        <f t="shared" si="72"/>
        <v>(2,2,1,1,1,3); Calculation with average annual yield and share of technologies. Lifetime: 30a.</v>
      </c>
      <c r="CF47" s="435">
        <v>1.07589390542086E-9</v>
      </c>
      <c r="CG47" s="95">
        <v>1</v>
      </c>
      <c r="CH47" s="96">
        <f t="shared" si="74"/>
        <v>1.2164594125584303</v>
      </c>
      <c r="CI47" s="432" t="str">
        <f t="shared" si="75"/>
        <v>(2,2,1,1,1,3); Calculation with average annual yield and share of technologies. Lifetime: 30a.</v>
      </c>
      <c r="CJ47" s="213" t="s">
        <v>2039</v>
      </c>
      <c r="CK47" s="505" t="s">
        <v>2214</v>
      </c>
      <c r="CL47" s="211">
        <v>250</v>
      </c>
      <c r="CM47" s="510">
        <v>0.22616666666666699</v>
      </c>
      <c r="CN47" s="212">
        <f t="shared" ref="CN47:CN67" si="79">CL47/CM47</f>
        <v>1105.3795136330125</v>
      </c>
      <c r="CO47" s="77" t="s">
        <v>2289</v>
      </c>
      <c r="CP47" s="339">
        <v>2</v>
      </c>
      <c r="CQ47" s="339">
        <v>2</v>
      </c>
      <c r="CR47" s="339">
        <v>1</v>
      </c>
      <c r="CS47" s="339">
        <v>1</v>
      </c>
      <c r="CT47" s="339">
        <v>1</v>
      </c>
      <c r="CU47" s="339">
        <v>3</v>
      </c>
      <c r="CV47" s="104">
        <v>9</v>
      </c>
      <c r="CW47" s="104">
        <v>1.2</v>
      </c>
      <c r="CX47" s="107">
        <f t="shared" si="76"/>
        <v>1.0744244531716256</v>
      </c>
      <c r="CY47" s="107">
        <f t="shared" si="77"/>
        <v>1.2164594125584303</v>
      </c>
      <c r="CZ47" s="107" t="str">
        <f t="shared" si="78"/>
        <v>(2,2,1,1,1,3)</v>
      </c>
      <c r="DA47" s="108">
        <v>1.05</v>
      </c>
      <c r="DB47" s="108">
        <v>1.02</v>
      </c>
      <c r="DC47" s="108">
        <v>1</v>
      </c>
      <c r="DD47" s="108">
        <v>1</v>
      </c>
      <c r="DE47" s="108">
        <v>1</v>
      </c>
      <c r="DF47" s="108">
        <v>1.05</v>
      </c>
      <c r="DH47" s="208">
        <v>2.9911740982792802E-3</v>
      </c>
      <c r="DI47" s="209">
        <f t="shared" ref="DI47:DI67" si="80">1/(BT47/DH47*CL47*30)</f>
        <v>1432.8220602632614</v>
      </c>
      <c r="DK47" s="192">
        <v>1.09059730492711E-2</v>
      </c>
      <c r="DL47" s="774">
        <f t="shared" ref="DL47:DL67" si="81">1/(AJ47/DK47*CL47*30)</f>
        <v>922.03219315895603</v>
      </c>
      <c r="DM47" s="192">
        <v>1.01814931118314E-2</v>
      </c>
      <c r="DN47" s="774">
        <f t="shared" ref="DN47:DN67" si="82">1/(AZ47/DM47*CL47*30)</f>
        <v>1050.5384576215413</v>
      </c>
    </row>
    <row r="48" spans="1:118" ht="24" customHeight="1" outlineLevel="1">
      <c r="A48" s="330" t="s">
        <v>1946</v>
      </c>
      <c r="B48" s="331"/>
      <c r="C48" s="88"/>
      <c r="D48" s="340">
        <v>5</v>
      </c>
      <c r="E48" s="341" t="s">
        <v>98</v>
      </c>
      <c r="F48" s="432" t="s">
        <v>1940</v>
      </c>
      <c r="G48" s="433" t="s">
        <v>154</v>
      </c>
      <c r="H48" s="434" t="s">
        <v>98</v>
      </c>
      <c r="I48" s="434" t="s">
        <v>98</v>
      </c>
      <c r="J48" s="94">
        <v>1</v>
      </c>
      <c r="K48" s="433" t="s">
        <v>144</v>
      </c>
      <c r="L48" s="435">
        <v>1.8128550180181099E-10</v>
      </c>
      <c r="M48" s="95">
        <v>1</v>
      </c>
      <c r="N48" s="96">
        <f t="shared" si="20"/>
        <v>1.2164594125584303</v>
      </c>
      <c r="O48" s="432" t="str">
        <f t="shared" si="21"/>
        <v>(2,2,1,1,1,3); Calculation with average annual yield and share of technologies. Lifetime: 30a.</v>
      </c>
      <c r="P48" s="435">
        <v>4.8393703951971002E-10</v>
      </c>
      <c r="Q48" s="95">
        <v>1</v>
      </c>
      <c r="R48" s="96">
        <f t="shared" si="23"/>
        <v>1.2164594125584303</v>
      </c>
      <c r="S48" s="432" t="str">
        <f t="shared" si="24"/>
        <v>(2,2,1,1,1,3); Calculation with average annual yield and share of technologies. Lifetime: 30a.</v>
      </c>
      <c r="T48" s="435">
        <v>2.7254875701759602E-10</v>
      </c>
      <c r="U48" s="95">
        <v>1</v>
      </c>
      <c r="V48" s="96">
        <f t="shared" si="26"/>
        <v>1.2164594125584303</v>
      </c>
      <c r="W48" s="432" t="str">
        <f t="shared" si="27"/>
        <v>(2,2,1,1,1,3); Calculation with average annual yield and share of technologies. Lifetime: 30a.</v>
      </c>
      <c r="X48" s="435">
        <v>2.7458151162973001E-10</v>
      </c>
      <c r="Y48" s="95">
        <v>1</v>
      </c>
      <c r="Z48" s="96">
        <f t="shared" si="29"/>
        <v>1.2164594125584303</v>
      </c>
      <c r="AA48" s="432" t="str">
        <f t="shared" si="30"/>
        <v>(2,2,1,1,1,3); Calculation with average annual yield and share of technologies. Lifetime: 30a.</v>
      </c>
      <c r="AB48" s="435">
        <v>4.57018053535436E-10</v>
      </c>
      <c r="AC48" s="95">
        <v>1</v>
      </c>
      <c r="AD48" s="96">
        <f t="shared" si="32"/>
        <v>1.2164594125584303</v>
      </c>
      <c r="AE48" s="432" t="str">
        <f t="shared" si="33"/>
        <v>(2,2,1,1,1,3); Calculation with average annual yield and share of technologies. Lifetime: 30a.</v>
      </c>
      <c r="AF48" s="435">
        <v>2.24283340709523E-10</v>
      </c>
      <c r="AG48" s="95">
        <v>1</v>
      </c>
      <c r="AH48" s="96">
        <f t="shared" si="35"/>
        <v>1.2164594125584303</v>
      </c>
      <c r="AI48" s="432" t="str">
        <f t="shared" si="36"/>
        <v>(2,2,1,1,1,3); Calculation with average annual yield and share of technologies. Lifetime: 30a.</v>
      </c>
      <c r="AJ48" s="435">
        <v>3.3937426153262903E-10</v>
      </c>
      <c r="AK48" s="95">
        <v>1</v>
      </c>
      <c r="AL48" s="96">
        <f t="shared" si="38"/>
        <v>1.2164594125584303</v>
      </c>
      <c r="AM48" s="432" t="str">
        <f t="shared" si="39"/>
        <v>(2,2,1,1,1,3); Calculation with average annual yield and share of technologies. Lifetime: 30a.</v>
      </c>
      <c r="AN48" s="435">
        <v>1.9449999716429701E-10</v>
      </c>
      <c r="AO48" s="95">
        <v>1</v>
      </c>
      <c r="AP48" s="96">
        <f t="shared" si="41"/>
        <v>1.2164594125584303</v>
      </c>
      <c r="AQ48" s="432" t="str">
        <f t="shared" si="42"/>
        <v>(2,2,1,1,1,3); Calculation with average annual yield and share of technologies. Lifetime: 30a.</v>
      </c>
      <c r="AR48" s="435">
        <v>2.3595743600623702E-10</v>
      </c>
      <c r="AS48" s="95">
        <v>1</v>
      </c>
      <c r="AT48" s="96">
        <f t="shared" si="44"/>
        <v>1.2164594125584303</v>
      </c>
      <c r="AU48" s="432" t="str">
        <f t="shared" si="45"/>
        <v>(2,2,1,1,1,3); Calculation with average annual yield and share of technologies. Lifetime: 30a.</v>
      </c>
      <c r="AV48" s="435">
        <v>3.2318340761043802E-10</v>
      </c>
      <c r="AW48" s="95">
        <v>1</v>
      </c>
      <c r="AX48" s="96">
        <f t="shared" si="47"/>
        <v>1.2164594125584303</v>
      </c>
      <c r="AY48" s="432" t="str">
        <f t="shared" si="48"/>
        <v>(2,2,1,1,1,3); Calculation with average annual yield and share of technologies. Lifetime: 30a.</v>
      </c>
      <c r="AZ48" s="435">
        <v>2.7807380720407702E-10</v>
      </c>
      <c r="BA48" s="95">
        <v>1</v>
      </c>
      <c r="BB48" s="96">
        <f t="shared" si="50"/>
        <v>1.2164594125584303</v>
      </c>
      <c r="BC48" s="432" t="str">
        <f t="shared" si="51"/>
        <v>(2,2,1,1,1,3); Calculation with average annual yield and share of technologies. Lifetime: 30a.</v>
      </c>
      <c r="BD48" s="435">
        <v>3.0027603592815898E-10</v>
      </c>
      <c r="BE48" s="95">
        <v>1</v>
      </c>
      <c r="BF48" s="96">
        <f t="shared" si="53"/>
        <v>1.2164594125584303</v>
      </c>
      <c r="BG48" s="432" t="str">
        <f t="shared" si="54"/>
        <v>(2,2,1,1,1,3); Calculation with average annual yield and share of technologies. Lifetime: 30a.</v>
      </c>
      <c r="BH48" s="435">
        <v>2.11701656963127E-10</v>
      </c>
      <c r="BI48" s="95">
        <v>1</v>
      </c>
      <c r="BJ48" s="96">
        <f t="shared" si="56"/>
        <v>1.2164594125584303</v>
      </c>
      <c r="BK48" s="432" t="str">
        <f t="shared" si="57"/>
        <v>(2,2,1,1,1,3); Calculation with average annual yield and share of technologies. Lifetime: 30a.</v>
      </c>
      <c r="BL48" s="435">
        <v>5.48273668647349E-10</v>
      </c>
      <c r="BM48" s="95">
        <v>1</v>
      </c>
      <c r="BN48" s="96">
        <f t="shared" si="59"/>
        <v>1.2164594125584303</v>
      </c>
      <c r="BO48" s="432" t="str">
        <f t="shared" si="60"/>
        <v>(2,2,1,1,1,3); Calculation with average annual yield and share of technologies. Lifetime: 30a.</v>
      </c>
      <c r="BP48" s="435">
        <v>1.5101445734356002E-10</v>
      </c>
      <c r="BQ48" s="95">
        <v>1</v>
      </c>
      <c r="BR48" s="96">
        <f t="shared" si="62"/>
        <v>1.2164594125584303</v>
      </c>
      <c r="BS48" s="432" t="str">
        <f t="shared" si="63"/>
        <v>(2,2,1,1,1,3); Calculation with average annual yield and share of technologies. Lifetime: 30a.</v>
      </c>
      <c r="BT48" s="435">
        <v>5.9897679637979299E-11</v>
      </c>
      <c r="BU48" s="95">
        <v>1</v>
      </c>
      <c r="BV48" s="96">
        <f t="shared" si="65"/>
        <v>1.2164594125584303</v>
      </c>
      <c r="BW48" s="432" t="str">
        <f t="shared" si="66"/>
        <v>(2,2,1,1,1,3); Calculation with average annual yield and share of technologies. Lifetime: 30a.</v>
      </c>
      <c r="BX48" s="435">
        <v>4.5865394184982203E-10</v>
      </c>
      <c r="BY48" s="95">
        <v>1</v>
      </c>
      <c r="BZ48" s="96">
        <f t="shared" si="68"/>
        <v>1.2164594125584303</v>
      </c>
      <c r="CA48" s="432" t="str">
        <f t="shared" si="69"/>
        <v>(2,2,1,1,1,3); Calculation with average annual yield and share of technologies. Lifetime: 30a.</v>
      </c>
      <c r="CB48" s="435">
        <v>2.9096151686442702E-10</v>
      </c>
      <c r="CC48" s="95">
        <v>1</v>
      </c>
      <c r="CD48" s="96">
        <f t="shared" si="71"/>
        <v>1.2164594125584303</v>
      </c>
      <c r="CE48" s="432" t="str">
        <f t="shared" si="72"/>
        <v>(2,2,1,1,1,3); Calculation with average annual yield and share of technologies. Lifetime: 30a.</v>
      </c>
      <c r="CF48" s="435">
        <v>2.3152147331841401E-10</v>
      </c>
      <c r="CG48" s="95">
        <v>1</v>
      </c>
      <c r="CH48" s="96">
        <f t="shared" si="74"/>
        <v>1.2164594125584303</v>
      </c>
      <c r="CI48" s="432" t="str">
        <f t="shared" si="75"/>
        <v>(2,2,1,1,1,3); Calculation with average annual yield and share of technologies. Lifetime: 30a.</v>
      </c>
      <c r="CJ48" s="213" t="s">
        <v>2039</v>
      </c>
      <c r="CK48" s="505" t="s">
        <v>4</v>
      </c>
      <c r="CL48" s="211">
        <v>250</v>
      </c>
      <c r="CM48" s="510">
        <v>0.18</v>
      </c>
      <c r="CN48" s="212">
        <f t="shared" si="79"/>
        <v>1388.8888888888889</v>
      </c>
      <c r="CO48" s="77" t="s">
        <v>2289</v>
      </c>
      <c r="CP48" s="339">
        <v>2</v>
      </c>
      <c r="CQ48" s="339">
        <v>2</v>
      </c>
      <c r="CR48" s="339">
        <v>1</v>
      </c>
      <c r="CS48" s="339">
        <v>1</v>
      </c>
      <c r="CT48" s="339">
        <v>1</v>
      </c>
      <c r="CU48" s="339">
        <v>3</v>
      </c>
      <c r="CV48" s="104">
        <v>9</v>
      </c>
      <c r="CW48" s="104">
        <v>1.2</v>
      </c>
      <c r="CX48" s="107">
        <f t="shared" si="76"/>
        <v>1.0744244531716256</v>
      </c>
      <c r="CY48" s="107">
        <f t="shared" si="77"/>
        <v>1.2164594125584303</v>
      </c>
      <c r="CZ48" s="107" t="str">
        <f t="shared" si="78"/>
        <v>(2,2,1,1,1,3)</v>
      </c>
      <c r="DA48" s="108">
        <v>1.05</v>
      </c>
      <c r="DB48" s="108">
        <v>1.02</v>
      </c>
      <c r="DC48" s="108">
        <v>1</v>
      </c>
      <c r="DD48" s="108">
        <v>1</v>
      </c>
      <c r="DE48" s="108">
        <v>1</v>
      </c>
      <c r="DF48" s="108">
        <v>1.05</v>
      </c>
      <c r="DH48" s="208">
        <v>6.43670375579086E-4</v>
      </c>
      <c r="DI48" s="209">
        <f t="shared" si="80"/>
        <v>1432.8220602632587</v>
      </c>
      <c r="DK48" s="192">
        <v>2.3468549599697298E-3</v>
      </c>
      <c r="DL48" s="399">
        <f t="shared" si="81"/>
        <v>922.03219315895478</v>
      </c>
      <c r="DM48" s="192">
        <v>2.1909542139384101E-3</v>
      </c>
      <c r="DN48" s="399">
        <f t="shared" si="82"/>
        <v>1050.5384576215429</v>
      </c>
    </row>
    <row r="49" spans="1:118" ht="24" customHeight="1" outlineLevel="1">
      <c r="A49" s="330" t="s">
        <v>1830</v>
      </c>
      <c r="B49" s="331"/>
      <c r="C49" s="88"/>
      <c r="D49" s="340">
        <v>5</v>
      </c>
      <c r="E49" s="341" t="s">
        <v>98</v>
      </c>
      <c r="F49" s="432" t="s">
        <v>1835</v>
      </c>
      <c r="G49" s="433" t="s">
        <v>154</v>
      </c>
      <c r="H49" s="434" t="s">
        <v>98</v>
      </c>
      <c r="I49" s="434" t="s">
        <v>98</v>
      </c>
      <c r="J49" s="94">
        <v>1</v>
      </c>
      <c r="K49" s="433" t="s">
        <v>144</v>
      </c>
      <c r="L49" s="435">
        <v>2.7768263186624501E-8</v>
      </c>
      <c r="M49" s="95">
        <v>1</v>
      </c>
      <c r="N49" s="96">
        <f t="shared" si="20"/>
        <v>1.2164594125584303</v>
      </c>
      <c r="O49" s="432" t="str">
        <f t="shared" si="21"/>
        <v>(2,2,1,1,1,3); Calculation with average annual yield and share of technologies. Lifetime: 30a.</v>
      </c>
      <c r="P49" s="435">
        <v>3.7481398158879503E-8</v>
      </c>
      <c r="Q49" s="95">
        <v>1</v>
      </c>
      <c r="R49" s="96">
        <f t="shared" si="23"/>
        <v>1.2164594125584303</v>
      </c>
      <c r="S49" s="432" t="str">
        <f t="shared" si="24"/>
        <v>(2,2,1,1,1,3); Calculation with average annual yield and share of technologies. Lifetime: 30a.</v>
      </c>
      <c r="T49" s="435">
        <v>2.1109168435676599E-8</v>
      </c>
      <c r="U49" s="95">
        <v>1</v>
      </c>
      <c r="V49" s="96">
        <f t="shared" si="26"/>
        <v>1.2164594125584303</v>
      </c>
      <c r="W49" s="432" t="str">
        <f t="shared" si="27"/>
        <v>(2,2,1,1,1,3); Calculation with average annual yield and share of technologies. Lifetime: 30a.</v>
      </c>
      <c r="X49" s="435">
        <v>2.1266607273282999E-8</v>
      </c>
      <c r="Y49" s="95">
        <v>1</v>
      </c>
      <c r="Z49" s="96">
        <f t="shared" si="29"/>
        <v>1.2164594125584303</v>
      </c>
      <c r="AA49" s="432" t="str">
        <f t="shared" si="30"/>
        <v>(2,2,1,1,1,3); Calculation with average annual yield and share of technologies. Lifetime: 30a.</v>
      </c>
      <c r="AB49" s="435">
        <v>3.53964963032346E-8</v>
      </c>
      <c r="AC49" s="95">
        <v>1</v>
      </c>
      <c r="AD49" s="96">
        <f t="shared" si="32"/>
        <v>1.2164594125584303</v>
      </c>
      <c r="AE49" s="432" t="str">
        <f t="shared" si="33"/>
        <v>(2,2,1,1,1,3); Calculation with average annual yield and share of technologies. Lifetime: 30a.</v>
      </c>
      <c r="AF49" s="435">
        <v>1.7370964623580599E-8</v>
      </c>
      <c r="AG49" s="95">
        <v>1</v>
      </c>
      <c r="AH49" s="96">
        <f t="shared" si="35"/>
        <v>1.2164594125584303</v>
      </c>
      <c r="AI49" s="432" t="str">
        <f t="shared" si="36"/>
        <v>(2,2,1,1,1,3); Calculation with average annual yield and share of technologies. Lifetime: 30a.</v>
      </c>
      <c r="AJ49" s="435">
        <v>2.6284869275566299E-8</v>
      </c>
      <c r="AK49" s="95">
        <v>1</v>
      </c>
      <c r="AL49" s="96">
        <f t="shared" si="38"/>
        <v>1.2164594125584303</v>
      </c>
      <c r="AM49" s="432" t="str">
        <f t="shared" si="39"/>
        <v>(2,2,1,1,1,3); Calculation with average annual yield and share of technologies. Lifetime: 30a.</v>
      </c>
      <c r="AN49" s="435">
        <v>1.5064215466646601E-8</v>
      </c>
      <c r="AO49" s="95">
        <v>1</v>
      </c>
      <c r="AP49" s="96">
        <f t="shared" si="41"/>
        <v>1.2164594125584303</v>
      </c>
      <c r="AQ49" s="432" t="str">
        <f t="shared" si="42"/>
        <v>(2,2,1,1,1,3); Calculation with average annual yield and share of technologies. Lifetime: 30a.</v>
      </c>
      <c r="AR49" s="435">
        <v>1.8275134749502701E-8</v>
      </c>
      <c r="AS49" s="95">
        <v>1</v>
      </c>
      <c r="AT49" s="96">
        <f t="shared" si="44"/>
        <v>1.2164594125584303</v>
      </c>
      <c r="AU49" s="432" t="str">
        <f t="shared" si="45"/>
        <v>(2,2,1,1,1,3); Calculation with average annual yield and share of technologies. Lifetime: 30a.</v>
      </c>
      <c r="AV49" s="435">
        <v>2.5030871765906599E-8</v>
      </c>
      <c r="AW49" s="95">
        <v>1</v>
      </c>
      <c r="AX49" s="96">
        <f t="shared" si="47"/>
        <v>1.2164594125584303</v>
      </c>
      <c r="AY49" s="432" t="str">
        <f t="shared" si="48"/>
        <v>(2,2,1,1,1,3); Calculation with average annual yield and share of technologies. Lifetime: 30a.</v>
      </c>
      <c r="AZ49" s="435">
        <v>2.1537088989335301E-8</v>
      </c>
      <c r="BA49" s="95">
        <v>1</v>
      </c>
      <c r="BB49" s="96">
        <f t="shared" si="50"/>
        <v>1.2164594125584303</v>
      </c>
      <c r="BC49" s="432" t="str">
        <f t="shared" si="51"/>
        <v>(2,2,1,1,1,3); Calculation with average annual yield and share of technologies. Lifetime: 30a.</v>
      </c>
      <c r="BD49" s="435">
        <v>2.3256673370906499E-8</v>
      </c>
      <c r="BE49" s="95">
        <v>1</v>
      </c>
      <c r="BF49" s="96">
        <f t="shared" si="53"/>
        <v>1.2164594125584303</v>
      </c>
      <c r="BG49" s="432" t="str">
        <f t="shared" si="54"/>
        <v>(2,2,1,1,1,3); Calculation with average annual yield and share of technologies. Lifetime: 30a.</v>
      </c>
      <c r="BH49" s="435">
        <v>1.63965008824383E-8</v>
      </c>
      <c r="BI49" s="95">
        <v>1</v>
      </c>
      <c r="BJ49" s="96">
        <f t="shared" si="56"/>
        <v>1.2164594125584303</v>
      </c>
      <c r="BK49" s="432" t="str">
        <f t="shared" si="57"/>
        <v>(2,2,1,1,1,3); Calculation with average annual yield and share of technologies. Lifetime: 30a.</v>
      </c>
      <c r="BL49" s="435">
        <v>4.2464333159941803E-8</v>
      </c>
      <c r="BM49" s="95">
        <v>1</v>
      </c>
      <c r="BN49" s="96">
        <f t="shared" si="59"/>
        <v>1.2164594125584303</v>
      </c>
      <c r="BO49" s="432" t="str">
        <f t="shared" si="60"/>
        <v>(2,2,1,1,1,3); Calculation with average annual yield and share of technologies. Lifetime: 30a.</v>
      </c>
      <c r="BP49" s="435">
        <v>1.16962177746483E-8</v>
      </c>
      <c r="BQ49" s="95">
        <v>1</v>
      </c>
      <c r="BR49" s="96">
        <f t="shared" si="62"/>
        <v>1.2164594125584303</v>
      </c>
      <c r="BS49" s="432" t="str">
        <f t="shared" si="63"/>
        <v>(2,2,1,1,1,3); Calculation with average annual yield and share of technologies. Lifetime: 30a.</v>
      </c>
      <c r="BT49" s="435">
        <v>4.6391340111768304E-9</v>
      </c>
      <c r="BU49" s="95">
        <v>1</v>
      </c>
      <c r="BV49" s="96">
        <f t="shared" si="65"/>
        <v>1.2164594125584303</v>
      </c>
      <c r="BW49" s="432" t="str">
        <f t="shared" si="66"/>
        <v>(2,2,1,1,1,3); Calculation with average annual yield and share of technologies. Lifetime: 30a.</v>
      </c>
      <c r="BX49" s="435">
        <v>3.5523197456996E-8</v>
      </c>
      <c r="BY49" s="95">
        <v>1</v>
      </c>
      <c r="BZ49" s="96">
        <f t="shared" si="68"/>
        <v>1.2164594125584303</v>
      </c>
      <c r="CA49" s="432" t="str">
        <f t="shared" si="69"/>
        <v>(2,2,1,1,1,3); Calculation with average annual yield and share of technologies. Lifetime: 30a.</v>
      </c>
      <c r="CB49" s="435">
        <v>2.2535254737539001E-8</v>
      </c>
      <c r="CC49" s="95">
        <v>1</v>
      </c>
      <c r="CD49" s="96">
        <f t="shared" si="71"/>
        <v>1.2164594125584303</v>
      </c>
      <c r="CE49" s="432" t="str">
        <f t="shared" si="72"/>
        <v>(2,2,1,1,1,3); Calculation with average annual yield and share of technologies. Lifetime: 30a.</v>
      </c>
      <c r="CF49" s="435">
        <v>1.7931565090347802E-8</v>
      </c>
      <c r="CG49" s="95">
        <v>1</v>
      </c>
      <c r="CH49" s="96">
        <f t="shared" si="74"/>
        <v>1.2164594125584303</v>
      </c>
      <c r="CI49" s="432" t="str">
        <f t="shared" si="75"/>
        <v>(2,2,1,1,1,3); Calculation with average annual yield and share of technologies. Lifetime: 30a.</v>
      </c>
      <c r="CJ49" s="213" t="s">
        <v>2039</v>
      </c>
      <c r="CK49" s="505" t="s">
        <v>2214</v>
      </c>
      <c r="CL49" s="211">
        <v>250</v>
      </c>
      <c r="CM49" s="510">
        <v>0.22616666666666699</v>
      </c>
      <c r="CN49" s="212">
        <f t="shared" si="79"/>
        <v>1105.3795136330125</v>
      </c>
      <c r="CO49" s="77" t="s">
        <v>2289</v>
      </c>
      <c r="CP49" s="339">
        <v>2</v>
      </c>
      <c r="CQ49" s="339">
        <v>2</v>
      </c>
      <c r="CR49" s="339">
        <v>1</v>
      </c>
      <c r="CS49" s="339">
        <v>1</v>
      </c>
      <c r="CT49" s="339">
        <v>1</v>
      </c>
      <c r="CU49" s="339">
        <v>3</v>
      </c>
      <c r="CV49" s="104">
        <v>9</v>
      </c>
      <c r="CW49" s="104">
        <v>1.2</v>
      </c>
      <c r="CX49" s="107">
        <f t="shared" si="76"/>
        <v>1.0744244531716256</v>
      </c>
      <c r="CY49" s="107">
        <f t="shared" si="77"/>
        <v>1.2164594125584303</v>
      </c>
      <c r="CZ49" s="107" t="str">
        <f t="shared" si="78"/>
        <v>(2,2,1,1,1,3)</v>
      </c>
      <c r="DA49" s="108">
        <v>1.05</v>
      </c>
      <c r="DB49" s="108">
        <v>1.02</v>
      </c>
      <c r="DC49" s="108">
        <v>1</v>
      </c>
      <c r="DD49" s="108">
        <v>1</v>
      </c>
      <c r="DE49" s="108">
        <v>1</v>
      </c>
      <c r="DF49" s="108">
        <v>1.05</v>
      </c>
      <c r="DH49" s="208">
        <v>4.9852901637988098E-2</v>
      </c>
      <c r="DI49" s="209">
        <f t="shared" si="80"/>
        <v>1432.8220602632596</v>
      </c>
      <c r="DK49" s="192">
        <v>0.18176621748785099</v>
      </c>
      <c r="DL49" s="399">
        <f t="shared" si="81"/>
        <v>922.03219315895365</v>
      </c>
      <c r="DM49" s="192">
        <v>0.16969155186385701</v>
      </c>
      <c r="DN49" s="399">
        <f t="shared" si="82"/>
        <v>1050.5384576215451</v>
      </c>
    </row>
    <row r="50" spans="1:118" ht="24" customHeight="1" outlineLevel="1">
      <c r="A50" s="330" t="s">
        <v>1945</v>
      </c>
      <c r="B50" s="331"/>
      <c r="C50" s="88"/>
      <c r="D50" s="340">
        <v>5</v>
      </c>
      <c r="E50" s="341" t="s">
        <v>98</v>
      </c>
      <c r="F50" s="432" t="s">
        <v>1939</v>
      </c>
      <c r="G50" s="433" t="s">
        <v>154</v>
      </c>
      <c r="H50" s="434" t="s">
        <v>98</v>
      </c>
      <c r="I50" s="434" t="s">
        <v>98</v>
      </c>
      <c r="J50" s="94">
        <v>1</v>
      </c>
      <c r="K50" s="433" t="s">
        <v>144</v>
      </c>
      <c r="L50" s="435">
        <v>5.9754490401597004E-9</v>
      </c>
      <c r="M50" s="95">
        <v>1</v>
      </c>
      <c r="N50" s="96">
        <f t="shared" si="20"/>
        <v>1.2164594125584303</v>
      </c>
      <c r="O50" s="432" t="str">
        <f t="shared" si="21"/>
        <v>(2,2,1,1,1,3); Calculation with average annual yield and share of technologies. Lifetime: 30a.</v>
      </c>
      <c r="P50" s="435">
        <v>8.0656173253285E-9</v>
      </c>
      <c r="Q50" s="95">
        <v>1</v>
      </c>
      <c r="R50" s="96">
        <f t="shared" si="23"/>
        <v>1.2164594125584303</v>
      </c>
      <c r="S50" s="432" t="str">
        <f t="shared" si="24"/>
        <v>(2,2,1,1,1,3); Calculation with average annual yield and share of technologies. Lifetime: 30a.</v>
      </c>
      <c r="T50" s="435">
        <v>4.5424792836266E-9</v>
      </c>
      <c r="U50" s="95">
        <v>1</v>
      </c>
      <c r="V50" s="96">
        <f t="shared" si="26"/>
        <v>1.2164594125584303</v>
      </c>
      <c r="W50" s="432" t="str">
        <f t="shared" si="27"/>
        <v>(2,2,1,1,1,3); Calculation with average annual yield and share of technologies. Lifetime: 30a.</v>
      </c>
      <c r="X50" s="435">
        <v>4.5763585271621703E-9</v>
      </c>
      <c r="Y50" s="95">
        <v>1</v>
      </c>
      <c r="Z50" s="96">
        <f t="shared" si="29"/>
        <v>1.2164594125584303</v>
      </c>
      <c r="AA50" s="432" t="str">
        <f t="shared" si="30"/>
        <v>(2,2,1,1,1,3); Calculation with average annual yield and share of technologies. Lifetime: 30a.</v>
      </c>
      <c r="AB50" s="435">
        <v>7.6169675589239306E-9</v>
      </c>
      <c r="AC50" s="95">
        <v>1</v>
      </c>
      <c r="AD50" s="96">
        <f t="shared" si="32"/>
        <v>1.2164594125584303</v>
      </c>
      <c r="AE50" s="432" t="str">
        <f t="shared" si="33"/>
        <v>(2,2,1,1,1,3); Calculation with average annual yield and share of technologies. Lifetime: 30a.</v>
      </c>
      <c r="AF50" s="435">
        <v>3.7380556784920506E-9</v>
      </c>
      <c r="AG50" s="95">
        <v>1</v>
      </c>
      <c r="AH50" s="96">
        <f t="shared" si="35"/>
        <v>1.2164594125584303</v>
      </c>
      <c r="AI50" s="432" t="str">
        <f t="shared" si="36"/>
        <v>(2,2,1,1,1,3); Calculation with average annual yield and share of technologies. Lifetime: 30a.</v>
      </c>
      <c r="AJ50" s="435">
        <v>5.6562376922104906E-9</v>
      </c>
      <c r="AK50" s="95">
        <v>1</v>
      </c>
      <c r="AL50" s="96">
        <f t="shared" si="38"/>
        <v>1.2164594125584303</v>
      </c>
      <c r="AM50" s="432" t="str">
        <f t="shared" si="39"/>
        <v>(2,2,1,1,1,3); Calculation with average annual yield and share of technologies. Lifetime: 30a.</v>
      </c>
      <c r="AN50" s="435">
        <v>3.2416666194049501E-9</v>
      </c>
      <c r="AO50" s="95">
        <v>1</v>
      </c>
      <c r="AP50" s="96">
        <f t="shared" si="41"/>
        <v>1.2164594125584303</v>
      </c>
      <c r="AQ50" s="432" t="str">
        <f t="shared" si="42"/>
        <v>(2,2,1,1,1,3); Calculation with average annual yield and share of technologies. Lifetime: 30a.</v>
      </c>
      <c r="AR50" s="435">
        <v>3.9326239334372803E-9</v>
      </c>
      <c r="AS50" s="95">
        <v>1</v>
      </c>
      <c r="AT50" s="96">
        <f t="shared" si="44"/>
        <v>1.2164594125584303</v>
      </c>
      <c r="AU50" s="432" t="str">
        <f t="shared" si="45"/>
        <v>(2,2,1,1,1,3); Calculation with average annual yield and share of technologies. Lifetime: 30a.</v>
      </c>
      <c r="AV50" s="435">
        <v>5.3863901268406407E-9</v>
      </c>
      <c r="AW50" s="95">
        <v>1</v>
      </c>
      <c r="AX50" s="96">
        <f t="shared" si="47"/>
        <v>1.2164594125584303</v>
      </c>
      <c r="AY50" s="432" t="str">
        <f t="shared" si="48"/>
        <v>(2,2,1,1,1,3); Calculation with average annual yield and share of technologies. Lifetime: 30a.</v>
      </c>
      <c r="AZ50" s="435">
        <v>4.6345634534012902E-9</v>
      </c>
      <c r="BA50" s="95">
        <v>1</v>
      </c>
      <c r="BB50" s="96">
        <f t="shared" si="50"/>
        <v>1.2164594125584303</v>
      </c>
      <c r="BC50" s="432" t="str">
        <f t="shared" si="51"/>
        <v>(2,2,1,1,1,3); Calculation with average annual yield and share of technologies. Lifetime: 30a.</v>
      </c>
      <c r="BD50" s="435">
        <v>5.0046005988026503E-9</v>
      </c>
      <c r="BE50" s="95">
        <v>1</v>
      </c>
      <c r="BF50" s="96">
        <f t="shared" si="53"/>
        <v>1.2164594125584303</v>
      </c>
      <c r="BG50" s="432" t="str">
        <f t="shared" si="54"/>
        <v>(2,2,1,1,1,3); Calculation with average annual yield and share of technologies. Lifetime: 30a.</v>
      </c>
      <c r="BH50" s="435">
        <v>3.5283609493854601E-9</v>
      </c>
      <c r="BI50" s="95">
        <v>1</v>
      </c>
      <c r="BJ50" s="96">
        <f t="shared" si="56"/>
        <v>1.2164594125584303</v>
      </c>
      <c r="BK50" s="432" t="str">
        <f t="shared" si="57"/>
        <v>(2,2,1,1,1,3); Calculation with average annual yield and share of technologies. Lifetime: 30a.</v>
      </c>
      <c r="BL50" s="435">
        <v>9.137894477455821E-9</v>
      </c>
      <c r="BM50" s="95">
        <v>1</v>
      </c>
      <c r="BN50" s="96">
        <f t="shared" si="59"/>
        <v>1.2164594125584303</v>
      </c>
      <c r="BO50" s="432" t="str">
        <f t="shared" si="60"/>
        <v>(2,2,1,1,1,3); Calculation with average annual yield and share of technologies. Lifetime: 30a.</v>
      </c>
      <c r="BP50" s="435">
        <v>2.5169076223926802E-9</v>
      </c>
      <c r="BQ50" s="95">
        <v>1</v>
      </c>
      <c r="BR50" s="96">
        <f t="shared" si="62"/>
        <v>1.2164594125584303</v>
      </c>
      <c r="BS50" s="432" t="str">
        <f t="shared" si="63"/>
        <v>(2,2,1,1,1,3); Calculation with average annual yield and share of technologies. Lifetime: 30a.</v>
      </c>
      <c r="BT50" s="435">
        <v>9.9829466063299102E-10</v>
      </c>
      <c r="BU50" s="95">
        <v>1</v>
      </c>
      <c r="BV50" s="96">
        <f t="shared" si="65"/>
        <v>1.2164594125584303</v>
      </c>
      <c r="BW50" s="432" t="str">
        <f t="shared" si="66"/>
        <v>(2,2,1,1,1,3); Calculation with average annual yield and share of technologies. Lifetime: 30a.</v>
      </c>
      <c r="BX50" s="435">
        <v>7.6442323641637103E-9</v>
      </c>
      <c r="BY50" s="95">
        <v>1</v>
      </c>
      <c r="BZ50" s="96">
        <f t="shared" si="68"/>
        <v>1.2164594125584303</v>
      </c>
      <c r="CA50" s="432" t="str">
        <f t="shared" si="69"/>
        <v>(2,2,1,1,1,3); Calculation with average annual yield and share of technologies. Lifetime: 30a.</v>
      </c>
      <c r="CB50" s="435">
        <v>4.8493586144071208E-9</v>
      </c>
      <c r="CC50" s="95">
        <v>1</v>
      </c>
      <c r="CD50" s="96">
        <f t="shared" si="71"/>
        <v>1.2164594125584303</v>
      </c>
      <c r="CE50" s="432" t="str">
        <f t="shared" si="72"/>
        <v>(2,2,1,1,1,3); Calculation with average annual yield and share of technologies. Lifetime: 30a.</v>
      </c>
      <c r="CF50" s="435">
        <v>3.8586912219735707E-9</v>
      </c>
      <c r="CG50" s="95">
        <v>1</v>
      </c>
      <c r="CH50" s="96">
        <f t="shared" si="74"/>
        <v>1.2164594125584303</v>
      </c>
      <c r="CI50" s="432" t="str">
        <f t="shared" si="75"/>
        <v>(2,2,1,1,1,3); Calculation with average annual yield and share of technologies. Lifetime: 30a.</v>
      </c>
      <c r="CJ50" s="213" t="s">
        <v>2039</v>
      </c>
      <c r="CK50" s="505" t="s">
        <v>4</v>
      </c>
      <c r="CL50" s="211">
        <v>250</v>
      </c>
      <c r="CM50" s="510">
        <v>0.18</v>
      </c>
      <c r="CN50" s="212">
        <f t="shared" si="79"/>
        <v>1388.8888888888889</v>
      </c>
      <c r="CO50" s="77" t="s">
        <v>2289</v>
      </c>
      <c r="CP50" s="339">
        <v>2</v>
      </c>
      <c r="CQ50" s="339">
        <v>2</v>
      </c>
      <c r="CR50" s="339">
        <v>1</v>
      </c>
      <c r="CS50" s="339">
        <v>1</v>
      </c>
      <c r="CT50" s="339">
        <v>1</v>
      </c>
      <c r="CU50" s="339">
        <v>3</v>
      </c>
      <c r="CV50" s="104">
        <v>9</v>
      </c>
      <c r="CW50" s="104">
        <v>1.2</v>
      </c>
      <c r="CX50" s="107">
        <f t="shared" si="76"/>
        <v>1.0744244531716256</v>
      </c>
      <c r="CY50" s="107">
        <f t="shared" si="77"/>
        <v>1.2164594125584303</v>
      </c>
      <c r="CZ50" s="107" t="str">
        <f t="shared" si="78"/>
        <v>(2,2,1,1,1,3)</v>
      </c>
      <c r="DA50" s="108">
        <v>1.05</v>
      </c>
      <c r="DB50" s="108">
        <v>1.02</v>
      </c>
      <c r="DC50" s="108">
        <v>1</v>
      </c>
      <c r="DD50" s="108">
        <v>1</v>
      </c>
      <c r="DE50" s="108">
        <v>1</v>
      </c>
      <c r="DF50" s="108">
        <v>1.05</v>
      </c>
      <c r="DH50" s="208">
        <v>1.07278395929848E-2</v>
      </c>
      <c r="DI50" s="209">
        <f t="shared" si="80"/>
        <v>1432.8220602632591</v>
      </c>
      <c r="DK50" s="192">
        <v>3.9114249332828803E-2</v>
      </c>
      <c r="DL50" s="399">
        <f t="shared" si="81"/>
        <v>922.03219315895308</v>
      </c>
      <c r="DM50" s="192">
        <v>3.6515903565640197E-2</v>
      </c>
      <c r="DN50" s="399">
        <f t="shared" si="82"/>
        <v>1050.5384576215422</v>
      </c>
    </row>
    <row r="51" spans="1:118" ht="24" customHeight="1" outlineLevel="1">
      <c r="A51" s="330" t="s">
        <v>1947</v>
      </c>
      <c r="B51" s="331"/>
      <c r="C51" s="88"/>
      <c r="D51" s="340">
        <v>5</v>
      </c>
      <c r="E51" s="341" t="s">
        <v>98</v>
      </c>
      <c r="F51" s="432" t="s">
        <v>1941</v>
      </c>
      <c r="G51" s="433" t="s">
        <v>154</v>
      </c>
      <c r="H51" s="434" t="s">
        <v>98</v>
      </c>
      <c r="I51" s="434" t="s">
        <v>98</v>
      </c>
      <c r="J51" s="94">
        <v>1</v>
      </c>
      <c r="K51" s="433" t="s">
        <v>144</v>
      </c>
      <c r="L51" s="435">
        <v>5.9754490401597004E-9</v>
      </c>
      <c r="M51" s="95">
        <v>1</v>
      </c>
      <c r="N51" s="96">
        <f t="shared" si="20"/>
        <v>1.2164594125584303</v>
      </c>
      <c r="O51" s="432" t="str">
        <f t="shared" si="21"/>
        <v>(2,2,1,1,1,3); Calculation with average annual yield and share of technologies. Lifetime: 30a.</v>
      </c>
      <c r="P51" s="435">
        <v>7.2590555927956607E-9</v>
      </c>
      <c r="Q51" s="95">
        <v>1</v>
      </c>
      <c r="R51" s="96">
        <f t="shared" si="23"/>
        <v>1.2164594125584303</v>
      </c>
      <c r="S51" s="432" t="str">
        <f t="shared" si="24"/>
        <v>(2,2,1,1,1,3); Calculation with average annual yield and share of technologies. Lifetime: 30a.</v>
      </c>
      <c r="T51" s="435">
        <v>4.08823135526395E-9</v>
      </c>
      <c r="U51" s="95">
        <v>1</v>
      </c>
      <c r="V51" s="96">
        <f t="shared" si="26"/>
        <v>1.2164594125584303</v>
      </c>
      <c r="W51" s="432" t="str">
        <f t="shared" si="27"/>
        <v>(2,2,1,1,1,3); Calculation with average annual yield and share of technologies. Lifetime: 30a.</v>
      </c>
      <c r="X51" s="435">
        <v>4.1187226744459503E-9</v>
      </c>
      <c r="Y51" s="95">
        <v>1</v>
      </c>
      <c r="Z51" s="96">
        <f t="shared" si="29"/>
        <v>1.2164594125584303</v>
      </c>
      <c r="AA51" s="432" t="str">
        <f t="shared" si="30"/>
        <v>(2,2,1,1,1,3); Calculation with average annual yield and share of technologies. Lifetime: 30a.</v>
      </c>
      <c r="AB51" s="435">
        <v>6.8552708030315304E-9</v>
      </c>
      <c r="AC51" s="95">
        <v>1</v>
      </c>
      <c r="AD51" s="96">
        <f t="shared" si="32"/>
        <v>1.2164594125584303</v>
      </c>
      <c r="AE51" s="432" t="str">
        <f t="shared" si="33"/>
        <v>(2,2,1,1,1,3); Calculation with average annual yield and share of technologies. Lifetime: 30a.</v>
      </c>
      <c r="AF51" s="435">
        <v>3.3642501106428402E-9</v>
      </c>
      <c r="AG51" s="95">
        <v>1</v>
      </c>
      <c r="AH51" s="96">
        <f t="shared" si="35"/>
        <v>1.2164594125584303</v>
      </c>
      <c r="AI51" s="432" t="str">
        <f t="shared" si="36"/>
        <v>(2,2,1,1,1,3); Calculation with average annual yield and share of technologies. Lifetime: 30a.</v>
      </c>
      <c r="AJ51" s="435">
        <v>5.0906139229894305E-9</v>
      </c>
      <c r="AK51" s="95">
        <v>1</v>
      </c>
      <c r="AL51" s="96">
        <f t="shared" si="38"/>
        <v>1.2164594125584303</v>
      </c>
      <c r="AM51" s="432" t="str">
        <f t="shared" si="39"/>
        <v>(2,2,1,1,1,3); Calculation with average annual yield and share of technologies. Lifetime: 30a.</v>
      </c>
      <c r="AN51" s="435">
        <v>2.9174999574644604E-9</v>
      </c>
      <c r="AO51" s="95">
        <v>1</v>
      </c>
      <c r="AP51" s="96">
        <f t="shared" si="41"/>
        <v>1.2164594125584303</v>
      </c>
      <c r="AQ51" s="432" t="str">
        <f t="shared" si="42"/>
        <v>(2,2,1,1,1,3); Calculation with average annual yield and share of technologies. Lifetime: 30a.</v>
      </c>
      <c r="AR51" s="435">
        <v>3.5393615400935602E-9</v>
      </c>
      <c r="AS51" s="95">
        <v>1</v>
      </c>
      <c r="AT51" s="96">
        <f t="shared" si="44"/>
        <v>1.2164594125584303</v>
      </c>
      <c r="AU51" s="432" t="str">
        <f t="shared" si="45"/>
        <v>(2,2,1,1,1,3); Calculation with average annual yield and share of technologies. Lifetime: 30a.</v>
      </c>
      <c r="AV51" s="435">
        <v>4.8477511141565806E-9</v>
      </c>
      <c r="AW51" s="95">
        <v>1</v>
      </c>
      <c r="AX51" s="96">
        <f t="shared" si="47"/>
        <v>1.2164594125584303</v>
      </c>
      <c r="AY51" s="432" t="str">
        <f t="shared" si="48"/>
        <v>(2,2,1,1,1,3); Calculation with average annual yield and share of technologies. Lifetime: 30a.</v>
      </c>
      <c r="AZ51" s="435">
        <v>4.1711071080611604E-9</v>
      </c>
      <c r="BA51" s="95">
        <v>1</v>
      </c>
      <c r="BB51" s="96">
        <f t="shared" si="50"/>
        <v>1.2164594125584303</v>
      </c>
      <c r="BC51" s="432" t="str">
        <f t="shared" si="51"/>
        <v>(2,2,1,1,1,3); Calculation with average annual yield and share of technologies. Lifetime: 30a.</v>
      </c>
      <c r="BD51" s="435">
        <v>4.5041405389223901E-9</v>
      </c>
      <c r="BE51" s="95">
        <v>1</v>
      </c>
      <c r="BF51" s="96">
        <f t="shared" si="53"/>
        <v>1.2164594125584303</v>
      </c>
      <c r="BG51" s="432" t="str">
        <f t="shared" si="54"/>
        <v>(2,2,1,1,1,3); Calculation with average annual yield and share of technologies. Lifetime: 30a.</v>
      </c>
      <c r="BH51" s="435">
        <v>3.1755248544469103E-9</v>
      </c>
      <c r="BI51" s="95">
        <v>1</v>
      </c>
      <c r="BJ51" s="96">
        <f t="shared" si="56"/>
        <v>1.2164594125584303</v>
      </c>
      <c r="BK51" s="432" t="str">
        <f t="shared" si="57"/>
        <v>(2,2,1,1,1,3); Calculation with average annual yield and share of technologies. Lifetime: 30a.</v>
      </c>
      <c r="BL51" s="435">
        <v>8.2241050297102515E-9</v>
      </c>
      <c r="BM51" s="95">
        <v>1</v>
      </c>
      <c r="BN51" s="96">
        <f t="shared" si="59"/>
        <v>1.2164594125584303</v>
      </c>
      <c r="BO51" s="432" t="str">
        <f t="shared" si="60"/>
        <v>(2,2,1,1,1,3); Calculation with average annual yield and share of technologies. Lifetime: 30a.</v>
      </c>
      <c r="BP51" s="435">
        <v>2.2652168601534001E-9</v>
      </c>
      <c r="BQ51" s="95">
        <v>1</v>
      </c>
      <c r="BR51" s="96">
        <f t="shared" si="62"/>
        <v>1.2164594125584303</v>
      </c>
      <c r="BS51" s="432" t="str">
        <f t="shared" si="63"/>
        <v>(2,2,1,1,1,3); Calculation with average annual yield and share of technologies. Lifetime: 30a.</v>
      </c>
      <c r="BT51" s="435">
        <v>8.984651945696901E-10</v>
      </c>
      <c r="BU51" s="95">
        <v>1</v>
      </c>
      <c r="BV51" s="96">
        <f t="shared" si="65"/>
        <v>1.2164594125584303</v>
      </c>
      <c r="BW51" s="432" t="str">
        <f t="shared" si="66"/>
        <v>(2,2,1,1,1,3); Calculation with average annual yield and share of technologies. Lifetime: 30a.</v>
      </c>
      <c r="BX51" s="435">
        <v>6.8798091277473408E-9</v>
      </c>
      <c r="BY51" s="95">
        <v>1</v>
      </c>
      <c r="BZ51" s="96">
        <f t="shared" si="68"/>
        <v>1.2164594125584303</v>
      </c>
      <c r="CA51" s="432" t="str">
        <f t="shared" si="69"/>
        <v>(2,2,1,1,1,3); Calculation with average annual yield and share of technologies. Lifetime: 30a.</v>
      </c>
      <c r="CB51" s="435">
        <v>4.3644227529664105E-9</v>
      </c>
      <c r="CC51" s="95">
        <v>1</v>
      </c>
      <c r="CD51" s="96">
        <f t="shared" si="71"/>
        <v>1.2164594125584303</v>
      </c>
      <c r="CE51" s="432" t="str">
        <f t="shared" si="72"/>
        <v>(2,2,1,1,1,3); Calculation with average annual yield and share of technologies. Lifetime: 30a.</v>
      </c>
      <c r="CF51" s="435">
        <v>3.4728220997762202E-9</v>
      </c>
      <c r="CG51" s="95">
        <v>1</v>
      </c>
      <c r="CH51" s="96">
        <f t="shared" si="74"/>
        <v>1.2164594125584303</v>
      </c>
      <c r="CI51" s="432" t="str">
        <f t="shared" si="75"/>
        <v>(2,2,1,1,1,3); Calculation with average annual yield and share of technologies. Lifetime: 30a.</v>
      </c>
      <c r="CJ51" s="213" t="s">
        <v>2039</v>
      </c>
      <c r="CK51" s="505" t="s">
        <v>4</v>
      </c>
      <c r="CL51" s="211">
        <v>250</v>
      </c>
      <c r="CM51" s="510">
        <v>0.18</v>
      </c>
      <c r="CN51" s="212">
        <f t="shared" si="79"/>
        <v>1388.8888888888889</v>
      </c>
      <c r="CO51" s="77" t="s">
        <v>2289</v>
      </c>
      <c r="CP51" s="339">
        <v>2</v>
      </c>
      <c r="CQ51" s="339">
        <v>2</v>
      </c>
      <c r="CR51" s="339">
        <v>1</v>
      </c>
      <c r="CS51" s="339">
        <v>1</v>
      </c>
      <c r="CT51" s="339">
        <v>1</v>
      </c>
      <c r="CU51" s="339">
        <v>3</v>
      </c>
      <c r="CV51" s="104">
        <v>9</v>
      </c>
      <c r="CW51" s="104">
        <v>1.2</v>
      </c>
      <c r="CX51" s="107">
        <f t="shared" si="76"/>
        <v>1.0744244531716256</v>
      </c>
      <c r="CY51" s="107">
        <f t="shared" si="77"/>
        <v>1.2164594125584303</v>
      </c>
      <c r="CZ51" s="107" t="str">
        <f t="shared" si="78"/>
        <v>(2,2,1,1,1,3)</v>
      </c>
      <c r="DA51" s="108">
        <v>1.05</v>
      </c>
      <c r="DB51" s="108">
        <v>1.02</v>
      </c>
      <c r="DC51" s="108">
        <v>1</v>
      </c>
      <c r="DD51" s="108">
        <v>1</v>
      </c>
      <c r="DE51" s="108">
        <v>1</v>
      </c>
      <c r="DF51" s="108">
        <v>1.05</v>
      </c>
      <c r="DH51" s="208">
        <v>9.6550556336863005E-3</v>
      </c>
      <c r="DI51" s="209">
        <f t="shared" si="80"/>
        <v>1432.8220602632591</v>
      </c>
      <c r="DK51" s="192">
        <v>3.5202824399545897E-2</v>
      </c>
      <c r="DL51" s="399">
        <f t="shared" si="81"/>
        <v>922.03219315895421</v>
      </c>
      <c r="DM51" s="192">
        <v>3.28643132090762E-2</v>
      </c>
      <c r="DN51" s="399">
        <f t="shared" si="82"/>
        <v>1050.5384576215431</v>
      </c>
    </row>
    <row r="52" spans="1:118" ht="24" customHeight="1" outlineLevel="1">
      <c r="A52" s="330" t="s">
        <v>1832</v>
      </c>
      <c r="B52" s="331"/>
      <c r="C52" s="88"/>
      <c r="D52" s="340">
        <v>5</v>
      </c>
      <c r="E52" s="341" t="s">
        <v>98</v>
      </c>
      <c r="F52" s="432" t="s">
        <v>1837</v>
      </c>
      <c r="G52" s="433" t="s">
        <v>154</v>
      </c>
      <c r="H52" s="434" t="s">
        <v>98</v>
      </c>
      <c r="I52" s="434" t="s">
        <v>98</v>
      </c>
      <c r="J52" s="94">
        <v>1</v>
      </c>
      <c r="K52" s="433" t="s">
        <v>144</v>
      </c>
      <c r="L52" s="435">
        <v>2.7768263186624501E-8</v>
      </c>
      <c r="M52" s="95">
        <v>1</v>
      </c>
      <c r="N52" s="96">
        <f t="shared" si="20"/>
        <v>1.2164594125584303</v>
      </c>
      <c r="O52" s="432" t="str">
        <f t="shared" si="21"/>
        <v>(2,2,1,1,1,3); Calculation with average annual yield and share of technologies. Lifetime: 30a.</v>
      </c>
      <c r="P52" s="435">
        <v>3.3733258342991498E-8</v>
      </c>
      <c r="Q52" s="95">
        <v>1</v>
      </c>
      <c r="R52" s="96">
        <f t="shared" si="23"/>
        <v>1.2164594125584303</v>
      </c>
      <c r="S52" s="432" t="str">
        <f t="shared" si="24"/>
        <v>(2,2,1,1,1,3); Calculation with average annual yield and share of technologies. Lifetime: 30a.</v>
      </c>
      <c r="T52" s="435">
        <v>1.8998251592108899E-8</v>
      </c>
      <c r="U52" s="95">
        <v>1</v>
      </c>
      <c r="V52" s="96">
        <f t="shared" si="26"/>
        <v>1.2164594125584303</v>
      </c>
      <c r="W52" s="432" t="str">
        <f t="shared" si="27"/>
        <v>(2,2,1,1,1,3); Calculation with average annual yield and share of technologies. Lifetime: 30a.</v>
      </c>
      <c r="X52" s="435">
        <v>1.91399465459546E-8</v>
      </c>
      <c r="Y52" s="95">
        <v>1</v>
      </c>
      <c r="Z52" s="96">
        <f t="shared" si="29"/>
        <v>1.2164594125584303</v>
      </c>
      <c r="AA52" s="432" t="str">
        <f t="shared" si="30"/>
        <v>(2,2,1,1,1,3); Calculation with average annual yield and share of technologies. Lifetime: 30a.</v>
      </c>
      <c r="AB52" s="435">
        <v>3.1856846672911199E-8</v>
      </c>
      <c r="AC52" s="95">
        <v>1</v>
      </c>
      <c r="AD52" s="96">
        <f t="shared" si="32"/>
        <v>1.2164594125584303</v>
      </c>
      <c r="AE52" s="432" t="str">
        <f t="shared" si="33"/>
        <v>(2,2,1,1,1,3); Calculation with average annual yield and share of technologies. Lifetime: 30a.</v>
      </c>
      <c r="AF52" s="435">
        <v>1.56338681612227E-8</v>
      </c>
      <c r="AG52" s="95">
        <v>1</v>
      </c>
      <c r="AH52" s="96">
        <f t="shared" si="35"/>
        <v>1.2164594125584303</v>
      </c>
      <c r="AI52" s="432" t="str">
        <f t="shared" si="36"/>
        <v>(2,2,1,1,1,3); Calculation with average annual yield and share of technologies. Lifetime: 30a.</v>
      </c>
      <c r="AJ52" s="435">
        <v>2.36563823480097E-8</v>
      </c>
      <c r="AK52" s="95">
        <v>1</v>
      </c>
      <c r="AL52" s="96">
        <f t="shared" si="38"/>
        <v>1.2164594125584303</v>
      </c>
      <c r="AM52" s="432" t="str">
        <f t="shared" si="39"/>
        <v>(2,2,1,1,1,3); Calculation with average annual yield and share of technologies. Lifetime: 30a.</v>
      </c>
      <c r="AN52" s="435">
        <v>1.3557793919981899E-8</v>
      </c>
      <c r="AO52" s="95">
        <v>1</v>
      </c>
      <c r="AP52" s="96">
        <f t="shared" si="41"/>
        <v>1.2164594125584303</v>
      </c>
      <c r="AQ52" s="432" t="str">
        <f t="shared" si="42"/>
        <v>(2,2,1,1,1,3); Calculation with average annual yield and share of technologies. Lifetime: 30a.</v>
      </c>
      <c r="AR52" s="435">
        <v>1.64476212745524E-8</v>
      </c>
      <c r="AS52" s="95">
        <v>1</v>
      </c>
      <c r="AT52" s="96">
        <f t="shared" si="44"/>
        <v>1.2164594125584303</v>
      </c>
      <c r="AU52" s="432" t="str">
        <f t="shared" si="45"/>
        <v>(2,2,1,1,1,3); Calculation with average annual yield and share of technologies. Lifetime: 30a.</v>
      </c>
      <c r="AV52" s="435">
        <v>2.25277845893158E-8</v>
      </c>
      <c r="AW52" s="95">
        <v>1</v>
      </c>
      <c r="AX52" s="96">
        <f t="shared" si="47"/>
        <v>1.2164594125584303</v>
      </c>
      <c r="AY52" s="432" t="str">
        <f t="shared" si="48"/>
        <v>(2,2,1,1,1,3); Calculation with average annual yield and share of technologies. Lifetime: 30a.</v>
      </c>
      <c r="AZ52" s="435">
        <v>1.9383380090401898E-8</v>
      </c>
      <c r="BA52" s="95">
        <v>1</v>
      </c>
      <c r="BB52" s="96">
        <f t="shared" si="50"/>
        <v>1.2164594125584303</v>
      </c>
      <c r="BC52" s="432" t="str">
        <f t="shared" si="51"/>
        <v>(2,2,1,1,1,3); Calculation with average annual yield and share of technologies. Lifetime: 30a.</v>
      </c>
      <c r="BD52" s="435">
        <v>2.0931006033815801E-8</v>
      </c>
      <c r="BE52" s="95">
        <v>1</v>
      </c>
      <c r="BF52" s="96">
        <f t="shared" si="53"/>
        <v>1.2164594125584303</v>
      </c>
      <c r="BG52" s="432" t="str">
        <f t="shared" si="54"/>
        <v>(2,2,1,1,1,3); Calculation with average annual yield and share of technologies. Lifetime: 30a.</v>
      </c>
      <c r="BH52" s="435">
        <v>1.4756850794194501E-8</v>
      </c>
      <c r="BI52" s="95">
        <v>1</v>
      </c>
      <c r="BJ52" s="96">
        <f t="shared" si="56"/>
        <v>1.2164594125584303</v>
      </c>
      <c r="BK52" s="432" t="str">
        <f t="shared" si="57"/>
        <v>(2,2,1,1,1,3); Calculation with average annual yield and share of technologies. Lifetime: 30a.</v>
      </c>
      <c r="BL52" s="435">
        <v>3.8217899843947599E-8</v>
      </c>
      <c r="BM52" s="95">
        <v>1</v>
      </c>
      <c r="BN52" s="96">
        <f t="shared" si="59"/>
        <v>1.2164594125584303</v>
      </c>
      <c r="BO52" s="432" t="str">
        <f t="shared" si="60"/>
        <v>(2,2,1,1,1,3); Calculation with average annual yield and share of technologies. Lifetime: 30a.</v>
      </c>
      <c r="BP52" s="435">
        <v>1.05265959971835E-8</v>
      </c>
      <c r="BQ52" s="95">
        <v>1</v>
      </c>
      <c r="BR52" s="96">
        <f t="shared" si="62"/>
        <v>1.2164594125584303</v>
      </c>
      <c r="BS52" s="432" t="str">
        <f t="shared" si="63"/>
        <v>(2,2,1,1,1,3); Calculation with average annual yield and share of technologies. Lifetime: 30a.</v>
      </c>
      <c r="BT52" s="435">
        <v>4.17522061005915E-9</v>
      </c>
      <c r="BU52" s="95">
        <v>1</v>
      </c>
      <c r="BV52" s="96">
        <f t="shared" si="65"/>
        <v>1.2164594125584303</v>
      </c>
      <c r="BW52" s="432" t="str">
        <f t="shared" si="66"/>
        <v>(2,2,1,1,1,3); Calculation with average annual yield and share of technologies. Lifetime: 30a.</v>
      </c>
      <c r="BX52" s="435">
        <v>3.19708777112964E-8</v>
      </c>
      <c r="BY52" s="95">
        <v>1</v>
      </c>
      <c r="BZ52" s="96">
        <f t="shared" si="68"/>
        <v>1.2164594125584303</v>
      </c>
      <c r="CA52" s="432" t="str">
        <f t="shared" si="69"/>
        <v>(2,2,1,1,1,3); Calculation with average annual yield and share of technologies. Lifetime: 30a.</v>
      </c>
      <c r="CB52" s="435">
        <v>2.0281729263785001E-8</v>
      </c>
      <c r="CC52" s="95">
        <v>1</v>
      </c>
      <c r="CD52" s="96">
        <f t="shared" si="71"/>
        <v>1.2164594125584303</v>
      </c>
      <c r="CE52" s="432" t="str">
        <f t="shared" si="72"/>
        <v>(2,2,1,1,1,3); Calculation with average annual yield and share of technologies. Lifetime: 30a.</v>
      </c>
      <c r="CF52" s="435">
        <v>1.6138408581313001E-8</v>
      </c>
      <c r="CG52" s="95">
        <v>1</v>
      </c>
      <c r="CH52" s="96">
        <f t="shared" si="74"/>
        <v>1.2164594125584303</v>
      </c>
      <c r="CI52" s="432" t="str">
        <f t="shared" si="75"/>
        <v>(2,2,1,1,1,3); Calculation with average annual yield and share of technologies. Lifetime: 30a.</v>
      </c>
      <c r="CJ52" s="213" t="s">
        <v>2039</v>
      </c>
      <c r="CK52" s="505" t="s">
        <v>2214</v>
      </c>
      <c r="CL52" s="211">
        <v>250</v>
      </c>
      <c r="CM52" s="510">
        <v>0.22616666666666699</v>
      </c>
      <c r="CN52" s="212">
        <f t="shared" si="79"/>
        <v>1105.3795136330125</v>
      </c>
      <c r="CO52" s="77" t="s">
        <v>2289</v>
      </c>
      <c r="CP52" s="339">
        <v>2</v>
      </c>
      <c r="CQ52" s="339">
        <v>2</v>
      </c>
      <c r="CR52" s="339">
        <v>1</v>
      </c>
      <c r="CS52" s="339">
        <v>1</v>
      </c>
      <c r="CT52" s="339">
        <v>1</v>
      </c>
      <c r="CU52" s="339">
        <v>3</v>
      </c>
      <c r="CV52" s="104">
        <v>9</v>
      </c>
      <c r="CW52" s="104">
        <v>1.2</v>
      </c>
      <c r="CX52" s="107">
        <f t="shared" si="76"/>
        <v>1.0744244531716256</v>
      </c>
      <c r="CY52" s="107">
        <f t="shared" si="77"/>
        <v>1.2164594125584303</v>
      </c>
      <c r="CZ52" s="107" t="str">
        <f t="shared" si="78"/>
        <v>(2,2,1,1,1,3)</v>
      </c>
      <c r="DA52" s="108">
        <v>1.05</v>
      </c>
      <c r="DB52" s="108">
        <v>1.02</v>
      </c>
      <c r="DC52" s="108">
        <v>1</v>
      </c>
      <c r="DD52" s="108">
        <v>1</v>
      </c>
      <c r="DE52" s="108">
        <v>1</v>
      </c>
      <c r="DF52" s="108">
        <v>1.05</v>
      </c>
      <c r="DH52" s="208">
        <v>4.4867611474189301E-2</v>
      </c>
      <c r="DI52" s="209">
        <f t="shared" si="80"/>
        <v>1432.8220602632591</v>
      </c>
      <c r="DK52" s="192">
        <v>0.16358959573906601</v>
      </c>
      <c r="DL52" s="399">
        <f t="shared" si="81"/>
        <v>922.03219315895353</v>
      </c>
      <c r="DM52" s="192">
        <v>0.15272239667747201</v>
      </c>
      <c r="DN52" s="399">
        <f t="shared" si="82"/>
        <v>1050.5384576215429</v>
      </c>
    </row>
    <row r="53" spans="1:118" ht="24" customHeight="1" outlineLevel="1">
      <c r="A53" s="330" t="s">
        <v>1833</v>
      </c>
      <c r="B53" s="331"/>
      <c r="C53" s="88"/>
      <c r="D53" s="340">
        <v>5</v>
      </c>
      <c r="E53" s="341" t="s">
        <v>98</v>
      </c>
      <c r="F53" s="432" t="s">
        <v>1838</v>
      </c>
      <c r="G53" s="433" t="s">
        <v>154</v>
      </c>
      <c r="H53" s="434" t="s">
        <v>98</v>
      </c>
      <c r="I53" s="434" t="s">
        <v>98</v>
      </c>
      <c r="J53" s="94">
        <v>1</v>
      </c>
      <c r="K53" s="433" t="s">
        <v>144</v>
      </c>
      <c r="L53" s="435">
        <v>2.3663500607472501E-10</v>
      </c>
      <c r="M53" s="95">
        <v>1</v>
      </c>
      <c r="N53" s="96">
        <f t="shared" si="20"/>
        <v>1.2164594125584303</v>
      </c>
      <c r="O53" s="432" t="str">
        <f t="shared" si="21"/>
        <v>(2,2,1,1,1,3); Calculation with average annual yield and share of technologies. Lifetime: 30a.</v>
      </c>
      <c r="P53" s="435">
        <v>7.0838538494639008E-11</v>
      </c>
      <c r="Q53" s="95">
        <v>1</v>
      </c>
      <c r="R53" s="96">
        <f t="shared" si="23"/>
        <v>1.2164594125584303</v>
      </c>
      <c r="S53" s="432" t="str">
        <f t="shared" si="24"/>
        <v>(2,2,1,1,1,3); Calculation with average annual yield and share of technologies. Lifetime: 30a.</v>
      </c>
      <c r="T53" s="435">
        <v>1.0384842533935101E-9</v>
      </c>
      <c r="U53" s="95">
        <v>1</v>
      </c>
      <c r="V53" s="96">
        <f t="shared" si="26"/>
        <v>1.2164594125584303</v>
      </c>
      <c r="W53" s="432" t="str">
        <f t="shared" si="27"/>
        <v>(2,2,1,1,1,3); Calculation with average annual yield and share of technologies. Lifetime: 30a.</v>
      </c>
      <c r="X53" s="435">
        <v>9.9191326282161397E-10</v>
      </c>
      <c r="Y53" s="95">
        <v>1</v>
      </c>
      <c r="Z53" s="96">
        <f t="shared" si="29"/>
        <v>1.2164594125584303</v>
      </c>
      <c r="AA53" s="432" t="str">
        <f t="shared" si="30"/>
        <v>(2,2,1,1,1,3); Calculation with average annual yield and share of technologies. Lifetime: 30a.</v>
      </c>
      <c r="AB53" s="435">
        <v>2.5023775123019998E-10</v>
      </c>
      <c r="AC53" s="95">
        <v>1</v>
      </c>
      <c r="AD53" s="96">
        <f t="shared" si="32"/>
        <v>1.2164594125584303</v>
      </c>
      <c r="AE53" s="432" t="str">
        <f t="shared" si="33"/>
        <v>(2,2,1,1,1,3); Calculation with average annual yield and share of technologies. Lifetime: 30a.</v>
      </c>
      <c r="AF53" s="435">
        <v>9.9832188081501694E-10</v>
      </c>
      <c r="AG53" s="95">
        <v>1</v>
      </c>
      <c r="AH53" s="96">
        <f t="shared" si="35"/>
        <v>1.2164594125584303</v>
      </c>
      <c r="AI53" s="432" t="str">
        <f t="shared" si="36"/>
        <v>(2,2,1,1,1,3); Calculation with average annual yield and share of technologies. Lifetime: 30a.</v>
      </c>
      <c r="AJ53" s="435">
        <v>7.1040679227657899E-10</v>
      </c>
      <c r="AK53" s="95">
        <v>1</v>
      </c>
      <c r="AL53" s="96">
        <f t="shared" si="38"/>
        <v>1.2164594125584303</v>
      </c>
      <c r="AM53" s="432" t="str">
        <f t="shared" si="39"/>
        <v>(2,2,1,1,1,3); Calculation with average annual yield and share of technologies. Lifetime: 30a.</v>
      </c>
      <c r="AN53" s="435">
        <v>7.4109743353980805E-10</v>
      </c>
      <c r="AO53" s="95">
        <v>1</v>
      </c>
      <c r="AP53" s="96">
        <f t="shared" si="41"/>
        <v>1.2164594125584303</v>
      </c>
      <c r="AQ53" s="432" t="str">
        <f t="shared" si="42"/>
        <v>(2,2,1,1,1,3); Calculation with average annual yield and share of technologies. Lifetime: 30a.</v>
      </c>
      <c r="AR53" s="435">
        <v>8.9906145397597497E-10</v>
      </c>
      <c r="AS53" s="95">
        <v>1</v>
      </c>
      <c r="AT53" s="96">
        <f t="shared" si="44"/>
        <v>1.2164594125584303</v>
      </c>
      <c r="AU53" s="432" t="str">
        <f t="shared" si="45"/>
        <v>(2,2,1,1,1,3); Calculation with average annual yield and share of technologies. Lifetime: 30a.</v>
      </c>
      <c r="AV53" s="435">
        <v>1.2314159251140101E-9</v>
      </c>
      <c r="AW53" s="95">
        <v>1</v>
      </c>
      <c r="AX53" s="96">
        <f t="shared" si="47"/>
        <v>1.2164594125584303</v>
      </c>
      <c r="AY53" s="432" t="str">
        <f t="shared" si="48"/>
        <v>(2,2,1,1,1,3); Calculation with average annual yield and share of technologies. Lifetime: 30a.</v>
      </c>
      <c r="AZ53" s="435">
        <v>7.3913852118418899E-10</v>
      </c>
      <c r="BA53" s="95">
        <v>1</v>
      </c>
      <c r="BB53" s="96">
        <f t="shared" si="50"/>
        <v>1.2164594125584303</v>
      </c>
      <c r="BC53" s="432" t="str">
        <f t="shared" si="51"/>
        <v>(2,2,1,1,1,3); Calculation with average annual yield and share of technologies. Lifetime: 30a.</v>
      </c>
      <c r="BD53" s="435">
        <v>1.1441326623356602E-9</v>
      </c>
      <c r="BE53" s="95">
        <v>1</v>
      </c>
      <c r="BF53" s="96">
        <f t="shared" si="53"/>
        <v>1.2164594125584303</v>
      </c>
      <c r="BG53" s="432" t="str">
        <f t="shared" si="54"/>
        <v>(2,2,1,1,1,3); Calculation with average annual yield and share of technologies. Lifetime: 30a.</v>
      </c>
      <c r="BH53" s="435">
        <v>1.6929449780793902E-9</v>
      </c>
      <c r="BI53" s="95">
        <v>1</v>
      </c>
      <c r="BJ53" s="96">
        <f t="shared" si="56"/>
        <v>1.2164594125584303</v>
      </c>
      <c r="BK53" s="432" t="str">
        <f t="shared" si="57"/>
        <v>(2,2,1,1,1,3); Calculation with average annual yield and share of technologies. Lifetime: 30a.</v>
      </c>
      <c r="BL53" s="435">
        <v>4.7467396780619199E-11</v>
      </c>
      <c r="BM53" s="95">
        <v>1</v>
      </c>
      <c r="BN53" s="96">
        <f t="shared" si="59"/>
        <v>1.2164594125584303</v>
      </c>
      <c r="BO53" s="432" t="str">
        <f t="shared" si="60"/>
        <v>(2,2,1,1,1,3); Calculation with average annual yield and share of technologies. Lifetime: 30a.</v>
      </c>
      <c r="BP53" s="435">
        <v>9.3219703001078204E-10</v>
      </c>
      <c r="BQ53" s="95">
        <v>1</v>
      </c>
      <c r="BR53" s="96">
        <f t="shared" si="62"/>
        <v>1.2164594125584303</v>
      </c>
      <c r="BS53" s="432" t="str">
        <f t="shared" si="63"/>
        <v>(2,2,1,1,1,3); Calculation with average annual yield and share of technologies. Lifetime: 30a.</v>
      </c>
      <c r="BT53" s="435">
        <v>1.3833634479703802E-9</v>
      </c>
      <c r="BU53" s="95">
        <v>1</v>
      </c>
      <c r="BV53" s="96">
        <f t="shared" si="65"/>
        <v>1.2164594125584303</v>
      </c>
      <c r="BW53" s="432" t="str">
        <f t="shared" si="66"/>
        <v>(2,2,1,1,1,3); Calculation with average annual yield and share of technologies. Lifetime: 30a.</v>
      </c>
      <c r="BX53" s="435">
        <v>2.40003041756563E-10</v>
      </c>
      <c r="BY53" s="95">
        <v>1</v>
      </c>
      <c r="BZ53" s="96">
        <f t="shared" si="68"/>
        <v>1.2164594125584303</v>
      </c>
      <c r="CA53" s="432" t="str">
        <f t="shared" si="69"/>
        <v>(2,2,1,1,1,3); Calculation with average annual yield and share of technologies. Lifetime: 30a.</v>
      </c>
      <c r="CB53" s="435">
        <v>1.1086418331663501E-9</v>
      </c>
      <c r="CC53" s="95">
        <v>1</v>
      </c>
      <c r="CD53" s="96">
        <f t="shared" si="71"/>
        <v>1.2164594125584303</v>
      </c>
      <c r="CE53" s="432" t="str">
        <f t="shared" si="72"/>
        <v>(2,2,1,1,1,3); Calculation with average annual yield and share of technologies. Lifetime: 30a.</v>
      </c>
      <c r="CF53" s="435">
        <v>3.4819532640533902E-10</v>
      </c>
      <c r="CG53" s="95">
        <v>1</v>
      </c>
      <c r="CH53" s="96">
        <f t="shared" si="74"/>
        <v>1.2164594125584303</v>
      </c>
      <c r="CI53" s="432" t="str">
        <f t="shared" si="75"/>
        <v>(2,2,1,1,1,3); Calculation with average annual yield and share of technologies. Lifetime: 30a.</v>
      </c>
      <c r="CJ53" s="213" t="s">
        <v>2041</v>
      </c>
      <c r="CK53" s="505" t="s">
        <v>2214</v>
      </c>
      <c r="CL53" s="211">
        <v>10000</v>
      </c>
      <c r="CM53" s="510">
        <v>0.22616666666666699</v>
      </c>
      <c r="CN53" s="212">
        <f t="shared" si="79"/>
        <v>44215.180545320494</v>
      </c>
      <c r="CO53" s="77" t="s">
        <v>2289</v>
      </c>
      <c r="CP53" s="339">
        <v>2</v>
      </c>
      <c r="CQ53" s="339">
        <v>2</v>
      </c>
      <c r="CR53" s="339">
        <v>1</v>
      </c>
      <c r="CS53" s="339">
        <v>1</v>
      </c>
      <c r="CT53" s="339">
        <v>1</v>
      </c>
      <c r="CU53" s="339">
        <v>3</v>
      </c>
      <c r="CV53" s="104">
        <v>9</v>
      </c>
      <c r="CW53" s="104">
        <v>1.2</v>
      </c>
      <c r="CX53" s="107">
        <f t="shared" si="76"/>
        <v>1.0744244531716256</v>
      </c>
      <c r="CY53" s="107">
        <f t="shared" si="77"/>
        <v>1.2164594125584303</v>
      </c>
      <c r="CZ53" s="107" t="str">
        <f t="shared" si="78"/>
        <v>(2,2,1,1,1,3)</v>
      </c>
      <c r="DA53" s="108">
        <v>1.05</v>
      </c>
      <c r="DB53" s="108">
        <v>1.02</v>
      </c>
      <c r="DC53" s="108">
        <v>1</v>
      </c>
      <c r="DD53" s="108">
        <v>1</v>
      </c>
      <c r="DE53" s="108">
        <v>1</v>
      </c>
      <c r="DF53" s="108">
        <v>1.05</v>
      </c>
      <c r="DH53" s="208">
        <v>0.63047071475843797</v>
      </c>
      <c r="DI53" s="209">
        <f t="shared" si="80"/>
        <v>1519.1734697617881</v>
      </c>
      <c r="DK53" s="192">
        <v>0.20834810403887499</v>
      </c>
      <c r="DL53" s="399">
        <f t="shared" si="81"/>
        <v>977.59999999999957</v>
      </c>
      <c r="DM53" s="192">
        <v>0.246987034035656</v>
      </c>
      <c r="DN53" s="399">
        <f t="shared" si="82"/>
        <v>1113.8509086675347</v>
      </c>
    </row>
    <row r="54" spans="1:118" ht="24" customHeight="1" outlineLevel="1">
      <c r="A54" s="330" t="s">
        <v>1948</v>
      </c>
      <c r="B54" s="331"/>
      <c r="C54" s="88"/>
      <c r="D54" s="340">
        <v>5</v>
      </c>
      <c r="E54" s="341" t="s">
        <v>98</v>
      </c>
      <c r="F54" s="432" t="s">
        <v>1942</v>
      </c>
      <c r="G54" s="433" t="s">
        <v>154</v>
      </c>
      <c r="H54" s="434" t="s">
        <v>98</v>
      </c>
      <c r="I54" s="434" t="s">
        <v>98</v>
      </c>
      <c r="J54" s="94">
        <v>1</v>
      </c>
      <c r="K54" s="433" t="s">
        <v>144</v>
      </c>
      <c r="L54" s="435">
        <v>5.0921457003421792E-11</v>
      </c>
      <c r="M54" s="95">
        <v>1</v>
      </c>
      <c r="N54" s="96">
        <f t="shared" si="20"/>
        <v>1.2164594125584303</v>
      </c>
      <c r="O54" s="432" t="str">
        <f t="shared" si="21"/>
        <v>(2,2,1,1,1,3); Calculation with average annual yield and share of technologies. Lifetime: 30a.</v>
      </c>
      <c r="P54" s="435">
        <v>1.5243736131757799E-11</v>
      </c>
      <c r="Q54" s="95">
        <v>1</v>
      </c>
      <c r="R54" s="96">
        <f t="shared" si="23"/>
        <v>1.2164594125584303</v>
      </c>
      <c r="S54" s="432" t="str">
        <f t="shared" si="24"/>
        <v>(2,2,1,1,1,3); Calculation with average annual yield and share of technologies. Lifetime: 30a.</v>
      </c>
      <c r="T54" s="435">
        <v>2.23471295034047E-10</v>
      </c>
      <c r="U54" s="95">
        <v>1</v>
      </c>
      <c r="V54" s="96">
        <f t="shared" si="26"/>
        <v>1.2164594125584303</v>
      </c>
      <c r="W54" s="432" t="str">
        <f t="shared" si="27"/>
        <v>(2,2,1,1,1,3); Calculation with average annual yield and share of technologies. Lifetime: 30a.</v>
      </c>
      <c r="X54" s="435">
        <v>2.1344968946794299E-10</v>
      </c>
      <c r="Y54" s="95">
        <v>1</v>
      </c>
      <c r="Z54" s="96">
        <f t="shared" si="29"/>
        <v>1.2164594125584303</v>
      </c>
      <c r="AA54" s="432" t="str">
        <f t="shared" si="30"/>
        <v>(2,2,1,1,1,3); Calculation with average annual yield and share of technologies. Lifetime: 30a.</v>
      </c>
      <c r="AB54" s="435">
        <v>5.3848630011561999E-11</v>
      </c>
      <c r="AC54" s="95">
        <v>1</v>
      </c>
      <c r="AD54" s="96">
        <f t="shared" si="32"/>
        <v>1.2164594125584303</v>
      </c>
      <c r="AE54" s="432" t="str">
        <f t="shared" si="33"/>
        <v>(2,2,1,1,1,3); Calculation with average annual yield and share of technologies. Lifetime: 30a.</v>
      </c>
      <c r="AF54" s="435">
        <v>2.14828759162725E-10</v>
      </c>
      <c r="AG54" s="95">
        <v>1</v>
      </c>
      <c r="AH54" s="96">
        <f t="shared" si="35"/>
        <v>1.2164594125584303</v>
      </c>
      <c r="AI54" s="432" t="str">
        <f t="shared" si="36"/>
        <v>(2,2,1,1,1,3); Calculation with average annual yield and share of technologies. Lifetime: 30a.</v>
      </c>
      <c r="AJ54" s="435">
        <v>1.52872347705087E-10</v>
      </c>
      <c r="AK54" s="95">
        <v>1</v>
      </c>
      <c r="AL54" s="96">
        <f t="shared" si="38"/>
        <v>1.2164594125584303</v>
      </c>
      <c r="AM54" s="432" t="str">
        <f t="shared" si="39"/>
        <v>(2,2,1,1,1,3); Calculation with average annual yield and share of technologies. Lifetime: 30a.</v>
      </c>
      <c r="AN54" s="435">
        <v>1.5947666291363001E-10</v>
      </c>
      <c r="AO54" s="95">
        <v>1</v>
      </c>
      <c r="AP54" s="96">
        <f t="shared" si="41"/>
        <v>1.2164594125584303</v>
      </c>
      <c r="AQ54" s="432" t="str">
        <f t="shared" si="42"/>
        <v>(2,2,1,1,1,3); Calculation with average annual yield and share of technologies. Lifetime: 30a.</v>
      </c>
      <c r="AR54" s="435">
        <v>1.9346892047584299E-10</v>
      </c>
      <c r="AS54" s="95">
        <v>1</v>
      </c>
      <c r="AT54" s="96">
        <f t="shared" si="44"/>
        <v>1.2164594125584303</v>
      </c>
      <c r="AU54" s="432" t="str">
        <f t="shared" si="45"/>
        <v>(2,2,1,1,1,3); Calculation with average annual yield and share of technologies. Lifetime: 30a.</v>
      </c>
      <c r="AV54" s="435">
        <v>2.6498823704985099E-10</v>
      </c>
      <c r="AW54" s="95">
        <v>1</v>
      </c>
      <c r="AX54" s="96">
        <f t="shared" si="47"/>
        <v>1.2164594125584303</v>
      </c>
      <c r="AY54" s="432" t="str">
        <f t="shared" si="48"/>
        <v>(2,2,1,1,1,3); Calculation with average annual yield and share of technologies. Lifetime: 30a.</v>
      </c>
      <c r="AZ54" s="435">
        <v>1.5905512481178799E-10</v>
      </c>
      <c r="BA54" s="95">
        <v>1</v>
      </c>
      <c r="BB54" s="96">
        <f t="shared" si="50"/>
        <v>1.2164594125584303</v>
      </c>
      <c r="BC54" s="432" t="str">
        <f t="shared" si="51"/>
        <v>(2,2,1,1,1,3); Calculation with average annual yield and share of technologies. Lifetime: 30a.</v>
      </c>
      <c r="BD54" s="435">
        <v>2.4620576278109201E-10</v>
      </c>
      <c r="BE54" s="95">
        <v>1</v>
      </c>
      <c r="BF54" s="96">
        <f t="shared" si="53"/>
        <v>1.2164594125584303</v>
      </c>
      <c r="BG54" s="432" t="str">
        <f t="shared" si="54"/>
        <v>(2,2,1,1,1,3); Calculation with average annual yield and share of technologies. Lifetime: 30a.</v>
      </c>
      <c r="BH54" s="435">
        <v>3.64304615536071E-10</v>
      </c>
      <c r="BI54" s="95">
        <v>1</v>
      </c>
      <c r="BJ54" s="96">
        <f t="shared" si="56"/>
        <v>1.2164594125584303</v>
      </c>
      <c r="BK54" s="432" t="str">
        <f t="shared" si="57"/>
        <v>(2,2,1,1,1,3); Calculation with average annual yield and share of technologies. Lifetime: 30a.</v>
      </c>
      <c r="BL54" s="435">
        <v>1.0214503104690199E-11</v>
      </c>
      <c r="BM54" s="95">
        <v>1</v>
      </c>
      <c r="BN54" s="96">
        <f t="shared" si="59"/>
        <v>1.2164594125584303</v>
      </c>
      <c r="BO54" s="432" t="str">
        <f t="shared" si="60"/>
        <v>(2,2,1,1,1,3); Calculation with average annual yield and share of technologies. Lifetime: 30a.</v>
      </c>
      <c r="BP54" s="435">
        <v>2.0059936088839601E-10</v>
      </c>
      <c r="BQ54" s="95">
        <v>1</v>
      </c>
      <c r="BR54" s="96">
        <f t="shared" si="62"/>
        <v>1.2164594125584303</v>
      </c>
      <c r="BS54" s="432" t="str">
        <f t="shared" si="63"/>
        <v>(2,2,1,1,1,3); Calculation with average annual yield and share of technologies. Lifetime: 30a.</v>
      </c>
      <c r="BT54" s="435">
        <v>2.9768580525944898E-10</v>
      </c>
      <c r="BU54" s="95">
        <v>1</v>
      </c>
      <c r="BV54" s="96">
        <f t="shared" si="65"/>
        <v>1.2164594125584303</v>
      </c>
      <c r="BW54" s="432" t="str">
        <f t="shared" si="66"/>
        <v>(2,2,1,1,1,3); Calculation with average annual yield and share of technologies. Lifetime: 30a.</v>
      </c>
      <c r="BX54" s="435">
        <v>5.1646224175463001E-11</v>
      </c>
      <c r="BY54" s="95">
        <v>1</v>
      </c>
      <c r="BZ54" s="96">
        <f t="shared" si="68"/>
        <v>1.2164594125584303</v>
      </c>
      <c r="CA54" s="432" t="str">
        <f t="shared" si="69"/>
        <v>(2,2,1,1,1,3); Calculation with average annual yield and share of technologies. Lifetime: 30a.</v>
      </c>
      <c r="CB54" s="435">
        <v>2.3856849574465802E-10</v>
      </c>
      <c r="CC54" s="95">
        <v>1</v>
      </c>
      <c r="CD54" s="96">
        <f t="shared" si="71"/>
        <v>1.2164594125584303</v>
      </c>
      <c r="CE54" s="432" t="str">
        <f t="shared" si="72"/>
        <v>(2,2,1,1,1,3); Calculation with average annual yield and share of technologies. Lifetime: 30a.</v>
      </c>
      <c r="CF54" s="435">
        <v>7.4928108213806995E-11</v>
      </c>
      <c r="CG54" s="95">
        <v>1</v>
      </c>
      <c r="CH54" s="96">
        <f t="shared" si="74"/>
        <v>1.2164594125584303</v>
      </c>
      <c r="CI54" s="432" t="str">
        <f t="shared" si="75"/>
        <v>(2,2,1,1,1,3); Calculation with average annual yield and share of technologies. Lifetime: 30a.</v>
      </c>
      <c r="CJ54" s="213" t="s">
        <v>2041</v>
      </c>
      <c r="CK54" s="505" t="s">
        <v>4</v>
      </c>
      <c r="CL54" s="211">
        <v>10000</v>
      </c>
      <c r="CM54" s="510">
        <v>0.18</v>
      </c>
      <c r="CN54" s="212">
        <f t="shared" si="79"/>
        <v>55555.555555555555</v>
      </c>
      <c r="CO54" s="77" t="s">
        <v>2289</v>
      </c>
      <c r="CP54" s="339">
        <v>2</v>
      </c>
      <c r="CQ54" s="339">
        <v>2</v>
      </c>
      <c r="CR54" s="339">
        <v>1</v>
      </c>
      <c r="CS54" s="339">
        <v>1</v>
      </c>
      <c r="CT54" s="339">
        <v>1</v>
      </c>
      <c r="CU54" s="339">
        <v>3</v>
      </c>
      <c r="CV54" s="104">
        <v>9</v>
      </c>
      <c r="CW54" s="104">
        <v>1.2</v>
      </c>
      <c r="CX54" s="107">
        <f t="shared" si="76"/>
        <v>1.0744244531716256</v>
      </c>
      <c r="CY54" s="107">
        <f t="shared" si="77"/>
        <v>1.2164594125584303</v>
      </c>
      <c r="CZ54" s="107" t="str">
        <f t="shared" si="78"/>
        <v>(2,2,1,1,1,3)</v>
      </c>
      <c r="DA54" s="108">
        <v>1.05</v>
      </c>
      <c r="DB54" s="108">
        <v>1.02</v>
      </c>
      <c r="DC54" s="108">
        <v>1</v>
      </c>
      <c r="DD54" s="108">
        <v>1</v>
      </c>
      <c r="DE54" s="108">
        <v>1</v>
      </c>
      <c r="DF54" s="108">
        <v>1.05</v>
      </c>
      <c r="DH54" s="208">
        <v>0.13567091330244899</v>
      </c>
      <c r="DI54" s="209">
        <f t="shared" si="80"/>
        <v>1519.173469761791</v>
      </c>
      <c r="DK54" s="192">
        <v>4.4834402134947798E-2</v>
      </c>
      <c r="DL54" s="399">
        <f t="shared" si="81"/>
        <v>977.59999999999741</v>
      </c>
      <c r="DM54" s="192">
        <v>5.3149108589951401E-2</v>
      </c>
      <c r="DN54" s="399">
        <f t="shared" si="82"/>
        <v>1113.8509086675335</v>
      </c>
    </row>
    <row r="55" spans="1:118" ht="24" customHeight="1" outlineLevel="1">
      <c r="A55" s="330" t="s">
        <v>2016</v>
      </c>
      <c r="B55" s="331"/>
      <c r="C55" s="88"/>
      <c r="D55" s="340">
        <v>5</v>
      </c>
      <c r="E55" s="341" t="s">
        <v>98</v>
      </c>
      <c r="F55" s="432" t="s">
        <v>2009</v>
      </c>
      <c r="G55" s="433" t="s">
        <v>154</v>
      </c>
      <c r="H55" s="434" t="s">
        <v>98</v>
      </c>
      <c r="I55" s="434" t="s">
        <v>98</v>
      </c>
      <c r="J55" s="94">
        <v>1</v>
      </c>
      <c r="K55" s="433" t="s">
        <v>144</v>
      </c>
      <c r="L55" s="435">
        <v>1.1981519294922799E-11</v>
      </c>
      <c r="M55" s="95">
        <v>1</v>
      </c>
      <c r="N55" s="96">
        <f t="shared" si="20"/>
        <v>1.2164594125584303</v>
      </c>
      <c r="O55" s="432" t="str">
        <f t="shared" si="21"/>
        <v>(2,2,1,1,1,3); Calculation with average annual yield and share of technologies. Lifetime: 30a.</v>
      </c>
      <c r="P55" s="435">
        <v>3.5867614427665297E-12</v>
      </c>
      <c r="Q55" s="95">
        <v>1</v>
      </c>
      <c r="R55" s="96">
        <f t="shared" si="23"/>
        <v>1.2164594125584303</v>
      </c>
      <c r="S55" s="432" t="str">
        <f t="shared" si="24"/>
        <v>(2,2,1,1,1,3); Calculation with average annual yield and share of technologies. Lifetime: 30a.</v>
      </c>
      <c r="T55" s="435">
        <v>5.2581481184481694E-11</v>
      </c>
      <c r="U55" s="95">
        <v>1</v>
      </c>
      <c r="V55" s="96">
        <f t="shared" si="26"/>
        <v>1.2164594125584303</v>
      </c>
      <c r="W55" s="432" t="str">
        <f t="shared" si="27"/>
        <v>(2,2,1,1,1,3); Calculation with average annual yield and share of technologies. Lifetime: 30a.</v>
      </c>
      <c r="X55" s="435">
        <v>5.0223456345398196E-11</v>
      </c>
      <c r="Y55" s="95">
        <v>1</v>
      </c>
      <c r="Z55" s="96">
        <f t="shared" si="29"/>
        <v>1.2164594125584303</v>
      </c>
      <c r="AA55" s="432" t="str">
        <f t="shared" si="30"/>
        <v>(2,2,1,1,1,3); Calculation with average annual yield and share of technologies. Lifetime: 30a.</v>
      </c>
      <c r="AB55" s="435">
        <v>1.2670265885073398E-11</v>
      </c>
      <c r="AC55" s="95">
        <v>1</v>
      </c>
      <c r="AD55" s="96">
        <f t="shared" si="32"/>
        <v>1.2164594125584303</v>
      </c>
      <c r="AE55" s="432" t="str">
        <f t="shared" si="33"/>
        <v>(2,2,1,1,1,3); Calculation with average annual yield and share of technologies. Lifetime: 30a.</v>
      </c>
      <c r="AF55" s="435">
        <v>5.0547943332406094E-11</v>
      </c>
      <c r="AG55" s="95">
        <v>1</v>
      </c>
      <c r="AH55" s="96">
        <f t="shared" si="35"/>
        <v>1.2164594125584303</v>
      </c>
      <c r="AI55" s="432" t="str">
        <f t="shared" si="36"/>
        <v>(2,2,1,1,1,3); Calculation with average annual yield and share of technologies. Lifetime: 30a.</v>
      </c>
      <c r="AJ55" s="435">
        <v>3.5969964165902896E-11</v>
      </c>
      <c r="AK55" s="95">
        <v>1</v>
      </c>
      <c r="AL55" s="96">
        <f t="shared" si="38"/>
        <v>1.2164594125584303</v>
      </c>
      <c r="AM55" s="432" t="str">
        <f t="shared" si="39"/>
        <v>(2,2,1,1,1,3); Calculation with average annual yield and share of technologies. Lifetime: 30a.</v>
      </c>
      <c r="AN55" s="435">
        <v>3.752392068556E-11</v>
      </c>
      <c r="AO55" s="95">
        <v>1</v>
      </c>
      <c r="AP55" s="96">
        <f t="shared" si="41"/>
        <v>1.2164594125584303</v>
      </c>
      <c r="AQ55" s="432" t="str">
        <f t="shared" si="42"/>
        <v>(2,2,1,1,1,3); Calculation with average annual yield and share of technologies. Lifetime: 30a.</v>
      </c>
      <c r="AR55" s="435">
        <v>4.5522098935492493E-11</v>
      </c>
      <c r="AS55" s="95">
        <v>1</v>
      </c>
      <c r="AT55" s="96">
        <f t="shared" si="44"/>
        <v>1.2164594125584303</v>
      </c>
      <c r="AU55" s="432" t="str">
        <f t="shared" si="45"/>
        <v>(2,2,1,1,1,3); Calculation with average annual yield and share of technologies. Lifetime: 30a.</v>
      </c>
      <c r="AV55" s="435">
        <v>6.2350173423494398E-11</v>
      </c>
      <c r="AW55" s="95">
        <v>1</v>
      </c>
      <c r="AX55" s="96">
        <f t="shared" si="47"/>
        <v>1.2164594125584303</v>
      </c>
      <c r="AY55" s="432" t="str">
        <f t="shared" si="48"/>
        <v>(2,2,1,1,1,3); Calculation with average annual yield and share of technologies. Lifetime: 30a.</v>
      </c>
      <c r="AZ55" s="435">
        <v>3.7424735249832396E-11</v>
      </c>
      <c r="BA55" s="95">
        <v>1</v>
      </c>
      <c r="BB55" s="96">
        <f t="shared" si="50"/>
        <v>1.2164594125584303</v>
      </c>
      <c r="BC55" s="432" t="str">
        <f t="shared" si="51"/>
        <v>(2,2,1,1,1,3); Calculation with average annual yield and share of technologies. Lifetime: 30a.</v>
      </c>
      <c r="BD55" s="435">
        <v>5.7930767713198295E-11</v>
      </c>
      <c r="BE55" s="95">
        <v>1</v>
      </c>
      <c r="BF55" s="96">
        <f t="shared" si="53"/>
        <v>1.2164594125584303</v>
      </c>
      <c r="BG55" s="432" t="str">
        <f t="shared" si="54"/>
        <v>(2,2,1,1,1,3); Calculation with average annual yield and share of technologies. Lifetime: 30a.</v>
      </c>
      <c r="BH55" s="435">
        <v>8.571873306731079E-11</v>
      </c>
      <c r="BI55" s="95">
        <v>1</v>
      </c>
      <c r="BJ55" s="96">
        <f t="shared" si="56"/>
        <v>1.2164594125584303</v>
      </c>
      <c r="BK55" s="432" t="str">
        <f t="shared" si="57"/>
        <v>(2,2,1,1,1,3); Calculation with average annual yield and share of technologies. Lifetime: 30a.</v>
      </c>
      <c r="BL55" s="435">
        <v>2.4034124952212201E-12</v>
      </c>
      <c r="BM55" s="95">
        <v>1</v>
      </c>
      <c r="BN55" s="96">
        <f t="shared" si="59"/>
        <v>1.2164594125584303</v>
      </c>
      <c r="BO55" s="432" t="str">
        <f t="shared" si="60"/>
        <v>(2,2,1,1,1,3); Calculation with average annual yield and share of technologies. Lifetime: 30a.</v>
      </c>
      <c r="BP55" s="435">
        <v>4.7199849620799004E-11</v>
      </c>
      <c r="BQ55" s="95">
        <v>1</v>
      </c>
      <c r="BR55" s="96">
        <f t="shared" si="62"/>
        <v>1.2164594125584303</v>
      </c>
      <c r="BS55" s="432" t="str">
        <f t="shared" si="63"/>
        <v>(2,2,1,1,1,3); Calculation with average annual yield and share of technologies. Lifetime: 30a.</v>
      </c>
      <c r="BT55" s="435">
        <v>7.0043718884576089E-11</v>
      </c>
      <c r="BU55" s="95">
        <v>1</v>
      </c>
      <c r="BV55" s="96">
        <f t="shared" si="65"/>
        <v>1.2164594125584303</v>
      </c>
      <c r="BW55" s="432" t="str">
        <f t="shared" si="66"/>
        <v>(2,2,1,1,1,3); Calculation with average annual yield and share of technologies. Lifetime: 30a.</v>
      </c>
      <c r="BX55" s="435">
        <v>1.2152052747167699E-11</v>
      </c>
      <c r="BY55" s="95">
        <v>1</v>
      </c>
      <c r="BZ55" s="96">
        <f t="shared" si="68"/>
        <v>1.2164594125584303</v>
      </c>
      <c r="CA55" s="432" t="str">
        <f t="shared" si="69"/>
        <v>(2,2,1,1,1,3); Calculation with average annual yield and share of technologies. Lifetime: 30a.</v>
      </c>
      <c r="CB55" s="435">
        <v>5.6133763704625493E-11</v>
      </c>
      <c r="CC55" s="95">
        <v>1</v>
      </c>
      <c r="CD55" s="96">
        <f t="shared" si="71"/>
        <v>1.2164594125584303</v>
      </c>
      <c r="CE55" s="432" t="str">
        <f t="shared" si="72"/>
        <v>(2,2,1,1,1,3); Calculation with average annual yield and share of technologies. Lifetime: 30a.</v>
      </c>
      <c r="CF55" s="435">
        <v>1.7630143109131098E-11</v>
      </c>
      <c r="CG55" s="95">
        <v>1</v>
      </c>
      <c r="CH55" s="96">
        <f t="shared" si="74"/>
        <v>1.2164594125584303</v>
      </c>
      <c r="CI55" s="432" t="str">
        <f t="shared" si="75"/>
        <v>(2,2,1,1,1,3); Calculation with average annual yield and share of technologies. Lifetime: 30a.</v>
      </c>
      <c r="CJ55" s="213" t="s">
        <v>2041</v>
      </c>
      <c r="CK55" s="505" t="s">
        <v>2087</v>
      </c>
      <c r="CL55" s="211">
        <v>10000</v>
      </c>
      <c r="CM55" s="510">
        <v>0.184</v>
      </c>
      <c r="CN55" s="212">
        <f t="shared" si="79"/>
        <v>54347.82608695652</v>
      </c>
      <c r="CO55" s="77" t="s">
        <v>2289</v>
      </c>
      <c r="CP55" s="339">
        <v>2</v>
      </c>
      <c r="CQ55" s="339">
        <v>2</v>
      </c>
      <c r="CR55" s="339">
        <v>1</v>
      </c>
      <c r="CS55" s="339">
        <v>1</v>
      </c>
      <c r="CT55" s="339">
        <v>1</v>
      </c>
      <c r="CU55" s="339">
        <v>3</v>
      </c>
      <c r="CV55" s="104">
        <v>9</v>
      </c>
      <c r="CW55" s="104">
        <v>1.2</v>
      </c>
      <c r="CX55" s="107">
        <f t="shared" si="76"/>
        <v>1.0744244531716256</v>
      </c>
      <c r="CY55" s="107">
        <f t="shared" si="77"/>
        <v>1.2164594125584303</v>
      </c>
      <c r="CZ55" s="107" t="str">
        <f t="shared" si="78"/>
        <v>(2,2,1,1,1,3)</v>
      </c>
      <c r="DA55" s="108">
        <v>1.05</v>
      </c>
      <c r="DB55" s="108">
        <v>1.02</v>
      </c>
      <c r="DC55" s="108">
        <v>1</v>
      </c>
      <c r="DD55" s="108">
        <v>1</v>
      </c>
      <c r="DE55" s="108">
        <v>1</v>
      </c>
      <c r="DF55" s="108">
        <v>1.05</v>
      </c>
      <c r="DH55" s="208">
        <v>3.1922567835870302E-2</v>
      </c>
      <c r="DI55" s="209">
        <f t="shared" si="80"/>
        <v>1519.1734697617919</v>
      </c>
      <c r="DK55" s="192">
        <v>1.0549271090576001E-2</v>
      </c>
      <c r="DL55" s="399">
        <f t="shared" si="81"/>
        <v>977.59999999999991</v>
      </c>
      <c r="DM55" s="192">
        <v>1.25056726094003E-2</v>
      </c>
      <c r="DN55" s="399">
        <f t="shared" si="82"/>
        <v>1113.8509086675331</v>
      </c>
    </row>
    <row r="56" spans="1:118" ht="24" customHeight="1" outlineLevel="1">
      <c r="A56" s="330" t="s">
        <v>1958</v>
      </c>
      <c r="B56" s="331"/>
      <c r="C56" s="88"/>
      <c r="D56" s="340">
        <v>5</v>
      </c>
      <c r="E56" s="341" t="s">
        <v>98</v>
      </c>
      <c r="F56" s="432" t="s">
        <v>1953</v>
      </c>
      <c r="G56" s="433" t="s">
        <v>93</v>
      </c>
      <c r="H56" s="434" t="s">
        <v>98</v>
      </c>
      <c r="I56" s="434" t="s">
        <v>98</v>
      </c>
      <c r="J56" s="94">
        <v>1</v>
      </c>
      <c r="K56" s="433" t="s">
        <v>144</v>
      </c>
      <c r="L56" s="435">
        <v>4.9803709286212E-9</v>
      </c>
      <c r="M56" s="95">
        <v>1</v>
      </c>
      <c r="N56" s="96">
        <f t="shared" si="20"/>
        <v>1.2164594125584303</v>
      </c>
      <c r="O56" s="432" t="str">
        <f t="shared" si="21"/>
        <v>(2,2,1,1,1,3); Calculation with average annual yield and share of technologies. Lifetime: 30a.</v>
      </c>
      <c r="P56" s="435">
        <v>9.6019253872958209E-9</v>
      </c>
      <c r="Q56" s="95">
        <v>1</v>
      </c>
      <c r="R56" s="96">
        <f t="shared" si="23"/>
        <v>1.2164594125584303</v>
      </c>
      <c r="S56" s="432" t="str">
        <f t="shared" si="24"/>
        <v>(2,2,1,1,1,3); Calculation with average annual yield and share of technologies. Lifetime: 30a.</v>
      </c>
      <c r="T56" s="435">
        <v>5.4077134328888103E-9</v>
      </c>
      <c r="U56" s="95">
        <v>1</v>
      </c>
      <c r="V56" s="96">
        <f t="shared" si="26"/>
        <v>1.2164594125584303</v>
      </c>
      <c r="W56" s="432" t="str">
        <f t="shared" si="27"/>
        <v>(2,2,1,1,1,3); Calculation with average annual yield and share of technologies. Lifetime: 30a.</v>
      </c>
      <c r="X56" s="435">
        <v>5.4480458656692302E-9</v>
      </c>
      <c r="Y56" s="95">
        <v>1</v>
      </c>
      <c r="Z56" s="96">
        <f t="shared" si="29"/>
        <v>1.2164594125584303</v>
      </c>
      <c r="AA56" s="432" t="str">
        <f t="shared" si="30"/>
        <v>(2,2,1,1,1,3); Calculation with average annual yield and share of technologies. Lifetime: 30a.</v>
      </c>
      <c r="AB56" s="435">
        <v>9.0678185225284995E-9</v>
      </c>
      <c r="AC56" s="95">
        <v>1</v>
      </c>
      <c r="AD56" s="96">
        <f t="shared" si="32"/>
        <v>1.2164594125584303</v>
      </c>
      <c r="AE56" s="432" t="str">
        <f t="shared" si="33"/>
        <v>(2,2,1,1,1,3); Calculation with average annual yield and share of technologies. Lifetime: 30a.</v>
      </c>
      <c r="AF56" s="435">
        <v>4.4500662839191107E-9</v>
      </c>
      <c r="AG56" s="95">
        <v>1</v>
      </c>
      <c r="AH56" s="96">
        <f t="shared" si="35"/>
        <v>1.2164594125584303</v>
      </c>
      <c r="AI56" s="432" t="str">
        <f t="shared" si="36"/>
        <v>(2,2,1,1,1,3); Calculation with average annual yield and share of technologies. Lifetime: 30a.</v>
      </c>
      <c r="AJ56" s="435">
        <v>6.7336163002505607E-9</v>
      </c>
      <c r="AK56" s="95">
        <v>1</v>
      </c>
      <c r="AL56" s="96">
        <f t="shared" si="38"/>
        <v>1.2164594125584303</v>
      </c>
      <c r="AM56" s="432" t="str">
        <f t="shared" si="39"/>
        <v>(2,2,1,1,1,3); Calculation with average annual yield and share of technologies. Lifetime: 30a.</v>
      </c>
      <c r="AN56" s="435">
        <v>3.8591269278630304E-9</v>
      </c>
      <c r="AO56" s="95">
        <v>1</v>
      </c>
      <c r="AP56" s="96">
        <f t="shared" si="41"/>
        <v>1.2164594125584303</v>
      </c>
      <c r="AQ56" s="432" t="str">
        <f t="shared" si="42"/>
        <v>(2,2,1,1,1,3); Calculation with average annual yield and share of technologies. Lifetime: 30a.</v>
      </c>
      <c r="AR56" s="435">
        <v>4.6816951588539103E-9</v>
      </c>
      <c r="AS56" s="95">
        <v>1</v>
      </c>
      <c r="AT56" s="96">
        <f t="shared" si="44"/>
        <v>1.2164594125584303</v>
      </c>
      <c r="AU56" s="432" t="str">
        <f t="shared" si="45"/>
        <v>(2,2,1,1,1,3); Calculation with average annual yield and share of technologies. Lifetime: 30a.</v>
      </c>
      <c r="AV56" s="435">
        <v>6.4123691986198103E-9</v>
      </c>
      <c r="AW56" s="95">
        <v>1</v>
      </c>
      <c r="AX56" s="96">
        <f t="shared" si="47"/>
        <v>1.2164594125584303</v>
      </c>
      <c r="AY56" s="432" t="str">
        <f t="shared" si="48"/>
        <v>(2,2,1,1,1,3); Calculation with average annual yield and share of technologies. Lifetime: 30a.</v>
      </c>
      <c r="AZ56" s="435">
        <v>5.5173374445253406E-9</v>
      </c>
      <c r="BA56" s="95">
        <v>1</v>
      </c>
      <c r="BB56" s="96">
        <f t="shared" si="50"/>
        <v>1.2164594125584303</v>
      </c>
      <c r="BC56" s="432" t="str">
        <f t="shared" si="51"/>
        <v>(2,2,1,1,1,3); Calculation with average annual yield and share of technologies. Lifetime: 30a.</v>
      </c>
      <c r="BD56" s="435">
        <v>5.9578578557174406E-9</v>
      </c>
      <c r="BE56" s="95">
        <v>1</v>
      </c>
      <c r="BF56" s="96">
        <f t="shared" si="53"/>
        <v>1.2164594125584303</v>
      </c>
      <c r="BG56" s="432" t="str">
        <f t="shared" si="54"/>
        <v>(2,2,1,1,1,3); Calculation with average annual yield and share of technologies. Lifetime: 30a.</v>
      </c>
      <c r="BH56" s="435">
        <v>4.2004297016493502E-9</v>
      </c>
      <c r="BI56" s="95">
        <v>1</v>
      </c>
      <c r="BJ56" s="96">
        <f t="shared" si="56"/>
        <v>1.2164594125584303</v>
      </c>
      <c r="BK56" s="432" t="str">
        <f t="shared" si="57"/>
        <v>(2,2,1,1,1,3); Calculation with average annual yield and share of technologies. Lifetime: 30a.</v>
      </c>
      <c r="BL56" s="435">
        <v>1.0878445806495E-8</v>
      </c>
      <c r="BM56" s="95">
        <v>1</v>
      </c>
      <c r="BN56" s="96">
        <f t="shared" si="59"/>
        <v>1.2164594125584303</v>
      </c>
      <c r="BO56" s="432" t="str">
        <f t="shared" si="60"/>
        <v>(2,2,1,1,1,3); Calculation with average annual yield and share of technologies. Lifetime: 30a.</v>
      </c>
      <c r="BP56" s="435">
        <v>2.9963185980865201E-9</v>
      </c>
      <c r="BQ56" s="95">
        <v>1</v>
      </c>
      <c r="BR56" s="96">
        <f t="shared" si="62"/>
        <v>1.2164594125584303</v>
      </c>
      <c r="BS56" s="432" t="str">
        <f t="shared" si="63"/>
        <v>(2,2,1,1,1,3); Calculation with average annual yield and share of technologies. Lifetime: 30a.</v>
      </c>
      <c r="BT56" s="435">
        <v>1.18844602456308E-9</v>
      </c>
      <c r="BU56" s="95">
        <v>1</v>
      </c>
      <c r="BV56" s="96">
        <f t="shared" si="65"/>
        <v>1.2164594125584303</v>
      </c>
      <c r="BW56" s="432" t="str">
        <f t="shared" si="66"/>
        <v>(2,2,1,1,1,3); Calculation with average annual yield and share of technologies. Lifetime: 30a.</v>
      </c>
      <c r="BX56" s="435">
        <v>9.1002766240044001E-9</v>
      </c>
      <c r="BY56" s="95">
        <v>1</v>
      </c>
      <c r="BZ56" s="96">
        <f t="shared" si="68"/>
        <v>1.2164594125584303</v>
      </c>
      <c r="CA56" s="432" t="str">
        <f t="shared" si="69"/>
        <v>(2,2,1,1,1,3); Calculation with average annual yield and share of technologies. Lifetime: 30a.</v>
      </c>
      <c r="CB56" s="435">
        <v>5.7730459695322807E-9</v>
      </c>
      <c r="CC56" s="95">
        <v>1</v>
      </c>
      <c r="CD56" s="96">
        <f t="shared" si="71"/>
        <v>1.2164594125584303</v>
      </c>
      <c r="CE56" s="432" t="str">
        <f t="shared" si="72"/>
        <v>(2,2,1,1,1,3); Calculation with average annual yield and share of technologies. Lifetime: 30a.</v>
      </c>
      <c r="CF56" s="435">
        <v>4.5936800261590105E-9</v>
      </c>
      <c r="CG56" s="95">
        <v>1</v>
      </c>
      <c r="CH56" s="96">
        <f t="shared" si="74"/>
        <v>1.2164594125584303</v>
      </c>
      <c r="CI56" s="432" t="str">
        <f t="shared" si="75"/>
        <v>(2,2,1,1,1,3); Calculation with average annual yield and share of technologies. Lifetime: 30a.</v>
      </c>
      <c r="CJ56" s="505" t="s">
        <v>2040</v>
      </c>
      <c r="CK56" s="505" t="s">
        <v>4</v>
      </c>
      <c r="CL56" s="211">
        <v>10</v>
      </c>
      <c r="CM56" s="510">
        <v>0.18</v>
      </c>
      <c r="CN56" s="212">
        <f t="shared" si="79"/>
        <v>55.555555555555557</v>
      </c>
      <c r="CO56" s="77" t="s">
        <v>2289</v>
      </c>
      <c r="CP56" s="339">
        <v>2</v>
      </c>
      <c r="CQ56" s="339">
        <v>2</v>
      </c>
      <c r="CR56" s="339">
        <v>1</v>
      </c>
      <c r="CS56" s="339">
        <v>1</v>
      </c>
      <c r="CT56" s="339">
        <v>1</v>
      </c>
      <c r="CU56" s="339">
        <v>3</v>
      </c>
      <c r="CV56" s="104">
        <v>9</v>
      </c>
      <c r="CW56" s="104">
        <v>1.2</v>
      </c>
      <c r="CX56" s="107">
        <f t="shared" si="76"/>
        <v>1.0744244531716256</v>
      </c>
      <c r="CY56" s="107">
        <f t="shared" si="77"/>
        <v>1.2164594125584303</v>
      </c>
      <c r="CZ56" s="107" t="str">
        <f t="shared" si="78"/>
        <v>(2,2,1,1,1,3)</v>
      </c>
      <c r="DA56" s="108">
        <v>1.05</v>
      </c>
      <c r="DB56" s="108">
        <v>1.02</v>
      </c>
      <c r="DC56" s="108">
        <v>1</v>
      </c>
      <c r="DD56" s="108">
        <v>1</v>
      </c>
      <c r="DE56" s="108">
        <v>1</v>
      </c>
      <c r="DF56" s="108">
        <v>1.05</v>
      </c>
      <c r="DH56" s="208">
        <v>3.5759465309949298E-4</v>
      </c>
      <c r="DI56" s="209">
        <f t="shared" si="80"/>
        <v>1002.9754421842841</v>
      </c>
      <c r="DK56" s="192">
        <v>1.3038083110942899E-3</v>
      </c>
      <c r="DL56" s="399">
        <f t="shared" si="81"/>
        <v>645.4225352112677</v>
      </c>
      <c r="DM56" s="192">
        <v>1.2171967855213401E-3</v>
      </c>
      <c r="DN56" s="399">
        <f t="shared" si="82"/>
        <v>735.3769203350804</v>
      </c>
    </row>
    <row r="57" spans="1:118" ht="24" customHeight="1" outlineLevel="1">
      <c r="A57" s="330" t="s">
        <v>1959</v>
      </c>
      <c r="B57" s="331"/>
      <c r="C57" s="88"/>
      <c r="D57" s="340">
        <v>5</v>
      </c>
      <c r="E57" s="341" t="s">
        <v>98</v>
      </c>
      <c r="F57" s="432" t="s">
        <v>1954</v>
      </c>
      <c r="G57" s="433" t="s">
        <v>93</v>
      </c>
      <c r="H57" s="434" t="s">
        <v>98</v>
      </c>
      <c r="I57" s="434" t="s">
        <v>98</v>
      </c>
      <c r="J57" s="94">
        <v>1</v>
      </c>
      <c r="K57" s="433" t="s">
        <v>144</v>
      </c>
      <c r="L57" s="435">
        <v>0</v>
      </c>
      <c r="M57" s="95">
        <v>1</v>
      </c>
      <c r="N57" s="96">
        <f t="shared" si="20"/>
        <v>1.2164594125584303</v>
      </c>
      <c r="O57" s="432" t="str">
        <f t="shared" si="21"/>
        <v>(2,2,1,1,1,3); Calculation with average annual yield and share of technologies. Lifetime: 30a.</v>
      </c>
      <c r="P57" s="435">
        <v>9.6019253872958209E-9</v>
      </c>
      <c r="Q57" s="95">
        <v>1</v>
      </c>
      <c r="R57" s="96">
        <f t="shared" si="23"/>
        <v>1.2164594125584303</v>
      </c>
      <c r="S57" s="432" t="str">
        <f t="shared" si="24"/>
        <v>(2,2,1,1,1,3); Calculation with average annual yield and share of technologies. Lifetime: 30a.</v>
      </c>
      <c r="T57" s="435">
        <v>5.4077134328888103E-9</v>
      </c>
      <c r="U57" s="95">
        <v>1</v>
      </c>
      <c r="V57" s="96">
        <f t="shared" si="26"/>
        <v>1.2164594125584303</v>
      </c>
      <c r="W57" s="432" t="str">
        <f t="shared" si="27"/>
        <v>(2,2,1,1,1,3); Calculation with average annual yield and share of technologies. Lifetime: 30a.</v>
      </c>
      <c r="X57" s="435">
        <v>5.4480458656692302E-9</v>
      </c>
      <c r="Y57" s="95">
        <v>1</v>
      </c>
      <c r="Z57" s="96">
        <f t="shared" si="29"/>
        <v>1.2164594125584303</v>
      </c>
      <c r="AA57" s="432" t="str">
        <f t="shared" si="30"/>
        <v>(2,2,1,1,1,3); Calculation with average annual yield and share of technologies. Lifetime: 30a.</v>
      </c>
      <c r="AB57" s="435">
        <v>9.0678185225284995E-9</v>
      </c>
      <c r="AC57" s="95">
        <v>1</v>
      </c>
      <c r="AD57" s="96">
        <f t="shared" si="32"/>
        <v>1.2164594125584303</v>
      </c>
      <c r="AE57" s="432" t="str">
        <f t="shared" si="33"/>
        <v>(2,2,1,1,1,3); Calculation with average annual yield and share of technologies. Lifetime: 30a.</v>
      </c>
      <c r="AF57" s="435">
        <v>4.4500662839191107E-9</v>
      </c>
      <c r="AG57" s="95">
        <v>1</v>
      </c>
      <c r="AH57" s="96">
        <f t="shared" si="35"/>
        <v>1.2164594125584303</v>
      </c>
      <c r="AI57" s="432" t="str">
        <f t="shared" si="36"/>
        <v>(2,2,1,1,1,3); Calculation with average annual yield and share of technologies. Lifetime: 30a.</v>
      </c>
      <c r="AJ57" s="435">
        <v>6.7336163002505607E-9</v>
      </c>
      <c r="AK57" s="95">
        <v>1</v>
      </c>
      <c r="AL57" s="96">
        <f t="shared" si="38"/>
        <v>1.2164594125584303</v>
      </c>
      <c r="AM57" s="432" t="str">
        <f t="shared" si="39"/>
        <v>(2,2,1,1,1,3); Calculation with average annual yield and share of technologies. Lifetime: 30a.</v>
      </c>
      <c r="AN57" s="435">
        <v>3.8591269278630304E-9</v>
      </c>
      <c r="AO57" s="95">
        <v>1</v>
      </c>
      <c r="AP57" s="96">
        <f t="shared" si="41"/>
        <v>1.2164594125584303</v>
      </c>
      <c r="AQ57" s="432" t="str">
        <f t="shared" si="42"/>
        <v>(2,2,1,1,1,3); Calculation with average annual yield and share of technologies. Lifetime: 30a.</v>
      </c>
      <c r="AR57" s="435">
        <v>4.6816951588539103E-9</v>
      </c>
      <c r="AS57" s="95">
        <v>1</v>
      </c>
      <c r="AT57" s="96">
        <f t="shared" si="44"/>
        <v>1.2164594125584303</v>
      </c>
      <c r="AU57" s="432" t="str">
        <f t="shared" si="45"/>
        <v>(2,2,1,1,1,3); Calculation with average annual yield and share of technologies. Lifetime: 30a.</v>
      </c>
      <c r="AV57" s="435">
        <v>6.4123691986198103E-9</v>
      </c>
      <c r="AW57" s="95">
        <v>1</v>
      </c>
      <c r="AX57" s="96">
        <f t="shared" si="47"/>
        <v>1.2164594125584303</v>
      </c>
      <c r="AY57" s="432" t="str">
        <f t="shared" si="48"/>
        <v>(2,2,1,1,1,3); Calculation with average annual yield and share of technologies. Lifetime: 30a.</v>
      </c>
      <c r="AZ57" s="435">
        <v>5.5173374445253406E-9</v>
      </c>
      <c r="BA57" s="95">
        <v>1</v>
      </c>
      <c r="BB57" s="96">
        <f t="shared" si="50"/>
        <v>1.2164594125584303</v>
      </c>
      <c r="BC57" s="432" t="str">
        <f t="shared" si="51"/>
        <v>(2,2,1,1,1,3); Calculation with average annual yield and share of technologies. Lifetime: 30a.</v>
      </c>
      <c r="BD57" s="435">
        <v>5.9578578557174406E-9</v>
      </c>
      <c r="BE57" s="95">
        <v>1</v>
      </c>
      <c r="BF57" s="96">
        <f t="shared" si="53"/>
        <v>1.2164594125584303</v>
      </c>
      <c r="BG57" s="432" t="str">
        <f t="shared" si="54"/>
        <v>(2,2,1,1,1,3); Calculation with average annual yield and share of technologies. Lifetime: 30a.</v>
      </c>
      <c r="BH57" s="435">
        <v>4.2004297016493502E-9</v>
      </c>
      <c r="BI57" s="95">
        <v>1</v>
      </c>
      <c r="BJ57" s="96">
        <f t="shared" si="56"/>
        <v>1.2164594125584303</v>
      </c>
      <c r="BK57" s="432" t="str">
        <f t="shared" si="57"/>
        <v>(2,2,1,1,1,3); Calculation with average annual yield and share of technologies. Lifetime: 30a.</v>
      </c>
      <c r="BL57" s="435">
        <v>1.0878445806495E-8</v>
      </c>
      <c r="BM57" s="95">
        <v>1</v>
      </c>
      <c r="BN57" s="96">
        <f t="shared" si="59"/>
        <v>1.2164594125584303</v>
      </c>
      <c r="BO57" s="432" t="str">
        <f t="shared" si="60"/>
        <v>(2,2,1,1,1,3); Calculation with average annual yield and share of technologies. Lifetime: 30a.</v>
      </c>
      <c r="BP57" s="435">
        <v>2.9963185980865201E-9</v>
      </c>
      <c r="BQ57" s="95">
        <v>1</v>
      </c>
      <c r="BR57" s="96">
        <f t="shared" si="62"/>
        <v>1.2164594125584303</v>
      </c>
      <c r="BS57" s="432" t="str">
        <f t="shared" si="63"/>
        <v>(2,2,1,1,1,3); Calculation with average annual yield and share of technologies. Lifetime: 30a.</v>
      </c>
      <c r="BT57" s="435">
        <v>1.18844602456308E-9</v>
      </c>
      <c r="BU57" s="95">
        <v>1</v>
      </c>
      <c r="BV57" s="96">
        <f t="shared" si="65"/>
        <v>1.2164594125584303</v>
      </c>
      <c r="BW57" s="432" t="str">
        <f t="shared" si="66"/>
        <v>(2,2,1,1,1,3); Calculation with average annual yield and share of technologies. Lifetime: 30a.</v>
      </c>
      <c r="BX57" s="435">
        <v>9.1002766240044001E-9</v>
      </c>
      <c r="BY57" s="95">
        <v>1</v>
      </c>
      <c r="BZ57" s="96">
        <f t="shared" si="68"/>
        <v>1.2164594125584303</v>
      </c>
      <c r="CA57" s="432" t="str">
        <f t="shared" si="69"/>
        <v>(2,2,1,1,1,3); Calculation with average annual yield and share of technologies. Lifetime: 30a.</v>
      </c>
      <c r="CB57" s="435">
        <v>5.7730459695322807E-9</v>
      </c>
      <c r="CC57" s="95">
        <v>1</v>
      </c>
      <c r="CD57" s="96">
        <f t="shared" si="71"/>
        <v>1.2164594125584303</v>
      </c>
      <c r="CE57" s="432" t="str">
        <f t="shared" si="72"/>
        <v>(2,2,1,1,1,3); Calculation with average annual yield and share of technologies. Lifetime: 30a.</v>
      </c>
      <c r="CF57" s="435">
        <v>4.5936800261590105E-9</v>
      </c>
      <c r="CG57" s="95">
        <v>1</v>
      </c>
      <c r="CH57" s="96">
        <f t="shared" si="74"/>
        <v>1.2164594125584303</v>
      </c>
      <c r="CI57" s="432" t="str">
        <f t="shared" si="75"/>
        <v>(2,2,1,1,1,3); Calculation with average annual yield and share of technologies. Lifetime: 30a.</v>
      </c>
      <c r="CJ57" s="505" t="s">
        <v>2040</v>
      </c>
      <c r="CK57" s="505" t="s">
        <v>4</v>
      </c>
      <c r="CL57" s="211">
        <v>10</v>
      </c>
      <c r="CM57" s="510">
        <v>0.18</v>
      </c>
      <c r="CN57" s="212">
        <f t="shared" si="79"/>
        <v>55.555555555555557</v>
      </c>
      <c r="CO57" s="77" t="s">
        <v>2289</v>
      </c>
      <c r="CP57" s="339">
        <v>2</v>
      </c>
      <c r="CQ57" s="339">
        <v>2</v>
      </c>
      <c r="CR57" s="339">
        <v>1</v>
      </c>
      <c r="CS57" s="339">
        <v>1</v>
      </c>
      <c r="CT57" s="339">
        <v>1</v>
      </c>
      <c r="CU57" s="339">
        <v>3</v>
      </c>
      <c r="CV57" s="104">
        <v>9</v>
      </c>
      <c r="CW57" s="104">
        <v>1.2</v>
      </c>
      <c r="CX57" s="107">
        <f t="shared" si="76"/>
        <v>1.0744244531716256</v>
      </c>
      <c r="CY57" s="107">
        <f t="shared" si="77"/>
        <v>1.2164594125584303</v>
      </c>
      <c r="CZ57" s="107" t="str">
        <f t="shared" si="78"/>
        <v>(2,2,1,1,1,3)</v>
      </c>
      <c r="DA57" s="108">
        <v>1.05</v>
      </c>
      <c r="DB57" s="108">
        <v>1.02</v>
      </c>
      <c r="DC57" s="108">
        <v>1</v>
      </c>
      <c r="DD57" s="108">
        <v>1</v>
      </c>
      <c r="DE57" s="108">
        <v>1</v>
      </c>
      <c r="DF57" s="108">
        <v>1.05</v>
      </c>
      <c r="DH57" s="208">
        <v>3.5759465309949298E-4</v>
      </c>
      <c r="DI57" s="209">
        <f t="shared" si="80"/>
        <v>1002.9754421842841</v>
      </c>
      <c r="DK57" s="192">
        <v>1.3038083110942899E-3</v>
      </c>
      <c r="DL57" s="399">
        <f t="shared" si="81"/>
        <v>645.4225352112677</v>
      </c>
      <c r="DM57" s="192">
        <v>1.2171967855213401E-3</v>
      </c>
      <c r="DN57" s="399">
        <f t="shared" si="82"/>
        <v>735.3769203350804</v>
      </c>
    </row>
    <row r="58" spans="1:118" ht="24" customHeight="1" outlineLevel="1">
      <c r="A58" s="330" t="s">
        <v>1886</v>
      </c>
      <c r="B58" s="331"/>
      <c r="C58" s="88"/>
      <c r="D58" s="340">
        <v>5</v>
      </c>
      <c r="E58" s="341" t="s">
        <v>98</v>
      </c>
      <c r="F58" s="432" t="s">
        <v>1880</v>
      </c>
      <c r="G58" s="433" t="s">
        <v>93</v>
      </c>
      <c r="H58" s="434" t="s">
        <v>98</v>
      </c>
      <c r="I58" s="434" t="s">
        <v>98</v>
      </c>
      <c r="J58" s="94">
        <v>1</v>
      </c>
      <c r="K58" s="433" t="s">
        <v>144</v>
      </c>
      <c r="L58" s="435">
        <v>2.3144076668298401E-8</v>
      </c>
      <c r="M58" s="95">
        <v>1</v>
      </c>
      <c r="N58" s="96">
        <f t="shared" si="20"/>
        <v>1.2164594125584303</v>
      </c>
      <c r="O58" s="432" t="str">
        <f t="shared" si="21"/>
        <v>(2,2,1,1,1,3); Calculation with average annual yield and share of technologies. Lifetime: 30a.</v>
      </c>
      <c r="P58" s="435">
        <v>4.4620712093904197E-8</v>
      </c>
      <c r="Q58" s="95">
        <v>1</v>
      </c>
      <c r="R58" s="96">
        <f t="shared" si="23"/>
        <v>1.2164594125584303</v>
      </c>
      <c r="S58" s="432" t="str">
        <f t="shared" si="24"/>
        <v>(2,2,1,1,1,3); Calculation with average annual yield and share of technologies. Lifetime: 30a.</v>
      </c>
      <c r="T58" s="435">
        <v>2.51299624234245E-8</v>
      </c>
      <c r="U58" s="95">
        <v>1</v>
      </c>
      <c r="V58" s="96">
        <f t="shared" si="26"/>
        <v>1.2164594125584303</v>
      </c>
      <c r="W58" s="432" t="str">
        <f t="shared" si="27"/>
        <v>(2,2,1,1,1,3); Calculation with average annual yield and share of technologies. Lifetime: 30a.</v>
      </c>
      <c r="X58" s="435">
        <v>2.5317389611051199E-8</v>
      </c>
      <c r="Y58" s="95">
        <v>1</v>
      </c>
      <c r="Z58" s="96">
        <f t="shared" si="29"/>
        <v>1.2164594125584303</v>
      </c>
      <c r="AA58" s="432" t="str">
        <f t="shared" si="30"/>
        <v>(2,2,1,1,1,3); Calculation with average annual yield and share of technologies. Lifetime: 30a.</v>
      </c>
      <c r="AB58" s="435">
        <v>4.2138686075279402E-8</v>
      </c>
      <c r="AC58" s="95">
        <v>1</v>
      </c>
      <c r="AD58" s="96">
        <f t="shared" si="32"/>
        <v>1.2164594125584303</v>
      </c>
      <c r="AE58" s="432" t="str">
        <f t="shared" si="33"/>
        <v>(2,2,1,1,1,3); Calculation with average annual yield and share of technologies. Lifetime: 30a.</v>
      </c>
      <c r="AF58" s="435">
        <v>2.0679719789977E-8</v>
      </c>
      <c r="AG58" s="95">
        <v>1</v>
      </c>
      <c r="AH58" s="96">
        <f t="shared" si="35"/>
        <v>1.2164594125584303</v>
      </c>
      <c r="AI58" s="432" t="str">
        <f t="shared" si="36"/>
        <v>(2,2,1,1,1,3); Calculation with average annual yield and share of technologies. Lifetime: 30a.</v>
      </c>
      <c r="AJ58" s="435">
        <v>3.12915110423409E-8</v>
      </c>
      <c r="AK58" s="95">
        <v>1</v>
      </c>
      <c r="AL58" s="96">
        <f t="shared" si="38"/>
        <v>1.2164594125584303</v>
      </c>
      <c r="AM58" s="432" t="str">
        <f t="shared" si="39"/>
        <v>(2,2,1,1,1,3); Calculation with average annual yield and share of technologies. Lifetime: 30a.</v>
      </c>
      <c r="AN58" s="435">
        <v>1.7933589841245901E-8</v>
      </c>
      <c r="AO58" s="95">
        <v>1</v>
      </c>
      <c r="AP58" s="96">
        <f t="shared" si="41"/>
        <v>1.2164594125584303</v>
      </c>
      <c r="AQ58" s="432" t="str">
        <f t="shared" si="42"/>
        <v>(2,2,1,1,1,3); Calculation with average annual yield and share of technologies. Lifetime: 30a.</v>
      </c>
      <c r="AR58" s="435">
        <v>2.1756112797027E-8</v>
      </c>
      <c r="AS58" s="95">
        <v>1</v>
      </c>
      <c r="AT58" s="96">
        <f t="shared" si="44"/>
        <v>1.2164594125584303</v>
      </c>
      <c r="AU58" s="432" t="str">
        <f t="shared" si="45"/>
        <v>(2,2,1,1,1,3); Calculation with average annual yield and share of technologies. Lifetime: 30a.</v>
      </c>
      <c r="AV58" s="435">
        <v>2.9798656864174499E-8</v>
      </c>
      <c r="AW58" s="95">
        <v>1</v>
      </c>
      <c r="AX58" s="96">
        <f t="shared" si="47"/>
        <v>1.2164594125584303</v>
      </c>
      <c r="AY58" s="432" t="str">
        <f t="shared" si="48"/>
        <v>(2,2,1,1,1,3); Calculation with average annual yield and share of technologies. Lifetime: 30a.</v>
      </c>
      <c r="AZ58" s="435">
        <v>2.5639391653970701E-8</v>
      </c>
      <c r="BA58" s="95">
        <v>1</v>
      </c>
      <c r="BB58" s="96">
        <f t="shared" si="50"/>
        <v>1.2164594125584303</v>
      </c>
      <c r="BC58" s="432" t="str">
        <f t="shared" si="51"/>
        <v>(2,2,1,1,1,3); Calculation with average annual yield and share of technologies. Lifetime: 30a.</v>
      </c>
      <c r="BD58" s="435">
        <v>2.7686515917745801E-8</v>
      </c>
      <c r="BE58" s="95">
        <v>1</v>
      </c>
      <c r="BF58" s="96">
        <f t="shared" si="53"/>
        <v>1.2164594125584303</v>
      </c>
      <c r="BG58" s="432" t="str">
        <f t="shared" si="54"/>
        <v>(2,2,1,1,1,3); Calculation with average annual yield and share of technologies. Lifetime: 30a.</v>
      </c>
      <c r="BH58" s="435">
        <v>1.9519643907664599E-8</v>
      </c>
      <c r="BI58" s="95">
        <v>1</v>
      </c>
      <c r="BJ58" s="96">
        <f t="shared" si="56"/>
        <v>1.2164594125584303</v>
      </c>
      <c r="BK58" s="432" t="str">
        <f t="shared" si="57"/>
        <v>(2,2,1,1,1,3); Calculation with average annual yield and share of technologies. Lifetime: 30a.</v>
      </c>
      <c r="BL58" s="435">
        <v>5.0552777571359299E-8</v>
      </c>
      <c r="BM58" s="95">
        <v>1</v>
      </c>
      <c r="BN58" s="96">
        <f t="shared" si="59"/>
        <v>1.2164594125584303</v>
      </c>
      <c r="BO58" s="432" t="str">
        <f t="shared" si="60"/>
        <v>(2,2,1,1,1,3); Calculation with average annual yield and share of technologies. Lifetime: 30a.</v>
      </c>
      <c r="BP58" s="435">
        <v>1.3924068779343201E-8</v>
      </c>
      <c r="BQ58" s="95">
        <v>1</v>
      </c>
      <c r="BR58" s="96">
        <f t="shared" si="62"/>
        <v>1.2164594125584303</v>
      </c>
      <c r="BS58" s="432" t="str">
        <f t="shared" si="63"/>
        <v>(2,2,1,1,1,3); Calculation with average annual yield and share of technologies. Lifetime: 30a.</v>
      </c>
      <c r="BT58" s="435">
        <v>5.5227785847343402E-9</v>
      </c>
      <c r="BU58" s="95">
        <v>1</v>
      </c>
      <c r="BV58" s="96">
        <f t="shared" si="65"/>
        <v>1.2164594125584303</v>
      </c>
      <c r="BW58" s="432" t="str">
        <f t="shared" si="66"/>
        <v>(2,2,1,1,1,3); Calculation with average annual yield and share of technologies. Lifetime: 30a.</v>
      </c>
      <c r="BX58" s="435">
        <v>4.2289520782138202E-8</v>
      </c>
      <c r="BY58" s="95">
        <v>1</v>
      </c>
      <c r="BZ58" s="96">
        <f t="shared" si="68"/>
        <v>1.2164594125584303</v>
      </c>
      <c r="CA58" s="432" t="str">
        <f t="shared" si="69"/>
        <v>(2,2,1,1,1,3); Calculation with average annual yield and share of technologies. Lifetime: 30a.</v>
      </c>
      <c r="CB58" s="435">
        <v>2.6827684211355898E-8</v>
      </c>
      <c r="CC58" s="95">
        <v>1</v>
      </c>
      <c r="CD58" s="96">
        <f t="shared" si="71"/>
        <v>1.2164594125584303</v>
      </c>
      <c r="CE58" s="432" t="str">
        <f t="shared" si="72"/>
        <v>(2,2,1,1,1,3); Calculation with average annual yield and share of technologies. Lifetime: 30a.</v>
      </c>
      <c r="CF58" s="435">
        <v>2.13471012980331E-8</v>
      </c>
      <c r="CG58" s="95">
        <v>1</v>
      </c>
      <c r="CH58" s="96">
        <f t="shared" si="74"/>
        <v>1.2164594125584303</v>
      </c>
      <c r="CI58" s="432" t="str">
        <f t="shared" si="75"/>
        <v>(2,2,1,1,1,3); Calculation with average annual yield and share of technologies. Lifetime: 30a.</v>
      </c>
      <c r="CJ58" s="505" t="s">
        <v>2040</v>
      </c>
      <c r="CK58" s="505" t="s">
        <v>2214</v>
      </c>
      <c r="CL58" s="211">
        <v>10</v>
      </c>
      <c r="CM58" s="510">
        <v>0.22616666666666699</v>
      </c>
      <c r="CN58" s="212">
        <f t="shared" si="79"/>
        <v>44.2151805453205</v>
      </c>
      <c r="CO58" s="77" t="s">
        <v>2289</v>
      </c>
      <c r="CP58" s="339">
        <v>2</v>
      </c>
      <c r="CQ58" s="339">
        <v>2</v>
      </c>
      <c r="CR58" s="339">
        <v>1</v>
      </c>
      <c r="CS58" s="339">
        <v>1</v>
      </c>
      <c r="CT58" s="339">
        <v>1</v>
      </c>
      <c r="CU58" s="339">
        <v>3</v>
      </c>
      <c r="CV58" s="104">
        <v>9</v>
      </c>
      <c r="CW58" s="104">
        <v>1.2</v>
      </c>
      <c r="CX58" s="107">
        <f t="shared" si="76"/>
        <v>1.0744244531716256</v>
      </c>
      <c r="CY58" s="107">
        <f t="shared" si="77"/>
        <v>1.2164594125584303</v>
      </c>
      <c r="CZ58" s="107" t="str">
        <f t="shared" si="78"/>
        <v>(2,2,1,1,1,3)</v>
      </c>
      <c r="DA58" s="108">
        <v>1.05</v>
      </c>
      <c r="DB58" s="108">
        <v>1.02</v>
      </c>
      <c r="DC58" s="108">
        <v>1</v>
      </c>
      <c r="DD58" s="108">
        <v>1</v>
      </c>
      <c r="DE58" s="108">
        <v>1</v>
      </c>
      <c r="DF58" s="108">
        <v>1.05</v>
      </c>
      <c r="DH58" s="208">
        <v>1.66176338793294E-3</v>
      </c>
      <c r="DI58" s="209">
        <f t="shared" si="80"/>
        <v>1002.9754421842805</v>
      </c>
      <c r="DK58" s="192">
        <v>6.0588739162617204E-3</v>
      </c>
      <c r="DL58" s="399">
        <f t="shared" si="81"/>
        <v>645.4225352112685</v>
      </c>
      <c r="DM58" s="192">
        <v>5.6563850621285799E-3</v>
      </c>
      <c r="DN58" s="399">
        <f t="shared" si="82"/>
        <v>735.37692033508017</v>
      </c>
    </row>
    <row r="59" spans="1:118" ht="24" customHeight="1" outlineLevel="1">
      <c r="A59" s="330" t="s">
        <v>1887</v>
      </c>
      <c r="B59" s="331"/>
      <c r="C59" s="88"/>
      <c r="D59" s="340">
        <v>5</v>
      </c>
      <c r="E59" s="341" t="s">
        <v>98</v>
      </c>
      <c r="F59" s="432" t="s">
        <v>1881</v>
      </c>
      <c r="G59" s="433" t="s">
        <v>93</v>
      </c>
      <c r="H59" s="434" t="s">
        <v>98</v>
      </c>
      <c r="I59" s="434" t="s">
        <v>98</v>
      </c>
      <c r="J59" s="94">
        <v>1</v>
      </c>
      <c r="K59" s="433" t="s">
        <v>144</v>
      </c>
      <c r="L59" s="435">
        <v>0</v>
      </c>
      <c r="M59" s="95">
        <v>1</v>
      </c>
      <c r="N59" s="96">
        <f t="shared" ref="N59:N87" si="83">$CY59</f>
        <v>1.2164594125584303</v>
      </c>
      <c r="O59" s="432" t="str">
        <f t="shared" ref="O59:O87" si="84">$CZ59&amp;"; "&amp;$CO59</f>
        <v>(2,2,1,1,1,3); Calculation with average annual yield and share of technologies. Lifetime: 30a.</v>
      </c>
      <c r="P59" s="435">
        <v>4.4620712093904197E-8</v>
      </c>
      <c r="Q59" s="95">
        <v>1</v>
      </c>
      <c r="R59" s="96">
        <f t="shared" ref="R59:R87" si="85">$CY59</f>
        <v>1.2164594125584303</v>
      </c>
      <c r="S59" s="432" t="str">
        <f t="shared" ref="S59:S87" si="86">$CZ59&amp;"; "&amp;$CO59</f>
        <v>(2,2,1,1,1,3); Calculation with average annual yield and share of technologies. Lifetime: 30a.</v>
      </c>
      <c r="T59" s="435">
        <v>2.51299624234245E-8</v>
      </c>
      <c r="U59" s="95">
        <v>1</v>
      </c>
      <c r="V59" s="96">
        <f t="shared" ref="V59:V87" si="87">$CY59</f>
        <v>1.2164594125584303</v>
      </c>
      <c r="W59" s="432" t="str">
        <f t="shared" ref="W59:W87" si="88">$CZ59&amp;"; "&amp;$CO59</f>
        <v>(2,2,1,1,1,3); Calculation with average annual yield and share of technologies. Lifetime: 30a.</v>
      </c>
      <c r="X59" s="435">
        <v>2.5317389611051199E-8</v>
      </c>
      <c r="Y59" s="95">
        <v>1</v>
      </c>
      <c r="Z59" s="96">
        <f t="shared" ref="Z59:Z87" si="89">$CY59</f>
        <v>1.2164594125584303</v>
      </c>
      <c r="AA59" s="432" t="str">
        <f t="shared" ref="AA59:AA87" si="90">$CZ59&amp;"; "&amp;$CO59</f>
        <v>(2,2,1,1,1,3); Calculation with average annual yield and share of technologies. Lifetime: 30a.</v>
      </c>
      <c r="AB59" s="435">
        <v>4.2138686075279402E-8</v>
      </c>
      <c r="AC59" s="95">
        <v>1</v>
      </c>
      <c r="AD59" s="96">
        <f t="shared" ref="AD59:AD87" si="91">$CY59</f>
        <v>1.2164594125584303</v>
      </c>
      <c r="AE59" s="432" t="str">
        <f t="shared" ref="AE59:AE87" si="92">$CZ59&amp;"; "&amp;$CO59</f>
        <v>(2,2,1,1,1,3); Calculation with average annual yield and share of technologies. Lifetime: 30a.</v>
      </c>
      <c r="AF59" s="435">
        <v>2.0679719789977E-8</v>
      </c>
      <c r="AG59" s="95">
        <v>1</v>
      </c>
      <c r="AH59" s="96">
        <f t="shared" ref="AH59:AH87" si="93">$CY59</f>
        <v>1.2164594125584303</v>
      </c>
      <c r="AI59" s="432" t="str">
        <f t="shared" ref="AI59:AI87" si="94">$CZ59&amp;"; "&amp;$CO59</f>
        <v>(2,2,1,1,1,3); Calculation with average annual yield and share of technologies. Lifetime: 30a.</v>
      </c>
      <c r="AJ59" s="435">
        <v>3.12915110423409E-8</v>
      </c>
      <c r="AK59" s="95">
        <v>1</v>
      </c>
      <c r="AL59" s="96">
        <f t="shared" ref="AL59:AL87" si="95">$CY59</f>
        <v>1.2164594125584303</v>
      </c>
      <c r="AM59" s="432" t="str">
        <f t="shared" ref="AM59:AM87" si="96">$CZ59&amp;"; "&amp;$CO59</f>
        <v>(2,2,1,1,1,3); Calculation with average annual yield and share of technologies. Lifetime: 30a.</v>
      </c>
      <c r="AN59" s="435">
        <v>1.7933589841245901E-8</v>
      </c>
      <c r="AO59" s="95">
        <v>1</v>
      </c>
      <c r="AP59" s="96">
        <f t="shared" ref="AP59:AP87" si="97">$CY59</f>
        <v>1.2164594125584303</v>
      </c>
      <c r="AQ59" s="432" t="str">
        <f t="shared" ref="AQ59:AQ87" si="98">$CZ59&amp;"; "&amp;$CO59</f>
        <v>(2,2,1,1,1,3); Calculation with average annual yield and share of technologies. Lifetime: 30a.</v>
      </c>
      <c r="AR59" s="435">
        <v>2.1756112797027E-8</v>
      </c>
      <c r="AS59" s="95">
        <v>1</v>
      </c>
      <c r="AT59" s="96">
        <f t="shared" ref="AT59:AT87" si="99">$CY59</f>
        <v>1.2164594125584303</v>
      </c>
      <c r="AU59" s="432" t="str">
        <f t="shared" ref="AU59:AU87" si="100">$CZ59&amp;"; "&amp;$CO59</f>
        <v>(2,2,1,1,1,3); Calculation with average annual yield and share of technologies. Lifetime: 30a.</v>
      </c>
      <c r="AV59" s="435">
        <v>2.9798656864174499E-8</v>
      </c>
      <c r="AW59" s="95">
        <v>1</v>
      </c>
      <c r="AX59" s="96">
        <f t="shared" ref="AX59:AX87" si="101">$CY59</f>
        <v>1.2164594125584303</v>
      </c>
      <c r="AY59" s="432" t="str">
        <f t="shared" ref="AY59:AY87" si="102">$CZ59&amp;"; "&amp;$CO59</f>
        <v>(2,2,1,1,1,3); Calculation with average annual yield and share of technologies. Lifetime: 30a.</v>
      </c>
      <c r="AZ59" s="435">
        <v>2.5639391653970701E-8</v>
      </c>
      <c r="BA59" s="95">
        <v>1</v>
      </c>
      <c r="BB59" s="96">
        <f t="shared" ref="BB59:BB87" si="103">$CY59</f>
        <v>1.2164594125584303</v>
      </c>
      <c r="BC59" s="432" t="str">
        <f t="shared" ref="BC59:BC87" si="104">$CZ59&amp;"; "&amp;$CO59</f>
        <v>(2,2,1,1,1,3); Calculation with average annual yield and share of technologies. Lifetime: 30a.</v>
      </c>
      <c r="BD59" s="435">
        <v>2.7686515917745801E-8</v>
      </c>
      <c r="BE59" s="95">
        <v>1</v>
      </c>
      <c r="BF59" s="96">
        <f t="shared" ref="BF59:BF87" si="105">$CY59</f>
        <v>1.2164594125584303</v>
      </c>
      <c r="BG59" s="432" t="str">
        <f t="shared" ref="BG59:BG87" si="106">$CZ59&amp;"; "&amp;$CO59</f>
        <v>(2,2,1,1,1,3); Calculation with average annual yield and share of technologies. Lifetime: 30a.</v>
      </c>
      <c r="BH59" s="435">
        <v>1.9519643907664599E-8</v>
      </c>
      <c r="BI59" s="95">
        <v>1</v>
      </c>
      <c r="BJ59" s="96">
        <f t="shared" ref="BJ59:BJ87" si="107">$CY59</f>
        <v>1.2164594125584303</v>
      </c>
      <c r="BK59" s="432" t="str">
        <f t="shared" ref="BK59:BK87" si="108">$CZ59&amp;"; "&amp;$CO59</f>
        <v>(2,2,1,1,1,3); Calculation with average annual yield and share of technologies. Lifetime: 30a.</v>
      </c>
      <c r="BL59" s="435">
        <v>5.0552777571359299E-8</v>
      </c>
      <c r="BM59" s="95">
        <v>1</v>
      </c>
      <c r="BN59" s="96">
        <f t="shared" ref="BN59:BN87" si="109">$CY59</f>
        <v>1.2164594125584303</v>
      </c>
      <c r="BO59" s="432" t="str">
        <f t="shared" ref="BO59:BO87" si="110">$CZ59&amp;"; "&amp;$CO59</f>
        <v>(2,2,1,1,1,3); Calculation with average annual yield and share of technologies. Lifetime: 30a.</v>
      </c>
      <c r="BP59" s="435">
        <v>1.3924068779343201E-8</v>
      </c>
      <c r="BQ59" s="95">
        <v>1</v>
      </c>
      <c r="BR59" s="96">
        <f t="shared" ref="BR59:BR87" si="111">$CY59</f>
        <v>1.2164594125584303</v>
      </c>
      <c r="BS59" s="432" t="str">
        <f t="shared" ref="BS59:BS87" si="112">$CZ59&amp;"; "&amp;$CO59</f>
        <v>(2,2,1,1,1,3); Calculation with average annual yield and share of technologies. Lifetime: 30a.</v>
      </c>
      <c r="BT59" s="435">
        <v>5.5227785847343402E-9</v>
      </c>
      <c r="BU59" s="95">
        <v>1</v>
      </c>
      <c r="BV59" s="96">
        <f t="shared" ref="BV59:BV87" si="113">$CY59</f>
        <v>1.2164594125584303</v>
      </c>
      <c r="BW59" s="432" t="str">
        <f t="shared" ref="BW59:BW87" si="114">$CZ59&amp;"; "&amp;$CO59</f>
        <v>(2,2,1,1,1,3); Calculation with average annual yield and share of technologies. Lifetime: 30a.</v>
      </c>
      <c r="BX59" s="435">
        <v>4.2289520782138202E-8</v>
      </c>
      <c r="BY59" s="95">
        <v>1</v>
      </c>
      <c r="BZ59" s="96">
        <f t="shared" ref="BZ59:BZ87" si="115">$CY59</f>
        <v>1.2164594125584303</v>
      </c>
      <c r="CA59" s="432" t="str">
        <f t="shared" ref="CA59:CA87" si="116">$CZ59&amp;"; "&amp;$CO59</f>
        <v>(2,2,1,1,1,3); Calculation with average annual yield and share of technologies. Lifetime: 30a.</v>
      </c>
      <c r="CB59" s="435">
        <v>2.6827684211355898E-8</v>
      </c>
      <c r="CC59" s="95">
        <v>1</v>
      </c>
      <c r="CD59" s="96">
        <f t="shared" ref="CD59:CD87" si="117">$CY59</f>
        <v>1.2164594125584303</v>
      </c>
      <c r="CE59" s="432" t="str">
        <f t="shared" ref="CE59:CE87" si="118">$CZ59&amp;"; "&amp;$CO59</f>
        <v>(2,2,1,1,1,3); Calculation with average annual yield and share of technologies. Lifetime: 30a.</v>
      </c>
      <c r="CF59" s="435">
        <v>2.13471012980331E-8</v>
      </c>
      <c r="CG59" s="95">
        <v>1</v>
      </c>
      <c r="CH59" s="96">
        <f t="shared" ref="CH59:CH87" si="119">$CY59</f>
        <v>1.2164594125584303</v>
      </c>
      <c r="CI59" s="432" t="str">
        <f t="shared" ref="CI59:CI87" si="120">$CZ59&amp;"; "&amp;$CO59</f>
        <v>(2,2,1,1,1,3); Calculation with average annual yield and share of technologies. Lifetime: 30a.</v>
      </c>
      <c r="CJ59" s="505" t="s">
        <v>2040</v>
      </c>
      <c r="CK59" s="505" t="s">
        <v>2214</v>
      </c>
      <c r="CL59" s="211">
        <v>10</v>
      </c>
      <c r="CM59" s="510">
        <v>0.22616666666666699</v>
      </c>
      <c r="CN59" s="212">
        <f t="shared" si="79"/>
        <v>44.2151805453205</v>
      </c>
      <c r="CO59" s="77" t="s">
        <v>2289</v>
      </c>
      <c r="CP59" s="339">
        <v>2</v>
      </c>
      <c r="CQ59" s="339">
        <v>2</v>
      </c>
      <c r="CR59" s="339">
        <v>1</v>
      </c>
      <c r="CS59" s="339">
        <v>1</v>
      </c>
      <c r="CT59" s="339">
        <v>1</v>
      </c>
      <c r="CU59" s="339">
        <v>3</v>
      </c>
      <c r="CV59" s="104">
        <v>9</v>
      </c>
      <c r="CW59" s="104">
        <v>1.2</v>
      </c>
      <c r="CX59" s="107">
        <f t="shared" ref="CX59:CX87" si="121">EXP(SQRT((LN(DA59)^2)+(LN(DB59)^2)+(LN(DC59)^2)+(LN(DD59)^2)+(LN(DE59)^2)+(LN(DF59)^2)))</f>
        <v>1.0744244531716256</v>
      </c>
      <c r="CY59" s="107">
        <f t="shared" ref="CY59:CY87" si="122">EXP(SQRT((LN(DA59)^2)+(LN(DB59)^2)+(LN(DC59)^2)+(LN(DD59)^2)+(LN(DE59)^2)+(LN(DF59)^2)+LN(CW59)^2))</f>
        <v>1.2164594125584303</v>
      </c>
      <c r="CZ59" s="107" t="str">
        <f t="shared" ref="CZ59:CZ87" si="123">CONCATENATE("(",CP59,",",CQ59,",",CR59,",",CS59,",",CT59,",",CU59,")")</f>
        <v>(2,2,1,1,1,3)</v>
      </c>
      <c r="DA59" s="108">
        <v>1.05</v>
      </c>
      <c r="DB59" s="108">
        <v>1.02</v>
      </c>
      <c r="DC59" s="108">
        <v>1</v>
      </c>
      <c r="DD59" s="108">
        <v>1</v>
      </c>
      <c r="DE59" s="108">
        <v>1</v>
      </c>
      <c r="DF59" s="108">
        <v>1.05</v>
      </c>
      <c r="DH59" s="208">
        <v>1.66176338793294E-3</v>
      </c>
      <c r="DI59" s="209">
        <f t="shared" si="80"/>
        <v>1002.9754421842805</v>
      </c>
      <c r="DK59" s="192">
        <v>6.0588739162617204E-3</v>
      </c>
      <c r="DL59" s="399">
        <f t="shared" si="81"/>
        <v>645.4225352112685</v>
      </c>
      <c r="DM59" s="192">
        <v>5.6563850621285799E-3</v>
      </c>
      <c r="DN59" s="399">
        <f t="shared" si="82"/>
        <v>735.37692033508017</v>
      </c>
    </row>
    <row r="60" spans="1:118" ht="24" customHeight="1" outlineLevel="1">
      <c r="A60" s="330" t="s">
        <v>1960</v>
      </c>
      <c r="B60" s="331"/>
      <c r="C60" s="88"/>
      <c r="D60" s="340">
        <v>5</v>
      </c>
      <c r="E60" s="341" t="s">
        <v>98</v>
      </c>
      <c r="F60" s="432" t="s">
        <v>1955</v>
      </c>
      <c r="G60" s="433" t="s">
        <v>93</v>
      </c>
      <c r="H60" s="434" t="s">
        <v>98</v>
      </c>
      <c r="I60" s="434" t="s">
        <v>98</v>
      </c>
      <c r="J60" s="94">
        <v>1</v>
      </c>
      <c r="K60" s="433" t="s">
        <v>144</v>
      </c>
      <c r="L60" s="435">
        <v>9.9590817335994895E-8</v>
      </c>
      <c r="M60" s="95">
        <v>1</v>
      </c>
      <c r="N60" s="96">
        <f t="shared" si="83"/>
        <v>1.2164594125584303</v>
      </c>
      <c r="O60" s="432" t="str">
        <f t="shared" si="84"/>
        <v>(2,2,1,1,1,3); Calculation with average annual yield and share of technologies. Lifetime: 30a.</v>
      </c>
      <c r="P60" s="435">
        <v>1.20984259879927E-7</v>
      </c>
      <c r="Q60" s="95">
        <v>1</v>
      </c>
      <c r="R60" s="96">
        <f t="shared" si="85"/>
        <v>1.2164594125584303</v>
      </c>
      <c r="S60" s="432" t="str">
        <f t="shared" si="86"/>
        <v>(2,2,1,1,1,3); Calculation with average annual yield and share of technologies. Lifetime: 30a.</v>
      </c>
      <c r="T60" s="435">
        <v>6.8137189254398994E-8</v>
      </c>
      <c r="U60" s="95">
        <v>1</v>
      </c>
      <c r="V60" s="96">
        <f t="shared" si="87"/>
        <v>1.2164594125584303</v>
      </c>
      <c r="W60" s="432" t="str">
        <f t="shared" si="88"/>
        <v>(2,2,1,1,1,3); Calculation with average annual yield and share of technologies. Lifetime: 30a.</v>
      </c>
      <c r="X60" s="435">
        <v>6.8645377907432598E-8</v>
      </c>
      <c r="Y60" s="95">
        <v>1</v>
      </c>
      <c r="Z60" s="96">
        <f t="shared" si="89"/>
        <v>1.2164594125584303</v>
      </c>
      <c r="AA60" s="432" t="str">
        <f t="shared" si="90"/>
        <v>(2,2,1,1,1,3); Calculation with average annual yield and share of technologies. Lifetime: 30a.</v>
      </c>
      <c r="AB60" s="435">
        <v>1.1425451338385901E-7</v>
      </c>
      <c r="AC60" s="95">
        <v>1</v>
      </c>
      <c r="AD60" s="96">
        <f t="shared" si="91"/>
        <v>1.2164594125584303</v>
      </c>
      <c r="AE60" s="432" t="str">
        <f t="shared" si="92"/>
        <v>(2,2,1,1,1,3); Calculation with average annual yield and share of technologies. Lifetime: 30a.</v>
      </c>
      <c r="AF60" s="435">
        <v>5.60708351773807E-8</v>
      </c>
      <c r="AG60" s="95">
        <v>1</v>
      </c>
      <c r="AH60" s="96">
        <f t="shared" si="93"/>
        <v>1.2164594125584303</v>
      </c>
      <c r="AI60" s="432" t="str">
        <f t="shared" si="94"/>
        <v>(2,2,1,1,1,3); Calculation with average annual yield and share of technologies. Lifetime: 30a.</v>
      </c>
      <c r="AJ60" s="435">
        <v>8.4843565383157404E-8</v>
      </c>
      <c r="AK60" s="95">
        <v>1</v>
      </c>
      <c r="AL60" s="96">
        <f t="shared" si="95"/>
        <v>1.2164594125584303</v>
      </c>
      <c r="AM60" s="432" t="str">
        <f t="shared" si="96"/>
        <v>(2,2,1,1,1,3); Calculation with average annual yield and share of technologies. Lifetime: 30a.</v>
      </c>
      <c r="AN60" s="435">
        <v>4.86249992910742E-8</v>
      </c>
      <c r="AO60" s="95">
        <v>1</v>
      </c>
      <c r="AP60" s="96">
        <f t="shared" si="97"/>
        <v>1.2164594125584303</v>
      </c>
      <c r="AQ60" s="432" t="str">
        <f t="shared" si="98"/>
        <v>(2,2,1,1,1,3); Calculation with average annual yield and share of technologies. Lifetime: 30a.</v>
      </c>
      <c r="AR60" s="435">
        <v>5.8989359001559201E-8</v>
      </c>
      <c r="AS60" s="95">
        <v>1</v>
      </c>
      <c r="AT60" s="96">
        <f t="shared" si="99"/>
        <v>1.2164594125584303</v>
      </c>
      <c r="AU60" s="432" t="str">
        <f t="shared" si="100"/>
        <v>(2,2,1,1,1,3); Calculation with average annual yield and share of technologies. Lifetime: 30a.</v>
      </c>
      <c r="AV60" s="435">
        <v>8.0795851902609604E-8</v>
      </c>
      <c r="AW60" s="95">
        <v>1</v>
      </c>
      <c r="AX60" s="96">
        <f t="shared" si="101"/>
        <v>1.2164594125584303</v>
      </c>
      <c r="AY60" s="432" t="str">
        <f t="shared" si="102"/>
        <v>(2,2,1,1,1,3); Calculation with average annual yield and share of technologies. Lifetime: 30a.</v>
      </c>
      <c r="AZ60" s="435">
        <v>6.9518451801019202E-8</v>
      </c>
      <c r="BA60" s="95">
        <v>1</v>
      </c>
      <c r="BB60" s="96">
        <f t="shared" si="103"/>
        <v>1.2164594125584303</v>
      </c>
      <c r="BC60" s="432" t="str">
        <f t="shared" si="104"/>
        <v>(2,2,1,1,1,3); Calculation with average annual yield and share of technologies. Lifetime: 30a.</v>
      </c>
      <c r="BD60" s="435">
        <v>7.5069008982039806E-8</v>
      </c>
      <c r="BE60" s="95">
        <v>1</v>
      </c>
      <c r="BF60" s="96">
        <f t="shared" si="105"/>
        <v>1.2164594125584303</v>
      </c>
      <c r="BG60" s="432" t="str">
        <f t="shared" si="106"/>
        <v>(2,2,1,1,1,3); Calculation with average annual yield and share of technologies. Lifetime: 30a.</v>
      </c>
      <c r="BH60" s="435">
        <v>5.29254142407817E-8</v>
      </c>
      <c r="BI60" s="95">
        <v>1</v>
      </c>
      <c r="BJ60" s="96">
        <f t="shared" si="107"/>
        <v>1.2164594125584303</v>
      </c>
      <c r="BK60" s="432" t="str">
        <f t="shared" si="108"/>
        <v>(2,2,1,1,1,3); Calculation with average annual yield and share of technologies. Lifetime: 30a.</v>
      </c>
      <c r="BL60" s="435">
        <v>1.37068417161837E-7</v>
      </c>
      <c r="BM60" s="95">
        <v>1</v>
      </c>
      <c r="BN60" s="96">
        <f t="shared" si="109"/>
        <v>1.2164594125584303</v>
      </c>
      <c r="BO60" s="432" t="str">
        <f t="shared" si="110"/>
        <v>(2,2,1,1,1,3); Calculation with average annual yield and share of technologies. Lifetime: 30a.</v>
      </c>
      <c r="BP60" s="435">
        <v>3.7753614335890099E-8</v>
      </c>
      <c r="BQ60" s="95">
        <v>1</v>
      </c>
      <c r="BR60" s="96">
        <f t="shared" si="111"/>
        <v>1.2164594125584303</v>
      </c>
      <c r="BS60" s="432" t="str">
        <f t="shared" si="112"/>
        <v>(2,2,1,1,1,3); Calculation with average annual yield and share of technologies. Lifetime: 30a.</v>
      </c>
      <c r="BT60" s="435">
        <v>1.4974419909494801E-8</v>
      </c>
      <c r="BU60" s="95">
        <v>1</v>
      </c>
      <c r="BV60" s="96">
        <f t="shared" si="113"/>
        <v>1.2164594125584303</v>
      </c>
      <c r="BW60" s="432" t="str">
        <f t="shared" si="114"/>
        <v>(2,2,1,1,1,3); Calculation with average annual yield and share of technologies. Lifetime: 30a.</v>
      </c>
      <c r="BX60" s="435">
        <v>1.14663485462455E-7</v>
      </c>
      <c r="BY60" s="95">
        <v>1</v>
      </c>
      <c r="BZ60" s="96">
        <f t="shared" si="115"/>
        <v>1.2164594125584303</v>
      </c>
      <c r="CA60" s="432" t="str">
        <f t="shared" si="116"/>
        <v>(2,2,1,1,1,3); Calculation with average annual yield and share of technologies. Lifetime: 30a.</v>
      </c>
      <c r="CB60" s="435">
        <v>7.2740379216106705E-8</v>
      </c>
      <c r="CC60" s="95">
        <v>1</v>
      </c>
      <c r="CD60" s="96">
        <f t="shared" si="117"/>
        <v>1.2164594125584303</v>
      </c>
      <c r="CE60" s="432" t="str">
        <f t="shared" si="118"/>
        <v>(2,2,1,1,1,3); Calculation with average annual yield and share of technologies. Lifetime: 30a.</v>
      </c>
      <c r="CF60" s="435">
        <v>5.78803683296035E-8</v>
      </c>
      <c r="CG60" s="95">
        <v>1</v>
      </c>
      <c r="CH60" s="96">
        <f t="shared" si="119"/>
        <v>1.2164594125584303</v>
      </c>
      <c r="CI60" s="432" t="str">
        <f t="shared" si="120"/>
        <v>(2,2,1,1,1,3); Calculation with average annual yield and share of technologies. Lifetime: 30a.</v>
      </c>
      <c r="CJ60" s="505" t="s">
        <v>2039</v>
      </c>
      <c r="CK60" s="505" t="s">
        <v>4</v>
      </c>
      <c r="CL60" s="211">
        <v>10</v>
      </c>
      <c r="CM60" s="510">
        <v>0.18</v>
      </c>
      <c r="CN60" s="212">
        <f t="shared" si="79"/>
        <v>55.555555555555557</v>
      </c>
      <c r="CO60" s="77" t="s">
        <v>2289</v>
      </c>
      <c r="CP60" s="339">
        <v>2</v>
      </c>
      <c r="CQ60" s="339">
        <v>2</v>
      </c>
      <c r="CR60" s="339">
        <v>1</v>
      </c>
      <c r="CS60" s="339">
        <v>1</v>
      </c>
      <c r="CT60" s="339">
        <v>1</v>
      </c>
      <c r="CU60" s="339">
        <v>3</v>
      </c>
      <c r="CV60" s="104">
        <v>9</v>
      </c>
      <c r="CW60" s="104">
        <v>1.2</v>
      </c>
      <c r="CX60" s="107">
        <f t="shared" si="121"/>
        <v>1.0744244531716256</v>
      </c>
      <c r="CY60" s="107">
        <f t="shared" si="122"/>
        <v>1.2164594125584303</v>
      </c>
      <c r="CZ60" s="107" t="str">
        <f t="shared" si="123"/>
        <v>(2,2,1,1,1,3)</v>
      </c>
      <c r="DA60" s="108">
        <v>1.05</v>
      </c>
      <c r="DB60" s="108">
        <v>1.02</v>
      </c>
      <c r="DC60" s="108">
        <v>1</v>
      </c>
      <c r="DD60" s="108">
        <v>1</v>
      </c>
      <c r="DE60" s="108">
        <v>1</v>
      </c>
      <c r="DF60" s="108">
        <v>1.05</v>
      </c>
      <c r="DH60" s="208">
        <v>6.4367037557908702E-3</v>
      </c>
      <c r="DI60" s="209">
        <f t="shared" si="80"/>
        <v>1432.8220602632632</v>
      </c>
      <c r="DK60" s="192">
        <v>2.3468549599697301E-2</v>
      </c>
      <c r="DL60" s="399">
        <f t="shared" si="81"/>
        <v>922.03219315895331</v>
      </c>
      <c r="DM60" s="192">
        <v>2.1909542139384099E-2</v>
      </c>
      <c r="DN60" s="399">
        <f t="shared" si="82"/>
        <v>1050.5384576215436</v>
      </c>
    </row>
    <row r="61" spans="1:118" ht="24" customHeight="1" outlineLevel="1">
      <c r="A61" s="330" t="s">
        <v>1888</v>
      </c>
      <c r="B61" s="331"/>
      <c r="C61" s="88"/>
      <c r="D61" s="340">
        <v>5</v>
      </c>
      <c r="E61" s="341" t="s">
        <v>98</v>
      </c>
      <c r="F61" s="432" t="s">
        <v>1882</v>
      </c>
      <c r="G61" s="433" t="s">
        <v>93</v>
      </c>
      <c r="H61" s="434" t="s">
        <v>98</v>
      </c>
      <c r="I61" s="434" t="s">
        <v>98</v>
      </c>
      <c r="J61" s="94">
        <v>1</v>
      </c>
      <c r="K61" s="433" t="s">
        <v>144</v>
      </c>
      <c r="L61" s="435">
        <v>4.62804386443742E-7</v>
      </c>
      <c r="M61" s="95">
        <v>1</v>
      </c>
      <c r="N61" s="96">
        <f t="shared" si="83"/>
        <v>1.2164594125584303</v>
      </c>
      <c r="O61" s="432" t="str">
        <f t="shared" si="84"/>
        <v>(2,2,1,1,1,3); Calculation with average annual yield and share of technologies. Lifetime: 30a.</v>
      </c>
      <c r="P61" s="435">
        <v>5.6222097238319203E-7</v>
      </c>
      <c r="Q61" s="95">
        <v>1</v>
      </c>
      <c r="R61" s="96">
        <f t="shared" si="85"/>
        <v>1.2164594125584303</v>
      </c>
      <c r="S61" s="432" t="str">
        <f t="shared" si="86"/>
        <v>(2,2,1,1,1,3); Calculation with average annual yield and share of technologies. Lifetime: 30a.</v>
      </c>
      <c r="T61" s="435">
        <v>3.1663752653514799E-7</v>
      </c>
      <c r="U61" s="95">
        <v>1</v>
      </c>
      <c r="V61" s="96">
        <f t="shared" si="87"/>
        <v>1.2164594125584303</v>
      </c>
      <c r="W61" s="432" t="str">
        <f t="shared" si="88"/>
        <v>(2,2,1,1,1,3); Calculation with average annual yield and share of technologies. Lifetime: 30a.</v>
      </c>
      <c r="X61" s="435">
        <v>3.1899910909924498E-7</v>
      </c>
      <c r="Y61" s="95">
        <v>1</v>
      </c>
      <c r="Z61" s="96">
        <f t="shared" si="89"/>
        <v>1.2164594125584303</v>
      </c>
      <c r="AA61" s="432" t="str">
        <f t="shared" si="90"/>
        <v>(2,2,1,1,1,3); Calculation with average annual yield and share of technologies. Lifetime: 30a.</v>
      </c>
      <c r="AB61" s="435">
        <v>5.3094744454852098E-7</v>
      </c>
      <c r="AC61" s="95">
        <v>1</v>
      </c>
      <c r="AD61" s="96">
        <f t="shared" si="91"/>
        <v>1.2164594125584303</v>
      </c>
      <c r="AE61" s="432" t="str">
        <f t="shared" si="92"/>
        <v>(2,2,1,1,1,3); Calculation with average annual yield and share of technologies. Lifetime: 30a.</v>
      </c>
      <c r="AF61" s="435">
        <v>2.6056446935371001E-7</v>
      </c>
      <c r="AG61" s="95">
        <v>1</v>
      </c>
      <c r="AH61" s="96">
        <f t="shared" si="93"/>
        <v>1.2164594125584303</v>
      </c>
      <c r="AI61" s="432" t="str">
        <f t="shared" si="94"/>
        <v>(2,2,1,1,1,3); Calculation with average annual yield and share of technologies. Lifetime: 30a.</v>
      </c>
      <c r="AJ61" s="435">
        <v>3.94273039133496E-7</v>
      </c>
      <c r="AK61" s="95">
        <v>1</v>
      </c>
      <c r="AL61" s="96">
        <f t="shared" si="95"/>
        <v>1.2164594125584303</v>
      </c>
      <c r="AM61" s="432" t="str">
        <f t="shared" si="96"/>
        <v>(2,2,1,1,1,3); Calculation with average annual yield and share of technologies. Lifetime: 30a.</v>
      </c>
      <c r="AN61" s="435">
        <v>2.25963231999698E-7</v>
      </c>
      <c r="AO61" s="95">
        <v>1</v>
      </c>
      <c r="AP61" s="96">
        <f t="shared" si="97"/>
        <v>1.2164594125584303</v>
      </c>
      <c r="AQ61" s="432" t="str">
        <f t="shared" si="98"/>
        <v>(2,2,1,1,1,3); Calculation with average annual yield and share of technologies. Lifetime: 30a.</v>
      </c>
      <c r="AR61" s="435">
        <v>2.7412702124254002E-7</v>
      </c>
      <c r="AS61" s="95">
        <v>1</v>
      </c>
      <c r="AT61" s="96">
        <f t="shared" si="99"/>
        <v>1.2164594125584303</v>
      </c>
      <c r="AU61" s="432" t="str">
        <f t="shared" si="100"/>
        <v>(2,2,1,1,1,3); Calculation with average annual yield and share of technologies. Lifetime: 30a.</v>
      </c>
      <c r="AV61" s="435">
        <v>3.7546307648859798E-7</v>
      </c>
      <c r="AW61" s="95">
        <v>1</v>
      </c>
      <c r="AX61" s="96">
        <f t="shared" si="101"/>
        <v>1.2164594125584303</v>
      </c>
      <c r="AY61" s="432" t="str">
        <f t="shared" si="102"/>
        <v>(2,2,1,1,1,3); Calculation with average annual yield and share of technologies. Lifetime: 30a.</v>
      </c>
      <c r="AZ61" s="435">
        <v>3.2305633484002902E-7</v>
      </c>
      <c r="BA61" s="95">
        <v>1</v>
      </c>
      <c r="BB61" s="96">
        <f t="shared" si="103"/>
        <v>1.2164594125584303</v>
      </c>
      <c r="BC61" s="432" t="str">
        <f t="shared" si="104"/>
        <v>(2,2,1,1,1,3); Calculation with average annual yield and share of technologies. Lifetime: 30a.</v>
      </c>
      <c r="BD61" s="435">
        <v>3.4885010056359698E-7</v>
      </c>
      <c r="BE61" s="95">
        <v>1</v>
      </c>
      <c r="BF61" s="96">
        <f t="shared" si="105"/>
        <v>1.2164594125584303</v>
      </c>
      <c r="BG61" s="432" t="str">
        <f t="shared" si="106"/>
        <v>(2,2,1,1,1,3); Calculation with average annual yield and share of technologies. Lifetime: 30a.</v>
      </c>
      <c r="BH61" s="435">
        <v>2.4594751323657401E-7</v>
      </c>
      <c r="BI61" s="95">
        <v>1</v>
      </c>
      <c r="BJ61" s="96">
        <f t="shared" si="107"/>
        <v>1.2164594125584303</v>
      </c>
      <c r="BK61" s="432" t="str">
        <f t="shared" si="108"/>
        <v>(2,2,1,1,1,3); Calculation with average annual yield and share of technologies. Lifetime: 30a.</v>
      </c>
      <c r="BL61" s="435">
        <v>6.3696499739912698E-7</v>
      </c>
      <c r="BM61" s="95">
        <v>1</v>
      </c>
      <c r="BN61" s="96">
        <f t="shared" si="109"/>
        <v>1.2164594125584303</v>
      </c>
      <c r="BO61" s="432" t="str">
        <f t="shared" si="110"/>
        <v>(2,2,1,1,1,3); Calculation with average annual yield and share of technologies. Lifetime: 30a.</v>
      </c>
      <c r="BP61" s="435">
        <v>1.7544326661972499E-7</v>
      </c>
      <c r="BQ61" s="95">
        <v>1</v>
      </c>
      <c r="BR61" s="96">
        <f t="shared" si="111"/>
        <v>1.2164594125584303</v>
      </c>
      <c r="BS61" s="432" t="str">
        <f t="shared" si="112"/>
        <v>(2,2,1,1,1,3); Calculation with average annual yield and share of technologies. Lifetime: 30a.</v>
      </c>
      <c r="BT61" s="435">
        <v>6.9587010167652394E-8</v>
      </c>
      <c r="BU61" s="95">
        <v>1</v>
      </c>
      <c r="BV61" s="96">
        <f t="shared" si="113"/>
        <v>1.2164594125584303</v>
      </c>
      <c r="BW61" s="432" t="str">
        <f t="shared" si="114"/>
        <v>(2,2,1,1,1,3); Calculation with average annual yield and share of technologies. Lifetime: 30a.</v>
      </c>
      <c r="BX61" s="435">
        <v>5.3284796185494003E-7</v>
      </c>
      <c r="BY61" s="95">
        <v>1</v>
      </c>
      <c r="BZ61" s="96">
        <f t="shared" si="115"/>
        <v>1.2164594125584303</v>
      </c>
      <c r="CA61" s="432" t="str">
        <f t="shared" si="116"/>
        <v>(2,2,1,1,1,3); Calculation with average annual yield and share of technologies. Lifetime: 30a.</v>
      </c>
      <c r="CB61" s="435">
        <v>3.3802882106308498E-7</v>
      </c>
      <c r="CC61" s="95">
        <v>1</v>
      </c>
      <c r="CD61" s="96">
        <f t="shared" si="117"/>
        <v>1.2164594125584303</v>
      </c>
      <c r="CE61" s="432" t="str">
        <f t="shared" si="118"/>
        <v>(2,2,1,1,1,3); Calculation with average annual yield and share of technologies. Lifetime: 30a.</v>
      </c>
      <c r="CF61" s="435">
        <v>2.68973476355218E-7</v>
      </c>
      <c r="CG61" s="95">
        <v>1</v>
      </c>
      <c r="CH61" s="96">
        <f t="shared" si="119"/>
        <v>1.2164594125584303</v>
      </c>
      <c r="CI61" s="432" t="str">
        <f t="shared" si="120"/>
        <v>(2,2,1,1,1,3); Calculation with average annual yield and share of technologies. Lifetime: 30a.</v>
      </c>
      <c r="CJ61" s="505" t="s">
        <v>2039</v>
      </c>
      <c r="CK61" s="505" t="s">
        <v>2214</v>
      </c>
      <c r="CL61" s="211">
        <v>10</v>
      </c>
      <c r="CM61" s="510">
        <v>0.22616666666666699</v>
      </c>
      <c r="CN61" s="212">
        <f t="shared" si="79"/>
        <v>44.2151805453205</v>
      </c>
      <c r="CO61" s="77" t="s">
        <v>2289</v>
      </c>
      <c r="CP61" s="339">
        <v>2</v>
      </c>
      <c r="CQ61" s="339">
        <v>2</v>
      </c>
      <c r="CR61" s="339">
        <v>1</v>
      </c>
      <c r="CS61" s="339">
        <v>1</v>
      </c>
      <c r="CT61" s="339">
        <v>1</v>
      </c>
      <c r="CU61" s="339">
        <v>3</v>
      </c>
      <c r="CV61" s="104">
        <v>9</v>
      </c>
      <c r="CW61" s="104">
        <v>1.2</v>
      </c>
      <c r="CX61" s="107">
        <f t="shared" si="121"/>
        <v>1.0744244531716256</v>
      </c>
      <c r="CY61" s="107">
        <f t="shared" si="122"/>
        <v>1.2164594125584303</v>
      </c>
      <c r="CZ61" s="107" t="str">
        <f t="shared" si="123"/>
        <v>(2,2,1,1,1,3)</v>
      </c>
      <c r="DA61" s="108">
        <v>1.05</v>
      </c>
      <c r="DB61" s="108">
        <v>1.02</v>
      </c>
      <c r="DC61" s="108">
        <v>1</v>
      </c>
      <c r="DD61" s="108">
        <v>1</v>
      </c>
      <c r="DE61" s="108">
        <v>1</v>
      </c>
      <c r="DF61" s="108">
        <v>1.05</v>
      </c>
      <c r="DH61" s="208">
        <v>2.9911740982792801E-2</v>
      </c>
      <c r="DI61" s="209">
        <f t="shared" si="80"/>
        <v>1432.8220602632584</v>
      </c>
      <c r="DK61" s="192">
        <v>0.109059730492711</v>
      </c>
      <c r="DL61" s="399">
        <f t="shared" si="81"/>
        <v>922.03219315895387</v>
      </c>
      <c r="DM61" s="192">
        <v>0.10181493111831399</v>
      </c>
      <c r="DN61" s="399">
        <f t="shared" si="82"/>
        <v>1050.5384576215447</v>
      </c>
    </row>
    <row r="62" spans="1:118" ht="24" customHeight="1" outlineLevel="1">
      <c r="A62" s="330" t="s">
        <v>2022</v>
      </c>
      <c r="B62" s="331"/>
      <c r="C62" s="88"/>
      <c r="D62" s="340">
        <v>5</v>
      </c>
      <c r="E62" s="341" t="s">
        <v>98</v>
      </c>
      <c r="F62" s="432" t="s">
        <v>2020</v>
      </c>
      <c r="G62" s="433" t="s">
        <v>93</v>
      </c>
      <c r="H62" s="434" t="s">
        <v>98</v>
      </c>
      <c r="I62" s="434" t="s">
        <v>98</v>
      </c>
      <c r="J62" s="94">
        <v>1</v>
      </c>
      <c r="K62" s="433" t="s">
        <v>144</v>
      </c>
      <c r="L62" s="435">
        <v>3.3853808450525401E-9</v>
      </c>
      <c r="M62" s="95">
        <v>1</v>
      </c>
      <c r="N62" s="96">
        <f t="shared" si="83"/>
        <v>1.2164594125584303</v>
      </c>
      <c r="O62" s="432" t="str">
        <f t="shared" si="84"/>
        <v>(2,2,1,1,1,3); Calculation with average annual yield and share of technologies. Lifetime: 30a.</v>
      </c>
      <c r="P62" s="435">
        <v>8.5937765064543404E-9</v>
      </c>
      <c r="Q62" s="95">
        <v>1</v>
      </c>
      <c r="R62" s="96">
        <f t="shared" si="85"/>
        <v>1.2164594125584303</v>
      </c>
      <c r="S62" s="432" t="str">
        <f t="shared" si="86"/>
        <v>(2,2,1,1,1,3); Calculation with average annual yield and share of technologies. Lifetime: 30a.</v>
      </c>
      <c r="T62" s="435">
        <v>4.8399335319439998E-9</v>
      </c>
      <c r="U62" s="95">
        <v>1</v>
      </c>
      <c r="V62" s="96">
        <f t="shared" si="87"/>
        <v>1.2164594125584303</v>
      </c>
      <c r="W62" s="432" t="str">
        <f t="shared" si="88"/>
        <v>(2,2,1,1,1,3); Calculation with average annual yield and share of technologies. Lifetime: 30a.</v>
      </c>
      <c r="X62" s="435">
        <v>4.8760312831028501E-9</v>
      </c>
      <c r="Y62" s="95">
        <v>1</v>
      </c>
      <c r="Z62" s="96">
        <f t="shared" si="89"/>
        <v>1.2164594125584303</v>
      </c>
      <c r="AA62" s="432" t="str">
        <f t="shared" si="90"/>
        <v>(2,2,1,1,1,3); Calculation with average annual yield and share of technologies. Lifetime: 30a.</v>
      </c>
      <c r="AB62" s="435">
        <v>8.1157478985205002E-9</v>
      </c>
      <c r="AC62" s="95">
        <v>1</v>
      </c>
      <c r="AD62" s="96">
        <f t="shared" si="91"/>
        <v>1.2164594125584303</v>
      </c>
      <c r="AE62" s="432" t="str">
        <f t="shared" si="92"/>
        <v>(2,2,1,1,1,3); Calculation with average annual yield and share of technologies. Lifetime: 30a.</v>
      </c>
      <c r="AF62" s="435">
        <v>3.9828340192590105E-9</v>
      </c>
      <c r="AG62" s="95">
        <v>1</v>
      </c>
      <c r="AH62" s="96">
        <f t="shared" si="93"/>
        <v>1.2164594125584303</v>
      </c>
      <c r="AI62" s="432" t="str">
        <f t="shared" si="94"/>
        <v>(2,2,1,1,1,3); Calculation with average annual yield and share of technologies. Lifetime: 30a.</v>
      </c>
      <c r="AJ62" s="435">
        <v>6.0266239561843001E-9</v>
      </c>
      <c r="AK62" s="95">
        <v>1</v>
      </c>
      <c r="AL62" s="96">
        <f t="shared" si="95"/>
        <v>1.2164594125584303</v>
      </c>
      <c r="AM62" s="432" t="str">
        <f t="shared" si="96"/>
        <v>(2,2,1,1,1,3); Calculation with average annual yield and share of technologies. Lifetime: 30a.</v>
      </c>
      <c r="AN62" s="435">
        <v>3.4539400162361304E-9</v>
      </c>
      <c r="AO62" s="95">
        <v>1</v>
      </c>
      <c r="AP62" s="96">
        <f t="shared" si="97"/>
        <v>1.2164594125584303</v>
      </c>
      <c r="AQ62" s="432" t="str">
        <f t="shared" si="98"/>
        <v>(2,2,1,1,1,3); Calculation with average annual yield and share of technologies. Lifetime: 30a.</v>
      </c>
      <c r="AR62" s="435">
        <v>4.1901431477245303E-9</v>
      </c>
      <c r="AS62" s="95">
        <v>1</v>
      </c>
      <c r="AT62" s="96">
        <f t="shared" si="99"/>
        <v>1.2164594125584303</v>
      </c>
      <c r="AU62" s="432" t="str">
        <f t="shared" si="100"/>
        <v>(2,2,1,1,1,3); Calculation with average annual yield and share of technologies. Lifetime: 30a.</v>
      </c>
      <c r="AV62" s="435">
        <v>5.7391060174994707E-9</v>
      </c>
      <c r="AW62" s="95">
        <v>1</v>
      </c>
      <c r="AX62" s="96">
        <f t="shared" si="101"/>
        <v>1.2164594125584303</v>
      </c>
      <c r="AY62" s="432" t="str">
        <f t="shared" si="102"/>
        <v>(2,2,1,1,1,3); Calculation with average annual yield and share of technologies. Lifetime: 30a.</v>
      </c>
      <c r="AZ62" s="435">
        <v>4.93804763070502E-9</v>
      </c>
      <c r="BA62" s="95">
        <v>1</v>
      </c>
      <c r="BB62" s="96">
        <f t="shared" si="103"/>
        <v>1.2164594125584303</v>
      </c>
      <c r="BC62" s="432" t="str">
        <f t="shared" si="104"/>
        <v>(2,2,1,1,1,3); Calculation with average annual yield and share of technologies. Lifetime: 30a.</v>
      </c>
      <c r="BD62" s="435">
        <v>5.3323158433413507E-9</v>
      </c>
      <c r="BE62" s="95">
        <v>1</v>
      </c>
      <c r="BF62" s="96">
        <f t="shared" si="105"/>
        <v>1.2164594125584303</v>
      </c>
      <c r="BG62" s="432" t="str">
        <f t="shared" si="106"/>
        <v>(2,2,1,1,1,3); Calculation with average annual yield and share of technologies. Lifetime: 30a.</v>
      </c>
      <c r="BH62" s="435">
        <v>3.7594078927969403E-9</v>
      </c>
      <c r="BI62" s="95">
        <v>1</v>
      </c>
      <c r="BJ62" s="96">
        <f t="shared" si="107"/>
        <v>1.2164594125584303</v>
      </c>
      <c r="BK62" s="432" t="str">
        <f t="shared" si="108"/>
        <v>(2,2,1,1,1,3); Calculation with average annual yield and share of technologies. Lifetime: 30a.</v>
      </c>
      <c r="BL62" s="435">
        <v>9.7362693655467415E-9</v>
      </c>
      <c r="BM62" s="95">
        <v>1</v>
      </c>
      <c r="BN62" s="96">
        <f t="shared" si="109"/>
        <v>1.2164594125584303</v>
      </c>
      <c r="BO62" s="432" t="str">
        <f t="shared" si="110"/>
        <v>(2,2,1,1,1,3); Calculation with average annual yield and share of technologies. Lifetime: 30a.</v>
      </c>
      <c r="BP62" s="435">
        <v>2.6817217730266104E-9</v>
      </c>
      <c r="BQ62" s="95">
        <v>1</v>
      </c>
      <c r="BR62" s="96">
        <f t="shared" si="111"/>
        <v>1.2164594125584303</v>
      </c>
      <c r="BS62" s="432" t="str">
        <f t="shared" si="112"/>
        <v>(2,2,1,1,1,3); Calculation with average annual yield and share of technologies. Lifetime: 30a.</v>
      </c>
      <c r="BT62" s="435">
        <v>1.06366578713393E-9</v>
      </c>
      <c r="BU62" s="95">
        <v>1</v>
      </c>
      <c r="BV62" s="96">
        <f t="shared" si="113"/>
        <v>1.2164594125584303</v>
      </c>
      <c r="BW62" s="432" t="str">
        <f t="shared" si="114"/>
        <v>(2,2,1,1,1,3); Calculation with average annual yield and share of technologies. Lifetime: 30a.</v>
      </c>
      <c r="BX62" s="435">
        <v>8.1447980794641209E-9</v>
      </c>
      <c r="BY62" s="95">
        <v>1</v>
      </c>
      <c r="BZ62" s="96">
        <f t="shared" si="115"/>
        <v>1.2164594125584303</v>
      </c>
      <c r="CA62" s="432" t="str">
        <f t="shared" si="116"/>
        <v>(2,2,1,1,1,3); Calculation with average annual yield and share of technologies. Lifetime: 30a.</v>
      </c>
      <c r="CB62" s="435">
        <v>5.1669081796124701E-9</v>
      </c>
      <c r="CC62" s="95">
        <v>1</v>
      </c>
      <c r="CD62" s="96">
        <f t="shared" si="117"/>
        <v>1.2164594125584303</v>
      </c>
      <c r="CE62" s="432" t="str">
        <f t="shared" si="118"/>
        <v>(2,2,1,1,1,3); Calculation with average annual yield and share of technologies. Lifetime: 30a.</v>
      </c>
      <c r="CF62" s="435">
        <v>4.1113691155323299E-9</v>
      </c>
      <c r="CG62" s="95">
        <v>1</v>
      </c>
      <c r="CH62" s="96">
        <f t="shared" si="119"/>
        <v>1.2164594125584303</v>
      </c>
      <c r="CI62" s="432" t="str">
        <f t="shared" si="120"/>
        <v>(2,2,1,1,1,3); Calculation with average annual yield and share of technologies. Lifetime: 30a.</v>
      </c>
      <c r="CJ62" s="505" t="s">
        <v>2039</v>
      </c>
      <c r="CK62" s="505" t="s">
        <v>2087</v>
      </c>
      <c r="CL62" s="211">
        <v>10</v>
      </c>
      <c r="CM62" s="510">
        <v>0.184</v>
      </c>
      <c r="CN62" s="212">
        <f t="shared" si="79"/>
        <v>54.347826086956523</v>
      </c>
      <c r="CO62" s="77" t="s">
        <v>2289</v>
      </c>
      <c r="CP62" s="339">
        <v>2</v>
      </c>
      <c r="CQ62" s="339">
        <v>2</v>
      </c>
      <c r="CR62" s="339">
        <v>1</v>
      </c>
      <c r="CS62" s="339">
        <v>1</v>
      </c>
      <c r="CT62" s="339">
        <v>1</v>
      </c>
      <c r="CU62" s="339">
        <v>3</v>
      </c>
      <c r="CV62" s="104">
        <v>9</v>
      </c>
      <c r="CW62" s="104">
        <v>1.2</v>
      </c>
      <c r="CX62" s="107">
        <f t="shared" si="121"/>
        <v>1.0744244531716256</v>
      </c>
      <c r="CY62" s="107">
        <f t="shared" si="122"/>
        <v>1.2164594125584303</v>
      </c>
      <c r="CZ62" s="107" t="str">
        <f t="shared" si="123"/>
        <v>(2,2,1,1,1,3)</v>
      </c>
      <c r="DA62" s="108">
        <v>1.05</v>
      </c>
      <c r="DB62" s="108">
        <v>1.02</v>
      </c>
      <c r="DC62" s="108">
        <v>1</v>
      </c>
      <c r="DD62" s="108">
        <v>1</v>
      </c>
      <c r="DE62" s="108">
        <v>1</v>
      </c>
      <c r="DF62" s="108">
        <v>1.05</v>
      </c>
      <c r="DH62" s="208">
        <v>4.5721314136583298E-4</v>
      </c>
      <c r="DI62" s="209">
        <f t="shared" si="80"/>
        <v>1432.8220602632571</v>
      </c>
      <c r="DK62" s="192">
        <v>1.6670223910994701E-3</v>
      </c>
      <c r="DL62" s="399">
        <f t="shared" si="81"/>
        <v>922.03219315895365</v>
      </c>
      <c r="DM62" s="192">
        <v>1.55628268248677E-3</v>
      </c>
      <c r="DN62" s="399">
        <f t="shared" si="82"/>
        <v>1050.5384576215431</v>
      </c>
    </row>
    <row r="63" spans="1:118" ht="24" customHeight="1" outlineLevel="1">
      <c r="A63" s="330" t="s">
        <v>1961</v>
      </c>
      <c r="B63" s="331"/>
      <c r="C63" s="88"/>
      <c r="D63" s="340">
        <v>5</v>
      </c>
      <c r="E63" s="341" t="s">
        <v>98</v>
      </c>
      <c r="F63" s="432" t="s">
        <v>1956</v>
      </c>
      <c r="G63" s="433" t="s">
        <v>93</v>
      </c>
      <c r="H63" s="434" t="s">
        <v>98</v>
      </c>
      <c r="I63" s="434" t="s">
        <v>98</v>
      </c>
      <c r="J63" s="94">
        <v>1</v>
      </c>
      <c r="K63" s="433" t="s">
        <v>144</v>
      </c>
      <c r="L63" s="435">
        <v>2.4219305053854602E-9</v>
      </c>
      <c r="M63" s="95">
        <v>1</v>
      </c>
      <c r="N63" s="96">
        <f t="shared" si="83"/>
        <v>1.2164594125584303</v>
      </c>
      <c r="O63" s="432" t="str">
        <f t="shared" si="84"/>
        <v>(2,2,1,1,1,3); Calculation with average annual yield and share of technologies. Lifetime: 30a.</v>
      </c>
      <c r="P63" s="435">
        <v>6.5438027356438707E-9</v>
      </c>
      <c r="Q63" s="95">
        <v>1</v>
      </c>
      <c r="R63" s="96">
        <f t="shared" si="85"/>
        <v>1.2164594125584303</v>
      </c>
      <c r="S63" s="432" t="str">
        <f t="shared" si="86"/>
        <v>(2,2,1,1,1,3); Calculation with average annual yield and share of technologies. Lifetime: 30a.</v>
      </c>
      <c r="T63" s="435">
        <v>3.6854077206782002E-9</v>
      </c>
      <c r="U63" s="95">
        <v>1</v>
      </c>
      <c r="V63" s="96">
        <f t="shared" si="87"/>
        <v>1.2164594125584303</v>
      </c>
      <c r="W63" s="432" t="str">
        <f t="shared" si="88"/>
        <v>(2,2,1,1,1,3); Calculation with average annual yield and share of technologies. Lifetime: 30a.</v>
      </c>
      <c r="X63" s="435">
        <v>3.7128946541127E-9</v>
      </c>
      <c r="Y63" s="95">
        <v>1</v>
      </c>
      <c r="Z63" s="96">
        <f t="shared" si="89"/>
        <v>1.2164594125584303</v>
      </c>
      <c r="AA63" s="432" t="str">
        <f t="shared" si="90"/>
        <v>(2,2,1,1,1,3); Calculation with average annual yield and share of technologies. Lifetime: 30a.</v>
      </c>
      <c r="AB63" s="435">
        <v>6.1798038685609206E-9</v>
      </c>
      <c r="AC63" s="95">
        <v>1</v>
      </c>
      <c r="AD63" s="96">
        <f t="shared" si="91"/>
        <v>1.2164594125584303</v>
      </c>
      <c r="AE63" s="432" t="str">
        <f t="shared" si="92"/>
        <v>(2,2,1,1,1,3); Calculation with average annual yield and share of technologies. Lifetime: 30a.</v>
      </c>
      <c r="AF63" s="435">
        <v>3.0327621542482603E-9</v>
      </c>
      <c r="AG63" s="95">
        <v>1</v>
      </c>
      <c r="AH63" s="96">
        <f t="shared" si="93"/>
        <v>1.2164594125584303</v>
      </c>
      <c r="AI63" s="432" t="str">
        <f t="shared" si="94"/>
        <v>(2,2,1,1,1,3); Calculation with average annual yield and share of technologies. Lifetime: 30a.</v>
      </c>
      <c r="AJ63" s="435">
        <v>4.5890230333028304E-9</v>
      </c>
      <c r="AK63" s="95">
        <v>1</v>
      </c>
      <c r="AL63" s="96">
        <f t="shared" si="95"/>
        <v>1.2164594125584303</v>
      </c>
      <c r="AM63" s="432" t="str">
        <f t="shared" si="96"/>
        <v>(2,2,1,1,1,3); Calculation with average annual yield and share of technologies. Lifetime: 30a.</v>
      </c>
      <c r="AN63" s="435">
        <v>2.6300314081964801E-9</v>
      </c>
      <c r="AO63" s="95">
        <v>1</v>
      </c>
      <c r="AP63" s="96">
        <f t="shared" si="97"/>
        <v>1.2164594125584303</v>
      </c>
      <c r="AQ63" s="432" t="str">
        <f t="shared" si="98"/>
        <v>(2,2,1,1,1,3); Calculation with average annual yield and share of technologies. Lifetime: 30a.</v>
      </c>
      <c r="AR63" s="435">
        <v>3.1906194176944204E-9</v>
      </c>
      <c r="AS63" s="95">
        <v>1</v>
      </c>
      <c r="AT63" s="96">
        <f t="shared" si="99"/>
        <v>1.2164594125584303</v>
      </c>
      <c r="AU63" s="432" t="str">
        <f t="shared" si="100"/>
        <v>(2,2,1,1,1,3); Calculation with average annual yield and share of technologies. Lifetime: 30a.</v>
      </c>
      <c r="AV63" s="435">
        <v>4.3700901029084706E-9</v>
      </c>
      <c r="AW63" s="95">
        <v>1</v>
      </c>
      <c r="AX63" s="96">
        <f t="shared" si="101"/>
        <v>1.2164594125584303</v>
      </c>
      <c r="AY63" s="432" t="str">
        <f t="shared" si="102"/>
        <v>(2,2,1,1,1,3); Calculation with average annual yield and share of technologies. Lifetime: 30a.</v>
      </c>
      <c r="AZ63" s="435">
        <v>3.7601175187972804E-9</v>
      </c>
      <c r="BA63" s="95">
        <v>1</v>
      </c>
      <c r="BB63" s="96">
        <f t="shared" si="103"/>
        <v>1.2164594125584303</v>
      </c>
      <c r="BC63" s="432" t="str">
        <f t="shared" si="104"/>
        <v>(2,2,1,1,1,3); Calculation with average annual yield and share of technologies. Lifetime: 30a.</v>
      </c>
      <c r="BD63" s="435">
        <v>4.0603363348776504E-9</v>
      </c>
      <c r="BE63" s="95">
        <v>1</v>
      </c>
      <c r="BF63" s="96">
        <f t="shared" si="105"/>
        <v>1.2164594125584303</v>
      </c>
      <c r="BG63" s="432" t="str">
        <f t="shared" si="106"/>
        <v>(2,2,1,1,1,3); Calculation with average annual yield and share of technologies. Lifetime: 30a.</v>
      </c>
      <c r="BH63" s="435">
        <v>2.8626324683693302E-9</v>
      </c>
      <c r="BI63" s="95">
        <v>1</v>
      </c>
      <c r="BJ63" s="96">
        <f t="shared" si="107"/>
        <v>1.2164594125584303</v>
      </c>
      <c r="BK63" s="432" t="str">
        <f t="shared" si="108"/>
        <v>(2,2,1,1,1,3); Calculation with average annual yield and share of technologies. Lifetime: 30a.</v>
      </c>
      <c r="BL63" s="435">
        <v>7.4137634439735708E-9</v>
      </c>
      <c r="BM63" s="95">
        <v>1</v>
      </c>
      <c r="BN63" s="96">
        <f t="shared" si="109"/>
        <v>1.2164594125584303</v>
      </c>
      <c r="BO63" s="432" t="str">
        <f t="shared" si="110"/>
        <v>(2,2,1,1,1,3); Calculation with average annual yield and share of technologies. Lifetime: 30a.</v>
      </c>
      <c r="BP63" s="435">
        <v>2.04201939175254E-9</v>
      </c>
      <c r="BQ63" s="95">
        <v>1</v>
      </c>
      <c r="BR63" s="96">
        <f t="shared" si="111"/>
        <v>1.2164594125584303</v>
      </c>
      <c r="BS63" s="432" t="str">
        <f t="shared" si="112"/>
        <v>(2,2,1,1,1,3); Calculation with average annual yield and share of technologies. Lifetime: 30a.</v>
      </c>
      <c r="BT63" s="435">
        <v>8.0993717749469011E-10</v>
      </c>
      <c r="BU63" s="95">
        <v>1</v>
      </c>
      <c r="BV63" s="96">
        <f t="shared" si="113"/>
        <v>1.2164594125584303</v>
      </c>
      <c r="BW63" s="432" t="str">
        <f t="shared" si="114"/>
        <v>(2,2,1,1,1,3); Calculation with average annual yield and share of technologies. Lifetime: 30a.</v>
      </c>
      <c r="BX63" s="435">
        <v>6.2019243709252704E-9</v>
      </c>
      <c r="BY63" s="95">
        <v>1</v>
      </c>
      <c r="BZ63" s="96">
        <f t="shared" si="115"/>
        <v>1.2164594125584303</v>
      </c>
      <c r="CA63" s="432" t="str">
        <f t="shared" si="116"/>
        <v>(2,2,1,1,1,3); Calculation with average annual yield and share of technologies. Lifetime: 30a.</v>
      </c>
      <c r="CB63" s="435">
        <v>3.9343852909340999E-9</v>
      </c>
      <c r="CC63" s="95">
        <v>1</v>
      </c>
      <c r="CD63" s="96">
        <f t="shared" si="117"/>
        <v>1.2164594125584303</v>
      </c>
      <c r="CE63" s="432" t="str">
        <f t="shared" si="118"/>
        <v>(2,2,1,1,1,3); Calculation with average annual yield and share of technologies. Lifetime: 30a.</v>
      </c>
      <c r="CF63" s="435">
        <v>3.1306362744313902E-9</v>
      </c>
      <c r="CG63" s="95">
        <v>1</v>
      </c>
      <c r="CH63" s="96">
        <f t="shared" si="119"/>
        <v>1.2164594125584303</v>
      </c>
      <c r="CI63" s="432" t="str">
        <f t="shared" si="120"/>
        <v>(2,2,1,1,1,3); Calculation with average annual yield and share of technologies. Lifetime: 30a.</v>
      </c>
      <c r="CJ63" s="505" t="s">
        <v>2039</v>
      </c>
      <c r="CK63" s="505" t="s">
        <v>4</v>
      </c>
      <c r="CL63" s="211">
        <v>10</v>
      </c>
      <c r="CM63" s="510">
        <v>0.18</v>
      </c>
      <c r="CN63" s="212">
        <f t="shared" si="79"/>
        <v>55.555555555555557</v>
      </c>
      <c r="CO63" s="77" t="s">
        <v>2289</v>
      </c>
      <c r="CP63" s="339">
        <v>2</v>
      </c>
      <c r="CQ63" s="339">
        <v>2</v>
      </c>
      <c r="CR63" s="339">
        <v>1</v>
      </c>
      <c r="CS63" s="339">
        <v>1</v>
      </c>
      <c r="CT63" s="339">
        <v>1</v>
      </c>
      <c r="CU63" s="339">
        <v>3</v>
      </c>
      <c r="CV63" s="104">
        <v>9</v>
      </c>
      <c r="CW63" s="104">
        <v>1.2</v>
      </c>
      <c r="CX63" s="107">
        <f t="shared" si="121"/>
        <v>1.0744244531716256</v>
      </c>
      <c r="CY63" s="107">
        <f t="shared" si="122"/>
        <v>1.2164594125584303</v>
      </c>
      <c r="CZ63" s="107" t="str">
        <f t="shared" si="123"/>
        <v>(2,2,1,1,1,3)</v>
      </c>
      <c r="DA63" s="108">
        <v>1.05</v>
      </c>
      <c r="DB63" s="108">
        <v>1.02</v>
      </c>
      <c r="DC63" s="108">
        <v>1</v>
      </c>
      <c r="DD63" s="108">
        <v>1</v>
      </c>
      <c r="DE63" s="108">
        <v>1</v>
      </c>
      <c r="DF63" s="108">
        <v>1.05</v>
      </c>
      <c r="DH63" s="208">
        <v>3.4814875660252499E-4</v>
      </c>
      <c r="DI63" s="209">
        <f t="shared" si="80"/>
        <v>1432.822060263258</v>
      </c>
      <c r="DK63" s="192">
        <v>1.26936809155595E-3</v>
      </c>
      <c r="DL63" s="399">
        <f t="shared" si="81"/>
        <v>922.03219315895444</v>
      </c>
      <c r="DM63" s="192">
        <v>1.18504441760191E-3</v>
      </c>
      <c r="DN63" s="399">
        <f t="shared" si="82"/>
        <v>1050.5384576215417</v>
      </c>
    </row>
    <row r="64" spans="1:118" ht="24" customHeight="1" outlineLevel="1">
      <c r="A64" s="330" t="s">
        <v>1962</v>
      </c>
      <c r="B64" s="331"/>
      <c r="C64" s="88"/>
      <c r="D64" s="340">
        <v>5</v>
      </c>
      <c r="E64" s="341" t="s">
        <v>98</v>
      </c>
      <c r="F64" s="432" t="s">
        <v>1957</v>
      </c>
      <c r="G64" s="433" t="s">
        <v>93</v>
      </c>
      <c r="H64" s="434" t="s">
        <v>98</v>
      </c>
      <c r="I64" s="434" t="s">
        <v>98</v>
      </c>
      <c r="J64" s="94">
        <v>1</v>
      </c>
      <c r="K64" s="433" t="s">
        <v>144</v>
      </c>
      <c r="L64" s="435">
        <v>7.9830555504436094E-8</v>
      </c>
      <c r="M64" s="95">
        <v>1</v>
      </c>
      <c r="N64" s="96">
        <f t="shared" si="83"/>
        <v>1.2164594125584303</v>
      </c>
      <c r="O64" s="432" t="str">
        <f t="shared" si="84"/>
        <v>(2,2,1,1,1,3); Calculation with average annual yield and share of technologies. Lifetime: 30a.</v>
      </c>
      <c r="P64" s="435">
        <v>1.09063378927398E-7</v>
      </c>
      <c r="Q64" s="95">
        <v>1</v>
      </c>
      <c r="R64" s="96">
        <f t="shared" si="85"/>
        <v>1.2164594125584303</v>
      </c>
      <c r="S64" s="432" t="str">
        <f t="shared" si="86"/>
        <v>(2,2,1,1,1,3); Calculation with average annual yield and share of technologies. Lifetime: 30a.</v>
      </c>
      <c r="T64" s="435">
        <v>6.1423462011303299E-8</v>
      </c>
      <c r="U64" s="95">
        <v>1</v>
      </c>
      <c r="V64" s="96">
        <f t="shared" si="87"/>
        <v>1.2164594125584303</v>
      </c>
      <c r="W64" s="432" t="str">
        <f t="shared" si="88"/>
        <v>(2,2,1,1,1,3); Calculation with average annual yield and share of technologies. Lifetime: 30a.</v>
      </c>
      <c r="X64" s="435">
        <v>6.1881577568545202E-8</v>
      </c>
      <c r="Y64" s="95">
        <v>1</v>
      </c>
      <c r="Z64" s="96">
        <f t="shared" si="89"/>
        <v>1.2164594125584303</v>
      </c>
      <c r="AA64" s="432" t="str">
        <f t="shared" si="90"/>
        <v>(2,2,1,1,1,3); Calculation with average annual yield and share of technologies. Lifetime: 30a.</v>
      </c>
      <c r="AB64" s="435">
        <v>1.0299673114268199E-7</v>
      </c>
      <c r="AC64" s="95">
        <v>1</v>
      </c>
      <c r="AD64" s="96">
        <f t="shared" si="91"/>
        <v>1.2164594125584303</v>
      </c>
      <c r="AE64" s="432" t="str">
        <f t="shared" si="92"/>
        <v>(2,2,1,1,1,3); Calculation with average annual yield and share of technologies. Lifetime: 30a.</v>
      </c>
      <c r="AF64" s="435">
        <v>5.0546035904137602E-8</v>
      </c>
      <c r="AG64" s="95">
        <v>1</v>
      </c>
      <c r="AH64" s="96">
        <f t="shared" si="93"/>
        <v>1.2164594125584303</v>
      </c>
      <c r="AI64" s="432" t="str">
        <f t="shared" si="94"/>
        <v>(2,2,1,1,1,3); Calculation with average annual yield and share of technologies. Lifetime: 30a.</v>
      </c>
      <c r="AJ64" s="435">
        <v>7.64837172217142E-8</v>
      </c>
      <c r="AK64" s="95">
        <v>1</v>
      </c>
      <c r="AL64" s="96">
        <f t="shared" si="95"/>
        <v>1.2164594125584303</v>
      </c>
      <c r="AM64" s="432" t="str">
        <f t="shared" si="96"/>
        <v>(2,2,1,1,1,3); Calculation with average annual yield and share of technologies. Lifetime: 30a.</v>
      </c>
      <c r="AN64" s="435">
        <v>4.3833856803274598E-8</v>
      </c>
      <c r="AO64" s="95">
        <v>1</v>
      </c>
      <c r="AP64" s="96">
        <f t="shared" si="97"/>
        <v>1.2164594125584303</v>
      </c>
      <c r="AQ64" s="432" t="str">
        <f t="shared" si="98"/>
        <v>(2,2,1,1,1,3); Calculation with average annual yield and share of technologies. Lifetime: 30a.</v>
      </c>
      <c r="AR64" s="435">
        <v>5.3176990294906899E-8</v>
      </c>
      <c r="AS64" s="95">
        <v>1</v>
      </c>
      <c r="AT64" s="96">
        <f t="shared" si="99"/>
        <v>1.2164594125584303</v>
      </c>
      <c r="AU64" s="432" t="str">
        <f t="shared" si="100"/>
        <v>(2,2,1,1,1,3); Calculation with average annual yield and share of technologies. Lifetime: 30a.</v>
      </c>
      <c r="AV64" s="435">
        <v>7.2834835048474306E-8</v>
      </c>
      <c r="AW64" s="95">
        <v>1</v>
      </c>
      <c r="AX64" s="96">
        <f t="shared" si="101"/>
        <v>1.2164594125584303</v>
      </c>
      <c r="AY64" s="432" t="str">
        <f t="shared" si="102"/>
        <v>(2,2,1,1,1,3); Calculation with average annual yield and share of technologies. Lifetime: 30a.</v>
      </c>
      <c r="AZ64" s="435">
        <v>6.2668625313288006E-8</v>
      </c>
      <c r="BA64" s="95">
        <v>1</v>
      </c>
      <c r="BB64" s="96">
        <f t="shared" si="103"/>
        <v>1.2164594125584303</v>
      </c>
      <c r="BC64" s="432" t="str">
        <f t="shared" si="104"/>
        <v>(2,2,1,1,1,3); Calculation with average annual yield and share of technologies. Lifetime: 30a.</v>
      </c>
      <c r="BD64" s="435">
        <v>6.7672272247960603E-8</v>
      </c>
      <c r="BE64" s="95">
        <v>1</v>
      </c>
      <c r="BF64" s="96">
        <f t="shared" si="105"/>
        <v>1.2164594125584303</v>
      </c>
      <c r="BG64" s="432" t="str">
        <f t="shared" si="106"/>
        <v>(2,2,1,1,1,3); Calculation with average annual yield and share of technologies. Lifetime: 30a.</v>
      </c>
      <c r="BH64" s="435">
        <v>4.7710541139488901E-8</v>
      </c>
      <c r="BI64" s="95">
        <v>1</v>
      </c>
      <c r="BJ64" s="96">
        <f t="shared" si="107"/>
        <v>1.2164594125584303</v>
      </c>
      <c r="BK64" s="432" t="str">
        <f t="shared" si="108"/>
        <v>(2,2,1,1,1,3); Calculation with average annual yield and share of technologies. Lifetime: 30a.</v>
      </c>
      <c r="BL64" s="435">
        <v>1.23562724066227E-7</v>
      </c>
      <c r="BM64" s="95">
        <v>1</v>
      </c>
      <c r="BN64" s="96">
        <f t="shared" si="109"/>
        <v>1.2164594125584303</v>
      </c>
      <c r="BO64" s="432" t="str">
        <f t="shared" si="110"/>
        <v>(2,2,1,1,1,3); Calculation with average annual yield and share of technologies. Lifetime: 30a.</v>
      </c>
      <c r="BP64" s="435">
        <v>3.4033656529209101E-8</v>
      </c>
      <c r="BQ64" s="95">
        <v>1</v>
      </c>
      <c r="BR64" s="96">
        <f t="shared" si="111"/>
        <v>1.2164594125584303</v>
      </c>
      <c r="BS64" s="432" t="str">
        <f t="shared" si="112"/>
        <v>(2,2,1,1,1,3); Calculation with average annual yield and share of technologies. Lifetime: 30a.</v>
      </c>
      <c r="BT64" s="435">
        <v>1.34989529582448E-8</v>
      </c>
      <c r="BU64" s="95">
        <v>1</v>
      </c>
      <c r="BV64" s="96">
        <f t="shared" si="113"/>
        <v>1.2164594125584303</v>
      </c>
      <c r="BW64" s="432" t="str">
        <f t="shared" si="114"/>
        <v>(2,2,1,1,1,3); Calculation with average annual yield and share of technologies. Lifetime: 30a.</v>
      </c>
      <c r="BX64" s="435">
        <v>1.03365406182088E-7</v>
      </c>
      <c r="BY64" s="95">
        <v>1</v>
      </c>
      <c r="BZ64" s="96">
        <f t="shared" si="115"/>
        <v>1.2164594125584303</v>
      </c>
      <c r="CA64" s="432" t="str">
        <f t="shared" si="116"/>
        <v>(2,2,1,1,1,3); Calculation with average annual yield and share of technologies. Lifetime: 30a.</v>
      </c>
      <c r="CB64" s="435">
        <v>6.55730881822348E-8</v>
      </c>
      <c r="CC64" s="95">
        <v>1</v>
      </c>
      <c r="CD64" s="96">
        <f t="shared" si="117"/>
        <v>1.2164594125584303</v>
      </c>
      <c r="CE64" s="432" t="str">
        <f t="shared" si="118"/>
        <v>(2,2,1,1,1,3); Calculation with average annual yield and share of technologies. Lifetime: 30a.</v>
      </c>
      <c r="CF64" s="435">
        <v>5.2177271240523299E-8</v>
      </c>
      <c r="CG64" s="95">
        <v>1</v>
      </c>
      <c r="CH64" s="96">
        <f t="shared" si="119"/>
        <v>1.2164594125584303</v>
      </c>
      <c r="CI64" s="432" t="str">
        <f t="shared" si="120"/>
        <v>(2,2,1,1,1,3); Calculation with average annual yield and share of technologies. Lifetime: 30a.</v>
      </c>
      <c r="CJ64" s="505" t="s">
        <v>2039</v>
      </c>
      <c r="CK64" s="505" t="s">
        <v>4</v>
      </c>
      <c r="CL64" s="211">
        <v>10</v>
      </c>
      <c r="CM64" s="510">
        <v>0.18</v>
      </c>
      <c r="CN64" s="212">
        <f t="shared" si="79"/>
        <v>55.555555555555557</v>
      </c>
      <c r="CO64" s="77" t="s">
        <v>2289</v>
      </c>
      <c r="CP64" s="339">
        <v>2</v>
      </c>
      <c r="CQ64" s="339">
        <v>2</v>
      </c>
      <c r="CR64" s="339">
        <v>1</v>
      </c>
      <c r="CS64" s="339">
        <v>1</v>
      </c>
      <c r="CT64" s="339">
        <v>1</v>
      </c>
      <c r="CU64" s="339">
        <v>3</v>
      </c>
      <c r="CV64" s="104">
        <v>9</v>
      </c>
      <c r="CW64" s="104">
        <v>1.2</v>
      </c>
      <c r="CX64" s="107">
        <f t="shared" si="121"/>
        <v>1.0744244531716256</v>
      </c>
      <c r="CY64" s="107">
        <f t="shared" si="122"/>
        <v>1.2164594125584303</v>
      </c>
      <c r="CZ64" s="107" t="str">
        <f t="shared" si="123"/>
        <v>(2,2,1,1,1,3)</v>
      </c>
      <c r="DA64" s="108">
        <v>1.05</v>
      </c>
      <c r="DB64" s="108">
        <v>1.02</v>
      </c>
      <c r="DC64" s="108">
        <v>1</v>
      </c>
      <c r="DD64" s="108">
        <v>1</v>
      </c>
      <c r="DE64" s="108">
        <v>1</v>
      </c>
      <c r="DF64" s="108">
        <v>1.05</v>
      </c>
      <c r="DH64" s="208">
        <v>5.8024792767087498E-3</v>
      </c>
      <c r="DI64" s="209">
        <f t="shared" si="80"/>
        <v>1432.8220602632618</v>
      </c>
      <c r="DK64" s="192">
        <v>2.1156134859265902E-2</v>
      </c>
      <c r="DL64" s="399">
        <f t="shared" si="81"/>
        <v>922.03219315895308</v>
      </c>
      <c r="DM64" s="192">
        <v>1.9750740293365199E-2</v>
      </c>
      <c r="DN64" s="399">
        <f t="shared" si="82"/>
        <v>1050.5384576215436</v>
      </c>
    </row>
    <row r="65" spans="1:118" ht="24" customHeight="1">
      <c r="A65" s="330" t="s">
        <v>1889</v>
      </c>
      <c r="B65" s="331"/>
      <c r="C65" s="88"/>
      <c r="D65" s="340">
        <v>5</v>
      </c>
      <c r="E65" s="341" t="s">
        <v>98</v>
      </c>
      <c r="F65" s="432" t="s">
        <v>1883</v>
      </c>
      <c r="G65" s="433" t="s">
        <v>93</v>
      </c>
      <c r="H65" s="434" t="s">
        <v>98</v>
      </c>
      <c r="I65" s="434" t="s">
        <v>98</v>
      </c>
      <c r="J65" s="94">
        <v>1</v>
      </c>
      <c r="K65" s="433" t="s">
        <v>144</v>
      </c>
      <c r="L65" s="435">
        <v>1.1254853525026599E-8</v>
      </c>
      <c r="M65" s="95">
        <v>1</v>
      </c>
      <c r="N65" s="96">
        <f t="shared" si="83"/>
        <v>1.2164594125584303</v>
      </c>
      <c r="O65" s="432" t="str">
        <f t="shared" si="84"/>
        <v>(2,2,1,1,1,3); Calculation with average annual yield and share of technologies. Lifetime: 30a.</v>
      </c>
      <c r="P65" s="435">
        <v>3.0409436242109801E-8</v>
      </c>
      <c r="Q65" s="95">
        <v>1</v>
      </c>
      <c r="R65" s="96">
        <f t="shared" si="85"/>
        <v>1.2164594125584303</v>
      </c>
      <c r="S65" s="432" t="str">
        <f t="shared" si="86"/>
        <v>(2,2,1,1,1,3); Calculation with average annual yield and share of technologies. Lifetime: 30a.</v>
      </c>
      <c r="T65" s="435">
        <v>1.7126306466681E-8</v>
      </c>
      <c r="U65" s="95">
        <v>1</v>
      </c>
      <c r="V65" s="96">
        <f t="shared" si="87"/>
        <v>1.2164594125584303</v>
      </c>
      <c r="W65" s="432" t="str">
        <f t="shared" si="88"/>
        <v>(2,2,1,1,1,3); Calculation with average annual yield and share of technologies. Lifetime: 30a.</v>
      </c>
      <c r="X65" s="435">
        <v>1.72540398632296E-8</v>
      </c>
      <c r="Y65" s="95">
        <v>1</v>
      </c>
      <c r="Z65" s="96">
        <f t="shared" si="89"/>
        <v>1.2164594125584303</v>
      </c>
      <c r="AA65" s="432" t="str">
        <f t="shared" si="90"/>
        <v>(2,2,1,1,1,3); Calculation with average annual yield and share of technologies. Lifetime: 30a.</v>
      </c>
      <c r="AB65" s="435">
        <v>2.8717912095077299E-8</v>
      </c>
      <c r="AC65" s="95">
        <v>1</v>
      </c>
      <c r="AD65" s="96">
        <f t="shared" si="91"/>
        <v>1.2164594125584303</v>
      </c>
      <c r="AE65" s="432" t="str">
        <f t="shared" si="92"/>
        <v>(2,2,1,1,1,3); Calculation with average annual yield and share of technologies. Lifetime: 30a.</v>
      </c>
      <c r="AF65" s="435">
        <v>1.40934241285655E-8</v>
      </c>
      <c r="AG65" s="95">
        <v>1</v>
      </c>
      <c r="AH65" s="96">
        <f t="shared" si="93"/>
        <v>1.2164594125584303</v>
      </c>
      <c r="AI65" s="432" t="str">
        <f t="shared" si="94"/>
        <v>(2,2,1,1,1,3); Calculation with average annual yield and share of technologies. Lifetime: 30a.</v>
      </c>
      <c r="AJ65" s="435">
        <v>2.13254599782897E-8</v>
      </c>
      <c r="AK65" s="95">
        <v>1</v>
      </c>
      <c r="AL65" s="96">
        <f t="shared" si="95"/>
        <v>1.2164594125584303</v>
      </c>
      <c r="AM65" s="432" t="str">
        <f t="shared" si="96"/>
        <v>(2,2,1,1,1,3); Calculation with average annual yield and share of technologies. Lifetime: 30a.</v>
      </c>
      <c r="AN65" s="435">
        <v>1.22219106616189E-8</v>
      </c>
      <c r="AO65" s="95">
        <v>1</v>
      </c>
      <c r="AP65" s="96">
        <f t="shared" si="97"/>
        <v>1.2164594125584303</v>
      </c>
      <c r="AQ65" s="432" t="str">
        <f t="shared" si="98"/>
        <v>(2,2,1,1,1,3); Calculation with average annual yield and share of technologies. Lifetime: 30a.</v>
      </c>
      <c r="AR65" s="435">
        <v>1.4826996117521E-8</v>
      </c>
      <c r="AS65" s="95">
        <v>1</v>
      </c>
      <c r="AT65" s="96">
        <f t="shared" si="99"/>
        <v>1.2164594125584303</v>
      </c>
      <c r="AU65" s="432" t="str">
        <f t="shared" si="100"/>
        <v>(2,2,1,1,1,3); Calculation with average annual yield and share of technologies. Lifetime: 30a.</v>
      </c>
      <c r="AV65" s="435">
        <v>2.0308065772339199E-8</v>
      </c>
      <c r="AW65" s="95">
        <v>1</v>
      </c>
      <c r="AX65" s="96">
        <f t="shared" si="101"/>
        <v>1.2164594125584303</v>
      </c>
      <c r="AY65" s="432" t="str">
        <f t="shared" si="102"/>
        <v>(2,2,1,1,1,3); Calculation with average annual yield and share of technologies. Lifetime: 30a.</v>
      </c>
      <c r="AZ65" s="435">
        <v>1.7473487293234399E-8</v>
      </c>
      <c r="BA65" s="95">
        <v>1</v>
      </c>
      <c r="BB65" s="96">
        <f t="shared" si="103"/>
        <v>1.2164594125584303</v>
      </c>
      <c r="BC65" s="432" t="str">
        <f t="shared" si="104"/>
        <v>(2,2,1,1,1,3); Calculation with average annual yield and share of technologies. Lifetime: 30a.</v>
      </c>
      <c r="BD65" s="435">
        <v>1.8868621791490099E-8</v>
      </c>
      <c r="BE65" s="95">
        <v>1</v>
      </c>
      <c r="BF65" s="96">
        <f t="shared" si="105"/>
        <v>1.2164594125584303</v>
      </c>
      <c r="BG65" s="432" t="str">
        <f t="shared" si="106"/>
        <v>(2,2,1,1,1,3); Calculation with average annual yield and share of technologies. Lifetime: 30a.</v>
      </c>
      <c r="BH65" s="435">
        <v>1.3302821470657499E-8</v>
      </c>
      <c r="BI65" s="95">
        <v>1</v>
      </c>
      <c r="BJ65" s="96">
        <f t="shared" si="107"/>
        <v>1.2164594125584303</v>
      </c>
      <c r="BK65" s="432" t="str">
        <f t="shared" si="108"/>
        <v>(2,2,1,1,1,3); Calculation with average annual yield and share of technologies. Lifetime: 30a.</v>
      </c>
      <c r="BL65" s="435">
        <v>3.4452194827877302E-8</v>
      </c>
      <c r="BM65" s="95">
        <v>1</v>
      </c>
      <c r="BN65" s="96">
        <f t="shared" si="109"/>
        <v>1.2164594125584303</v>
      </c>
      <c r="BO65" s="432" t="str">
        <f t="shared" si="110"/>
        <v>(2,2,1,1,1,3); Calculation with average annual yield and share of technologies. Lifetime: 30a.</v>
      </c>
      <c r="BP65" s="435">
        <v>9.4893842322618205E-9</v>
      </c>
      <c r="BQ65" s="95">
        <v>1</v>
      </c>
      <c r="BR65" s="96">
        <f t="shared" si="111"/>
        <v>1.2164594125584303</v>
      </c>
      <c r="BS65" s="432" t="str">
        <f t="shared" si="112"/>
        <v>(2,2,1,1,1,3); Calculation with average annual yield and share of technologies. Lifetime: 30a.</v>
      </c>
      <c r="BT65" s="435">
        <v>3.7638257071812104E-9</v>
      </c>
      <c r="BU65" s="95">
        <v>1</v>
      </c>
      <c r="BV65" s="96">
        <f t="shared" si="113"/>
        <v>1.2164594125584303</v>
      </c>
      <c r="BW65" s="432" t="str">
        <f t="shared" si="114"/>
        <v>(2,2,1,1,1,3); Calculation with average annual yield and share of technologies. Lifetime: 30a.</v>
      </c>
      <c r="BX65" s="435">
        <v>2.8820707370770402E-8</v>
      </c>
      <c r="BY65" s="95">
        <v>1</v>
      </c>
      <c r="BZ65" s="96">
        <f t="shared" si="115"/>
        <v>1.2164594125584303</v>
      </c>
      <c r="CA65" s="432" t="str">
        <f t="shared" si="116"/>
        <v>(2,2,1,1,1,3); Calculation with average annual yield and share of technologies. Lifetime: 30a.</v>
      </c>
      <c r="CB65" s="435">
        <v>1.8283319881399501E-8</v>
      </c>
      <c r="CC65" s="95">
        <v>1</v>
      </c>
      <c r="CD65" s="96">
        <f t="shared" si="117"/>
        <v>1.2164594125584303</v>
      </c>
      <c r="CE65" s="432" t="str">
        <f t="shared" si="118"/>
        <v>(2,2,1,1,1,3); Calculation with average annual yield and share of technologies. Lifetime: 30a.</v>
      </c>
      <c r="CF65" s="435">
        <v>1.45482509223576E-8</v>
      </c>
      <c r="CG65" s="95">
        <v>1</v>
      </c>
      <c r="CH65" s="96">
        <f t="shared" si="119"/>
        <v>1.2164594125584303</v>
      </c>
      <c r="CI65" s="432" t="str">
        <f t="shared" si="120"/>
        <v>(2,2,1,1,1,3); Calculation with average annual yield and share of technologies. Lifetime: 30a.</v>
      </c>
      <c r="CJ65" s="505" t="s">
        <v>2039</v>
      </c>
      <c r="CK65" s="505" t="s">
        <v>2214</v>
      </c>
      <c r="CL65" s="211">
        <v>10</v>
      </c>
      <c r="CM65" s="510">
        <v>0.22616666666666699</v>
      </c>
      <c r="CN65" s="212">
        <f t="shared" si="79"/>
        <v>44.2151805453205</v>
      </c>
      <c r="CO65" s="77" t="s">
        <v>2289</v>
      </c>
      <c r="CP65" s="339">
        <v>2</v>
      </c>
      <c r="CQ65" s="339">
        <v>2</v>
      </c>
      <c r="CR65" s="339">
        <v>1</v>
      </c>
      <c r="CS65" s="339">
        <v>1</v>
      </c>
      <c r="CT65" s="339">
        <v>1</v>
      </c>
      <c r="CU65" s="339">
        <v>3</v>
      </c>
      <c r="CV65" s="104">
        <v>9</v>
      </c>
      <c r="CW65" s="104">
        <v>1.2</v>
      </c>
      <c r="CX65" s="107">
        <f t="shared" si="121"/>
        <v>1.0744244531716256</v>
      </c>
      <c r="CY65" s="107">
        <f t="shared" si="122"/>
        <v>1.2164594125584303</v>
      </c>
      <c r="CZ65" s="107" t="str">
        <f t="shared" si="123"/>
        <v>(2,2,1,1,1,3)</v>
      </c>
      <c r="DA65" s="108">
        <v>1.05</v>
      </c>
      <c r="DB65" s="108">
        <v>1.02</v>
      </c>
      <c r="DC65" s="108">
        <v>1</v>
      </c>
      <c r="DD65" s="108">
        <v>1</v>
      </c>
      <c r="DE65" s="108">
        <v>1</v>
      </c>
      <c r="DF65" s="108">
        <v>1.05</v>
      </c>
      <c r="DH65" s="208">
        <v>1.6178677512705599E-3</v>
      </c>
      <c r="DI65" s="209">
        <f t="shared" si="80"/>
        <v>1432.8220602632591</v>
      </c>
      <c r="DK65" s="192">
        <v>5.8988281901717803E-3</v>
      </c>
      <c r="DL65" s="399">
        <f t="shared" si="81"/>
        <v>922.03219315895308</v>
      </c>
      <c r="DM65" s="192">
        <v>5.5069711170912198E-3</v>
      </c>
      <c r="DN65" s="399">
        <f t="shared" si="82"/>
        <v>1050.5384576215413</v>
      </c>
    </row>
    <row r="66" spans="1:118" ht="24" customHeight="1">
      <c r="A66" s="330" t="s">
        <v>1890</v>
      </c>
      <c r="B66" s="331"/>
      <c r="C66" s="88"/>
      <c r="D66" s="340">
        <v>5</v>
      </c>
      <c r="E66" s="341" t="s">
        <v>98</v>
      </c>
      <c r="F66" s="432" t="s">
        <v>1884</v>
      </c>
      <c r="G66" s="433" t="s">
        <v>93</v>
      </c>
      <c r="H66" s="434" t="s">
        <v>98</v>
      </c>
      <c r="I66" s="434" t="s">
        <v>98</v>
      </c>
      <c r="J66" s="94">
        <v>1</v>
      </c>
      <c r="K66" s="433" t="s">
        <v>144</v>
      </c>
      <c r="L66" s="435">
        <v>3.7097728734414399E-7</v>
      </c>
      <c r="M66" s="95">
        <v>1</v>
      </c>
      <c r="N66" s="96">
        <f t="shared" si="83"/>
        <v>1.2164594125584303</v>
      </c>
      <c r="O66" s="432" t="str">
        <f t="shared" si="84"/>
        <v>(2,2,1,1,1,3); Calculation with average annual yield and share of technologies. Lifetime: 30a.</v>
      </c>
      <c r="P66" s="435">
        <v>5.0682393736849604E-7</v>
      </c>
      <c r="Q66" s="95">
        <v>1</v>
      </c>
      <c r="R66" s="96">
        <f t="shared" si="85"/>
        <v>1.2164594125584303</v>
      </c>
      <c r="S66" s="432" t="str">
        <f t="shared" si="86"/>
        <v>(2,2,1,1,1,3); Calculation with average annual yield and share of technologies. Lifetime: 30a.</v>
      </c>
      <c r="T66" s="435">
        <v>2.8543844111135E-7</v>
      </c>
      <c r="U66" s="95">
        <v>1</v>
      </c>
      <c r="V66" s="96">
        <f t="shared" si="87"/>
        <v>1.2164594125584303</v>
      </c>
      <c r="W66" s="432" t="str">
        <f t="shared" si="88"/>
        <v>(2,2,1,1,1,3); Calculation with average annual yield and share of technologies. Lifetime: 30a.</v>
      </c>
      <c r="X66" s="435">
        <v>2.8756733105382702E-7</v>
      </c>
      <c r="Y66" s="95">
        <v>1</v>
      </c>
      <c r="Z66" s="96">
        <f t="shared" si="89"/>
        <v>1.2164594125584303</v>
      </c>
      <c r="AA66" s="432" t="str">
        <f t="shared" si="90"/>
        <v>(2,2,1,1,1,3); Calculation with average annual yield and share of technologies. Lifetime: 30a.</v>
      </c>
      <c r="AB66" s="435">
        <v>4.7863186825129005E-7</v>
      </c>
      <c r="AC66" s="95">
        <v>1</v>
      </c>
      <c r="AD66" s="96">
        <f t="shared" si="91"/>
        <v>1.2164594125584303</v>
      </c>
      <c r="AE66" s="432" t="str">
        <f t="shared" si="92"/>
        <v>(2,2,1,1,1,3); Calculation with average annual yield and share of technologies. Lifetime: 30a.</v>
      </c>
      <c r="AF66" s="435">
        <v>2.3489040214275799E-7</v>
      </c>
      <c r="AG66" s="95">
        <v>1</v>
      </c>
      <c r="AH66" s="96">
        <f t="shared" si="93"/>
        <v>1.2164594125584303</v>
      </c>
      <c r="AI66" s="432" t="str">
        <f t="shared" si="94"/>
        <v>(2,2,1,1,1,3); Calculation with average annual yield and share of technologies. Lifetime: 30a.</v>
      </c>
      <c r="AJ66" s="435">
        <v>3.55424332971495E-7</v>
      </c>
      <c r="AK66" s="95">
        <v>1</v>
      </c>
      <c r="AL66" s="96">
        <f t="shared" si="95"/>
        <v>1.2164594125584303</v>
      </c>
      <c r="AM66" s="432" t="str">
        <f t="shared" si="96"/>
        <v>(2,2,1,1,1,3); Calculation with average annual yield and share of technologies. Lifetime: 30a.</v>
      </c>
      <c r="AN66" s="435">
        <v>2.03698511026982E-7</v>
      </c>
      <c r="AO66" s="95">
        <v>1</v>
      </c>
      <c r="AP66" s="96">
        <f t="shared" si="97"/>
        <v>1.2164594125584303</v>
      </c>
      <c r="AQ66" s="432" t="str">
        <f t="shared" si="98"/>
        <v>(2,2,1,1,1,3); Calculation with average annual yield and share of technologies. Lifetime: 30a.</v>
      </c>
      <c r="AR66" s="435">
        <v>2.4711660195868402E-7</v>
      </c>
      <c r="AS66" s="95">
        <v>1</v>
      </c>
      <c r="AT66" s="96">
        <f t="shared" si="99"/>
        <v>1.2164594125584303</v>
      </c>
      <c r="AU66" s="432" t="str">
        <f t="shared" si="100"/>
        <v>(2,2,1,1,1,3); Calculation with average annual yield and share of technologies. Lifetime: 30a.</v>
      </c>
      <c r="AV66" s="435">
        <v>3.3846776287232098E-7</v>
      </c>
      <c r="AW66" s="95">
        <v>1</v>
      </c>
      <c r="AX66" s="96">
        <f t="shared" si="101"/>
        <v>1.2164594125584303</v>
      </c>
      <c r="AY66" s="432" t="str">
        <f t="shared" si="102"/>
        <v>(2,2,1,1,1,3); Calculation with average annual yield and share of technologies. Lifetime: 30a.</v>
      </c>
      <c r="AZ66" s="435">
        <v>2.9122478822057298E-7</v>
      </c>
      <c r="BA66" s="95">
        <v>1</v>
      </c>
      <c r="BB66" s="96">
        <f t="shared" si="103"/>
        <v>1.2164594125584303</v>
      </c>
      <c r="BC66" s="432" t="str">
        <f t="shared" si="104"/>
        <v>(2,2,1,1,1,3); Calculation with average annual yield and share of technologies. Lifetime: 30a.</v>
      </c>
      <c r="BD66" s="435">
        <v>3.1447702985816901E-7</v>
      </c>
      <c r="BE66" s="95">
        <v>1</v>
      </c>
      <c r="BF66" s="96">
        <f t="shared" si="105"/>
        <v>1.2164594125584303</v>
      </c>
      <c r="BG66" s="432" t="str">
        <f t="shared" si="106"/>
        <v>(2,2,1,1,1,3); Calculation with average annual yield and share of technologies. Lifetime: 30a.</v>
      </c>
      <c r="BH66" s="435">
        <v>2.2171369117762499E-7</v>
      </c>
      <c r="BI66" s="95">
        <v>1</v>
      </c>
      <c r="BJ66" s="96">
        <f t="shared" si="107"/>
        <v>1.2164594125584303</v>
      </c>
      <c r="BK66" s="432" t="str">
        <f t="shared" si="108"/>
        <v>(2,2,1,1,1,3); Calculation with average annual yield and share of technologies. Lifetime: 30a.</v>
      </c>
      <c r="BL66" s="435">
        <v>5.7420324713129103E-7</v>
      </c>
      <c r="BM66" s="95">
        <v>1</v>
      </c>
      <c r="BN66" s="96">
        <f t="shared" si="109"/>
        <v>1.2164594125584303</v>
      </c>
      <c r="BO66" s="432" t="str">
        <f t="shared" si="110"/>
        <v>(2,2,1,1,1,3); Calculation with average annual yield and share of technologies. Lifetime: 30a.</v>
      </c>
      <c r="BP66" s="435">
        <v>1.5815640387103001E-7</v>
      </c>
      <c r="BQ66" s="95">
        <v>1</v>
      </c>
      <c r="BR66" s="96">
        <f t="shared" si="111"/>
        <v>1.2164594125584303</v>
      </c>
      <c r="BS66" s="432" t="str">
        <f t="shared" si="112"/>
        <v>(2,2,1,1,1,3); Calculation with average annual yield and share of technologies. Lifetime: 30a.</v>
      </c>
      <c r="BT66" s="435">
        <v>6.2730428453020203E-8</v>
      </c>
      <c r="BU66" s="95">
        <v>1</v>
      </c>
      <c r="BV66" s="96">
        <f t="shared" si="113"/>
        <v>1.2164594125584303</v>
      </c>
      <c r="BW66" s="432" t="str">
        <f t="shared" si="114"/>
        <v>(2,2,1,1,1,3); Calculation with average annual yield and share of technologies. Lifetime: 30a.</v>
      </c>
      <c r="BX66" s="435">
        <v>4.8034512284617403E-7</v>
      </c>
      <c r="BY66" s="95">
        <v>1</v>
      </c>
      <c r="BZ66" s="96">
        <f t="shared" si="115"/>
        <v>1.2164594125584303</v>
      </c>
      <c r="CA66" s="432" t="str">
        <f t="shared" si="116"/>
        <v>(2,2,1,1,1,3); Calculation with average annual yield and share of technologies. Lifetime: 30a.</v>
      </c>
      <c r="CB66" s="435">
        <v>3.04721998023326E-7</v>
      </c>
      <c r="CC66" s="95">
        <v>1</v>
      </c>
      <c r="CD66" s="96">
        <f t="shared" si="117"/>
        <v>1.2164594125584303</v>
      </c>
      <c r="CE66" s="432" t="str">
        <f t="shared" si="118"/>
        <v>(2,2,1,1,1,3); Calculation with average annual yield and share of technologies. Lifetime: 30a.</v>
      </c>
      <c r="CF66" s="435">
        <v>2.4247084870596202E-7</v>
      </c>
      <c r="CG66" s="95">
        <v>1</v>
      </c>
      <c r="CH66" s="96">
        <f t="shared" si="119"/>
        <v>1.2164594125584303</v>
      </c>
      <c r="CI66" s="432" t="str">
        <f t="shared" si="120"/>
        <v>(2,2,1,1,1,3); Calculation with average annual yield and share of technologies. Lifetime: 30a.</v>
      </c>
      <c r="CJ66" s="505" t="s">
        <v>2039</v>
      </c>
      <c r="CK66" s="505" t="s">
        <v>2214</v>
      </c>
      <c r="CL66" s="211">
        <v>10</v>
      </c>
      <c r="CM66" s="510">
        <v>0.22616666666666699</v>
      </c>
      <c r="CN66" s="212">
        <f t="shared" si="79"/>
        <v>44.2151805453205</v>
      </c>
      <c r="CO66" s="77" t="s">
        <v>2289</v>
      </c>
      <c r="CP66" s="339">
        <v>2</v>
      </c>
      <c r="CQ66" s="339">
        <v>2</v>
      </c>
      <c r="CR66" s="339">
        <v>1</v>
      </c>
      <c r="CS66" s="339">
        <v>1</v>
      </c>
      <c r="CT66" s="339">
        <v>1</v>
      </c>
      <c r="CU66" s="339">
        <v>3</v>
      </c>
      <c r="CV66" s="104">
        <v>9</v>
      </c>
      <c r="CW66" s="104">
        <v>1.2</v>
      </c>
      <c r="CX66" s="107">
        <f t="shared" si="121"/>
        <v>1.0744244531716256</v>
      </c>
      <c r="CY66" s="107">
        <f t="shared" si="122"/>
        <v>1.2164594125584303</v>
      </c>
      <c r="CZ66" s="107" t="str">
        <f t="shared" si="123"/>
        <v>(2,2,1,1,1,3)</v>
      </c>
      <c r="DA66" s="108">
        <v>1.05</v>
      </c>
      <c r="DB66" s="108">
        <v>1.02</v>
      </c>
      <c r="DC66" s="108">
        <v>1</v>
      </c>
      <c r="DD66" s="108">
        <v>1</v>
      </c>
      <c r="DE66" s="108">
        <v>1</v>
      </c>
      <c r="DF66" s="108">
        <v>1.05</v>
      </c>
      <c r="DH66" s="208">
        <v>2.6964462521176E-2</v>
      </c>
      <c r="DI66" s="209">
        <f t="shared" si="80"/>
        <v>1432.8220602632584</v>
      </c>
      <c r="DK66" s="192">
        <v>9.8313803169529701E-2</v>
      </c>
      <c r="DL66" s="399">
        <f t="shared" si="81"/>
        <v>922.03219315895353</v>
      </c>
      <c r="DM66" s="192">
        <v>9.1782851951520306E-2</v>
      </c>
      <c r="DN66" s="399">
        <f t="shared" si="82"/>
        <v>1050.5384576215422</v>
      </c>
    </row>
    <row r="67" spans="1:118" ht="24" customHeight="1">
      <c r="A67" s="330" t="s">
        <v>2023</v>
      </c>
      <c r="B67" s="331"/>
      <c r="C67" s="88"/>
      <c r="D67" s="340">
        <v>5</v>
      </c>
      <c r="E67" s="341" t="s">
        <v>98</v>
      </c>
      <c r="F67" s="432" t="s">
        <v>2021</v>
      </c>
      <c r="G67" s="433" t="s">
        <v>93</v>
      </c>
      <c r="H67" s="434" t="s">
        <v>98</v>
      </c>
      <c r="I67" s="434" t="s">
        <v>98</v>
      </c>
      <c r="J67" s="94">
        <v>1</v>
      </c>
      <c r="K67" s="433" t="s">
        <v>144</v>
      </c>
      <c r="L67" s="435">
        <v>1.1158736093115501E-7</v>
      </c>
      <c r="M67" s="95">
        <v>1</v>
      </c>
      <c r="N67" s="96">
        <f t="shared" si="83"/>
        <v>1.2164594125584303</v>
      </c>
      <c r="O67" s="432" t="str">
        <f t="shared" si="84"/>
        <v>(2,2,1,1,1,3); Calculation with average annual yield and share of technologies. Lifetime: 30a.</v>
      </c>
      <c r="P67" s="435">
        <v>1.4322960844090601E-7</v>
      </c>
      <c r="Q67" s="95">
        <v>1</v>
      </c>
      <c r="R67" s="96">
        <f t="shared" si="85"/>
        <v>1.2164594125584303</v>
      </c>
      <c r="S67" s="432" t="str">
        <f t="shared" si="86"/>
        <v>(2,2,1,1,1,3); Calculation with average annual yield and share of technologies. Lifetime: 30a.</v>
      </c>
      <c r="T67" s="435">
        <v>8.0665558865733304E-8</v>
      </c>
      <c r="U67" s="95">
        <v>1</v>
      </c>
      <c r="V67" s="96">
        <f t="shared" si="87"/>
        <v>1.2164594125584303</v>
      </c>
      <c r="W67" s="432" t="str">
        <f t="shared" si="88"/>
        <v>(2,2,1,1,1,3); Calculation with average annual yield and share of technologies. Lifetime: 30a.</v>
      </c>
      <c r="X67" s="435">
        <v>8.1267188051714395E-8</v>
      </c>
      <c r="Y67" s="95">
        <v>1</v>
      </c>
      <c r="Z67" s="96">
        <f t="shared" si="89"/>
        <v>1.2164594125584303</v>
      </c>
      <c r="AA67" s="432" t="str">
        <f t="shared" si="90"/>
        <v>(2,2,1,1,1,3); Calculation with average annual yield and share of technologies. Lifetime: 30a.</v>
      </c>
      <c r="AB67" s="435">
        <v>1.35262464975342E-7</v>
      </c>
      <c r="AC67" s="95">
        <v>1</v>
      </c>
      <c r="AD67" s="96">
        <f t="shared" si="91"/>
        <v>1.2164594125584303</v>
      </c>
      <c r="AE67" s="432" t="str">
        <f t="shared" si="92"/>
        <v>(2,2,1,1,1,3); Calculation with average annual yield and share of technologies. Lifetime: 30a.</v>
      </c>
      <c r="AF67" s="435">
        <v>6.6380566987650003E-8</v>
      </c>
      <c r="AG67" s="95">
        <v>1</v>
      </c>
      <c r="AH67" s="96">
        <f t="shared" si="93"/>
        <v>1.2164594125584303</v>
      </c>
      <c r="AI67" s="432" t="str">
        <f t="shared" si="94"/>
        <v>(2,2,1,1,1,3); Calculation with average annual yield and share of technologies. Lifetime: 30a.</v>
      </c>
      <c r="AJ67" s="435">
        <v>1.00443732603072E-7</v>
      </c>
      <c r="AK67" s="95">
        <v>1</v>
      </c>
      <c r="AL67" s="96">
        <f t="shared" si="95"/>
        <v>1.2164594125584303</v>
      </c>
      <c r="AM67" s="432" t="str">
        <f t="shared" si="96"/>
        <v>(2,2,1,1,1,3); Calculation with average annual yield and share of technologies. Lifetime: 30a.</v>
      </c>
      <c r="AN67" s="435">
        <v>5.7565666937268903E-8</v>
      </c>
      <c r="AO67" s="95">
        <v>1</v>
      </c>
      <c r="AP67" s="96">
        <f t="shared" si="97"/>
        <v>1.2164594125584303</v>
      </c>
      <c r="AQ67" s="432" t="str">
        <f t="shared" si="98"/>
        <v>(2,2,1,1,1,3); Calculation with average annual yield and share of technologies. Lifetime: 30a.</v>
      </c>
      <c r="AR67" s="435">
        <v>6.9835719128742103E-8</v>
      </c>
      <c r="AS67" s="95">
        <v>1</v>
      </c>
      <c r="AT67" s="96">
        <f t="shared" si="99"/>
        <v>1.2164594125584303</v>
      </c>
      <c r="AU67" s="432" t="str">
        <f t="shared" si="100"/>
        <v>(2,2,1,1,1,3); Calculation with average annual yield and share of technologies. Lifetime: 30a.</v>
      </c>
      <c r="AV67" s="435">
        <v>9.56517669583245E-8</v>
      </c>
      <c r="AW67" s="95">
        <v>1</v>
      </c>
      <c r="AX67" s="96">
        <f t="shared" si="101"/>
        <v>1.2164594125584303</v>
      </c>
      <c r="AY67" s="432" t="str">
        <f t="shared" si="102"/>
        <v>(2,2,1,1,1,3); Calculation with average annual yield and share of technologies. Lifetime: 30a.</v>
      </c>
      <c r="AZ67" s="435">
        <v>8.2300793845083905E-8</v>
      </c>
      <c r="BA67" s="95">
        <v>1</v>
      </c>
      <c r="BB67" s="96">
        <f t="shared" si="103"/>
        <v>1.2164594125584303</v>
      </c>
      <c r="BC67" s="432" t="str">
        <f t="shared" si="104"/>
        <v>(2,2,1,1,1,3); Calculation with average annual yield and share of technologies. Lifetime: 30a.</v>
      </c>
      <c r="BD67" s="435">
        <v>8.88719307223558E-8</v>
      </c>
      <c r="BE67" s="95">
        <v>1</v>
      </c>
      <c r="BF67" s="96">
        <f t="shared" si="105"/>
        <v>1.2164594125584303</v>
      </c>
      <c r="BG67" s="432" t="str">
        <f t="shared" si="106"/>
        <v>(2,2,1,1,1,3); Calculation with average annual yield and share of technologies. Lifetime: 30a.</v>
      </c>
      <c r="BH67" s="435">
        <v>6.2656798213282206E-8</v>
      </c>
      <c r="BI67" s="95">
        <v>1</v>
      </c>
      <c r="BJ67" s="96">
        <f t="shared" si="107"/>
        <v>1.2164594125584303</v>
      </c>
      <c r="BK67" s="432" t="str">
        <f t="shared" si="108"/>
        <v>(2,2,1,1,1,3); Calculation with average annual yield and share of technologies. Lifetime: 30a.</v>
      </c>
      <c r="BL67" s="435">
        <v>1.6227115609244501E-7</v>
      </c>
      <c r="BM67" s="95">
        <v>1</v>
      </c>
      <c r="BN67" s="96">
        <f t="shared" si="109"/>
        <v>1.2164594125584303</v>
      </c>
      <c r="BO67" s="432" t="str">
        <f t="shared" si="110"/>
        <v>(2,2,1,1,1,3); Calculation with average annual yield and share of technologies. Lifetime: 30a.</v>
      </c>
      <c r="BP67" s="435">
        <v>4.4695362883776701E-8</v>
      </c>
      <c r="BQ67" s="95">
        <v>1</v>
      </c>
      <c r="BR67" s="96">
        <f t="shared" si="111"/>
        <v>1.2164594125584303</v>
      </c>
      <c r="BS67" s="432" t="str">
        <f t="shared" si="112"/>
        <v>(2,2,1,1,1,3); Calculation with average annual yield and share of technologies. Lifetime: 30a.</v>
      </c>
      <c r="BT67" s="435">
        <v>1.7727763118898801E-8</v>
      </c>
      <c r="BU67" s="95">
        <v>1</v>
      </c>
      <c r="BV67" s="96">
        <f t="shared" si="113"/>
        <v>1.2164594125584303</v>
      </c>
      <c r="BW67" s="432" t="str">
        <f t="shared" si="114"/>
        <v>(2,2,1,1,1,3); Calculation with average annual yield and share of technologies. Lifetime: 30a.</v>
      </c>
      <c r="BX67" s="435">
        <v>1.3574663465773501E-7</v>
      </c>
      <c r="BY67" s="95">
        <v>1</v>
      </c>
      <c r="BZ67" s="96">
        <f t="shared" si="115"/>
        <v>1.2164594125584303</v>
      </c>
      <c r="CA67" s="432" t="str">
        <f t="shared" si="116"/>
        <v>(2,2,1,1,1,3); Calculation with average annual yield and share of technologies. Lifetime: 30a.</v>
      </c>
      <c r="CB67" s="435">
        <v>8.6115136326874598E-8</v>
      </c>
      <c r="CC67" s="95">
        <v>1</v>
      </c>
      <c r="CD67" s="96">
        <f t="shared" si="117"/>
        <v>1.2164594125584303</v>
      </c>
      <c r="CE67" s="432" t="str">
        <f t="shared" si="118"/>
        <v>(2,2,1,1,1,3); Calculation with average annual yield and share of technologies. Lifetime: 30a.</v>
      </c>
      <c r="CF67" s="435">
        <v>6.8522818592205705E-8</v>
      </c>
      <c r="CG67" s="95">
        <v>1</v>
      </c>
      <c r="CH67" s="96">
        <f t="shared" si="119"/>
        <v>1.2164594125584303</v>
      </c>
      <c r="CI67" s="432" t="str">
        <f t="shared" si="120"/>
        <v>(2,2,1,1,1,3); Calculation with average annual yield and share of technologies. Lifetime: 30a.</v>
      </c>
      <c r="CJ67" s="505" t="s">
        <v>2039</v>
      </c>
      <c r="CK67" s="505" t="s">
        <v>2087</v>
      </c>
      <c r="CL67" s="211">
        <v>10</v>
      </c>
      <c r="CM67" s="510">
        <v>0.184</v>
      </c>
      <c r="CN67" s="212">
        <f t="shared" si="79"/>
        <v>54.347826086956523</v>
      </c>
      <c r="CO67" s="77" t="s">
        <v>2289</v>
      </c>
      <c r="CP67" s="339">
        <v>2</v>
      </c>
      <c r="CQ67" s="339">
        <v>2</v>
      </c>
      <c r="CR67" s="339">
        <v>1</v>
      </c>
      <c r="CS67" s="339">
        <v>1</v>
      </c>
      <c r="CT67" s="339">
        <v>1</v>
      </c>
      <c r="CU67" s="339">
        <v>3</v>
      </c>
      <c r="CV67" s="104">
        <v>9</v>
      </c>
      <c r="CW67" s="104">
        <v>1.2</v>
      </c>
      <c r="CX67" s="107">
        <f t="shared" si="121"/>
        <v>1.0744244531716256</v>
      </c>
      <c r="CY67" s="107">
        <f t="shared" si="122"/>
        <v>1.2164594125584303</v>
      </c>
      <c r="CZ67" s="107" t="str">
        <f t="shared" si="123"/>
        <v>(2,2,1,1,1,3)</v>
      </c>
      <c r="DA67" s="108">
        <v>1.05</v>
      </c>
      <c r="DB67" s="108">
        <v>1.02</v>
      </c>
      <c r="DC67" s="108">
        <v>1</v>
      </c>
      <c r="DD67" s="108">
        <v>1</v>
      </c>
      <c r="DE67" s="108">
        <v>1</v>
      </c>
      <c r="DF67" s="108">
        <v>1.05</v>
      </c>
      <c r="DH67" s="208">
        <v>7.6202190227638803E-3</v>
      </c>
      <c r="DI67" s="209">
        <f t="shared" si="80"/>
        <v>1432.8220602632591</v>
      </c>
      <c r="DK67" s="192">
        <v>2.77837065183246E-2</v>
      </c>
      <c r="DL67" s="399">
        <f t="shared" si="81"/>
        <v>922.03219315895387</v>
      </c>
      <c r="DM67" s="192">
        <v>2.5938044708112899E-2</v>
      </c>
      <c r="DN67" s="399">
        <f t="shared" si="82"/>
        <v>1050.5384576215426</v>
      </c>
    </row>
    <row r="68" spans="1:118" ht="36" customHeight="1">
      <c r="A68" s="330">
        <v>15848</v>
      </c>
      <c r="B68" s="331" t="s">
        <v>594</v>
      </c>
      <c r="C68" s="88"/>
      <c r="D68" s="340" t="s">
        <v>98</v>
      </c>
      <c r="E68" s="341">
        <v>4</v>
      </c>
      <c r="F68" s="432" t="s">
        <v>121</v>
      </c>
      <c r="G68" s="433" t="s">
        <v>98</v>
      </c>
      <c r="H68" s="434" t="s">
        <v>247</v>
      </c>
      <c r="I68" s="434" t="s">
        <v>248</v>
      </c>
      <c r="J68" s="94" t="s">
        <v>98</v>
      </c>
      <c r="K68" s="433" t="s">
        <v>104</v>
      </c>
      <c r="L68" s="435">
        <f>L26-3.6</f>
        <v>0.25026737967914414</v>
      </c>
      <c r="M68" s="95">
        <v>1</v>
      </c>
      <c r="N68" s="96">
        <f t="shared" si="83"/>
        <v>1.05</v>
      </c>
      <c r="O68" s="432" t="str">
        <f t="shared" si="84"/>
        <v>(1,na,na,na,na,na); Calculation with average annual output and share of technologies; Average degradation of 10.5% included</v>
      </c>
      <c r="P68" s="435">
        <f>P26-3.6</f>
        <v>0.25026737967914414</v>
      </c>
      <c r="Q68" s="95">
        <v>1</v>
      </c>
      <c r="R68" s="96">
        <f t="shared" si="85"/>
        <v>1.05</v>
      </c>
      <c r="S68" s="432" t="str">
        <f t="shared" si="86"/>
        <v>(1,na,na,na,na,na); Calculation with average annual output and share of technologies; Average degradation of 10.5% included</v>
      </c>
      <c r="T68" s="435">
        <f>T26-3.6</f>
        <v>0.25026737967914414</v>
      </c>
      <c r="U68" s="95">
        <v>1</v>
      </c>
      <c r="V68" s="96">
        <f t="shared" si="87"/>
        <v>1.05</v>
      </c>
      <c r="W68" s="432" t="str">
        <f t="shared" si="88"/>
        <v>(1,na,na,na,na,na); Calculation with average annual output and share of technologies; Average degradation of 10.5% included</v>
      </c>
      <c r="X68" s="435">
        <f>X26-3.6</f>
        <v>0.25026737967914414</v>
      </c>
      <c r="Y68" s="95">
        <v>1</v>
      </c>
      <c r="Z68" s="96">
        <f t="shared" si="89"/>
        <v>1.05</v>
      </c>
      <c r="AA68" s="432" t="str">
        <f t="shared" si="90"/>
        <v>(1,na,na,na,na,na); Calculation with average annual output and share of technologies; Average degradation of 10.5% included</v>
      </c>
      <c r="AB68" s="435">
        <f>AB26-3.6</f>
        <v>0.25026737967914414</v>
      </c>
      <c r="AC68" s="95">
        <v>1</v>
      </c>
      <c r="AD68" s="96">
        <f t="shared" si="91"/>
        <v>1.05</v>
      </c>
      <c r="AE68" s="432" t="str">
        <f t="shared" si="92"/>
        <v>(1,na,na,na,na,na); Calculation with average annual output and share of technologies; Average degradation of 10.5% included</v>
      </c>
      <c r="AF68" s="435">
        <f>AF26-3.6</f>
        <v>0.25026737967914414</v>
      </c>
      <c r="AG68" s="95">
        <v>1</v>
      </c>
      <c r="AH68" s="96">
        <f t="shared" si="93"/>
        <v>1.05</v>
      </c>
      <c r="AI68" s="432" t="str">
        <f t="shared" si="94"/>
        <v>(1,na,na,na,na,na); Calculation with average annual output and share of technologies; Average degradation of 10.5% included</v>
      </c>
      <c r="AJ68" s="435">
        <f>AJ26-3.6</f>
        <v>0.25026737967914414</v>
      </c>
      <c r="AK68" s="95">
        <v>1</v>
      </c>
      <c r="AL68" s="96">
        <f t="shared" si="95"/>
        <v>1.05</v>
      </c>
      <c r="AM68" s="432" t="str">
        <f t="shared" si="96"/>
        <v>(1,na,na,na,na,na); Calculation with average annual output and share of technologies; Average degradation of 10.5% included</v>
      </c>
      <c r="AN68" s="435">
        <f>AN26-3.6</f>
        <v>0.25026737967914414</v>
      </c>
      <c r="AO68" s="95">
        <v>1</v>
      </c>
      <c r="AP68" s="96">
        <f t="shared" si="97"/>
        <v>1.05</v>
      </c>
      <c r="AQ68" s="432" t="str">
        <f t="shared" si="98"/>
        <v>(1,na,na,na,na,na); Calculation with average annual output and share of technologies; Average degradation of 10.5% included</v>
      </c>
      <c r="AR68" s="435">
        <f>AR26-3.6</f>
        <v>0.25026737967914414</v>
      </c>
      <c r="AS68" s="95">
        <v>1</v>
      </c>
      <c r="AT68" s="96">
        <f t="shared" si="99"/>
        <v>1.05</v>
      </c>
      <c r="AU68" s="432" t="str">
        <f t="shared" si="100"/>
        <v>(1,na,na,na,na,na); Calculation with average annual output and share of technologies; Average degradation of 10.5% included</v>
      </c>
      <c r="AV68" s="435">
        <f>AV26-3.6</f>
        <v>0.25026737967914414</v>
      </c>
      <c r="AW68" s="95">
        <v>1</v>
      </c>
      <c r="AX68" s="96">
        <f t="shared" si="101"/>
        <v>1.05</v>
      </c>
      <c r="AY68" s="432" t="str">
        <f t="shared" si="102"/>
        <v>(1,na,na,na,na,na); Calculation with average annual output and share of technologies; Average degradation of 10.5% included</v>
      </c>
      <c r="AZ68" s="435">
        <f>AZ26-3.6</f>
        <v>0.25026737967914414</v>
      </c>
      <c r="BA68" s="95">
        <v>1</v>
      </c>
      <c r="BB68" s="96">
        <f t="shared" si="103"/>
        <v>1.05</v>
      </c>
      <c r="BC68" s="432" t="str">
        <f t="shared" si="104"/>
        <v>(1,na,na,na,na,na); Calculation with average annual output and share of technologies; Average degradation of 10.5% included</v>
      </c>
      <c r="BD68" s="435">
        <f>BD26-3.6</f>
        <v>0.25026737967914414</v>
      </c>
      <c r="BE68" s="95">
        <v>1</v>
      </c>
      <c r="BF68" s="96">
        <f t="shared" si="105"/>
        <v>1.05</v>
      </c>
      <c r="BG68" s="432" t="str">
        <f t="shared" si="106"/>
        <v>(1,na,na,na,na,na); Calculation with average annual output and share of technologies; Average degradation of 10.5% included</v>
      </c>
      <c r="BH68" s="435">
        <f>BH26-3.6</f>
        <v>0.25026737967914414</v>
      </c>
      <c r="BI68" s="95">
        <v>1</v>
      </c>
      <c r="BJ68" s="96">
        <f t="shared" si="107"/>
        <v>1.05</v>
      </c>
      <c r="BK68" s="432" t="str">
        <f t="shared" si="108"/>
        <v>(1,na,na,na,na,na); Calculation with average annual output and share of technologies; Average degradation of 10.5% included</v>
      </c>
      <c r="BL68" s="435">
        <f>BL26-3.6</f>
        <v>0.25026737967914414</v>
      </c>
      <c r="BM68" s="95">
        <v>1</v>
      </c>
      <c r="BN68" s="96">
        <f t="shared" si="109"/>
        <v>1.05</v>
      </c>
      <c r="BO68" s="432" t="str">
        <f t="shared" si="110"/>
        <v>(1,na,na,na,na,na); Calculation with average annual output and share of technologies; Average degradation of 10.5% included</v>
      </c>
      <c r="BP68" s="435">
        <f>BP26-3.6</f>
        <v>0.25026737967914414</v>
      </c>
      <c r="BQ68" s="95">
        <v>1</v>
      </c>
      <c r="BR68" s="96">
        <f t="shared" si="111"/>
        <v>1.05</v>
      </c>
      <c r="BS68" s="432" t="str">
        <f t="shared" si="112"/>
        <v>(1,na,na,na,na,na); Calculation with average annual output and share of technologies; Average degradation of 10.5% included</v>
      </c>
      <c r="BT68" s="435">
        <f>BT26-3.6</f>
        <v>0.25026737967914414</v>
      </c>
      <c r="BU68" s="95">
        <v>1</v>
      </c>
      <c r="BV68" s="96">
        <f t="shared" si="113"/>
        <v>1.05</v>
      </c>
      <c r="BW68" s="432" t="str">
        <f t="shared" si="114"/>
        <v>(1,na,na,na,na,na); Calculation with average annual output and share of technologies; Average degradation of 10.5% included</v>
      </c>
      <c r="BX68" s="435">
        <f>BX26-3.6</f>
        <v>0.25026737967914414</v>
      </c>
      <c r="BY68" s="95">
        <v>1</v>
      </c>
      <c r="BZ68" s="96">
        <f t="shared" si="115"/>
        <v>1.05</v>
      </c>
      <c r="CA68" s="432" t="str">
        <f t="shared" si="116"/>
        <v>(1,na,na,na,na,na); Calculation with average annual output and share of technologies; Average degradation of 10.5% included</v>
      </c>
      <c r="CB68" s="435">
        <f>CB26-3.6</f>
        <v>0.25026737967914414</v>
      </c>
      <c r="CC68" s="95">
        <v>1</v>
      </c>
      <c r="CD68" s="96">
        <f t="shared" si="117"/>
        <v>1.05</v>
      </c>
      <c r="CE68" s="432" t="str">
        <f t="shared" si="118"/>
        <v>(1,na,na,na,na,na); Calculation with average annual output and share of technologies; Average degradation of 10.5% included</v>
      </c>
      <c r="CF68" s="435">
        <f>CF26-3.6</f>
        <v>0.25026737967914414</v>
      </c>
      <c r="CG68" s="95">
        <v>1</v>
      </c>
      <c r="CH68" s="96">
        <f t="shared" si="119"/>
        <v>1.05</v>
      </c>
      <c r="CI68" s="432" t="str">
        <f t="shared" si="120"/>
        <v>(1,na,na,na,na,na); Calculation with average annual output and share of technologies; Average degradation of 10.5% included</v>
      </c>
      <c r="CJ68" s="505"/>
      <c r="CK68" s="505"/>
      <c r="CL68" s="211"/>
      <c r="CM68" s="510"/>
      <c r="CO68" s="77" t="s">
        <v>2290</v>
      </c>
      <c r="CP68" s="339">
        <v>1</v>
      </c>
      <c r="CQ68" s="339" t="s">
        <v>106</v>
      </c>
      <c r="CR68" s="339" t="s">
        <v>106</v>
      </c>
      <c r="CS68" s="339" t="s">
        <v>106</v>
      </c>
      <c r="CT68" s="339" t="s">
        <v>106</v>
      </c>
      <c r="CU68" s="339" t="s">
        <v>106</v>
      </c>
      <c r="CV68" s="104">
        <v>13</v>
      </c>
      <c r="CW68" s="104">
        <v>1.05</v>
      </c>
      <c r="CX68" s="107">
        <f t="shared" si="121"/>
        <v>1</v>
      </c>
      <c r="CY68" s="107">
        <f t="shared" si="122"/>
        <v>1.05</v>
      </c>
      <c r="CZ68" s="107" t="str">
        <f t="shared" si="123"/>
        <v>(1,na,na,na,na,na)</v>
      </c>
      <c r="DA68" s="108">
        <v>1</v>
      </c>
      <c r="DB68" s="108">
        <v>1</v>
      </c>
      <c r="DC68" s="108">
        <v>1</v>
      </c>
      <c r="DD68" s="108">
        <v>1</v>
      </c>
      <c r="DE68" s="108">
        <v>1</v>
      </c>
      <c r="DF68" s="108">
        <v>1</v>
      </c>
      <c r="DH68" s="208"/>
      <c r="DI68" s="209"/>
    </row>
    <row r="69" spans="1:118">
      <c r="A69" s="330">
        <v>73390</v>
      </c>
      <c r="B69" s="331"/>
      <c r="C69" s="88"/>
      <c r="D69" s="340" t="s">
        <v>98</v>
      </c>
      <c r="E69" s="341">
        <v>4</v>
      </c>
      <c r="F69" s="432" t="s">
        <v>2291</v>
      </c>
      <c r="G69" s="433" t="s">
        <v>98</v>
      </c>
      <c r="H69" s="434" t="s">
        <v>247</v>
      </c>
      <c r="I69" s="434" t="s">
        <v>248</v>
      </c>
      <c r="J69" s="94" t="s">
        <v>98</v>
      </c>
      <c r="K69" s="433" t="s">
        <v>96</v>
      </c>
      <c r="L69" s="435">
        <f t="shared" ref="L69:L87" si="124">IF(RIGHT($F69,2)=L$4,0.1*SUM(L$27:L$45),0)</f>
        <v>2.962555737515088E-4</v>
      </c>
      <c r="M69" s="95">
        <v>1</v>
      </c>
      <c r="N69" s="96">
        <f t="shared" si="83"/>
        <v>1.5094881771396103</v>
      </c>
      <c r="O69" s="432" t="str">
        <f t="shared" si="84"/>
        <v>(2,2,1,1,1,3); Assumption: 10% of water used is evaporated</v>
      </c>
      <c r="P69" s="435">
        <f t="shared" ref="P69:P87" si="125">IF(RIGHT($F69,2)=P$4,0.1*SUM(P$27:P$45),0)</f>
        <v>0</v>
      </c>
      <c r="Q69" s="95">
        <v>1</v>
      </c>
      <c r="R69" s="96">
        <f t="shared" si="85"/>
        <v>1.5094881771396103</v>
      </c>
      <c r="S69" s="432" t="str">
        <f t="shared" si="86"/>
        <v>(2,2,1,1,1,3); Assumption: 10% of water used is evaporated</v>
      </c>
      <c r="T69" s="435">
        <f t="shared" ref="T69:T87" si="126">IF(RIGHT($F69,2)=T$4,0.1*SUM(T$27:T$45),0)</f>
        <v>0</v>
      </c>
      <c r="U69" s="95">
        <v>1</v>
      </c>
      <c r="V69" s="96">
        <f t="shared" si="87"/>
        <v>1.5094881771396103</v>
      </c>
      <c r="W69" s="432" t="str">
        <f t="shared" si="88"/>
        <v>(2,2,1,1,1,3); Assumption: 10% of water used is evaporated</v>
      </c>
      <c r="X69" s="435">
        <f t="shared" ref="X69:X87" si="127">IF(RIGHT($F69,2)=X$4,0.1*SUM(X$27:X$45),0)</f>
        <v>0</v>
      </c>
      <c r="Y69" s="95">
        <v>1</v>
      </c>
      <c r="Z69" s="96">
        <f t="shared" si="89"/>
        <v>1.5094881771396103</v>
      </c>
      <c r="AA69" s="432" t="str">
        <f t="shared" si="90"/>
        <v>(2,2,1,1,1,3); Assumption: 10% of water used is evaporated</v>
      </c>
      <c r="AB69" s="435">
        <f t="shared" ref="AB69:AB87" si="128">IF(RIGHT($F69,2)=AB$4,0.1*SUM(AB$27:AB$45),0)</f>
        <v>0</v>
      </c>
      <c r="AC69" s="95">
        <v>1</v>
      </c>
      <c r="AD69" s="96">
        <f t="shared" si="91"/>
        <v>1.5094881771396103</v>
      </c>
      <c r="AE69" s="432" t="str">
        <f t="shared" si="92"/>
        <v>(2,2,1,1,1,3); Assumption: 10% of water used is evaporated</v>
      </c>
      <c r="AF69" s="435">
        <f t="shared" ref="AF69:AF87" si="129">IF(RIGHT($F69,2)=AF$4,0.1*SUM(AF$27:AF$45),0)</f>
        <v>0</v>
      </c>
      <c r="AG69" s="95">
        <v>1</v>
      </c>
      <c r="AH69" s="96">
        <f t="shared" si="93"/>
        <v>1.5094881771396103</v>
      </c>
      <c r="AI69" s="432" t="str">
        <f t="shared" si="94"/>
        <v>(2,2,1,1,1,3); Assumption: 10% of water used is evaporated</v>
      </c>
      <c r="AJ69" s="435">
        <f t="shared" ref="AJ69:AJ87" si="130">IF(RIGHT($F69,2)=AJ$4,0.1*SUM(AJ$27:AJ$45),0)</f>
        <v>0</v>
      </c>
      <c r="AK69" s="95">
        <v>1</v>
      </c>
      <c r="AL69" s="96">
        <f t="shared" si="95"/>
        <v>1.5094881771396103</v>
      </c>
      <c r="AM69" s="432" t="str">
        <f t="shared" si="96"/>
        <v>(2,2,1,1,1,3); Assumption: 10% of water used is evaporated</v>
      </c>
      <c r="AN69" s="435">
        <f t="shared" ref="AN69:AN87" si="131">IF(RIGHT($F69,2)=AN$4,0.1*SUM(AN$27:AN$45),0)</f>
        <v>0</v>
      </c>
      <c r="AO69" s="95">
        <v>1</v>
      </c>
      <c r="AP69" s="96">
        <f t="shared" si="97"/>
        <v>1.5094881771396103</v>
      </c>
      <c r="AQ69" s="432" t="str">
        <f t="shared" si="98"/>
        <v>(2,2,1,1,1,3); Assumption: 10% of water used is evaporated</v>
      </c>
      <c r="AR69" s="435">
        <f t="shared" ref="AR69:AR87" si="132">IF(RIGHT($F69,2)=AR$4,0.1*SUM(AR$27:AR$45),0)</f>
        <v>0</v>
      </c>
      <c r="AS69" s="95">
        <v>1</v>
      </c>
      <c r="AT69" s="96">
        <f t="shared" si="99"/>
        <v>1.5094881771396103</v>
      </c>
      <c r="AU69" s="432" t="str">
        <f t="shared" si="100"/>
        <v>(2,2,1,1,1,3); Assumption: 10% of water used is evaporated</v>
      </c>
      <c r="AV69" s="435">
        <f t="shared" ref="AV69:AV87" si="133">IF(RIGHT($F69,2)=AV$4,0.1*SUM(AV$27:AV$45),0)</f>
        <v>0</v>
      </c>
      <c r="AW69" s="95">
        <v>1</v>
      </c>
      <c r="AX69" s="96">
        <f t="shared" si="101"/>
        <v>1.5094881771396103</v>
      </c>
      <c r="AY69" s="432" t="str">
        <f t="shared" si="102"/>
        <v>(2,2,1,1,1,3); Assumption: 10% of water used is evaporated</v>
      </c>
      <c r="AZ69" s="435">
        <f t="shared" ref="AZ69:AZ87" si="134">IF(RIGHT($F69,2)=AZ$4,0.1*SUM(AZ$27:AZ$45),0)</f>
        <v>0</v>
      </c>
      <c r="BA69" s="95">
        <v>1</v>
      </c>
      <c r="BB69" s="96">
        <f t="shared" si="103"/>
        <v>1.5094881771396103</v>
      </c>
      <c r="BC69" s="432" t="str">
        <f t="shared" si="104"/>
        <v>(2,2,1,1,1,3); Assumption: 10% of water used is evaporated</v>
      </c>
      <c r="BD69" s="435">
        <f t="shared" ref="BD69:BD87" si="135">IF(RIGHT($F69,2)=BD$4,0.1*SUM(BD$27:BD$45),0)</f>
        <v>0</v>
      </c>
      <c r="BE69" s="95">
        <v>1</v>
      </c>
      <c r="BF69" s="96">
        <f t="shared" si="105"/>
        <v>1.5094881771396103</v>
      </c>
      <c r="BG69" s="432" t="str">
        <f t="shared" si="106"/>
        <v>(2,2,1,1,1,3); Assumption: 10% of water used is evaporated</v>
      </c>
      <c r="BH69" s="435">
        <f t="shared" ref="BH69:BH87" si="136">IF(RIGHT($F69,2)=BH$4,0.1*SUM(BH$27:BH$45),0)</f>
        <v>0</v>
      </c>
      <c r="BI69" s="95">
        <v>1</v>
      </c>
      <c r="BJ69" s="96">
        <f t="shared" si="107"/>
        <v>1.5094881771396103</v>
      </c>
      <c r="BK69" s="432" t="str">
        <f t="shared" si="108"/>
        <v>(2,2,1,1,1,3); Assumption: 10% of water used is evaporated</v>
      </c>
      <c r="BL69" s="435">
        <f t="shared" ref="BL69:BL87" si="137">IF(RIGHT($F69,2)=BL$4,0.1*SUM(BL$27:BL$45),0)</f>
        <v>0</v>
      </c>
      <c r="BM69" s="95">
        <v>1</v>
      </c>
      <c r="BN69" s="96">
        <f t="shared" si="109"/>
        <v>1.5094881771396103</v>
      </c>
      <c r="BO69" s="432" t="str">
        <f t="shared" si="110"/>
        <v>(2,2,1,1,1,3); Assumption: 10% of water used is evaporated</v>
      </c>
      <c r="BP69" s="435">
        <f t="shared" ref="BP69:BP87" si="138">IF(RIGHT($F69,2)=BP$4,0.1*SUM(BP$27:BP$45),0)</f>
        <v>0</v>
      </c>
      <c r="BQ69" s="95">
        <v>1</v>
      </c>
      <c r="BR69" s="96">
        <f t="shared" si="111"/>
        <v>1.5094881771396103</v>
      </c>
      <c r="BS69" s="432" t="str">
        <f t="shared" si="112"/>
        <v>(2,2,1,1,1,3); Assumption: 10% of water used is evaporated</v>
      </c>
      <c r="BT69" s="435">
        <f t="shared" ref="BT69:BT87" si="139">IF(RIGHT($F69,2)=BT$4,0.1*SUM(BT$27:BT$45),0)</f>
        <v>0</v>
      </c>
      <c r="BU69" s="95">
        <v>1</v>
      </c>
      <c r="BV69" s="96">
        <f t="shared" si="113"/>
        <v>1.5094881771396103</v>
      </c>
      <c r="BW69" s="432" t="str">
        <f t="shared" si="114"/>
        <v>(2,2,1,1,1,3); Assumption: 10% of water used is evaporated</v>
      </c>
      <c r="BX69" s="435">
        <f t="shared" ref="BX69:BX87" si="140">IF(RIGHT($F69,2)=BX$4,0.1*SUM(BX$27:BX$45),0)</f>
        <v>0</v>
      </c>
      <c r="BY69" s="95">
        <v>1</v>
      </c>
      <c r="BZ69" s="96">
        <f t="shared" si="115"/>
        <v>1.5094881771396103</v>
      </c>
      <c r="CA69" s="432" t="str">
        <f t="shared" si="116"/>
        <v>(2,2,1,1,1,3); Assumption: 10% of water used is evaporated</v>
      </c>
      <c r="CB69" s="435">
        <f t="shared" ref="CB69:CB87" si="141">IF(RIGHT($F69,2)=CB$4,0.1*SUM(CB$27:CB$45),0)</f>
        <v>0</v>
      </c>
      <c r="CC69" s="95">
        <v>1</v>
      </c>
      <c r="CD69" s="96">
        <f t="shared" si="117"/>
        <v>1.5094881771396103</v>
      </c>
      <c r="CE69" s="432" t="str">
        <f t="shared" si="118"/>
        <v>(2,2,1,1,1,3); Assumption: 10% of water used is evaporated</v>
      </c>
      <c r="CF69" s="435">
        <f t="shared" ref="CF69:CF87" si="142">IF(RIGHT($F69,2)=CF$4,0.1*SUM(CF$27:CF$45),0)</f>
        <v>0</v>
      </c>
      <c r="CG69" s="95">
        <v>1</v>
      </c>
      <c r="CH69" s="96">
        <f t="shared" si="119"/>
        <v>1.5094881771396103</v>
      </c>
      <c r="CI69" s="432" t="str">
        <f t="shared" si="120"/>
        <v>(2,2,1,1,1,3); Assumption: 10% of water used is evaporated</v>
      </c>
      <c r="CJ69" s="505"/>
      <c r="CK69" s="505"/>
      <c r="CL69" s="211"/>
      <c r="CM69" s="510"/>
      <c r="CO69" s="77" t="s">
        <v>2217</v>
      </c>
      <c r="CP69" s="339">
        <v>2</v>
      </c>
      <c r="CQ69" s="339">
        <v>2</v>
      </c>
      <c r="CR69" s="339">
        <v>1</v>
      </c>
      <c r="CS69" s="339">
        <v>1</v>
      </c>
      <c r="CT69" s="339">
        <v>1</v>
      </c>
      <c r="CU69" s="339">
        <v>3</v>
      </c>
      <c r="CV69" s="104">
        <v>31</v>
      </c>
      <c r="CW69" s="104">
        <v>1.5</v>
      </c>
      <c r="CX69" s="107">
        <f t="shared" si="121"/>
        <v>1.0744244531716256</v>
      </c>
      <c r="CY69" s="107">
        <f t="shared" si="122"/>
        <v>1.5094881771396103</v>
      </c>
      <c r="CZ69" s="107" t="str">
        <f t="shared" si="123"/>
        <v>(2,2,1,1,1,3)</v>
      </c>
      <c r="DA69" s="108">
        <v>1.05</v>
      </c>
      <c r="DB69" s="108">
        <v>1.02</v>
      </c>
      <c r="DC69" s="108">
        <v>1</v>
      </c>
      <c r="DD69" s="108">
        <v>1</v>
      </c>
      <c r="DE69" s="108">
        <v>1</v>
      </c>
      <c r="DF69" s="108">
        <v>1.05</v>
      </c>
      <c r="DH69" s="208"/>
      <c r="DI69" s="209"/>
    </row>
    <row r="70" spans="1:118">
      <c r="A70" s="330">
        <v>65299</v>
      </c>
      <c r="B70" s="331"/>
      <c r="C70" s="88"/>
      <c r="D70" s="340" t="s">
        <v>98</v>
      </c>
      <c r="E70" s="341">
        <v>4</v>
      </c>
      <c r="F70" s="432" t="s">
        <v>2292</v>
      </c>
      <c r="G70" s="433" t="s">
        <v>98</v>
      </c>
      <c r="H70" s="434" t="s">
        <v>247</v>
      </c>
      <c r="I70" s="434" t="s">
        <v>248</v>
      </c>
      <c r="J70" s="94" t="s">
        <v>98</v>
      </c>
      <c r="K70" s="433" t="s">
        <v>96</v>
      </c>
      <c r="L70" s="435">
        <f t="shared" si="124"/>
        <v>0</v>
      </c>
      <c r="M70" s="95">
        <v>1</v>
      </c>
      <c r="N70" s="96">
        <f t="shared" si="83"/>
        <v>1.5094881771396103</v>
      </c>
      <c r="O70" s="432" t="str">
        <f t="shared" si="84"/>
        <v>(2,2,1,1,1,3); Assumption: 10% of water used is evaporated</v>
      </c>
      <c r="P70" s="435">
        <f t="shared" si="125"/>
        <v>3.647119190772069E-4</v>
      </c>
      <c r="Q70" s="95">
        <v>1</v>
      </c>
      <c r="R70" s="96">
        <f t="shared" si="85"/>
        <v>1.5094881771396103</v>
      </c>
      <c r="S70" s="432" t="str">
        <f t="shared" si="86"/>
        <v>(2,2,1,1,1,3); Assumption: 10% of water used is evaporated</v>
      </c>
      <c r="T70" s="435">
        <f t="shared" si="126"/>
        <v>0</v>
      </c>
      <c r="U70" s="95">
        <v>1</v>
      </c>
      <c r="V70" s="96">
        <f t="shared" si="87"/>
        <v>1.5094881771396103</v>
      </c>
      <c r="W70" s="432" t="str">
        <f t="shared" si="88"/>
        <v>(2,2,1,1,1,3); Assumption: 10% of water used is evaporated</v>
      </c>
      <c r="X70" s="435">
        <f t="shared" si="127"/>
        <v>0</v>
      </c>
      <c r="Y70" s="95">
        <v>1</v>
      </c>
      <c r="Z70" s="96">
        <f t="shared" si="89"/>
        <v>1.5094881771396103</v>
      </c>
      <c r="AA70" s="432" t="str">
        <f t="shared" si="90"/>
        <v>(2,2,1,1,1,3); Assumption: 10% of water used is evaporated</v>
      </c>
      <c r="AB70" s="435">
        <f t="shared" si="128"/>
        <v>0</v>
      </c>
      <c r="AC70" s="95">
        <v>1</v>
      </c>
      <c r="AD70" s="96">
        <f t="shared" si="91"/>
        <v>1.5094881771396103</v>
      </c>
      <c r="AE70" s="432" t="str">
        <f t="shared" si="92"/>
        <v>(2,2,1,1,1,3); Assumption: 10% of water used is evaporated</v>
      </c>
      <c r="AF70" s="435">
        <f t="shared" si="129"/>
        <v>0</v>
      </c>
      <c r="AG70" s="95">
        <v>1</v>
      </c>
      <c r="AH70" s="96">
        <f t="shared" si="93"/>
        <v>1.5094881771396103</v>
      </c>
      <c r="AI70" s="432" t="str">
        <f t="shared" si="94"/>
        <v>(2,2,1,1,1,3); Assumption: 10% of water used is evaporated</v>
      </c>
      <c r="AJ70" s="435">
        <f t="shared" si="130"/>
        <v>0</v>
      </c>
      <c r="AK70" s="95">
        <v>1</v>
      </c>
      <c r="AL70" s="96">
        <f t="shared" si="95"/>
        <v>1.5094881771396103</v>
      </c>
      <c r="AM70" s="432" t="str">
        <f t="shared" si="96"/>
        <v>(2,2,1,1,1,3); Assumption: 10% of water used is evaporated</v>
      </c>
      <c r="AN70" s="435">
        <f t="shared" si="131"/>
        <v>0</v>
      </c>
      <c r="AO70" s="95">
        <v>1</v>
      </c>
      <c r="AP70" s="96">
        <f t="shared" si="97"/>
        <v>1.5094881771396103</v>
      </c>
      <c r="AQ70" s="432" t="str">
        <f t="shared" si="98"/>
        <v>(2,2,1,1,1,3); Assumption: 10% of water used is evaporated</v>
      </c>
      <c r="AR70" s="435">
        <f t="shared" si="132"/>
        <v>0</v>
      </c>
      <c r="AS70" s="95">
        <v>1</v>
      </c>
      <c r="AT70" s="96">
        <f t="shared" si="99"/>
        <v>1.5094881771396103</v>
      </c>
      <c r="AU70" s="432" t="str">
        <f t="shared" si="100"/>
        <v>(2,2,1,1,1,3); Assumption: 10% of water used is evaporated</v>
      </c>
      <c r="AV70" s="435">
        <f t="shared" si="133"/>
        <v>0</v>
      </c>
      <c r="AW70" s="95">
        <v>1</v>
      </c>
      <c r="AX70" s="96">
        <f t="shared" si="101"/>
        <v>1.5094881771396103</v>
      </c>
      <c r="AY70" s="432" t="str">
        <f t="shared" si="102"/>
        <v>(2,2,1,1,1,3); Assumption: 10% of water used is evaporated</v>
      </c>
      <c r="AZ70" s="435">
        <f t="shared" si="134"/>
        <v>0</v>
      </c>
      <c r="BA70" s="95">
        <v>1</v>
      </c>
      <c r="BB70" s="96">
        <f t="shared" si="103"/>
        <v>1.5094881771396103</v>
      </c>
      <c r="BC70" s="432" t="str">
        <f t="shared" si="104"/>
        <v>(2,2,1,1,1,3); Assumption: 10% of water used is evaporated</v>
      </c>
      <c r="BD70" s="435">
        <f t="shared" si="135"/>
        <v>0</v>
      </c>
      <c r="BE70" s="95">
        <v>1</v>
      </c>
      <c r="BF70" s="96">
        <f t="shared" si="105"/>
        <v>1.5094881771396103</v>
      </c>
      <c r="BG70" s="432" t="str">
        <f t="shared" si="106"/>
        <v>(2,2,1,1,1,3); Assumption: 10% of water used is evaporated</v>
      </c>
      <c r="BH70" s="435">
        <f t="shared" si="136"/>
        <v>0</v>
      </c>
      <c r="BI70" s="95">
        <v>1</v>
      </c>
      <c r="BJ70" s="96">
        <f t="shared" si="107"/>
        <v>1.5094881771396103</v>
      </c>
      <c r="BK70" s="432" t="str">
        <f t="shared" si="108"/>
        <v>(2,2,1,1,1,3); Assumption: 10% of water used is evaporated</v>
      </c>
      <c r="BL70" s="435">
        <f t="shared" si="137"/>
        <v>0</v>
      </c>
      <c r="BM70" s="95">
        <v>1</v>
      </c>
      <c r="BN70" s="96">
        <f t="shared" si="109"/>
        <v>1.5094881771396103</v>
      </c>
      <c r="BO70" s="432" t="str">
        <f t="shared" si="110"/>
        <v>(2,2,1,1,1,3); Assumption: 10% of water used is evaporated</v>
      </c>
      <c r="BP70" s="435">
        <f t="shared" si="138"/>
        <v>0</v>
      </c>
      <c r="BQ70" s="95">
        <v>1</v>
      </c>
      <c r="BR70" s="96">
        <f t="shared" si="111"/>
        <v>1.5094881771396103</v>
      </c>
      <c r="BS70" s="432" t="str">
        <f t="shared" si="112"/>
        <v>(2,2,1,1,1,3); Assumption: 10% of water used is evaporated</v>
      </c>
      <c r="BT70" s="435">
        <f t="shared" si="139"/>
        <v>0</v>
      </c>
      <c r="BU70" s="95">
        <v>1</v>
      </c>
      <c r="BV70" s="96">
        <f t="shared" si="113"/>
        <v>1.5094881771396103</v>
      </c>
      <c r="BW70" s="432" t="str">
        <f t="shared" si="114"/>
        <v>(2,2,1,1,1,3); Assumption: 10% of water used is evaporated</v>
      </c>
      <c r="BX70" s="435">
        <f t="shared" si="140"/>
        <v>0</v>
      </c>
      <c r="BY70" s="95">
        <v>1</v>
      </c>
      <c r="BZ70" s="96">
        <f t="shared" si="115"/>
        <v>1.5094881771396103</v>
      </c>
      <c r="CA70" s="432" t="str">
        <f t="shared" si="116"/>
        <v>(2,2,1,1,1,3); Assumption: 10% of water used is evaporated</v>
      </c>
      <c r="CB70" s="435">
        <f t="shared" si="141"/>
        <v>0</v>
      </c>
      <c r="CC70" s="95">
        <v>1</v>
      </c>
      <c r="CD70" s="96">
        <f t="shared" si="117"/>
        <v>1.5094881771396103</v>
      </c>
      <c r="CE70" s="432" t="str">
        <f t="shared" si="118"/>
        <v>(2,2,1,1,1,3); Assumption: 10% of water used is evaporated</v>
      </c>
      <c r="CF70" s="435">
        <f t="shared" si="142"/>
        <v>0</v>
      </c>
      <c r="CG70" s="95">
        <v>1</v>
      </c>
      <c r="CH70" s="96">
        <f t="shared" si="119"/>
        <v>1.5094881771396103</v>
      </c>
      <c r="CI70" s="432" t="str">
        <f t="shared" si="120"/>
        <v>(2,2,1,1,1,3); Assumption: 10% of water used is evaporated</v>
      </c>
      <c r="CJ70" s="505"/>
      <c r="CK70" s="505"/>
      <c r="CL70" s="211"/>
      <c r="CM70" s="510"/>
      <c r="CO70" s="77" t="s">
        <v>2217</v>
      </c>
      <c r="CP70" s="339">
        <v>2</v>
      </c>
      <c r="CQ70" s="339">
        <v>2</v>
      </c>
      <c r="CR70" s="339">
        <v>1</v>
      </c>
      <c r="CS70" s="339">
        <v>1</v>
      </c>
      <c r="CT70" s="339">
        <v>1</v>
      </c>
      <c r="CU70" s="339">
        <v>3</v>
      </c>
      <c r="CV70" s="104">
        <v>31</v>
      </c>
      <c r="CW70" s="104">
        <v>1.5</v>
      </c>
      <c r="CX70" s="107">
        <f t="shared" si="121"/>
        <v>1.0744244531716256</v>
      </c>
      <c r="CY70" s="107">
        <f t="shared" si="122"/>
        <v>1.5094881771396103</v>
      </c>
      <c r="CZ70" s="107" t="str">
        <f t="shared" si="123"/>
        <v>(2,2,1,1,1,3)</v>
      </c>
      <c r="DA70" s="108">
        <v>1.05</v>
      </c>
      <c r="DB70" s="108">
        <v>1.02</v>
      </c>
      <c r="DC70" s="108">
        <v>1</v>
      </c>
      <c r="DD70" s="108">
        <v>1</v>
      </c>
      <c r="DE70" s="108">
        <v>1</v>
      </c>
      <c r="DF70" s="108">
        <v>1.05</v>
      </c>
      <c r="DH70" s="208"/>
      <c r="DI70" s="209"/>
    </row>
    <row r="71" spans="1:118">
      <c r="A71" s="330">
        <v>156795</v>
      </c>
      <c r="B71" s="331"/>
      <c r="C71" s="88"/>
      <c r="D71" s="340" t="s">
        <v>98</v>
      </c>
      <c r="E71" s="341">
        <v>4</v>
      </c>
      <c r="F71" s="432" t="s">
        <v>2293</v>
      </c>
      <c r="G71" s="433" t="s">
        <v>98</v>
      </c>
      <c r="H71" s="434" t="s">
        <v>247</v>
      </c>
      <c r="I71" s="434" t="s">
        <v>248</v>
      </c>
      <c r="J71" s="94" t="s">
        <v>98</v>
      </c>
      <c r="K71" s="433" t="s">
        <v>96</v>
      </c>
      <c r="L71" s="435">
        <f t="shared" si="124"/>
        <v>0</v>
      </c>
      <c r="M71" s="95">
        <v>1</v>
      </c>
      <c r="N71" s="96">
        <f t="shared" si="83"/>
        <v>1.5094881771396103</v>
      </c>
      <c r="O71" s="432" t="str">
        <f t="shared" si="84"/>
        <v>(2,2,1,1,1,3); Assumption: 10% of water used is evaporated</v>
      </c>
      <c r="P71" s="435">
        <f t="shared" si="125"/>
        <v>0</v>
      </c>
      <c r="Q71" s="95">
        <v>1</v>
      </c>
      <c r="R71" s="96">
        <f t="shared" si="85"/>
        <v>1.5094881771396103</v>
      </c>
      <c r="S71" s="432" t="str">
        <f t="shared" si="86"/>
        <v>(2,2,1,1,1,3); Assumption: 10% of water used is evaporated</v>
      </c>
      <c r="T71" s="435">
        <f t="shared" si="126"/>
        <v>3.2307990487651702E-4</v>
      </c>
      <c r="U71" s="95">
        <v>1</v>
      </c>
      <c r="V71" s="96">
        <f t="shared" si="87"/>
        <v>1.5094881771396103</v>
      </c>
      <c r="W71" s="432" t="str">
        <f t="shared" si="88"/>
        <v>(2,2,1,1,1,3); Assumption: 10% of water used is evaporated</v>
      </c>
      <c r="X71" s="435">
        <f t="shared" si="127"/>
        <v>0</v>
      </c>
      <c r="Y71" s="95">
        <v>1</v>
      </c>
      <c r="Z71" s="96">
        <f t="shared" si="89"/>
        <v>1.5094881771396103</v>
      </c>
      <c r="AA71" s="432" t="str">
        <f t="shared" si="90"/>
        <v>(2,2,1,1,1,3); Assumption: 10% of water used is evaporated</v>
      </c>
      <c r="AB71" s="435">
        <f t="shared" si="128"/>
        <v>0</v>
      </c>
      <c r="AC71" s="95">
        <v>1</v>
      </c>
      <c r="AD71" s="96">
        <f t="shared" si="91"/>
        <v>1.5094881771396103</v>
      </c>
      <c r="AE71" s="432" t="str">
        <f t="shared" si="92"/>
        <v>(2,2,1,1,1,3); Assumption: 10% of water used is evaporated</v>
      </c>
      <c r="AF71" s="435">
        <f t="shared" si="129"/>
        <v>0</v>
      </c>
      <c r="AG71" s="95">
        <v>1</v>
      </c>
      <c r="AH71" s="96">
        <f t="shared" si="93"/>
        <v>1.5094881771396103</v>
      </c>
      <c r="AI71" s="432" t="str">
        <f t="shared" si="94"/>
        <v>(2,2,1,1,1,3); Assumption: 10% of water used is evaporated</v>
      </c>
      <c r="AJ71" s="435">
        <f t="shared" si="130"/>
        <v>0</v>
      </c>
      <c r="AK71" s="95">
        <v>1</v>
      </c>
      <c r="AL71" s="96">
        <f t="shared" si="95"/>
        <v>1.5094881771396103</v>
      </c>
      <c r="AM71" s="432" t="str">
        <f t="shared" si="96"/>
        <v>(2,2,1,1,1,3); Assumption: 10% of water used is evaporated</v>
      </c>
      <c r="AN71" s="435">
        <f t="shared" si="131"/>
        <v>0</v>
      </c>
      <c r="AO71" s="95">
        <v>1</v>
      </c>
      <c r="AP71" s="96">
        <f t="shared" si="97"/>
        <v>1.5094881771396103</v>
      </c>
      <c r="AQ71" s="432" t="str">
        <f t="shared" si="98"/>
        <v>(2,2,1,1,1,3); Assumption: 10% of water used is evaporated</v>
      </c>
      <c r="AR71" s="435">
        <f t="shared" si="132"/>
        <v>0</v>
      </c>
      <c r="AS71" s="95">
        <v>1</v>
      </c>
      <c r="AT71" s="96">
        <f t="shared" si="99"/>
        <v>1.5094881771396103</v>
      </c>
      <c r="AU71" s="432" t="str">
        <f t="shared" si="100"/>
        <v>(2,2,1,1,1,3); Assumption: 10% of water used is evaporated</v>
      </c>
      <c r="AV71" s="435">
        <f t="shared" si="133"/>
        <v>0</v>
      </c>
      <c r="AW71" s="95">
        <v>1</v>
      </c>
      <c r="AX71" s="96">
        <f t="shared" si="101"/>
        <v>1.5094881771396103</v>
      </c>
      <c r="AY71" s="432" t="str">
        <f t="shared" si="102"/>
        <v>(2,2,1,1,1,3); Assumption: 10% of water used is evaporated</v>
      </c>
      <c r="AZ71" s="435">
        <f t="shared" si="134"/>
        <v>0</v>
      </c>
      <c r="BA71" s="95">
        <v>1</v>
      </c>
      <c r="BB71" s="96">
        <f t="shared" si="103"/>
        <v>1.5094881771396103</v>
      </c>
      <c r="BC71" s="432" t="str">
        <f t="shared" si="104"/>
        <v>(2,2,1,1,1,3); Assumption: 10% of water used is evaporated</v>
      </c>
      <c r="BD71" s="435">
        <f t="shared" si="135"/>
        <v>0</v>
      </c>
      <c r="BE71" s="95">
        <v>1</v>
      </c>
      <c r="BF71" s="96">
        <f t="shared" si="105"/>
        <v>1.5094881771396103</v>
      </c>
      <c r="BG71" s="432" t="str">
        <f t="shared" si="106"/>
        <v>(2,2,1,1,1,3); Assumption: 10% of water used is evaporated</v>
      </c>
      <c r="BH71" s="435">
        <f t="shared" si="136"/>
        <v>0</v>
      </c>
      <c r="BI71" s="95">
        <v>1</v>
      </c>
      <c r="BJ71" s="96">
        <f t="shared" si="107"/>
        <v>1.5094881771396103</v>
      </c>
      <c r="BK71" s="432" t="str">
        <f t="shared" si="108"/>
        <v>(2,2,1,1,1,3); Assumption: 10% of water used is evaporated</v>
      </c>
      <c r="BL71" s="435">
        <f t="shared" si="137"/>
        <v>0</v>
      </c>
      <c r="BM71" s="95">
        <v>1</v>
      </c>
      <c r="BN71" s="96">
        <f t="shared" si="109"/>
        <v>1.5094881771396103</v>
      </c>
      <c r="BO71" s="432" t="str">
        <f t="shared" si="110"/>
        <v>(2,2,1,1,1,3); Assumption: 10% of water used is evaporated</v>
      </c>
      <c r="BP71" s="435">
        <f t="shared" si="138"/>
        <v>0</v>
      </c>
      <c r="BQ71" s="95">
        <v>1</v>
      </c>
      <c r="BR71" s="96">
        <f t="shared" si="111"/>
        <v>1.5094881771396103</v>
      </c>
      <c r="BS71" s="432" t="str">
        <f t="shared" si="112"/>
        <v>(2,2,1,1,1,3); Assumption: 10% of water used is evaporated</v>
      </c>
      <c r="BT71" s="435">
        <f t="shared" si="139"/>
        <v>0</v>
      </c>
      <c r="BU71" s="95">
        <v>1</v>
      </c>
      <c r="BV71" s="96">
        <f t="shared" si="113"/>
        <v>1.5094881771396103</v>
      </c>
      <c r="BW71" s="432" t="str">
        <f t="shared" si="114"/>
        <v>(2,2,1,1,1,3); Assumption: 10% of water used is evaporated</v>
      </c>
      <c r="BX71" s="435">
        <f t="shared" si="140"/>
        <v>0</v>
      </c>
      <c r="BY71" s="95">
        <v>1</v>
      </c>
      <c r="BZ71" s="96">
        <f t="shared" si="115"/>
        <v>1.5094881771396103</v>
      </c>
      <c r="CA71" s="432" t="str">
        <f t="shared" si="116"/>
        <v>(2,2,1,1,1,3); Assumption: 10% of water used is evaporated</v>
      </c>
      <c r="CB71" s="435">
        <f t="shared" si="141"/>
        <v>0</v>
      </c>
      <c r="CC71" s="95">
        <v>1</v>
      </c>
      <c r="CD71" s="96">
        <f t="shared" si="117"/>
        <v>1.5094881771396103</v>
      </c>
      <c r="CE71" s="432" t="str">
        <f t="shared" si="118"/>
        <v>(2,2,1,1,1,3); Assumption: 10% of water used is evaporated</v>
      </c>
      <c r="CF71" s="435">
        <f t="shared" si="142"/>
        <v>0</v>
      </c>
      <c r="CG71" s="95">
        <v>1</v>
      </c>
      <c r="CH71" s="96">
        <f t="shared" si="119"/>
        <v>1.5094881771396103</v>
      </c>
      <c r="CI71" s="432" t="str">
        <f t="shared" si="120"/>
        <v>(2,2,1,1,1,3); Assumption: 10% of water used is evaporated</v>
      </c>
      <c r="CJ71" s="505"/>
      <c r="CK71" s="505"/>
      <c r="CL71" s="211"/>
      <c r="CM71" s="510"/>
      <c r="CO71" s="77" t="s">
        <v>2217</v>
      </c>
      <c r="CP71" s="339">
        <v>2</v>
      </c>
      <c r="CQ71" s="339">
        <v>2</v>
      </c>
      <c r="CR71" s="339">
        <v>1</v>
      </c>
      <c r="CS71" s="339">
        <v>1</v>
      </c>
      <c r="CT71" s="339">
        <v>1</v>
      </c>
      <c r="CU71" s="339">
        <v>3</v>
      </c>
      <c r="CV71" s="104">
        <v>31</v>
      </c>
      <c r="CW71" s="104">
        <v>1.5</v>
      </c>
      <c r="CX71" s="107">
        <f t="shared" si="121"/>
        <v>1.0744244531716256</v>
      </c>
      <c r="CY71" s="107">
        <f t="shared" si="122"/>
        <v>1.5094881771396103</v>
      </c>
      <c r="CZ71" s="107" t="str">
        <f t="shared" si="123"/>
        <v>(2,2,1,1,1,3)</v>
      </c>
      <c r="DA71" s="108">
        <v>1.05</v>
      </c>
      <c r="DB71" s="108">
        <v>1.02</v>
      </c>
      <c r="DC71" s="108">
        <v>1</v>
      </c>
      <c r="DD71" s="108">
        <v>1</v>
      </c>
      <c r="DE71" s="108">
        <v>1</v>
      </c>
      <c r="DF71" s="108">
        <v>1.05</v>
      </c>
      <c r="DH71" s="208"/>
      <c r="DI71" s="209"/>
    </row>
    <row r="72" spans="1:118">
      <c r="A72" s="330">
        <v>64881</v>
      </c>
      <c r="B72" s="331"/>
      <c r="C72" s="88"/>
      <c r="D72" s="340" t="s">
        <v>98</v>
      </c>
      <c r="E72" s="341">
        <v>4</v>
      </c>
      <c r="F72" s="432" t="s">
        <v>2294</v>
      </c>
      <c r="G72" s="433" t="s">
        <v>98</v>
      </c>
      <c r="H72" s="434" t="s">
        <v>247</v>
      </c>
      <c r="I72" s="434" t="s">
        <v>248</v>
      </c>
      <c r="J72" s="94" t="s">
        <v>98</v>
      </c>
      <c r="K72" s="433" t="s">
        <v>96</v>
      </c>
      <c r="L72" s="435">
        <f t="shared" si="124"/>
        <v>0</v>
      </c>
      <c r="M72" s="95">
        <v>1</v>
      </c>
      <c r="N72" s="96">
        <f t="shared" si="83"/>
        <v>1.5094881771396103</v>
      </c>
      <c r="O72" s="432" t="str">
        <f t="shared" si="84"/>
        <v>(2,2,1,1,1,3); Assumption: 10% of water used is evaporated</v>
      </c>
      <c r="P72" s="435">
        <f t="shared" si="125"/>
        <v>0</v>
      </c>
      <c r="Q72" s="95">
        <v>1</v>
      </c>
      <c r="R72" s="96">
        <f t="shared" si="85"/>
        <v>1.5094881771396103</v>
      </c>
      <c r="S72" s="432" t="str">
        <f t="shared" si="86"/>
        <v>(2,2,1,1,1,3); Assumption: 10% of water used is evaporated</v>
      </c>
      <c r="T72" s="435">
        <f t="shared" si="126"/>
        <v>0</v>
      </c>
      <c r="U72" s="95">
        <v>1</v>
      </c>
      <c r="V72" s="96">
        <f t="shared" si="87"/>
        <v>1.5094881771396103</v>
      </c>
      <c r="W72" s="432" t="str">
        <f t="shared" si="88"/>
        <v>(2,2,1,1,1,3); Assumption: 10% of water used is evaporated</v>
      </c>
      <c r="X72" s="435">
        <f t="shared" si="127"/>
        <v>3.1908868680528835E-4</v>
      </c>
      <c r="Y72" s="95">
        <v>1</v>
      </c>
      <c r="Z72" s="96">
        <f t="shared" si="89"/>
        <v>1.5094881771396103</v>
      </c>
      <c r="AA72" s="432" t="str">
        <f t="shared" si="90"/>
        <v>(2,2,1,1,1,3); Assumption: 10% of water used is evaporated</v>
      </c>
      <c r="AB72" s="435">
        <f t="shared" si="128"/>
        <v>0</v>
      </c>
      <c r="AC72" s="95">
        <v>1</v>
      </c>
      <c r="AD72" s="96">
        <f t="shared" si="91"/>
        <v>1.5094881771396103</v>
      </c>
      <c r="AE72" s="432" t="str">
        <f t="shared" si="92"/>
        <v>(2,2,1,1,1,3); Assumption: 10% of water used is evaporated</v>
      </c>
      <c r="AF72" s="435">
        <f t="shared" si="129"/>
        <v>0</v>
      </c>
      <c r="AG72" s="95">
        <v>1</v>
      </c>
      <c r="AH72" s="96">
        <f t="shared" si="93"/>
        <v>1.5094881771396103</v>
      </c>
      <c r="AI72" s="432" t="str">
        <f t="shared" si="94"/>
        <v>(2,2,1,1,1,3); Assumption: 10% of water used is evaporated</v>
      </c>
      <c r="AJ72" s="435">
        <f t="shared" si="130"/>
        <v>0</v>
      </c>
      <c r="AK72" s="95">
        <v>1</v>
      </c>
      <c r="AL72" s="96">
        <f t="shared" si="95"/>
        <v>1.5094881771396103</v>
      </c>
      <c r="AM72" s="432" t="str">
        <f t="shared" si="96"/>
        <v>(2,2,1,1,1,3); Assumption: 10% of water used is evaporated</v>
      </c>
      <c r="AN72" s="435">
        <f t="shared" si="131"/>
        <v>0</v>
      </c>
      <c r="AO72" s="95">
        <v>1</v>
      </c>
      <c r="AP72" s="96">
        <f t="shared" si="97"/>
        <v>1.5094881771396103</v>
      </c>
      <c r="AQ72" s="432" t="str">
        <f t="shared" si="98"/>
        <v>(2,2,1,1,1,3); Assumption: 10% of water used is evaporated</v>
      </c>
      <c r="AR72" s="435">
        <f t="shared" si="132"/>
        <v>0</v>
      </c>
      <c r="AS72" s="95">
        <v>1</v>
      </c>
      <c r="AT72" s="96">
        <f t="shared" si="99"/>
        <v>1.5094881771396103</v>
      </c>
      <c r="AU72" s="432" t="str">
        <f t="shared" si="100"/>
        <v>(2,2,1,1,1,3); Assumption: 10% of water used is evaporated</v>
      </c>
      <c r="AV72" s="435">
        <f t="shared" si="133"/>
        <v>0</v>
      </c>
      <c r="AW72" s="95">
        <v>1</v>
      </c>
      <c r="AX72" s="96">
        <f t="shared" si="101"/>
        <v>1.5094881771396103</v>
      </c>
      <c r="AY72" s="432" t="str">
        <f t="shared" si="102"/>
        <v>(2,2,1,1,1,3); Assumption: 10% of water used is evaporated</v>
      </c>
      <c r="AZ72" s="435">
        <f t="shared" si="134"/>
        <v>0</v>
      </c>
      <c r="BA72" s="95">
        <v>1</v>
      </c>
      <c r="BB72" s="96">
        <f t="shared" si="103"/>
        <v>1.5094881771396103</v>
      </c>
      <c r="BC72" s="432" t="str">
        <f t="shared" si="104"/>
        <v>(2,2,1,1,1,3); Assumption: 10% of water used is evaporated</v>
      </c>
      <c r="BD72" s="435">
        <f t="shared" si="135"/>
        <v>0</v>
      </c>
      <c r="BE72" s="95">
        <v>1</v>
      </c>
      <c r="BF72" s="96">
        <f t="shared" si="105"/>
        <v>1.5094881771396103</v>
      </c>
      <c r="BG72" s="432" t="str">
        <f t="shared" si="106"/>
        <v>(2,2,1,1,1,3); Assumption: 10% of water used is evaporated</v>
      </c>
      <c r="BH72" s="435">
        <f t="shared" si="136"/>
        <v>0</v>
      </c>
      <c r="BI72" s="95">
        <v>1</v>
      </c>
      <c r="BJ72" s="96">
        <f t="shared" si="107"/>
        <v>1.5094881771396103</v>
      </c>
      <c r="BK72" s="432" t="str">
        <f t="shared" si="108"/>
        <v>(2,2,1,1,1,3); Assumption: 10% of water used is evaporated</v>
      </c>
      <c r="BL72" s="435">
        <f t="shared" si="137"/>
        <v>0</v>
      </c>
      <c r="BM72" s="95">
        <v>1</v>
      </c>
      <c r="BN72" s="96">
        <f t="shared" si="109"/>
        <v>1.5094881771396103</v>
      </c>
      <c r="BO72" s="432" t="str">
        <f t="shared" si="110"/>
        <v>(2,2,1,1,1,3); Assumption: 10% of water used is evaporated</v>
      </c>
      <c r="BP72" s="435">
        <f t="shared" si="138"/>
        <v>0</v>
      </c>
      <c r="BQ72" s="95">
        <v>1</v>
      </c>
      <c r="BR72" s="96">
        <f t="shared" si="111"/>
        <v>1.5094881771396103</v>
      </c>
      <c r="BS72" s="432" t="str">
        <f t="shared" si="112"/>
        <v>(2,2,1,1,1,3); Assumption: 10% of water used is evaporated</v>
      </c>
      <c r="BT72" s="435">
        <f t="shared" si="139"/>
        <v>0</v>
      </c>
      <c r="BU72" s="95">
        <v>1</v>
      </c>
      <c r="BV72" s="96">
        <f t="shared" si="113"/>
        <v>1.5094881771396103</v>
      </c>
      <c r="BW72" s="432" t="str">
        <f t="shared" si="114"/>
        <v>(2,2,1,1,1,3); Assumption: 10% of water used is evaporated</v>
      </c>
      <c r="BX72" s="435">
        <f t="shared" si="140"/>
        <v>0</v>
      </c>
      <c r="BY72" s="95">
        <v>1</v>
      </c>
      <c r="BZ72" s="96">
        <f t="shared" si="115"/>
        <v>1.5094881771396103</v>
      </c>
      <c r="CA72" s="432" t="str">
        <f t="shared" si="116"/>
        <v>(2,2,1,1,1,3); Assumption: 10% of water used is evaporated</v>
      </c>
      <c r="CB72" s="435">
        <f t="shared" si="141"/>
        <v>0</v>
      </c>
      <c r="CC72" s="95">
        <v>1</v>
      </c>
      <c r="CD72" s="96">
        <f t="shared" si="117"/>
        <v>1.5094881771396103</v>
      </c>
      <c r="CE72" s="432" t="str">
        <f t="shared" si="118"/>
        <v>(2,2,1,1,1,3); Assumption: 10% of water used is evaporated</v>
      </c>
      <c r="CF72" s="435">
        <f t="shared" si="142"/>
        <v>0</v>
      </c>
      <c r="CG72" s="95">
        <v>1</v>
      </c>
      <c r="CH72" s="96">
        <f t="shared" si="119"/>
        <v>1.5094881771396103</v>
      </c>
      <c r="CI72" s="432" t="str">
        <f t="shared" si="120"/>
        <v>(2,2,1,1,1,3); Assumption: 10% of water used is evaporated</v>
      </c>
      <c r="CJ72" s="505"/>
      <c r="CK72" s="505"/>
      <c r="CL72" s="211"/>
      <c r="CM72" s="510"/>
      <c r="CO72" s="77" t="s">
        <v>2217</v>
      </c>
      <c r="CP72" s="339">
        <v>2</v>
      </c>
      <c r="CQ72" s="339">
        <v>2</v>
      </c>
      <c r="CR72" s="339">
        <v>1</v>
      </c>
      <c r="CS72" s="339">
        <v>1</v>
      </c>
      <c r="CT72" s="339">
        <v>1</v>
      </c>
      <c r="CU72" s="339">
        <v>3</v>
      </c>
      <c r="CV72" s="104">
        <v>31</v>
      </c>
      <c r="CW72" s="104">
        <v>1.5</v>
      </c>
      <c r="CX72" s="107">
        <f t="shared" si="121"/>
        <v>1.0744244531716256</v>
      </c>
      <c r="CY72" s="107">
        <f t="shared" si="122"/>
        <v>1.5094881771396103</v>
      </c>
      <c r="CZ72" s="107" t="str">
        <f t="shared" si="123"/>
        <v>(2,2,1,1,1,3)</v>
      </c>
      <c r="DA72" s="108">
        <v>1.05</v>
      </c>
      <c r="DB72" s="108">
        <v>1.02</v>
      </c>
      <c r="DC72" s="108">
        <v>1</v>
      </c>
      <c r="DD72" s="108">
        <v>1</v>
      </c>
      <c r="DE72" s="108">
        <v>1</v>
      </c>
      <c r="DF72" s="108">
        <v>1.05</v>
      </c>
      <c r="DH72" s="208"/>
      <c r="DI72" s="209"/>
    </row>
    <row r="73" spans="1:118">
      <c r="A73" s="330">
        <v>59017</v>
      </c>
      <c r="B73" s="331"/>
      <c r="C73" s="88"/>
      <c r="D73" s="340" t="s">
        <v>98</v>
      </c>
      <c r="E73" s="341">
        <v>4</v>
      </c>
      <c r="F73" s="432" t="s">
        <v>2295</v>
      </c>
      <c r="G73" s="433" t="s">
        <v>98</v>
      </c>
      <c r="H73" s="434" t="s">
        <v>247</v>
      </c>
      <c r="I73" s="434" t="s">
        <v>248</v>
      </c>
      <c r="J73" s="94" t="s">
        <v>98</v>
      </c>
      <c r="K73" s="433" t="s">
        <v>96</v>
      </c>
      <c r="L73" s="435">
        <f t="shared" si="124"/>
        <v>0</v>
      </c>
      <c r="M73" s="95">
        <v>1</v>
      </c>
      <c r="N73" s="96">
        <f t="shared" si="83"/>
        <v>1.5094881771396103</v>
      </c>
      <c r="O73" s="432" t="str">
        <f t="shared" si="84"/>
        <v>(2,2,1,1,1,3); Assumption: 10% of water used is evaporated</v>
      </c>
      <c r="P73" s="435">
        <f t="shared" si="125"/>
        <v>0</v>
      </c>
      <c r="Q73" s="95">
        <v>1</v>
      </c>
      <c r="R73" s="96">
        <f t="shared" si="85"/>
        <v>1.5094881771396103</v>
      </c>
      <c r="S73" s="432" t="str">
        <f t="shared" si="86"/>
        <v>(2,2,1,1,1,3); Assumption: 10% of water used is evaporated</v>
      </c>
      <c r="T73" s="435">
        <f t="shared" si="126"/>
        <v>0</v>
      </c>
      <c r="U73" s="95">
        <v>1</v>
      </c>
      <c r="V73" s="96">
        <f t="shared" si="87"/>
        <v>1.5094881771396103</v>
      </c>
      <c r="W73" s="432" t="str">
        <f t="shared" si="88"/>
        <v>(2,2,1,1,1,3); Assumption: 10% of water used is evaporated</v>
      </c>
      <c r="X73" s="435">
        <f t="shared" si="127"/>
        <v>0</v>
      </c>
      <c r="Y73" s="95">
        <v>1</v>
      </c>
      <c r="Z73" s="96">
        <f t="shared" si="89"/>
        <v>1.5094881771396103</v>
      </c>
      <c r="AA73" s="432" t="str">
        <f t="shared" si="90"/>
        <v>(2,2,1,1,1,3); Assumption: 10% of water used is evaporated</v>
      </c>
      <c r="AB73" s="435">
        <f t="shared" si="128"/>
        <v>3.6603028600842321E-4</v>
      </c>
      <c r="AC73" s="95">
        <v>1</v>
      </c>
      <c r="AD73" s="96">
        <f t="shared" si="91"/>
        <v>1.5094881771396103</v>
      </c>
      <c r="AE73" s="432" t="str">
        <f t="shared" si="92"/>
        <v>(2,2,1,1,1,3); Assumption: 10% of water used is evaporated</v>
      </c>
      <c r="AF73" s="435">
        <f t="shared" si="129"/>
        <v>0</v>
      </c>
      <c r="AG73" s="95">
        <v>1</v>
      </c>
      <c r="AH73" s="96">
        <f t="shared" si="93"/>
        <v>1.5094881771396103</v>
      </c>
      <c r="AI73" s="432" t="str">
        <f t="shared" si="94"/>
        <v>(2,2,1,1,1,3); Assumption: 10% of water used is evaporated</v>
      </c>
      <c r="AJ73" s="435">
        <f t="shared" si="130"/>
        <v>0</v>
      </c>
      <c r="AK73" s="95">
        <v>1</v>
      </c>
      <c r="AL73" s="96">
        <f t="shared" si="95"/>
        <v>1.5094881771396103</v>
      </c>
      <c r="AM73" s="432" t="str">
        <f t="shared" si="96"/>
        <v>(2,2,1,1,1,3); Assumption: 10% of water used is evaporated</v>
      </c>
      <c r="AN73" s="435">
        <f t="shared" si="131"/>
        <v>0</v>
      </c>
      <c r="AO73" s="95">
        <v>1</v>
      </c>
      <c r="AP73" s="96">
        <f t="shared" si="97"/>
        <v>1.5094881771396103</v>
      </c>
      <c r="AQ73" s="432" t="str">
        <f t="shared" si="98"/>
        <v>(2,2,1,1,1,3); Assumption: 10% of water used is evaporated</v>
      </c>
      <c r="AR73" s="435">
        <f t="shared" si="132"/>
        <v>0</v>
      </c>
      <c r="AS73" s="95">
        <v>1</v>
      </c>
      <c r="AT73" s="96">
        <f t="shared" si="99"/>
        <v>1.5094881771396103</v>
      </c>
      <c r="AU73" s="432" t="str">
        <f t="shared" si="100"/>
        <v>(2,2,1,1,1,3); Assumption: 10% of water used is evaporated</v>
      </c>
      <c r="AV73" s="435">
        <f t="shared" si="133"/>
        <v>0</v>
      </c>
      <c r="AW73" s="95">
        <v>1</v>
      </c>
      <c r="AX73" s="96">
        <f t="shared" si="101"/>
        <v>1.5094881771396103</v>
      </c>
      <c r="AY73" s="432" t="str">
        <f t="shared" si="102"/>
        <v>(2,2,1,1,1,3); Assumption: 10% of water used is evaporated</v>
      </c>
      <c r="AZ73" s="435">
        <f t="shared" si="134"/>
        <v>0</v>
      </c>
      <c r="BA73" s="95">
        <v>1</v>
      </c>
      <c r="BB73" s="96">
        <f t="shared" si="103"/>
        <v>1.5094881771396103</v>
      </c>
      <c r="BC73" s="432" t="str">
        <f t="shared" si="104"/>
        <v>(2,2,1,1,1,3); Assumption: 10% of water used is evaporated</v>
      </c>
      <c r="BD73" s="435">
        <f t="shared" si="135"/>
        <v>0</v>
      </c>
      <c r="BE73" s="95">
        <v>1</v>
      </c>
      <c r="BF73" s="96">
        <f t="shared" si="105"/>
        <v>1.5094881771396103</v>
      </c>
      <c r="BG73" s="432" t="str">
        <f t="shared" si="106"/>
        <v>(2,2,1,1,1,3); Assumption: 10% of water used is evaporated</v>
      </c>
      <c r="BH73" s="435">
        <f t="shared" si="136"/>
        <v>0</v>
      </c>
      <c r="BI73" s="95">
        <v>1</v>
      </c>
      <c r="BJ73" s="96">
        <f t="shared" si="107"/>
        <v>1.5094881771396103</v>
      </c>
      <c r="BK73" s="432" t="str">
        <f t="shared" si="108"/>
        <v>(2,2,1,1,1,3); Assumption: 10% of water used is evaporated</v>
      </c>
      <c r="BL73" s="435">
        <f t="shared" si="137"/>
        <v>0</v>
      </c>
      <c r="BM73" s="95">
        <v>1</v>
      </c>
      <c r="BN73" s="96">
        <f t="shared" si="109"/>
        <v>1.5094881771396103</v>
      </c>
      <c r="BO73" s="432" t="str">
        <f t="shared" si="110"/>
        <v>(2,2,1,1,1,3); Assumption: 10% of water used is evaporated</v>
      </c>
      <c r="BP73" s="435">
        <f t="shared" si="138"/>
        <v>0</v>
      </c>
      <c r="BQ73" s="95">
        <v>1</v>
      </c>
      <c r="BR73" s="96">
        <f t="shared" si="111"/>
        <v>1.5094881771396103</v>
      </c>
      <c r="BS73" s="432" t="str">
        <f t="shared" si="112"/>
        <v>(2,2,1,1,1,3); Assumption: 10% of water used is evaporated</v>
      </c>
      <c r="BT73" s="435">
        <f t="shared" si="139"/>
        <v>0</v>
      </c>
      <c r="BU73" s="95">
        <v>1</v>
      </c>
      <c r="BV73" s="96">
        <f t="shared" si="113"/>
        <v>1.5094881771396103</v>
      </c>
      <c r="BW73" s="432" t="str">
        <f t="shared" si="114"/>
        <v>(2,2,1,1,1,3); Assumption: 10% of water used is evaporated</v>
      </c>
      <c r="BX73" s="435">
        <f t="shared" si="140"/>
        <v>0</v>
      </c>
      <c r="BY73" s="95">
        <v>1</v>
      </c>
      <c r="BZ73" s="96">
        <f t="shared" si="115"/>
        <v>1.5094881771396103</v>
      </c>
      <c r="CA73" s="432" t="str">
        <f t="shared" si="116"/>
        <v>(2,2,1,1,1,3); Assumption: 10% of water used is evaporated</v>
      </c>
      <c r="CB73" s="435">
        <f t="shared" si="141"/>
        <v>0</v>
      </c>
      <c r="CC73" s="95">
        <v>1</v>
      </c>
      <c r="CD73" s="96">
        <f t="shared" si="117"/>
        <v>1.5094881771396103</v>
      </c>
      <c r="CE73" s="432" t="str">
        <f t="shared" si="118"/>
        <v>(2,2,1,1,1,3); Assumption: 10% of water used is evaporated</v>
      </c>
      <c r="CF73" s="435">
        <f t="shared" si="142"/>
        <v>0</v>
      </c>
      <c r="CG73" s="95">
        <v>1</v>
      </c>
      <c r="CH73" s="96">
        <f t="shared" si="119"/>
        <v>1.5094881771396103</v>
      </c>
      <c r="CI73" s="432" t="str">
        <f t="shared" si="120"/>
        <v>(2,2,1,1,1,3); Assumption: 10% of water used is evaporated</v>
      </c>
      <c r="CJ73" s="505"/>
      <c r="CK73" s="505"/>
      <c r="CL73" s="211"/>
      <c r="CM73" s="510"/>
      <c r="CO73" s="77" t="s">
        <v>2217</v>
      </c>
      <c r="CP73" s="339">
        <v>2</v>
      </c>
      <c r="CQ73" s="339">
        <v>2</v>
      </c>
      <c r="CR73" s="339">
        <v>1</v>
      </c>
      <c r="CS73" s="339">
        <v>1</v>
      </c>
      <c r="CT73" s="339">
        <v>1</v>
      </c>
      <c r="CU73" s="339">
        <v>3</v>
      </c>
      <c r="CV73" s="104">
        <v>31</v>
      </c>
      <c r="CW73" s="104">
        <v>1.5</v>
      </c>
      <c r="CX73" s="107">
        <f t="shared" si="121"/>
        <v>1.0744244531716256</v>
      </c>
      <c r="CY73" s="107">
        <f t="shared" si="122"/>
        <v>1.5094881771396103</v>
      </c>
      <c r="CZ73" s="107" t="str">
        <f t="shared" si="123"/>
        <v>(2,2,1,1,1,3)</v>
      </c>
      <c r="DA73" s="108">
        <v>1.05</v>
      </c>
      <c r="DB73" s="108">
        <v>1.02</v>
      </c>
      <c r="DC73" s="108">
        <v>1</v>
      </c>
      <c r="DD73" s="108">
        <v>1</v>
      </c>
      <c r="DE73" s="108">
        <v>1</v>
      </c>
      <c r="DF73" s="108">
        <v>1.05</v>
      </c>
      <c r="DH73" s="208"/>
      <c r="DI73" s="209"/>
    </row>
    <row r="74" spans="1:118">
      <c r="A74" s="330">
        <v>65789</v>
      </c>
      <c r="B74" s="331"/>
      <c r="C74" s="88"/>
      <c r="D74" s="340" t="s">
        <v>98</v>
      </c>
      <c r="E74" s="341">
        <v>4</v>
      </c>
      <c r="F74" s="432" t="s">
        <v>2296</v>
      </c>
      <c r="G74" s="433" t="s">
        <v>98</v>
      </c>
      <c r="H74" s="434" t="s">
        <v>247</v>
      </c>
      <c r="I74" s="434" t="s">
        <v>248</v>
      </c>
      <c r="J74" s="94" t="s">
        <v>98</v>
      </c>
      <c r="K74" s="433" t="s">
        <v>96</v>
      </c>
      <c r="L74" s="435">
        <f t="shared" si="124"/>
        <v>0</v>
      </c>
      <c r="M74" s="95">
        <v>1</v>
      </c>
      <c r="N74" s="96">
        <f t="shared" si="83"/>
        <v>1.5094881771396103</v>
      </c>
      <c r="O74" s="432" t="str">
        <f t="shared" si="84"/>
        <v>(2,2,1,1,1,3); Assumption: 10% of water used is evaporated</v>
      </c>
      <c r="P74" s="435">
        <f t="shared" si="125"/>
        <v>0</v>
      </c>
      <c r="Q74" s="95">
        <v>1</v>
      </c>
      <c r="R74" s="96">
        <f t="shared" si="85"/>
        <v>1.5094881771396103</v>
      </c>
      <c r="S74" s="432" t="str">
        <f t="shared" si="86"/>
        <v>(2,2,1,1,1,3); Assumption: 10% of water used is evaporated</v>
      </c>
      <c r="T74" s="435">
        <f t="shared" si="126"/>
        <v>0</v>
      </c>
      <c r="U74" s="95">
        <v>1</v>
      </c>
      <c r="V74" s="96">
        <f t="shared" si="87"/>
        <v>1.5094881771396103</v>
      </c>
      <c r="W74" s="432" t="str">
        <f t="shared" si="88"/>
        <v>(2,2,1,1,1,3); Assumption: 10% of water used is evaporated</v>
      </c>
      <c r="X74" s="435">
        <f t="shared" si="127"/>
        <v>0</v>
      </c>
      <c r="Y74" s="95">
        <v>1</v>
      </c>
      <c r="Z74" s="96">
        <f t="shared" si="89"/>
        <v>1.5094881771396103</v>
      </c>
      <c r="AA74" s="432" t="str">
        <f t="shared" si="90"/>
        <v>(2,2,1,1,1,3); Assumption: 10% of water used is evaporated</v>
      </c>
      <c r="AB74" s="435">
        <f t="shared" si="128"/>
        <v>0</v>
      </c>
      <c r="AC74" s="95">
        <v>1</v>
      </c>
      <c r="AD74" s="96">
        <f t="shared" si="91"/>
        <v>1.5094881771396103</v>
      </c>
      <c r="AE74" s="432" t="str">
        <f t="shared" si="92"/>
        <v>(2,2,1,1,1,3); Assumption: 10% of water used is evaporated</v>
      </c>
      <c r="AF74" s="435">
        <f t="shared" si="129"/>
        <v>2.828050796201763E-4</v>
      </c>
      <c r="AG74" s="95">
        <v>1</v>
      </c>
      <c r="AH74" s="96">
        <f t="shared" si="93"/>
        <v>1.5094881771396103</v>
      </c>
      <c r="AI74" s="432" t="str">
        <f t="shared" si="94"/>
        <v>(2,2,1,1,1,3); Assumption: 10% of water used is evaporated</v>
      </c>
      <c r="AJ74" s="435">
        <f t="shared" si="130"/>
        <v>0</v>
      </c>
      <c r="AK74" s="95">
        <v>1</v>
      </c>
      <c r="AL74" s="96">
        <f t="shared" si="95"/>
        <v>1.5094881771396103</v>
      </c>
      <c r="AM74" s="432" t="str">
        <f t="shared" si="96"/>
        <v>(2,2,1,1,1,3); Assumption: 10% of water used is evaporated</v>
      </c>
      <c r="AN74" s="435">
        <f t="shared" si="131"/>
        <v>0</v>
      </c>
      <c r="AO74" s="95">
        <v>1</v>
      </c>
      <c r="AP74" s="96">
        <f t="shared" si="97"/>
        <v>1.5094881771396103</v>
      </c>
      <c r="AQ74" s="432" t="str">
        <f t="shared" si="98"/>
        <v>(2,2,1,1,1,3); Assumption: 10% of water used is evaporated</v>
      </c>
      <c r="AR74" s="435">
        <f t="shared" si="132"/>
        <v>0</v>
      </c>
      <c r="AS74" s="95">
        <v>1</v>
      </c>
      <c r="AT74" s="96">
        <f t="shared" si="99"/>
        <v>1.5094881771396103</v>
      </c>
      <c r="AU74" s="432" t="str">
        <f t="shared" si="100"/>
        <v>(2,2,1,1,1,3); Assumption: 10% of water used is evaporated</v>
      </c>
      <c r="AV74" s="435">
        <f t="shared" si="133"/>
        <v>0</v>
      </c>
      <c r="AW74" s="95">
        <v>1</v>
      </c>
      <c r="AX74" s="96">
        <f t="shared" si="101"/>
        <v>1.5094881771396103</v>
      </c>
      <c r="AY74" s="432" t="str">
        <f t="shared" si="102"/>
        <v>(2,2,1,1,1,3); Assumption: 10% of water used is evaporated</v>
      </c>
      <c r="AZ74" s="435">
        <f t="shared" si="134"/>
        <v>0</v>
      </c>
      <c r="BA74" s="95">
        <v>1</v>
      </c>
      <c r="BB74" s="96">
        <f t="shared" si="103"/>
        <v>1.5094881771396103</v>
      </c>
      <c r="BC74" s="432" t="str">
        <f t="shared" si="104"/>
        <v>(2,2,1,1,1,3); Assumption: 10% of water used is evaporated</v>
      </c>
      <c r="BD74" s="435">
        <f t="shared" si="135"/>
        <v>0</v>
      </c>
      <c r="BE74" s="95">
        <v>1</v>
      </c>
      <c r="BF74" s="96">
        <f t="shared" si="105"/>
        <v>1.5094881771396103</v>
      </c>
      <c r="BG74" s="432" t="str">
        <f t="shared" si="106"/>
        <v>(2,2,1,1,1,3); Assumption: 10% of water used is evaporated</v>
      </c>
      <c r="BH74" s="435">
        <f t="shared" si="136"/>
        <v>0</v>
      </c>
      <c r="BI74" s="95">
        <v>1</v>
      </c>
      <c r="BJ74" s="96">
        <f t="shared" si="107"/>
        <v>1.5094881771396103</v>
      </c>
      <c r="BK74" s="432" t="str">
        <f t="shared" si="108"/>
        <v>(2,2,1,1,1,3); Assumption: 10% of water used is evaporated</v>
      </c>
      <c r="BL74" s="435">
        <f t="shared" si="137"/>
        <v>0</v>
      </c>
      <c r="BM74" s="95">
        <v>1</v>
      </c>
      <c r="BN74" s="96">
        <f t="shared" si="109"/>
        <v>1.5094881771396103</v>
      </c>
      <c r="BO74" s="432" t="str">
        <f t="shared" si="110"/>
        <v>(2,2,1,1,1,3); Assumption: 10% of water used is evaporated</v>
      </c>
      <c r="BP74" s="435">
        <f t="shared" si="138"/>
        <v>0</v>
      </c>
      <c r="BQ74" s="95">
        <v>1</v>
      </c>
      <c r="BR74" s="96">
        <f t="shared" si="111"/>
        <v>1.5094881771396103</v>
      </c>
      <c r="BS74" s="432" t="str">
        <f t="shared" si="112"/>
        <v>(2,2,1,1,1,3); Assumption: 10% of water used is evaporated</v>
      </c>
      <c r="BT74" s="435">
        <f t="shared" si="139"/>
        <v>0</v>
      </c>
      <c r="BU74" s="95">
        <v>1</v>
      </c>
      <c r="BV74" s="96">
        <f t="shared" si="113"/>
        <v>1.5094881771396103</v>
      </c>
      <c r="BW74" s="432" t="str">
        <f t="shared" si="114"/>
        <v>(2,2,1,1,1,3); Assumption: 10% of water used is evaporated</v>
      </c>
      <c r="BX74" s="435">
        <f t="shared" si="140"/>
        <v>0</v>
      </c>
      <c r="BY74" s="95">
        <v>1</v>
      </c>
      <c r="BZ74" s="96">
        <f t="shared" si="115"/>
        <v>1.5094881771396103</v>
      </c>
      <c r="CA74" s="432" t="str">
        <f t="shared" si="116"/>
        <v>(2,2,1,1,1,3); Assumption: 10% of water used is evaporated</v>
      </c>
      <c r="CB74" s="435">
        <f t="shared" si="141"/>
        <v>0</v>
      </c>
      <c r="CC74" s="95">
        <v>1</v>
      </c>
      <c r="CD74" s="96">
        <f t="shared" si="117"/>
        <v>1.5094881771396103</v>
      </c>
      <c r="CE74" s="432" t="str">
        <f t="shared" si="118"/>
        <v>(2,2,1,1,1,3); Assumption: 10% of water used is evaporated</v>
      </c>
      <c r="CF74" s="435">
        <f t="shared" si="142"/>
        <v>0</v>
      </c>
      <c r="CG74" s="95">
        <v>1</v>
      </c>
      <c r="CH74" s="96">
        <f t="shared" si="119"/>
        <v>1.5094881771396103</v>
      </c>
      <c r="CI74" s="432" t="str">
        <f t="shared" si="120"/>
        <v>(2,2,1,1,1,3); Assumption: 10% of water used is evaporated</v>
      </c>
      <c r="CJ74" s="505"/>
      <c r="CK74" s="505"/>
      <c r="CL74" s="211"/>
      <c r="CM74" s="510"/>
      <c r="CO74" s="77" t="s">
        <v>2217</v>
      </c>
      <c r="CP74" s="339">
        <v>2</v>
      </c>
      <c r="CQ74" s="339">
        <v>2</v>
      </c>
      <c r="CR74" s="339">
        <v>1</v>
      </c>
      <c r="CS74" s="339">
        <v>1</v>
      </c>
      <c r="CT74" s="339">
        <v>1</v>
      </c>
      <c r="CU74" s="339">
        <v>3</v>
      </c>
      <c r="CV74" s="104">
        <v>31</v>
      </c>
      <c r="CW74" s="104">
        <v>1.5</v>
      </c>
      <c r="CX74" s="107">
        <f t="shared" si="121"/>
        <v>1.0744244531716256</v>
      </c>
      <c r="CY74" s="107">
        <f t="shared" si="122"/>
        <v>1.5094881771396103</v>
      </c>
      <c r="CZ74" s="107" t="str">
        <f t="shared" si="123"/>
        <v>(2,2,1,1,1,3)</v>
      </c>
      <c r="DA74" s="108">
        <v>1.05</v>
      </c>
      <c r="DB74" s="108">
        <v>1.02</v>
      </c>
      <c r="DC74" s="108">
        <v>1</v>
      </c>
      <c r="DD74" s="108">
        <v>1</v>
      </c>
      <c r="DE74" s="108">
        <v>1</v>
      </c>
      <c r="DF74" s="108">
        <v>1.05</v>
      </c>
      <c r="DH74" s="208"/>
      <c r="DI74" s="209"/>
    </row>
    <row r="75" spans="1:118">
      <c r="A75" s="330">
        <v>50312</v>
      </c>
      <c r="B75" s="331"/>
      <c r="C75" s="88"/>
      <c r="D75" s="340" t="s">
        <v>98</v>
      </c>
      <c r="E75" s="341">
        <v>4</v>
      </c>
      <c r="F75" s="432" t="s">
        <v>520</v>
      </c>
      <c r="G75" s="433" t="s">
        <v>98</v>
      </c>
      <c r="H75" s="434" t="s">
        <v>247</v>
      </c>
      <c r="I75" s="434" t="s">
        <v>248</v>
      </c>
      <c r="J75" s="94" t="s">
        <v>98</v>
      </c>
      <c r="K75" s="433" t="s">
        <v>96</v>
      </c>
      <c r="L75" s="435">
        <f t="shared" si="124"/>
        <v>0</v>
      </c>
      <c r="M75" s="95">
        <v>1</v>
      </c>
      <c r="N75" s="96">
        <f t="shared" si="83"/>
        <v>1.5094881771396103</v>
      </c>
      <c r="O75" s="432" t="str">
        <f t="shared" si="84"/>
        <v>(2,2,1,1,1,3); Assumption: 10% of water used is evaporated</v>
      </c>
      <c r="P75" s="435">
        <f t="shared" si="125"/>
        <v>0</v>
      </c>
      <c r="Q75" s="95">
        <v>1</v>
      </c>
      <c r="R75" s="96">
        <f t="shared" si="85"/>
        <v>1.5094881771396103</v>
      </c>
      <c r="S75" s="432" t="str">
        <f t="shared" si="86"/>
        <v>(2,2,1,1,1,3); Assumption: 10% of water used is evaporated</v>
      </c>
      <c r="T75" s="435">
        <f t="shared" si="126"/>
        <v>0</v>
      </c>
      <c r="U75" s="95">
        <v>1</v>
      </c>
      <c r="V75" s="96">
        <f t="shared" si="87"/>
        <v>1.5094881771396103</v>
      </c>
      <c r="W75" s="432" t="str">
        <f t="shared" si="88"/>
        <v>(2,2,1,1,1,3); Assumption: 10% of water used is evaporated</v>
      </c>
      <c r="X75" s="435">
        <f t="shared" si="127"/>
        <v>0</v>
      </c>
      <c r="Y75" s="95">
        <v>1</v>
      </c>
      <c r="Z75" s="96">
        <f t="shared" si="89"/>
        <v>1.5094881771396103</v>
      </c>
      <c r="AA75" s="432" t="str">
        <f t="shared" si="90"/>
        <v>(2,2,1,1,1,3); Assumption: 10% of water used is evaporated</v>
      </c>
      <c r="AB75" s="435">
        <f t="shared" si="128"/>
        <v>0</v>
      </c>
      <c r="AC75" s="95">
        <v>1</v>
      </c>
      <c r="AD75" s="96">
        <f t="shared" si="91"/>
        <v>1.5094881771396103</v>
      </c>
      <c r="AE75" s="432" t="str">
        <f t="shared" si="92"/>
        <v>(2,2,1,1,1,3); Assumption: 10% of water used is evaporated</v>
      </c>
      <c r="AF75" s="435">
        <f t="shared" si="129"/>
        <v>0</v>
      </c>
      <c r="AG75" s="95">
        <v>1</v>
      </c>
      <c r="AH75" s="96">
        <f t="shared" si="93"/>
        <v>1.5094881771396103</v>
      </c>
      <c r="AI75" s="432" t="str">
        <f t="shared" si="94"/>
        <v>(2,2,1,1,1,3); Assumption: 10% of water used is evaporated</v>
      </c>
      <c r="AJ75" s="435">
        <f t="shared" si="130"/>
        <v>3.3362727553259286E-4</v>
      </c>
      <c r="AK75" s="95">
        <v>1</v>
      </c>
      <c r="AL75" s="96">
        <f t="shared" si="95"/>
        <v>1.5094881771396103</v>
      </c>
      <c r="AM75" s="432" t="str">
        <f t="shared" si="96"/>
        <v>(2,2,1,1,1,3); Assumption: 10% of water used is evaporated</v>
      </c>
      <c r="AN75" s="435">
        <f t="shared" si="131"/>
        <v>0</v>
      </c>
      <c r="AO75" s="95">
        <v>1</v>
      </c>
      <c r="AP75" s="96">
        <f t="shared" si="97"/>
        <v>1.5094881771396103</v>
      </c>
      <c r="AQ75" s="432" t="str">
        <f t="shared" si="98"/>
        <v>(2,2,1,1,1,3); Assumption: 10% of water used is evaporated</v>
      </c>
      <c r="AR75" s="435">
        <f t="shared" si="132"/>
        <v>0</v>
      </c>
      <c r="AS75" s="95">
        <v>1</v>
      </c>
      <c r="AT75" s="96">
        <f t="shared" si="99"/>
        <v>1.5094881771396103</v>
      </c>
      <c r="AU75" s="432" t="str">
        <f t="shared" si="100"/>
        <v>(2,2,1,1,1,3); Assumption: 10% of water used is evaporated</v>
      </c>
      <c r="AV75" s="435">
        <f t="shared" si="133"/>
        <v>0</v>
      </c>
      <c r="AW75" s="95">
        <v>1</v>
      </c>
      <c r="AX75" s="96">
        <f t="shared" si="101"/>
        <v>1.5094881771396103</v>
      </c>
      <c r="AY75" s="432" t="str">
        <f t="shared" si="102"/>
        <v>(2,2,1,1,1,3); Assumption: 10% of water used is evaporated</v>
      </c>
      <c r="AZ75" s="435">
        <f t="shared" si="134"/>
        <v>0</v>
      </c>
      <c r="BA75" s="95">
        <v>1</v>
      </c>
      <c r="BB75" s="96">
        <f t="shared" si="103"/>
        <v>1.5094881771396103</v>
      </c>
      <c r="BC75" s="432" t="str">
        <f t="shared" si="104"/>
        <v>(2,2,1,1,1,3); Assumption: 10% of water used is evaporated</v>
      </c>
      <c r="BD75" s="435">
        <f t="shared" si="135"/>
        <v>0</v>
      </c>
      <c r="BE75" s="95">
        <v>1</v>
      </c>
      <c r="BF75" s="96">
        <f t="shared" si="105"/>
        <v>1.5094881771396103</v>
      </c>
      <c r="BG75" s="432" t="str">
        <f t="shared" si="106"/>
        <v>(2,2,1,1,1,3); Assumption: 10% of water used is evaporated</v>
      </c>
      <c r="BH75" s="435">
        <f t="shared" si="136"/>
        <v>0</v>
      </c>
      <c r="BI75" s="95">
        <v>1</v>
      </c>
      <c r="BJ75" s="96">
        <f t="shared" si="107"/>
        <v>1.5094881771396103</v>
      </c>
      <c r="BK75" s="432" t="str">
        <f t="shared" si="108"/>
        <v>(2,2,1,1,1,3); Assumption: 10% of water used is evaporated</v>
      </c>
      <c r="BL75" s="435">
        <f t="shared" si="137"/>
        <v>0</v>
      </c>
      <c r="BM75" s="95">
        <v>1</v>
      </c>
      <c r="BN75" s="96">
        <f t="shared" si="109"/>
        <v>1.5094881771396103</v>
      </c>
      <c r="BO75" s="432" t="str">
        <f t="shared" si="110"/>
        <v>(2,2,1,1,1,3); Assumption: 10% of water used is evaporated</v>
      </c>
      <c r="BP75" s="435">
        <f t="shared" si="138"/>
        <v>0</v>
      </c>
      <c r="BQ75" s="95">
        <v>1</v>
      </c>
      <c r="BR75" s="96">
        <f t="shared" si="111"/>
        <v>1.5094881771396103</v>
      </c>
      <c r="BS75" s="432" t="str">
        <f t="shared" si="112"/>
        <v>(2,2,1,1,1,3); Assumption: 10% of water used is evaporated</v>
      </c>
      <c r="BT75" s="435">
        <f t="shared" si="139"/>
        <v>0</v>
      </c>
      <c r="BU75" s="95">
        <v>1</v>
      </c>
      <c r="BV75" s="96">
        <f t="shared" si="113"/>
        <v>1.5094881771396103</v>
      </c>
      <c r="BW75" s="432" t="str">
        <f t="shared" si="114"/>
        <v>(2,2,1,1,1,3); Assumption: 10% of water used is evaporated</v>
      </c>
      <c r="BX75" s="435">
        <f t="shared" si="140"/>
        <v>0</v>
      </c>
      <c r="BY75" s="95">
        <v>1</v>
      </c>
      <c r="BZ75" s="96">
        <f t="shared" si="115"/>
        <v>1.5094881771396103</v>
      </c>
      <c r="CA75" s="432" t="str">
        <f t="shared" si="116"/>
        <v>(2,2,1,1,1,3); Assumption: 10% of water used is evaporated</v>
      </c>
      <c r="CB75" s="435">
        <f t="shared" si="141"/>
        <v>0</v>
      </c>
      <c r="CC75" s="95">
        <v>1</v>
      </c>
      <c r="CD75" s="96">
        <f t="shared" si="117"/>
        <v>1.5094881771396103</v>
      </c>
      <c r="CE75" s="432" t="str">
        <f t="shared" si="118"/>
        <v>(2,2,1,1,1,3); Assumption: 10% of water used is evaporated</v>
      </c>
      <c r="CF75" s="435">
        <f t="shared" si="142"/>
        <v>0</v>
      </c>
      <c r="CG75" s="95">
        <v>1</v>
      </c>
      <c r="CH75" s="96">
        <f t="shared" si="119"/>
        <v>1.5094881771396103</v>
      </c>
      <c r="CI75" s="432" t="str">
        <f t="shared" si="120"/>
        <v>(2,2,1,1,1,3); Assumption: 10% of water used is evaporated</v>
      </c>
      <c r="CJ75" s="505"/>
      <c r="CK75" s="505"/>
      <c r="CL75" s="211"/>
      <c r="CM75" s="510"/>
      <c r="CO75" s="77" t="s">
        <v>2217</v>
      </c>
      <c r="CP75" s="339">
        <v>2</v>
      </c>
      <c r="CQ75" s="339">
        <v>2</v>
      </c>
      <c r="CR75" s="339">
        <v>1</v>
      </c>
      <c r="CS75" s="339">
        <v>1</v>
      </c>
      <c r="CT75" s="339">
        <v>1</v>
      </c>
      <c r="CU75" s="339">
        <v>3</v>
      </c>
      <c r="CV75" s="104">
        <v>31</v>
      </c>
      <c r="CW75" s="104">
        <v>1.5</v>
      </c>
      <c r="CX75" s="107">
        <f t="shared" si="121"/>
        <v>1.0744244531716256</v>
      </c>
      <c r="CY75" s="107">
        <f t="shared" si="122"/>
        <v>1.5094881771396103</v>
      </c>
      <c r="CZ75" s="107" t="str">
        <f t="shared" si="123"/>
        <v>(2,2,1,1,1,3)</v>
      </c>
      <c r="DA75" s="108">
        <v>1.05</v>
      </c>
      <c r="DB75" s="108">
        <v>1.02</v>
      </c>
      <c r="DC75" s="108">
        <v>1</v>
      </c>
      <c r="DD75" s="108">
        <v>1</v>
      </c>
      <c r="DE75" s="108">
        <v>1</v>
      </c>
      <c r="DF75" s="108">
        <v>1.05</v>
      </c>
      <c r="DH75" s="208"/>
      <c r="DI75" s="209"/>
    </row>
    <row r="76" spans="1:118">
      <c r="A76" s="330">
        <v>63159</v>
      </c>
      <c r="B76" s="331"/>
      <c r="C76" s="88"/>
      <c r="D76" s="340" t="s">
        <v>98</v>
      </c>
      <c r="E76" s="341">
        <v>4</v>
      </c>
      <c r="F76" s="432" t="s">
        <v>2297</v>
      </c>
      <c r="G76" s="433" t="s">
        <v>98</v>
      </c>
      <c r="H76" s="434" t="s">
        <v>247</v>
      </c>
      <c r="I76" s="434" t="s">
        <v>248</v>
      </c>
      <c r="J76" s="94" t="s">
        <v>98</v>
      </c>
      <c r="K76" s="433" t="s">
        <v>96</v>
      </c>
      <c r="L76" s="435">
        <f t="shared" si="124"/>
        <v>0</v>
      </c>
      <c r="M76" s="95">
        <v>1</v>
      </c>
      <c r="N76" s="96">
        <f t="shared" si="83"/>
        <v>1.5094881771396103</v>
      </c>
      <c r="O76" s="432" t="str">
        <f t="shared" si="84"/>
        <v>(2,2,1,1,1,3); Assumption: 10% of water used is evaporated</v>
      </c>
      <c r="P76" s="435">
        <f t="shared" si="125"/>
        <v>0</v>
      </c>
      <c r="Q76" s="95">
        <v>1</v>
      </c>
      <c r="R76" s="96">
        <f t="shared" si="85"/>
        <v>1.5094881771396103</v>
      </c>
      <c r="S76" s="432" t="str">
        <f t="shared" si="86"/>
        <v>(2,2,1,1,1,3); Assumption: 10% of water used is evaporated</v>
      </c>
      <c r="T76" s="435">
        <f t="shared" si="126"/>
        <v>0</v>
      </c>
      <c r="U76" s="95">
        <v>1</v>
      </c>
      <c r="V76" s="96">
        <f t="shared" si="87"/>
        <v>1.5094881771396103</v>
      </c>
      <c r="W76" s="432" t="str">
        <f t="shared" si="88"/>
        <v>(2,2,1,1,1,3); Assumption: 10% of water used is evaporated</v>
      </c>
      <c r="X76" s="435">
        <f t="shared" si="127"/>
        <v>0</v>
      </c>
      <c r="Y76" s="95">
        <v>1</v>
      </c>
      <c r="Z76" s="96">
        <f t="shared" si="89"/>
        <v>1.5094881771396103</v>
      </c>
      <c r="AA76" s="432" t="str">
        <f t="shared" si="90"/>
        <v>(2,2,1,1,1,3); Assumption: 10% of water used is evaporated</v>
      </c>
      <c r="AB76" s="435">
        <f t="shared" si="128"/>
        <v>0</v>
      </c>
      <c r="AC76" s="95">
        <v>1</v>
      </c>
      <c r="AD76" s="96">
        <f t="shared" si="91"/>
        <v>1.5094881771396103</v>
      </c>
      <c r="AE76" s="432" t="str">
        <f t="shared" si="92"/>
        <v>(2,2,1,1,1,3); Assumption: 10% of water used is evaporated</v>
      </c>
      <c r="AF76" s="435">
        <f t="shared" si="129"/>
        <v>0</v>
      </c>
      <c r="AG76" s="95">
        <v>1</v>
      </c>
      <c r="AH76" s="96">
        <f t="shared" si="93"/>
        <v>1.5094881771396103</v>
      </c>
      <c r="AI76" s="432" t="str">
        <f t="shared" si="94"/>
        <v>(2,2,1,1,1,3); Assumption: 10% of water used is evaporated</v>
      </c>
      <c r="AJ76" s="435">
        <f t="shared" si="130"/>
        <v>0</v>
      </c>
      <c r="AK76" s="95">
        <v>1</v>
      </c>
      <c r="AL76" s="96">
        <f t="shared" si="95"/>
        <v>1.5094881771396103</v>
      </c>
      <c r="AM76" s="432" t="str">
        <f t="shared" si="96"/>
        <v>(2,2,1,1,1,3); Assumption: 10% of water used is evaporated</v>
      </c>
      <c r="AN76" s="435">
        <f t="shared" si="131"/>
        <v>2.3056073074758889E-4</v>
      </c>
      <c r="AO76" s="95">
        <v>1</v>
      </c>
      <c r="AP76" s="96">
        <f t="shared" si="97"/>
        <v>1.5094881771396103</v>
      </c>
      <c r="AQ76" s="432" t="str">
        <f t="shared" si="98"/>
        <v>(2,2,1,1,1,3); Assumption: 10% of water used is evaporated</v>
      </c>
      <c r="AR76" s="435">
        <f t="shared" si="132"/>
        <v>0</v>
      </c>
      <c r="AS76" s="95">
        <v>1</v>
      </c>
      <c r="AT76" s="96">
        <f t="shared" si="99"/>
        <v>1.5094881771396103</v>
      </c>
      <c r="AU76" s="432" t="str">
        <f t="shared" si="100"/>
        <v>(2,2,1,1,1,3); Assumption: 10% of water used is evaporated</v>
      </c>
      <c r="AV76" s="435">
        <f t="shared" si="133"/>
        <v>0</v>
      </c>
      <c r="AW76" s="95">
        <v>1</v>
      </c>
      <c r="AX76" s="96">
        <f t="shared" si="101"/>
        <v>1.5094881771396103</v>
      </c>
      <c r="AY76" s="432" t="str">
        <f t="shared" si="102"/>
        <v>(2,2,1,1,1,3); Assumption: 10% of water used is evaporated</v>
      </c>
      <c r="AZ76" s="435">
        <f t="shared" si="134"/>
        <v>0</v>
      </c>
      <c r="BA76" s="95">
        <v>1</v>
      </c>
      <c r="BB76" s="96">
        <f t="shared" si="103"/>
        <v>1.5094881771396103</v>
      </c>
      <c r="BC76" s="432" t="str">
        <f t="shared" si="104"/>
        <v>(2,2,1,1,1,3); Assumption: 10% of water used is evaporated</v>
      </c>
      <c r="BD76" s="435">
        <f t="shared" si="135"/>
        <v>0</v>
      </c>
      <c r="BE76" s="95">
        <v>1</v>
      </c>
      <c r="BF76" s="96">
        <f t="shared" si="105"/>
        <v>1.5094881771396103</v>
      </c>
      <c r="BG76" s="432" t="str">
        <f t="shared" si="106"/>
        <v>(2,2,1,1,1,3); Assumption: 10% of water used is evaporated</v>
      </c>
      <c r="BH76" s="435">
        <f t="shared" si="136"/>
        <v>0</v>
      </c>
      <c r="BI76" s="95">
        <v>1</v>
      </c>
      <c r="BJ76" s="96">
        <f t="shared" si="107"/>
        <v>1.5094881771396103</v>
      </c>
      <c r="BK76" s="432" t="str">
        <f t="shared" si="108"/>
        <v>(2,2,1,1,1,3); Assumption: 10% of water used is evaporated</v>
      </c>
      <c r="BL76" s="435">
        <f t="shared" si="137"/>
        <v>0</v>
      </c>
      <c r="BM76" s="95">
        <v>1</v>
      </c>
      <c r="BN76" s="96">
        <f t="shared" si="109"/>
        <v>1.5094881771396103</v>
      </c>
      <c r="BO76" s="432" t="str">
        <f t="shared" si="110"/>
        <v>(2,2,1,1,1,3); Assumption: 10% of water used is evaporated</v>
      </c>
      <c r="BP76" s="435">
        <f t="shared" si="138"/>
        <v>0</v>
      </c>
      <c r="BQ76" s="95">
        <v>1</v>
      </c>
      <c r="BR76" s="96">
        <f t="shared" si="111"/>
        <v>1.5094881771396103</v>
      </c>
      <c r="BS76" s="432" t="str">
        <f t="shared" si="112"/>
        <v>(2,2,1,1,1,3); Assumption: 10% of water used is evaporated</v>
      </c>
      <c r="BT76" s="435">
        <f t="shared" si="139"/>
        <v>0</v>
      </c>
      <c r="BU76" s="95">
        <v>1</v>
      </c>
      <c r="BV76" s="96">
        <f t="shared" si="113"/>
        <v>1.5094881771396103</v>
      </c>
      <c r="BW76" s="432" t="str">
        <f t="shared" si="114"/>
        <v>(2,2,1,1,1,3); Assumption: 10% of water used is evaporated</v>
      </c>
      <c r="BX76" s="435">
        <f t="shared" si="140"/>
        <v>0</v>
      </c>
      <c r="BY76" s="95">
        <v>1</v>
      </c>
      <c r="BZ76" s="96">
        <f t="shared" si="115"/>
        <v>1.5094881771396103</v>
      </c>
      <c r="CA76" s="432" t="str">
        <f t="shared" si="116"/>
        <v>(2,2,1,1,1,3); Assumption: 10% of water used is evaporated</v>
      </c>
      <c r="CB76" s="435">
        <f t="shared" si="141"/>
        <v>0</v>
      </c>
      <c r="CC76" s="95">
        <v>1</v>
      </c>
      <c r="CD76" s="96">
        <f t="shared" si="117"/>
        <v>1.5094881771396103</v>
      </c>
      <c r="CE76" s="432" t="str">
        <f t="shared" si="118"/>
        <v>(2,2,1,1,1,3); Assumption: 10% of water used is evaporated</v>
      </c>
      <c r="CF76" s="435">
        <f t="shared" si="142"/>
        <v>0</v>
      </c>
      <c r="CG76" s="95">
        <v>1</v>
      </c>
      <c r="CH76" s="96">
        <f t="shared" si="119"/>
        <v>1.5094881771396103</v>
      </c>
      <c r="CI76" s="432" t="str">
        <f t="shared" si="120"/>
        <v>(2,2,1,1,1,3); Assumption: 10% of water used is evaporated</v>
      </c>
      <c r="CJ76" s="505"/>
      <c r="CK76" s="505"/>
      <c r="CL76" s="211"/>
      <c r="CM76" s="510"/>
      <c r="CO76" s="77" t="s">
        <v>2217</v>
      </c>
      <c r="CP76" s="339">
        <v>2</v>
      </c>
      <c r="CQ76" s="339">
        <v>2</v>
      </c>
      <c r="CR76" s="339">
        <v>1</v>
      </c>
      <c r="CS76" s="339">
        <v>1</v>
      </c>
      <c r="CT76" s="339">
        <v>1</v>
      </c>
      <c r="CU76" s="339">
        <v>3</v>
      </c>
      <c r="CV76" s="104">
        <v>31</v>
      </c>
      <c r="CW76" s="104">
        <v>1.5</v>
      </c>
      <c r="CX76" s="107">
        <f t="shared" si="121"/>
        <v>1.0744244531716256</v>
      </c>
      <c r="CY76" s="107">
        <f t="shared" si="122"/>
        <v>1.5094881771396103</v>
      </c>
      <c r="CZ76" s="107" t="str">
        <f t="shared" si="123"/>
        <v>(2,2,1,1,1,3)</v>
      </c>
      <c r="DA76" s="108">
        <v>1.05</v>
      </c>
      <c r="DB76" s="108">
        <v>1.02</v>
      </c>
      <c r="DC76" s="108">
        <v>1</v>
      </c>
      <c r="DD76" s="108">
        <v>1</v>
      </c>
      <c r="DE76" s="108">
        <v>1</v>
      </c>
      <c r="DF76" s="108">
        <v>1.05</v>
      </c>
      <c r="DH76" s="208"/>
      <c r="DI76" s="209"/>
    </row>
    <row r="77" spans="1:118">
      <c r="A77" s="330">
        <v>27897</v>
      </c>
      <c r="B77" s="331"/>
      <c r="C77" s="88"/>
      <c r="D77" s="340" t="s">
        <v>98</v>
      </c>
      <c r="E77" s="341">
        <v>4</v>
      </c>
      <c r="F77" s="432" t="s">
        <v>2298</v>
      </c>
      <c r="G77" s="433" t="s">
        <v>98</v>
      </c>
      <c r="H77" s="434" t="s">
        <v>247</v>
      </c>
      <c r="I77" s="434" t="s">
        <v>248</v>
      </c>
      <c r="J77" s="94" t="s">
        <v>98</v>
      </c>
      <c r="K77" s="433" t="s">
        <v>96</v>
      </c>
      <c r="L77" s="435">
        <f t="shared" si="124"/>
        <v>0</v>
      </c>
      <c r="M77" s="95">
        <v>1</v>
      </c>
      <c r="N77" s="96">
        <f t="shared" si="83"/>
        <v>1.5094881771396103</v>
      </c>
      <c r="O77" s="432" t="str">
        <f t="shared" si="84"/>
        <v>(2,2,1,1,1,3); Assumption: 10% of water used is evaporated</v>
      </c>
      <c r="P77" s="435">
        <f t="shared" si="125"/>
        <v>0</v>
      </c>
      <c r="Q77" s="95">
        <v>1</v>
      </c>
      <c r="R77" s="96">
        <f t="shared" si="85"/>
        <v>1.5094881771396103</v>
      </c>
      <c r="S77" s="432" t="str">
        <f t="shared" si="86"/>
        <v>(2,2,1,1,1,3); Assumption: 10% of water used is evaporated</v>
      </c>
      <c r="T77" s="435">
        <f t="shared" si="126"/>
        <v>0</v>
      </c>
      <c r="U77" s="95">
        <v>1</v>
      </c>
      <c r="V77" s="96">
        <f t="shared" si="87"/>
        <v>1.5094881771396103</v>
      </c>
      <c r="W77" s="432" t="str">
        <f t="shared" si="88"/>
        <v>(2,2,1,1,1,3); Assumption: 10% of water used is evaporated</v>
      </c>
      <c r="X77" s="435">
        <f t="shared" si="127"/>
        <v>0</v>
      </c>
      <c r="Y77" s="95">
        <v>1</v>
      </c>
      <c r="Z77" s="96">
        <f t="shared" si="89"/>
        <v>1.5094881771396103</v>
      </c>
      <c r="AA77" s="432" t="str">
        <f t="shared" si="90"/>
        <v>(2,2,1,1,1,3); Assumption: 10% of water used is evaporated</v>
      </c>
      <c r="AB77" s="435">
        <f t="shared" si="128"/>
        <v>0</v>
      </c>
      <c r="AC77" s="95">
        <v>1</v>
      </c>
      <c r="AD77" s="96">
        <f t="shared" si="91"/>
        <v>1.5094881771396103</v>
      </c>
      <c r="AE77" s="432" t="str">
        <f t="shared" si="92"/>
        <v>(2,2,1,1,1,3); Assumption: 10% of water used is evaporated</v>
      </c>
      <c r="AF77" s="435">
        <f t="shared" si="129"/>
        <v>0</v>
      </c>
      <c r="AG77" s="95">
        <v>1</v>
      </c>
      <c r="AH77" s="96">
        <f t="shared" si="93"/>
        <v>1.5094881771396103</v>
      </c>
      <c r="AI77" s="432" t="str">
        <f t="shared" si="94"/>
        <v>(2,2,1,1,1,3); Assumption: 10% of water used is evaporated</v>
      </c>
      <c r="AJ77" s="435">
        <f t="shared" si="130"/>
        <v>0</v>
      </c>
      <c r="AK77" s="95">
        <v>1</v>
      </c>
      <c r="AL77" s="96">
        <f t="shared" si="95"/>
        <v>1.5094881771396103</v>
      </c>
      <c r="AM77" s="432" t="str">
        <f t="shared" si="96"/>
        <v>(2,2,1,1,1,3); Assumption: 10% of water used is evaporated</v>
      </c>
      <c r="AN77" s="435">
        <f t="shared" si="131"/>
        <v>0</v>
      </c>
      <c r="AO77" s="95">
        <v>1</v>
      </c>
      <c r="AP77" s="96">
        <f t="shared" si="97"/>
        <v>1.5094881771396103</v>
      </c>
      <c r="AQ77" s="432" t="str">
        <f t="shared" si="98"/>
        <v>(2,2,1,1,1,3); Assumption: 10% of water used is evaporated</v>
      </c>
      <c r="AR77" s="435">
        <f t="shared" si="132"/>
        <v>2.7970447128063868E-4</v>
      </c>
      <c r="AS77" s="95">
        <v>1</v>
      </c>
      <c r="AT77" s="96">
        <f t="shared" si="99"/>
        <v>1.5094881771396103</v>
      </c>
      <c r="AU77" s="432" t="str">
        <f t="shared" si="100"/>
        <v>(2,2,1,1,1,3); Assumption: 10% of water used is evaporated</v>
      </c>
      <c r="AV77" s="435">
        <f t="shared" si="133"/>
        <v>0</v>
      </c>
      <c r="AW77" s="95">
        <v>1</v>
      </c>
      <c r="AX77" s="96">
        <f t="shared" si="101"/>
        <v>1.5094881771396103</v>
      </c>
      <c r="AY77" s="432" t="str">
        <f t="shared" si="102"/>
        <v>(2,2,1,1,1,3); Assumption: 10% of water used is evaporated</v>
      </c>
      <c r="AZ77" s="435">
        <f t="shared" si="134"/>
        <v>0</v>
      </c>
      <c r="BA77" s="95">
        <v>1</v>
      </c>
      <c r="BB77" s="96">
        <f t="shared" si="103"/>
        <v>1.5094881771396103</v>
      </c>
      <c r="BC77" s="432" t="str">
        <f t="shared" si="104"/>
        <v>(2,2,1,1,1,3); Assumption: 10% of water used is evaporated</v>
      </c>
      <c r="BD77" s="435">
        <f t="shared" si="135"/>
        <v>0</v>
      </c>
      <c r="BE77" s="95">
        <v>1</v>
      </c>
      <c r="BF77" s="96">
        <f t="shared" si="105"/>
        <v>1.5094881771396103</v>
      </c>
      <c r="BG77" s="432" t="str">
        <f t="shared" si="106"/>
        <v>(2,2,1,1,1,3); Assumption: 10% of water used is evaporated</v>
      </c>
      <c r="BH77" s="435">
        <f t="shared" si="136"/>
        <v>0</v>
      </c>
      <c r="BI77" s="95">
        <v>1</v>
      </c>
      <c r="BJ77" s="96">
        <f t="shared" si="107"/>
        <v>1.5094881771396103</v>
      </c>
      <c r="BK77" s="432" t="str">
        <f t="shared" si="108"/>
        <v>(2,2,1,1,1,3); Assumption: 10% of water used is evaporated</v>
      </c>
      <c r="BL77" s="435">
        <f t="shared" si="137"/>
        <v>0</v>
      </c>
      <c r="BM77" s="95">
        <v>1</v>
      </c>
      <c r="BN77" s="96">
        <f t="shared" si="109"/>
        <v>1.5094881771396103</v>
      </c>
      <c r="BO77" s="432" t="str">
        <f t="shared" si="110"/>
        <v>(2,2,1,1,1,3); Assumption: 10% of water used is evaporated</v>
      </c>
      <c r="BP77" s="435">
        <f t="shared" si="138"/>
        <v>0</v>
      </c>
      <c r="BQ77" s="95">
        <v>1</v>
      </c>
      <c r="BR77" s="96">
        <f t="shared" si="111"/>
        <v>1.5094881771396103</v>
      </c>
      <c r="BS77" s="432" t="str">
        <f t="shared" si="112"/>
        <v>(2,2,1,1,1,3); Assumption: 10% of water used is evaporated</v>
      </c>
      <c r="BT77" s="435">
        <f t="shared" si="139"/>
        <v>0</v>
      </c>
      <c r="BU77" s="95">
        <v>1</v>
      </c>
      <c r="BV77" s="96">
        <f t="shared" si="113"/>
        <v>1.5094881771396103</v>
      </c>
      <c r="BW77" s="432" t="str">
        <f t="shared" si="114"/>
        <v>(2,2,1,1,1,3); Assumption: 10% of water used is evaporated</v>
      </c>
      <c r="BX77" s="435">
        <f t="shared" si="140"/>
        <v>0</v>
      </c>
      <c r="BY77" s="95">
        <v>1</v>
      </c>
      <c r="BZ77" s="96">
        <f t="shared" si="115"/>
        <v>1.5094881771396103</v>
      </c>
      <c r="CA77" s="432" t="str">
        <f t="shared" si="116"/>
        <v>(2,2,1,1,1,3); Assumption: 10% of water used is evaporated</v>
      </c>
      <c r="CB77" s="435">
        <f t="shared" si="141"/>
        <v>0</v>
      </c>
      <c r="CC77" s="95">
        <v>1</v>
      </c>
      <c r="CD77" s="96">
        <f t="shared" si="117"/>
        <v>1.5094881771396103</v>
      </c>
      <c r="CE77" s="432" t="str">
        <f t="shared" si="118"/>
        <v>(2,2,1,1,1,3); Assumption: 10% of water used is evaporated</v>
      </c>
      <c r="CF77" s="435">
        <f t="shared" si="142"/>
        <v>0</v>
      </c>
      <c r="CG77" s="95">
        <v>1</v>
      </c>
      <c r="CH77" s="96">
        <f t="shared" si="119"/>
        <v>1.5094881771396103</v>
      </c>
      <c r="CI77" s="432" t="str">
        <f t="shared" si="120"/>
        <v>(2,2,1,1,1,3); Assumption: 10% of water used is evaporated</v>
      </c>
      <c r="CJ77" s="505"/>
      <c r="CK77" s="505"/>
      <c r="CL77" s="211"/>
      <c r="CM77" s="510"/>
      <c r="CO77" s="77" t="s">
        <v>2217</v>
      </c>
      <c r="CP77" s="339">
        <v>2</v>
      </c>
      <c r="CQ77" s="339">
        <v>2</v>
      </c>
      <c r="CR77" s="339">
        <v>1</v>
      </c>
      <c r="CS77" s="339">
        <v>1</v>
      </c>
      <c r="CT77" s="339">
        <v>1</v>
      </c>
      <c r="CU77" s="339">
        <v>3</v>
      </c>
      <c r="CV77" s="104">
        <v>31</v>
      </c>
      <c r="CW77" s="104">
        <v>1.5</v>
      </c>
      <c r="CX77" s="107">
        <f t="shared" si="121"/>
        <v>1.0744244531716256</v>
      </c>
      <c r="CY77" s="107">
        <f t="shared" si="122"/>
        <v>1.5094881771396103</v>
      </c>
      <c r="CZ77" s="107" t="str">
        <f t="shared" si="123"/>
        <v>(2,2,1,1,1,3)</v>
      </c>
      <c r="DA77" s="108">
        <v>1.05</v>
      </c>
      <c r="DB77" s="108">
        <v>1.02</v>
      </c>
      <c r="DC77" s="108">
        <v>1</v>
      </c>
      <c r="DD77" s="108">
        <v>1</v>
      </c>
      <c r="DE77" s="108">
        <v>1</v>
      </c>
      <c r="DF77" s="108">
        <v>1.05</v>
      </c>
      <c r="DH77" s="208"/>
      <c r="DI77" s="209"/>
    </row>
    <row r="78" spans="1:118">
      <c r="A78" s="330">
        <v>65837</v>
      </c>
      <c r="B78" s="331"/>
      <c r="C78" s="88"/>
      <c r="D78" s="340" t="s">
        <v>98</v>
      </c>
      <c r="E78" s="341">
        <v>4</v>
      </c>
      <c r="F78" s="432" t="s">
        <v>2299</v>
      </c>
      <c r="G78" s="433" t="s">
        <v>98</v>
      </c>
      <c r="H78" s="434" t="s">
        <v>247</v>
      </c>
      <c r="I78" s="434" t="s">
        <v>248</v>
      </c>
      <c r="J78" s="94" t="s">
        <v>98</v>
      </c>
      <c r="K78" s="433" t="s">
        <v>96</v>
      </c>
      <c r="L78" s="435">
        <f t="shared" si="124"/>
        <v>0</v>
      </c>
      <c r="M78" s="95">
        <v>1</v>
      </c>
      <c r="N78" s="96">
        <f t="shared" si="83"/>
        <v>1.5094881771396103</v>
      </c>
      <c r="O78" s="432" t="str">
        <f t="shared" si="84"/>
        <v>(2,2,1,1,1,3); Assumption: 10% of water used is evaporated</v>
      </c>
      <c r="P78" s="435">
        <f t="shared" si="125"/>
        <v>0</v>
      </c>
      <c r="Q78" s="95">
        <v>1</v>
      </c>
      <c r="R78" s="96">
        <f t="shared" si="85"/>
        <v>1.5094881771396103</v>
      </c>
      <c r="S78" s="432" t="str">
        <f t="shared" si="86"/>
        <v>(2,2,1,1,1,3); Assumption: 10% of water used is evaporated</v>
      </c>
      <c r="T78" s="435">
        <f t="shared" si="126"/>
        <v>0</v>
      </c>
      <c r="U78" s="95">
        <v>1</v>
      </c>
      <c r="V78" s="96">
        <f t="shared" si="87"/>
        <v>1.5094881771396103</v>
      </c>
      <c r="W78" s="432" t="str">
        <f t="shared" si="88"/>
        <v>(2,2,1,1,1,3); Assumption: 10% of water used is evaporated</v>
      </c>
      <c r="X78" s="435">
        <f t="shared" si="127"/>
        <v>0</v>
      </c>
      <c r="Y78" s="95">
        <v>1</v>
      </c>
      <c r="Z78" s="96">
        <f t="shared" si="89"/>
        <v>1.5094881771396103</v>
      </c>
      <c r="AA78" s="432" t="str">
        <f t="shared" si="90"/>
        <v>(2,2,1,1,1,3); Assumption: 10% of water used is evaporated</v>
      </c>
      <c r="AB78" s="435">
        <f t="shared" si="128"/>
        <v>0</v>
      </c>
      <c r="AC78" s="95">
        <v>1</v>
      </c>
      <c r="AD78" s="96">
        <f t="shared" si="91"/>
        <v>1.5094881771396103</v>
      </c>
      <c r="AE78" s="432" t="str">
        <f t="shared" si="92"/>
        <v>(2,2,1,1,1,3); Assumption: 10% of water used is evaporated</v>
      </c>
      <c r="AF78" s="435">
        <f t="shared" si="129"/>
        <v>0</v>
      </c>
      <c r="AG78" s="95">
        <v>1</v>
      </c>
      <c r="AH78" s="96">
        <f t="shared" si="93"/>
        <v>1.5094881771396103</v>
      </c>
      <c r="AI78" s="432" t="str">
        <f t="shared" si="94"/>
        <v>(2,2,1,1,1,3); Assumption: 10% of water used is evaporated</v>
      </c>
      <c r="AJ78" s="435">
        <f t="shared" si="130"/>
        <v>0</v>
      </c>
      <c r="AK78" s="95">
        <v>1</v>
      </c>
      <c r="AL78" s="96">
        <f t="shared" si="95"/>
        <v>1.5094881771396103</v>
      </c>
      <c r="AM78" s="432" t="str">
        <f t="shared" si="96"/>
        <v>(2,2,1,1,1,3); Assumption: 10% of water used is evaporated</v>
      </c>
      <c r="AN78" s="435">
        <f t="shared" si="131"/>
        <v>0</v>
      </c>
      <c r="AO78" s="95">
        <v>1</v>
      </c>
      <c r="AP78" s="96">
        <f t="shared" si="97"/>
        <v>1.5094881771396103</v>
      </c>
      <c r="AQ78" s="432" t="str">
        <f t="shared" si="98"/>
        <v>(2,2,1,1,1,3); Assumption: 10% of water used is evaporated</v>
      </c>
      <c r="AR78" s="435">
        <f t="shared" si="132"/>
        <v>0</v>
      </c>
      <c r="AS78" s="95">
        <v>1</v>
      </c>
      <c r="AT78" s="96">
        <f t="shared" si="99"/>
        <v>1.5094881771396103</v>
      </c>
      <c r="AU78" s="432" t="str">
        <f t="shared" si="100"/>
        <v>(2,2,1,1,1,3); Assumption: 10% of water used is evaporated</v>
      </c>
      <c r="AV78" s="435">
        <f t="shared" si="133"/>
        <v>3.831023327019172E-4</v>
      </c>
      <c r="AW78" s="95">
        <v>1</v>
      </c>
      <c r="AX78" s="96">
        <f t="shared" si="101"/>
        <v>1.5094881771396103</v>
      </c>
      <c r="AY78" s="432" t="str">
        <f t="shared" si="102"/>
        <v>(2,2,1,1,1,3); Assumption: 10% of water used is evaporated</v>
      </c>
      <c r="AZ78" s="435">
        <f t="shared" si="134"/>
        <v>0</v>
      </c>
      <c r="BA78" s="95">
        <v>1</v>
      </c>
      <c r="BB78" s="96">
        <f t="shared" si="103"/>
        <v>1.5094881771396103</v>
      </c>
      <c r="BC78" s="432" t="str">
        <f t="shared" si="104"/>
        <v>(2,2,1,1,1,3); Assumption: 10% of water used is evaporated</v>
      </c>
      <c r="BD78" s="435">
        <f t="shared" si="135"/>
        <v>0</v>
      </c>
      <c r="BE78" s="95">
        <v>1</v>
      </c>
      <c r="BF78" s="96">
        <f t="shared" si="105"/>
        <v>1.5094881771396103</v>
      </c>
      <c r="BG78" s="432" t="str">
        <f t="shared" si="106"/>
        <v>(2,2,1,1,1,3); Assumption: 10% of water used is evaporated</v>
      </c>
      <c r="BH78" s="435">
        <f t="shared" si="136"/>
        <v>0</v>
      </c>
      <c r="BI78" s="95">
        <v>1</v>
      </c>
      <c r="BJ78" s="96">
        <f t="shared" si="107"/>
        <v>1.5094881771396103</v>
      </c>
      <c r="BK78" s="432" t="str">
        <f t="shared" si="108"/>
        <v>(2,2,1,1,1,3); Assumption: 10% of water used is evaporated</v>
      </c>
      <c r="BL78" s="435">
        <f t="shared" si="137"/>
        <v>0</v>
      </c>
      <c r="BM78" s="95">
        <v>1</v>
      </c>
      <c r="BN78" s="96">
        <f t="shared" si="109"/>
        <v>1.5094881771396103</v>
      </c>
      <c r="BO78" s="432" t="str">
        <f t="shared" si="110"/>
        <v>(2,2,1,1,1,3); Assumption: 10% of water used is evaporated</v>
      </c>
      <c r="BP78" s="435">
        <f t="shared" si="138"/>
        <v>0</v>
      </c>
      <c r="BQ78" s="95">
        <v>1</v>
      </c>
      <c r="BR78" s="96">
        <f t="shared" si="111"/>
        <v>1.5094881771396103</v>
      </c>
      <c r="BS78" s="432" t="str">
        <f t="shared" si="112"/>
        <v>(2,2,1,1,1,3); Assumption: 10% of water used is evaporated</v>
      </c>
      <c r="BT78" s="435">
        <f t="shared" si="139"/>
        <v>0</v>
      </c>
      <c r="BU78" s="95">
        <v>1</v>
      </c>
      <c r="BV78" s="96">
        <f t="shared" si="113"/>
        <v>1.5094881771396103</v>
      </c>
      <c r="BW78" s="432" t="str">
        <f t="shared" si="114"/>
        <v>(2,2,1,1,1,3); Assumption: 10% of water used is evaporated</v>
      </c>
      <c r="BX78" s="435">
        <f t="shared" si="140"/>
        <v>0</v>
      </c>
      <c r="BY78" s="95">
        <v>1</v>
      </c>
      <c r="BZ78" s="96">
        <f t="shared" si="115"/>
        <v>1.5094881771396103</v>
      </c>
      <c r="CA78" s="432" t="str">
        <f t="shared" si="116"/>
        <v>(2,2,1,1,1,3); Assumption: 10% of water used is evaporated</v>
      </c>
      <c r="CB78" s="435">
        <f t="shared" si="141"/>
        <v>0</v>
      </c>
      <c r="CC78" s="95">
        <v>1</v>
      </c>
      <c r="CD78" s="96">
        <f t="shared" si="117"/>
        <v>1.5094881771396103</v>
      </c>
      <c r="CE78" s="432" t="str">
        <f t="shared" si="118"/>
        <v>(2,2,1,1,1,3); Assumption: 10% of water used is evaporated</v>
      </c>
      <c r="CF78" s="435">
        <f t="shared" si="142"/>
        <v>0</v>
      </c>
      <c r="CG78" s="95">
        <v>1</v>
      </c>
      <c r="CH78" s="96">
        <f t="shared" si="119"/>
        <v>1.5094881771396103</v>
      </c>
      <c r="CI78" s="432" t="str">
        <f t="shared" si="120"/>
        <v>(2,2,1,1,1,3); Assumption: 10% of water used is evaporated</v>
      </c>
      <c r="CJ78" s="505"/>
      <c r="CK78" s="505"/>
      <c r="CL78" s="211"/>
      <c r="CM78" s="510"/>
      <c r="CO78" s="77" t="s">
        <v>2217</v>
      </c>
      <c r="CP78" s="339">
        <v>2</v>
      </c>
      <c r="CQ78" s="339">
        <v>2</v>
      </c>
      <c r="CR78" s="339">
        <v>1</v>
      </c>
      <c r="CS78" s="339">
        <v>1</v>
      </c>
      <c r="CT78" s="339">
        <v>1</v>
      </c>
      <c r="CU78" s="339">
        <v>3</v>
      </c>
      <c r="CV78" s="104">
        <v>31</v>
      </c>
      <c r="CW78" s="104">
        <v>1.5</v>
      </c>
      <c r="CX78" s="107">
        <f t="shared" si="121"/>
        <v>1.0744244531716256</v>
      </c>
      <c r="CY78" s="107">
        <f t="shared" si="122"/>
        <v>1.5094881771396103</v>
      </c>
      <c r="CZ78" s="107" t="str">
        <f t="shared" si="123"/>
        <v>(2,2,1,1,1,3)</v>
      </c>
      <c r="DA78" s="108">
        <v>1.05</v>
      </c>
      <c r="DB78" s="108">
        <v>1.02</v>
      </c>
      <c r="DC78" s="108">
        <v>1</v>
      </c>
      <c r="DD78" s="108">
        <v>1</v>
      </c>
      <c r="DE78" s="108">
        <v>1</v>
      </c>
      <c r="DF78" s="108">
        <v>1.05</v>
      </c>
    </row>
    <row r="79" spans="1:118">
      <c r="A79" s="330">
        <v>54010</v>
      </c>
      <c r="B79" s="331"/>
      <c r="C79" s="88"/>
      <c r="D79" s="340" t="s">
        <v>98</v>
      </c>
      <c r="E79" s="341">
        <v>4</v>
      </c>
      <c r="F79" s="432" t="s">
        <v>2300</v>
      </c>
      <c r="G79" s="433" t="s">
        <v>98</v>
      </c>
      <c r="H79" s="434" t="s">
        <v>247</v>
      </c>
      <c r="I79" s="434" t="s">
        <v>248</v>
      </c>
      <c r="J79" s="94" t="s">
        <v>98</v>
      </c>
      <c r="K79" s="433" t="s">
        <v>96</v>
      </c>
      <c r="L79" s="435">
        <f t="shared" si="124"/>
        <v>0</v>
      </c>
      <c r="M79" s="95">
        <v>1</v>
      </c>
      <c r="N79" s="96">
        <f t="shared" si="83"/>
        <v>1.5094881771396103</v>
      </c>
      <c r="O79" s="432" t="str">
        <f t="shared" si="84"/>
        <v>(2,2,1,1,1,3); Assumption: 10% of water used is evaporated</v>
      </c>
      <c r="P79" s="435">
        <f t="shared" si="125"/>
        <v>0</v>
      </c>
      <c r="Q79" s="95">
        <v>1</v>
      </c>
      <c r="R79" s="96">
        <f t="shared" si="85"/>
        <v>1.5094881771396103</v>
      </c>
      <c r="S79" s="432" t="str">
        <f t="shared" si="86"/>
        <v>(2,2,1,1,1,3); Assumption: 10% of water used is evaporated</v>
      </c>
      <c r="T79" s="435">
        <f t="shared" si="126"/>
        <v>0</v>
      </c>
      <c r="U79" s="95">
        <v>1</v>
      </c>
      <c r="V79" s="96">
        <f t="shared" si="87"/>
        <v>1.5094881771396103</v>
      </c>
      <c r="W79" s="432" t="str">
        <f t="shared" si="88"/>
        <v>(2,2,1,1,1,3); Assumption: 10% of water used is evaporated</v>
      </c>
      <c r="X79" s="435">
        <f t="shared" si="127"/>
        <v>0</v>
      </c>
      <c r="Y79" s="95">
        <v>1</v>
      </c>
      <c r="Z79" s="96">
        <f t="shared" si="89"/>
        <v>1.5094881771396103</v>
      </c>
      <c r="AA79" s="432" t="str">
        <f t="shared" si="90"/>
        <v>(2,2,1,1,1,3); Assumption: 10% of water used is evaporated</v>
      </c>
      <c r="AB79" s="435">
        <f t="shared" si="128"/>
        <v>0</v>
      </c>
      <c r="AC79" s="95">
        <v>1</v>
      </c>
      <c r="AD79" s="96">
        <f t="shared" si="91"/>
        <v>1.5094881771396103</v>
      </c>
      <c r="AE79" s="432" t="str">
        <f t="shared" si="92"/>
        <v>(2,2,1,1,1,3); Assumption: 10% of water used is evaporated</v>
      </c>
      <c r="AF79" s="435">
        <f t="shared" si="129"/>
        <v>0</v>
      </c>
      <c r="AG79" s="95">
        <v>1</v>
      </c>
      <c r="AH79" s="96">
        <f t="shared" si="93"/>
        <v>1.5094881771396103</v>
      </c>
      <c r="AI79" s="432" t="str">
        <f t="shared" si="94"/>
        <v>(2,2,1,1,1,3); Assumption: 10% of water used is evaporated</v>
      </c>
      <c r="AJ79" s="435">
        <f t="shared" si="130"/>
        <v>0</v>
      </c>
      <c r="AK79" s="95">
        <v>1</v>
      </c>
      <c r="AL79" s="96">
        <f t="shared" si="95"/>
        <v>1.5094881771396103</v>
      </c>
      <c r="AM79" s="432" t="str">
        <f t="shared" si="96"/>
        <v>(2,2,1,1,1,3); Assumption: 10% of water used is evaporated</v>
      </c>
      <c r="AN79" s="435">
        <f t="shared" si="131"/>
        <v>0</v>
      </c>
      <c r="AO79" s="95">
        <v>1</v>
      </c>
      <c r="AP79" s="96">
        <f t="shared" si="97"/>
        <v>1.5094881771396103</v>
      </c>
      <c r="AQ79" s="432" t="str">
        <f t="shared" si="98"/>
        <v>(2,2,1,1,1,3); Assumption: 10% of water used is evaporated</v>
      </c>
      <c r="AR79" s="435">
        <f t="shared" si="132"/>
        <v>0</v>
      </c>
      <c r="AS79" s="95">
        <v>1</v>
      </c>
      <c r="AT79" s="96">
        <f t="shared" si="99"/>
        <v>1.5094881771396103</v>
      </c>
      <c r="AU79" s="432" t="str">
        <f t="shared" si="100"/>
        <v>(2,2,1,1,1,3); Assumption: 10% of water used is evaporated</v>
      </c>
      <c r="AV79" s="435">
        <f t="shared" si="133"/>
        <v>0</v>
      </c>
      <c r="AW79" s="95">
        <v>1</v>
      </c>
      <c r="AX79" s="96">
        <f t="shared" si="101"/>
        <v>1.5094881771396103</v>
      </c>
      <c r="AY79" s="432" t="str">
        <f t="shared" si="102"/>
        <v>(2,2,1,1,1,3); Assumption: 10% of water used is evaporated</v>
      </c>
      <c r="AZ79" s="435">
        <f t="shared" si="134"/>
        <v>2.9187239371740789E-4</v>
      </c>
      <c r="BA79" s="95">
        <v>1</v>
      </c>
      <c r="BB79" s="96">
        <f t="shared" si="103"/>
        <v>1.5094881771396103</v>
      </c>
      <c r="BC79" s="432" t="str">
        <f t="shared" si="104"/>
        <v>(2,2,1,1,1,3); Assumption: 10% of water used is evaporated</v>
      </c>
      <c r="BD79" s="435">
        <f t="shared" si="135"/>
        <v>0</v>
      </c>
      <c r="BE79" s="95">
        <v>1</v>
      </c>
      <c r="BF79" s="96">
        <f t="shared" si="105"/>
        <v>1.5094881771396103</v>
      </c>
      <c r="BG79" s="432" t="str">
        <f t="shared" si="106"/>
        <v>(2,2,1,1,1,3); Assumption: 10% of water used is evaporated</v>
      </c>
      <c r="BH79" s="435">
        <f t="shared" si="136"/>
        <v>0</v>
      </c>
      <c r="BI79" s="95">
        <v>1</v>
      </c>
      <c r="BJ79" s="96">
        <f t="shared" si="107"/>
        <v>1.5094881771396103</v>
      </c>
      <c r="BK79" s="432" t="str">
        <f t="shared" si="108"/>
        <v>(2,2,1,1,1,3); Assumption: 10% of water used is evaporated</v>
      </c>
      <c r="BL79" s="435">
        <f t="shared" si="137"/>
        <v>0</v>
      </c>
      <c r="BM79" s="95">
        <v>1</v>
      </c>
      <c r="BN79" s="96">
        <f t="shared" si="109"/>
        <v>1.5094881771396103</v>
      </c>
      <c r="BO79" s="432" t="str">
        <f t="shared" si="110"/>
        <v>(2,2,1,1,1,3); Assumption: 10% of water used is evaporated</v>
      </c>
      <c r="BP79" s="435">
        <f t="shared" si="138"/>
        <v>0</v>
      </c>
      <c r="BQ79" s="95">
        <v>1</v>
      </c>
      <c r="BR79" s="96">
        <f t="shared" si="111"/>
        <v>1.5094881771396103</v>
      </c>
      <c r="BS79" s="432" t="str">
        <f t="shared" si="112"/>
        <v>(2,2,1,1,1,3); Assumption: 10% of water used is evaporated</v>
      </c>
      <c r="BT79" s="435">
        <f t="shared" si="139"/>
        <v>0</v>
      </c>
      <c r="BU79" s="95">
        <v>1</v>
      </c>
      <c r="BV79" s="96">
        <f t="shared" si="113"/>
        <v>1.5094881771396103</v>
      </c>
      <c r="BW79" s="432" t="str">
        <f t="shared" si="114"/>
        <v>(2,2,1,1,1,3); Assumption: 10% of water used is evaporated</v>
      </c>
      <c r="BX79" s="435">
        <f t="shared" si="140"/>
        <v>0</v>
      </c>
      <c r="BY79" s="95">
        <v>1</v>
      </c>
      <c r="BZ79" s="96">
        <f t="shared" si="115"/>
        <v>1.5094881771396103</v>
      </c>
      <c r="CA79" s="432" t="str">
        <f t="shared" si="116"/>
        <v>(2,2,1,1,1,3); Assumption: 10% of water used is evaporated</v>
      </c>
      <c r="CB79" s="435">
        <f t="shared" si="141"/>
        <v>0</v>
      </c>
      <c r="CC79" s="95">
        <v>1</v>
      </c>
      <c r="CD79" s="96">
        <f t="shared" si="117"/>
        <v>1.5094881771396103</v>
      </c>
      <c r="CE79" s="432" t="str">
        <f t="shared" si="118"/>
        <v>(2,2,1,1,1,3); Assumption: 10% of water used is evaporated</v>
      </c>
      <c r="CF79" s="435">
        <f t="shared" si="142"/>
        <v>0</v>
      </c>
      <c r="CG79" s="95">
        <v>1</v>
      </c>
      <c r="CH79" s="96">
        <f t="shared" si="119"/>
        <v>1.5094881771396103</v>
      </c>
      <c r="CI79" s="432" t="str">
        <f t="shared" si="120"/>
        <v>(2,2,1,1,1,3); Assumption: 10% of water used is evaporated</v>
      </c>
      <c r="CJ79" s="505"/>
      <c r="CK79" s="505"/>
      <c r="CL79" s="211"/>
      <c r="CM79" s="510"/>
      <c r="CO79" s="77" t="s">
        <v>2217</v>
      </c>
      <c r="CP79" s="339">
        <v>2</v>
      </c>
      <c r="CQ79" s="339">
        <v>2</v>
      </c>
      <c r="CR79" s="339">
        <v>1</v>
      </c>
      <c r="CS79" s="339">
        <v>1</v>
      </c>
      <c r="CT79" s="339">
        <v>1</v>
      </c>
      <c r="CU79" s="339">
        <v>3</v>
      </c>
      <c r="CV79" s="104">
        <v>31</v>
      </c>
      <c r="CW79" s="104">
        <v>1.5</v>
      </c>
      <c r="CX79" s="107">
        <f t="shared" si="121"/>
        <v>1.0744244531716256</v>
      </c>
      <c r="CY79" s="107">
        <f t="shared" si="122"/>
        <v>1.5094881771396103</v>
      </c>
      <c r="CZ79" s="107" t="str">
        <f t="shared" si="123"/>
        <v>(2,2,1,1,1,3)</v>
      </c>
      <c r="DA79" s="108">
        <v>1.05</v>
      </c>
      <c r="DB79" s="108">
        <v>1.02</v>
      </c>
      <c r="DC79" s="108">
        <v>1</v>
      </c>
      <c r="DD79" s="108">
        <v>1</v>
      </c>
      <c r="DE79" s="108">
        <v>1</v>
      </c>
      <c r="DF79" s="108">
        <v>1.05</v>
      </c>
    </row>
    <row r="80" spans="1:118">
      <c r="A80" s="330">
        <v>91029</v>
      </c>
      <c r="B80" s="331"/>
      <c r="C80" s="88"/>
      <c r="D80" s="340" t="s">
        <v>98</v>
      </c>
      <c r="E80" s="341">
        <v>4</v>
      </c>
      <c r="F80" s="432" t="s">
        <v>2301</v>
      </c>
      <c r="G80" s="433" t="s">
        <v>98</v>
      </c>
      <c r="H80" s="434" t="s">
        <v>247</v>
      </c>
      <c r="I80" s="434" t="s">
        <v>248</v>
      </c>
      <c r="J80" s="94" t="s">
        <v>98</v>
      </c>
      <c r="K80" s="433" t="s">
        <v>96</v>
      </c>
      <c r="L80" s="435">
        <f t="shared" si="124"/>
        <v>0</v>
      </c>
      <c r="M80" s="95">
        <v>1</v>
      </c>
      <c r="N80" s="96">
        <f t="shared" si="83"/>
        <v>1.5094881771396103</v>
      </c>
      <c r="O80" s="432" t="str">
        <f t="shared" si="84"/>
        <v>(2,2,1,1,1,3); Assumption: 10% of water used is evaporated</v>
      </c>
      <c r="P80" s="435">
        <f t="shared" si="125"/>
        <v>0</v>
      </c>
      <c r="Q80" s="95">
        <v>1</v>
      </c>
      <c r="R80" s="96">
        <f t="shared" si="85"/>
        <v>1.5094881771396103</v>
      </c>
      <c r="S80" s="432" t="str">
        <f t="shared" si="86"/>
        <v>(2,2,1,1,1,3); Assumption: 10% of water used is evaporated</v>
      </c>
      <c r="T80" s="435">
        <f t="shared" si="126"/>
        <v>0</v>
      </c>
      <c r="U80" s="95">
        <v>1</v>
      </c>
      <c r="V80" s="96">
        <f t="shared" si="87"/>
        <v>1.5094881771396103</v>
      </c>
      <c r="W80" s="432" t="str">
        <f t="shared" si="88"/>
        <v>(2,2,1,1,1,3); Assumption: 10% of water used is evaporated</v>
      </c>
      <c r="X80" s="435">
        <f t="shared" si="127"/>
        <v>0</v>
      </c>
      <c r="Y80" s="95">
        <v>1</v>
      </c>
      <c r="Z80" s="96">
        <f t="shared" si="89"/>
        <v>1.5094881771396103</v>
      </c>
      <c r="AA80" s="432" t="str">
        <f t="shared" si="90"/>
        <v>(2,2,1,1,1,3); Assumption: 10% of water used is evaporated</v>
      </c>
      <c r="AB80" s="435">
        <f t="shared" si="128"/>
        <v>0</v>
      </c>
      <c r="AC80" s="95">
        <v>1</v>
      </c>
      <c r="AD80" s="96">
        <f t="shared" si="91"/>
        <v>1.5094881771396103</v>
      </c>
      <c r="AE80" s="432" t="str">
        <f t="shared" si="92"/>
        <v>(2,2,1,1,1,3); Assumption: 10% of water used is evaporated</v>
      </c>
      <c r="AF80" s="435">
        <f t="shared" si="129"/>
        <v>0</v>
      </c>
      <c r="AG80" s="95">
        <v>1</v>
      </c>
      <c r="AH80" s="96">
        <f t="shared" si="93"/>
        <v>1.5094881771396103</v>
      </c>
      <c r="AI80" s="432" t="str">
        <f t="shared" si="94"/>
        <v>(2,2,1,1,1,3); Assumption: 10% of water used is evaporated</v>
      </c>
      <c r="AJ80" s="435">
        <f t="shared" si="130"/>
        <v>0</v>
      </c>
      <c r="AK80" s="95">
        <v>1</v>
      </c>
      <c r="AL80" s="96">
        <f t="shared" si="95"/>
        <v>1.5094881771396103</v>
      </c>
      <c r="AM80" s="432" t="str">
        <f t="shared" si="96"/>
        <v>(2,2,1,1,1,3); Assumption: 10% of water used is evaporated</v>
      </c>
      <c r="AN80" s="435">
        <f t="shared" si="131"/>
        <v>0</v>
      </c>
      <c r="AO80" s="95">
        <v>1</v>
      </c>
      <c r="AP80" s="96">
        <f t="shared" si="97"/>
        <v>1.5094881771396103</v>
      </c>
      <c r="AQ80" s="432" t="str">
        <f t="shared" si="98"/>
        <v>(2,2,1,1,1,3); Assumption: 10% of water used is evaporated</v>
      </c>
      <c r="AR80" s="435">
        <f t="shared" si="132"/>
        <v>0</v>
      </c>
      <c r="AS80" s="95">
        <v>1</v>
      </c>
      <c r="AT80" s="96">
        <f t="shared" si="99"/>
        <v>1.5094881771396103</v>
      </c>
      <c r="AU80" s="432" t="str">
        <f t="shared" si="100"/>
        <v>(2,2,1,1,1,3); Assumption: 10% of water used is evaporated</v>
      </c>
      <c r="AV80" s="435">
        <f t="shared" si="133"/>
        <v>0</v>
      </c>
      <c r="AW80" s="95">
        <v>1</v>
      </c>
      <c r="AX80" s="96">
        <f t="shared" si="101"/>
        <v>1.5094881771396103</v>
      </c>
      <c r="AY80" s="432" t="str">
        <f t="shared" si="102"/>
        <v>(2,2,1,1,1,3); Assumption: 10% of water used is evaporated</v>
      </c>
      <c r="AZ80" s="435">
        <f t="shared" si="134"/>
        <v>0</v>
      </c>
      <c r="BA80" s="95">
        <v>1</v>
      </c>
      <c r="BB80" s="96">
        <f t="shared" si="103"/>
        <v>1.5094881771396103</v>
      </c>
      <c r="BC80" s="432" t="str">
        <f t="shared" si="104"/>
        <v>(2,2,1,1,1,3); Assumption: 10% of water used is evaporated</v>
      </c>
      <c r="BD80" s="435">
        <f t="shared" si="135"/>
        <v>3.5594788318225206E-4</v>
      </c>
      <c r="BE80" s="95">
        <v>1</v>
      </c>
      <c r="BF80" s="96">
        <f t="shared" si="105"/>
        <v>1.5094881771396103</v>
      </c>
      <c r="BG80" s="432" t="str">
        <f t="shared" si="106"/>
        <v>(2,2,1,1,1,3); Assumption: 10% of water used is evaporated</v>
      </c>
      <c r="BH80" s="435">
        <f t="shared" si="136"/>
        <v>0</v>
      </c>
      <c r="BI80" s="95">
        <v>1</v>
      </c>
      <c r="BJ80" s="96">
        <f t="shared" si="107"/>
        <v>1.5094881771396103</v>
      </c>
      <c r="BK80" s="432" t="str">
        <f t="shared" si="108"/>
        <v>(2,2,1,1,1,3); Assumption: 10% of water used is evaporated</v>
      </c>
      <c r="BL80" s="435">
        <f t="shared" si="137"/>
        <v>0</v>
      </c>
      <c r="BM80" s="95">
        <v>1</v>
      </c>
      <c r="BN80" s="96">
        <f t="shared" si="109"/>
        <v>1.5094881771396103</v>
      </c>
      <c r="BO80" s="432" t="str">
        <f t="shared" si="110"/>
        <v>(2,2,1,1,1,3); Assumption: 10% of water used is evaporated</v>
      </c>
      <c r="BP80" s="435">
        <f t="shared" si="138"/>
        <v>0</v>
      </c>
      <c r="BQ80" s="95">
        <v>1</v>
      </c>
      <c r="BR80" s="96">
        <f t="shared" si="111"/>
        <v>1.5094881771396103</v>
      </c>
      <c r="BS80" s="432" t="str">
        <f t="shared" si="112"/>
        <v>(2,2,1,1,1,3); Assumption: 10% of water used is evaporated</v>
      </c>
      <c r="BT80" s="435">
        <f t="shared" si="139"/>
        <v>0</v>
      </c>
      <c r="BU80" s="95">
        <v>1</v>
      </c>
      <c r="BV80" s="96">
        <f t="shared" si="113"/>
        <v>1.5094881771396103</v>
      </c>
      <c r="BW80" s="432" t="str">
        <f t="shared" si="114"/>
        <v>(2,2,1,1,1,3); Assumption: 10% of water used is evaporated</v>
      </c>
      <c r="BX80" s="435">
        <f t="shared" si="140"/>
        <v>0</v>
      </c>
      <c r="BY80" s="95">
        <v>1</v>
      </c>
      <c r="BZ80" s="96">
        <f t="shared" si="115"/>
        <v>1.5094881771396103</v>
      </c>
      <c r="CA80" s="432" t="str">
        <f t="shared" si="116"/>
        <v>(2,2,1,1,1,3); Assumption: 10% of water used is evaporated</v>
      </c>
      <c r="CB80" s="435">
        <f t="shared" si="141"/>
        <v>0</v>
      </c>
      <c r="CC80" s="95">
        <v>1</v>
      </c>
      <c r="CD80" s="96">
        <f t="shared" si="117"/>
        <v>1.5094881771396103</v>
      </c>
      <c r="CE80" s="432" t="str">
        <f t="shared" si="118"/>
        <v>(2,2,1,1,1,3); Assumption: 10% of water used is evaporated</v>
      </c>
      <c r="CF80" s="435">
        <f t="shared" si="142"/>
        <v>0</v>
      </c>
      <c r="CG80" s="95">
        <v>1</v>
      </c>
      <c r="CH80" s="96">
        <f t="shared" si="119"/>
        <v>1.5094881771396103</v>
      </c>
      <c r="CI80" s="432" t="str">
        <f t="shared" si="120"/>
        <v>(2,2,1,1,1,3); Assumption: 10% of water used is evaporated</v>
      </c>
      <c r="CJ80" s="505"/>
      <c r="CK80" s="505"/>
      <c r="CL80" s="211"/>
      <c r="CM80" s="510"/>
      <c r="CO80" s="77" t="s">
        <v>2217</v>
      </c>
      <c r="CP80" s="339">
        <v>2</v>
      </c>
      <c r="CQ80" s="339">
        <v>2</v>
      </c>
      <c r="CR80" s="339">
        <v>1</v>
      </c>
      <c r="CS80" s="339">
        <v>1</v>
      </c>
      <c r="CT80" s="339">
        <v>1</v>
      </c>
      <c r="CU80" s="339">
        <v>3</v>
      </c>
      <c r="CV80" s="104">
        <v>31</v>
      </c>
      <c r="CW80" s="104">
        <v>1.5</v>
      </c>
      <c r="CX80" s="107">
        <f t="shared" si="121"/>
        <v>1.0744244531716256</v>
      </c>
      <c r="CY80" s="107">
        <f t="shared" si="122"/>
        <v>1.5094881771396103</v>
      </c>
      <c r="CZ80" s="107" t="str">
        <f t="shared" si="123"/>
        <v>(2,2,1,1,1,3)</v>
      </c>
      <c r="DA80" s="108">
        <v>1.05</v>
      </c>
      <c r="DB80" s="108">
        <v>1.02</v>
      </c>
      <c r="DC80" s="108">
        <v>1</v>
      </c>
      <c r="DD80" s="108">
        <v>1</v>
      </c>
      <c r="DE80" s="108">
        <v>1</v>
      </c>
      <c r="DF80" s="108">
        <v>1.05</v>
      </c>
    </row>
    <row r="81" spans="1:110">
      <c r="A81" s="330">
        <v>62487</v>
      </c>
      <c r="B81" s="331"/>
      <c r="C81" s="88"/>
      <c r="D81" s="340" t="s">
        <v>98</v>
      </c>
      <c r="E81" s="341">
        <v>4</v>
      </c>
      <c r="F81" s="432" t="s">
        <v>2302</v>
      </c>
      <c r="G81" s="433" t="s">
        <v>98</v>
      </c>
      <c r="H81" s="434" t="s">
        <v>247</v>
      </c>
      <c r="I81" s="434" t="s">
        <v>248</v>
      </c>
      <c r="J81" s="94" t="s">
        <v>98</v>
      </c>
      <c r="K81" s="433" t="s">
        <v>96</v>
      </c>
      <c r="L81" s="435">
        <f t="shared" si="124"/>
        <v>0</v>
      </c>
      <c r="M81" s="95">
        <v>1</v>
      </c>
      <c r="N81" s="96">
        <f t="shared" si="83"/>
        <v>1.5094881771396103</v>
      </c>
      <c r="O81" s="432" t="str">
        <f t="shared" si="84"/>
        <v>(2,2,1,1,1,3); Assumption: 10% of water used is evaporated</v>
      </c>
      <c r="P81" s="435">
        <f t="shared" si="125"/>
        <v>0</v>
      </c>
      <c r="Q81" s="95">
        <v>1</v>
      </c>
      <c r="R81" s="96">
        <f t="shared" si="85"/>
        <v>1.5094881771396103</v>
      </c>
      <c r="S81" s="432" t="str">
        <f t="shared" si="86"/>
        <v>(2,2,1,1,1,3); Assumption: 10% of water used is evaporated</v>
      </c>
      <c r="T81" s="435">
        <f t="shared" si="126"/>
        <v>0</v>
      </c>
      <c r="U81" s="95">
        <v>1</v>
      </c>
      <c r="V81" s="96">
        <f t="shared" si="87"/>
        <v>1.5094881771396103</v>
      </c>
      <c r="W81" s="432" t="str">
        <f t="shared" si="88"/>
        <v>(2,2,1,1,1,3); Assumption: 10% of water used is evaporated</v>
      </c>
      <c r="X81" s="435">
        <f t="shared" si="127"/>
        <v>0</v>
      </c>
      <c r="Y81" s="95">
        <v>1</v>
      </c>
      <c r="Z81" s="96">
        <f t="shared" si="89"/>
        <v>1.5094881771396103</v>
      </c>
      <c r="AA81" s="432" t="str">
        <f t="shared" si="90"/>
        <v>(2,2,1,1,1,3); Assumption: 10% of water used is evaporated</v>
      </c>
      <c r="AB81" s="435">
        <f t="shared" si="128"/>
        <v>0</v>
      </c>
      <c r="AC81" s="95">
        <v>1</v>
      </c>
      <c r="AD81" s="96">
        <f t="shared" si="91"/>
        <v>1.5094881771396103</v>
      </c>
      <c r="AE81" s="432" t="str">
        <f t="shared" si="92"/>
        <v>(2,2,1,1,1,3); Assumption: 10% of water used is evaporated</v>
      </c>
      <c r="AF81" s="435">
        <f t="shared" si="129"/>
        <v>0</v>
      </c>
      <c r="AG81" s="95">
        <v>1</v>
      </c>
      <c r="AH81" s="96">
        <f t="shared" si="93"/>
        <v>1.5094881771396103</v>
      </c>
      <c r="AI81" s="432" t="str">
        <f t="shared" si="94"/>
        <v>(2,2,1,1,1,3); Assumption: 10% of water used is evaporated</v>
      </c>
      <c r="AJ81" s="435">
        <f t="shared" si="130"/>
        <v>0</v>
      </c>
      <c r="AK81" s="95">
        <v>1</v>
      </c>
      <c r="AL81" s="96">
        <f t="shared" si="95"/>
        <v>1.5094881771396103</v>
      </c>
      <c r="AM81" s="432" t="str">
        <f t="shared" si="96"/>
        <v>(2,2,1,1,1,3); Assumption: 10% of water used is evaporated</v>
      </c>
      <c r="AN81" s="435">
        <f t="shared" si="131"/>
        <v>0</v>
      </c>
      <c r="AO81" s="95">
        <v>1</v>
      </c>
      <c r="AP81" s="96">
        <f t="shared" si="97"/>
        <v>1.5094881771396103</v>
      </c>
      <c r="AQ81" s="432" t="str">
        <f t="shared" si="98"/>
        <v>(2,2,1,1,1,3); Assumption: 10% of water used is evaporated</v>
      </c>
      <c r="AR81" s="435">
        <f t="shared" si="132"/>
        <v>0</v>
      </c>
      <c r="AS81" s="95">
        <v>1</v>
      </c>
      <c r="AT81" s="96">
        <f t="shared" si="99"/>
        <v>1.5094881771396103</v>
      </c>
      <c r="AU81" s="432" t="str">
        <f t="shared" si="100"/>
        <v>(2,2,1,1,1,3); Assumption: 10% of water used is evaporated</v>
      </c>
      <c r="AV81" s="435">
        <f t="shared" si="133"/>
        <v>0</v>
      </c>
      <c r="AW81" s="95">
        <v>1</v>
      </c>
      <c r="AX81" s="96">
        <f t="shared" si="101"/>
        <v>1.5094881771396103</v>
      </c>
      <c r="AY81" s="432" t="str">
        <f t="shared" si="102"/>
        <v>(2,2,1,1,1,3); Assumption: 10% of water used is evaporated</v>
      </c>
      <c r="AZ81" s="435">
        <f t="shared" si="134"/>
        <v>0</v>
      </c>
      <c r="BA81" s="95">
        <v>1</v>
      </c>
      <c r="BB81" s="96">
        <f t="shared" si="103"/>
        <v>1.5094881771396103</v>
      </c>
      <c r="BC81" s="432" t="str">
        <f t="shared" si="104"/>
        <v>(2,2,1,1,1,3); Assumption: 10% of water used is evaporated</v>
      </c>
      <c r="BD81" s="435">
        <f t="shared" si="135"/>
        <v>0</v>
      </c>
      <c r="BE81" s="95">
        <v>1</v>
      </c>
      <c r="BF81" s="96">
        <f t="shared" si="105"/>
        <v>1.5094881771396103</v>
      </c>
      <c r="BG81" s="432" t="str">
        <f t="shared" si="106"/>
        <v>(2,2,1,1,1,3); Assumption: 10% of water used is evaporated</v>
      </c>
      <c r="BH81" s="435">
        <f t="shared" si="136"/>
        <v>3.5539722683894739E-4</v>
      </c>
      <c r="BI81" s="95">
        <v>1</v>
      </c>
      <c r="BJ81" s="96">
        <f t="shared" si="107"/>
        <v>1.5094881771396103</v>
      </c>
      <c r="BK81" s="432" t="str">
        <f t="shared" si="108"/>
        <v>(2,2,1,1,1,3); Assumption: 10% of water used is evaporated</v>
      </c>
      <c r="BL81" s="435">
        <f t="shared" si="137"/>
        <v>0</v>
      </c>
      <c r="BM81" s="95">
        <v>1</v>
      </c>
      <c r="BN81" s="96">
        <f t="shared" si="109"/>
        <v>1.5094881771396103</v>
      </c>
      <c r="BO81" s="432" t="str">
        <f t="shared" si="110"/>
        <v>(2,2,1,1,1,3); Assumption: 10% of water used is evaporated</v>
      </c>
      <c r="BP81" s="435">
        <f t="shared" si="138"/>
        <v>0</v>
      </c>
      <c r="BQ81" s="95">
        <v>1</v>
      </c>
      <c r="BR81" s="96">
        <f t="shared" si="111"/>
        <v>1.5094881771396103</v>
      </c>
      <c r="BS81" s="432" t="str">
        <f t="shared" si="112"/>
        <v>(2,2,1,1,1,3); Assumption: 10% of water used is evaporated</v>
      </c>
      <c r="BT81" s="435">
        <f t="shared" si="139"/>
        <v>0</v>
      </c>
      <c r="BU81" s="95">
        <v>1</v>
      </c>
      <c r="BV81" s="96">
        <f t="shared" si="113"/>
        <v>1.5094881771396103</v>
      </c>
      <c r="BW81" s="432" t="str">
        <f t="shared" si="114"/>
        <v>(2,2,1,1,1,3); Assumption: 10% of water used is evaporated</v>
      </c>
      <c r="BX81" s="435">
        <f t="shared" si="140"/>
        <v>0</v>
      </c>
      <c r="BY81" s="95">
        <v>1</v>
      </c>
      <c r="BZ81" s="96">
        <f t="shared" si="115"/>
        <v>1.5094881771396103</v>
      </c>
      <c r="CA81" s="432" t="str">
        <f t="shared" si="116"/>
        <v>(2,2,1,1,1,3); Assumption: 10% of water used is evaporated</v>
      </c>
      <c r="CB81" s="435">
        <f t="shared" si="141"/>
        <v>0</v>
      </c>
      <c r="CC81" s="95">
        <v>1</v>
      </c>
      <c r="CD81" s="96">
        <f t="shared" si="117"/>
        <v>1.5094881771396103</v>
      </c>
      <c r="CE81" s="432" t="str">
        <f t="shared" si="118"/>
        <v>(2,2,1,1,1,3); Assumption: 10% of water used is evaporated</v>
      </c>
      <c r="CF81" s="435">
        <f t="shared" si="142"/>
        <v>0</v>
      </c>
      <c r="CG81" s="95">
        <v>1</v>
      </c>
      <c r="CH81" s="96">
        <f t="shared" si="119"/>
        <v>1.5094881771396103</v>
      </c>
      <c r="CI81" s="432" t="str">
        <f t="shared" si="120"/>
        <v>(2,2,1,1,1,3); Assumption: 10% of water used is evaporated</v>
      </c>
      <c r="CJ81" s="505"/>
      <c r="CK81" s="505"/>
      <c r="CL81" s="211"/>
      <c r="CM81" s="510"/>
      <c r="CO81" s="77" t="s">
        <v>2217</v>
      </c>
      <c r="CP81" s="339">
        <v>2</v>
      </c>
      <c r="CQ81" s="339">
        <v>2</v>
      </c>
      <c r="CR81" s="339">
        <v>1</v>
      </c>
      <c r="CS81" s="339">
        <v>1</v>
      </c>
      <c r="CT81" s="339">
        <v>1</v>
      </c>
      <c r="CU81" s="339">
        <v>3</v>
      </c>
      <c r="CV81" s="104">
        <v>31</v>
      </c>
      <c r="CW81" s="104">
        <v>1.5</v>
      </c>
      <c r="CX81" s="107">
        <f t="shared" si="121"/>
        <v>1.0744244531716256</v>
      </c>
      <c r="CY81" s="107">
        <f t="shared" si="122"/>
        <v>1.5094881771396103</v>
      </c>
      <c r="CZ81" s="107" t="str">
        <f t="shared" si="123"/>
        <v>(2,2,1,1,1,3)</v>
      </c>
      <c r="DA81" s="108">
        <v>1.05</v>
      </c>
      <c r="DB81" s="108">
        <v>1.02</v>
      </c>
      <c r="DC81" s="108">
        <v>1</v>
      </c>
      <c r="DD81" s="108">
        <v>1</v>
      </c>
      <c r="DE81" s="108">
        <v>1</v>
      </c>
      <c r="DF81" s="108">
        <v>1.05</v>
      </c>
    </row>
    <row r="82" spans="1:110">
      <c r="A82" s="330">
        <v>42347</v>
      </c>
      <c r="B82" s="331"/>
      <c r="C82" s="88"/>
      <c r="D82" s="340" t="s">
        <v>98</v>
      </c>
      <c r="E82" s="341">
        <v>4</v>
      </c>
      <c r="F82" s="432" t="s">
        <v>2303</v>
      </c>
      <c r="G82" s="433" t="s">
        <v>98</v>
      </c>
      <c r="H82" s="434" t="s">
        <v>247</v>
      </c>
      <c r="I82" s="434" t="s">
        <v>248</v>
      </c>
      <c r="J82" s="94" t="s">
        <v>98</v>
      </c>
      <c r="K82" s="433" t="s">
        <v>96</v>
      </c>
      <c r="L82" s="435">
        <f t="shared" si="124"/>
        <v>0</v>
      </c>
      <c r="M82" s="95">
        <v>1</v>
      </c>
      <c r="N82" s="96">
        <f t="shared" si="83"/>
        <v>1.5094881771396103</v>
      </c>
      <c r="O82" s="432" t="str">
        <f t="shared" si="84"/>
        <v>(2,2,1,1,1,3); Assumption: 10% of water used is evaporated</v>
      </c>
      <c r="P82" s="435">
        <f t="shared" si="125"/>
        <v>0</v>
      </c>
      <c r="Q82" s="95">
        <v>1</v>
      </c>
      <c r="R82" s="96">
        <f t="shared" si="85"/>
        <v>1.5094881771396103</v>
      </c>
      <c r="S82" s="432" t="str">
        <f t="shared" si="86"/>
        <v>(2,2,1,1,1,3); Assumption: 10% of water used is evaporated</v>
      </c>
      <c r="T82" s="435">
        <f t="shared" si="126"/>
        <v>0</v>
      </c>
      <c r="U82" s="95">
        <v>1</v>
      </c>
      <c r="V82" s="96">
        <f t="shared" si="87"/>
        <v>1.5094881771396103</v>
      </c>
      <c r="W82" s="432" t="str">
        <f t="shared" si="88"/>
        <v>(2,2,1,1,1,3); Assumption: 10% of water used is evaporated</v>
      </c>
      <c r="X82" s="435">
        <f t="shared" si="127"/>
        <v>0</v>
      </c>
      <c r="Y82" s="95">
        <v>1</v>
      </c>
      <c r="Z82" s="96">
        <f t="shared" si="89"/>
        <v>1.5094881771396103</v>
      </c>
      <c r="AA82" s="432" t="str">
        <f t="shared" si="90"/>
        <v>(2,2,1,1,1,3); Assumption: 10% of water used is evaporated</v>
      </c>
      <c r="AB82" s="435">
        <f t="shared" si="128"/>
        <v>0</v>
      </c>
      <c r="AC82" s="95">
        <v>1</v>
      </c>
      <c r="AD82" s="96">
        <f t="shared" si="91"/>
        <v>1.5094881771396103</v>
      </c>
      <c r="AE82" s="432" t="str">
        <f t="shared" si="92"/>
        <v>(2,2,1,1,1,3); Assumption: 10% of water used is evaporated</v>
      </c>
      <c r="AF82" s="435">
        <f t="shared" si="129"/>
        <v>0</v>
      </c>
      <c r="AG82" s="95">
        <v>1</v>
      </c>
      <c r="AH82" s="96">
        <f t="shared" si="93"/>
        <v>1.5094881771396103</v>
      </c>
      <c r="AI82" s="432" t="str">
        <f t="shared" si="94"/>
        <v>(2,2,1,1,1,3); Assumption: 10% of water used is evaporated</v>
      </c>
      <c r="AJ82" s="435">
        <f t="shared" si="130"/>
        <v>0</v>
      </c>
      <c r="AK82" s="95">
        <v>1</v>
      </c>
      <c r="AL82" s="96">
        <f t="shared" si="95"/>
        <v>1.5094881771396103</v>
      </c>
      <c r="AM82" s="432" t="str">
        <f t="shared" si="96"/>
        <v>(2,2,1,1,1,3); Assumption: 10% of water used is evaporated</v>
      </c>
      <c r="AN82" s="435">
        <f t="shared" si="131"/>
        <v>0</v>
      </c>
      <c r="AO82" s="95">
        <v>1</v>
      </c>
      <c r="AP82" s="96">
        <f t="shared" si="97"/>
        <v>1.5094881771396103</v>
      </c>
      <c r="AQ82" s="432" t="str">
        <f t="shared" si="98"/>
        <v>(2,2,1,1,1,3); Assumption: 10% of water used is evaporated</v>
      </c>
      <c r="AR82" s="435">
        <f t="shared" si="132"/>
        <v>0</v>
      </c>
      <c r="AS82" s="95">
        <v>1</v>
      </c>
      <c r="AT82" s="96">
        <f t="shared" si="99"/>
        <v>1.5094881771396103</v>
      </c>
      <c r="AU82" s="432" t="str">
        <f t="shared" si="100"/>
        <v>(2,2,1,1,1,3); Assumption: 10% of water used is evaporated</v>
      </c>
      <c r="AV82" s="435">
        <f t="shared" si="133"/>
        <v>0</v>
      </c>
      <c r="AW82" s="95">
        <v>1</v>
      </c>
      <c r="AX82" s="96">
        <f t="shared" si="101"/>
        <v>1.5094881771396103</v>
      </c>
      <c r="AY82" s="432" t="str">
        <f t="shared" si="102"/>
        <v>(2,2,1,1,1,3); Assumption: 10% of water used is evaporated</v>
      </c>
      <c r="AZ82" s="435">
        <f t="shared" si="134"/>
        <v>0</v>
      </c>
      <c r="BA82" s="95">
        <v>1</v>
      </c>
      <c r="BB82" s="96">
        <f t="shared" si="103"/>
        <v>1.5094881771396103</v>
      </c>
      <c r="BC82" s="432" t="str">
        <f t="shared" si="104"/>
        <v>(2,2,1,1,1,3); Assumption: 10% of water used is evaporated</v>
      </c>
      <c r="BD82" s="435">
        <f t="shared" si="135"/>
        <v>0</v>
      </c>
      <c r="BE82" s="95">
        <v>1</v>
      </c>
      <c r="BF82" s="96">
        <f t="shared" si="105"/>
        <v>1.5094881771396103</v>
      </c>
      <c r="BG82" s="432" t="str">
        <f t="shared" si="106"/>
        <v>(2,2,1,1,1,3); Assumption: 10% of water used is evaporated</v>
      </c>
      <c r="BH82" s="435">
        <f t="shared" si="136"/>
        <v>0</v>
      </c>
      <c r="BI82" s="95">
        <v>1</v>
      </c>
      <c r="BJ82" s="96">
        <f t="shared" si="107"/>
        <v>1.5094881771396103</v>
      </c>
      <c r="BK82" s="432" t="str">
        <f t="shared" si="108"/>
        <v>(2,2,1,1,1,3); Assumption: 10% of water used is evaporated</v>
      </c>
      <c r="BL82" s="435">
        <f t="shared" si="137"/>
        <v>4.0933430742262221E-4</v>
      </c>
      <c r="BM82" s="95">
        <v>1</v>
      </c>
      <c r="BN82" s="96">
        <f t="shared" si="109"/>
        <v>1.5094881771396103</v>
      </c>
      <c r="BO82" s="432" t="str">
        <f t="shared" si="110"/>
        <v>(2,2,1,1,1,3); Assumption: 10% of water used is evaporated</v>
      </c>
      <c r="BP82" s="435">
        <f t="shared" si="138"/>
        <v>0</v>
      </c>
      <c r="BQ82" s="95">
        <v>1</v>
      </c>
      <c r="BR82" s="96">
        <f t="shared" si="111"/>
        <v>1.5094881771396103</v>
      </c>
      <c r="BS82" s="432" t="str">
        <f t="shared" si="112"/>
        <v>(2,2,1,1,1,3); Assumption: 10% of water used is evaporated</v>
      </c>
      <c r="BT82" s="435">
        <f t="shared" si="139"/>
        <v>0</v>
      </c>
      <c r="BU82" s="95">
        <v>1</v>
      </c>
      <c r="BV82" s="96">
        <f t="shared" si="113"/>
        <v>1.5094881771396103</v>
      </c>
      <c r="BW82" s="432" t="str">
        <f t="shared" si="114"/>
        <v>(2,2,1,1,1,3); Assumption: 10% of water used is evaporated</v>
      </c>
      <c r="BX82" s="435">
        <f t="shared" si="140"/>
        <v>0</v>
      </c>
      <c r="BY82" s="95">
        <v>1</v>
      </c>
      <c r="BZ82" s="96">
        <f t="shared" si="115"/>
        <v>1.5094881771396103</v>
      </c>
      <c r="CA82" s="432" t="str">
        <f t="shared" si="116"/>
        <v>(2,2,1,1,1,3); Assumption: 10% of water used is evaporated</v>
      </c>
      <c r="CB82" s="435">
        <f t="shared" si="141"/>
        <v>0</v>
      </c>
      <c r="CC82" s="95">
        <v>1</v>
      </c>
      <c r="CD82" s="96">
        <f t="shared" si="117"/>
        <v>1.5094881771396103</v>
      </c>
      <c r="CE82" s="432" t="str">
        <f t="shared" si="118"/>
        <v>(2,2,1,1,1,3); Assumption: 10% of water used is evaporated</v>
      </c>
      <c r="CF82" s="435">
        <f t="shared" si="142"/>
        <v>0</v>
      </c>
      <c r="CG82" s="95">
        <v>1</v>
      </c>
      <c r="CH82" s="96">
        <f t="shared" si="119"/>
        <v>1.5094881771396103</v>
      </c>
      <c r="CI82" s="432" t="str">
        <f t="shared" si="120"/>
        <v>(2,2,1,1,1,3); Assumption: 10% of water used is evaporated</v>
      </c>
      <c r="CJ82" s="505"/>
      <c r="CK82" s="505"/>
      <c r="CL82" s="211"/>
      <c r="CM82" s="510"/>
      <c r="CO82" s="77" t="s">
        <v>2217</v>
      </c>
      <c r="CP82" s="339">
        <v>2</v>
      </c>
      <c r="CQ82" s="339">
        <v>2</v>
      </c>
      <c r="CR82" s="339">
        <v>1</v>
      </c>
      <c r="CS82" s="339">
        <v>1</v>
      </c>
      <c r="CT82" s="339">
        <v>1</v>
      </c>
      <c r="CU82" s="339">
        <v>3</v>
      </c>
      <c r="CV82" s="104">
        <v>31</v>
      </c>
      <c r="CW82" s="104">
        <v>1.5</v>
      </c>
      <c r="CX82" s="107">
        <f t="shared" si="121"/>
        <v>1.0744244531716256</v>
      </c>
      <c r="CY82" s="107">
        <f t="shared" si="122"/>
        <v>1.5094881771396103</v>
      </c>
      <c r="CZ82" s="107" t="str">
        <f t="shared" si="123"/>
        <v>(2,2,1,1,1,3)</v>
      </c>
      <c r="DA82" s="108">
        <v>1.05</v>
      </c>
      <c r="DB82" s="108">
        <v>1.02</v>
      </c>
      <c r="DC82" s="108">
        <v>1</v>
      </c>
      <c r="DD82" s="108">
        <v>1</v>
      </c>
      <c r="DE82" s="108">
        <v>1</v>
      </c>
      <c r="DF82" s="108">
        <v>1.05</v>
      </c>
    </row>
    <row r="83" spans="1:110">
      <c r="A83" s="330">
        <v>60681</v>
      </c>
      <c r="B83" s="331"/>
      <c r="C83" s="88"/>
      <c r="D83" s="340" t="s">
        <v>98</v>
      </c>
      <c r="E83" s="341">
        <v>4</v>
      </c>
      <c r="F83" s="432" t="s">
        <v>2304</v>
      </c>
      <c r="G83" s="433" t="s">
        <v>98</v>
      </c>
      <c r="H83" s="434" t="s">
        <v>247</v>
      </c>
      <c r="I83" s="434" t="s">
        <v>248</v>
      </c>
      <c r="J83" s="94" t="s">
        <v>98</v>
      </c>
      <c r="K83" s="433" t="s">
        <v>96</v>
      </c>
      <c r="L83" s="435">
        <f t="shared" si="124"/>
        <v>0</v>
      </c>
      <c r="M83" s="95">
        <v>1</v>
      </c>
      <c r="N83" s="96">
        <f t="shared" si="83"/>
        <v>1.5094881771396103</v>
      </c>
      <c r="O83" s="432" t="str">
        <f t="shared" si="84"/>
        <v>(2,2,1,1,1,3); Assumption: 10% of water used is evaporated</v>
      </c>
      <c r="P83" s="435">
        <f t="shared" si="125"/>
        <v>0</v>
      </c>
      <c r="Q83" s="95">
        <v>1</v>
      </c>
      <c r="R83" s="96">
        <f t="shared" si="85"/>
        <v>1.5094881771396103</v>
      </c>
      <c r="S83" s="432" t="str">
        <f t="shared" si="86"/>
        <v>(2,2,1,1,1,3); Assumption: 10% of water used is evaporated</v>
      </c>
      <c r="T83" s="435">
        <f t="shared" si="126"/>
        <v>0</v>
      </c>
      <c r="U83" s="95">
        <v>1</v>
      </c>
      <c r="V83" s="96">
        <f t="shared" si="87"/>
        <v>1.5094881771396103</v>
      </c>
      <c r="W83" s="432" t="str">
        <f t="shared" si="88"/>
        <v>(2,2,1,1,1,3); Assumption: 10% of water used is evaporated</v>
      </c>
      <c r="X83" s="435">
        <f t="shared" si="127"/>
        <v>0</v>
      </c>
      <c r="Y83" s="95">
        <v>1</v>
      </c>
      <c r="Z83" s="96">
        <f t="shared" si="89"/>
        <v>1.5094881771396103</v>
      </c>
      <c r="AA83" s="432" t="str">
        <f t="shared" si="90"/>
        <v>(2,2,1,1,1,3); Assumption: 10% of water used is evaporated</v>
      </c>
      <c r="AB83" s="435">
        <f t="shared" si="128"/>
        <v>0</v>
      </c>
      <c r="AC83" s="95">
        <v>1</v>
      </c>
      <c r="AD83" s="96">
        <f t="shared" si="91"/>
        <v>1.5094881771396103</v>
      </c>
      <c r="AE83" s="432" t="str">
        <f t="shared" si="92"/>
        <v>(2,2,1,1,1,3); Assumption: 10% of water used is evaporated</v>
      </c>
      <c r="AF83" s="435">
        <f t="shared" si="129"/>
        <v>0</v>
      </c>
      <c r="AG83" s="95">
        <v>1</v>
      </c>
      <c r="AH83" s="96">
        <f t="shared" si="93"/>
        <v>1.5094881771396103</v>
      </c>
      <c r="AI83" s="432" t="str">
        <f t="shared" si="94"/>
        <v>(2,2,1,1,1,3); Assumption: 10% of water used is evaporated</v>
      </c>
      <c r="AJ83" s="435">
        <f t="shared" si="130"/>
        <v>0</v>
      </c>
      <c r="AK83" s="95">
        <v>1</v>
      </c>
      <c r="AL83" s="96">
        <f t="shared" si="95"/>
        <v>1.5094881771396103</v>
      </c>
      <c r="AM83" s="432" t="str">
        <f t="shared" si="96"/>
        <v>(2,2,1,1,1,3); Assumption: 10% of water used is evaporated</v>
      </c>
      <c r="AN83" s="435">
        <f t="shared" si="131"/>
        <v>0</v>
      </c>
      <c r="AO83" s="95">
        <v>1</v>
      </c>
      <c r="AP83" s="96">
        <f t="shared" si="97"/>
        <v>1.5094881771396103</v>
      </c>
      <c r="AQ83" s="432" t="str">
        <f t="shared" si="98"/>
        <v>(2,2,1,1,1,3); Assumption: 10% of water used is evaporated</v>
      </c>
      <c r="AR83" s="435">
        <f t="shared" si="132"/>
        <v>0</v>
      </c>
      <c r="AS83" s="95">
        <v>1</v>
      </c>
      <c r="AT83" s="96">
        <f t="shared" si="99"/>
        <v>1.5094881771396103</v>
      </c>
      <c r="AU83" s="432" t="str">
        <f t="shared" si="100"/>
        <v>(2,2,1,1,1,3); Assumption: 10% of water used is evaporated</v>
      </c>
      <c r="AV83" s="435">
        <f t="shared" si="133"/>
        <v>0</v>
      </c>
      <c r="AW83" s="95">
        <v>1</v>
      </c>
      <c r="AX83" s="96">
        <f t="shared" si="101"/>
        <v>1.5094881771396103</v>
      </c>
      <c r="AY83" s="432" t="str">
        <f t="shared" si="102"/>
        <v>(2,2,1,1,1,3); Assumption: 10% of water used is evaporated</v>
      </c>
      <c r="AZ83" s="435">
        <f t="shared" si="134"/>
        <v>0</v>
      </c>
      <c r="BA83" s="95">
        <v>1</v>
      </c>
      <c r="BB83" s="96">
        <f t="shared" si="103"/>
        <v>1.5094881771396103</v>
      </c>
      <c r="BC83" s="432" t="str">
        <f t="shared" si="104"/>
        <v>(2,2,1,1,1,3); Assumption: 10% of water used is evaporated</v>
      </c>
      <c r="BD83" s="435">
        <f t="shared" si="135"/>
        <v>0</v>
      </c>
      <c r="BE83" s="95">
        <v>1</v>
      </c>
      <c r="BF83" s="96">
        <f t="shared" si="105"/>
        <v>1.5094881771396103</v>
      </c>
      <c r="BG83" s="432" t="str">
        <f t="shared" si="106"/>
        <v>(2,2,1,1,1,3); Assumption: 10% of water used is evaporated</v>
      </c>
      <c r="BH83" s="435">
        <f t="shared" si="136"/>
        <v>0</v>
      </c>
      <c r="BI83" s="95">
        <v>1</v>
      </c>
      <c r="BJ83" s="96">
        <f t="shared" si="107"/>
        <v>1.5094881771396103</v>
      </c>
      <c r="BK83" s="432" t="str">
        <f t="shared" si="108"/>
        <v>(2,2,1,1,1,3); Assumption: 10% of water used is evaporated</v>
      </c>
      <c r="BL83" s="435">
        <f t="shared" si="137"/>
        <v>0</v>
      </c>
      <c r="BM83" s="95">
        <v>1</v>
      </c>
      <c r="BN83" s="96">
        <f t="shared" si="109"/>
        <v>1.5094881771396103</v>
      </c>
      <c r="BO83" s="432" t="str">
        <f t="shared" si="110"/>
        <v>(2,2,1,1,1,3); Assumption: 10% of water used is evaporated</v>
      </c>
      <c r="BP83" s="435">
        <f t="shared" si="138"/>
        <v>2.2105855332668888E-4</v>
      </c>
      <c r="BQ83" s="95">
        <v>1</v>
      </c>
      <c r="BR83" s="96">
        <f t="shared" si="111"/>
        <v>1.5094881771396103</v>
      </c>
      <c r="BS83" s="432" t="str">
        <f t="shared" si="112"/>
        <v>(2,2,1,1,1,3); Assumption: 10% of water used is evaporated</v>
      </c>
      <c r="BT83" s="435">
        <f t="shared" si="139"/>
        <v>0</v>
      </c>
      <c r="BU83" s="95">
        <v>1</v>
      </c>
      <c r="BV83" s="96">
        <f t="shared" si="113"/>
        <v>1.5094881771396103</v>
      </c>
      <c r="BW83" s="432" t="str">
        <f t="shared" si="114"/>
        <v>(2,2,1,1,1,3); Assumption: 10% of water used is evaporated</v>
      </c>
      <c r="BX83" s="435">
        <f t="shared" si="140"/>
        <v>0</v>
      </c>
      <c r="BY83" s="95">
        <v>1</v>
      </c>
      <c r="BZ83" s="96">
        <f t="shared" si="115"/>
        <v>1.5094881771396103</v>
      </c>
      <c r="CA83" s="432" t="str">
        <f t="shared" si="116"/>
        <v>(2,2,1,1,1,3); Assumption: 10% of water used is evaporated</v>
      </c>
      <c r="CB83" s="435">
        <f t="shared" si="141"/>
        <v>0</v>
      </c>
      <c r="CC83" s="95">
        <v>1</v>
      </c>
      <c r="CD83" s="96">
        <f t="shared" si="117"/>
        <v>1.5094881771396103</v>
      </c>
      <c r="CE83" s="432" t="str">
        <f t="shared" si="118"/>
        <v>(2,2,1,1,1,3); Assumption: 10% of water used is evaporated</v>
      </c>
      <c r="CF83" s="435">
        <f t="shared" si="142"/>
        <v>0</v>
      </c>
      <c r="CG83" s="95">
        <v>1</v>
      </c>
      <c r="CH83" s="96">
        <f t="shared" si="119"/>
        <v>1.5094881771396103</v>
      </c>
      <c r="CI83" s="432" t="str">
        <f t="shared" si="120"/>
        <v>(2,2,1,1,1,3); Assumption: 10% of water used is evaporated</v>
      </c>
      <c r="CJ83" s="505"/>
      <c r="CK83" s="505"/>
      <c r="CL83" s="211"/>
      <c r="CM83" s="510"/>
      <c r="CO83" s="77" t="s">
        <v>2217</v>
      </c>
      <c r="CP83" s="339">
        <v>2</v>
      </c>
      <c r="CQ83" s="339">
        <v>2</v>
      </c>
      <c r="CR83" s="339">
        <v>1</v>
      </c>
      <c r="CS83" s="339">
        <v>1</v>
      </c>
      <c r="CT83" s="339">
        <v>1</v>
      </c>
      <c r="CU83" s="339">
        <v>3</v>
      </c>
      <c r="CV83" s="104">
        <v>31</v>
      </c>
      <c r="CW83" s="104">
        <v>1.5</v>
      </c>
      <c r="CX83" s="107">
        <f t="shared" si="121"/>
        <v>1.0744244531716256</v>
      </c>
      <c r="CY83" s="107">
        <f t="shared" si="122"/>
        <v>1.5094881771396103</v>
      </c>
      <c r="CZ83" s="107" t="str">
        <f t="shared" si="123"/>
        <v>(2,2,1,1,1,3)</v>
      </c>
      <c r="DA83" s="108">
        <v>1.05</v>
      </c>
      <c r="DB83" s="108">
        <v>1.02</v>
      </c>
      <c r="DC83" s="108">
        <v>1</v>
      </c>
      <c r="DD83" s="108">
        <v>1</v>
      </c>
      <c r="DE83" s="108">
        <v>1</v>
      </c>
      <c r="DF83" s="108">
        <v>1.05</v>
      </c>
    </row>
    <row r="84" spans="1:110">
      <c r="A84" s="330">
        <v>52360</v>
      </c>
      <c r="B84" s="331"/>
      <c r="C84" s="88"/>
      <c r="D84" s="340" t="s">
        <v>98</v>
      </c>
      <c r="E84" s="341">
        <v>4</v>
      </c>
      <c r="F84" s="432" t="s">
        <v>2305</v>
      </c>
      <c r="G84" s="433" t="s">
        <v>98</v>
      </c>
      <c r="H84" s="434" t="s">
        <v>247</v>
      </c>
      <c r="I84" s="434" t="s">
        <v>248</v>
      </c>
      <c r="J84" s="94" t="s">
        <v>98</v>
      </c>
      <c r="K84" s="433" t="s">
        <v>96</v>
      </c>
      <c r="L84" s="435">
        <f t="shared" si="124"/>
        <v>0</v>
      </c>
      <c r="M84" s="95">
        <v>1</v>
      </c>
      <c r="N84" s="96">
        <f t="shared" si="83"/>
        <v>1.5094881771396103</v>
      </c>
      <c r="O84" s="432" t="str">
        <f t="shared" si="84"/>
        <v>(2,2,1,1,1,3); Assumption: 10% of water used is evaporated</v>
      </c>
      <c r="P84" s="435">
        <f t="shared" si="125"/>
        <v>0</v>
      </c>
      <c r="Q84" s="95">
        <v>1</v>
      </c>
      <c r="R84" s="96">
        <f t="shared" si="85"/>
        <v>1.5094881771396103</v>
      </c>
      <c r="S84" s="432" t="str">
        <f t="shared" si="86"/>
        <v>(2,2,1,1,1,3); Assumption: 10% of water used is evaporated</v>
      </c>
      <c r="T84" s="435">
        <f t="shared" si="126"/>
        <v>0</v>
      </c>
      <c r="U84" s="95">
        <v>1</v>
      </c>
      <c r="V84" s="96">
        <f t="shared" si="87"/>
        <v>1.5094881771396103</v>
      </c>
      <c r="W84" s="432" t="str">
        <f t="shared" si="88"/>
        <v>(2,2,1,1,1,3); Assumption: 10% of water used is evaporated</v>
      </c>
      <c r="X84" s="435">
        <f t="shared" si="127"/>
        <v>0</v>
      </c>
      <c r="Y84" s="95">
        <v>1</v>
      </c>
      <c r="Z84" s="96">
        <f t="shared" si="89"/>
        <v>1.5094881771396103</v>
      </c>
      <c r="AA84" s="432" t="str">
        <f t="shared" si="90"/>
        <v>(2,2,1,1,1,3); Assumption: 10% of water used is evaporated</v>
      </c>
      <c r="AB84" s="435">
        <f t="shared" si="128"/>
        <v>0</v>
      </c>
      <c r="AC84" s="95">
        <v>1</v>
      </c>
      <c r="AD84" s="96">
        <f t="shared" si="91"/>
        <v>1.5094881771396103</v>
      </c>
      <c r="AE84" s="432" t="str">
        <f t="shared" si="92"/>
        <v>(2,2,1,1,1,3); Assumption: 10% of water used is evaporated</v>
      </c>
      <c r="AF84" s="435">
        <f t="shared" si="129"/>
        <v>0</v>
      </c>
      <c r="AG84" s="95">
        <v>1</v>
      </c>
      <c r="AH84" s="96">
        <f t="shared" si="93"/>
        <v>1.5094881771396103</v>
      </c>
      <c r="AI84" s="432" t="str">
        <f t="shared" si="94"/>
        <v>(2,2,1,1,1,3); Assumption: 10% of water used is evaporated</v>
      </c>
      <c r="AJ84" s="435">
        <f t="shared" si="130"/>
        <v>0</v>
      </c>
      <c r="AK84" s="95">
        <v>1</v>
      </c>
      <c r="AL84" s="96">
        <f t="shared" si="95"/>
        <v>1.5094881771396103</v>
      </c>
      <c r="AM84" s="432" t="str">
        <f t="shared" si="96"/>
        <v>(2,2,1,1,1,3); Assumption: 10% of water used is evaporated</v>
      </c>
      <c r="AN84" s="435">
        <f t="shared" si="131"/>
        <v>0</v>
      </c>
      <c r="AO84" s="95">
        <v>1</v>
      </c>
      <c r="AP84" s="96">
        <f t="shared" si="97"/>
        <v>1.5094881771396103</v>
      </c>
      <c r="AQ84" s="432" t="str">
        <f t="shared" si="98"/>
        <v>(2,2,1,1,1,3); Assumption: 10% of water used is evaporated</v>
      </c>
      <c r="AR84" s="435">
        <f t="shared" si="132"/>
        <v>0</v>
      </c>
      <c r="AS84" s="95">
        <v>1</v>
      </c>
      <c r="AT84" s="96">
        <f t="shared" si="99"/>
        <v>1.5094881771396103</v>
      </c>
      <c r="AU84" s="432" t="str">
        <f t="shared" si="100"/>
        <v>(2,2,1,1,1,3); Assumption: 10% of water used is evaporated</v>
      </c>
      <c r="AV84" s="435">
        <f t="shared" si="133"/>
        <v>0</v>
      </c>
      <c r="AW84" s="95">
        <v>1</v>
      </c>
      <c r="AX84" s="96">
        <f t="shared" si="101"/>
        <v>1.5094881771396103</v>
      </c>
      <c r="AY84" s="432" t="str">
        <f t="shared" si="102"/>
        <v>(2,2,1,1,1,3); Assumption: 10% of water used is evaporated</v>
      </c>
      <c r="AZ84" s="435">
        <f t="shared" si="134"/>
        <v>0</v>
      </c>
      <c r="BA84" s="95">
        <v>1</v>
      </c>
      <c r="BB84" s="96">
        <f t="shared" si="103"/>
        <v>1.5094881771396103</v>
      </c>
      <c r="BC84" s="432" t="str">
        <f t="shared" si="104"/>
        <v>(2,2,1,1,1,3); Assumption: 10% of water used is evaporated</v>
      </c>
      <c r="BD84" s="435">
        <f t="shared" si="135"/>
        <v>0</v>
      </c>
      <c r="BE84" s="95">
        <v>1</v>
      </c>
      <c r="BF84" s="96">
        <f t="shared" si="105"/>
        <v>1.5094881771396103</v>
      </c>
      <c r="BG84" s="432" t="str">
        <f t="shared" si="106"/>
        <v>(2,2,1,1,1,3); Assumption: 10% of water used is evaporated</v>
      </c>
      <c r="BH84" s="435">
        <f t="shared" si="136"/>
        <v>0</v>
      </c>
      <c r="BI84" s="95">
        <v>1</v>
      </c>
      <c r="BJ84" s="96">
        <f t="shared" si="107"/>
        <v>1.5094881771396103</v>
      </c>
      <c r="BK84" s="432" t="str">
        <f t="shared" si="108"/>
        <v>(2,2,1,1,1,3); Assumption: 10% of water used is evaporated</v>
      </c>
      <c r="BL84" s="435">
        <f t="shared" si="137"/>
        <v>0</v>
      </c>
      <c r="BM84" s="95">
        <v>1</v>
      </c>
      <c r="BN84" s="96">
        <f t="shared" si="109"/>
        <v>1.5094881771396103</v>
      </c>
      <c r="BO84" s="432" t="str">
        <f t="shared" si="110"/>
        <v>(2,2,1,1,1,3); Assumption: 10% of water used is evaporated</v>
      </c>
      <c r="BP84" s="435">
        <f t="shared" si="138"/>
        <v>0</v>
      </c>
      <c r="BQ84" s="95">
        <v>1</v>
      </c>
      <c r="BR84" s="96">
        <f t="shared" si="111"/>
        <v>1.5094881771396103</v>
      </c>
      <c r="BS84" s="432" t="str">
        <f t="shared" si="112"/>
        <v>(2,2,1,1,1,3); Assumption: 10% of water used is evaporated</v>
      </c>
      <c r="BT84" s="435">
        <f t="shared" si="139"/>
        <v>2.0712873662795517E-4</v>
      </c>
      <c r="BU84" s="95">
        <v>1</v>
      </c>
      <c r="BV84" s="96">
        <f t="shared" si="113"/>
        <v>1.5094881771396103</v>
      </c>
      <c r="BW84" s="432" t="str">
        <f t="shared" si="114"/>
        <v>(2,2,1,1,1,3); Assumption: 10% of water used is evaporated</v>
      </c>
      <c r="BX84" s="435">
        <f t="shared" si="140"/>
        <v>0</v>
      </c>
      <c r="BY84" s="95">
        <v>1</v>
      </c>
      <c r="BZ84" s="96">
        <f t="shared" si="115"/>
        <v>1.5094881771396103</v>
      </c>
      <c r="CA84" s="432" t="str">
        <f t="shared" si="116"/>
        <v>(2,2,1,1,1,3); Assumption: 10% of water used is evaporated</v>
      </c>
      <c r="CB84" s="435">
        <f t="shared" si="141"/>
        <v>0</v>
      </c>
      <c r="CC84" s="95">
        <v>1</v>
      </c>
      <c r="CD84" s="96">
        <f t="shared" si="117"/>
        <v>1.5094881771396103</v>
      </c>
      <c r="CE84" s="432" t="str">
        <f t="shared" si="118"/>
        <v>(2,2,1,1,1,3); Assumption: 10% of water used is evaporated</v>
      </c>
      <c r="CF84" s="435">
        <f t="shared" si="142"/>
        <v>0</v>
      </c>
      <c r="CG84" s="95">
        <v>1</v>
      </c>
      <c r="CH84" s="96">
        <f t="shared" si="119"/>
        <v>1.5094881771396103</v>
      </c>
      <c r="CI84" s="432" t="str">
        <f t="shared" si="120"/>
        <v>(2,2,1,1,1,3); Assumption: 10% of water used is evaporated</v>
      </c>
      <c r="CJ84" s="505"/>
      <c r="CK84" s="505"/>
      <c r="CL84" s="211"/>
      <c r="CM84" s="510"/>
      <c r="CO84" s="77" t="s">
        <v>2217</v>
      </c>
      <c r="CP84" s="339">
        <v>2</v>
      </c>
      <c r="CQ84" s="339">
        <v>2</v>
      </c>
      <c r="CR84" s="339">
        <v>1</v>
      </c>
      <c r="CS84" s="339">
        <v>1</v>
      </c>
      <c r="CT84" s="339">
        <v>1</v>
      </c>
      <c r="CU84" s="339">
        <v>3</v>
      </c>
      <c r="CV84" s="104">
        <v>31</v>
      </c>
      <c r="CW84" s="104">
        <v>1.5</v>
      </c>
      <c r="CX84" s="107">
        <f t="shared" si="121"/>
        <v>1.0744244531716256</v>
      </c>
      <c r="CY84" s="107">
        <f t="shared" si="122"/>
        <v>1.5094881771396103</v>
      </c>
      <c r="CZ84" s="107" t="str">
        <f t="shared" si="123"/>
        <v>(2,2,1,1,1,3)</v>
      </c>
      <c r="DA84" s="108">
        <v>1.05</v>
      </c>
      <c r="DB84" s="108">
        <v>1.02</v>
      </c>
      <c r="DC84" s="108">
        <v>1</v>
      </c>
      <c r="DD84" s="108">
        <v>1</v>
      </c>
      <c r="DE84" s="108">
        <v>1</v>
      </c>
      <c r="DF84" s="108">
        <v>1.05</v>
      </c>
    </row>
    <row r="85" spans="1:110">
      <c r="A85" s="330">
        <v>49514</v>
      </c>
      <c r="B85" s="331"/>
      <c r="C85" s="88"/>
      <c r="D85" s="340" t="s">
        <v>98</v>
      </c>
      <c r="E85" s="341">
        <v>4</v>
      </c>
      <c r="F85" s="432" t="s">
        <v>2306</v>
      </c>
      <c r="G85" s="433" t="s">
        <v>98</v>
      </c>
      <c r="H85" s="434" t="s">
        <v>247</v>
      </c>
      <c r="I85" s="434" t="s">
        <v>248</v>
      </c>
      <c r="J85" s="94" t="s">
        <v>98</v>
      </c>
      <c r="K85" s="433" t="s">
        <v>96</v>
      </c>
      <c r="L85" s="435">
        <f t="shared" si="124"/>
        <v>0</v>
      </c>
      <c r="M85" s="95">
        <v>1</v>
      </c>
      <c r="N85" s="96">
        <f t="shared" si="83"/>
        <v>1.5094881771396103</v>
      </c>
      <c r="O85" s="432" t="str">
        <f t="shared" si="84"/>
        <v>(2,2,1,1,1,3); Assumption: 10% of water used is evaporated</v>
      </c>
      <c r="P85" s="435">
        <f t="shared" si="125"/>
        <v>0</v>
      </c>
      <c r="Q85" s="95">
        <v>1</v>
      </c>
      <c r="R85" s="96">
        <f t="shared" si="85"/>
        <v>1.5094881771396103</v>
      </c>
      <c r="S85" s="432" t="str">
        <f t="shared" si="86"/>
        <v>(2,2,1,1,1,3); Assumption: 10% of water used is evaporated</v>
      </c>
      <c r="T85" s="435">
        <f t="shared" si="126"/>
        <v>0</v>
      </c>
      <c r="U85" s="95">
        <v>1</v>
      </c>
      <c r="V85" s="96">
        <f t="shared" si="87"/>
        <v>1.5094881771396103</v>
      </c>
      <c r="W85" s="432" t="str">
        <f t="shared" si="88"/>
        <v>(2,2,1,1,1,3); Assumption: 10% of water used is evaporated</v>
      </c>
      <c r="X85" s="435">
        <f t="shared" si="127"/>
        <v>0</v>
      </c>
      <c r="Y85" s="95">
        <v>1</v>
      </c>
      <c r="Z85" s="96">
        <f t="shared" si="89"/>
        <v>1.5094881771396103</v>
      </c>
      <c r="AA85" s="432" t="str">
        <f t="shared" si="90"/>
        <v>(2,2,1,1,1,3); Assumption: 10% of water used is evaporated</v>
      </c>
      <c r="AB85" s="435">
        <f t="shared" si="128"/>
        <v>0</v>
      </c>
      <c r="AC85" s="95">
        <v>1</v>
      </c>
      <c r="AD85" s="96">
        <f t="shared" si="91"/>
        <v>1.5094881771396103</v>
      </c>
      <c r="AE85" s="432" t="str">
        <f t="shared" si="92"/>
        <v>(2,2,1,1,1,3); Assumption: 10% of water used is evaporated</v>
      </c>
      <c r="AF85" s="435">
        <f t="shared" si="129"/>
        <v>0</v>
      </c>
      <c r="AG85" s="95">
        <v>1</v>
      </c>
      <c r="AH85" s="96">
        <f t="shared" si="93"/>
        <v>1.5094881771396103</v>
      </c>
      <c r="AI85" s="432" t="str">
        <f t="shared" si="94"/>
        <v>(2,2,1,1,1,3); Assumption: 10% of water used is evaporated</v>
      </c>
      <c r="AJ85" s="435">
        <f t="shared" si="130"/>
        <v>0</v>
      </c>
      <c r="AK85" s="95">
        <v>1</v>
      </c>
      <c r="AL85" s="96">
        <f t="shared" si="95"/>
        <v>1.5094881771396103</v>
      </c>
      <c r="AM85" s="432" t="str">
        <f t="shared" si="96"/>
        <v>(2,2,1,1,1,3); Assumption: 10% of water used is evaporated</v>
      </c>
      <c r="AN85" s="435">
        <f t="shared" si="131"/>
        <v>0</v>
      </c>
      <c r="AO85" s="95">
        <v>1</v>
      </c>
      <c r="AP85" s="96">
        <f t="shared" si="97"/>
        <v>1.5094881771396103</v>
      </c>
      <c r="AQ85" s="432" t="str">
        <f t="shared" si="98"/>
        <v>(2,2,1,1,1,3); Assumption: 10% of water used is evaporated</v>
      </c>
      <c r="AR85" s="435">
        <f t="shared" si="132"/>
        <v>0</v>
      </c>
      <c r="AS85" s="95">
        <v>1</v>
      </c>
      <c r="AT85" s="96">
        <f t="shared" si="99"/>
        <v>1.5094881771396103</v>
      </c>
      <c r="AU85" s="432" t="str">
        <f t="shared" si="100"/>
        <v>(2,2,1,1,1,3); Assumption: 10% of water used is evaporated</v>
      </c>
      <c r="AV85" s="435">
        <f t="shared" si="133"/>
        <v>0</v>
      </c>
      <c r="AW85" s="95">
        <v>1</v>
      </c>
      <c r="AX85" s="96">
        <f t="shared" si="101"/>
        <v>1.5094881771396103</v>
      </c>
      <c r="AY85" s="432" t="str">
        <f t="shared" si="102"/>
        <v>(2,2,1,1,1,3); Assumption: 10% of water used is evaporated</v>
      </c>
      <c r="AZ85" s="435">
        <f t="shared" si="134"/>
        <v>0</v>
      </c>
      <c r="BA85" s="95">
        <v>1</v>
      </c>
      <c r="BB85" s="96">
        <f t="shared" si="103"/>
        <v>1.5094881771396103</v>
      </c>
      <c r="BC85" s="432" t="str">
        <f t="shared" si="104"/>
        <v>(2,2,1,1,1,3); Assumption: 10% of water used is evaporated</v>
      </c>
      <c r="BD85" s="435">
        <f t="shared" si="135"/>
        <v>0</v>
      </c>
      <c r="BE85" s="95">
        <v>1</v>
      </c>
      <c r="BF85" s="96">
        <f t="shared" si="105"/>
        <v>1.5094881771396103</v>
      </c>
      <c r="BG85" s="432" t="str">
        <f t="shared" si="106"/>
        <v>(2,2,1,1,1,3); Assumption: 10% of water used is evaporated</v>
      </c>
      <c r="BH85" s="435">
        <f t="shared" si="136"/>
        <v>0</v>
      </c>
      <c r="BI85" s="95">
        <v>1</v>
      </c>
      <c r="BJ85" s="96">
        <f t="shared" si="107"/>
        <v>1.5094881771396103</v>
      </c>
      <c r="BK85" s="432" t="str">
        <f t="shared" si="108"/>
        <v>(2,2,1,1,1,3); Assumption: 10% of water used is evaporated</v>
      </c>
      <c r="BL85" s="435">
        <f t="shared" si="137"/>
        <v>0</v>
      </c>
      <c r="BM85" s="95">
        <v>1</v>
      </c>
      <c r="BN85" s="96">
        <f t="shared" si="109"/>
        <v>1.5094881771396103</v>
      </c>
      <c r="BO85" s="432" t="str">
        <f t="shared" si="110"/>
        <v>(2,2,1,1,1,3); Assumption: 10% of water used is evaporated</v>
      </c>
      <c r="BP85" s="435">
        <f t="shared" si="138"/>
        <v>0</v>
      </c>
      <c r="BQ85" s="95">
        <v>1</v>
      </c>
      <c r="BR85" s="96">
        <f t="shared" si="111"/>
        <v>1.5094881771396103</v>
      </c>
      <c r="BS85" s="432" t="str">
        <f t="shared" si="112"/>
        <v>(2,2,1,1,1,3); Assumption: 10% of water used is evaporated</v>
      </c>
      <c r="BT85" s="435">
        <f t="shared" si="139"/>
        <v>0</v>
      </c>
      <c r="BU85" s="95">
        <v>1</v>
      </c>
      <c r="BV85" s="96">
        <f t="shared" si="113"/>
        <v>1.5094881771396103</v>
      </c>
      <c r="BW85" s="432" t="str">
        <f t="shared" si="114"/>
        <v>(2,2,1,1,1,3); Assumption: 10% of water used is evaporated</v>
      </c>
      <c r="BX85" s="435">
        <f t="shared" si="140"/>
        <v>3.6602883146776732E-4</v>
      </c>
      <c r="BY85" s="95">
        <v>1</v>
      </c>
      <c r="BZ85" s="96">
        <f t="shared" si="115"/>
        <v>1.5094881771396103</v>
      </c>
      <c r="CA85" s="432" t="str">
        <f t="shared" si="116"/>
        <v>(2,2,1,1,1,3); Assumption: 10% of water used is evaporated</v>
      </c>
      <c r="CB85" s="435">
        <f t="shared" si="141"/>
        <v>0</v>
      </c>
      <c r="CC85" s="95">
        <v>1</v>
      </c>
      <c r="CD85" s="96">
        <f t="shared" si="117"/>
        <v>1.5094881771396103</v>
      </c>
      <c r="CE85" s="432" t="str">
        <f t="shared" si="118"/>
        <v>(2,2,1,1,1,3); Assumption: 10% of water used is evaporated</v>
      </c>
      <c r="CF85" s="435">
        <f t="shared" si="142"/>
        <v>0</v>
      </c>
      <c r="CG85" s="95">
        <v>1</v>
      </c>
      <c r="CH85" s="96">
        <f t="shared" si="119"/>
        <v>1.5094881771396103</v>
      </c>
      <c r="CI85" s="432" t="str">
        <f t="shared" si="120"/>
        <v>(2,2,1,1,1,3); Assumption: 10% of water used is evaporated</v>
      </c>
      <c r="CJ85" s="505"/>
      <c r="CK85" s="505"/>
      <c r="CL85" s="211"/>
      <c r="CM85" s="510"/>
      <c r="CO85" s="77" t="s">
        <v>2217</v>
      </c>
      <c r="CP85" s="339">
        <v>2</v>
      </c>
      <c r="CQ85" s="339">
        <v>2</v>
      </c>
      <c r="CR85" s="339">
        <v>1</v>
      </c>
      <c r="CS85" s="339">
        <v>1</v>
      </c>
      <c r="CT85" s="339">
        <v>1</v>
      </c>
      <c r="CU85" s="339">
        <v>3</v>
      </c>
      <c r="CV85" s="104">
        <v>31</v>
      </c>
      <c r="CW85" s="104">
        <v>1.5</v>
      </c>
      <c r="CX85" s="107">
        <f t="shared" si="121"/>
        <v>1.0744244531716256</v>
      </c>
      <c r="CY85" s="107">
        <f t="shared" si="122"/>
        <v>1.5094881771396103</v>
      </c>
      <c r="CZ85" s="107" t="str">
        <f t="shared" si="123"/>
        <v>(2,2,1,1,1,3)</v>
      </c>
      <c r="DA85" s="108">
        <v>1.05</v>
      </c>
      <c r="DB85" s="108">
        <v>1.02</v>
      </c>
      <c r="DC85" s="108">
        <v>1</v>
      </c>
      <c r="DD85" s="108">
        <v>1</v>
      </c>
      <c r="DE85" s="108">
        <v>1</v>
      </c>
      <c r="DF85" s="108">
        <v>1.05</v>
      </c>
    </row>
    <row r="86" spans="1:110">
      <c r="A86" s="330">
        <v>67892</v>
      </c>
      <c r="B86" s="331"/>
      <c r="C86" s="88"/>
      <c r="D86" s="340" t="s">
        <v>98</v>
      </c>
      <c r="E86" s="341">
        <v>4</v>
      </c>
      <c r="F86" s="432" t="s">
        <v>2307</v>
      </c>
      <c r="G86" s="433" t="s">
        <v>98</v>
      </c>
      <c r="H86" s="434" t="s">
        <v>247</v>
      </c>
      <c r="I86" s="434" t="s">
        <v>248</v>
      </c>
      <c r="J86" s="94" t="s">
        <v>98</v>
      </c>
      <c r="K86" s="433" t="s">
        <v>96</v>
      </c>
      <c r="L86" s="435">
        <f t="shared" si="124"/>
        <v>0</v>
      </c>
      <c r="M86" s="95">
        <v>1</v>
      </c>
      <c r="N86" s="96">
        <f t="shared" si="83"/>
        <v>1.5094881771396103</v>
      </c>
      <c r="O86" s="432" t="str">
        <f t="shared" si="84"/>
        <v>(2,2,1,1,1,3); Assumption: 10% of water used is evaporated</v>
      </c>
      <c r="P86" s="435">
        <f t="shared" si="125"/>
        <v>0</v>
      </c>
      <c r="Q86" s="95">
        <v>1</v>
      </c>
      <c r="R86" s="96">
        <f t="shared" si="85"/>
        <v>1.5094881771396103</v>
      </c>
      <c r="S86" s="432" t="str">
        <f t="shared" si="86"/>
        <v>(2,2,1,1,1,3); Assumption: 10% of water used is evaporated</v>
      </c>
      <c r="T86" s="435">
        <f t="shared" si="126"/>
        <v>0</v>
      </c>
      <c r="U86" s="95">
        <v>1</v>
      </c>
      <c r="V86" s="96">
        <f t="shared" si="87"/>
        <v>1.5094881771396103</v>
      </c>
      <c r="W86" s="432" t="str">
        <f t="shared" si="88"/>
        <v>(2,2,1,1,1,3); Assumption: 10% of water used is evaporated</v>
      </c>
      <c r="X86" s="435">
        <f t="shared" si="127"/>
        <v>0</v>
      </c>
      <c r="Y86" s="95">
        <v>1</v>
      </c>
      <c r="Z86" s="96">
        <f t="shared" si="89"/>
        <v>1.5094881771396103</v>
      </c>
      <c r="AA86" s="432" t="str">
        <f t="shared" si="90"/>
        <v>(2,2,1,1,1,3); Assumption: 10% of water used is evaporated</v>
      </c>
      <c r="AB86" s="435">
        <f t="shared" si="128"/>
        <v>0</v>
      </c>
      <c r="AC86" s="95">
        <v>1</v>
      </c>
      <c r="AD86" s="96">
        <f t="shared" si="91"/>
        <v>1.5094881771396103</v>
      </c>
      <c r="AE86" s="432" t="str">
        <f t="shared" si="92"/>
        <v>(2,2,1,1,1,3); Assumption: 10% of water used is evaporated</v>
      </c>
      <c r="AF86" s="435">
        <f t="shared" si="129"/>
        <v>0</v>
      </c>
      <c r="AG86" s="95">
        <v>1</v>
      </c>
      <c r="AH86" s="96">
        <f t="shared" si="93"/>
        <v>1.5094881771396103</v>
      </c>
      <c r="AI86" s="432" t="str">
        <f t="shared" si="94"/>
        <v>(2,2,1,1,1,3); Assumption: 10% of water used is evaporated</v>
      </c>
      <c r="AJ86" s="435">
        <f t="shared" si="130"/>
        <v>0</v>
      </c>
      <c r="AK86" s="95">
        <v>1</v>
      </c>
      <c r="AL86" s="96">
        <f t="shared" si="95"/>
        <v>1.5094881771396103</v>
      </c>
      <c r="AM86" s="432" t="str">
        <f t="shared" si="96"/>
        <v>(2,2,1,1,1,3); Assumption: 10% of water used is evaporated</v>
      </c>
      <c r="AN86" s="435">
        <f t="shared" si="131"/>
        <v>0</v>
      </c>
      <c r="AO86" s="95">
        <v>1</v>
      </c>
      <c r="AP86" s="96">
        <f t="shared" si="97"/>
        <v>1.5094881771396103</v>
      </c>
      <c r="AQ86" s="432" t="str">
        <f t="shared" si="98"/>
        <v>(2,2,1,1,1,3); Assumption: 10% of water used is evaporated</v>
      </c>
      <c r="AR86" s="435">
        <f t="shared" si="132"/>
        <v>0</v>
      </c>
      <c r="AS86" s="95">
        <v>1</v>
      </c>
      <c r="AT86" s="96">
        <f t="shared" si="99"/>
        <v>1.5094881771396103</v>
      </c>
      <c r="AU86" s="432" t="str">
        <f t="shared" si="100"/>
        <v>(2,2,1,1,1,3); Assumption: 10% of water used is evaporated</v>
      </c>
      <c r="AV86" s="435">
        <f t="shared" si="133"/>
        <v>0</v>
      </c>
      <c r="AW86" s="95">
        <v>1</v>
      </c>
      <c r="AX86" s="96">
        <f t="shared" si="101"/>
        <v>1.5094881771396103</v>
      </c>
      <c r="AY86" s="432" t="str">
        <f t="shared" si="102"/>
        <v>(2,2,1,1,1,3); Assumption: 10% of water used is evaporated</v>
      </c>
      <c r="AZ86" s="435">
        <f t="shared" si="134"/>
        <v>0</v>
      </c>
      <c r="BA86" s="95">
        <v>1</v>
      </c>
      <c r="BB86" s="96">
        <f t="shared" si="103"/>
        <v>1.5094881771396103</v>
      </c>
      <c r="BC86" s="432" t="str">
        <f t="shared" si="104"/>
        <v>(2,2,1,1,1,3); Assumption: 10% of water used is evaporated</v>
      </c>
      <c r="BD86" s="435">
        <f t="shared" si="135"/>
        <v>0</v>
      </c>
      <c r="BE86" s="95">
        <v>1</v>
      </c>
      <c r="BF86" s="96">
        <f t="shared" si="105"/>
        <v>1.5094881771396103</v>
      </c>
      <c r="BG86" s="432" t="str">
        <f t="shared" si="106"/>
        <v>(2,2,1,1,1,3); Assumption: 10% of water used is evaporated</v>
      </c>
      <c r="BH86" s="435">
        <f t="shared" si="136"/>
        <v>0</v>
      </c>
      <c r="BI86" s="95">
        <v>1</v>
      </c>
      <c r="BJ86" s="96">
        <f t="shared" si="107"/>
        <v>1.5094881771396103</v>
      </c>
      <c r="BK86" s="432" t="str">
        <f t="shared" si="108"/>
        <v>(2,2,1,1,1,3); Assumption: 10% of water used is evaporated</v>
      </c>
      <c r="BL86" s="435">
        <f t="shared" si="137"/>
        <v>0</v>
      </c>
      <c r="BM86" s="95">
        <v>1</v>
      </c>
      <c r="BN86" s="96">
        <f t="shared" si="109"/>
        <v>1.5094881771396103</v>
      </c>
      <c r="BO86" s="432" t="str">
        <f t="shared" si="110"/>
        <v>(2,2,1,1,1,3); Assumption: 10% of water used is evaporated</v>
      </c>
      <c r="BP86" s="435">
        <f t="shared" si="138"/>
        <v>0</v>
      </c>
      <c r="BQ86" s="95">
        <v>1</v>
      </c>
      <c r="BR86" s="96">
        <f t="shared" si="111"/>
        <v>1.5094881771396103</v>
      </c>
      <c r="BS86" s="432" t="str">
        <f t="shared" si="112"/>
        <v>(2,2,1,1,1,3); Assumption: 10% of water used is evaporated</v>
      </c>
      <c r="BT86" s="435">
        <f t="shared" si="139"/>
        <v>0</v>
      </c>
      <c r="BU86" s="95">
        <v>1</v>
      </c>
      <c r="BV86" s="96">
        <f t="shared" si="113"/>
        <v>1.5094881771396103</v>
      </c>
      <c r="BW86" s="432" t="str">
        <f t="shared" si="114"/>
        <v>(2,2,1,1,1,3); Assumption: 10% of water used is evaporated</v>
      </c>
      <c r="BX86" s="435">
        <f t="shared" si="140"/>
        <v>0</v>
      </c>
      <c r="BY86" s="95">
        <v>1</v>
      </c>
      <c r="BZ86" s="96">
        <f t="shared" si="115"/>
        <v>1.5094881771396103</v>
      </c>
      <c r="CA86" s="432" t="str">
        <f t="shared" si="116"/>
        <v>(2,2,1,1,1,3); Assumption: 10% of water used is evaporated</v>
      </c>
      <c r="CB86" s="435">
        <f t="shared" si="141"/>
        <v>3.449064314948138E-4</v>
      </c>
      <c r="CC86" s="95">
        <v>1</v>
      </c>
      <c r="CD86" s="96">
        <f t="shared" si="117"/>
        <v>1.5094881771396103</v>
      </c>
      <c r="CE86" s="432" t="str">
        <f t="shared" si="118"/>
        <v>(2,2,1,1,1,3); Assumption: 10% of water used is evaporated</v>
      </c>
      <c r="CF86" s="435">
        <f t="shared" si="142"/>
        <v>0</v>
      </c>
      <c r="CG86" s="95">
        <v>1</v>
      </c>
      <c r="CH86" s="96">
        <f t="shared" si="119"/>
        <v>1.5094881771396103</v>
      </c>
      <c r="CI86" s="432" t="str">
        <f t="shared" si="120"/>
        <v>(2,2,1,1,1,3); Assumption: 10% of water used is evaporated</v>
      </c>
      <c r="CJ86" s="505"/>
      <c r="CK86" s="505"/>
      <c r="CL86" s="211"/>
      <c r="CM86" s="510"/>
      <c r="CO86" s="77" t="s">
        <v>2217</v>
      </c>
      <c r="CP86" s="339">
        <v>2</v>
      </c>
      <c r="CQ86" s="339">
        <v>2</v>
      </c>
      <c r="CR86" s="339">
        <v>1</v>
      </c>
      <c r="CS86" s="339">
        <v>1</v>
      </c>
      <c r="CT86" s="339">
        <v>1</v>
      </c>
      <c r="CU86" s="339">
        <v>3</v>
      </c>
      <c r="CV86" s="104">
        <v>31</v>
      </c>
      <c r="CW86" s="104">
        <v>1.5</v>
      </c>
      <c r="CX86" s="107">
        <f t="shared" si="121"/>
        <v>1.0744244531716256</v>
      </c>
      <c r="CY86" s="107">
        <f t="shared" si="122"/>
        <v>1.5094881771396103</v>
      </c>
      <c r="CZ86" s="107" t="str">
        <f t="shared" si="123"/>
        <v>(2,2,1,1,1,3)</v>
      </c>
      <c r="DA86" s="108">
        <v>1.05</v>
      </c>
      <c r="DB86" s="108">
        <v>1.02</v>
      </c>
      <c r="DC86" s="108">
        <v>1</v>
      </c>
      <c r="DD86" s="108">
        <v>1</v>
      </c>
      <c r="DE86" s="108">
        <v>1</v>
      </c>
      <c r="DF86" s="108">
        <v>1.05</v>
      </c>
    </row>
    <row r="87" spans="1:110">
      <c r="A87" s="330">
        <v>62373</v>
      </c>
      <c r="B87" s="331"/>
      <c r="C87" s="88"/>
      <c r="D87" s="340" t="s">
        <v>98</v>
      </c>
      <c r="E87" s="341">
        <v>4</v>
      </c>
      <c r="F87" s="432" t="s">
        <v>2308</v>
      </c>
      <c r="G87" s="433" t="s">
        <v>98</v>
      </c>
      <c r="H87" s="434" t="s">
        <v>247</v>
      </c>
      <c r="I87" s="434" t="s">
        <v>248</v>
      </c>
      <c r="J87" s="94" t="s">
        <v>98</v>
      </c>
      <c r="K87" s="433" t="s">
        <v>96</v>
      </c>
      <c r="L87" s="435">
        <f t="shared" si="124"/>
        <v>0</v>
      </c>
      <c r="M87" s="95">
        <v>1</v>
      </c>
      <c r="N87" s="96">
        <f t="shared" si="83"/>
        <v>1.5094881771396103</v>
      </c>
      <c r="O87" s="432" t="str">
        <f t="shared" si="84"/>
        <v>(2,2,1,1,1,3); Assumption: 10% of water used is evaporated</v>
      </c>
      <c r="P87" s="435">
        <f t="shared" si="125"/>
        <v>0</v>
      </c>
      <c r="Q87" s="95">
        <v>1</v>
      </c>
      <c r="R87" s="96">
        <f t="shared" si="85"/>
        <v>1.5094881771396103</v>
      </c>
      <c r="S87" s="432" t="str">
        <f t="shared" si="86"/>
        <v>(2,2,1,1,1,3); Assumption: 10% of water used is evaporated</v>
      </c>
      <c r="T87" s="435">
        <f t="shared" si="126"/>
        <v>0</v>
      </c>
      <c r="U87" s="95">
        <v>1</v>
      </c>
      <c r="V87" s="96">
        <f t="shared" si="87"/>
        <v>1.5094881771396103</v>
      </c>
      <c r="W87" s="432" t="str">
        <f t="shared" si="88"/>
        <v>(2,2,1,1,1,3); Assumption: 10% of water used is evaporated</v>
      </c>
      <c r="X87" s="435">
        <f t="shared" si="127"/>
        <v>0</v>
      </c>
      <c r="Y87" s="95">
        <v>1</v>
      </c>
      <c r="Z87" s="96">
        <f t="shared" si="89"/>
        <v>1.5094881771396103</v>
      </c>
      <c r="AA87" s="432" t="str">
        <f t="shared" si="90"/>
        <v>(2,2,1,1,1,3); Assumption: 10% of water used is evaporated</v>
      </c>
      <c r="AB87" s="435">
        <f t="shared" si="128"/>
        <v>0</v>
      </c>
      <c r="AC87" s="95">
        <v>1</v>
      </c>
      <c r="AD87" s="96">
        <f t="shared" si="91"/>
        <v>1.5094881771396103</v>
      </c>
      <c r="AE87" s="432" t="str">
        <f t="shared" si="92"/>
        <v>(2,2,1,1,1,3); Assumption: 10% of water used is evaporated</v>
      </c>
      <c r="AF87" s="435">
        <f t="shared" si="129"/>
        <v>0</v>
      </c>
      <c r="AG87" s="95">
        <v>1</v>
      </c>
      <c r="AH87" s="96">
        <f t="shared" si="93"/>
        <v>1.5094881771396103</v>
      </c>
      <c r="AI87" s="432" t="str">
        <f t="shared" si="94"/>
        <v>(2,2,1,1,1,3); Assumption: 10% of water used is evaporated</v>
      </c>
      <c r="AJ87" s="435">
        <f t="shared" si="130"/>
        <v>0</v>
      </c>
      <c r="AK87" s="95">
        <v>1</v>
      </c>
      <c r="AL87" s="96">
        <f t="shared" si="95"/>
        <v>1.5094881771396103</v>
      </c>
      <c r="AM87" s="432" t="str">
        <f t="shared" si="96"/>
        <v>(2,2,1,1,1,3); Assumption: 10% of water used is evaporated</v>
      </c>
      <c r="AN87" s="435">
        <f t="shared" si="131"/>
        <v>0</v>
      </c>
      <c r="AO87" s="95">
        <v>1</v>
      </c>
      <c r="AP87" s="96">
        <f t="shared" si="97"/>
        <v>1.5094881771396103</v>
      </c>
      <c r="AQ87" s="432" t="str">
        <f t="shared" si="98"/>
        <v>(2,2,1,1,1,3); Assumption: 10% of water used is evaporated</v>
      </c>
      <c r="AR87" s="435">
        <f t="shared" si="132"/>
        <v>0</v>
      </c>
      <c r="AS87" s="95">
        <v>1</v>
      </c>
      <c r="AT87" s="96">
        <f t="shared" si="99"/>
        <v>1.5094881771396103</v>
      </c>
      <c r="AU87" s="432" t="str">
        <f t="shared" si="100"/>
        <v>(2,2,1,1,1,3); Assumption: 10% of water used is evaporated</v>
      </c>
      <c r="AV87" s="435">
        <f t="shared" si="133"/>
        <v>0</v>
      </c>
      <c r="AW87" s="95">
        <v>1</v>
      </c>
      <c r="AX87" s="96">
        <f t="shared" si="101"/>
        <v>1.5094881771396103</v>
      </c>
      <c r="AY87" s="432" t="str">
        <f t="shared" si="102"/>
        <v>(2,2,1,1,1,3); Assumption: 10% of water used is evaporated</v>
      </c>
      <c r="AZ87" s="435">
        <f t="shared" si="134"/>
        <v>0</v>
      </c>
      <c r="BA87" s="95">
        <v>1</v>
      </c>
      <c r="BB87" s="96">
        <f t="shared" si="103"/>
        <v>1.5094881771396103</v>
      </c>
      <c r="BC87" s="432" t="str">
        <f t="shared" si="104"/>
        <v>(2,2,1,1,1,3); Assumption: 10% of water used is evaporated</v>
      </c>
      <c r="BD87" s="435">
        <f t="shared" si="135"/>
        <v>0</v>
      </c>
      <c r="BE87" s="95">
        <v>1</v>
      </c>
      <c r="BF87" s="96">
        <f t="shared" si="105"/>
        <v>1.5094881771396103</v>
      </c>
      <c r="BG87" s="432" t="str">
        <f t="shared" si="106"/>
        <v>(2,2,1,1,1,3); Assumption: 10% of water used is evaporated</v>
      </c>
      <c r="BH87" s="435">
        <f t="shared" si="136"/>
        <v>0</v>
      </c>
      <c r="BI87" s="95">
        <v>1</v>
      </c>
      <c r="BJ87" s="96">
        <f t="shared" si="107"/>
        <v>1.5094881771396103</v>
      </c>
      <c r="BK87" s="432" t="str">
        <f t="shared" si="108"/>
        <v>(2,2,1,1,1,3); Assumption: 10% of water used is evaporated</v>
      </c>
      <c r="BL87" s="435">
        <f t="shared" si="137"/>
        <v>0</v>
      </c>
      <c r="BM87" s="95">
        <v>1</v>
      </c>
      <c r="BN87" s="96">
        <f t="shared" si="109"/>
        <v>1.5094881771396103</v>
      </c>
      <c r="BO87" s="432" t="str">
        <f t="shared" si="110"/>
        <v>(2,2,1,1,1,3); Assumption: 10% of water used is evaporated</v>
      </c>
      <c r="BP87" s="435">
        <f t="shared" si="138"/>
        <v>0</v>
      </c>
      <c r="BQ87" s="95">
        <v>1</v>
      </c>
      <c r="BR87" s="96">
        <f t="shared" si="111"/>
        <v>1.5094881771396103</v>
      </c>
      <c r="BS87" s="432" t="str">
        <f t="shared" si="112"/>
        <v>(2,2,1,1,1,3); Assumption: 10% of water used is evaporated</v>
      </c>
      <c r="BT87" s="435">
        <f t="shared" si="139"/>
        <v>0</v>
      </c>
      <c r="BU87" s="95">
        <v>1</v>
      </c>
      <c r="BV87" s="96">
        <f t="shared" si="113"/>
        <v>1.5094881771396103</v>
      </c>
      <c r="BW87" s="432" t="str">
        <f t="shared" si="114"/>
        <v>(2,2,1,1,1,3); Assumption: 10% of water used is evaporated</v>
      </c>
      <c r="BX87" s="435">
        <f t="shared" si="140"/>
        <v>0</v>
      </c>
      <c r="BY87" s="95">
        <v>1</v>
      </c>
      <c r="BZ87" s="96">
        <f t="shared" si="115"/>
        <v>1.5094881771396103</v>
      </c>
      <c r="CA87" s="432" t="str">
        <f t="shared" si="116"/>
        <v>(2,2,1,1,1,3); Assumption: 10% of water used is evaporated</v>
      </c>
      <c r="CB87" s="435">
        <f t="shared" si="141"/>
        <v>0</v>
      </c>
      <c r="CC87" s="95">
        <v>1</v>
      </c>
      <c r="CD87" s="96">
        <f t="shared" si="117"/>
        <v>1.5094881771396103</v>
      </c>
      <c r="CE87" s="432" t="str">
        <f t="shared" si="118"/>
        <v>(2,2,1,1,1,3); Assumption: 10% of water used is evaporated</v>
      </c>
      <c r="CF87" s="435">
        <f t="shared" si="142"/>
        <v>2.1152166816549748E-4</v>
      </c>
      <c r="CG87" s="95">
        <v>1</v>
      </c>
      <c r="CH87" s="96">
        <f t="shared" si="119"/>
        <v>1.5094881771396103</v>
      </c>
      <c r="CI87" s="432" t="str">
        <f t="shared" si="120"/>
        <v>(2,2,1,1,1,3); Assumption: 10% of water used is evaporated</v>
      </c>
      <c r="CJ87" s="505"/>
      <c r="CK87" s="505"/>
      <c r="CL87" s="211"/>
      <c r="CM87" s="510"/>
      <c r="CO87" s="77" t="s">
        <v>2217</v>
      </c>
      <c r="CP87" s="339">
        <v>2</v>
      </c>
      <c r="CQ87" s="339">
        <v>2</v>
      </c>
      <c r="CR87" s="339">
        <v>1</v>
      </c>
      <c r="CS87" s="339">
        <v>1</v>
      </c>
      <c r="CT87" s="339">
        <v>1</v>
      </c>
      <c r="CU87" s="339">
        <v>3</v>
      </c>
      <c r="CV87" s="104">
        <v>31</v>
      </c>
      <c r="CW87" s="104">
        <v>1.5</v>
      </c>
      <c r="CX87" s="107">
        <f t="shared" si="121"/>
        <v>1.0744244531716256</v>
      </c>
      <c r="CY87" s="107">
        <f t="shared" si="122"/>
        <v>1.5094881771396103</v>
      </c>
      <c r="CZ87" s="107" t="str">
        <f t="shared" si="123"/>
        <v>(2,2,1,1,1,3)</v>
      </c>
      <c r="DA87" s="108">
        <v>1.05</v>
      </c>
      <c r="DB87" s="108">
        <v>1.02</v>
      </c>
      <c r="DC87" s="108">
        <v>1</v>
      </c>
      <c r="DD87" s="108">
        <v>1</v>
      </c>
      <c r="DE87" s="108">
        <v>1</v>
      </c>
      <c r="DF87" s="108">
        <v>1.05</v>
      </c>
    </row>
    <row r="88" spans="1:110">
      <c r="A88" s="330"/>
      <c r="B88" s="331"/>
      <c r="C88" s="88"/>
      <c r="D88" s="340"/>
      <c r="E88" s="341"/>
      <c r="F88" s="432"/>
      <c r="G88" s="433"/>
      <c r="H88" s="434"/>
      <c r="I88" s="434"/>
      <c r="J88" s="94"/>
      <c r="K88" s="433"/>
      <c r="L88" s="435"/>
      <c r="M88" s="95"/>
      <c r="N88" s="96"/>
      <c r="O88" s="432"/>
      <c r="P88" s="435"/>
      <c r="Q88" s="95"/>
      <c r="R88" s="96"/>
      <c r="S88" s="432"/>
      <c r="T88" s="435"/>
      <c r="U88" s="95"/>
      <c r="V88" s="96"/>
      <c r="W88" s="432"/>
      <c r="X88" s="435"/>
      <c r="Y88" s="95"/>
      <c r="Z88" s="96"/>
      <c r="AA88" s="432"/>
      <c r="AB88" s="435"/>
      <c r="AC88" s="95"/>
      <c r="AD88" s="96"/>
      <c r="AE88" s="432"/>
      <c r="AF88" s="435"/>
      <c r="AG88" s="95"/>
      <c r="AH88" s="96"/>
      <c r="AI88" s="432"/>
      <c r="AJ88" s="435"/>
      <c r="AK88" s="95"/>
      <c r="AL88" s="96"/>
      <c r="AM88" s="432"/>
      <c r="AN88" s="435"/>
      <c r="AO88" s="95"/>
      <c r="AP88" s="96"/>
      <c r="AQ88" s="432"/>
      <c r="AR88" s="435"/>
      <c r="AS88" s="95"/>
      <c r="AT88" s="96"/>
      <c r="AU88" s="432"/>
      <c r="AV88" s="435"/>
      <c r="AW88" s="95"/>
      <c r="AX88" s="96"/>
      <c r="AY88" s="432"/>
      <c r="AZ88" s="435"/>
      <c r="BA88" s="95"/>
      <c r="BB88" s="96"/>
      <c r="BC88" s="432"/>
      <c r="BD88" s="435"/>
      <c r="BE88" s="95"/>
      <c r="BF88" s="96"/>
      <c r="BG88" s="432"/>
      <c r="BH88" s="435"/>
      <c r="BI88" s="95"/>
      <c r="BJ88" s="96"/>
      <c r="BK88" s="432"/>
      <c r="BL88" s="435"/>
      <c r="BM88" s="95"/>
      <c r="BN88" s="96"/>
      <c r="BO88" s="432"/>
      <c r="BP88" s="435"/>
      <c r="BQ88" s="95"/>
      <c r="BR88" s="96"/>
      <c r="BS88" s="432"/>
      <c r="BT88" s="435"/>
      <c r="BU88" s="95"/>
      <c r="BV88" s="96"/>
      <c r="BW88" s="432"/>
      <c r="BX88" s="435"/>
      <c r="BY88" s="95"/>
      <c r="BZ88" s="96"/>
      <c r="CA88" s="432"/>
      <c r="CB88" s="435"/>
      <c r="CC88" s="95"/>
      <c r="CD88" s="96"/>
      <c r="CE88" s="432"/>
      <c r="CF88" s="435"/>
      <c r="CG88" s="95"/>
      <c r="CH88" s="96"/>
      <c r="CI88" s="432"/>
      <c r="CJ88" s="505"/>
      <c r="CK88" s="505"/>
      <c r="CL88" s="211"/>
      <c r="CM88" s="510"/>
      <c r="CO88" s="77"/>
      <c r="CP88" s="339"/>
      <c r="CQ88" s="339"/>
      <c r="CR88" s="339"/>
      <c r="CS88" s="339"/>
      <c r="CT88" s="339"/>
      <c r="CU88" s="339"/>
      <c r="CV88" s="104"/>
      <c r="CW88" s="104"/>
      <c r="CX88" s="107"/>
      <c r="CY88" s="107"/>
      <c r="CZ88" s="107"/>
      <c r="DA88" s="108"/>
      <c r="DB88" s="108"/>
      <c r="DC88" s="108"/>
      <c r="DD88" s="108"/>
      <c r="DE88" s="108"/>
      <c r="DF88" s="108"/>
    </row>
    <row r="89" spans="1:110" s="109" customFormat="1">
      <c r="A89" s="378"/>
      <c r="B89" s="114"/>
      <c r="C89" s="115"/>
      <c r="D89" s="378"/>
      <c r="E89" s="378"/>
      <c r="F89" s="378"/>
      <c r="G89" s="378"/>
      <c r="H89" s="378"/>
      <c r="I89" s="378"/>
      <c r="J89" s="378"/>
      <c r="K89" s="378"/>
      <c r="L89" s="198">
        <f>SUM(L47:L67)</f>
        <v>1.2387877123603255E-6</v>
      </c>
      <c r="M89" s="214"/>
      <c r="N89" s="214"/>
      <c r="O89" s="214"/>
      <c r="P89" s="198">
        <f>SUM(P47:P67)</f>
        <v>1.6856762668316442E-6</v>
      </c>
      <c r="Q89" s="214"/>
      <c r="R89" s="214"/>
      <c r="S89" s="214"/>
      <c r="T89" s="198">
        <f>SUM(T47:T67)</f>
        <v>9.5062094376930963E-7</v>
      </c>
      <c r="U89" s="214"/>
      <c r="V89" s="214"/>
      <c r="W89" s="214"/>
      <c r="X89" s="198">
        <f>SUM(X47:X67)</f>
        <v>9.5764221981215752E-7</v>
      </c>
      <c r="Y89" s="214"/>
      <c r="Z89" s="214"/>
      <c r="AA89" s="214"/>
      <c r="AB89" s="198">
        <f>SUM(AB47:AB67)</f>
        <v>1.5921426411764261E-6</v>
      </c>
      <c r="AC89" s="214"/>
      <c r="AD89" s="214"/>
      <c r="AE89" s="214"/>
      <c r="AF89" s="198">
        <f>SUM(AF47:AF67)</f>
        <v>7.8245828039087393E-7</v>
      </c>
      <c r="AG89" s="214"/>
      <c r="AH89" s="214"/>
      <c r="AI89" s="214"/>
      <c r="AJ89" s="198">
        <f>SUM(AJ47:AJ67)</f>
        <v>1.1829635677268843E-6</v>
      </c>
      <c r="AK89" s="214"/>
      <c r="AL89" s="214"/>
      <c r="AM89" s="214"/>
      <c r="AN89" s="198">
        <f>SUM(AN47:AN67)</f>
        <v>6.78395208588367E-7</v>
      </c>
      <c r="AO89" s="214"/>
      <c r="AP89" s="214"/>
      <c r="AQ89" s="214"/>
      <c r="AR89" s="198">
        <f>SUM(AR47:AR67)</f>
        <v>8.2299432571308364E-7</v>
      </c>
      <c r="AS89" s="214"/>
      <c r="AT89" s="214"/>
      <c r="AU89" s="214"/>
      <c r="AV89" s="198">
        <f>SUM(AV47:AV67)</f>
        <v>1.1272291949340351E-6</v>
      </c>
      <c r="AW89" s="214"/>
      <c r="AX89" s="214"/>
      <c r="AY89" s="214"/>
      <c r="AZ89" s="198">
        <f>SUM(AZ47:AZ67)</f>
        <v>9.6948616182873161E-7</v>
      </c>
      <c r="BA89" s="214"/>
      <c r="BB89" s="214"/>
      <c r="BC89" s="214"/>
      <c r="BD89" s="198">
        <f>SUM(BD47:BD67)</f>
        <v>1.0473307300642176E-6</v>
      </c>
      <c r="BE89" s="214"/>
      <c r="BF89" s="214"/>
      <c r="BG89" s="214"/>
      <c r="BH89" s="198">
        <f>SUM(BH47:BH67)</f>
        <v>7.3951466457526085E-7</v>
      </c>
      <c r="BI89" s="214"/>
      <c r="BJ89" s="214"/>
      <c r="BK89" s="214"/>
      <c r="BL89" s="198">
        <f>SUM(BL47:BL67)</f>
        <v>1.9097356677257128E-6</v>
      </c>
      <c r="BM89" s="214"/>
      <c r="BN89" s="214"/>
      <c r="BO89" s="214"/>
      <c r="BP89" s="198">
        <f>SUM(BP47:BP67)</f>
        <v>5.271739264102516E-7</v>
      </c>
      <c r="BQ89" s="214"/>
      <c r="BR89" s="214"/>
      <c r="BS89" s="214"/>
      <c r="BT89" s="198">
        <f>SUM(BT47:BT67)</f>
        <v>2.1037890566657732E-7</v>
      </c>
      <c r="BU89" s="214"/>
      <c r="BV89" s="214"/>
      <c r="BW89" s="214"/>
      <c r="BX89" s="198">
        <f>SUM(BX47:BX67)</f>
        <v>1.5978275994049891E-6</v>
      </c>
      <c r="BY89" s="214"/>
      <c r="BZ89" s="214"/>
      <c r="CA89" s="214"/>
      <c r="CB89" s="198">
        <f>SUM(CB47:CB67)</f>
        <v>1.0148426827877794E-6</v>
      </c>
      <c r="CC89" s="214"/>
      <c r="CD89" s="214"/>
      <c r="CE89" s="214"/>
      <c r="CF89" s="198">
        <f>SUM(CF47:CF67)</f>
        <v>8.0684625813409625E-7</v>
      </c>
      <c r="CG89" s="116"/>
      <c r="CH89" s="116"/>
      <c r="CI89" s="116"/>
      <c r="CJ89" s="212"/>
      <c r="CK89" s="212"/>
      <c r="CL89" s="212"/>
      <c r="CM89" s="507"/>
      <c r="CN89" s="212"/>
      <c r="CO89" s="407"/>
      <c r="CP89" s="407"/>
      <c r="CQ89" s="407"/>
      <c r="CR89" s="407"/>
      <c r="CS89" s="407"/>
      <c r="CT89" s="407"/>
      <c r="CU89" s="407"/>
      <c r="CV89" s="407"/>
      <c r="CW89" s="378"/>
      <c r="CX89" s="378"/>
      <c r="CY89" s="378"/>
      <c r="CZ89" s="378"/>
      <c r="DA89" s="378"/>
      <c r="DB89" s="378"/>
      <c r="DC89" s="378"/>
      <c r="DD89" s="378"/>
      <c r="DE89" s="378"/>
      <c r="DF89" s="378"/>
    </row>
    <row r="90" spans="1:110">
      <c r="L90" s="198">
        <f>SUM(L27:L45)/(L46*1000+SUM(L69:L87))</f>
        <v>0.99999999999999989</v>
      </c>
      <c r="M90" s="214"/>
      <c r="N90" s="214"/>
      <c r="O90" s="214"/>
      <c r="P90" s="198">
        <f>SUM(P27:P45)/(P46*1000+SUM(P69:P87))</f>
        <v>1</v>
      </c>
      <c r="Q90" s="214"/>
      <c r="R90" s="214"/>
      <c r="S90" s="214"/>
      <c r="T90" s="198">
        <f>SUM(T27:T45)/(T46*1000+SUM(T69:T87))</f>
        <v>1</v>
      </c>
      <c r="U90" s="214"/>
      <c r="V90" s="214"/>
      <c r="W90" s="214"/>
      <c r="X90" s="198">
        <f>SUM(X27:X45)/(X46*1000+SUM(X69:X87))</f>
        <v>1</v>
      </c>
      <c r="Y90" s="214"/>
      <c r="Z90" s="214"/>
      <c r="AA90" s="214"/>
      <c r="AB90" s="198">
        <f>SUM(AB27:AB45)/(AB46*1000+SUM(AB69:AB87))</f>
        <v>0.99999999999999989</v>
      </c>
      <c r="AC90" s="214"/>
      <c r="AD90" s="214"/>
      <c r="AE90" s="214"/>
      <c r="AF90" s="198">
        <f>SUM(AF27:AF45)/(AF46*1000+SUM(AF69:AF87))</f>
        <v>0.99999999999999989</v>
      </c>
      <c r="AG90" s="214"/>
      <c r="AH90" s="214"/>
      <c r="AI90" s="214"/>
      <c r="AJ90" s="198">
        <f>SUM(AJ27:AJ45)/(AJ46*1000+SUM(AJ69:AJ87))</f>
        <v>1</v>
      </c>
      <c r="AK90" s="214"/>
      <c r="AL90" s="214"/>
      <c r="AM90" s="214"/>
      <c r="AN90" s="198">
        <f>SUM(AN27:AN45)/(AN46*1000+SUM(AN69:AN87))</f>
        <v>0.99999999999999978</v>
      </c>
      <c r="AO90" s="214"/>
      <c r="AP90" s="214"/>
      <c r="AQ90" s="214"/>
      <c r="AR90" s="198">
        <f>SUM(AR27:AR45)/(AR46*1000+SUM(AR69:AR87))</f>
        <v>1</v>
      </c>
      <c r="AS90" s="214"/>
      <c r="AT90" s="214"/>
      <c r="AU90" s="214"/>
      <c r="AV90" s="198">
        <f>SUM(AV27:AV45)/(AV46*1000+SUM(AV69:AV87))</f>
        <v>0.99999999999999989</v>
      </c>
      <c r="AW90" s="214"/>
      <c r="AX90" s="214"/>
      <c r="AY90" s="214"/>
      <c r="AZ90" s="198">
        <f>SUM(AZ27:AZ45)/(AZ46*1000+SUM(AZ69:AZ87))</f>
        <v>1</v>
      </c>
      <c r="BA90" s="214"/>
      <c r="BB90" s="214"/>
      <c r="BC90" s="214"/>
      <c r="BD90" s="198">
        <f>SUM(BD27:BD45)/(BD46*1000+SUM(BD69:BD87))</f>
        <v>1</v>
      </c>
      <c r="BE90" s="214"/>
      <c r="BF90" s="214"/>
      <c r="BG90" s="214"/>
      <c r="BH90" s="198">
        <f>SUM(BH27:BH45)/(BH46*1000+SUM(BH69:BH87))</f>
        <v>1</v>
      </c>
      <c r="BI90" s="214"/>
      <c r="BJ90" s="214"/>
      <c r="BK90" s="214"/>
      <c r="BL90" s="198">
        <f>SUM(BL27:BL45)/(BL46*1000+SUM(BL69:BL87))</f>
        <v>1</v>
      </c>
      <c r="BM90" s="214"/>
      <c r="BN90" s="214"/>
      <c r="BO90" s="214"/>
      <c r="BP90" s="198">
        <f>SUM(BP27:BP45)/(BP46*1000+SUM(BP69:BP87))</f>
        <v>1</v>
      </c>
      <c r="BQ90" s="214"/>
      <c r="BR90" s="214"/>
      <c r="BS90" s="214"/>
      <c r="BT90" s="198">
        <f>SUM(BT27:BT45)/(BT46*1000+SUM(BT69:BT87))</f>
        <v>1</v>
      </c>
      <c r="BU90" s="214"/>
      <c r="BV90" s="214"/>
      <c r="BW90" s="214"/>
      <c r="BX90" s="198">
        <f>SUM(BX27:BX45)/(BX46*1000+SUM(BX69:BX87))</f>
        <v>0.99999999999999989</v>
      </c>
      <c r="BY90" s="214"/>
      <c r="BZ90" s="214"/>
      <c r="CA90" s="214"/>
      <c r="CB90" s="198">
        <f>SUM(CB27:CB45)/(CB46*1000+SUM(CB69:CB87))</f>
        <v>1</v>
      </c>
      <c r="CC90" s="214"/>
      <c r="CD90" s="214"/>
      <c r="CE90" s="214"/>
      <c r="CF90" s="198">
        <f>SUM(CF27:CF45)/(CF46*1000+SUM(CF69:CF87))</f>
        <v>1</v>
      </c>
    </row>
  </sheetData>
  <mergeCells count="1">
    <mergeCell ref="CP1:CU1"/>
  </mergeCells>
  <conditionalFormatting sqref="D26:CI88 CO26:CU88">
    <cfRule type="expression" dxfId="44" priority="9">
      <formula>MOD(ROW(),2)=0</formula>
    </cfRule>
  </conditionalFormatting>
  <conditionalFormatting sqref="CV26:DF88">
    <cfRule type="expression" dxfId="43" priority="7">
      <formula>MOD(ROW(),2)=0</formula>
    </cfRule>
  </conditionalFormatting>
  <dataValidations disablePrompts="1" count="13">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25 S1:S25 W1:W25 AA1:AA25 AE1:AE25 AI1:AI25 AM1:AM25 AQ1:AQ25 AU1:AU25 AY1:AY25 BC1:BC25 BG1:BG25 BK1:BK25 BO1:BO25 BS1:BS25 BW1:BW25 CA1:CA25 CE1:CE25 CI1:CI25" xr:uid="{00000000-0002-0000-5900-000000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5 R2:R25 V2:V25 Z2:Z25 AD2:AD25 AH2:AH25 AL2:AL25 AP2:AP25 AT2:AT25 AX2:AX25 BB2:BB25 BF2:BF25 BJ2:BJ25 BN2:BN25 BR2:BR25 BV2:BV25 BZ2:BZ25 CD2:CD25 CH2:CH25" xr:uid="{00000000-0002-0000-5900-000001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5 Q2:Q25 U2:U25 Y2:Y25 AC2:AC25 AG2:AG25 AK2:AK25 AO2:AO25 AS2:AS25 AW2:AW25 BA2:BA25 BE2:BE25 BI2:BI25 BM2:BM25 BQ2:BQ25 BU2:BU25 BY2:BY25 CC2:CC25 CG2:CG25" xr:uid="{00000000-0002-0000-5900-000002000000}"/>
    <dataValidation allowBlank="1" showInputMessage="1" showErrorMessage="1" prompt="always 1" sqref="L7:L25 P7:P25 T7:T25 X7:X25 AB7:AB25 AF7:AF25 AJ7:AJ25 AN7:AN25 AR7:AR25 AV7:AV25 AZ7:AZ25 BD7:BD25 BH7:BH25 BL7:BL25 BP7:BP25 BT7:BT25 BX7:BX25 CB7:CB25 CF7:CF25" xr:uid="{00000000-0002-0000-5900-000003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CP3" xr:uid="{00000000-0002-0000-59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CU3" xr:uid="{00000000-0002-0000-5900-000006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CT3" xr:uid="{00000000-0002-0000-5900-000007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CS3" xr:uid="{00000000-0002-0000-5900-000008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CR3" xr:uid="{00000000-0002-0000-5900-000009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CQ3" xr:uid="{00000000-0002-0000-5900-00000A000000}"/>
    <dataValidation allowBlank="1" showInputMessage="1" showErrorMessage="1" prompt="Do not change." sqref="CV3:DF4 CX7:DF8" xr:uid="{00000000-0002-0000-5900-00000B000000}"/>
    <dataValidation allowBlank="1" showInputMessage="1" showErrorMessage="1" promptTitle="Remarks" prompt="A general comment (data source, calculation procedure, ...) can be made about each individual exchange. The remarks are added to the GeneralComment-field." sqref="CO3" xr:uid="{00000000-0002-0000-5900-00000C000000}"/>
    <dataValidation allowBlank="1" showInputMessage="1" showErrorMessage="1" promptTitle="Do not change" prompt="This field is automatically updated from the names-list" sqref="CV26:CV88" xr:uid="{00000000-0002-0000-5900-000004000000}"/>
  </dataValidations>
  <pageMargins left="0.78740157499999996" right="0.78740157499999996" top="0.984251969" bottom="0.984251969" header="0.4921259845" footer="0.4921259845"/>
  <pageSetup paperSize="9" scale="24"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Tabelle97">
    <tabColor rgb="FF9CD9F0"/>
    <pageSetUpPr fitToPage="1"/>
  </sheetPr>
  <dimension ref="A1:BA45"/>
  <sheetViews>
    <sheetView topLeftCell="A17" workbookViewId="0">
      <selection activeCell="T27" sqref="T27"/>
    </sheetView>
  </sheetViews>
  <sheetFormatPr baseColWidth="10" defaultColWidth="11.42578125" defaultRowHeight="12"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0.7109375" style="212" customWidth="1" collapsed="1"/>
    <col min="29" max="30" width="8.7109375" style="212" customWidth="1"/>
    <col min="31" max="32" width="6.7109375" style="212" customWidth="1"/>
    <col min="33" max="33" width="30.7109375" style="407" customWidth="1"/>
    <col min="34" max="34" width="4.140625" style="407" customWidth="1"/>
    <col min="35" max="35" width="4.42578125" style="407" customWidth="1"/>
    <col min="36" max="36" width="4.28515625" style="407" customWidth="1"/>
    <col min="37" max="37" width="4" style="407" customWidth="1"/>
    <col min="38" max="38" width="3.7109375" style="407" customWidth="1"/>
    <col min="39" max="39" width="4.28515625" style="407" customWidth="1"/>
    <col min="40" max="40" width="3.42578125" style="407" hidden="1" customWidth="1" outlineLevel="1"/>
    <col min="41" max="41" width="4.7109375" style="378" hidden="1" customWidth="1" outlineLevel="1"/>
    <col min="42" max="43" width="5.42578125" style="378" hidden="1" customWidth="1" outlineLevel="1"/>
    <col min="44" max="44" width="14.85546875" style="378" hidden="1" customWidth="1" outlineLevel="1"/>
    <col min="45" max="50" width="4.28515625" style="378" hidden="1" customWidth="1" outlineLevel="1"/>
    <col min="51" max="51" width="11.42578125" style="399" customWidth="1" collapsed="1"/>
    <col min="52" max="53" width="11.42578125" style="207" customWidth="1"/>
    <col min="54" max="55" width="11.42578125" style="399" customWidth="1"/>
    <col min="56" max="16384" width="11.42578125" style="399"/>
  </cols>
  <sheetData>
    <row r="1" spans="1:53">
      <c r="A1" s="77"/>
      <c r="B1" s="78"/>
      <c r="C1" s="79"/>
      <c r="D1" s="77"/>
      <c r="E1" s="77"/>
      <c r="F1" s="80" t="s">
        <v>65</v>
      </c>
      <c r="G1" s="77"/>
      <c r="H1" s="77"/>
      <c r="I1" s="77"/>
      <c r="J1" s="77"/>
      <c r="K1" s="77"/>
      <c r="L1" s="330">
        <f>A7</f>
        <v>259501</v>
      </c>
      <c r="M1" s="81"/>
      <c r="N1" s="81"/>
      <c r="O1" s="81"/>
      <c r="P1" s="330">
        <f>A8</f>
        <v>259223</v>
      </c>
      <c r="Q1" s="81"/>
      <c r="R1" s="81"/>
      <c r="S1" s="81"/>
      <c r="T1" s="330">
        <f>A9</f>
        <v>259573</v>
      </c>
      <c r="U1" s="81"/>
      <c r="V1" s="81"/>
      <c r="W1" s="81"/>
      <c r="X1" s="330">
        <f>A10</f>
        <v>259129</v>
      </c>
      <c r="Y1" s="81"/>
      <c r="Z1" s="81"/>
      <c r="AA1" s="81"/>
      <c r="AG1" s="378"/>
      <c r="AH1" s="1586"/>
      <c r="AI1" s="1581"/>
      <c r="AJ1" s="1581"/>
      <c r="AK1" s="1581"/>
      <c r="AL1" s="1581"/>
      <c r="AM1" s="1581"/>
      <c r="AN1" s="406"/>
      <c r="AO1" s="406"/>
      <c r="AP1" s="406"/>
      <c r="AQ1" s="406"/>
      <c r="AR1" s="406"/>
    </row>
    <row r="2" spans="1:53">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253"/>
      <c r="AC2" s="253"/>
      <c r="AD2" s="253"/>
      <c r="AE2" s="253"/>
      <c r="AF2" s="253"/>
      <c r="AG2" s="406"/>
      <c r="AH2" s="406"/>
      <c r="AI2" s="406"/>
      <c r="AJ2" s="406"/>
      <c r="AK2" s="406"/>
      <c r="AL2" s="406"/>
      <c r="AM2" s="406"/>
      <c r="AN2" s="406"/>
    </row>
    <row r="3" spans="1:53" ht="105.75" customHeight="1">
      <c r="A3" s="83" t="s">
        <v>68</v>
      </c>
      <c r="B3" s="84"/>
      <c r="C3" s="79">
        <v>401</v>
      </c>
      <c r="D3" s="85" t="s">
        <v>69</v>
      </c>
      <c r="E3" s="85" t="s">
        <v>70</v>
      </c>
      <c r="F3" s="86" t="s">
        <v>71</v>
      </c>
      <c r="G3" s="85" t="s">
        <v>72</v>
      </c>
      <c r="H3" s="85" t="s">
        <v>73</v>
      </c>
      <c r="I3" s="85" t="s">
        <v>74</v>
      </c>
      <c r="J3" s="85" t="s">
        <v>75</v>
      </c>
      <c r="K3" s="85" t="s">
        <v>76</v>
      </c>
      <c r="L3" s="87" t="s">
        <v>2309</v>
      </c>
      <c r="M3" s="422" t="s">
        <v>78</v>
      </c>
      <c r="N3" s="422" t="s">
        <v>79</v>
      </c>
      <c r="O3" s="423" t="s">
        <v>80</v>
      </c>
      <c r="P3" s="87" t="s">
        <v>2310</v>
      </c>
      <c r="Q3" s="422" t="s">
        <v>78</v>
      </c>
      <c r="R3" s="422" t="s">
        <v>79</v>
      </c>
      <c r="S3" s="423" t="s">
        <v>80</v>
      </c>
      <c r="T3" s="87" t="s">
        <v>2311</v>
      </c>
      <c r="U3" s="422" t="s">
        <v>78</v>
      </c>
      <c r="V3" s="422" t="s">
        <v>79</v>
      </c>
      <c r="W3" s="423" t="s">
        <v>80</v>
      </c>
      <c r="X3" s="87" t="s">
        <v>2312</v>
      </c>
      <c r="Y3" s="422" t="s">
        <v>78</v>
      </c>
      <c r="Z3" s="422" t="s">
        <v>79</v>
      </c>
      <c r="AA3" s="423" t="s">
        <v>80</v>
      </c>
      <c r="AB3" s="210" t="s">
        <v>2199</v>
      </c>
      <c r="AC3" s="210" t="s">
        <v>2201</v>
      </c>
      <c r="AD3" s="210" t="s">
        <v>2202</v>
      </c>
      <c r="AE3" s="210" t="s">
        <v>2033</v>
      </c>
      <c r="AF3" s="210" t="s">
        <v>2203</v>
      </c>
      <c r="AG3" s="97" t="s">
        <v>363</v>
      </c>
      <c r="AH3" s="98" t="s">
        <v>364</v>
      </c>
      <c r="AI3" s="98" t="s">
        <v>365</v>
      </c>
      <c r="AJ3" s="98" t="s">
        <v>366</v>
      </c>
      <c r="AK3" s="98" t="s">
        <v>367</v>
      </c>
      <c r="AL3" s="98" t="s">
        <v>368</v>
      </c>
      <c r="AM3" s="98" t="s">
        <v>369</v>
      </c>
      <c r="AN3" s="99" t="s">
        <v>88</v>
      </c>
      <c r="AO3" s="99" t="s">
        <v>370</v>
      </c>
      <c r="AP3" s="99" t="s">
        <v>90</v>
      </c>
      <c r="AQ3" s="99" t="s">
        <v>91</v>
      </c>
      <c r="AR3" s="99" t="s">
        <v>371</v>
      </c>
      <c r="AS3" s="100" t="s">
        <v>364</v>
      </c>
      <c r="AT3" s="100" t="s">
        <v>365</v>
      </c>
      <c r="AU3" s="100" t="s">
        <v>366</v>
      </c>
      <c r="AV3" s="100" t="s">
        <v>367</v>
      </c>
      <c r="AW3" s="100" t="s">
        <v>368</v>
      </c>
      <c r="AX3" s="100" t="s">
        <v>369</v>
      </c>
      <c r="AZ3" s="207" t="s">
        <v>2313</v>
      </c>
    </row>
    <row r="4" spans="1:53" ht="12.75" customHeight="1">
      <c r="A4" s="77"/>
      <c r="B4" s="84"/>
      <c r="C4" s="79">
        <v>662</v>
      </c>
      <c r="D4" s="86"/>
      <c r="E4" s="86"/>
      <c r="F4" s="86" t="s">
        <v>72</v>
      </c>
      <c r="G4" s="86"/>
      <c r="H4" s="86"/>
      <c r="I4" s="86"/>
      <c r="J4" s="86"/>
      <c r="K4" s="86"/>
      <c r="L4" s="87" t="s">
        <v>215</v>
      </c>
      <c r="M4" s="425"/>
      <c r="N4" s="425"/>
      <c r="O4" s="426"/>
      <c r="P4" s="87" t="s">
        <v>2107</v>
      </c>
      <c r="Q4" s="425"/>
      <c r="R4" s="425"/>
      <c r="S4" s="426"/>
      <c r="T4" s="87" t="s">
        <v>2134</v>
      </c>
      <c r="U4" s="425"/>
      <c r="V4" s="425"/>
      <c r="W4" s="426"/>
      <c r="X4" s="87" t="s">
        <v>2110</v>
      </c>
      <c r="Y4" s="425"/>
      <c r="Z4" s="425"/>
      <c r="AA4" s="426"/>
      <c r="AB4" s="210" t="s">
        <v>103</v>
      </c>
      <c r="AC4" s="210"/>
      <c r="AD4" s="210"/>
      <c r="AE4" s="210"/>
      <c r="AF4" s="210"/>
      <c r="AG4" s="101"/>
      <c r="AH4" s="102" t="s">
        <v>94</v>
      </c>
      <c r="AI4" s="97"/>
      <c r="AJ4" s="97"/>
      <c r="AK4" s="97"/>
      <c r="AL4" s="97"/>
      <c r="AM4" s="97"/>
      <c r="AN4" s="103"/>
      <c r="AO4" s="103"/>
      <c r="AP4" s="103" t="s">
        <v>95</v>
      </c>
      <c r="AQ4" s="103" t="s">
        <v>95</v>
      </c>
      <c r="AR4" s="104"/>
      <c r="AS4" s="105"/>
      <c r="AT4" s="105"/>
      <c r="AU4" s="105"/>
      <c r="AV4" s="105"/>
      <c r="AW4" s="105"/>
      <c r="AX4" s="105"/>
      <c r="AZ4" s="207" t="s">
        <v>2204</v>
      </c>
      <c r="BA4" s="207" t="s">
        <v>2205</v>
      </c>
    </row>
    <row r="5" spans="1:53">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210"/>
      <c r="AC5" s="210"/>
      <c r="AD5" s="210"/>
      <c r="AE5" s="210"/>
      <c r="AF5" s="210"/>
      <c r="AG5" s="101"/>
      <c r="AH5" s="97"/>
      <c r="AI5" s="97"/>
      <c r="AJ5" s="97"/>
      <c r="AK5" s="97"/>
      <c r="AL5" s="97"/>
      <c r="AM5" s="97"/>
      <c r="AN5" s="104"/>
      <c r="AO5" s="104"/>
      <c r="AP5" s="104"/>
      <c r="AQ5" s="104"/>
      <c r="AR5" s="104"/>
      <c r="AS5" s="105"/>
      <c r="AT5" s="105"/>
      <c r="AU5" s="105"/>
      <c r="AV5" s="105"/>
      <c r="AW5" s="105"/>
      <c r="AX5" s="105"/>
    </row>
    <row r="6" spans="1:53">
      <c r="A6" s="77"/>
      <c r="B6" s="84"/>
      <c r="C6" s="79">
        <v>403</v>
      </c>
      <c r="D6" s="86"/>
      <c r="E6" s="86"/>
      <c r="F6" s="86" t="s">
        <v>76</v>
      </c>
      <c r="G6" s="86"/>
      <c r="H6" s="86"/>
      <c r="I6" s="86"/>
      <c r="J6" s="86"/>
      <c r="K6" s="86"/>
      <c r="L6" s="87" t="s">
        <v>109</v>
      </c>
      <c r="M6" s="425"/>
      <c r="N6" s="425"/>
      <c r="O6" s="426"/>
      <c r="P6" s="87" t="s">
        <v>109</v>
      </c>
      <c r="Q6" s="425"/>
      <c r="R6" s="425"/>
      <c r="S6" s="426"/>
      <c r="T6" s="87" t="s">
        <v>109</v>
      </c>
      <c r="U6" s="425"/>
      <c r="V6" s="425"/>
      <c r="W6" s="426"/>
      <c r="X6" s="87" t="s">
        <v>109</v>
      </c>
      <c r="Y6" s="425"/>
      <c r="Z6" s="425"/>
      <c r="AA6" s="426"/>
      <c r="AB6" s="210" t="s">
        <v>98</v>
      </c>
      <c r="AC6" s="210" t="s">
        <v>98</v>
      </c>
      <c r="AD6" s="210" t="s">
        <v>2207</v>
      </c>
      <c r="AE6" s="210" t="s">
        <v>1318</v>
      </c>
      <c r="AF6" s="210" t="s">
        <v>679</v>
      </c>
      <c r="AG6" s="101"/>
      <c r="AH6" s="106"/>
      <c r="AI6" s="106"/>
      <c r="AJ6" s="106"/>
      <c r="AK6" s="106"/>
      <c r="AL6" s="106"/>
      <c r="AM6" s="106"/>
      <c r="AN6" s="104"/>
      <c r="AO6" s="104"/>
      <c r="AP6" s="428"/>
      <c r="AQ6" s="428"/>
      <c r="AR6" s="107"/>
      <c r="AS6" s="105"/>
      <c r="AT6" s="105"/>
      <c r="AU6" s="105"/>
      <c r="AV6" s="105"/>
      <c r="AW6" s="105"/>
      <c r="AX6" s="105"/>
      <c r="AZ6" s="207" t="s">
        <v>1318</v>
      </c>
      <c r="BA6" s="207" t="s">
        <v>2206</v>
      </c>
    </row>
    <row r="7" spans="1:53" ht="24" customHeight="1">
      <c r="A7" s="330">
        <v>259501</v>
      </c>
      <c r="B7" s="331"/>
      <c r="C7" s="88"/>
      <c r="D7" s="294" t="s">
        <v>98</v>
      </c>
      <c r="E7" s="295">
        <v>0</v>
      </c>
      <c r="F7" s="429" t="s">
        <v>2309</v>
      </c>
      <c r="G7" s="430" t="s">
        <v>215</v>
      </c>
      <c r="H7" s="431" t="s">
        <v>98</v>
      </c>
      <c r="I7" s="431" t="s">
        <v>98</v>
      </c>
      <c r="J7" s="89">
        <v>0</v>
      </c>
      <c r="K7" s="430" t="s">
        <v>109</v>
      </c>
      <c r="L7" s="90">
        <f>IF($A7=L$1,1,0)</f>
        <v>1</v>
      </c>
      <c r="M7" s="91"/>
      <c r="N7" s="92"/>
      <c r="O7" s="93"/>
      <c r="P7" s="90">
        <f>IF($A7=P$1,1,0)</f>
        <v>0</v>
      </c>
      <c r="Q7" s="91"/>
      <c r="R7" s="92"/>
      <c r="S7" s="93"/>
      <c r="T7" s="90">
        <f>IF($A7=T$1,1,0)</f>
        <v>0</v>
      </c>
      <c r="U7" s="91"/>
      <c r="V7" s="92"/>
      <c r="W7" s="93"/>
      <c r="X7" s="90">
        <f>IF($A7=X$1,1,0)</f>
        <v>0</v>
      </c>
      <c r="Y7" s="91"/>
      <c r="Z7" s="92"/>
      <c r="AA7" s="93"/>
      <c r="AB7" s="505"/>
      <c r="AC7" s="505"/>
      <c r="AD7" s="211"/>
      <c r="AE7" s="211"/>
      <c r="AF7" s="505"/>
      <c r="AG7" s="101"/>
      <c r="AH7" s="97"/>
      <c r="AI7" s="97"/>
      <c r="AJ7" s="97"/>
      <c r="AK7" s="97"/>
      <c r="AL7" s="97"/>
      <c r="AM7" s="97"/>
      <c r="AN7" s="104"/>
      <c r="AO7" s="104"/>
      <c r="AP7" s="104"/>
      <c r="AQ7" s="104"/>
      <c r="AR7" s="104"/>
      <c r="AS7" s="104"/>
      <c r="AT7" s="104"/>
      <c r="AU7" s="104"/>
      <c r="AV7" s="104"/>
      <c r="AW7" s="104"/>
      <c r="AX7" s="104"/>
      <c r="AZ7" s="208">
        <f>SUM(AZ17:AZ37)</f>
        <v>1</v>
      </c>
      <c r="BA7" s="209">
        <f>SUMPRODUCT(AZ17:AZ37,BA17:BA37)</f>
        <v>1511.9999999999993</v>
      </c>
    </row>
    <row r="8" spans="1:53" ht="24" customHeight="1">
      <c r="A8" s="330">
        <v>259223</v>
      </c>
      <c r="B8" s="331"/>
      <c r="C8" s="88"/>
      <c r="D8" s="294" t="s">
        <v>98</v>
      </c>
      <c r="E8" s="295">
        <v>0</v>
      </c>
      <c r="F8" s="429" t="s">
        <v>2310</v>
      </c>
      <c r="G8" s="430" t="s">
        <v>2107</v>
      </c>
      <c r="H8" s="431" t="s">
        <v>98</v>
      </c>
      <c r="I8" s="431" t="s">
        <v>98</v>
      </c>
      <c r="J8" s="89">
        <v>0</v>
      </c>
      <c r="K8" s="430" t="s">
        <v>109</v>
      </c>
      <c r="L8" s="90">
        <f>IF($A8=L$1,1,0)</f>
        <v>0</v>
      </c>
      <c r="M8" s="91"/>
      <c r="N8" s="92"/>
      <c r="O8" s="93"/>
      <c r="P8" s="90">
        <f>IF($A8=P$1,1,0)</f>
        <v>1</v>
      </c>
      <c r="Q8" s="91"/>
      <c r="R8" s="92"/>
      <c r="S8" s="93"/>
      <c r="T8" s="90">
        <f>IF($A8=T$1,1,0)</f>
        <v>0</v>
      </c>
      <c r="U8" s="91"/>
      <c r="V8" s="92"/>
      <c r="W8" s="93"/>
      <c r="X8" s="90">
        <f>IF($A8=X$1,1,0)</f>
        <v>0</v>
      </c>
      <c r="Y8" s="91"/>
      <c r="Z8" s="92"/>
      <c r="AA8" s="93"/>
      <c r="AB8" s="505"/>
      <c r="AC8" s="505"/>
      <c r="AD8" s="211"/>
      <c r="AE8" s="211"/>
      <c r="AF8" s="505"/>
      <c r="AG8" s="101"/>
      <c r="AH8" s="97"/>
      <c r="AI8" s="97"/>
      <c r="AJ8" s="97"/>
      <c r="AK8" s="97"/>
      <c r="AL8" s="97"/>
      <c r="AM8" s="97"/>
      <c r="AN8" s="104"/>
      <c r="AO8" s="104"/>
      <c r="AP8" s="104"/>
      <c r="AQ8" s="104"/>
      <c r="AR8" s="104"/>
      <c r="AS8" s="104"/>
      <c r="AT8" s="104"/>
      <c r="AU8" s="104"/>
      <c r="AV8" s="104"/>
      <c r="AW8" s="104"/>
      <c r="AX8" s="104"/>
      <c r="AZ8" s="208">
        <f>SUMIF($AB$17:$AB$37,"yield centralized",$AZ$17:$AZ$37)</f>
        <v>0.70256337327123397</v>
      </c>
      <c r="BA8" s="207" t="s">
        <v>2169</v>
      </c>
    </row>
    <row r="9" spans="1:53" ht="24" customHeight="1">
      <c r="A9" s="330">
        <v>259573</v>
      </c>
      <c r="B9" s="331"/>
      <c r="C9" s="88"/>
      <c r="D9" s="294" t="s">
        <v>98</v>
      </c>
      <c r="E9" s="295">
        <v>0</v>
      </c>
      <c r="F9" s="429" t="s">
        <v>2311</v>
      </c>
      <c r="G9" s="430" t="s">
        <v>2134</v>
      </c>
      <c r="H9" s="431" t="s">
        <v>98</v>
      </c>
      <c r="I9" s="431" t="s">
        <v>98</v>
      </c>
      <c r="J9" s="89">
        <v>0</v>
      </c>
      <c r="K9" s="430" t="s">
        <v>109</v>
      </c>
      <c r="L9" s="90">
        <f>IF($A9=L$1,1,0)</f>
        <v>0</v>
      </c>
      <c r="M9" s="91"/>
      <c r="N9" s="92"/>
      <c r="O9" s="93"/>
      <c r="P9" s="90">
        <f>IF($A9=P$1,1,0)</f>
        <v>0</v>
      </c>
      <c r="Q9" s="91"/>
      <c r="R9" s="92"/>
      <c r="S9" s="93"/>
      <c r="T9" s="90">
        <f>IF($A9=T$1,1,0)</f>
        <v>1</v>
      </c>
      <c r="U9" s="91"/>
      <c r="V9" s="92"/>
      <c r="W9" s="93"/>
      <c r="X9" s="90">
        <f>IF($A9=X$1,1,0)</f>
        <v>0</v>
      </c>
      <c r="Y9" s="91"/>
      <c r="Z9" s="92"/>
      <c r="AA9" s="93"/>
      <c r="AB9" s="505"/>
      <c r="AC9" s="505"/>
      <c r="AD9" s="211"/>
      <c r="AE9" s="211"/>
      <c r="AF9" s="505"/>
      <c r="AG9" s="101"/>
      <c r="AH9" s="97"/>
      <c r="AI9" s="97"/>
      <c r="AJ9" s="97"/>
      <c r="AK9" s="97"/>
      <c r="AL9" s="97"/>
      <c r="AM9" s="97"/>
      <c r="AN9" s="104"/>
      <c r="AO9" s="104"/>
      <c r="AP9" s="104"/>
      <c r="AQ9" s="104"/>
      <c r="AR9" s="104"/>
      <c r="AS9" s="104"/>
      <c r="AT9" s="104"/>
      <c r="AU9" s="104"/>
      <c r="AV9" s="104"/>
      <c r="AW9" s="104"/>
      <c r="AX9" s="104"/>
      <c r="AZ9" s="208">
        <f>SUMIF($AC$17:$AC$37,$BA9,$AZ$17:$AZ$37)</f>
        <v>0.6499999999999998</v>
      </c>
      <c r="BA9" s="207" t="s">
        <v>2214</v>
      </c>
    </row>
    <row r="10" spans="1:53" ht="24" customHeight="1">
      <c r="A10" s="330">
        <v>259129</v>
      </c>
      <c r="B10" s="331"/>
      <c r="C10" s="88"/>
      <c r="D10" s="294" t="s">
        <v>98</v>
      </c>
      <c r="E10" s="295">
        <v>0</v>
      </c>
      <c r="F10" s="429" t="s">
        <v>2312</v>
      </c>
      <c r="G10" s="430" t="s">
        <v>2110</v>
      </c>
      <c r="H10" s="431" t="s">
        <v>98</v>
      </c>
      <c r="I10" s="431" t="s">
        <v>98</v>
      </c>
      <c r="J10" s="89">
        <v>0</v>
      </c>
      <c r="K10" s="430" t="s">
        <v>109</v>
      </c>
      <c r="L10" s="90">
        <f>IF($A10=L$1,1,0)</f>
        <v>0</v>
      </c>
      <c r="M10" s="91"/>
      <c r="N10" s="92"/>
      <c r="O10" s="93"/>
      <c r="P10" s="90">
        <f>IF($A10=P$1,1,0)</f>
        <v>0</v>
      </c>
      <c r="Q10" s="91"/>
      <c r="R10" s="92"/>
      <c r="S10" s="93"/>
      <c r="T10" s="90">
        <f>IF($A10=T$1,1,0)</f>
        <v>0</v>
      </c>
      <c r="U10" s="91"/>
      <c r="V10" s="92"/>
      <c r="W10" s="93"/>
      <c r="X10" s="90">
        <f>IF($A10=X$1,1,0)</f>
        <v>1</v>
      </c>
      <c r="Y10" s="91"/>
      <c r="Z10" s="92"/>
      <c r="AA10" s="93"/>
      <c r="AB10" s="505"/>
      <c r="AC10" s="505"/>
      <c r="AD10" s="211"/>
      <c r="AE10" s="211"/>
      <c r="AF10" s="505"/>
      <c r="AG10" s="101"/>
      <c r="AH10" s="97"/>
      <c r="AI10" s="97"/>
      <c r="AJ10" s="97"/>
      <c r="AK10" s="97"/>
      <c r="AL10" s="97"/>
      <c r="AM10" s="97"/>
      <c r="AN10" s="104"/>
      <c r="AO10" s="104"/>
      <c r="AP10" s="104"/>
      <c r="AQ10" s="104"/>
      <c r="AR10" s="104"/>
      <c r="AS10" s="104"/>
      <c r="AT10" s="104"/>
      <c r="AU10" s="104"/>
      <c r="AV10" s="104"/>
      <c r="AW10" s="104"/>
      <c r="AX10" s="104"/>
      <c r="AZ10" s="208">
        <f>SUMIF($AC$17:$AC$37,$BA10,$AZ$17:$AZ$37)</f>
        <v>0.20000000000000023</v>
      </c>
      <c r="BA10" s="207" t="s">
        <v>2087</v>
      </c>
    </row>
    <row r="11" spans="1:53">
      <c r="A11" s="330">
        <v>82305</v>
      </c>
      <c r="B11" s="331" t="s">
        <v>2208</v>
      </c>
      <c r="C11" s="88"/>
      <c r="D11" s="340">
        <v>4</v>
      </c>
      <c r="E11" s="341" t="s">
        <v>98</v>
      </c>
      <c r="F11" s="432" t="s">
        <v>2209</v>
      </c>
      <c r="G11" s="433" t="s">
        <v>98</v>
      </c>
      <c r="H11" s="434" t="s">
        <v>218</v>
      </c>
      <c r="I11" s="434" t="s">
        <v>2210</v>
      </c>
      <c r="J11" s="94" t="s">
        <v>98</v>
      </c>
      <c r="K11" s="433" t="s">
        <v>104</v>
      </c>
      <c r="L11" s="435">
        <v>3.8502673796791442</v>
      </c>
      <c r="M11" s="95">
        <v>1</v>
      </c>
      <c r="N11" s="96">
        <v>1.0906744032152329</v>
      </c>
      <c r="O11" s="432" t="s">
        <v>2269</v>
      </c>
      <c r="P11" s="435">
        <v>3.8502673796791442</v>
      </c>
      <c r="Q11" s="95">
        <v>1</v>
      </c>
      <c r="R11" s="96">
        <v>1.0906744032152329</v>
      </c>
      <c r="S11" s="432" t="s">
        <v>2269</v>
      </c>
      <c r="T11" s="435">
        <v>3.8502673796791442</v>
      </c>
      <c r="U11" s="95">
        <v>1</v>
      </c>
      <c r="V11" s="96">
        <v>1.0906744032152329</v>
      </c>
      <c r="W11" s="432" t="s">
        <v>2269</v>
      </c>
      <c r="X11" s="435">
        <v>3.8502673796791442</v>
      </c>
      <c r="Y11" s="95">
        <v>1</v>
      </c>
      <c r="Z11" s="96">
        <v>1.0906744032152329</v>
      </c>
      <c r="AA11" s="432" t="s">
        <v>2269</v>
      </c>
      <c r="AB11" s="505"/>
      <c r="AC11" s="505"/>
      <c r="AD11" s="211"/>
      <c r="AE11" s="211"/>
      <c r="AF11" s="505"/>
      <c r="AG11" s="77" t="s">
        <v>2211</v>
      </c>
      <c r="AH11" s="339">
        <v>2</v>
      </c>
      <c r="AI11" s="339">
        <v>2</v>
      </c>
      <c r="AJ11" s="339">
        <v>1</v>
      </c>
      <c r="AK11" s="339">
        <v>1</v>
      </c>
      <c r="AL11" s="339">
        <v>1</v>
      </c>
      <c r="AM11" s="339">
        <v>3</v>
      </c>
      <c r="AN11" s="104">
        <v>11</v>
      </c>
      <c r="AO11" s="104">
        <v>1.05</v>
      </c>
      <c r="AP11" s="107">
        <v>1.0744244531716256</v>
      </c>
      <c r="AQ11" s="107">
        <v>1.0906744032152329</v>
      </c>
      <c r="AR11" s="107" t="s">
        <v>2270</v>
      </c>
      <c r="AS11" s="108">
        <v>1.05</v>
      </c>
      <c r="AT11" s="108">
        <v>1.02</v>
      </c>
      <c r="AU11" s="108">
        <v>1</v>
      </c>
      <c r="AV11" s="108">
        <v>1</v>
      </c>
      <c r="AW11" s="108">
        <v>1</v>
      </c>
      <c r="AX11" s="108">
        <v>1.05</v>
      </c>
    </row>
    <row r="12" spans="1:53" ht="24" customHeight="1">
      <c r="A12" s="330">
        <v>265931</v>
      </c>
      <c r="B12" s="331" t="s">
        <v>221</v>
      </c>
      <c r="C12" s="88"/>
      <c r="D12" s="340">
        <v>5</v>
      </c>
      <c r="E12" s="341" t="s">
        <v>98</v>
      </c>
      <c r="F12" s="432" t="s">
        <v>489</v>
      </c>
      <c r="G12" s="433" t="s">
        <v>215</v>
      </c>
      <c r="H12" s="434" t="s">
        <v>98</v>
      </c>
      <c r="I12" s="434" t="s">
        <v>98</v>
      </c>
      <c r="J12" s="94">
        <v>0</v>
      </c>
      <c r="K12" s="433" t="s">
        <v>96</v>
      </c>
      <c r="L12" s="435">
        <f>IF($G12=L$4,20*SUMPRODUCT(L$17:L$37,$AF$17:$AF$37),0)</f>
        <v>2.1171904722019222E-3</v>
      </c>
      <c r="M12" s="95">
        <v>1</v>
      </c>
      <c r="N12" s="96">
        <f t="shared" ref="N12:N42" si="0">$AQ12</f>
        <v>1.0906744032152329</v>
      </c>
      <c r="O12" s="432" t="str">
        <f t="shared" ref="O12:O42" si="1">$AR12&amp;"; "&amp;$AG12</f>
        <v>(2,2,1,1,1,3); Estimation 20l/m2 panel</v>
      </c>
      <c r="P12" s="435">
        <f>IF($G12=P$4,20*SUMPRODUCT(P$17:P$37,$AF$17:$AF$37),0)</f>
        <v>0</v>
      </c>
      <c r="Q12" s="95">
        <v>1</v>
      </c>
      <c r="R12" s="96">
        <f t="shared" ref="R12:R42" si="2">$AQ12</f>
        <v>1.0906744032152329</v>
      </c>
      <c r="S12" s="432" t="str">
        <f t="shared" ref="S12:S42" si="3">$AR12&amp;"; "&amp;$AG12</f>
        <v>(2,2,1,1,1,3); Estimation 20l/m2 panel</v>
      </c>
      <c r="T12" s="435">
        <f>IF($G12=T$4,20*SUMPRODUCT(T$17:T$37,$AF$17:$AF$37),0)</f>
        <v>0</v>
      </c>
      <c r="U12" s="95">
        <v>1</v>
      </c>
      <c r="V12" s="96">
        <f t="shared" ref="V12:V42" si="4">$AQ12</f>
        <v>1.0906744032152329</v>
      </c>
      <c r="W12" s="432" t="str">
        <f t="shared" ref="W12:W42" si="5">$AR12&amp;"; "&amp;$AG12</f>
        <v>(2,2,1,1,1,3); Estimation 20l/m2 panel</v>
      </c>
      <c r="X12" s="435">
        <f>IF($G12=X$4,20*SUMPRODUCT(X$17:X$37,$AF$17:$AF$37),0)</f>
        <v>0</v>
      </c>
      <c r="Y12" s="95">
        <v>1</v>
      </c>
      <c r="Z12" s="96">
        <f t="shared" ref="Z12:Z42" si="6">$AQ12</f>
        <v>1.0906744032152329</v>
      </c>
      <c r="AA12" s="432" t="str">
        <f t="shared" ref="AA12:AA42" si="7">$AR12&amp;"; "&amp;$AG12</f>
        <v>(2,2,1,1,1,3); Estimation 20l/m2 panel</v>
      </c>
      <c r="AB12" s="505"/>
      <c r="AC12" s="505"/>
      <c r="AD12" s="211"/>
      <c r="AE12" s="211"/>
      <c r="AF12" s="505"/>
      <c r="AG12" s="77" t="s">
        <v>2213</v>
      </c>
      <c r="AH12" s="339">
        <v>2</v>
      </c>
      <c r="AI12" s="339">
        <v>2</v>
      </c>
      <c r="AJ12" s="339">
        <v>1</v>
      </c>
      <c r="AK12" s="339">
        <v>1</v>
      </c>
      <c r="AL12" s="339">
        <v>1</v>
      </c>
      <c r="AM12" s="339">
        <v>3</v>
      </c>
      <c r="AN12" s="104">
        <v>3</v>
      </c>
      <c r="AO12" s="104">
        <v>1.05</v>
      </c>
      <c r="AP12" s="107">
        <f t="shared" ref="AP12:AP42" si="8">EXP(SQRT((LN(AS12)^2)+(LN(AT12)^2)+(LN(AU12)^2)+(LN(AV12)^2)+(LN(AW12)^2)+(LN(AX12)^2)))</f>
        <v>1.0744244531716256</v>
      </c>
      <c r="AQ12" s="107">
        <f t="shared" ref="AQ12:AQ42" si="9">EXP(SQRT((LN(AS12)^2)+(LN(AT12)^2)+(LN(AU12)^2)+(LN(AV12)^2)+(LN(AW12)^2)+(LN(AX12)^2)+LN(AO12)^2))</f>
        <v>1.0906744032152329</v>
      </c>
      <c r="AR12" s="107" t="str">
        <f t="shared" ref="AR12:AR42" si="10">CONCATENATE("(",AH12,",",AI12,",",AJ12,",",AK12,",",AL12,",",AM12,")")</f>
        <v>(2,2,1,1,1,3)</v>
      </c>
      <c r="AS12" s="108">
        <v>1.05</v>
      </c>
      <c r="AT12" s="108">
        <v>1.02</v>
      </c>
      <c r="AU12" s="108">
        <v>1</v>
      </c>
      <c r="AV12" s="108">
        <v>1</v>
      </c>
      <c r="AW12" s="108">
        <v>1</v>
      </c>
      <c r="AX12" s="108">
        <v>1.05</v>
      </c>
    </row>
    <row r="13" spans="1:53" ht="24" customHeight="1">
      <c r="A13" s="330">
        <v>255785</v>
      </c>
      <c r="B13" s="331"/>
      <c r="C13" s="88"/>
      <c r="D13" s="340">
        <v>5</v>
      </c>
      <c r="E13" s="341" t="s">
        <v>98</v>
      </c>
      <c r="F13" s="432" t="s">
        <v>2314</v>
      </c>
      <c r="G13" s="433" t="s">
        <v>2107</v>
      </c>
      <c r="H13" s="434" t="s">
        <v>98</v>
      </c>
      <c r="I13" s="434" t="s">
        <v>98</v>
      </c>
      <c r="J13" s="94">
        <v>0</v>
      </c>
      <c r="K13" s="433" t="s">
        <v>96</v>
      </c>
      <c r="L13" s="435">
        <f>IF($G13=L$4,20*SUMPRODUCT(L$17:L$37,$AF$17:$AF$37),0)</f>
        <v>0</v>
      </c>
      <c r="M13" s="95">
        <v>1</v>
      </c>
      <c r="N13" s="96">
        <f t="shared" si="0"/>
        <v>1.0906744032152329</v>
      </c>
      <c r="O13" s="432" t="str">
        <f t="shared" si="1"/>
        <v>(2,2,1,1,1,3); Estimation 20l/m2 panel</v>
      </c>
      <c r="P13" s="435">
        <f>IF($G13=P$4,20*SUMPRODUCT(P$17:P$37,$AF$17:$AF$37),0)</f>
        <v>2.703110200659207E-3</v>
      </c>
      <c r="Q13" s="95">
        <v>1</v>
      </c>
      <c r="R13" s="96">
        <f t="shared" si="2"/>
        <v>1.0906744032152329</v>
      </c>
      <c r="S13" s="432" t="str">
        <f t="shared" si="3"/>
        <v>(2,2,1,1,1,3); Estimation 20l/m2 panel</v>
      </c>
      <c r="T13" s="435">
        <f>IF($G13=T$4,20*SUMPRODUCT(T$17:T$37,$AF$17:$AF$37),0)</f>
        <v>0</v>
      </c>
      <c r="U13" s="95">
        <v>1</v>
      </c>
      <c r="V13" s="96">
        <f t="shared" si="4"/>
        <v>1.0906744032152329</v>
      </c>
      <c r="W13" s="432" t="str">
        <f t="shared" si="5"/>
        <v>(2,2,1,1,1,3); Estimation 20l/m2 panel</v>
      </c>
      <c r="X13" s="435">
        <f>IF($G13=X$4,20*SUMPRODUCT(X$17:X$37,$AF$17:$AF$37),0)</f>
        <v>0</v>
      </c>
      <c r="Y13" s="95">
        <v>1</v>
      </c>
      <c r="Z13" s="96">
        <f t="shared" si="6"/>
        <v>1.0906744032152329</v>
      </c>
      <c r="AA13" s="432" t="str">
        <f t="shared" si="7"/>
        <v>(2,2,1,1,1,3); Estimation 20l/m2 panel</v>
      </c>
      <c r="AB13" s="505"/>
      <c r="AC13" s="505"/>
      <c r="AD13" s="211"/>
      <c r="AE13" s="211"/>
      <c r="AF13" s="505"/>
      <c r="AG13" s="77" t="s">
        <v>2213</v>
      </c>
      <c r="AH13" s="339">
        <v>2</v>
      </c>
      <c r="AI13" s="339">
        <v>2</v>
      </c>
      <c r="AJ13" s="339">
        <v>1</v>
      </c>
      <c r="AK13" s="339">
        <v>1</v>
      </c>
      <c r="AL13" s="339">
        <v>1</v>
      </c>
      <c r="AM13" s="339">
        <v>3</v>
      </c>
      <c r="AN13" s="104">
        <v>3</v>
      </c>
      <c r="AO13" s="104">
        <v>1.05</v>
      </c>
      <c r="AP13" s="107">
        <f t="shared" si="8"/>
        <v>1.0744244531716256</v>
      </c>
      <c r="AQ13" s="107">
        <f t="shared" si="9"/>
        <v>1.0906744032152329</v>
      </c>
      <c r="AR13" s="107" t="str">
        <f t="shared" si="10"/>
        <v>(2,2,1,1,1,3)</v>
      </c>
      <c r="AS13" s="108">
        <v>1.05</v>
      </c>
      <c r="AT13" s="108">
        <v>1.02</v>
      </c>
      <c r="AU13" s="108">
        <v>1</v>
      </c>
      <c r="AV13" s="108">
        <v>1</v>
      </c>
      <c r="AW13" s="108">
        <v>1</v>
      </c>
      <c r="AX13" s="108">
        <v>1.05</v>
      </c>
    </row>
    <row r="14" spans="1:53" ht="24" customHeight="1">
      <c r="A14" s="330">
        <v>256064</v>
      </c>
      <c r="B14" s="331"/>
      <c r="C14" s="88"/>
      <c r="D14" s="340">
        <v>5</v>
      </c>
      <c r="E14" s="341" t="s">
        <v>98</v>
      </c>
      <c r="F14" s="432" t="s">
        <v>2315</v>
      </c>
      <c r="G14" s="433" t="s">
        <v>2134</v>
      </c>
      <c r="H14" s="434" t="s">
        <v>98</v>
      </c>
      <c r="I14" s="434" t="s">
        <v>98</v>
      </c>
      <c r="J14" s="94">
        <v>0</v>
      </c>
      <c r="K14" s="433" t="s">
        <v>96</v>
      </c>
      <c r="L14" s="435">
        <f>IF($G14=L$4,20*SUMPRODUCT(L$17:L$37,$AF$17:$AF$37),0)</f>
        <v>0</v>
      </c>
      <c r="M14" s="95">
        <v>1</v>
      </c>
      <c r="N14" s="96">
        <f t="shared" si="0"/>
        <v>1.0906744032152329</v>
      </c>
      <c r="O14" s="432" t="str">
        <f t="shared" si="1"/>
        <v>(2,2,1,1,1,3); Estimation 20l/m2 panel</v>
      </c>
      <c r="P14" s="435">
        <f>IF($G14=P$4,20*SUMPRODUCT(P$17:P$37,$AF$17:$AF$37),0)</f>
        <v>0</v>
      </c>
      <c r="Q14" s="95">
        <v>1</v>
      </c>
      <c r="R14" s="96">
        <f t="shared" si="2"/>
        <v>1.0906744032152329</v>
      </c>
      <c r="S14" s="432" t="str">
        <f t="shared" si="3"/>
        <v>(2,2,1,1,1,3); Estimation 20l/m2 panel</v>
      </c>
      <c r="T14" s="435">
        <f>IF($G14=T$4,20*SUMPRODUCT(T$17:T$37,$AF$17:$AF$37),0)</f>
        <v>1.8336176620094989E-3</v>
      </c>
      <c r="U14" s="95">
        <v>1</v>
      </c>
      <c r="V14" s="96">
        <f t="shared" si="4"/>
        <v>1.0906744032152329</v>
      </c>
      <c r="W14" s="432" t="str">
        <f t="shared" si="5"/>
        <v>(2,2,1,1,1,3); Estimation 20l/m2 panel</v>
      </c>
      <c r="X14" s="435">
        <f>IF($G14=X$4,20*SUMPRODUCT(X$17:X$37,$AF$17:$AF$37),0)</f>
        <v>0</v>
      </c>
      <c r="Y14" s="95">
        <v>1</v>
      </c>
      <c r="Z14" s="96">
        <f t="shared" si="6"/>
        <v>1.0906744032152329</v>
      </c>
      <c r="AA14" s="432" t="str">
        <f t="shared" si="7"/>
        <v>(2,2,1,1,1,3); Estimation 20l/m2 panel</v>
      </c>
      <c r="AB14" s="505"/>
      <c r="AC14" s="505"/>
      <c r="AD14" s="211"/>
      <c r="AE14" s="211"/>
      <c r="AF14" s="505"/>
      <c r="AG14" s="77" t="s">
        <v>2213</v>
      </c>
      <c r="AH14" s="339">
        <v>2</v>
      </c>
      <c r="AI14" s="339">
        <v>2</v>
      </c>
      <c r="AJ14" s="339">
        <v>1</v>
      </c>
      <c r="AK14" s="339">
        <v>1</v>
      </c>
      <c r="AL14" s="339">
        <v>1</v>
      </c>
      <c r="AM14" s="339">
        <v>3</v>
      </c>
      <c r="AN14" s="104">
        <v>3</v>
      </c>
      <c r="AO14" s="104">
        <v>1.05</v>
      </c>
      <c r="AP14" s="107">
        <f t="shared" si="8"/>
        <v>1.0744244531716256</v>
      </c>
      <c r="AQ14" s="107">
        <f t="shared" si="9"/>
        <v>1.0906744032152329</v>
      </c>
      <c r="AR14" s="107" t="str">
        <f t="shared" si="10"/>
        <v>(2,2,1,1,1,3)</v>
      </c>
      <c r="AS14" s="108">
        <v>1.05</v>
      </c>
      <c r="AT14" s="108">
        <v>1.02</v>
      </c>
      <c r="AU14" s="108">
        <v>1</v>
      </c>
      <c r="AV14" s="108">
        <v>1</v>
      </c>
      <c r="AW14" s="108">
        <v>1</v>
      </c>
      <c r="AX14" s="108">
        <v>1.05</v>
      </c>
    </row>
    <row r="15" spans="1:53" ht="24" customHeight="1">
      <c r="A15" s="330">
        <v>256192</v>
      </c>
      <c r="B15" s="331"/>
      <c r="C15" s="88"/>
      <c r="D15" s="340">
        <v>5</v>
      </c>
      <c r="E15" s="341" t="s">
        <v>98</v>
      </c>
      <c r="F15" s="432" t="s">
        <v>2316</v>
      </c>
      <c r="G15" s="433" t="s">
        <v>2110</v>
      </c>
      <c r="H15" s="434" t="s">
        <v>98</v>
      </c>
      <c r="I15" s="434" t="s">
        <v>98</v>
      </c>
      <c r="J15" s="94">
        <v>0</v>
      </c>
      <c r="K15" s="433" t="s">
        <v>96</v>
      </c>
      <c r="L15" s="435">
        <f>IF($G15=L$4,20*SUMPRODUCT(L$17:L$37,$AF$17:$AF$37),0)</f>
        <v>0</v>
      </c>
      <c r="M15" s="95">
        <v>1</v>
      </c>
      <c r="N15" s="96">
        <f t="shared" si="0"/>
        <v>1.0906744032152329</v>
      </c>
      <c r="O15" s="432" t="str">
        <f t="shared" si="1"/>
        <v>(2,2,1,1,1,3); Estimation 20l/m2 panel</v>
      </c>
      <c r="P15" s="435">
        <f>IF($G15=P$4,20*SUMPRODUCT(P$17:P$37,$AF$17:$AF$37),0)</f>
        <v>0</v>
      </c>
      <c r="Q15" s="95">
        <v>1</v>
      </c>
      <c r="R15" s="96">
        <f t="shared" si="2"/>
        <v>1.0906744032152329</v>
      </c>
      <c r="S15" s="432" t="str">
        <f t="shared" si="3"/>
        <v>(2,2,1,1,1,3); Estimation 20l/m2 panel</v>
      </c>
      <c r="T15" s="435">
        <f>IF($G15=T$4,20*SUMPRODUCT(T$17:T$37,$AF$17:$AF$37),0)</f>
        <v>0</v>
      </c>
      <c r="U15" s="95">
        <v>1</v>
      </c>
      <c r="V15" s="96">
        <f t="shared" si="4"/>
        <v>1.0906744032152329</v>
      </c>
      <c r="W15" s="432" t="str">
        <f t="shared" si="5"/>
        <v>(2,2,1,1,1,3); Estimation 20l/m2 panel</v>
      </c>
      <c r="X15" s="435">
        <f>IF($G15=X$4,20*SUMPRODUCT(X$17:X$37,$AF$17:$AF$37),0)</f>
        <v>1.8274591116522287E-3</v>
      </c>
      <c r="Y15" s="95">
        <v>1</v>
      </c>
      <c r="Z15" s="96">
        <f t="shared" si="6"/>
        <v>1.0906744032152329</v>
      </c>
      <c r="AA15" s="432" t="str">
        <f t="shared" si="7"/>
        <v>(2,2,1,1,1,3); Estimation 20l/m2 panel</v>
      </c>
      <c r="AB15" s="505"/>
      <c r="AC15" s="505"/>
      <c r="AD15" s="211"/>
      <c r="AE15" s="211"/>
      <c r="AF15" s="505"/>
      <c r="AG15" s="77" t="s">
        <v>2213</v>
      </c>
      <c r="AH15" s="339">
        <v>2</v>
      </c>
      <c r="AI15" s="339">
        <v>2</v>
      </c>
      <c r="AJ15" s="339">
        <v>1</v>
      </c>
      <c r="AK15" s="339">
        <v>1</v>
      </c>
      <c r="AL15" s="339">
        <v>1</v>
      </c>
      <c r="AM15" s="339">
        <v>3</v>
      </c>
      <c r="AN15" s="104">
        <v>3</v>
      </c>
      <c r="AO15" s="104">
        <v>1.05</v>
      </c>
      <c r="AP15" s="107">
        <f t="shared" si="8"/>
        <v>1.0744244531716256</v>
      </c>
      <c r="AQ15" s="107">
        <f t="shared" si="9"/>
        <v>1.0906744032152329</v>
      </c>
      <c r="AR15" s="107" t="str">
        <f t="shared" si="10"/>
        <v>(2,2,1,1,1,3)</v>
      </c>
      <c r="AS15" s="108">
        <v>1.05</v>
      </c>
      <c r="AT15" s="108">
        <v>1.02</v>
      </c>
      <c r="AU15" s="108">
        <v>1</v>
      </c>
      <c r="AV15" s="108">
        <v>1</v>
      </c>
      <c r="AW15" s="108">
        <v>1</v>
      </c>
      <c r="AX15" s="108">
        <v>1.05</v>
      </c>
    </row>
    <row r="16" spans="1:53" ht="24" customHeight="1">
      <c r="A16" s="330">
        <v>269349</v>
      </c>
      <c r="B16" s="331"/>
      <c r="C16" s="88"/>
      <c r="D16" s="340">
        <v>5</v>
      </c>
      <c r="E16" s="341" t="s">
        <v>98</v>
      </c>
      <c r="F16" s="432" t="s">
        <v>1226</v>
      </c>
      <c r="G16" s="433" t="s">
        <v>103</v>
      </c>
      <c r="H16" s="434" t="s">
        <v>98</v>
      </c>
      <c r="I16" s="434" t="s">
        <v>98</v>
      </c>
      <c r="J16" s="94">
        <v>0</v>
      </c>
      <c r="K16" s="433" t="s">
        <v>119</v>
      </c>
      <c r="L16" s="435">
        <f>0.9*SUM(L12:L15)/1000</f>
        <v>1.9054714249817301E-6</v>
      </c>
      <c r="M16" s="95">
        <v>1</v>
      </c>
      <c r="N16" s="96">
        <f t="shared" si="0"/>
        <v>1.0906744032152329</v>
      </c>
      <c r="O16" s="432" t="str">
        <f t="shared" si="1"/>
        <v>(2,2,1,1,1,3); Estimation 20l/m2 panel</v>
      </c>
      <c r="P16" s="435">
        <f>0.9*SUM(P12:P15)/1000</f>
        <v>2.4327991805932862E-6</v>
      </c>
      <c r="Q16" s="95">
        <v>1</v>
      </c>
      <c r="R16" s="96">
        <f t="shared" si="2"/>
        <v>1.0906744032152329</v>
      </c>
      <c r="S16" s="432" t="str">
        <f t="shared" si="3"/>
        <v>(2,2,1,1,1,3); Estimation 20l/m2 panel</v>
      </c>
      <c r="T16" s="435">
        <f>0.9*SUM(T12:T15)/1000</f>
        <v>1.6502558958085492E-6</v>
      </c>
      <c r="U16" s="95">
        <v>1</v>
      </c>
      <c r="V16" s="96">
        <f t="shared" si="4"/>
        <v>1.0906744032152329</v>
      </c>
      <c r="W16" s="432" t="str">
        <f t="shared" si="5"/>
        <v>(2,2,1,1,1,3); Estimation 20l/m2 panel</v>
      </c>
      <c r="X16" s="435">
        <f>0.9*SUM(X12:X15)/1000</f>
        <v>1.6447132004870058E-6</v>
      </c>
      <c r="Y16" s="95">
        <v>1</v>
      </c>
      <c r="Z16" s="96">
        <f t="shared" si="6"/>
        <v>1.0906744032152329</v>
      </c>
      <c r="AA16" s="432" t="str">
        <f t="shared" si="7"/>
        <v>(2,2,1,1,1,3); Estimation 20l/m2 panel</v>
      </c>
      <c r="AB16" s="505"/>
      <c r="AC16" s="505"/>
      <c r="AD16" s="211"/>
      <c r="AE16" s="211"/>
      <c r="AF16" s="505"/>
      <c r="AG16" s="77" t="s">
        <v>2213</v>
      </c>
      <c r="AH16" s="339">
        <v>2</v>
      </c>
      <c r="AI16" s="339">
        <v>2</v>
      </c>
      <c r="AJ16" s="339">
        <v>1</v>
      </c>
      <c r="AK16" s="339">
        <v>1</v>
      </c>
      <c r="AL16" s="339">
        <v>1</v>
      </c>
      <c r="AM16" s="339">
        <v>3</v>
      </c>
      <c r="AN16" s="104">
        <v>6</v>
      </c>
      <c r="AO16" s="104">
        <v>1.05</v>
      </c>
      <c r="AP16" s="107">
        <f t="shared" si="8"/>
        <v>1.0744244531716256</v>
      </c>
      <c r="AQ16" s="107">
        <f t="shared" si="9"/>
        <v>1.0906744032152329</v>
      </c>
      <c r="AR16" s="107" t="str">
        <f t="shared" si="10"/>
        <v>(2,2,1,1,1,3)</v>
      </c>
      <c r="AS16" s="108">
        <v>1.05</v>
      </c>
      <c r="AT16" s="108">
        <v>1.02</v>
      </c>
      <c r="AU16" s="108">
        <v>1</v>
      </c>
      <c r="AV16" s="108">
        <v>1</v>
      </c>
      <c r="AW16" s="108">
        <v>1</v>
      </c>
      <c r="AX16" s="108">
        <v>1.05</v>
      </c>
    </row>
    <row r="17" spans="1:53" ht="24" customHeight="1">
      <c r="A17" s="330" t="s">
        <v>1831</v>
      </c>
      <c r="B17" s="331"/>
      <c r="C17" s="88"/>
      <c r="D17" s="340">
        <v>5</v>
      </c>
      <c r="E17" s="341" t="s">
        <v>98</v>
      </c>
      <c r="F17" s="432" t="s">
        <v>1836</v>
      </c>
      <c r="G17" s="433" t="s">
        <v>154</v>
      </c>
      <c r="H17" s="434" t="s">
        <v>98</v>
      </c>
      <c r="I17" s="434" t="s">
        <v>98</v>
      </c>
      <c r="J17" s="94">
        <v>1</v>
      </c>
      <c r="K17" s="433" t="s">
        <v>144</v>
      </c>
      <c r="L17" s="435">
        <v>2.84135711616101E-10</v>
      </c>
      <c r="M17" s="95">
        <v>1</v>
      </c>
      <c r="N17" s="96">
        <f t="shared" si="0"/>
        <v>1.2164594125584303</v>
      </c>
      <c r="O17" s="432" t="str">
        <f t="shared" si="1"/>
        <v>(2,2,1,1,1,3); Calculation with average annual yield and share of technologies. Lifetime: 30a.</v>
      </c>
      <c r="P17" s="435">
        <v>5.6902509593911202E-10</v>
      </c>
      <c r="Q17" s="95">
        <v>1</v>
      </c>
      <c r="R17" s="96">
        <f t="shared" si="2"/>
        <v>1.2164594125584303</v>
      </c>
      <c r="S17" s="432" t="str">
        <f t="shared" si="3"/>
        <v>(2,2,1,1,1,3); Calculation with average annual yield and share of technologies. Lifetime: 30a.</v>
      </c>
      <c r="T17" s="435">
        <v>1.71326726433754E-10</v>
      </c>
      <c r="U17" s="95">
        <v>1</v>
      </c>
      <c r="V17" s="96">
        <f t="shared" si="4"/>
        <v>1.2164594125584303</v>
      </c>
      <c r="W17" s="432" t="str">
        <f t="shared" si="5"/>
        <v>(2,2,1,1,1,3); Calculation with average annual yield and share of technologies. Lifetime: 30a.</v>
      </c>
      <c r="X17" s="435">
        <v>1.1434806909075799E-11</v>
      </c>
      <c r="Y17" s="95">
        <v>1</v>
      </c>
      <c r="Z17" s="96">
        <f t="shared" si="6"/>
        <v>1.2164594125584303</v>
      </c>
      <c r="AA17" s="432" t="str">
        <f t="shared" si="7"/>
        <v>(2,2,1,1,1,3); Calculation with average annual yield and share of technologies. Lifetime: 30a.</v>
      </c>
      <c r="AB17" s="505" t="s">
        <v>2039</v>
      </c>
      <c r="AC17" s="505" t="s">
        <v>2214</v>
      </c>
      <c r="AD17" s="211">
        <v>250</v>
      </c>
      <c r="AE17" s="510">
        <v>0.22616666666666699</v>
      </c>
      <c r="AF17" s="511">
        <f t="shared" ref="AF17:AF37" si="11">AD17/AE17</f>
        <v>1105.3795136330125</v>
      </c>
      <c r="AG17" s="77" t="s">
        <v>2289</v>
      </c>
      <c r="AH17" s="339">
        <v>2</v>
      </c>
      <c r="AI17" s="339">
        <v>2</v>
      </c>
      <c r="AJ17" s="339">
        <v>1</v>
      </c>
      <c r="AK17" s="339">
        <v>1</v>
      </c>
      <c r="AL17" s="339">
        <v>1</v>
      </c>
      <c r="AM17" s="339">
        <v>3</v>
      </c>
      <c r="AN17" s="104">
        <v>9</v>
      </c>
      <c r="AO17" s="104">
        <v>1.2</v>
      </c>
      <c r="AP17" s="107">
        <f t="shared" si="8"/>
        <v>1.0744244531716256</v>
      </c>
      <c r="AQ17" s="107">
        <f t="shared" si="9"/>
        <v>1.2164594125584303</v>
      </c>
      <c r="AR17" s="107" t="str">
        <f t="shared" si="10"/>
        <v>(2,2,1,1,1,3)</v>
      </c>
      <c r="AS17" s="108">
        <v>1.05</v>
      </c>
      <c r="AT17" s="108">
        <v>1.02</v>
      </c>
      <c r="AU17" s="108">
        <v>1</v>
      </c>
      <c r="AV17" s="108">
        <v>1</v>
      </c>
      <c r="AW17" s="108">
        <v>1</v>
      </c>
      <c r="AX17" s="108">
        <v>1.05</v>
      </c>
      <c r="AZ17" s="208">
        <v>3.0965150551151501E-3</v>
      </c>
      <c r="BA17" s="209">
        <f t="shared" ref="BA17:BA37" si="12">1/(L17/AZ17*AD17*30)</f>
        <v>1453.0685765159465</v>
      </c>
    </row>
    <row r="18" spans="1:53" ht="24" customHeight="1">
      <c r="A18" s="330" t="s">
        <v>1946</v>
      </c>
      <c r="B18" s="331"/>
      <c r="C18" s="88"/>
      <c r="D18" s="340">
        <v>5</v>
      </c>
      <c r="E18" s="341" t="s">
        <v>98</v>
      </c>
      <c r="F18" s="432" t="s">
        <v>1940</v>
      </c>
      <c r="G18" s="433" t="s">
        <v>154</v>
      </c>
      <c r="H18" s="434" t="s">
        <v>98</v>
      </c>
      <c r="I18" s="434" t="s">
        <v>98</v>
      </c>
      <c r="J18" s="94">
        <v>1</v>
      </c>
      <c r="K18" s="433" t="s">
        <v>144</v>
      </c>
      <c r="L18" s="435">
        <v>6.5569779603715593E-11</v>
      </c>
      <c r="M18" s="95">
        <v>1</v>
      </c>
      <c r="N18" s="96">
        <f t="shared" si="0"/>
        <v>1.2164594125584303</v>
      </c>
      <c r="O18" s="432" t="str">
        <f t="shared" si="1"/>
        <v>(2,2,1,1,1,3); Calculation with average annual yield and share of technologies. Lifetime: 30a.</v>
      </c>
      <c r="P18" s="435">
        <v>1.22448438366644E-10</v>
      </c>
      <c r="Q18" s="95">
        <v>1</v>
      </c>
      <c r="R18" s="96">
        <f t="shared" si="2"/>
        <v>1.2164594125584303</v>
      </c>
      <c r="S18" s="432" t="str">
        <f t="shared" si="3"/>
        <v>(2,2,1,1,1,3); Calculation with average annual yield and share of technologies. Lifetime: 30a.</v>
      </c>
      <c r="T18" s="435">
        <v>3.6867776574351895E-11</v>
      </c>
      <c r="U18" s="95">
        <v>1</v>
      </c>
      <c r="V18" s="96">
        <f t="shared" si="4"/>
        <v>1.2164594125584303</v>
      </c>
      <c r="W18" s="432" t="str">
        <f t="shared" si="5"/>
        <v>(2,2,1,1,1,3); Calculation with average annual yield and share of technologies. Lifetime: 30a.</v>
      </c>
      <c r="X18" s="435">
        <v>2.4606546513201099E-12</v>
      </c>
      <c r="Y18" s="95">
        <v>1</v>
      </c>
      <c r="Z18" s="96">
        <f t="shared" si="6"/>
        <v>1.2164594125584303</v>
      </c>
      <c r="AA18" s="432" t="str">
        <f t="shared" si="7"/>
        <v>(2,2,1,1,1,3); Calculation with average annual yield and share of technologies. Lifetime: 30a.</v>
      </c>
      <c r="AB18" s="505" t="s">
        <v>2039</v>
      </c>
      <c r="AC18" s="505" t="s">
        <v>4</v>
      </c>
      <c r="AD18" s="211">
        <v>250</v>
      </c>
      <c r="AE18" s="510">
        <v>0.18</v>
      </c>
      <c r="AF18" s="511">
        <f t="shared" si="11"/>
        <v>1388.8888888888889</v>
      </c>
      <c r="AG18" s="77" t="s">
        <v>2289</v>
      </c>
      <c r="AH18" s="339">
        <v>2</v>
      </c>
      <c r="AI18" s="339">
        <v>2</v>
      </c>
      <c r="AJ18" s="339">
        <v>1</v>
      </c>
      <c r="AK18" s="339">
        <v>1</v>
      </c>
      <c r="AL18" s="339">
        <v>1</v>
      </c>
      <c r="AM18" s="339">
        <v>3</v>
      </c>
      <c r="AN18" s="104">
        <v>9</v>
      </c>
      <c r="AO18" s="104">
        <v>1.2</v>
      </c>
      <c r="AP18" s="107">
        <f t="shared" si="8"/>
        <v>1.0744244531716256</v>
      </c>
      <c r="AQ18" s="107">
        <f t="shared" si="9"/>
        <v>1.2164594125584303</v>
      </c>
      <c r="AR18" s="107" t="str">
        <f t="shared" si="10"/>
        <v>(2,2,1,1,1,3)</v>
      </c>
      <c r="AS18" s="108">
        <v>1.05</v>
      </c>
      <c r="AT18" s="108">
        <v>1.02</v>
      </c>
      <c r="AU18" s="108">
        <v>1</v>
      </c>
      <c r="AV18" s="108">
        <v>1</v>
      </c>
      <c r="AW18" s="108">
        <v>1</v>
      </c>
      <c r="AX18" s="108">
        <v>1.05</v>
      </c>
      <c r="AZ18" s="208">
        <v>7.14580397334266E-4</v>
      </c>
      <c r="BA18" s="209">
        <f t="shared" si="12"/>
        <v>1453.0685765159481</v>
      </c>
    </row>
    <row r="19" spans="1:53" ht="24" customHeight="1">
      <c r="A19" s="330" t="s">
        <v>1830</v>
      </c>
      <c r="B19" s="331"/>
      <c r="C19" s="88"/>
      <c r="D19" s="340">
        <v>5</v>
      </c>
      <c r="E19" s="341" t="s">
        <v>98</v>
      </c>
      <c r="F19" s="432" t="s">
        <v>1835</v>
      </c>
      <c r="G19" s="433" t="s">
        <v>154</v>
      </c>
      <c r="H19" s="434" t="s">
        <v>98</v>
      </c>
      <c r="I19" s="434" t="s">
        <v>98</v>
      </c>
      <c r="J19" s="94">
        <v>1</v>
      </c>
      <c r="K19" s="433" t="s">
        <v>144</v>
      </c>
      <c r="L19" s="435">
        <v>6.8192570787864203E-9</v>
      </c>
      <c r="M19" s="95">
        <v>1</v>
      </c>
      <c r="N19" s="96">
        <f t="shared" si="0"/>
        <v>1.2164594125584303</v>
      </c>
      <c r="O19" s="432" t="str">
        <f t="shared" si="1"/>
        <v>(2,2,1,1,1,3); Calculation with average annual yield and share of technologies. Lifetime: 30a.</v>
      </c>
      <c r="P19" s="435">
        <v>9.4837515989852108E-9</v>
      </c>
      <c r="Q19" s="95">
        <v>1</v>
      </c>
      <c r="R19" s="96">
        <f t="shared" si="2"/>
        <v>1.2164594125584303</v>
      </c>
      <c r="S19" s="432" t="str">
        <f t="shared" si="3"/>
        <v>(2,2,1,1,1,3); Calculation with average annual yield and share of technologies. Lifetime: 30a.</v>
      </c>
      <c r="T19" s="435">
        <v>2.8554454405625503E-9</v>
      </c>
      <c r="U19" s="95">
        <v>1</v>
      </c>
      <c r="V19" s="96">
        <f t="shared" si="4"/>
        <v>1.2164594125584303</v>
      </c>
      <c r="W19" s="432" t="str">
        <f t="shared" si="5"/>
        <v>(2,2,1,1,1,3); Calculation with average annual yield and share of technologies. Lifetime: 30a.</v>
      </c>
      <c r="X19" s="435">
        <v>1.9058011515126401E-10</v>
      </c>
      <c r="Y19" s="95">
        <v>1</v>
      </c>
      <c r="Z19" s="96">
        <f t="shared" si="6"/>
        <v>1.2164594125584303</v>
      </c>
      <c r="AA19" s="432" t="str">
        <f t="shared" si="7"/>
        <v>(2,2,1,1,1,3); Calculation with average annual yield and share of technologies. Lifetime: 30a.</v>
      </c>
      <c r="AB19" s="505" t="s">
        <v>2039</v>
      </c>
      <c r="AC19" s="505" t="s">
        <v>2214</v>
      </c>
      <c r="AD19" s="211">
        <v>250</v>
      </c>
      <c r="AE19" s="510">
        <v>0.22616666666666699</v>
      </c>
      <c r="AF19" s="511">
        <f t="shared" si="11"/>
        <v>1105.3795136330125</v>
      </c>
      <c r="AG19" s="77" t="s">
        <v>2289</v>
      </c>
      <c r="AH19" s="339">
        <v>2</v>
      </c>
      <c r="AI19" s="339">
        <v>2</v>
      </c>
      <c r="AJ19" s="339">
        <v>1</v>
      </c>
      <c r="AK19" s="339">
        <v>1</v>
      </c>
      <c r="AL19" s="339">
        <v>1</v>
      </c>
      <c r="AM19" s="339">
        <v>3</v>
      </c>
      <c r="AN19" s="104">
        <v>9</v>
      </c>
      <c r="AO19" s="104">
        <v>1.2</v>
      </c>
      <c r="AP19" s="107">
        <f t="shared" si="8"/>
        <v>1.0744244531716256</v>
      </c>
      <c r="AQ19" s="107">
        <f t="shared" si="9"/>
        <v>1.2164594125584303</v>
      </c>
      <c r="AR19" s="107" t="str">
        <f t="shared" si="10"/>
        <v>(2,2,1,1,1,3)</v>
      </c>
      <c r="AS19" s="108">
        <v>1.05</v>
      </c>
      <c r="AT19" s="108">
        <v>1.02</v>
      </c>
      <c r="AU19" s="108">
        <v>1</v>
      </c>
      <c r="AV19" s="108">
        <v>1</v>
      </c>
      <c r="AW19" s="108">
        <v>1</v>
      </c>
      <c r="AX19" s="108">
        <v>1.05</v>
      </c>
      <c r="AZ19" s="208">
        <v>7.4316361322763605E-2</v>
      </c>
      <c r="BA19" s="209">
        <f t="shared" si="12"/>
        <v>1453.0685765159474</v>
      </c>
    </row>
    <row r="20" spans="1:53" ht="24" customHeight="1">
      <c r="A20" s="330" t="s">
        <v>1945</v>
      </c>
      <c r="B20" s="331"/>
      <c r="C20" s="88"/>
      <c r="D20" s="340">
        <v>5</v>
      </c>
      <c r="E20" s="341" t="s">
        <v>98</v>
      </c>
      <c r="F20" s="432" t="s">
        <v>1939</v>
      </c>
      <c r="G20" s="433" t="s">
        <v>154</v>
      </c>
      <c r="H20" s="434" t="s">
        <v>98</v>
      </c>
      <c r="I20" s="434" t="s">
        <v>98</v>
      </c>
      <c r="J20" s="94">
        <v>1</v>
      </c>
      <c r="K20" s="433" t="s">
        <v>144</v>
      </c>
      <c r="L20" s="435">
        <v>1.57367471048918E-9</v>
      </c>
      <c r="M20" s="95">
        <v>1</v>
      </c>
      <c r="N20" s="96">
        <f t="shared" si="0"/>
        <v>1.2164594125584303</v>
      </c>
      <c r="O20" s="432" t="str">
        <f t="shared" si="1"/>
        <v>(2,2,1,1,1,3); Calculation with average annual yield and share of technologies. Lifetime: 30a.</v>
      </c>
      <c r="P20" s="435">
        <v>2.0408073061107402E-9</v>
      </c>
      <c r="Q20" s="95">
        <v>1</v>
      </c>
      <c r="R20" s="96">
        <f t="shared" si="2"/>
        <v>1.2164594125584303</v>
      </c>
      <c r="S20" s="432" t="str">
        <f t="shared" si="3"/>
        <v>(2,2,1,1,1,3); Calculation with average annual yield and share of technologies. Lifetime: 30a.</v>
      </c>
      <c r="T20" s="435">
        <v>6.1446294290586598E-10</v>
      </c>
      <c r="U20" s="95">
        <v>1</v>
      </c>
      <c r="V20" s="96">
        <f t="shared" si="4"/>
        <v>1.2164594125584303</v>
      </c>
      <c r="W20" s="432" t="str">
        <f t="shared" si="5"/>
        <v>(2,2,1,1,1,3); Calculation with average annual yield and share of technologies. Lifetime: 30a.</v>
      </c>
      <c r="X20" s="435">
        <v>4.1010910855335195E-11</v>
      </c>
      <c r="Y20" s="95">
        <v>1</v>
      </c>
      <c r="Z20" s="96">
        <f t="shared" si="6"/>
        <v>1.2164594125584303</v>
      </c>
      <c r="AA20" s="432" t="str">
        <f t="shared" si="7"/>
        <v>(2,2,1,1,1,3); Calculation with average annual yield and share of technologies. Lifetime: 30a.</v>
      </c>
      <c r="AB20" s="505" t="s">
        <v>2039</v>
      </c>
      <c r="AC20" s="505" t="s">
        <v>4</v>
      </c>
      <c r="AD20" s="211">
        <v>250</v>
      </c>
      <c r="AE20" s="510">
        <v>0.18</v>
      </c>
      <c r="AF20" s="511">
        <f t="shared" si="11"/>
        <v>1388.8888888888889</v>
      </c>
      <c r="AG20" s="77" t="s">
        <v>2289</v>
      </c>
      <c r="AH20" s="339">
        <v>2</v>
      </c>
      <c r="AI20" s="339">
        <v>2</v>
      </c>
      <c r="AJ20" s="339">
        <v>1</v>
      </c>
      <c r="AK20" s="339">
        <v>1</v>
      </c>
      <c r="AL20" s="339">
        <v>1</v>
      </c>
      <c r="AM20" s="339">
        <v>3</v>
      </c>
      <c r="AN20" s="104">
        <v>9</v>
      </c>
      <c r="AO20" s="104">
        <v>1.2</v>
      </c>
      <c r="AP20" s="107">
        <f t="shared" si="8"/>
        <v>1.0744244531716256</v>
      </c>
      <c r="AQ20" s="107">
        <f t="shared" si="9"/>
        <v>1.2164594125584303</v>
      </c>
      <c r="AR20" s="107" t="str">
        <f t="shared" si="10"/>
        <v>(2,2,1,1,1,3)</v>
      </c>
      <c r="AS20" s="108">
        <v>1.05</v>
      </c>
      <c r="AT20" s="108">
        <v>1.02</v>
      </c>
      <c r="AU20" s="108">
        <v>1</v>
      </c>
      <c r="AV20" s="108">
        <v>1</v>
      </c>
      <c r="AW20" s="108">
        <v>1</v>
      </c>
      <c r="AX20" s="108">
        <v>1.05</v>
      </c>
      <c r="AZ20" s="208">
        <v>1.7149929536022401E-2</v>
      </c>
      <c r="BA20" s="209">
        <f t="shared" si="12"/>
        <v>1453.0685765159442</v>
      </c>
    </row>
    <row r="21" spans="1:53" ht="24" customHeight="1">
      <c r="A21" s="330" t="s">
        <v>1947</v>
      </c>
      <c r="B21" s="331"/>
      <c r="C21" s="88"/>
      <c r="D21" s="340">
        <v>5</v>
      </c>
      <c r="E21" s="341" t="s">
        <v>98</v>
      </c>
      <c r="F21" s="432" t="s">
        <v>1941</v>
      </c>
      <c r="G21" s="433" t="s">
        <v>154</v>
      </c>
      <c r="H21" s="434" t="s">
        <v>98</v>
      </c>
      <c r="I21" s="434" t="s">
        <v>98</v>
      </c>
      <c r="J21" s="94">
        <v>1</v>
      </c>
      <c r="K21" s="433" t="s">
        <v>144</v>
      </c>
      <c r="L21" s="435">
        <v>1.36977964240639E-9</v>
      </c>
      <c r="M21" s="95">
        <v>1</v>
      </c>
      <c r="N21" s="96">
        <f t="shared" si="0"/>
        <v>1.2164594125584303</v>
      </c>
      <c r="O21" s="432" t="str">
        <f t="shared" si="1"/>
        <v>(2,2,1,1,1,3); Calculation with average annual yield and share of technologies. Lifetime: 30a.</v>
      </c>
      <c r="P21" s="435">
        <v>1.8367265754996701E-9</v>
      </c>
      <c r="Q21" s="95">
        <v>1</v>
      </c>
      <c r="R21" s="96">
        <f t="shared" si="2"/>
        <v>1.2164594125584303</v>
      </c>
      <c r="S21" s="432" t="str">
        <f t="shared" si="3"/>
        <v>(2,2,1,1,1,3); Calculation with average annual yield and share of technologies. Lifetime: 30a.</v>
      </c>
      <c r="T21" s="435">
        <v>5.5301664861527896E-10</v>
      </c>
      <c r="U21" s="95">
        <v>1</v>
      </c>
      <c r="V21" s="96">
        <f t="shared" si="4"/>
        <v>1.2164594125584303</v>
      </c>
      <c r="W21" s="432" t="str">
        <f t="shared" si="5"/>
        <v>(2,2,1,1,1,3); Calculation with average annual yield and share of technologies. Lifetime: 30a.</v>
      </c>
      <c r="X21" s="435">
        <v>3.6909819769801695E-11</v>
      </c>
      <c r="Y21" s="95">
        <v>1</v>
      </c>
      <c r="Z21" s="96">
        <f t="shared" si="6"/>
        <v>1.2164594125584303</v>
      </c>
      <c r="AA21" s="432" t="str">
        <f t="shared" si="7"/>
        <v>(2,2,1,1,1,3); Calculation with average annual yield and share of technologies. Lifetime: 30a.</v>
      </c>
      <c r="AB21" s="505" t="s">
        <v>2039</v>
      </c>
      <c r="AC21" s="505" t="s">
        <v>4</v>
      </c>
      <c r="AD21" s="211">
        <v>250</v>
      </c>
      <c r="AE21" s="510">
        <v>0.18</v>
      </c>
      <c r="AF21" s="511">
        <f t="shared" si="11"/>
        <v>1388.8888888888889</v>
      </c>
      <c r="AG21" s="77" t="s">
        <v>2289</v>
      </c>
      <c r="AH21" s="339">
        <v>2</v>
      </c>
      <c r="AI21" s="339">
        <v>2</v>
      </c>
      <c r="AJ21" s="339">
        <v>1</v>
      </c>
      <c r="AK21" s="339">
        <v>1</v>
      </c>
      <c r="AL21" s="339">
        <v>1</v>
      </c>
      <c r="AM21" s="339">
        <v>3</v>
      </c>
      <c r="AN21" s="104">
        <v>9</v>
      </c>
      <c r="AO21" s="104">
        <v>1.2</v>
      </c>
      <c r="AP21" s="107">
        <f t="shared" si="8"/>
        <v>1.0744244531716256</v>
      </c>
      <c r="AQ21" s="107">
        <f t="shared" si="9"/>
        <v>1.2164594125584303</v>
      </c>
      <c r="AR21" s="107" t="str">
        <f t="shared" si="10"/>
        <v>(2,2,1,1,1,3)</v>
      </c>
      <c r="AS21" s="108">
        <v>1.05</v>
      </c>
      <c r="AT21" s="108">
        <v>1.02</v>
      </c>
      <c r="AU21" s="108">
        <v>1</v>
      </c>
      <c r="AV21" s="108">
        <v>1</v>
      </c>
      <c r="AW21" s="108">
        <v>1</v>
      </c>
      <c r="AX21" s="108">
        <v>1.05</v>
      </c>
      <c r="AZ21" s="208">
        <v>1.49278781634898E-2</v>
      </c>
      <c r="BA21" s="209">
        <f t="shared" si="12"/>
        <v>1453.0685765159449</v>
      </c>
    </row>
    <row r="22" spans="1:53" ht="24" customHeight="1">
      <c r="A22" s="330" t="s">
        <v>1832</v>
      </c>
      <c r="B22" s="331"/>
      <c r="C22" s="88"/>
      <c r="D22" s="340">
        <v>5</v>
      </c>
      <c r="E22" s="341" t="s">
        <v>98</v>
      </c>
      <c r="F22" s="432" t="s">
        <v>1837</v>
      </c>
      <c r="G22" s="433" t="s">
        <v>154</v>
      </c>
      <c r="H22" s="434" t="s">
        <v>98</v>
      </c>
      <c r="I22" s="434" t="s">
        <v>98</v>
      </c>
      <c r="J22" s="94">
        <v>1</v>
      </c>
      <c r="K22" s="433" t="s">
        <v>144</v>
      </c>
      <c r="L22" s="435">
        <v>5.9357117837610104E-9</v>
      </c>
      <c r="M22" s="95">
        <v>1</v>
      </c>
      <c r="N22" s="96">
        <f t="shared" si="0"/>
        <v>1.2164594125584303</v>
      </c>
      <c r="O22" s="432" t="str">
        <f t="shared" si="1"/>
        <v>(2,2,1,1,1,3); Calculation with average annual yield and share of technologies. Lifetime: 30a.</v>
      </c>
      <c r="P22" s="435">
        <v>8.5353764390866903E-9</v>
      </c>
      <c r="Q22" s="95">
        <v>1</v>
      </c>
      <c r="R22" s="96">
        <f t="shared" si="2"/>
        <v>1.2164594125584303</v>
      </c>
      <c r="S22" s="432" t="str">
        <f t="shared" si="3"/>
        <v>(2,2,1,1,1,3); Calculation with average annual yield and share of technologies. Lifetime: 30a.</v>
      </c>
      <c r="T22" s="435">
        <v>2.5699008965063E-9</v>
      </c>
      <c r="U22" s="95">
        <v>1</v>
      </c>
      <c r="V22" s="96">
        <f t="shared" si="4"/>
        <v>1.2164594125584303</v>
      </c>
      <c r="W22" s="432" t="str">
        <f t="shared" si="5"/>
        <v>(2,2,1,1,1,3); Calculation with average annual yield and share of technologies. Lifetime: 30a.</v>
      </c>
      <c r="X22" s="435">
        <v>1.71522103636138E-10</v>
      </c>
      <c r="Y22" s="95">
        <v>1</v>
      </c>
      <c r="Z22" s="96">
        <f t="shared" si="6"/>
        <v>1.2164594125584303</v>
      </c>
      <c r="AA22" s="432" t="str">
        <f t="shared" si="7"/>
        <v>(2,2,1,1,1,3); Calculation with average annual yield and share of technologies. Lifetime: 30a.</v>
      </c>
      <c r="AB22" s="505" t="s">
        <v>2039</v>
      </c>
      <c r="AC22" s="505" t="s">
        <v>2214</v>
      </c>
      <c r="AD22" s="211">
        <v>250</v>
      </c>
      <c r="AE22" s="510">
        <v>0.22616666666666699</v>
      </c>
      <c r="AF22" s="511">
        <f t="shared" si="11"/>
        <v>1105.3795136330125</v>
      </c>
      <c r="AG22" s="77" t="s">
        <v>2289</v>
      </c>
      <c r="AH22" s="339">
        <v>2</v>
      </c>
      <c r="AI22" s="339">
        <v>2</v>
      </c>
      <c r="AJ22" s="339">
        <v>1</v>
      </c>
      <c r="AK22" s="339">
        <v>1</v>
      </c>
      <c r="AL22" s="339">
        <v>1</v>
      </c>
      <c r="AM22" s="339">
        <v>3</v>
      </c>
      <c r="AN22" s="104">
        <v>9</v>
      </c>
      <c r="AO22" s="104">
        <v>1.2</v>
      </c>
      <c r="AP22" s="107">
        <f t="shared" si="8"/>
        <v>1.0744244531716256</v>
      </c>
      <c r="AQ22" s="107">
        <f t="shared" si="9"/>
        <v>1.2164594125584303</v>
      </c>
      <c r="AR22" s="107" t="str">
        <f t="shared" si="10"/>
        <v>(2,2,1,1,1,3)</v>
      </c>
      <c r="AS22" s="108">
        <v>1.05</v>
      </c>
      <c r="AT22" s="108">
        <v>1.02</v>
      </c>
      <c r="AU22" s="108">
        <v>1</v>
      </c>
      <c r="AV22" s="108">
        <v>1</v>
      </c>
      <c r="AW22" s="108">
        <v>1</v>
      </c>
      <c r="AX22" s="108">
        <v>1.05</v>
      </c>
      <c r="AZ22" s="208">
        <v>6.4687472041789096E-2</v>
      </c>
      <c r="BA22" s="209">
        <f t="shared" si="12"/>
        <v>1453.0685765159474</v>
      </c>
    </row>
    <row r="23" spans="1:53" ht="24" customHeight="1">
      <c r="A23" s="330" t="s">
        <v>1833</v>
      </c>
      <c r="B23" s="331"/>
      <c r="C23" s="88"/>
      <c r="D23" s="340">
        <v>5</v>
      </c>
      <c r="E23" s="341" t="s">
        <v>98</v>
      </c>
      <c r="F23" s="432" t="s">
        <v>1838</v>
      </c>
      <c r="G23" s="433" t="s">
        <v>154</v>
      </c>
      <c r="H23" s="434" t="s">
        <v>98</v>
      </c>
      <c r="I23" s="434" t="s">
        <v>98</v>
      </c>
      <c r="J23" s="94">
        <v>1</v>
      </c>
      <c r="K23" s="433" t="s">
        <v>144</v>
      </c>
      <c r="L23" s="435">
        <v>9.8804423365093106E-10</v>
      </c>
      <c r="M23" s="95">
        <v>1</v>
      </c>
      <c r="N23" s="96">
        <f t="shared" si="0"/>
        <v>1.2164594125584303</v>
      </c>
      <c r="O23" s="432" t="str">
        <f t="shared" si="1"/>
        <v>(2,2,1,1,1,3); Calculation with average annual yield and share of technologies. Lifetime: 30a.</v>
      </c>
      <c r="P23" s="435">
        <v>1.5286474453601102E-9</v>
      </c>
      <c r="Q23" s="95">
        <v>1</v>
      </c>
      <c r="R23" s="96">
        <f t="shared" si="2"/>
        <v>1.2164594125584303</v>
      </c>
      <c r="S23" s="432" t="str">
        <f t="shared" si="3"/>
        <v>(2,2,1,1,1,3); Calculation with average annual yield and share of technologies. Lifetime: 30a.</v>
      </c>
      <c r="T23" s="435">
        <v>1.3255913322107501E-9</v>
      </c>
      <c r="U23" s="95">
        <v>1</v>
      </c>
      <c r="V23" s="96">
        <f t="shared" si="4"/>
        <v>1.2164594125584303</v>
      </c>
      <c r="W23" s="432" t="str">
        <f t="shared" si="5"/>
        <v>(2,2,1,1,1,3); Calculation with average annual yield and share of technologies. Lifetime: 30a.</v>
      </c>
      <c r="X23" s="435">
        <v>1.5353691140833101E-9</v>
      </c>
      <c r="Y23" s="95">
        <v>1</v>
      </c>
      <c r="Z23" s="96">
        <f t="shared" si="6"/>
        <v>1.2164594125584303</v>
      </c>
      <c r="AA23" s="432" t="str">
        <f t="shared" si="7"/>
        <v>(2,2,1,1,1,3); Calculation with average annual yield and share of technologies. Lifetime: 30a.</v>
      </c>
      <c r="AB23" s="505" t="s">
        <v>2041</v>
      </c>
      <c r="AC23" s="505" t="s">
        <v>2214</v>
      </c>
      <c r="AD23" s="211">
        <v>10000</v>
      </c>
      <c r="AE23" s="510">
        <v>0.22616666666666699</v>
      </c>
      <c r="AF23" s="511">
        <f t="shared" si="11"/>
        <v>44215.180545320494</v>
      </c>
      <c r="AG23" s="77" t="s">
        <v>2289</v>
      </c>
      <c r="AH23" s="339">
        <v>2</v>
      </c>
      <c r="AI23" s="339">
        <v>2</v>
      </c>
      <c r="AJ23" s="339">
        <v>1</v>
      </c>
      <c r="AK23" s="339">
        <v>1</v>
      </c>
      <c r="AL23" s="339">
        <v>1</v>
      </c>
      <c r="AM23" s="339">
        <v>3</v>
      </c>
      <c r="AN23" s="104">
        <v>9</v>
      </c>
      <c r="AO23" s="104">
        <v>1.2</v>
      </c>
      <c r="AP23" s="107">
        <f t="shared" si="8"/>
        <v>1.0744244531716256</v>
      </c>
      <c r="AQ23" s="107">
        <f t="shared" si="9"/>
        <v>1.2164594125584303</v>
      </c>
      <c r="AR23" s="107" t="str">
        <f t="shared" si="10"/>
        <v>(2,2,1,1,1,3)</v>
      </c>
      <c r="AS23" s="108">
        <v>1.05</v>
      </c>
      <c r="AT23" s="108">
        <v>1.02</v>
      </c>
      <c r="AU23" s="108">
        <v>1</v>
      </c>
      <c r="AV23" s="108">
        <v>1</v>
      </c>
      <c r="AW23" s="108">
        <v>1</v>
      </c>
      <c r="AX23" s="108">
        <v>1.05</v>
      </c>
      <c r="AZ23" s="208">
        <v>0.45666619262630198</v>
      </c>
      <c r="BA23" s="209">
        <f t="shared" si="12"/>
        <v>1540.6401760606429</v>
      </c>
    </row>
    <row r="24" spans="1:53" ht="24" customHeight="1">
      <c r="A24" s="330" t="s">
        <v>1948</v>
      </c>
      <c r="B24" s="331"/>
      <c r="C24" s="88"/>
      <c r="D24" s="340">
        <v>5</v>
      </c>
      <c r="E24" s="341" t="s">
        <v>98</v>
      </c>
      <c r="F24" s="432" t="s">
        <v>1942</v>
      </c>
      <c r="G24" s="433" t="s">
        <v>154</v>
      </c>
      <c r="H24" s="434" t="s">
        <v>98</v>
      </c>
      <c r="I24" s="434" t="s">
        <v>98</v>
      </c>
      <c r="J24" s="94">
        <v>1</v>
      </c>
      <c r="K24" s="433" t="s">
        <v>144</v>
      </c>
      <c r="L24" s="435">
        <v>2.28010207765599E-10</v>
      </c>
      <c r="M24" s="95">
        <v>1</v>
      </c>
      <c r="N24" s="96">
        <f t="shared" si="0"/>
        <v>1.2164594125584303</v>
      </c>
      <c r="O24" s="432" t="str">
        <f t="shared" si="1"/>
        <v>(2,2,1,1,1,3); Calculation with average annual yield and share of technologies. Lifetime: 30a.</v>
      </c>
      <c r="P24" s="435">
        <v>3.2894945026736402E-10</v>
      </c>
      <c r="Q24" s="95">
        <v>1</v>
      </c>
      <c r="R24" s="96">
        <f t="shared" si="2"/>
        <v>1.2164594125584303</v>
      </c>
      <c r="S24" s="432" t="str">
        <f t="shared" si="3"/>
        <v>(2,2,1,1,1,3); Calculation with average annual yield and share of technologies. Lifetime: 30a.</v>
      </c>
      <c r="T24" s="435">
        <v>2.8525383098206002E-10</v>
      </c>
      <c r="U24" s="95">
        <v>1</v>
      </c>
      <c r="V24" s="96">
        <f t="shared" si="4"/>
        <v>1.2164594125584303</v>
      </c>
      <c r="W24" s="432" t="str">
        <f t="shared" si="5"/>
        <v>(2,2,1,1,1,3); Calculation with average annual yield and share of technologies. Lifetime: 30a.</v>
      </c>
      <c r="X24" s="435">
        <v>3.3039588530906703E-10</v>
      </c>
      <c r="Y24" s="95">
        <v>1</v>
      </c>
      <c r="Z24" s="96">
        <f t="shared" si="6"/>
        <v>1.2164594125584303</v>
      </c>
      <c r="AA24" s="432" t="str">
        <f t="shared" si="7"/>
        <v>(2,2,1,1,1,3); Calculation with average annual yield and share of technologies. Lifetime: 30a.</v>
      </c>
      <c r="AB24" s="505" t="s">
        <v>2041</v>
      </c>
      <c r="AC24" s="505" t="s">
        <v>4</v>
      </c>
      <c r="AD24" s="211">
        <v>10000</v>
      </c>
      <c r="AE24" s="510">
        <v>0.18</v>
      </c>
      <c r="AF24" s="511">
        <f t="shared" si="11"/>
        <v>55555.555555555555</v>
      </c>
      <c r="AG24" s="77" t="s">
        <v>2289</v>
      </c>
      <c r="AH24" s="339">
        <v>2</v>
      </c>
      <c r="AI24" s="339">
        <v>2</v>
      </c>
      <c r="AJ24" s="339">
        <v>1</v>
      </c>
      <c r="AK24" s="339">
        <v>1</v>
      </c>
      <c r="AL24" s="339">
        <v>1</v>
      </c>
      <c r="AM24" s="339">
        <v>3</v>
      </c>
      <c r="AN24" s="104">
        <v>9</v>
      </c>
      <c r="AO24" s="104">
        <v>1.2</v>
      </c>
      <c r="AP24" s="107">
        <f t="shared" si="8"/>
        <v>1.0744244531716256</v>
      </c>
      <c r="AQ24" s="107">
        <f t="shared" si="9"/>
        <v>1.2164594125584303</v>
      </c>
      <c r="AR24" s="107" t="str">
        <f t="shared" si="10"/>
        <v>(2,2,1,1,1,3)</v>
      </c>
      <c r="AS24" s="108">
        <v>1.05</v>
      </c>
      <c r="AT24" s="108">
        <v>1.02</v>
      </c>
      <c r="AU24" s="108">
        <v>1</v>
      </c>
      <c r="AV24" s="108">
        <v>1</v>
      </c>
      <c r="AW24" s="108">
        <v>1</v>
      </c>
      <c r="AX24" s="108">
        <v>1.05</v>
      </c>
      <c r="AZ24" s="208">
        <v>0.105384505990685</v>
      </c>
      <c r="BA24" s="209">
        <f t="shared" si="12"/>
        <v>1540.6401760606448</v>
      </c>
    </row>
    <row r="25" spans="1:53" ht="24" customHeight="1">
      <c r="A25" s="330" t="s">
        <v>2016</v>
      </c>
      <c r="B25" s="331"/>
      <c r="C25" s="88"/>
      <c r="D25" s="340">
        <v>5</v>
      </c>
      <c r="E25" s="341" t="s">
        <v>98</v>
      </c>
      <c r="F25" s="432" t="s">
        <v>2009</v>
      </c>
      <c r="G25" s="433" t="s">
        <v>154</v>
      </c>
      <c r="H25" s="434" t="s">
        <v>98</v>
      </c>
      <c r="I25" s="434" t="s">
        <v>98</v>
      </c>
      <c r="J25" s="94">
        <v>1</v>
      </c>
      <c r="K25" s="433" t="s">
        <v>144</v>
      </c>
      <c r="L25" s="435">
        <v>3.04013610354133E-10</v>
      </c>
      <c r="M25" s="95">
        <v>1</v>
      </c>
      <c r="N25" s="96">
        <f t="shared" si="0"/>
        <v>1.2164594125584303</v>
      </c>
      <c r="O25" s="432" t="str">
        <f t="shared" si="1"/>
        <v>(2,2,1,1,1,3); Calculation with average annual yield and share of technologies. Lifetime: 30a.</v>
      </c>
      <c r="P25" s="435">
        <v>7.7399870651144896E-11</v>
      </c>
      <c r="Q25" s="95">
        <v>1</v>
      </c>
      <c r="R25" s="96">
        <f t="shared" si="2"/>
        <v>1.2164594125584303</v>
      </c>
      <c r="S25" s="432" t="str">
        <f t="shared" si="3"/>
        <v>(2,2,1,1,1,3); Calculation with average annual yield and share of technologies. Lifetime: 30a.</v>
      </c>
      <c r="T25" s="435">
        <v>6.7118548466367E-11</v>
      </c>
      <c r="U25" s="95">
        <v>1</v>
      </c>
      <c r="V25" s="96">
        <f t="shared" si="4"/>
        <v>1.2164594125584303</v>
      </c>
      <c r="W25" s="432" t="str">
        <f t="shared" si="5"/>
        <v>(2,2,1,1,1,3); Calculation with average annual yield and share of technologies. Lifetime: 30a.</v>
      </c>
      <c r="X25" s="435">
        <v>7.7740208308015692E-11</v>
      </c>
      <c r="Y25" s="95">
        <v>1</v>
      </c>
      <c r="Z25" s="96">
        <f t="shared" si="6"/>
        <v>1.2164594125584303</v>
      </c>
      <c r="AA25" s="432" t="str">
        <f t="shared" si="7"/>
        <v>(2,2,1,1,1,3); Calculation with average annual yield and share of technologies. Lifetime: 30a.</v>
      </c>
      <c r="AB25" s="505" t="s">
        <v>2041</v>
      </c>
      <c r="AC25" s="505" t="s">
        <v>2087</v>
      </c>
      <c r="AD25" s="211">
        <v>10000</v>
      </c>
      <c r="AE25" s="510">
        <v>0.184</v>
      </c>
      <c r="AF25" s="511">
        <f t="shared" si="11"/>
        <v>54347.82608695652</v>
      </c>
      <c r="AG25" s="77" t="s">
        <v>2289</v>
      </c>
      <c r="AH25" s="339">
        <v>2</v>
      </c>
      <c r="AI25" s="339">
        <v>2</v>
      </c>
      <c r="AJ25" s="339">
        <v>1</v>
      </c>
      <c r="AK25" s="339">
        <v>1</v>
      </c>
      <c r="AL25" s="339">
        <v>1</v>
      </c>
      <c r="AM25" s="339">
        <v>3</v>
      </c>
      <c r="AN25" s="104">
        <v>9</v>
      </c>
      <c r="AO25" s="104">
        <v>1.2</v>
      </c>
      <c r="AP25" s="107">
        <f t="shared" si="8"/>
        <v>1.0744244531716256</v>
      </c>
      <c r="AQ25" s="107">
        <f t="shared" si="9"/>
        <v>1.2164594125584303</v>
      </c>
      <c r="AR25" s="107" t="str">
        <f t="shared" si="10"/>
        <v>(2,2,1,1,1,3)</v>
      </c>
      <c r="AS25" s="108">
        <v>1.05</v>
      </c>
      <c r="AT25" s="108">
        <v>1.02</v>
      </c>
      <c r="AU25" s="108">
        <v>1</v>
      </c>
      <c r="AV25" s="108">
        <v>1</v>
      </c>
      <c r="AW25" s="108">
        <v>1</v>
      </c>
      <c r="AX25" s="108">
        <v>1.05</v>
      </c>
      <c r="AZ25" s="208">
        <v>0.14051267465424699</v>
      </c>
      <c r="BA25" s="209">
        <f t="shared" si="12"/>
        <v>1540.6401760606434</v>
      </c>
    </row>
    <row r="26" spans="1:53" ht="24" customHeight="1">
      <c r="A26" s="330" t="s">
        <v>1968</v>
      </c>
      <c r="B26" s="331"/>
      <c r="C26" s="88"/>
      <c r="D26" s="340">
        <v>5</v>
      </c>
      <c r="E26" s="341" t="s">
        <v>98</v>
      </c>
      <c r="F26" s="432" t="s">
        <v>1963</v>
      </c>
      <c r="G26" s="433" t="s">
        <v>215</v>
      </c>
      <c r="H26" s="434" t="s">
        <v>98</v>
      </c>
      <c r="I26" s="434" t="s">
        <v>98</v>
      </c>
      <c r="J26" s="94">
        <v>1</v>
      </c>
      <c r="K26" s="433" t="s">
        <v>144</v>
      </c>
      <c r="L26" s="435">
        <v>1.8276385644431902E-9</v>
      </c>
      <c r="M26" s="95">
        <v>1</v>
      </c>
      <c r="N26" s="96">
        <f t="shared" si="0"/>
        <v>1.2164594125584303</v>
      </c>
      <c r="O26" s="432" t="str">
        <f t="shared" si="1"/>
        <v>(2,2,1,1,1,3); Calculation with average annual yield and share of technologies. Lifetime: 30a.</v>
      </c>
      <c r="P26" s="435">
        <v>2.4295325072746903E-9</v>
      </c>
      <c r="Q26" s="95">
        <v>1</v>
      </c>
      <c r="R26" s="96">
        <f t="shared" si="2"/>
        <v>1.2164594125584303</v>
      </c>
      <c r="S26" s="432" t="str">
        <f t="shared" si="3"/>
        <v>(2,2,1,1,1,3); Calculation with average annual yield and share of technologies. Lifetime: 30a.</v>
      </c>
      <c r="T26" s="435">
        <v>7.3150350345936402E-10</v>
      </c>
      <c r="U26" s="95">
        <v>1</v>
      </c>
      <c r="V26" s="96">
        <f t="shared" si="4"/>
        <v>1.2164594125584303</v>
      </c>
      <c r="W26" s="432" t="str">
        <f t="shared" si="5"/>
        <v>(2,2,1,1,1,3); Calculation with average annual yield and share of technologies. Lifetime: 30a.</v>
      </c>
      <c r="X26" s="435">
        <v>4.8822512923018096E-11</v>
      </c>
      <c r="Y26" s="95">
        <v>1</v>
      </c>
      <c r="Z26" s="96">
        <f t="shared" si="6"/>
        <v>1.2164594125584303</v>
      </c>
      <c r="AA26" s="432" t="str">
        <f t="shared" si="7"/>
        <v>(2,2,1,1,1,3); Calculation with average annual yield and share of technologies. Lifetime: 30a.</v>
      </c>
      <c r="AB26" s="505" t="s">
        <v>2040</v>
      </c>
      <c r="AC26" s="505" t="s">
        <v>4</v>
      </c>
      <c r="AD26" s="211">
        <v>10</v>
      </c>
      <c r="AE26" s="510">
        <v>0.18</v>
      </c>
      <c r="AF26" s="511">
        <f t="shared" si="11"/>
        <v>55.555555555555557</v>
      </c>
      <c r="AG26" s="77" t="s">
        <v>2289</v>
      </c>
      <c r="AH26" s="339">
        <v>2</v>
      </c>
      <c r="AI26" s="339">
        <v>2</v>
      </c>
      <c r="AJ26" s="339">
        <v>1</v>
      </c>
      <c r="AK26" s="339">
        <v>1</v>
      </c>
      <c r="AL26" s="339">
        <v>1</v>
      </c>
      <c r="AM26" s="339">
        <v>3</v>
      </c>
      <c r="AN26" s="104">
        <v>9</v>
      </c>
      <c r="AO26" s="104">
        <v>1.2</v>
      </c>
      <c r="AP26" s="107">
        <f t="shared" si="8"/>
        <v>1.0744244531716256</v>
      </c>
      <c r="AQ26" s="107">
        <f t="shared" si="9"/>
        <v>1.2164594125584303</v>
      </c>
      <c r="AR26" s="107" t="str">
        <f t="shared" si="10"/>
        <v>(2,2,1,1,1,3)</v>
      </c>
      <c r="AS26" s="108">
        <v>1.05</v>
      </c>
      <c r="AT26" s="108">
        <v>1.02</v>
      </c>
      <c r="AU26" s="108">
        <v>1</v>
      </c>
      <c r="AV26" s="108">
        <v>1</v>
      </c>
      <c r="AW26" s="108">
        <v>1</v>
      </c>
      <c r="AX26" s="108">
        <v>1.05</v>
      </c>
      <c r="AZ26" s="208">
        <v>5.5769367511643601E-4</v>
      </c>
      <c r="BA26" s="209">
        <f t="shared" si="12"/>
        <v>1017.1480035611662</v>
      </c>
    </row>
    <row r="27" spans="1:53" ht="24" customHeight="1">
      <c r="A27" s="330" t="s">
        <v>1969</v>
      </c>
      <c r="B27" s="331"/>
      <c r="C27" s="88"/>
      <c r="D27" s="340">
        <v>5</v>
      </c>
      <c r="E27" s="341" t="s">
        <v>98</v>
      </c>
      <c r="F27" s="432" t="s">
        <v>1964</v>
      </c>
      <c r="G27" s="433" t="s">
        <v>215</v>
      </c>
      <c r="H27" s="434" t="s">
        <v>98</v>
      </c>
      <c r="I27" s="434" t="s">
        <v>98</v>
      </c>
      <c r="J27" s="94">
        <v>1</v>
      </c>
      <c r="K27" s="433" t="s">
        <v>144</v>
      </c>
      <c r="L27" s="435">
        <v>1.8276385644431902E-9</v>
      </c>
      <c r="M27" s="95">
        <v>1</v>
      </c>
      <c r="N27" s="96">
        <f t="shared" si="0"/>
        <v>1.2164594125584303</v>
      </c>
      <c r="O27" s="432" t="str">
        <f t="shared" si="1"/>
        <v>(2,2,1,1,1,3); Calculation with average annual yield and share of technologies. Lifetime: 30a.</v>
      </c>
      <c r="P27" s="435">
        <v>2.4295325072746903E-9</v>
      </c>
      <c r="Q27" s="95">
        <v>1</v>
      </c>
      <c r="R27" s="96">
        <f t="shared" si="2"/>
        <v>1.2164594125584303</v>
      </c>
      <c r="S27" s="432" t="str">
        <f t="shared" si="3"/>
        <v>(2,2,1,1,1,3); Calculation with average annual yield and share of technologies. Lifetime: 30a.</v>
      </c>
      <c r="T27" s="435">
        <v>7.3150350345936402E-10</v>
      </c>
      <c r="U27" s="95">
        <v>1</v>
      </c>
      <c r="V27" s="96">
        <f t="shared" si="4"/>
        <v>1.2164594125584303</v>
      </c>
      <c r="W27" s="432" t="str">
        <f t="shared" si="5"/>
        <v>(2,2,1,1,1,3); Calculation with average annual yield and share of technologies. Lifetime: 30a.</v>
      </c>
      <c r="X27" s="435">
        <v>4.8822512923018096E-11</v>
      </c>
      <c r="Y27" s="95">
        <v>1</v>
      </c>
      <c r="Z27" s="96">
        <f t="shared" si="6"/>
        <v>1.2164594125584303</v>
      </c>
      <c r="AA27" s="432" t="str">
        <f t="shared" si="7"/>
        <v>(2,2,1,1,1,3); Calculation with average annual yield and share of technologies. Lifetime: 30a.</v>
      </c>
      <c r="AB27" s="505" t="s">
        <v>2040</v>
      </c>
      <c r="AC27" s="505" t="s">
        <v>4</v>
      </c>
      <c r="AD27" s="211">
        <v>10</v>
      </c>
      <c r="AE27" s="510">
        <v>0.18</v>
      </c>
      <c r="AF27" s="511">
        <f t="shared" si="11"/>
        <v>55.555555555555557</v>
      </c>
      <c r="AG27" s="77" t="s">
        <v>2289</v>
      </c>
      <c r="AH27" s="339">
        <v>2</v>
      </c>
      <c r="AI27" s="339">
        <v>2</v>
      </c>
      <c r="AJ27" s="339">
        <v>1</v>
      </c>
      <c r="AK27" s="339">
        <v>1</v>
      </c>
      <c r="AL27" s="339">
        <v>1</v>
      </c>
      <c r="AM27" s="339">
        <v>3</v>
      </c>
      <c r="AN27" s="104">
        <v>9</v>
      </c>
      <c r="AO27" s="104">
        <v>1.2</v>
      </c>
      <c r="AP27" s="107">
        <f t="shared" si="8"/>
        <v>1.0744244531716256</v>
      </c>
      <c r="AQ27" s="107">
        <f t="shared" si="9"/>
        <v>1.2164594125584303</v>
      </c>
      <c r="AR27" s="107" t="str">
        <f t="shared" si="10"/>
        <v>(2,2,1,1,1,3)</v>
      </c>
      <c r="AS27" s="108">
        <v>1.05</v>
      </c>
      <c r="AT27" s="108">
        <v>1.02</v>
      </c>
      <c r="AU27" s="108">
        <v>1</v>
      </c>
      <c r="AV27" s="108">
        <v>1</v>
      </c>
      <c r="AW27" s="108">
        <v>1</v>
      </c>
      <c r="AX27" s="108">
        <v>1.05</v>
      </c>
      <c r="AZ27" s="208">
        <v>5.5769367511643601E-4</v>
      </c>
      <c r="BA27" s="209">
        <f t="shared" si="12"/>
        <v>1017.1480035611662</v>
      </c>
    </row>
    <row r="28" spans="1:53" ht="24" customHeight="1">
      <c r="A28" s="330" t="s">
        <v>1900</v>
      </c>
      <c r="B28" s="331"/>
      <c r="C28" s="88"/>
      <c r="D28" s="340">
        <v>5</v>
      </c>
      <c r="E28" s="341" t="s">
        <v>98</v>
      </c>
      <c r="F28" s="432" t="s">
        <v>1895</v>
      </c>
      <c r="G28" s="433" t="s">
        <v>215</v>
      </c>
      <c r="H28" s="434" t="s">
        <v>98</v>
      </c>
      <c r="I28" s="434" t="s">
        <v>98</v>
      </c>
      <c r="J28" s="94">
        <v>1</v>
      </c>
      <c r="K28" s="433" t="s">
        <v>144</v>
      </c>
      <c r="L28" s="435">
        <v>7.9197671125871703E-9</v>
      </c>
      <c r="M28" s="95">
        <v>1</v>
      </c>
      <c r="N28" s="96">
        <f t="shared" si="0"/>
        <v>1.2164594125584303</v>
      </c>
      <c r="O28" s="432" t="str">
        <f t="shared" si="1"/>
        <v>(2,2,1,1,1,3); Calculation with average annual yield and share of technologies. Lifetime: 30a.</v>
      </c>
      <c r="P28" s="435">
        <v>1.1290180474982401E-8</v>
      </c>
      <c r="Q28" s="95">
        <v>1</v>
      </c>
      <c r="R28" s="96">
        <f t="shared" si="2"/>
        <v>1.2164594125584303</v>
      </c>
      <c r="S28" s="432" t="str">
        <f t="shared" si="3"/>
        <v>(2,2,1,1,1,3); Calculation with average annual yield and share of technologies. Lifetime: 30a.</v>
      </c>
      <c r="T28" s="435">
        <v>3.3993398101935203E-9</v>
      </c>
      <c r="U28" s="95">
        <v>1</v>
      </c>
      <c r="V28" s="96">
        <f t="shared" si="4"/>
        <v>1.2164594125584303</v>
      </c>
      <c r="W28" s="432" t="str">
        <f t="shared" si="5"/>
        <v>(2,2,1,1,1,3); Calculation with average annual yield and share of technologies. Lifetime: 30a.</v>
      </c>
      <c r="X28" s="435">
        <v>2.2688108946579003E-10</v>
      </c>
      <c r="Y28" s="95">
        <v>1</v>
      </c>
      <c r="Z28" s="96">
        <f t="shared" si="6"/>
        <v>1.2164594125584303</v>
      </c>
      <c r="AA28" s="432" t="str">
        <f t="shared" si="7"/>
        <v>(2,2,1,1,1,3); Calculation with average annual yield and share of technologies. Lifetime: 30a.</v>
      </c>
      <c r="AB28" s="505" t="s">
        <v>2040</v>
      </c>
      <c r="AC28" s="505" t="s">
        <v>2214</v>
      </c>
      <c r="AD28" s="211">
        <v>10</v>
      </c>
      <c r="AE28" s="510">
        <v>0.22616666666666699</v>
      </c>
      <c r="AF28" s="511">
        <f t="shared" si="11"/>
        <v>44.2151805453205</v>
      </c>
      <c r="AG28" s="77" t="s">
        <v>2289</v>
      </c>
      <c r="AH28" s="339">
        <v>2</v>
      </c>
      <c r="AI28" s="339">
        <v>2</v>
      </c>
      <c r="AJ28" s="339">
        <v>1</v>
      </c>
      <c r="AK28" s="339">
        <v>1</v>
      </c>
      <c r="AL28" s="339">
        <v>1</v>
      </c>
      <c r="AM28" s="339">
        <v>3</v>
      </c>
      <c r="AN28" s="104">
        <v>9</v>
      </c>
      <c r="AO28" s="104">
        <v>1.2</v>
      </c>
      <c r="AP28" s="107">
        <f t="shared" si="8"/>
        <v>1.0744244531716256</v>
      </c>
      <c r="AQ28" s="107">
        <f t="shared" si="9"/>
        <v>1.2164594125584303</v>
      </c>
      <c r="AR28" s="107" t="str">
        <f t="shared" si="10"/>
        <v>(2,2,1,1,1,3)</v>
      </c>
      <c r="AS28" s="108">
        <v>1.05</v>
      </c>
      <c r="AT28" s="108">
        <v>1.02</v>
      </c>
      <c r="AU28" s="108">
        <v>1</v>
      </c>
      <c r="AV28" s="108">
        <v>1</v>
      </c>
      <c r="AW28" s="108">
        <v>1</v>
      </c>
      <c r="AX28" s="108">
        <v>1.05</v>
      </c>
      <c r="AZ28" s="208">
        <v>2.41667259217122E-3</v>
      </c>
      <c r="BA28" s="209">
        <f t="shared" si="12"/>
        <v>1017.1480035611635</v>
      </c>
    </row>
    <row r="29" spans="1:53" ht="24" customHeight="1">
      <c r="A29" s="330" t="s">
        <v>1901</v>
      </c>
      <c r="B29" s="331"/>
      <c r="C29" s="88"/>
      <c r="D29" s="340">
        <v>5</v>
      </c>
      <c r="E29" s="341" t="s">
        <v>98</v>
      </c>
      <c r="F29" s="432" t="s">
        <v>1896</v>
      </c>
      <c r="G29" s="433" t="s">
        <v>215</v>
      </c>
      <c r="H29" s="434" t="s">
        <v>98</v>
      </c>
      <c r="I29" s="434" t="s">
        <v>98</v>
      </c>
      <c r="J29" s="94">
        <v>1</v>
      </c>
      <c r="K29" s="433" t="s">
        <v>144</v>
      </c>
      <c r="L29" s="435">
        <v>7.9197671125871703E-9</v>
      </c>
      <c r="M29" s="95">
        <v>1</v>
      </c>
      <c r="N29" s="96">
        <f t="shared" si="0"/>
        <v>1.2164594125584303</v>
      </c>
      <c r="O29" s="432" t="str">
        <f t="shared" si="1"/>
        <v>(2,2,1,1,1,3); Calculation with average annual yield and share of technologies. Lifetime: 30a.</v>
      </c>
      <c r="P29" s="435">
        <v>1.1290180474982401E-8</v>
      </c>
      <c r="Q29" s="95">
        <v>1</v>
      </c>
      <c r="R29" s="96">
        <f t="shared" si="2"/>
        <v>1.2164594125584303</v>
      </c>
      <c r="S29" s="432" t="str">
        <f t="shared" si="3"/>
        <v>(2,2,1,1,1,3); Calculation with average annual yield and share of technologies. Lifetime: 30a.</v>
      </c>
      <c r="T29" s="435">
        <v>3.3993398101935203E-9</v>
      </c>
      <c r="U29" s="95">
        <v>1</v>
      </c>
      <c r="V29" s="96">
        <f t="shared" si="4"/>
        <v>1.2164594125584303</v>
      </c>
      <c r="W29" s="432" t="str">
        <f t="shared" si="5"/>
        <v>(2,2,1,1,1,3); Calculation with average annual yield and share of technologies. Lifetime: 30a.</v>
      </c>
      <c r="X29" s="435">
        <v>2.2688108946579003E-10</v>
      </c>
      <c r="Y29" s="95">
        <v>1</v>
      </c>
      <c r="Z29" s="96">
        <f t="shared" si="6"/>
        <v>1.2164594125584303</v>
      </c>
      <c r="AA29" s="432" t="str">
        <f t="shared" si="7"/>
        <v>(2,2,1,1,1,3); Calculation with average annual yield and share of technologies. Lifetime: 30a.</v>
      </c>
      <c r="AB29" s="505" t="s">
        <v>2040</v>
      </c>
      <c r="AC29" s="505" t="s">
        <v>2214</v>
      </c>
      <c r="AD29" s="211">
        <v>10</v>
      </c>
      <c r="AE29" s="510">
        <v>0.22616666666666699</v>
      </c>
      <c r="AF29" s="511">
        <f t="shared" si="11"/>
        <v>44.2151805453205</v>
      </c>
      <c r="AG29" s="77" t="s">
        <v>2289</v>
      </c>
      <c r="AH29" s="339">
        <v>2</v>
      </c>
      <c r="AI29" s="339">
        <v>2</v>
      </c>
      <c r="AJ29" s="339">
        <v>1</v>
      </c>
      <c r="AK29" s="339">
        <v>1</v>
      </c>
      <c r="AL29" s="339">
        <v>1</v>
      </c>
      <c r="AM29" s="339">
        <v>3</v>
      </c>
      <c r="AN29" s="104">
        <v>9</v>
      </c>
      <c r="AO29" s="104">
        <v>1.2</v>
      </c>
      <c r="AP29" s="107">
        <f t="shared" si="8"/>
        <v>1.0744244531716256</v>
      </c>
      <c r="AQ29" s="107">
        <f t="shared" si="9"/>
        <v>1.2164594125584303</v>
      </c>
      <c r="AR29" s="107" t="str">
        <f t="shared" si="10"/>
        <v>(2,2,1,1,1,3)</v>
      </c>
      <c r="AS29" s="108">
        <v>1.05</v>
      </c>
      <c r="AT29" s="108">
        <v>1.02</v>
      </c>
      <c r="AU29" s="108">
        <v>1</v>
      </c>
      <c r="AV29" s="108">
        <v>1</v>
      </c>
      <c r="AW29" s="108">
        <v>1</v>
      </c>
      <c r="AX29" s="108">
        <v>1.05</v>
      </c>
      <c r="AZ29" s="208">
        <v>2.41667259217122E-3</v>
      </c>
      <c r="BA29" s="209">
        <f t="shared" si="12"/>
        <v>1017.1480035611635</v>
      </c>
    </row>
    <row r="30" spans="1:53" ht="24" customHeight="1">
      <c r="A30" s="330" t="s">
        <v>1970</v>
      </c>
      <c r="B30" s="331"/>
      <c r="C30" s="88"/>
      <c r="D30" s="340">
        <v>5</v>
      </c>
      <c r="E30" s="341" t="s">
        <v>98</v>
      </c>
      <c r="F30" s="432" t="s">
        <v>1965</v>
      </c>
      <c r="G30" s="433" t="s">
        <v>215</v>
      </c>
      <c r="H30" s="434" t="s">
        <v>98</v>
      </c>
      <c r="I30" s="434" t="s">
        <v>98</v>
      </c>
      <c r="J30" s="94">
        <v>1</v>
      </c>
      <c r="K30" s="433" t="s">
        <v>144</v>
      </c>
      <c r="L30" s="435">
        <v>2.28296607067731E-8</v>
      </c>
      <c r="M30" s="95">
        <v>1</v>
      </c>
      <c r="N30" s="96">
        <f t="shared" si="0"/>
        <v>1.2164594125584303</v>
      </c>
      <c r="O30" s="432" t="str">
        <f t="shared" si="1"/>
        <v>(2,2,1,1,1,3); Calculation with average annual yield and share of technologies. Lifetime: 30a.</v>
      </c>
      <c r="P30" s="435">
        <v>3.0612109591661098E-8</v>
      </c>
      <c r="Q30" s="95">
        <v>1</v>
      </c>
      <c r="R30" s="96">
        <f t="shared" si="2"/>
        <v>1.2164594125584303</v>
      </c>
      <c r="S30" s="432" t="str">
        <f t="shared" si="3"/>
        <v>(2,2,1,1,1,3); Calculation with average annual yield and share of technologies. Lifetime: 30a.</v>
      </c>
      <c r="T30" s="435">
        <v>9.2169441435879808E-9</v>
      </c>
      <c r="U30" s="95">
        <v>1</v>
      </c>
      <c r="V30" s="96">
        <f t="shared" si="4"/>
        <v>1.2164594125584303</v>
      </c>
      <c r="W30" s="432" t="str">
        <f t="shared" si="5"/>
        <v>(2,2,1,1,1,3); Calculation with average annual yield and share of technologies. Lifetime: 30a.</v>
      </c>
      <c r="X30" s="435">
        <v>6.1516366283002801E-10</v>
      </c>
      <c r="Y30" s="95">
        <v>1</v>
      </c>
      <c r="Z30" s="96">
        <f t="shared" si="6"/>
        <v>1.2164594125584303</v>
      </c>
      <c r="AA30" s="432" t="str">
        <f t="shared" si="7"/>
        <v>(2,2,1,1,1,3); Calculation with average annual yield and share of technologies. Lifetime: 30a.</v>
      </c>
      <c r="AB30" s="505" t="s">
        <v>2039</v>
      </c>
      <c r="AC30" s="505" t="s">
        <v>4</v>
      </c>
      <c r="AD30" s="211">
        <v>10</v>
      </c>
      <c r="AE30" s="510">
        <v>0.18</v>
      </c>
      <c r="AF30" s="511">
        <f t="shared" si="11"/>
        <v>55.555555555555557</v>
      </c>
      <c r="AG30" s="77" t="s">
        <v>2289</v>
      </c>
      <c r="AH30" s="339">
        <v>2</v>
      </c>
      <c r="AI30" s="339">
        <v>2</v>
      </c>
      <c r="AJ30" s="339">
        <v>1</v>
      </c>
      <c r="AK30" s="339">
        <v>1</v>
      </c>
      <c r="AL30" s="339">
        <v>1</v>
      </c>
      <c r="AM30" s="339">
        <v>3</v>
      </c>
      <c r="AN30" s="104">
        <v>9</v>
      </c>
      <c r="AO30" s="104">
        <v>1.2</v>
      </c>
      <c r="AP30" s="107">
        <f t="shared" si="8"/>
        <v>1.0744244531716256</v>
      </c>
      <c r="AQ30" s="107">
        <f t="shared" si="9"/>
        <v>1.2164594125584303</v>
      </c>
      <c r="AR30" s="107" t="str">
        <f t="shared" si="10"/>
        <v>(2,2,1,1,1,3)</v>
      </c>
      <c r="AS30" s="108">
        <v>1.05</v>
      </c>
      <c r="AT30" s="108">
        <v>1.02</v>
      </c>
      <c r="AU30" s="108">
        <v>1</v>
      </c>
      <c r="AV30" s="108">
        <v>1</v>
      </c>
      <c r="AW30" s="108">
        <v>1</v>
      </c>
      <c r="AX30" s="108">
        <v>1.05</v>
      </c>
      <c r="AZ30" s="208">
        <v>9.9519187756598702E-3</v>
      </c>
      <c r="BA30" s="209">
        <f t="shared" si="12"/>
        <v>1453.0685765159499</v>
      </c>
    </row>
    <row r="31" spans="1:53" ht="24" customHeight="1">
      <c r="A31" s="330" t="s">
        <v>1902</v>
      </c>
      <c r="B31" s="331"/>
      <c r="C31" s="88"/>
      <c r="D31" s="340">
        <v>5</v>
      </c>
      <c r="E31" s="341" t="s">
        <v>98</v>
      </c>
      <c r="F31" s="432" t="s">
        <v>1897</v>
      </c>
      <c r="G31" s="433" t="s">
        <v>215</v>
      </c>
      <c r="H31" s="434" t="s">
        <v>98</v>
      </c>
      <c r="I31" s="434" t="s">
        <v>98</v>
      </c>
      <c r="J31" s="94">
        <v>1</v>
      </c>
      <c r="K31" s="433" t="s">
        <v>144</v>
      </c>
      <c r="L31" s="435">
        <v>9.8928529729349999E-8</v>
      </c>
      <c r="M31" s="95">
        <v>1</v>
      </c>
      <c r="N31" s="96">
        <f t="shared" si="0"/>
        <v>1.2164594125584303</v>
      </c>
      <c r="O31" s="432" t="str">
        <f t="shared" si="1"/>
        <v>(2,2,1,1,1,3); Calculation with average annual yield and share of technologies. Lifetime: 30a.</v>
      </c>
      <c r="P31" s="435">
        <v>1.4225627398477801E-7</v>
      </c>
      <c r="Q31" s="95">
        <v>1</v>
      </c>
      <c r="R31" s="96">
        <f t="shared" si="2"/>
        <v>1.2164594125584303</v>
      </c>
      <c r="S31" s="432" t="str">
        <f t="shared" si="3"/>
        <v>(2,2,1,1,1,3); Calculation with average annual yield and share of technologies. Lifetime: 30a.</v>
      </c>
      <c r="T31" s="435">
        <v>4.2831681608438401E-8</v>
      </c>
      <c r="U31" s="95">
        <v>1</v>
      </c>
      <c r="V31" s="96">
        <f t="shared" si="4"/>
        <v>1.2164594125584303</v>
      </c>
      <c r="W31" s="432" t="str">
        <f t="shared" si="5"/>
        <v>(2,2,1,1,1,3); Calculation with average annual yield and share of technologies. Lifetime: 30a.</v>
      </c>
      <c r="X31" s="435">
        <v>2.8587017272689603E-9</v>
      </c>
      <c r="Y31" s="95">
        <v>1</v>
      </c>
      <c r="Z31" s="96">
        <f t="shared" si="6"/>
        <v>1.2164594125584303</v>
      </c>
      <c r="AA31" s="432" t="str">
        <f t="shared" si="7"/>
        <v>(2,2,1,1,1,3); Calculation with average annual yield and share of technologies. Lifetime: 30a.</v>
      </c>
      <c r="AB31" s="505" t="s">
        <v>2039</v>
      </c>
      <c r="AC31" s="505" t="s">
        <v>2214</v>
      </c>
      <c r="AD31" s="211">
        <v>10</v>
      </c>
      <c r="AE31" s="510">
        <v>0.22616666666666699</v>
      </c>
      <c r="AF31" s="511">
        <f t="shared" si="11"/>
        <v>44.2151805453205</v>
      </c>
      <c r="AG31" s="77" t="s">
        <v>2289</v>
      </c>
      <c r="AH31" s="339">
        <v>2</v>
      </c>
      <c r="AI31" s="339">
        <v>2</v>
      </c>
      <c r="AJ31" s="339">
        <v>1</v>
      </c>
      <c r="AK31" s="339">
        <v>1</v>
      </c>
      <c r="AL31" s="339">
        <v>1</v>
      </c>
      <c r="AM31" s="339">
        <v>3</v>
      </c>
      <c r="AN31" s="104">
        <v>9</v>
      </c>
      <c r="AO31" s="104">
        <v>1.2</v>
      </c>
      <c r="AP31" s="107">
        <f t="shared" si="8"/>
        <v>1.0744244531716256</v>
      </c>
      <c r="AQ31" s="107">
        <f t="shared" si="9"/>
        <v>1.2164594125584303</v>
      </c>
      <c r="AR31" s="107" t="str">
        <f t="shared" si="10"/>
        <v>(2,2,1,1,1,3)</v>
      </c>
      <c r="AS31" s="108">
        <v>1.05</v>
      </c>
      <c r="AT31" s="108">
        <v>1.02</v>
      </c>
      <c r="AU31" s="108">
        <v>1</v>
      </c>
      <c r="AV31" s="108">
        <v>1</v>
      </c>
      <c r="AW31" s="108">
        <v>1</v>
      </c>
      <c r="AX31" s="108">
        <v>1.05</v>
      </c>
      <c r="AZ31" s="208">
        <v>4.31249813611927E-2</v>
      </c>
      <c r="BA31" s="209">
        <f t="shared" si="12"/>
        <v>1453.0685765159487</v>
      </c>
    </row>
    <row r="32" spans="1:53" ht="24" customHeight="1">
      <c r="A32" s="330" t="s">
        <v>2317</v>
      </c>
      <c r="B32" s="331"/>
      <c r="C32" s="88"/>
      <c r="D32" s="340">
        <v>5</v>
      </c>
      <c r="E32" s="341" t="s">
        <v>98</v>
      </c>
      <c r="F32" s="432" t="s">
        <v>2318</v>
      </c>
      <c r="G32" s="433" t="s">
        <v>215</v>
      </c>
      <c r="H32" s="434" t="s">
        <v>98</v>
      </c>
      <c r="I32" s="434" t="s">
        <v>98</v>
      </c>
      <c r="J32" s="94">
        <v>1</v>
      </c>
      <c r="K32" s="433" t="s">
        <v>144</v>
      </c>
      <c r="L32" s="435">
        <v>5.4585471791370101E-9</v>
      </c>
      <c r="M32" s="95">
        <v>1</v>
      </c>
      <c r="N32" s="96">
        <f t="shared" si="0"/>
        <v>1.2164594125584303</v>
      </c>
      <c r="O32" s="432" t="str">
        <f t="shared" si="1"/>
        <v>(2,2,1,1,1,3); Calculation with average annual yield and share of technologies. Lifetime: 30a.</v>
      </c>
      <c r="P32" s="435">
        <v>2.1744450764332002E-9</v>
      </c>
      <c r="Q32" s="95">
        <v>1</v>
      </c>
      <c r="R32" s="96">
        <f t="shared" si="2"/>
        <v>1.2164594125584303</v>
      </c>
      <c r="S32" s="432" t="str">
        <f t="shared" si="3"/>
        <v>(2,2,1,1,1,3); Calculation with average annual yield and share of technologies. Lifetime: 30a.</v>
      </c>
      <c r="T32" s="435">
        <v>6.5469969499404203E-10</v>
      </c>
      <c r="U32" s="95">
        <v>1</v>
      </c>
      <c r="V32" s="96">
        <f t="shared" si="4"/>
        <v>1.2164594125584303</v>
      </c>
      <c r="W32" s="432" t="str">
        <f t="shared" si="5"/>
        <v>(2,2,1,1,1,3); Calculation with average annual yield and share of technologies. Lifetime: 30a.</v>
      </c>
      <c r="X32" s="435">
        <v>4.3696420001245097E-11</v>
      </c>
      <c r="Y32" s="95">
        <v>1</v>
      </c>
      <c r="Z32" s="96">
        <f t="shared" si="6"/>
        <v>1.2164594125584303</v>
      </c>
      <c r="AA32" s="432" t="str">
        <f t="shared" si="7"/>
        <v>(2,2,1,1,1,3); Calculation with average annual yield and share of technologies. Lifetime: 30a.</v>
      </c>
      <c r="AB32" s="505" t="s">
        <v>2039</v>
      </c>
      <c r="AC32" s="505" t="s">
        <v>2087</v>
      </c>
      <c r="AD32" s="211">
        <v>10</v>
      </c>
      <c r="AE32" s="510">
        <v>0.184</v>
      </c>
      <c r="AF32" s="511">
        <f t="shared" si="11"/>
        <v>54.347826086956523</v>
      </c>
      <c r="AG32" s="77" t="s">
        <v>2289</v>
      </c>
      <c r="AH32" s="339">
        <v>2</v>
      </c>
      <c r="AI32" s="339">
        <v>2</v>
      </c>
      <c r="AJ32" s="339">
        <v>1</v>
      </c>
      <c r="AK32" s="339">
        <v>1</v>
      </c>
      <c r="AL32" s="339">
        <v>1</v>
      </c>
      <c r="AM32" s="339">
        <v>3</v>
      </c>
      <c r="AN32" s="104">
        <v>9</v>
      </c>
      <c r="AO32" s="104">
        <v>1.2</v>
      </c>
      <c r="AP32" s="107">
        <f t="shared" si="8"/>
        <v>1.0744244531716256</v>
      </c>
      <c r="AQ32" s="107">
        <f t="shared" si="9"/>
        <v>1.2164594125584303</v>
      </c>
      <c r="AR32" s="107" t="str">
        <f t="shared" si="10"/>
        <v>(2,2,1,1,1,3)</v>
      </c>
      <c r="AS32" s="108">
        <v>1.05</v>
      </c>
      <c r="AT32" s="108">
        <v>1.02</v>
      </c>
      <c r="AU32" s="108">
        <v>1</v>
      </c>
      <c r="AV32" s="108">
        <v>1</v>
      </c>
      <c r="AW32" s="108">
        <v>1</v>
      </c>
      <c r="AX32" s="108">
        <v>1.05</v>
      </c>
      <c r="AZ32" s="208">
        <v>2.3794930138301301E-3</v>
      </c>
      <c r="BA32" s="209">
        <f t="shared" si="12"/>
        <v>1453.0685765159494</v>
      </c>
    </row>
    <row r="33" spans="1:53" ht="24" customHeight="1">
      <c r="A33" s="330" t="s">
        <v>1971</v>
      </c>
      <c r="B33" s="331"/>
      <c r="C33" s="88"/>
      <c r="D33" s="340">
        <v>5</v>
      </c>
      <c r="E33" s="341" t="s">
        <v>98</v>
      </c>
      <c r="F33" s="432" t="s">
        <v>1966</v>
      </c>
      <c r="G33" s="433" t="s">
        <v>215</v>
      </c>
      <c r="H33" s="434" t="s">
        <v>98</v>
      </c>
      <c r="I33" s="434" t="s">
        <v>98</v>
      </c>
      <c r="J33" s="94">
        <v>1</v>
      </c>
      <c r="K33" s="433" t="s">
        <v>144</v>
      </c>
      <c r="L33" s="435">
        <v>6.9352063973737197E-11</v>
      </c>
      <c r="M33" s="95">
        <v>1</v>
      </c>
      <c r="N33" s="96">
        <f t="shared" si="0"/>
        <v>1.2164594125584303</v>
      </c>
      <c r="O33" s="432" t="str">
        <f t="shared" si="1"/>
        <v>(2,2,1,1,1,3); Calculation with average annual yield and share of technologies. Lifetime: 30a.</v>
      </c>
      <c r="P33" s="435">
        <v>1.6557493238257001E-9</v>
      </c>
      <c r="Q33" s="95">
        <v>1</v>
      </c>
      <c r="R33" s="96">
        <f t="shared" si="2"/>
        <v>1.2164594125584303</v>
      </c>
      <c r="S33" s="432" t="str">
        <f t="shared" si="3"/>
        <v>(2,2,1,1,1,3); Calculation with average annual yield and share of technologies. Lifetime: 30a.</v>
      </c>
      <c r="T33" s="435">
        <v>4.9852653858400403E-10</v>
      </c>
      <c r="U33" s="95">
        <v>1</v>
      </c>
      <c r="V33" s="96">
        <f t="shared" si="4"/>
        <v>1.2164594125584303</v>
      </c>
      <c r="W33" s="432" t="str">
        <f t="shared" si="5"/>
        <v>(2,2,1,1,1,3); Calculation with average annual yield and share of technologies. Lifetime: 30a.</v>
      </c>
      <c r="X33" s="435">
        <v>3.3273003146781397E-11</v>
      </c>
      <c r="Y33" s="95">
        <v>1</v>
      </c>
      <c r="Z33" s="96">
        <f t="shared" si="6"/>
        <v>1.2164594125584303</v>
      </c>
      <c r="AA33" s="432" t="str">
        <f t="shared" si="7"/>
        <v>(2,2,1,1,1,3); Calculation with average annual yield and share of technologies. Lifetime: 30a.</v>
      </c>
      <c r="AB33" s="505" t="s">
        <v>2039</v>
      </c>
      <c r="AC33" s="505" t="s">
        <v>4</v>
      </c>
      <c r="AD33" s="211">
        <v>10</v>
      </c>
      <c r="AE33" s="510">
        <v>0.18</v>
      </c>
      <c r="AF33" s="511">
        <f t="shared" si="11"/>
        <v>55.555555555555557</v>
      </c>
      <c r="AG33" s="77" t="s">
        <v>2289</v>
      </c>
      <c r="AH33" s="339">
        <v>2</v>
      </c>
      <c r="AI33" s="339">
        <v>2</v>
      </c>
      <c r="AJ33" s="339">
        <v>1</v>
      </c>
      <c r="AK33" s="339">
        <v>1</v>
      </c>
      <c r="AL33" s="339">
        <v>1</v>
      </c>
      <c r="AM33" s="339">
        <v>3</v>
      </c>
      <c r="AN33" s="104">
        <v>9</v>
      </c>
      <c r="AO33" s="104">
        <v>1.2</v>
      </c>
      <c r="AP33" s="107">
        <f t="shared" si="8"/>
        <v>1.0744244531716256</v>
      </c>
      <c r="AQ33" s="107">
        <f t="shared" si="9"/>
        <v>1.2164594125584303</v>
      </c>
      <c r="AR33" s="107" t="str">
        <f t="shared" si="10"/>
        <v>(2,2,1,1,1,3)</v>
      </c>
      <c r="AS33" s="108">
        <v>1.05</v>
      </c>
      <c r="AT33" s="108">
        <v>1.02</v>
      </c>
      <c r="AU33" s="108">
        <v>1</v>
      </c>
      <c r="AV33" s="108">
        <v>1</v>
      </c>
      <c r="AW33" s="108">
        <v>1</v>
      </c>
      <c r="AX33" s="108">
        <v>1.05</v>
      </c>
      <c r="AZ33" s="208">
        <v>3.0231991463028399E-5</v>
      </c>
      <c r="BA33" s="209">
        <f t="shared" si="12"/>
        <v>1453.0685765159487</v>
      </c>
    </row>
    <row r="34" spans="1:53" ht="24" customHeight="1">
      <c r="A34" s="330" t="s">
        <v>1972</v>
      </c>
      <c r="B34" s="331"/>
      <c r="C34" s="88"/>
      <c r="D34" s="340">
        <v>5</v>
      </c>
      <c r="E34" s="341" t="s">
        <v>98</v>
      </c>
      <c r="F34" s="432" t="s">
        <v>1967</v>
      </c>
      <c r="G34" s="433" t="s">
        <v>215</v>
      </c>
      <c r="H34" s="434" t="s">
        <v>98</v>
      </c>
      <c r="I34" s="434" t="s">
        <v>98</v>
      </c>
      <c r="J34" s="94">
        <v>1</v>
      </c>
      <c r="K34" s="433" t="s">
        <v>144</v>
      </c>
      <c r="L34" s="435">
        <v>1.66444953536969E-9</v>
      </c>
      <c r="M34" s="95">
        <v>1</v>
      </c>
      <c r="N34" s="96">
        <f t="shared" si="0"/>
        <v>1.2164594125584303</v>
      </c>
      <c r="O34" s="432" t="str">
        <f t="shared" si="1"/>
        <v>(2,2,1,1,1,3); Calculation with average annual yield and share of technologies. Lifetime: 30a.</v>
      </c>
      <c r="P34" s="435">
        <v>2.75958220637616E-8</v>
      </c>
      <c r="Q34" s="95">
        <v>1</v>
      </c>
      <c r="R34" s="96">
        <f t="shared" si="2"/>
        <v>1.2164594125584303</v>
      </c>
      <c r="S34" s="432" t="str">
        <f t="shared" si="3"/>
        <v>(2,2,1,1,1,3); Calculation with average annual yield and share of technologies. Lifetime: 30a.</v>
      </c>
      <c r="T34" s="435">
        <v>8.3087756430667514E-9</v>
      </c>
      <c r="U34" s="95">
        <v>1</v>
      </c>
      <c r="V34" s="96">
        <f t="shared" si="4"/>
        <v>1.2164594125584303</v>
      </c>
      <c r="W34" s="432" t="str">
        <f t="shared" si="5"/>
        <v>(2,2,1,1,1,3); Calculation with average annual yield and share of technologies. Lifetime: 30a.</v>
      </c>
      <c r="X34" s="435">
        <v>5.5455005244635702E-10</v>
      </c>
      <c r="Y34" s="95">
        <v>1</v>
      </c>
      <c r="Z34" s="96">
        <f t="shared" si="6"/>
        <v>1.2164594125584303</v>
      </c>
      <c r="AA34" s="432" t="str">
        <f t="shared" si="7"/>
        <v>(2,2,1,1,1,3); Calculation with average annual yield and share of technologies. Lifetime: 30a.</v>
      </c>
      <c r="AB34" s="505" t="s">
        <v>2039</v>
      </c>
      <c r="AC34" s="505" t="s">
        <v>4</v>
      </c>
      <c r="AD34" s="211">
        <v>10</v>
      </c>
      <c r="AE34" s="510">
        <v>0.18</v>
      </c>
      <c r="AF34" s="511">
        <f t="shared" si="11"/>
        <v>55.555555555555557</v>
      </c>
      <c r="AG34" s="77" t="s">
        <v>2289</v>
      </c>
      <c r="AH34" s="339">
        <v>2</v>
      </c>
      <c r="AI34" s="339">
        <v>2</v>
      </c>
      <c r="AJ34" s="339">
        <v>1</v>
      </c>
      <c r="AK34" s="339">
        <v>1</v>
      </c>
      <c r="AL34" s="339">
        <v>1</v>
      </c>
      <c r="AM34" s="339">
        <v>3</v>
      </c>
      <c r="AN34" s="104">
        <v>9</v>
      </c>
      <c r="AO34" s="104">
        <v>1.2</v>
      </c>
      <c r="AP34" s="107">
        <f t="shared" si="8"/>
        <v>1.0744244531716256</v>
      </c>
      <c r="AQ34" s="107">
        <f t="shared" si="9"/>
        <v>1.2164594125584303</v>
      </c>
      <c r="AR34" s="107" t="str">
        <f t="shared" si="10"/>
        <v>(2,2,1,1,1,3)</v>
      </c>
      <c r="AS34" s="108">
        <v>1.05</v>
      </c>
      <c r="AT34" s="108">
        <v>1.02</v>
      </c>
      <c r="AU34" s="108">
        <v>1</v>
      </c>
      <c r="AV34" s="108">
        <v>1</v>
      </c>
      <c r="AW34" s="108">
        <v>1</v>
      </c>
      <c r="AX34" s="108">
        <v>1.05</v>
      </c>
      <c r="AZ34" s="208">
        <v>7.2556779511268E-4</v>
      </c>
      <c r="BA34" s="209">
        <f t="shared" si="12"/>
        <v>1453.0685765159478</v>
      </c>
    </row>
    <row r="35" spans="1:53" ht="24" customHeight="1">
      <c r="A35" s="330" t="s">
        <v>1903</v>
      </c>
      <c r="B35" s="331"/>
      <c r="C35" s="88"/>
      <c r="D35" s="340">
        <v>5</v>
      </c>
      <c r="E35" s="341" t="s">
        <v>98</v>
      </c>
      <c r="F35" s="432" t="s">
        <v>1898</v>
      </c>
      <c r="G35" s="433" t="s">
        <v>215</v>
      </c>
      <c r="H35" s="434" t="s">
        <v>98</v>
      </c>
      <c r="I35" s="434" t="s">
        <v>98</v>
      </c>
      <c r="J35" s="94">
        <v>1</v>
      </c>
      <c r="K35" s="433" t="s">
        <v>144</v>
      </c>
      <c r="L35" s="435">
        <v>3.0052561055286005E-10</v>
      </c>
      <c r="M35" s="95">
        <v>1</v>
      </c>
      <c r="N35" s="96">
        <f t="shared" si="0"/>
        <v>1.2164594125584303</v>
      </c>
      <c r="O35" s="432" t="str">
        <f t="shared" si="1"/>
        <v>(2,2,1,1,1,3); Calculation with average annual yield and share of technologies. Lifetime: 30a.</v>
      </c>
      <c r="P35" s="435">
        <v>7.6943645048370706E-9</v>
      </c>
      <c r="Q35" s="95">
        <v>1</v>
      </c>
      <c r="R35" s="96">
        <f t="shared" si="2"/>
        <v>1.2164594125584303</v>
      </c>
      <c r="S35" s="432" t="str">
        <f t="shared" si="3"/>
        <v>(2,2,1,1,1,3); Calculation with average annual yield and share of technologies. Lifetime: 30a.</v>
      </c>
      <c r="T35" s="435">
        <v>2.3166821498903702E-9</v>
      </c>
      <c r="U35" s="95">
        <v>1</v>
      </c>
      <c r="V35" s="96">
        <f t="shared" si="4"/>
        <v>1.2164594125584303</v>
      </c>
      <c r="W35" s="432" t="str">
        <f t="shared" si="5"/>
        <v>(2,2,1,1,1,3); Calculation with average annual yield and share of technologies. Lifetime: 30a.</v>
      </c>
      <c r="X35" s="435">
        <v>1.5462160285857301E-10</v>
      </c>
      <c r="Y35" s="95">
        <v>1</v>
      </c>
      <c r="Z35" s="96">
        <f t="shared" si="6"/>
        <v>1.2164594125584303</v>
      </c>
      <c r="AA35" s="432" t="str">
        <f t="shared" si="7"/>
        <v>(2,2,1,1,1,3); Calculation with average annual yield and share of technologies. Lifetime: 30a.</v>
      </c>
      <c r="AB35" s="505" t="s">
        <v>2039</v>
      </c>
      <c r="AC35" s="505" t="s">
        <v>2214</v>
      </c>
      <c r="AD35" s="211">
        <v>10</v>
      </c>
      <c r="AE35" s="510">
        <v>0.22616666666666699</v>
      </c>
      <c r="AF35" s="511">
        <f t="shared" si="11"/>
        <v>44.2151805453205</v>
      </c>
      <c r="AG35" s="77" t="s">
        <v>2289</v>
      </c>
      <c r="AH35" s="339">
        <v>2</v>
      </c>
      <c r="AI35" s="339">
        <v>2</v>
      </c>
      <c r="AJ35" s="339">
        <v>1</v>
      </c>
      <c r="AK35" s="339">
        <v>1</v>
      </c>
      <c r="AL35" s="339">
        <v>1</v>
      </c>
      <c r="AM35" s="339">
        <v>3</v>
      </c>
      <c r="AN35" s="104">
        <v>9</v>
      </c>
      <c r="AO35" s="104">
        <v>1.2</v>
      </c>
      <c r="AP35" s="107">
        <f t="shared" si="8"/>
        <v>1.0744244531716256</v>
      </c>
      <c r="AQ35" s="107">
        <f t="shared" si="9"/>
        <v>1.2164594125584303</v>
      </c>
      <c r="AR35" s="107" t="str">
        <f t="shared" si="10"/>
        <v>(2,2,1,1,1,3)</v>
      </c>
      <c r="AS35" s="108">
        <v>1.05</v>
      </c>
      <c r="AT35" s="108">
        <v>1.02</v>
      </c>
      <c r="AU35" s="108">
        <v>1</v>
      </c>
      <c r="AV35" s="108">
        <v>1</v>
      </c>
      <c r="AW35" s="108">
        <v>1</v>
      </c>
      <c r="AX35" s="108">
        <v>1.05</v>
      </c>
      <c r="AZ35" s="208">
        <v>1.3100529633978901E-4</v>
      </c>
      <c r="BA35" s="209">
        <f t="shared" si="12"/>
        <v>1453.0685765159465</v>
      </c>
    </row>
    <row r="36" spans="1:53" ht="24" customHeight="1">
      <c r="A36" s="330" t="s">
        <v>1904</v>
      </c>
      <c r="B36" s="331"/>
      <c r="C36" s="88"/>
      <c r="D36" s="340">
        <v>5</v>
      </c>
      <c r="E36" s="341" t="s">
        <v>98</v>
      </c>
      <c r="F36" s="432" t="s">
        <v>1899</v>
      </c>
      <c r="G36" s="433" t="s">
        <v>215</v>
      </c>
      <c r="H36" s="434" t="s">
        <v>98</v>
      </c>
      <c r="I36" s="434" t="s">
        <v>98</v>
      </c>
      <c r="J36" s="94">
        <v>1</v>
      </c>
      <c r="K36" s="433" t="s">
        <v>144</v>
      </c>
      <c r="L36" s="435">
        <v>7.2126146532686408E-9</v>
      </c>
      <c r="M36" s="95">
        <v>1</v>
      </c>
      <c r="N36" s="96">
        <f t="shared" si="0"/>
        <v>1.2164594125584303</v>
      </c>
      <c r="O36" s="432" t="str">
        <f t="shared" si="1"/>
        <v>(2,2,1,1,1,3); Calculation with average annual yield and share of technologies. Lifetime: 30a.</v>
      </c>
      <c r="P36" s="435">
        <v>1.28239408413951E-7</v>
      </c>
      <c r="Q36" s="95">
        <v>1</v>
      </c>
      <c r="R36" s="96">
        <f t="shared" si="2"/>
        <v>1.2164594125584303</v>
      </c>
      <c r="S36" s="432" t="str">
        <f t="shared" si="3"/>
        <v>(2,2,1,1,1,3); Calculation with average annual yield and share of technologies. Lifetime: 30a.</v>
      </c>
      <c r="T36" s="435">
        <v>3.8611369164839503E-8</v>
      </c>
      <c r="U36" s="95">
        <v>1</v>
      </c>
      <c r="V36" s="96">
        <f t="shared" si="4"/>
        <v>1.2164594125584303</v>
      </c>
      <c r="W36" s="432" t="str">
        <f t="shared" si="5"/>
        <v>(2,2,1,1,1,3); Calculation with average annual yield and share of technologies. Lifetime: 30a.</v>
      </c>
      <c r="X36" s="435">
        <v>2.57702671430954E-9</v>
      </c>
      <c r="Y36" s="95">
        <v>1</v>
      </c>
      <c r="Z36" s="96">
        <f t="shared" si="6"/>
        <v>1.2164594125584303</v>
      </c>
      <c r="AA36" s="432" t="str">
        <f t="shared" si="7"/>
        <v>(2,2,1,1,1,3); Calculation with average annual yield and share of technologies. Lifetime: 30a.</v>
      </c>
      <c r="AB36" s="505" t="s">
        <v>2039</v>
      </c>
      <c r="AC36" s="505" t="s">
        <v>2214</v>
      </c>
      <c r="AD36" s="211">
        <v>10</v>
      </c>
      <c r="AE36" s="510">
        <v>0.22616666666666699</v>
      </c>
      <c r="AF36" s="511">
        <f t="shared" si="11"/>
        <v>44.2151805453205</v>
      </c>
      <c r="AG36" s="77" t="s">
        <v>2289</v>
      </c>
      <c r="AH36" s="339">
        <v>2</v>
      </c>
      <c r="AI36" s="339">
        <v>2</v>
      </c>
      <c r="AJ36" s="339">
        <v>1</v>
      </c>
      <c r="AK36" s="339">
        <v>1</v>
      </c>
      <c r="AL36" s="339">
        <v>1</v>
      </c>
      <c r="AM36" s="339">
        <v>3</v>
      </c>
      <c r="AN36" s="104">
        <v>9</v>
      </c>
      <c r="AO36" s="104">
        <v>1.2</v>
      </c>
      <c r="AP36" s="107">
        <f t="shared" si="8"/>
        <v>1.0744244531716256</v>
      </c>
      <c r="AQ36" s="107">
        <f t="shared" si="9"/>
        <v>1.2164594125584303</v>
      </c>
      <c r="AR36" s="107" t="str">
        <f t="shared" si="10"/>
        <v>(2,2,1,1,1,3)</v>
      </c>
      <c r="AS36" s="108">
        <v>1.05</v>
      </c>
      <c r="AT36" s="108">
        <v>1.02</v>
      </c>
      <c r="AU36" s="108">
        <v>1</v>
      </c>
      <c r="AV36" s="108">
        <v>1</v>
      </c>
      <c r="AW36" s="108">
        <v>1</v>
      </c>
      <c r="AX36" s="108">
        <v>1.05</v>
      </c>
      <c r="AZ36" s="208">
        <v>3.1441271121549399E-3</v>
      </c>
      <c r="BA36" s="209">
        <f t="shared" si="12"/>
        <v>1453.0685765159478</v>
      </c>
    </row>
    <row r="37" spans="1:53" ht="24" customHeight="1">
      <c r="A37" s="330" t="s">
        <v>2319</v>
      </c>
      <c r="B37" s="331"/>
      <c r="C37" s="88"/>
      <c r="D37" s="340">
        <v>5</v>
      </c>
      <c r="E37" s="341" t="s">
        <v>98</v>
      </c>
      <c r="F37" s="432" t="s">
        <v>2320</v>
      </c>
      <c r="G37" s="433" t="s">
        <v>215</v>
      </c>
      <c r="H37" s="434" t="s">
        <v>98</v>
      </c>
      <c r="I37" s="434" t="s">
        <v>98</v>
      </c>
      <c r="J37" s="94">
        <v>1</v>
      </c>
      <c r="K37" s="433" t="s">
        <v>144</v>
      </c>
      <c r="L37" s="435">
        <v>1.31005132299288E-7</v>
      </c>
      <c r="M37" s="95">
        <v>1</v>
      </c>
      <c r="N37" s="96">
        <f t="shared" si="0"/>
        <v>1.2164594125584303</v>
      </c>
      <c r="O37" s="432" t="str">
        <f t="shared" si="1"/>
        <v>(2,2,1,1,1,3); Calculation with average annual yield and share of technologies. Lifetime: 30a.</v>
      </c>
      <c r="P37" s="435">
        <v>3.6240751273886697E-8</v>
      </c>
      <c r="Q37" s="95">
        <v>1</v>
      </c>
      <c r="R37" s="96">
        <f t="shared" si="2"/>
        <v>1.2164594125584303</v>
      </c>
      <c r="S37" s="432" t="str">
        <f t="shared" si="3"/>
        <v>(2,2,1,1,1,3); Calculation with average annual yield and share of technologies. Lifetime: 30a.</v>
      </c>
      <c r="T37" s="435">
        <v>1.0911661583234E-8</v>
      </c>
      <c r="U37" s="95">
        <v>1</v>
      </c>
      <c r="V37" s="96">
        <f t="shared" si="4"/>
        <v>1.2164594125584303</v>
      </c>
      <c r="W37" s="432" t="str">
        <f t="shared" si="5"/>
        <v>(2,2,1,1,1,3); Calculation with average annual yield and share of technologies. Lifetime: 30a.</v>
      </c>
      <c r="X37" s="435">
        <v>7.2827366668741898E-10</v>
      </c>
      <c r="Y37" s="95">
        <v>1</v>
      </c>
      <c r="Z37" s="96">
        <f t="shared" si="6"/>
        <v>1.2164594125584303</v>
      </c>
      <c r="AA37" s="432" t="str">
        <f t="shared" si="7"/>
        <v>(2,2,1,1,1,3); Calculation with average annual yield and share of technologies. Lifetime: 30a.</v>
      </c>
      <c r="AB37" s="505" t="s">
        <v>2039</v>
      </c>
      <c r="AC37" s="505" t="s">
        <v>2087</v>
      </c>
      <c r="AD37" s="211">
        <v>10</v>
      </c>
      <c r="AE37" s="510">
        <v>0.184</v>
      </c>
      <c r="AF37" s="511">
        <f t="shared" si="11"/>
        <v>54.347826086956523</v>
      </c>
      <c r="AG37" s="77" t="s">
        <v>2289</v>
      </c>
      <c r="AH37" s="339">
        <v>2</v>
      </c>
      <c r="AI37" s="339">
        <v>2</v>
      </c>
      <c r="AJ37" s="339">
        <v>1</v>
      </c>
      <c r="AK37" s="339">
        <v>1</v>
      </c>
      <c r="AL37" s="339">
        <v>1</v>
      </c>
      <c r="AM37" s="339">
        <v>3</v>
      </c>
      <c r="AN37" s="104">
        <v>9</v>
      </c>
      <c r="AO37" s="104">
        <v>1.2</v>
      </c>
      <c r="AP37" s="107">
        <f t="shared" si="8"/>
        <v>1.0744244531716256</v>
      </c>
      <c r="AQ37" s="107">
        <f t="shared" si="9"/>
        <v>1.2164594125584303</v>
      </c>
      <c r="AR37" s="107" t="str">
        <f t="shared" si="10"/>
        <v>(2,2,1,1,1,3)</v>
      </c>
      <c r="AS37" s="108">
        <v>1.05</v>
      </c>
      <c r="AT37" s="108">
        <v>1.02</v>
      </c>
      <c r="AU37" s="108">
        <v>1</v>
      </c>
      <c r="AV37" s="108">
        <v>1</v>
      </c>
      <c r="AW37" s="108">
        <v>1</v>
      </c>
      <c r="AX37" s="108">
        <v>1.05</v>
      </c>
      <c r="AZ37" s="208">
        <v>5.7107832331923097E-2</v>
      </c>
      <c r="BA37" s="209">
        <f t="shared" si="12"/>
        <v>1453.0685765159515</v>
      </c>
    </row>
    <row r="38" spans="1:53">
      <c r="A38" s="330">
        <v>15848</v>
      </c>
      <c r="B38" s="331" t="s">
        <v>594</v>
      </c>
      <c r="C38" s="88"/>
      <c r="D38" s="340" t="s">
        <v>98</v>
      </c>
      <c r="E38" s="341">
        <v>4</v>
      </c>
      <c r="F38" s="432" t="s">
        <v>121</v>
      </c>
      <c r="G38" s="433" t="s">
        <v>98</v>
      </c>
      <c r="H38" s="434" t="s">
        <v>247</v>
      </c>
      <c r="I38" s="434" t="s">
        <v>248</v>
      </c>
      <c r="J38" s="94" t="s">
        <v>98</v>
      </c>
      <c r="K38" s="433" t="s">
        <v>104</v>
      </c>
      <c r="L38" s="435">
        <f>L11-3.6</f>
        <v>0.25026737967914414</v>
      </c>
      <c r="M38" s="95">
        <v>1</v>
      </c>
      <c r="N38" s="96">
        <f t="shared" si="0"/>
        <v>1.05</v>
      </c>
      <c r="O38" s="432" t="str">
        <f t="shared" si="1"/>
        <v>(1,na,na,na,na,na); Calculation</v>
      </c>
      <c r="P38" s="435">
        <f>P11-3.6</f>
        <v>0.25026737967914414</v>
      </c>
      <c r="Q38" s="95">
        <v>1</v>
      </c>
      <c r="R38" s="96">
        <f t="shared" si="2"/>
        <v>1.05</v>
      </c>
      <c r="S38" s="432" t="str">
        <f t="shared" si="3"/>
        <v>(1,na,na,na,na,na); Calculation</v>
      </c>
      <c r="T38" s="435">
        <f>T11-3.6</f>
        <v>0.25026737967914414</v>
      </c>
      <c r="U38" s="95">
        <v>1</v>
      </c>
      <c r="V38" s="96">
        <f t="shared" si="4"/>
        <v>1.05</v>
      </c>
      <c r="W38" s="432" t="str">
        <f t="shared" si="5"/>
        <v>(1,na,na,na,na,na); Calculation</v>
      </c>
      <c r="X38" s="435">
        <f>X11-3.6</f>
        <v>0.25026737967914414</v>
      </c>
      <c r="Y38" s="95">
        <v>1</v>
      </c>
      <c r="Z38" s="96">
        <f t="shared" si="6"/>
        <v>1.05</v>
      </c>
      <c r="AA38" s="432" t="str">
        <f t="shared" si="7"/>
        <v>(1,na,na,na,na,na); Calculation</v>
      </c>
      <c r="AB38" s="213"/>
      <c r="AC38" s="505"/>
      <c r="AD38" s="211"/>
      <c r="AE38" s="211"/>
      <c r="AF38" s="511"/>
      <c r="AG38" s="77" t="s">
        <v>249</v>
      </c>
      <c r="AH38" s="339">
        <v>1</v>
      </c>
      <c r="AI38" s="339" t="s">
        <v>106</v>
      </c>
      <c r="AJ38" s="339" t="s">
        <v>106</v>
      </c>
      <c r="AK38" s="339" t="s">
        <v>106</v>
      </c>
      <c r="AL38" s="339" t="s">
        <v>106</v>
      </c>
      <c r="AM38" s="339" t="s">
        <v>106</v>
      </c>
      <c r="AN38" s="104">
        <v>13</v>
      </c>
      <c r="AO38" s="104">
        <v>1.05</v>
      </c>
      <c r="AP38" s="107">
        <f t="shared" si="8"/>
        <v>1</v>
      </c>
      <c r="AQ38" s="107">
        <f t="shared" si="9"/>
        <v>1.05</v>
      </c>
      <c r="AR38" s="107" t="str">
        <f t="shared" si="10"/>
        <v>(1,na,na,na,na,na)</v>
      </c>
      <c r="AS38" s="108">
        <v>1</v>
      </c>
      <c r="AT38" s="108">
        <v>1</v>
      </c>
      <c r="AU38" s="108">
        <v>1</v>
      </c>
      <c r="AV38" s="108">
        <v>1</v>
      </c>
      <c r="AW38" s="108">
        <v>1</v>
      </c>
      <c r="AX38" s="108">
        <v>1</v>
      </c>
      <c r="AZ38" s="208"/>
      <c r="BA38" s="209"/>
    </row>
    <row r="39" spans="1:53">
      <c r="A39" s="330">
        <v>156329</v>
      </c>
      <c r="B39" s="331"/>
      <c r="C39" s="88"/>
      <c r="D39" s="340" t="s">
        <v>98</v>
      </c>
      <c r="E39" s="341">
        <v>4</v>
      </c>
      <c r="F39" s="432" t="s">
        <v>524</v>
      </c>
      <c r="G39" s="433" t="s">
        <v>98</v>
      </c>
      <c r="H39" s="434" t="s">
        <v>247</v>
      </c>
      <c r="I39" s="434" t="s">
        <v>248</v>
      </c>
      <c r="J39" s="94" t="s">
        <v>98</v>
      </c>
      <c r="K39" s="433" t="s">
        <v>96</v>
      </c>
      <c r="L39" s="435">
        <f>IF(RIGHT($F39,2)=L$4,0.1*SUM(L$12:L$15),0)</f>
        <v>2.1171904722019224E-4</v>
      </c>
      <c r="M39" s="95">
        <v>1</v>
      </c>
      <c r="N39" s="96">
        <f t="shared" si="0"/>
        <v>1.0906744032152329</v>
      </c>
      <c r="O39" s="432" t="str">
        <f t="shared" si="1"/>
        <v>(2,2,1,1,1,3); Assumption: 10% of water used is evaporated</v>
      </c>
      <c r="P39" s="435">
        <f>IF(RIGHT($F39,2)=P$4,0.1*SUM(P$12:P$15),0)</f>
        <v>0</v>
      </c>
      <c r="Q39" s="95">
        <v>1</v>
      </c>
      <c r="R39" s="96">
        <f t="shared" si="2"/>
        <v>1.0906744032152329</v>
      </c>
      <c r="S39" s="432" t="str">
        <f t="shared" si="3"/>
        <v>(2,2,1,1,1,3); Assumption: 10% of water used is evaporated</v>
      </c>
      <c r="T39" s="435">
        <f>IF(RIGHT($F39,2)=T$4,0.1*SUM(T$12:T$15),0)</f>
        <v>0</v>
      </c>
      <c r="U39" s="95">
        <v>1</v>
      </c>
      <c r="V39" s="96">
        <f t="shared" si="4"/>
        <v>1.0906744032152329</v>
      </c>
      <c r="W39" s="432" t="str">
        <f t="shared" si="5"/>
        <v>(2,2,1,1,1,3); Assumption: 10% of water used is evaporated</v>
      </c>
      <c r="X39" s="435">
        <f>IF(RIGHT($F39,2)=X$4,0.1*SUM(X$12:X$15),0)</f>
        <v>0</v>
      </c>
      <c r="Y39" s="95">
        <v>1</v>
      </c>
      <c r="Z39" s="96">
        <f t="shared" si="6"/>
        <v>1.0906744032152329</v>
      </c>
      <c r="AA39" s="432" t="str">
        <f t="shared" si="7"/>
        <v>(2,2,1,1,1,3); Assumption: 10% of water used is evaporated</v>
      </c>
      <c r="AB39" s="213"/>
      <c r="AC39" s="505"/>
      <c r="AD39" s="211"/>
      <c r="AE39" s="211"/>
      <c r="AF39" s="511"/>
      <c r="AG39" s="77" t="s">
        <v>2217</v>
      </c>
      <c r="AH39" s="339">
        <v>2</v>
      </c>
      <c r="AI39" s="339">
        <v>2</v>
      </c>
      <c r="AJ39" s="339">
        <v>1</v>
      </c>
      <c r="AK39" s="339">
        <v>1</v>
      </c>
      <c r="AL39" s="339">
        <v>1</v>
      </c>
      <c r="AM39" s="339">
        <v>3</v>
      </c>
      <c r="AN39" s="104">
        <v>13</v>
      </c>
      <c r="AO39" s="104">
        <v>1.05</v>
      </c>
      <c r="AP39" s="107">
        <f t="shared" si="8"/>
        <v>1.0744244531716256</v>
      </c>
      <c r="AQ39" s="107">
        <f t="shared" si="9"/>
        <v>1.0906744032152329</v>
      </c>
      <c r="AR39" s="107" t="str">
        <f t="shared" si="10"/>
        <v>(2,2,1,1,1,3)</v>
      </c>
      <c r="AS39" s="108">
        <v>1.05</v>
      </c>
      <c r="AT39" s="108">
        <v>1.02</v>
      </c>
      <c r="AU39" s="108">
        <v>1</v>
      </c>
      <c r="AV39" s="108">
        <v>1</v>
      </c>
      <c r="AW39" s="108">
        <v>1</v>
      </c>
      <c r="AX39" s="108">
        <v>1.05</v>
      </c>
      <c r="AZ39" s="208"/>
      <c r="BA39" s="209"/>
    </row>
    <row r="40" spans="1:53">
      <c r="A40" s="330">
        <v>26951</v>
      </c>
      <c r="B40" s="331"/>
      <c r="C40" s="88"/>
      <c r="D40" s="340" t="s">
        <v>98</v>
      </c>
      <c r="E40" s="341">
        <v>4</v>
      </c>
      <c r="F40" s="432" t="s">
        <v>2321</v>
      </c>
      <c r="G40" s="433" t="s">
        <v>98</v>
      </c>
      <c r="H40" s="434" t="s">
        <v>247</v>
      </c>
      <c r="I40" s="434" t="s">
        <v>248</v>
      </c>
      <c r="J40" s="94" t="s">
        <v>98</v>
      </c>
      <c r="K40" s="433" t="s">
        <v>96</v>
      </c>
      <c r="L40" s="435">
        <f>IF(RIGHT($F40,2)=L$4,0.1*SUM(L$12:L$15),0)</f>
        <v>0</v>
      </c>
      <c r="M40" s="95">
        <v>1</v>
      </c>
      <c r="N40" s="96">
        <f t="shared" si="0"/>
        <v>1.0906744032152329</v>
      </c>
      <c r="O40" s="432" t="str">
        <f t="shared" si="1"/>
        <v>(2,2,1,1,1,3); Assumption: 10% of water used is evaporated</v>
      </c>
      <c r="P40" s="435">
        <f>IF(RIGHT($F40,2)=P$4,0.1*SUM(P$12:P$15),0)</f>
        <v>2.7031102006592073E-4</v>
      </c>
      <c r="Q40" s="95">
        <v>1</v>
      </c>
      <c r="R40" s="96">
        <f t="shared" si="2"/>
        <v>1.0906744032152329</v>
      </c>
      <c r="S40" s="432" t="str">
        <f t="shared" si="3"/>
        <v>(2,2,1,1,1,3); Assumption: 10% of water used is evaporated</v>
      </c>
      <c r="T40" s="435">
        <f>IF(RIGHT($F40,2)=T$4,0.1*SUM(T$12:T$15),0)</f>
        <v>0</v>
      </c>
      <c r="U40" s="95">
        <v>1</v>
      </c>
      <c r="V40" s="96">
        <f t="shared" si="4"/>
        <v>1.0906744032152329</v>
      </c>
      <c r="W40" s="432" t="str">
        <f t="shared" si="5"/>
        <v>(2,2,1,1,1,3); Assumption: 10% of water used is evaporated</v>
      </c>
      <c r="X40" s="435">
        <f>IF(RIGHT($F40,2)=X$4,0.1*SUM(X$12:X$15),0)</f>
        <v>0</v>
      </c>
      <c r="Y40" s="95">
        <v>1</v>
      </c>
      <c r="Z40" s="96">
        <f t="shared" si="6"/>
        <v>1.0906744032152329</v>
      </c>
      <c r="AA40" s="432" t="str">
        <f t="shared" si="7"/>
        <v>(2,2,1,1,1,3); Assumption: 10% of water used is evaporated</v>
      </c>
      <c r="AB40" s="213"/>
      <c r="AC40" s="505"/>
      <c r="AD40" s="211"/>
      <c r="AE40" s="211"/>
      <c r="AF40" s="511"/>
      <c r="AG40" s="77" t="s">
        <v>2217</v>
      </c>
      <c r="AH40" s="339">
        <v>2</v>
      </c>
      <c r="AI40" s="339">
        <v>2</v>
      </c>
      <c r="AJ40" s="339">
        <v>1</v>
      </c>
      <c r="AK40" s="339">
        <v>1</v>
      </c>
      <c r="AL40" s="339">
        <v>1</v>
      </c>
      <c r="AM40" s="339">
        <v>3</v>
      </c>
      <c r="AN40" s="104">
        <v>13</v>
      </c>
      <c r="AO40" s="104">
        <v>1.05</v>
      </c>
      <c r="AP40" s="107">
        <f t="shared" si="8"/>
        <v>1.0744244531716256</v>
      </c>
      <c r="AQ40" s="107">
        <f t="shared" si="9"/>
        <v>1.0906744032152329</v>
      </c>
      <c r="AR40" s="107" t="str">
        <f t="shared" si="10"/>
        <v>(2,2,1,1,1,3)</v>
      </c>
      <c r="AS40" s="108">
        <v>1.05</v>
      </c>
      <c r="AT40" s="108">
        <v>1.02</v>
      </c>
      <c r="AU40" s="108">
        <v>1</v>
      </c>
      <c r="AV40" s="108">
        <v>1</v>
      </c>
      <c r="AW40" s="108">
        <v>1</v>
      </c>
      <c r="AX40" s="108">
        <v>1.05</v>
      </c>
      <c r="AZ40" s="208"/>
      <c r="BA40" s="209"/>
    </row>
    <row r="41" spans="1:53">
      <c r="A41" s="330">
        <v>155229</v>
      </c>
      <c r="B41" s="331"/>
      <c r="C41" s="88"/>
      <c r="D41" s="340" t="s">
        <v>98</v>
      </c>
      <c r="E41" s="341">
        <v>4</v>
      </c>
      <c r="F41" s="432" t="s">
        <v>2322</v>
      </c>
      <c r="G41" s="433" t="s">
        <v>98</v>
      </c>
      <c r="H41" s="434" t="s">
        <v>247</v>
      </c>
      <c r="I41" s="434" t="s">
        <v>248</v>
      </c>
      <c r="J41" s="94" t="s">
        <v>98</v>
      </c>
      <c r="K41" s="433" t="s">
        <v>96</v>
      </c>
      <c r="L41" s="435">
        <f>IF(RIGHT($F41,2)=L$4,0.1*SUM(L$12:L$15),0)</f>
        <v>0</v>
      </c>
      <c r="M41" s="95">
        <v>1</v>
      </c>
      <c r="N41" s="96">
        <f t="shared" si="0"/>
        <v>1.0906744032152329</v>
      </c>
      <c r="O41" s="432" t="str">
        <f t="shared" si="1"/>
        <v>(2,2,1,1,1,3); Assumption: 10% of water used is evaporated</v>
      </c>
      <c r="P41" s="435">
        <f>IF(RIGHT($F41,2)=P$4,0.1*SUM(P$12:P$15),0)</f>
        <v>0</v>
      </c>
      <c r="Q41" s="95">
        <v>1</v>
      </c>
      <c r="R41" s="96">
        <f t="shared" si="2"/>
        <v>1.0906744032152329</v>
      </c>
      <c r="S41" s="432" t="str">
        <f t="shared" si="3"/>
        <v>(2,2,1,1,1,3); Assumption: 10% of water used is evaporated</v>
      </c>
      <c r="T41" s="435">
        <f>IF(RIGHT($F41,2)=T$4,0.1*SUM(T$12:T$15),0)</f>
        <v>1.833617662009499E-4</v>
      </c>
      <c r="U41" s="95">
        <v>1</v>
      </c>
      <c r="V41" s="96">
        <f t="shared" si="4"/>
        <v>1.0906744032152329</v>
      </c>
      <c r="W41" s="432" t="str">
        <f t="shared" si="5"/>
        <v>(2,2,1,1,1,3); Assumption: 10% of water used is evaporated</v>
      </c>
      <c r="X41" s="435">
        <f>IF(RIGHT($F41,2)=X$4,0.1*SUM(X$12:X$15),0)</f>
        <v>0</v>
      </c>
      <c r="Y41" s="95">
        <v>1</v>
      </c>
      <c r="Z41" s="96">
        <f t="shared" si="6"/>
        <v>1.0906744032152329</v>
      </c>
      <c r="AA41" s="432" t="str">
        <f t="shared" si="7"/>
        <v>(2,2,1,1,1,3); Assumption: 10% of water used is evaporated</v>
      </c>
      <c r="AB41" s="213"/>
      <c r="AC41" s="505"/>
      <c r="AD41" s="211"/>
      <c r="AE41" s="211"/>
      <c r="AF41" s="511"/>
      <c r="AG41" s="77" t="s">
        <v>2217</v>
      </c>
      <c r="AH41" s="339">
        <v>2</v>
      </c>
      <c r="AI41" s="339">
        <v>2</v>
      </c>
      <c r="AJ41" s="339">
        <v>1</v>
      </c>
      <c r="AK41" s="339">
        <v>1</v>
      </c>
      <c r="AL41" s="339">
        <v>1</v>
      </c>
      <c r="AM41" s="339">
        <v>3</v>
      </c>
      <c r="AN41" s="104">
        <v>13</v>
      </c>
      <c r="AO41" s="104">
        <v>1.05</v>
      </c>
      <c r="AP41" s="107">
        <f t="shared" si="8"/>
        <v>1.0744244531716256</v>
      </c>
      <c r="AQ41" s="107">
        <f t="shared" si="9"/>
        <v>1.0906744032152329</v>
      </c>
      <c r="AR41" s="107" t="str">
        <f t="shared" si="10"/>
        <v>(2,2,1,1,1,3)</v>
      </c>
      <c r="AS41" s="108">
        <v>1.05</v>
      </c>
      <c r="AT41" s="108">
        <v>1.02</v>
      </c>
      <c r="AU41" s="108">
        <v>1</v>
      </c>
      <c r="AV41" s="108">
        <v>1</v>
      </c>
      <c r="AW41" s="108">
        <v>1</v>
      </c>
      <c r="AX41" s="108">
        <v>1.05</v>
      </c>
      <c r="AZ41" s="208"/>
      <c r="BA41" s="209"/>
    </row>
    <row r="42" spans="1:53">
      <c r="A42" s="330">
        <v>65975</v>
      </c>
      <c r="B42" s="331"/>
      <c r="C42" s="88"/>
      <c r="D42" s="340" t="s">
        <v>98</v>
      </c>
      <c r="E42" s="341">
        <v>4</v>
      </c>
      <c r="F42" s="432" t="s">
        <v>2323</v>
      </c>
      <c r="G42" s="433" t="s">
        <v>98</v>
      </c>
      <c r="H42" s="434" t="s">
        <v>247</v>
      </c>
      <c r="I42" s="434" t="s">
        <v>248</v>
      </c>
      <c r="J42" s="94" t="s">
        <v>98</v>
      </c>
      <c r="K42" s="433" t="s">
        <v>96</v>
      </c>
      <c r="L42" s="435">
        <f>IF(RIGHT($F42,2)=L$4,0.1*SUM(L$12:L$15),0)</f>
        <v>0</v>
      </c>
      <c r="M42" s="95">
        <v>1</v>
      </c>
      <c r="N42" s="96">
        <f t="shared" si="0"/>
        <v>1.0906744032152329</v>
      </c>
      <c r="O42" s="432" t="str">
        <f t="shared" si="1"/>
        <v>(2,2,1,1,1,3); Assumption: 10% of water used is evaporated</v>
      </c>
      <c r="P42" s="435">
        <f>IF(RIGHT($F42,2)=P$4,0.1*SUM(P$12:P$15),0)</f>
        <v>0</v>
      </c>
      <c r="Q42" s="95">
        <v>1</v>
      </c>
      <c r="R42" s="96">
        <f t="shared" si="2"/>
        <v>1.0906744032152329</v>
      </c>
      <c r="S42" s="432" t="str">
        <f t="shared" si="3"/>
        <v>(2,2,1,1,1,3); Assumption: 10% of water used is evaporated</v>
      </c>
      <c r="T42" s="435">
        <f>IF(RIGHT($F42,2)=T$4,0.1*SUM(T$12:T$15),0)</f>
        <v>0</v>
      </c>
      <c r="U42" s="95">
        <v>1</v>
      </c>
      <c r="V42" s="96">
        <f t="shared" si="4"/>
        <v>1.0906744032152329</v>
      </c>
      <c r="W42" s="432" t="str">
        <f t="shared" si="5"/>
        <v>(2,2,1,1,1,3); Assumption: 10% of water used is evaporated</v>
      </c>
      <c r="X42" s="435">
        <f>IF(RIGHT($F42,2)=X$4,0.1*SUM(X$12:X$15),0)</f>
        <v>1.8274591116522289E-4</v>
      </c>
      <c r="Y42" s="95">
        <v>1</v>
      </c>
      <c r="Z42" s="96">
        <f t="shared" si="6"/>
        <v>1.0906744032152329</v>
      </c>
      <c r="AA42" s="432" t="str">
        <f t="shared" si="7"/>
        <v>(2,2,1,1,1,3); Assumption: 10% of water used is evaporated</v>
      </c>
      <c r="AB42" s="213"/>
      <c r="AC42" s="505"/>
      <c r="AD42" s="211"/>
      <c r="AE42" s="211"/>
      <c r="AF42" s="511"/>
      <c r="AG42" s="77" t="s">
        <v>2217</v>
      </c>
      <c r="AH42" s="339">
        <v>2</v>
      </c>
      <c r="AI42" s="339">
        <v>2</v>
      </c>
      <c r="AJ42" s="339">
        <v>1</v>
      </c>
      <c r="AK42" s="339">
        <v>1</v>
      </c>
      <c r="AL42" s="339">
        <v>1</v>
      </c>
      <c r="AM42" s="339">
        <v>3</v>
      </c>
      <c r="AN42" s="104">
        <v>13</v>
      </c>
      <c r="AO42" s="104">
        <v>1.05</v>
      </c>
      <c r="AP42" s="107">
        <f t="shared" si="8"/>
        <v>1.0744244531716256</v>
      </c>
      <c r="AQ42" s="107">
        <f t="shared" si="9"/>
        <v>1.0906744032152329</v>
      </c>
      <c r="AR42" s="107" t="str">
        <f t="shared" si="10"/>
        <v>(2,2,1,1,1,3)</v>
      </c>
      <c r="AS42" s="108">
        <v>1.05</v>
      </c>
      <c r="AT42" s="108">
        <v>1.02</v>
      </c>
      <c r="AU42" s="108">
        <v>1</v>
      </c>
      <c r="AV42" s="108">
        <v>1</v>
      </c>
      <c r="AW42" s="108">
        <v>1</v>
      </c>
      <c r="AX42" s="108">
        <v>1.05</v>
      </c>
      <c r="AZ42" s="208"/>
      <c r="BA42" s="209"/>
    </row>
    <row r="43" spans="1:53">
      <c r="A43" s="330"/>
      <c r="B43" s="331"/>
      <c r="C43" s="88"/>
      <c r="D43" s="340"/>
      <c r="E43" s="341"/>
      <c r="F43" s="432"/>
      <c r="G43" s="433"/>
      <c r="H43" s="434"/>
      <c r="I43" s="434"/>
      <c r="J43" s="94"/>
      <c r="K43" s="433"/>
      <c r="L43" s="435"/>
      <c r="M43" s="95"/>
      <c r="N43" s="96"/>
      <c r="O43" s="432"/>
      <c r="P43" s="435"/>
      <c r="Q43" s="95"/>
      <c r="R43" s="96"/>
      <c r="S43" s="432"/>
      <c r="T43" s="435"/>
      <c r="U43" s="95"/>
      <c r="V43" s="96"/>
      <c r="W43" s="432"/>
      <c r="X43" s="435"/>
      <c r="Y43" s="95"/>
      <c r="Z43" s="96"/>
      <c r="AA43" s="432"/>
      <c r="AB43" s="213"/>
      <c r="AC43" s="505"/>
      <c r="AD43" s="211"/>
      <c r="AE43" s="211"/>
      <c r="AF43" s="511"/>
      <c r="AG43" s="77"/>
      <c r="AH43" s="339"/>
      <c r="AI43" s="339"/>
      <c r="AJ43" s="339"/>
      <c r="AK43" s="339"/>
      <c r="AL43" s="339"/>
      <c r="AM43" s="339"/>
      <c r="AN43" s="104"/>
      <c r="AO43" s="104"/>
      <c r="AP43" s="107"/>
      <c r="AQ43" s="107"/>
      <c r="AR43" s="107"/>
      <c r="AS43" s="108"/>
      <c r="AT43" s="108"/>
      <c r="AU43" s="108"/>
      <c r="AV43" s="108"/>
      <c r="AW43" s="108"/>
      <c r="AX43" s="108"/>
      <c r="AZ43" s="208"/>
      <c r="BA43" s="209"/>
    </row>
    <row r="44" spans="1:53" s="109" customFormat="1">
      <c r="A44" s="378"/>
      <c r="B44" s="114"/>
      <c r="C44" s="115"/>
      <c r="D44" s="378"/>
      <c r="E44" s="378"/>
      <c r="F44" s="378"/>
      <c r="G44" s="378"/>
      <c r="H44" s="378"/>
      <c r="I44" s="378"/>
      <c r="J44" s="378"/>
      <c r="K44" s="378"/>
      <c r="L44" s="198"/>
      <c r="M44" s="214"/>
      <c r="N44" s="214"/>
      <c r="O44" s="214"/>
      <c r="P44" s="198"/>
      <c r="Q44" s="214"/>
      <c r="R44" s="214"/>
      <c r="S44" s="214"/>
      <c r="T44" s="198"/>
      <c r="U44" s="214"/>
      <c r="V44" s="214"/>
      <c r="W44" s="214"/>
      <c r="X44" s="198"/>
      <c r="Y44" s="116"/>
      <c r="Z44" s="116"/>
      <c r="AA44" s="116"/>
      <c r="AB44" s="213"/>
      <c r="AC44" s="505"/>
      <c r="AD44" s="211"/>
      <c r="AE44" s="211"/>
      <c r="AF44" s="212"/>
      <c r="AG44" s="407"/>
      <c r="AH44" s="407"/>
      <c r="AI44" s="407"/>
      <c r="AJ44" s="407"/>
      <c r="AK44" s="407"/>
      <c r="AL44" s="407"/>
      <c r="AM44" s="407"/>
      <c r="AN44" s="407"/>
      <c r="AO44" s="378"/>
      <c r="AP44" s="378"/>
      <c r="AQ44" s="378"/>
      <c r="AR44" s="378"/>
      <c r="AS44" s="378"/>
      <c r="AT44" s="378"/>
      <c r="AU44" s="378"/>
      <c r="AV44" s="378"/>
      <c r="AW44" s="378"/>
      <c r="AX44" s="378"/>
      <c r="AZ44" s="207"/>
      <c r="BA44" s="207"/>
    </row>
    <row r="45" spans="1:53" s="109" customFormat="1">
      <c r="A45" s="378"/>
      <c r="B45" s="114"/>
      <c r="C45" s="115"/>
      <c r="D45" s="378"/>
      <c r="E45" s="378"/>
      <c r="F45" s="378"/>
      <c r="G45" s="378"/>
      <c r="H45" s="378"/>
      <c r="I45" s="378"/>
      <c r="J45" s="378"/>
      <c r="K45" s="378"/>
      <c r="L45" s="198"/>
      <c r="M45" s="214"/>
      <c r="N45" s="214"/>
      <c r="O45" s="214"/>
      <c r="P45" s="198"/>
      <c r="Q45" s="214"/>
      <c r="R45" s="214"/>
      <c r="S45" s="214"/>
      <c r="T45" s="198"/>
      <c r="U45" s="214"/>
      <c r="V45" s="214"/>
      <c r="W45" s="214"/>
      <c r="X45" s="198"/>
      <c r="Y45" s="116"/>
      <c r="Z45" s="116"/>
      <c r="AA45" s="116"/>
      <c r="AB45" s="213"/>
      <c r="AC45" s="505"/>
      <c r="AD45" s="211"/>
      <c r="AE45" s="211"/>
      <c r="AF45" s="212"/>
      <c r="AG45" s="407"/>
      <c r="AH45" s="407"/>
      <c r="AI45" s="407"/>
      <c r="AJ45" s="407"/>
      <c r="AK45" s="407"/>
      <c r="AL45" s="407"/>
      <c r="AM45" s="407"/>
      <c r="AN45" s="407"/>
      <c r="AO45" s="378"/>
      <c r="AP45" s="378"/>
      <c r="AQ45" s="378"/>
      <c r="AR45" s="378"/>
      <c r="AS45" s="378"/>
      <c r="AT45" s="378"/>
      <c r="AU45" s="378"/>
      <c r="AV45" s="378"/>
      <c r="AW45" s="378"/>
      <c r="AX45" s="378"/>
      <c r="AZ45" s="207"/>
      <c r="BA45" s="207"/>
    </row>
  </sheetData>
  <mergeCells count="1">
    <mergeCell ref="AH1:AM1"/>
  </mergeCells>
  <conditionalFormatting sqref="D11:AA43 AG11:AM43">
    <cfRule type="expression" dxfId="42" priority="4">
      <formula>MOD(ROW(),2)=0</formula>
    </cfRule>
  </conditionalFormatting>
  <conditionalFormatting sqref="AN11:AX43">
    <cfRule type="expression" dxfId="41" priority="2">
      <formula>MOD(ROW(),2)=0</formula>
    </cfRule>
  </conditionalFormatting>
  <dataValidations count="12">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H3" xr:uid="{00000000-0002-0000-5A00-000004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M3" xr:uid="{00000000-0002-0000-5A00-000005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L3" xr:uid="{00000000-0002-0000-5A00-000006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K3" xr:uid="{00000000-0002-0000-5A00-000007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J3" xr:uid="{00000000-0002-0000-5A00-000008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I3" xr:uid="{00000000-0002-0000-5A00-000009000000}"/>
    <dataValidation allowBlank="1" showInputMessage="1" showErrorMessage="1" prompt="Do not change." sqref="AN3:AX4 AP7:AX8" xr:uid="{00000000-0002-0000-5A00-00000A000000}"/>
    <dataValidation allowBlank="1" showInputMessage="1" showErrorMessage="1" promptTitle="Remarks" prompt="A general comment (data source, calculation procedure, ...) can be made about each individual exchange. The remarks are added to the GeneralComment-field." sqref="AG3" xr:uid="{00000000-0002-0000-5A00-00000B000000}"/>
    <dataValidation allowBlank="1" showInputMessage="1" showErrorMessage="1" promptTitle="Do not change" prompt="This field is automatically updated from the names-list" sqref="AR11:AR43" xr:uid="{00000000-0002-0000-5A00-000000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Y2:Y43 U2:U43 Q2:Q43 M2:M43" xr:uid="{00000000-0002-0000-5A00-000001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Z2:Z43 V2:V43 R2:R43 N2:N43" xr:uid="{00000000-0002-0000-5A00-000002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AA1:AA43 W1:W43 S1:S43 O1:O43" xr:uid="{00000000-0002-0000-5A00-000003000000}"/>
  </dataValidations>
  <pageMargins left="0.78740157499999996" right="0.78740157499999996" top="0.984251969" bottom="0.984251969" header="0.4921259845" footer="0.4921259845"/>
  <pageSetup paperSize="9" scale="42" fitToWidth="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Tabelle98">
    <tabColor rgb="FF9CD9F0"/>
    <pageSetUpPr fitToPage="1"/>
  </sheetPr>
  <dimension ref="A1:BQ59"/>
  <sheetViews>
    <sheetView topLeftCell="A22" workbookViewId="0">
      <selection activeCell="T33" sqref="T33"/>
    </sheetView>
  </sheetViews>
  <sheetFormatPr baseColWidth="10" defaultColWidth="11.42578125" defaultRowHeight="12" outlineLevelRow="1"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2.7109375" style="378" customWidth="1" collapsed="1"/>
    <col min="17" max="18" width="5.7109375" style="116" hidden="1" customWidth="1" outlineLevel="1"/>
    <col min="19" max="19" width="50.7109375" style="116" hidden="1" customWidth="1" outlineLevel="1"/>
    <col min="20" max="20" width="12.7109375" style="378" customWidth="1" collapsed="1"/>
    <col min="21" max="22" width="5.7109375" style="116" hidden="1" customWidth="1" outlineLevel="1"/>
    <col min="23" max="23" width="50.7109375" style="116" hidden="1" customWidth="1" outlineLevel="1"/>
    <col min="24" max="24" width="12.7109375" style="378" customWidth="1" collapsed="1"/>
    <col min="25" max="26" width="5.7109375" style="116" hidden="1" customWidth="1" outlineLevel="1"/>
    <col min="27" max="27" width="50.7109375" style="116" hidden="1" customWidth="1" outlineLevel="1"/>
    <col min="28" max="28" width="12.7109375" style="378" customWidth="1" collapsed="1"/>
    <col min="29" max="30" width="5.7109375" style="116" hidden="1" customWidth="1" outlineLevel="1"/>
    <col min="31" max="31" width="50.7109375" style="116" hidden="1" customWidth="1" outlineLevel="1"/>
    <col min="32" max="32" width="12.7109375" style="378" customWidth="1" collapsed="1"/>
    <col min="33" max="34" width="5.7109375" style="116" hidden="1" customWidth="1" outlineLevel="1"/>
    <col min="35" max="35" width="50.7109375" style="116" hidden="1" customWidth="1" outlineLevel="1"/>
    <col min="36" max="36" width="12.7109375" style="378" customWidth="1" collapsed="1"/>
    <col min="37" max="38" width="5.7109375" style="116" hidden="1" customWidth="1" outlineLevel="1"/>
    <col min="39" max="39" width="50.7109375" style="116" hidden="1" customWidth="1" outlineLevel="1"/>
    <col min="40" max="40" width="12.7109375" style="378" customWidth="1" collapsed="1"/>
    <col min="41" max="42" width="5.7109375" style="116" hidden="1" customWidth="1" outlineLevel="1"/>
    <col min="43" max="43" width="50.7109375" style="116" hidden="1" customWidth="1" outlineLevel="1"/>
    <col min="44" max="44" width="10.7109375" style="212" customWidth="1" collapsed="1"/>
    <col min="45" max="46" width="8.7109375" style="212" customWidth="1"/>
    <col min="47" max="48" width="6.7109375" style="212" customWidth="1"/>
    <col min="49" max="49" width="30.7109375" style="407" customWidth="1"/>
    <col min="50" max="50" width="4.140625" style="407" customWidth="1"/>
    <col min="51" max="51" width="4.42578125" style="407" customWidth="1"/>
    <col min="52" max="52" width="4.28515625" style="407" customWidth="1"/>
    <col min="53" max="53" width="4" style="407" customWidth="1"/>
    <col min="54" max="54" width="3.7109375" style="407" customWidth="1"/>
    <col min="55" max="55" width="4.28515625" style="407" customWidth="1"/>
    <col min="56" max="56" width="3.42578125" style="407" hidden="1" customWidth="1" outlineLevel="1"/>
    <col min="57" max="57" width="4.7109375" style="378" hidden="1" customWidth="1" outlineLevel="1"/>
    <col min="58" max="59" width="5.42578125" style="378" hidden="1" customWidth="1" outlineLevel="1"/>
    <col min="60" max="60" width="14.85546875" style="378" hidden="1" customWidth="1" outlineLevel="1"/>
    <col min="61" max="66" width="4.28515625" style="378" hidden="1" customWidth="1" outlineLevel="1"/>
    <col min="67" max="67" width="11.42578125" style="399" customWidth="1" collapsed="1"/>
    <col min="68" max="69" width="11.42578125" style="207" customWidth="1"/>
    <col min="70" max="71" width="11.42578125" style="399" customWidth="1"/>
    <col min="72" max="16384" width="11.42578125" style="399"/>
  </cols>
  <sheetData>
    <row r="1" spans="1:69">
      <c r="A1" s="77"/>
      <c r="B1" s="78"/>
      <c r="C1" s="79"/>
      <c r="D1" s="77"/>
      <c r="E1" s="77"/>
      <c r="F1" s="80" t="s">
        <v>65</v>
      </c>
      <c r="G1" s="77"/>
      <c r="H1" s="77"/>
      <c r="I1" s="77"/>
      <c r="J1" s="77"/>
      <c r="K1" s="77"/>
      <c r="L1" s="330">
        <v>259697</v>
      </c>
      <c r="M1" s="81"/>
      <c r="N1" s="81"/>
      <c r="O1" s="81"/>
      <c r="P1" s="330">
        <v>263031</v>
      </c>
      <c r="Q1" s="81"/>
      <c r="R1" s="81"/>
      <c r="S1" s="81"/>
      <c r="T1" s="330">
        <v>259679</v>
      </c>
      <c r="U1" s="81"/>
      <c r="V1" s="81"/>
      <c r="W1" s="81"/>
      <c r="X1" s="330">
        <v>259635</v>
      </c>
      <c r="Y1" s="81"/>
      <c r="Z1" s="81"/>
      <c r="AA1" s="81"/>
      <c r="AB1" s="330">
        <v>259717</v>
      </c>
      <c r="AC1" s="81"/>
      <c r="AD1" s="81"/>
      <c r="AE1" s="81"/>
      <c r="AF1" s="330">
        <v>259567</v>
      </c>
      <c r="AG1" s="81"/>
      <c r="AH1" s="81"/>
      <c r="AI1" s="81"/>
      <c r="AJ1" s="330">
        <v>259491</v>
      </c>
      <c r="AK1" s="81"/>
      <c r="AL1" s="81"/>
      <c r="AM1" s="81"/>
      <c r="AN1" s="330">
        <v>259599</v>
      </c>
      <c r="AO1" s="81"/>
      <c r="AP1" s="81"/>
      <c r="AQ1" s="81"/>
      <c r="AW1" s="378"/>
      <c r="AX1" s="1586"/>
      <c r="AY1" s="1581"/>
      <c r="AZ1" s="1581"/>
      <c r="BA1" s="1581"/>
      <c r="BB1" s="1581"/>
      <c r="BC1" s="1581"/>
      <c r="BD1" s="406"/>
      <c r="BE1" s="406"/>
      <c r="BF1" s="406"/>
      <c r="BG1" s="406"/>
      <c r="BH1" s="406"/>
    </row>
    <row r="2" spans="1:69">
      <c r="A2" s="77"/>
      <c r="B2" s="82"/>
      <c r="C2" s="79" t="s">
        <v>67</v>
      </c>
      <c r="D2" s="82">
        <v>3503</v>
      </c>
      <c r="E2" s="82">
        <v>3504</v>
      </c>
      <c r="F2" s="82">
        <v>3702</v>
      </c>
      <c r="G2" s="82">
        <v>3703</v>
      </c>
      <c r="H2" s="82">
        <v>3506</v>
      </c>
      <c r="I2" s="82">
        <v>3507</v>
      </c>
      <c r="J2" s="82">
        <v>3508</v>
      </c>
      <c r="K2" s="82">
        <v>3706</v>
      </c>
      <c r="L2" s="82">
        <v>3707</v>
      </c>
      <c r="M2" s="419">
        <v>3708</v>
      </c>
      <c r="N2" s="419">
        <v>3709</v>
      </c>
      <c r="O2" s="420">
        <v>3792</v>
      </c>
      <c r="P2" s="82">
        <v>3707</v>
      </c>
      <c r="Q2" s="419">
        <v>3708</v>
      </c>
      <c r="R2" s="419">
        <v>3709</v>
      </c>
      <c r="S2" s="420">
        <v>3792</v>
      </c>
      <c r="T2" s="82">
        <v>3707</v>
      </c>
      <c r="U2" s="419">
        <v>3708</v>
      </c>
      <c r="V2" s="419">
        <v>3709</v>
      </c>
      <c r="W2" s="420">
        <v>3792</v>
      </c>
      <c r="X2" s="82">
        <v>3707</v>
      </c>
      <c r="Y2" s="419">
        <v>3708</v>
      </c>
      <c r="Z2" s="419">
        <v>3709</v>
      </c>
      <c r="AA2" s="420">
        <v>3792</v>
      </c>
      <c r="AB2" s="82">
        <v>3707</v>
      </c>
      <c r="AC2" s="419">
        <v>3708</v>
      </c>
      <c r="AD2" s="419">
        <v>3709</v>
      </c>
      <c r="AE2" s="420">
        <v>3792</v>
      </c>
      <c r="AF2" s="82">
        <v>3707</v>
      </c>
      <c r="AG2" s="419">
        <v>3708</v>
      </c>
      <c r="AH2" s="419">
        <v>3709</v>
      </c>
      <c r="AI2" s="420">
        <v>3792</v>
      </c>
      <c r="AJ2" s="82">
        <v>3707</v>
      </c>
      <c r="AK2" s="419">
        <v>3708</v>
      </c>
      <c r="AL2" s="419">
        <v>3709</v>
      </c>
      <c r="AM2" s="420">
        <v>3792</v>
      </c>
      <c r="AN2" s="82">
        <v>3707</v>
      </c>
      <c r="AO2" s="419">
        <v>3708</v>
      </c>
      <c r="AP2" s="419">
        <v>3709</v>
      </c>
      <c r="AQ2" s="420">
        <v>3792</v>
      </c>
      <c r="AR2" s="253"/>
      <c r="AS2" s="253"/>
      <c r="AT2" s="253"/>
      <c r="AU2" s="253"/>
      <c r="AV2" s="253"/>
      <c r="AW2" s="406"/>
      <c r="AX2" s="406"/>
      <c r="AY2" s="406"/>
      <c r="AZ2" s="406"/>
      <c r="BA2" s="406"/>
      <c r="BB2" s="406"/>
      <c r="BC2" s="406"/>
      <c r="BD2" s="406"/>
    </row>
    <row r="3" spans="1:69" ht="105.75" customHeight="1">
      <c r="A3" s="83" t="s">
        <v>68</v>
      </c>
      <c r="B3" s="84"/>
      <c r="C3" s="79">
        <v>401</v>
      </c>
      <c r="D3" s="85" t="s">
        <v>69</v>
      </c>
      <c r="E3" s="85" t="s">
        <v>70</v>
      </c>
      <c r="F3" s="86" t="s">
        <v>71</v>
      </c>
      <c r="G3" s="85" t="s">
        <v>72</v>
      </c>
      <c r="H3" s="85" t="s">
        <v>73</v>
      </c>
      <c r="I3" s="85" t="s">
        <v>74</v>
      </c>
      <c r="J3" s="85" t="s">
        <v>75</v>
      </c>
      <c r="K3" s="85" t="s">
        <v>76</v>
      </c>
      <c r="L3" s="87" t="s">
        <v>2324</v>
      </c>
      <c r="M3" s="422" t="s">
        <v>78</v>
      </c>
      <c r="N3" s="422" t="s">
        <v>79</v>
      </c>
      <c r="O3" s="423" t="s">
        <v>80</v>
      </c>
      <c r="P3" s="87" t="s">
        <v>2325</v>
      </c>
      <c r="Q3" s="422" t="s">
        <v>78</v>
      </c>
      <c r="R3" s="422" t="s">
        <v>79</v>
      </c>
      <c r="S3" s="423" t="s">
        <v>80</v>
      </c>
      <c r="T3" s="87" t="s">
        <v>2326</v>
      </c>
      <c r="U3" s="422" t="s">
        <v>78</v>
      </c>
      <c r="V3" s="422" t="s">
        <v>79</v>
      </c>
      <c r="W3" s="423" t="s">
        <v>80</v>
      </c>
      <c r="X3" s="87" t="s">
        <v>2327</v>
      </c>
      <c r="Y3" s="422" t="s">
        <v>78</v>
      </c>
      <c r="Z3" s="422" t="s">
        <v>79</v>
      </c>
      <c r="AA3" s="423" t="s">
        <v>80</v>
      </c>
      <c r="AB3" s="87" t="s">
        <v>2328</v>
      </c>
      <c r="AC3" s="422" t="s">
        <v>78</v>
      </c>
      <c r="AD3" s="422" t="s">
        <v>79</v>
      </c>
      <c r="AE3" s="423" t="s">
        <v>80</v>
      </c>
      <c r="AF3" s="87" t="s">
        <v>2329</v>
      </c>
      <c r="AG3" s="422" t="s">
        <v>78</v>
      </c>
      <c r="AH3" s="422" t="s">
        <v>79</v>
      </c>
      <c r="AI3" s="423" t="s">
        <v>80</v>
      </c>
      <c r="AJ3" s="87" t="s">
        <v>2330</v>
      </c>
      <c r="AK3" s="422" t="s">
        <v>78</v>
      </c>
      <c r="AL3" s="422" t="s">
        <v>79</v>
      </c>
      <c r="AM3" s="423" t="s">
        <v>80</v>
      </c>
      <c r="AN3" s="87" t="s">
        <v>2331</v>
      </c>
      <c r="AO3" s="422" t="s">
        <v>78</v>
      </c>
      <c r="AP3" s="422" t="s">
        <v>79</v>
      </c>
      <c r="AQ3" s="423" t="s">
        <v>80</v>
      </c>
      <c r="AR3" s="210" t="s">
        <v>2199</v>
      </c>
      <c r="AS3" s="210" t="s">
        <v>2201</v>
      </c>
      <c r="AT3" s="210" t="s">
        <v>2202</v>
      </c>
      <c r="AU3" s="210" t="s">
        <v>2033</v>
      </c>
      <c r="AV3" s="210" t="s">
        <v>2203</v>
      </c>
      <c r="AW3" s="97" t="s">
        <v>363</v>
      </c>
      <c r="AX3" s="98" t="s">
        <v>364</v>
      </c>
      <c r="AY3" s="98" t="s">
        <v>365</v>
      </c>
      <c r="AZ3" s="98" t="s">
        <v>366</v>
      </c>
      <c r="BA3" s="98" t="s">
        <v>367</v>
      </c>
      <c r="BB3" s="98" t="s">
        <v>368</v>
      </c>
      <c r="BC3" s="98" t="s">
        <v>369</v>
      </c>
      <c r="BD3" s="99" t="s">
        <v>88</v>
      </c>
      <c r="BE3" s="99" t="s">
        <v>370</v>
      </c>
      <c r="BF3" s="99" t="s">
        <v>90</v>
      </c>
      <c r="BG3" s="99" t="s">
        <v>91</v>
      </c>
      <c r="BH3" s="99" t="s">
        <v>371</v>
      </c>
      <c r="BI3" s="100" t="s">
        <v>364</v>
      </c>
      <c r="BJ3" s="100" t="s">
        <v>365</v>
      </c>
      <c r="BK3" s="100" t="s">
        <v>366</v>
      </c>
      <c r="BL3" s="100" t="s">
        <v>367</v>
      </c>
      <c r="BM3" s="100" t="s">
        <v>368</v>
      </c>
      <c r="BN3" s="100" t="s">
        <v>369</v>
      </c>
      <c r="BP3" s="207" t="s">
        <v>2332</v>
      </c>
    </row>
    <row r="4" spans="1:69" ht="12.75" customHeight="1">
      <c r="A4" s="77"/>
      <c r="B4" s="84"/>
      <c r="C4" s="79">
        <v>662</v>
      </c>
      <c r="D4" s="86"/>
      <c r="E4" s="86"/>
      <c r="F4" s="86" t="s">
        <v>72</v>
      </c>
      <c r="G4" s="86"/>
      <c r="H4" s="86"/>
      <c r="I4" s="86"/>
      <c r="J4" s="86"/>
      <c r="K4" s="86"/>
      <c r="L4" s="87" t="s">
        <v>2129</v>
      </c>
      <c r="M4" s="425"/>
      <c r="N4" s="425"/>
      <c r="O4" s="426"/>
      <c r="P4" s="87" t="s">
        <v>2099</v>
      </c>
      <c r="Q4" s="425"/>
      <c r="R4" s="425"/>
      <c r="S4" s="426"/>
      <c r="T4" s="87" t="s">
        <v>485</v>
      </c>
      <c r="U4" s="425"/>
      <c r="V4" s="425"/>
      <c r="W4" s="426"/>
      <c r="X4" s="87" t="s">
        <v>2141</v>
      </c>
      <c r="Y4" s="425"/>
      <c r="Z4" s="425"/>
      <c r="AA4" s="426"/>
      <c r="AB4" s="87" t="s">
        <v>2127</v>
      </c>
      <c r="AC4" s="425"/>
      <c r="AD4" s="425"/>
      <c r="AE4" s="426"/>
      <c r="AF4" s="87" t="s">
        <v>382</v>
      </c>
      <c r="AG4" s="425"/>
      <c r="AH4" s="425"/>
      <c r="AI4" s="426"/>
      <c r="AJ4" s="87" t="s">
        <v>2146</v>
      </c>
      <c r="AK4" s="425"/>
      <c r="AL4" s="425"/>
      <c r="AM4" s="426"/>
      <c r="AN4" s="87" t="s">
        <v>643</v>
      </c>
      <c r="AO4" s="425"/>
      <c r="AP4" s="425"/>
      <c r="AQ4" s="426"/>
      <c r="AR4" s="210" t="s">
        <v>103</v>
      </c>
      <c r="AS4" s="210"/>
      <c r="AT4" s="210"/>
      <c r="AU4" s="210"/>
      <c r="AV4" s="210"/>
      <c r="AW4" s="101"/>
      <c r="AX4" s="102" t="s">
        <v>94</v>
      </c>
      <c r="AY4" s="97"/>
      <c r="AZ4" s="97"/>
      <c r="BA4" s="97"/>
      <c r="BB4" s="97"/>
      <c r="BC4" s="97"/>
      <c r="BD4" s="103"/>
      <c r="BE4" s="103"/>
      <c r="BF4" s="103" t="s">
        <v>95</v>
      </c>
      <c r="BG4" s="103" t="s">
        <v>95</v>
      </c>
      <c r="BH4" s="104"/>
      <c r="BI4" s="105"/>
      <c r="BJ4" s="105"/>
      <c r="BK4" s="105"/>
      <c r="BL4" s="105"/>
      <c r="BM4" s="105"/>
      <c r="BN4" s="105"/>
      <c r="BP4" s="207" t="s">
        <v>2204</v>
      </c>
      <c r="BQ4" s="207" t="s">
        <v>2205</v>
      </c>
    </row>
    <row r="5" spans="1:69">
      <c r="A5" s="77"/>
      <c r="B5" s="84"/>
      <c r="C5" s="79">
        <v>493</v>
      </c>
      <c r="D5" s="86"/>
      <c r="E5" s="86"/>
      <c r="F5" s="86" t="s">
        <v>75</v>
      </c>
      <c r="G5" s="86"/>
      <c r="H5" s="86"/>
      <c r="I5" s="86"/>
      <c r="J5" s="86"/>
      <c r="K5" s="86"/>
      <c r="L5" s="87">
        <v>0</v>
      </c>
      <c r="M5" s="425"/>
      <c r="N5" s="425"/>
      <c r="O5" s="426"/>
      <c r="P5" s="87">
        <v>0</v>
      </c>
      <c r="Q5" s="425"/>
      <c r="R5" s="425"/>
      <c r="S5" s="426"/>
      <c r="T5" s="87">
        <v>0</v>
      </c>
      <c r="U5" s="425"/>
      <c r="V5" s="425"/>
      <c r="W5" s="426"/>
      <c r="X5" s="87">
        <v>0</v>
      </c>
      <c r="Y5" s="425"/>
      <c r="Z5" s="425"/>
      <c r="AA5" s="426"/>
      <c r="AB5" s="87">
        <v>0</v>
      </c>
      <c r="AC5" s="425"/>
      <c r="AD5" s="425"/>
      <c r="AE5" s="426"/>
      <c r="AF5" s="87">
        <v>0</v>
      </c>
      <c r="AG5" s="425"/>
      <c r="AH5" s="425"/>
      <c r="AI5" s="426"/>
      <c r="AJ5" s="87">
        <v>0</v>
      </c>
      <c r="AK5" s="425"/>
      <c r="AL5" s="425"/>
      <c r="AM5" s="426"/>
      <c r="AN5" s="87">
        <v>0</v>
      </c>
      <c r="AO5" s="425"/>
      <c r="AP5" s="425"/>
      <c r="AQ5" s="426"/>
      <c r="AR5" s="210"/>
      <c r="AS5" s="210"/>
      <c r="AT5" s="210"/>
      <c r="AU5" s="210"/>
      <c r="AV5" s="210"/>
      <c r="AW5" s="101"/>
      <c r="AX5" s="97"/>
      <c r="AY5" s="97"/>
      <c r="AZ5" s="97"/>
      <c r="BA5" s="97"/>
      <c r="BB5" s="97"/>
      <c r="BC5" s="97"/>
      <c r="BD5" s="104"/>
      <c r="BE5" s="104"/>
      <c r="BF5" s="104"/>
      <c r="BG5" s="104"/>
      <c r="BH5" s="104"/>
      <c r="BI5" s="105"/>
      <c r="BJ5" s="105"/>
      <c r="BK5" s="105"/>
      <c r="BL5" s="105"/>
      <c r="BM5" s="105"/>
      <c r="BN5" s="105"/>
    </row>
    <row r="6" spans="1:69">
      <c r="A6" s="77"/>
      <c r="B6" s="84"/>
      <c r="C6" s="79">
        <v>403</v>
      </c>
      <c r="D6" s="86"/>
      <c r="E6" s="86"/>
      <c r="F6" s="86" t="s">
        <v>76</v>
      </c>
      <c r="G6" s="86"/>
      <c r="H6" s="86"/>
      <c r="I6" s="86"/>
      <c r="J6" s="86"/>
      <c r="K6" s="86"/>
      <c r="L6" s="87" t="s">
        <v>109</v>
      </c>
      <c r="M6" s="425"/>
      <c r="N6" s="425"/>
      <c r="O6" s="426"/>
      <c r="P6" s="87" t="s">
        <v>109</v>
      </c>
      <c r="Q6" s="425"/>
      <c r="R6" s="425"/>
      <c r="S6" s="426"/>
      <c r="T6" s="87" t="s">
        <v>109</v>
      </c>
      <c r="U6" s="425"/>
      <c r="V6" s="425"/>
      <c r="W6" s="426"/>
      <c r="X6" s="87" t="s">
        <v>109</v>
      </c>
      <c r="Y6" s="425"/>
      <c r="Z6" s="425"/>
      <c r="AA6" s="426"/>
      <c r="AB6" s="87" t="s">
        <v>109</v>
      </c>
      <c r="AC6" s="425"/>
      <c r="AD6" s="425"/>
      <c r="AE6" s="426"/>
      <c r="AF6" s="87" t="s">
        <v>109</v>
      </c>
      <c r="AG6" s="425"/>
      <c r="AH6" s="425"/>
      <c r="AI6" s="426"/>
      <c r="AJ6" s="87" t="s">
        <v>109</v>
      </c>
      <c r="AK6" s="425"/>
      <c r="AL6" s="425"/>
      <c r="AM6" s="426"/>
      <c r="AN6" s="87" t="s">
        <v>109</v>
      </c>
      <c r="AO6" s="425"/>
      <c r="AP6" s="425"/>
      <c r="AQ6" s="426"/>
      <c r="AR6" s="210" t="s">
        <v>98</v>
      </c>
      <c r="AS6" s="210" t="s">
        <v>98</v>
      </c>
      <c r="AT6" s="210" t="s">
        <v>2207</v>
      </c>
      <c r="AU6" s="210" t="s">
        <v>1318</v>
      </c>
      <c r="AV6" s="210" t="s">
        <v>679</v>
      </c>
      <c r="AW6" s="101"/>
      <c r="AX6" s="106"/>
      <c r="AY6" s="106"/>
      <c r="AZ6" s="106"/>
      <c r="BA6" s="106"/>
      <c r="BB6" s="106"/>
      <c r="BC6" s="106"/>
      <c r="BD6" s="104"/>
      <c r="BE6" s="104"/>
      <c r="BF6" s="428"/>
      <c r="BG6" s="428"/>
      <c r="BH6" s="107"/>
      <c r="BI6" s="105"/>
      <c r="BJ6" s="105"/>
      <c r="BK6" s="105"/>
      <c r="BL6" s="105"/>
      <c r="BM6" s="105"/>
      <c r="BN6" s="105"/>
      <c r="BP6" s="207" t="s">
        <v>1318</v>
      </c>
      <c r="BQ6" s="207" t="s">
        <v>2206</v>
      </c>
    </row>
    <row r="7" spans="1:69" ht="24" customHeight="1">
      <c r="A7" s="330">
        <v>259697</v>
      </c>
      <c r="B7" s="331"/>
      <c r="C7" s="88"/>
      <c r="D7" s="294" t="s">
        <v>98</v>
      </c>
      <c r="E7" s="295">
        <v>0</v>
      </c>
      <c r="F7" s="429" t="s">
        <v>2324</v>
      </c>
      <c r="G7" s="430" t="s">
        <v>2129</v>
      </c>
      <c r="H7" s="431" t="s">
        <v>98</v>
      </c>
      <c r="I7" s="431" t="s">
        <v>98</v>
      </c>
      <c r="J7" s="89">
        <v>0</v>
      </c>
      <c r="K7" s="430" t="s">
        <v>109</v>
      </c>
      <c r="L7" s="90">
        <v>1</v>
      </c>
      <c r="M7" s="91"/>
      <c r="N7" s="92"/>
      <c r="O7" s="93"/>
      <c r="P7" s="90">
        <v>0</v>
      </c>
      <c r="Q7" s="91"/>
      <c r="R7" s="92"/>
      <c r="S7" s="93"/>
      <c r="T7" s="90">
        <v>0</v>
      </c>
      <c r="U7" s="91"/>
      <c r="V7" s="92"/>
      <c r="W7" s="93"/>
      <c r="X7" s="90">
        <v>0</v>
      </c>
      <c r="Y7" s="91"/>
      <c r="Z7" s="92"/>
      <c r="AA7" s="93"/>
      <c r="AB7" s="90">
        <v>0</v>
      </c>
      <c r="AC7" s="91"/>
      <c r="AD7" s="92"/>
      <c r="AE7" s="93"/>
      <c r="AF7" s="90">
        <v>0</v>
      </c>
      <c r="AG7" s="91"/>
      <c r="AH7" s="92"/>
      <c r="AI7" s="93"/>
      <c r="AJ7" s="90">
        <v>0</v>
      </c>
      <c r="AK7" s="91"/>
      <c r="AL7" s="92"/>
      <c r="AM7" s="93"/>
      <c r="AN7" s="90">
        <v>0</v>
      </c>
      <c r="AO7" s="91"/>
      <c r="AP7" s="92"/>
      <c r="AQ7" s="93"/>
      <c r="AR7" s="505"/>
      <c r="AS7" s="505"/>
      <c r="AT7" s="211"/>
      <c r="AU7" s="211"/>
      <c r="AV7" s="505"/>
      <c r="AW7" s="101"/>
      <c r="AX7" s="97"/>
      <c r="AY7" s="97"/>
      <c r="AZ7" s="97"/>
      <c r="BA7" s="97"/>
      <c r="BB7" s="97"/>
      <c r="BC7" s="97"/>
      <c r="BD7" s="104"/>
      <c r="BE7" s="104"/>
      <c r="BF7" s="104"/>
      <c r="BG7" s="104"/>
      <c r="BH7" s="104"/>
      <c r="BI7" s="104"/>
      <c r="BJ7" s="104"/>
      <c r="BK7" s="104"/>
      <c r="BL7" s="104"/>
      <c r="BM7" s="104"/>
      <c r="BN7" s="104"/>
      <c r="BP7" s="208">
        <v>1.0000000000000004</v>
      </c>
      <c r="BQ7" s="209">
        <v>990.56268327369889</v>
      </c>
    </row>
    <row r="8" spans="1:69" ht="24" customHeight="1">
      <c r="A8" s="330">
        <v>263031</v>
      </c>
      <c r="B8" s="331"/>
      <c r="C8" s="88"/>
      <c r="D8" s="294" t="s">
        <v>98</v>
      </c>
      <c r="E8" s="295">
        <v>0</v>
      </c>
      <c r="F8" s="429" t="s">
        <v>2325</v>
      </c>
      <c r="G8" s="430" t="s">
        <v>2099</v>
      </c>
      <c r="H8" s="431" t="s">
        <v>98</v>
      </c>
      <c r="I8" s="431" t="s">
        <v>98</v>
      </c>
      <c r="J8" s="89">
        <v>0</v>
      </c>
      <c r="K8" s="430" t="s">
        <v>109</v>
      </c>
      <c r="L8" s="90">
        <v>0</v>
      </c>
      <c r="M8" s="91"/>
      <c r="N8" s="92"/>
      <c r="O8" s="93"/>
      <c r="P8" s="90">
        <v>1</v>
      </c>
      <c r="Q8" s="91"/>
      <c r="R8" s="92"/>
      <c r="S8" s="93"/>
      <c r="T8" s="90">
        <v>0</v>
      </c>
      <c r="U8" s="91"/>
      <c r="V8" s="92"/>
      <c r="W8" s="93"/>
      <c r="X8" s="90">
        <v>0</v>
      </c>
      <c r="Y8" s="91"/>
      <c r="Z8" s="92"/>
      <c r="AA8" s="93"/>
      <c r="AB8" s="90">
        <v>0</v>
      </c>
      <c r="AC8" s="91"/>
      <c r="AD8" s="92"/>
      <c r="AE8" s="93"/>
      <c r="AF8" s="90">
        <v>0</v>
      </c>
      <c r="AG8" s="91"/>
      <c r="AH8" s="92"/>
      <c r="AI8" s="93"/>
      <c r="AJ8" s="90">
        <v>0</v>
      </c>
      <c r="AK8" s="91"/>
      <c r="AL8" s="92"/>
      <c r="AM8" s="93"/>
      <c r="AN8" s="90">
        <v>0</v>
      </c>
      <c r="AO8" s="91"/>
      <c r="AP8" s="92"/>
      <c r="AQ8" s="93"/>
      <c r="AR8" s="505"/>
      <c r="AS8" s="505"/>
      <c r="AT8" s="211"/>
      <c r="AU8" s="211"/>
      <c r="AV8" s="505"/>
      <c r="AW8" s="101"/>
      <c r="AX8" s="97"/>
      <c r="AY8" s="97"/>
      <c r="AZ8" s="97"/>
      <c r="BA8" s="97"/>
      <c r="BB8" s="97"/>
      <c r="BC8" s="97"/>
      <c r="BD8" s="104"/>
      <c r="BE8" s="104"/>
      <c r="BF8" s="104"/>
      <c r="BG8" s="104"/>
      <c r="BH8" s="104"/>
      <c r="BI8" s="104"/>
      <c r="BJ8" s="104"/>
      <c r="BK8" s="104"/>
      <c r="BL8" s="104"/>
      <c r="BM8" s="104"/>
      <c r="BN8" s="104"/>
      <c r="BP8" s="208">
        <v>0.40341096455070108</v>
      </c>
      <c r="BQ8" s="207" t="s">
        <v>2169</v>
      </c>
    </row>
    <row r="9" spans="1:69" ht="24" customHeight="1">
      <c r="A9" s="330">
        <v>259679</v>
      </c>
      <c r="B9" s="331"/>
      <c r="C9" s="88"/>
      <c r="D9" s="294" t="s">
        <v>98</v>
      </c>
      <c r="E9" s="295">
        <v>0</v>
      </c>
      <c r="F9" s="429" t="s">
        <v>2326</v>
      </c>
      <c r="G9" s="430" t="s">
        <v>485</v>
      </c>
      <c r="H9" s="431" t="s">
        <v>98</v>
      </c>
      <c r="I9" s="431" t="s">
        <v>98</v>
      </c>
      <c r="J9" s="89">
        <v>0</v>
      </c>
      <c r="K9" s="430" t="s">
        <v>109</v>
      </c>
      <c r="L9" s="90">
        <v>0</v>
      </c>
      <c r="M9" s="91"/>
      <c r="N9" s="92"/>
      <c r="O9" s="93"/>
      <c r="P9" s="90">
        <v>0</v>
      </c>
      <c r="Q9" s="91"/>
      <c r="R9" s="92"/>
      <c r="S9" s="93"/>
      <c r="T9" s="90">
        <v>1</v>
      </c>
      <c r="U9" s="91"/>
      <c r="V9" s="92"/>
      <c r="W9" s="93"/>
      <c r="X9" s="90">
        <v>0</v>
      </c>
      <c r="Y9" s="91"/>
      <c r="Z9" s="92"/>
      <c r="AA9" s="93"/>
      <c r="AB9" s="90">
        <v>0</v>
      </c>
      <c r="AC9" s="91"/>
      <c r="AD9" s="92"/>
      <c r="AE9" s="93"/>
      <c r="AF9" s="90">
        <v>0</v>
      </c>
      <c r="AG9" s="91"/>
      <c r="AH9" s="92"/>
      <c r="AI9" s="93"/>
      <c r="AJ9" s="90">
        <v>0</v>
      </c>
      <c r="AK9" s="91"/>
      <c r="AL9" s="92"/>
      <c r="AM9" s="93"/>
      <c r="AN9" s="90">
        <v>0</v>
      </c>
      <c r="AO9" s="91"/>
      <c r="AP9" s="92"/>
      <c r="AQ9" s="93"/>
      <c r="AR9" s="505"/>
      <c r="AS9" s="505"/>
      <c r="AT9" s="211"/>
      <c r="AU9" s="211"/>
      <c r="AV9" s="505"/>
      <c r="AW9" s="101"/>
      <c r="AX9" s="97"/>
      <c r="AY9" s="97"/>
      <c r="AZ9" s="97"/>
      <c r="BA9" s="97"/>
      <c r="BB9" s="97"/>
      <c r="BC9" s="97"/>
      <c r="BD9" s="104"/>
      <c r="BE9" s="104"/>
      <c r="BF9" s="104"/>
      <c r="BG9" s="104"/>
      <c r="BH9" s="104"/>
      <c r="BI9" s="104"/>
      <c r="BJ9" s="104"/>
      <c r="BK9" s="104"/>
      <c r="BL9" s="104"/>
      <c r="BM9" s="104"/>
      <c r="BN9" s="104"/>
      <c r="BP9" s="208">
        <v>0.79000000000000048</v>
      </c>
      <c r="BQ9" s="207" t="s">
        <v>2214</v>
      </c>
    </row>
    <row r="10" spans="1:69" ht="24" customHeight="1">
      <c r="A10" s="330">
        <v>259635</v>
      </c>
      <c r="B10" s="331"/>
      <c r="C10" s="88"/>
      <c r="D10" s="294" t="s">
        <v>98</v>
      </c>
      <c r="E10" s="295">
        <v>0</v>
      </c>
      <c r="F10" s="429" t="s">
        <v>2327</v>
      </c>
      <c r="G10" s="430" t="s">
        <v>2141</v>
      </c>
      <c r="H10" s="431" t="s">
        <v>98</v>
      </c>
      <c r="I10" s="431" t="s">
        <v>98</v>
      </c>
      <c r="J10" s="89">
        <v>0</v>
      </c>
      <c r="K10" s="430" t="s">
        <v>109</v>
      </c>
      <c r="L10" s="90">
        <v>0</v>
      </c>
      <c r="M10" s="91"/>
      <c r="N10" s="92"/>
      <c r="O10" s="93"/>
      <c r="P10" s="90">
        <v>0</v>
      </c>
      <c r="Q10" s="91"/>
      <c r="R10" s="92"/>
      <c r="S10" s="93"/>
      <c r="T10" s="90">
        <v>0</v>
      </c>
      <c r="U10" s="91"/>
      <c r="V10" s="92"/>
      <c r="W10" s="93"/>
      <c r="X10" s="90">
        <v>1</v>
      </c>
      <c r="Y10" s="91"/>
      <c r="Z10" s="92"/>
      <c r="AA10" s="93"/>
      <c r="AB10" s="90">
        <v>0</v>
      </c>
      <c r="AC10" s="91"/>
      <c r="AD10" s="92"/>
      <c r="AE10" s="93"/>
      <c r="AF10" s="90">
        <v>0</v>
      </c>
      <c r="AG10" s="91"/>
      <c r="AH10" s="92"/>
      <c r="AI10" s="93"/>
      <c r="AJ10" s="90">
        <v>0</v>
      </c>
      <c r="AK10" s="91"/>
      <c r="AL10" s="92"/>
      <c r="AM10" s="93"/>
      <c r="AN10" s="90">
        <v>0</v>
      </c>
      <c r="AO10" s="91"/>
      <c r="AP10" s="92"/>
      <c r="AQ10" s="93"/>
      <c r="AR10" s="505"/>
      <c r="AS10" s="505"/>
      <c r="AT10" s="211"/>
      <c r="AU10" s="211"/>
      <c r="AV10" s="505"/>
      <c r="AW10" s="101"/>
      <c r="AX10" s="97"/>
      <c r="AY10" s="97"/>
      <c r="AZ10" s="97"/>
      <c r="BA10" s="97"/>
      <c r="BB10" s="97"/>
      <c r="BC10" s="97"/>
      <c r="BD10" s="104"/>
      <c r="BE10" s="104"/>
      <c r="BF10" s="104"/>
      <c r="BG10" s="104"/>
      <c r="BH10" s="104"/>
      <c r="BI10" s="104"/>
      <c r="BJ10" s="104"/>
      <c r="BK10" s="104"/>
      <c r="BL10" s="104"/>
      <c r="BM10" s="104"/>
      <c r="BN10" s="104"/>
      <c r="BP10" s="208">
        <v>3.999999999999998E-2</v>
      </c>
      <c r="BQ10" s="207" t="s">
        <v>2087</v>
      </c>
    </row>
    <row r="11" spans="1:69" ht="24" customHeight="1">
      <c r="A11" s="330">
        <v>259717</v>
      </c>
      <c r="B11" s="331"/>
      <c r="C11" s="88"/>
      <c r="D11" s="294" t="s">
        <v>98</v>
      </c>
      <c r="E11" s="295">
        <v>0</v>
      </c>
      <c r="F11" s="429" t="s">
        <v>2328</v>
      </c>
      <c r="G11" s="430" t="s">
        <v>2127</v>
      </c>
      <c r="H11" s="431" t="s">
        <v>98</v>
      </c>
      <c r="I11" s="431" t="s">
        <v>98</v>
      </c>
      <c r="J11" s="89">
        <v>0</v>
      </c>
      <c r="K11" s="430" t="s">
        <v>109</v>
      </c>
      <c r="L11" s="90">
        <v>0</v>
      </c>
      <c r="M11" s="91"/>
      <c r="N11" s="92"/>
      <c r="O11" s="93"/>
      <c r="P11" s="90">
        <v>0</v>
      </c>
      <c r="Q11" s="91"/>
      <c r="R11" s="92"/>
      <c r="S11" s="93"/>
      <c r="T11" s="90">
        <v>0</v>
      </c>
      <c r="U11" s="91"/>
      <c r="V11" s="92"/>
      <c r="W11" s="93"/>
      <c r="X11" s="90">
        <v>0</v>
      </c>
      <c r="Y11" s="91"/>
      <c r="Z11" s="92"/>
      <c r="AA11" s="93"/>
      <c r="AB11" s="90">
        <v>1</v>
      </c>
      <c r="AC11" s="91"/>
      <c r="AD11" s="92"/>
      <c r="AE11" s="93"/>
      <c r="AF11" s="90">
        <v>0</v>
      </c>
      <c r="AG11" s="91"/>
      <c r="AH11" s="92"/>
      <c r="AI11" s="93"/>
      <c r="AJ11" s="90">
        <v>0</v>
      </c>
      <c r="AK11" s="91"/>
      <c r="AL11" s="92"/>
      <c r="AM11" s="93"/>
      <c r="AN11" s="90">
        <v>0</v>
      </c>
      <c r="AO11" s="91"/>
      <c r="AP11" s="92"/>
      <c r="AQ11" s="93"/>
      <c r="AR11" s="505"/>
      <c r="AS11" s="505"/>
      <c r="AT11" s="211"/>
      <c r="AU11" s="211"/>
      <c r="AV11" s="505"/>
      <c r="AW11" s="101"/>
      <c r="AX11" s="97"/>
      <c r="AY11" s="97"/>
      <c r="AZ11" s="97"/>
      <c r="BA11" s="97"/>
      <c r="BB11" s="97"/>
      <c r="BC11" s="97"/>
      <c r="BD11" s="104"/>
      <c r="BE11" s="104"/>
      <c r="BF11" s="104"/>
      <c r="BG11" s="104"/>
      <c r="BH11" s="104"/>
      <c r="BI11" s="104"/>
      <c r="BJ11" s="104"/>
      <c r="BK11" s="104"/>
      <c r="BL11" s="104"/>
      <c r="BM11" s="104"/>
      <c r="BN11" s="104"/>
    </row>
    <row r="12" spans="1:69" ht="24" customHeight="1">
      <c r="A12" s="330">
        <v>259567</v>
      </c>
      <c r="B12" s="331"/>
      <c r="C12" s="88"/>
      <c r="D12" s="294" t="s">
        <v>98</v>
      </c>
      <c r="E12" s="295">
        <v>0</v>
      </c>
      <c r="F12" s="429" t="s">
        <v>2329</v>
      </c>
      <c r="G12" s="430" t="s">
        <v>382</v>
      </c>
      <c r="H12" s="431" t="s">
        <v>98</v>
      </c>
      <c r="I12" s="431" t="s">
        <v>98</v>
      </c>
      <c r="J12" s="89">
        <v>0</v>
      </c>
      <c r="K12" s="430" t="s">
        <v>109</v>
      </c>
      <c r="L12" s="90">
        <v>0</v>
      </c>
      <c r="M12" s="91"/>
      <c r="N12" s="92"/>
      <c r="O12" s="93"/>
      <c r="P12" s="90">
        <v>0</v>
      </c>
      <c r="Q12" s="91"/>
      <c r="R12" s="92"/>
      <c r="S12" s="93"/>
      <c r="T12" s="90">
        <v>0</v>
      </c>
      <c r="U12" s="91"/>
      <c r="V12" s="92"/>
      <c r="W12" s="93"/>
      <c r="X12" s="90">
        <v>0</v>
      </c>
      <c r="Y12" s="91"/>
      <c r="Z12" s="92"/>
      <c r="AA12" s="93"/>
      <c r="AB12" s="90">
        <v>0</v>
      </c>
      <c r="AC12" s="91"/>
      <c r="AD12" s="92"/>
      <c r="AE12" s="93"/>
      <c r="AF12" s="90">
        <v>1</v>
      </c>
      <c r="AG12" s="91"/>
      <c r="AH12" s="92"/>
      <c r="AI12" s="93"/>
      <c r="AJ12" s="90">
        <v>0</v>
      </c>
      <c r="AK12" s="91"/>
      <c r="AL12" s="92"/>
      <c r="AM12" s="93"/>
      <c r="AN12" s="90">
        <v>0</v>
      </c>
      <c r="AO12" s="91"/>
      <c r="AP12" s="92"/>
      <c r="AQ12" s="93"/>
      <c r="AR12" s="505"/>
      <c r="AS12" s="505"/>
      <c r="AT12" s="211"/>
      <c r="AU12" s="211"/>
      <c r="AV12" s="505"/>
      <c r="AW12" s="101"/>
      <c r="AX12" s="97"/>
      <c r="AY12" s="97"/>
      <c r="AZ12" s="97"/>
      <c r="BA12" s="97"/>
      <c r="BB12" s="97"/>
      <c r="BC12" s="97"/>
      <c r="BD12" s="104"/>
      <c r="BE12" s="104"/>
      <c r="BF12" s="104"/>
      <c r="BG12" s="104"/>
      <c r="BH12" s="104"/>
      <c r="BI12" s="104"/>
      <c r="BJ12" s="104"/>
      <c r="BK12" s="104"/>
      <c r="BL12" s="104"/>
      <c r="BM12" s="104"/>
      <c r="BN12" s="104"/>
    </row>
    <row r="13" spans="1:69" ht="24" customHeight="1">
      <c r="A13" s="330">
        <v>259491</v>
      </c>
      <c r="B13" s="331"/>
      <c r="C13" s="88"/>
      <c r="D13" s="294" t="s">
        <v>98</v>
      </c>
      <c r="E13" s="295">
        <v>0</v>
      </c>
      <c r="F13" s="429" t="s">
        <v>2330</v>
      </c>
      <c r="G13" s="430" t="s">
        <v>2146</v>
      </c>
      <c r="H13" s="431" t="s">
        <v>98</v>
      </c>
      <c r="I13" s="431" t="s">
        <v>98</v>
      </c>
      <c r="J13" s="89">
        <v>0</v>
      </c>
      <c r="K13" s="430" t="s">
        <v>109</v>
      </c>
      <c r="L13" s="90">
        <v>0</v>
      </c>
      <c r="M13" s="91"/>
      <c r="N13" s="92"/>
      <c r="O13" s="93"/>
      <c r="P13" s="90">
        <v>0</v>
      </c>
      <c r="Q13" s="91"/>
      <c r="R13" s="92"/>
      <c r="S13" s="93"/>
      <c r="T13" s="90">
        <v>0</v>
      </c>
      <c r="U13" s="91"/>
      <c r="V13" s="92"/>
      <c r="W13" s="93"/>
      <c r="X13" s="90">
        <v>0</v>
      </c>
      <c r="Y13" s="91"/>
      <c r="Z13" s="92"/>
      <c r="AA13" s="93"/>
      <c r="AB13" s="90">
        <v>0</v>
      </c>
      <c r="AC13" s="91"/>
      <c r="AD13" s="92"/>
      <c r="AE13" s="93"/>
      <c r="AF13" s="90">
        <v>0</v>
      </c>
      <c r="AG13" s="91"/>
      <c r="AH13" s="92"/>
      <c r="AI13" s="93"/>
      <c r="AJ13" s="90">
        <v>1</v>
      </c>
      <c r="AK13" s="91"/>
      <c r="AL13" s="92"/>
      <c r="AM13" s="93"/>
      <c r="AN13" s="90">
        <v>0</v>
      </c>
      <c r="AO13" s="91"/>
      <c r="AP13" s="92"/>
      <c r="AQ13" s="93"/>
      <c r="AR13" s="505"/>
      <c r="AS13" s="505"/>
      <c r="AT13" s="211"/>
      <c r="AU13" s="211"/>
      <c r="AV13" s="505"/>
      <c r="AW13" s="101"/>
      <c r="AX13" s="97"/>
      <c r="AY13" s="97"/>
      <c r="AZ13" s="97"/>
      <c r="BA13" s="97"/>
      <c r="BB13" s="97"/>
      <c r="BC13" s="97"/>
      <c r="BD13" s="104"/>
      <c r="BE13" s="104"/>
      <c r="BF13" s="104"/>
      <c r="BG13" s="104"/>
      <c r="BH13" s="104"/>
      <c r="BI13" s="104"/>
      <c r="BJ13" s="104"/>
      <c r="BK13" s="104"/>
      <c r="BL13" s="104"/>
      <c r="BM13" s="104"/>
      <c r="BN13" s="104"/>
    </row>
    <row r="14" spans="1:69" ht="24" customHeight="1">
      <c r="A14" s="330">
        <v>259599</v>
      </c>
      <c r="B14" s="331"/>
      <c r="C14" s="88"/>
      <c r="D14" s="294" t="s">
        <v>98</v>
      </c>
      <c r="E14" s="295">
        <v>0</v>
      </c>
      <c r="F14" s="429" t="s">
        <v>2331</v>
      </c>
      <c r="G14" s="430" t="s">
        <v>643</v>
      </c>
      <c r="H14" s="431" t="s">
        <v>98</v>
      </c>
      <c r="I14" s="431" t="s">
        <v>98</v>
      </c>
      <c r="J14" s="89">
        <v>0</v>
      </c>
      <c r="K14" s="430" t="s">
        <v>109</v>
      </c>
      <c r="L14" s="90">
        <v>0</v>
      </c>
      <c r="M14" s="91"/>
      <c r="N14" s="92"/>
      <c r="O14" s="93"/>
      <c r="P14" s="90">
        <v>0</v>
      </c>
      <c r="Q14" s="91"/>
      <c r="R14" s="92"/>
      <c r="S14" s="93"/>
      <c r="T14" s="90">
        <v>0</v>
      </c>
      <c r="U14" s="91"/>
      <c r="V14" s="92"/>
      <c r="W14" s="93"/>
      <c r="X14" s="90">
        <v>0</v>
      </c>
      <c r="Y14" s="91"/>
      <c r="Z14" s="92"/>
      <c r="AA14" s="93"/>
      <c r="AB14" s="90">
        <v>0</v>
      </c>
      <c r="AC14" s="91"/>
      <c r="AD14" s="92"/>
      <c r="AE14" s="93"/>
      <c r="AF14" s="90">
        <v>0</v>
      </c>
      <c r="AG14" s="91"/>
      <c r="AH14" s="92"/>
      <c r="AI14" s="93"/>
      <c r="AJ14" s="90">
        <v>0</v>
      </c>
      <c r="AK14" s="91"/>
      <c r="AL14" s="92"/>
      <c r="AM14" s="93"/>
      <c r="AN14" s="90">
        <v>1</v>
      </c>
      <c r="AO14" s="91"/>
      <c r="AP14" s="92"/>
      <c r="AQ14" s="93"/>
      <c r="AR14" s="505"/>
      <c r="AS14" s="505"/>
      <c r="AT14" s="211"/>
      <c r="AU14" s="211"/>
      <c r="AV14" s="505"/>
      <c r="AW14" s="101"/>
      <c r="AX14" s="97"/>
      <c r="AY14" s="97"/>
      <c r="AZ14" s="97"/>
      <c r="BA14" s="97"/>
      <c r="BB14" s="97"/>
      <c r="BC14" s="97"/>
      <c r="BD14" s="104"/>
      <c r="BE14" s="104"/>
      <c r="BF14" s="104"/>
      <c r="BG14" s="104"/>
      <c r="BH14" s="104"/>
      <c r="BI14" s="104"/>
      <c r="BJ14" s="104"/>
      <c r="BK14" s="104"/>
      <c r="BL14" s="104"/>
      <c r="BM14" s="104"/>
      <c r="BN14" s="104"/>
    </row>
    <row r="15" spans="1:69" outlineLevel="1">
      <c r="A15" s="330">
        <v>82305</v>
      </c>
      <c r="B15" s="331" t="s">
        <v>2208</v>
      </c>
      <c r="C15" s="88"/>
      <c r="D15" s="340">
        <v>4</v>
      </c>
      <c r="E15" s="341" t="s">
        <v>98</v>
      </c>
      <c r="F15" s="432" t="s">
        <v>2209</v>
      </c>
      <c r="G15" s="433" t="s">
        <v>98</v>
      </c>
      <c r="H15" s="434" t="s">
        <v>218</v>
      </c>
      <c r="I15" s="434" t="s">
        <v>2210</v>
      </c>
      <c r="J15" s="94" t="s">
        <v>98</v>
      </c>
      <c r="K15" s="433" t="s">
        <v>104</v>
      </c>
      <c r="L15" s="435">
        <v>3.8502673796791442</v>
      </c>
      <c r="M15" s="95">
        <v>1</v>
      </c>
      <c r="N15" s="96">
        <v>1.0906744032152329</v>
      </c>
      <c r="O15" s="432" t="s">
        <v>2269</v>
      </c>
      <c r="P15" s="435">
        <v>3.8502673796791442</v>
      </c>
      <c r="Q15" s="95">
        <v>1</v>
      </c>
      <c r="R15" s="96">
        <v>1.0906744032152329</v>
      </c>
      <c r="S15" s="432" t="s">
        <v>2269</v>
      </c>
      <c r="T15" s="435">
        <v>3.8502673796791442</v>
      </c>
      <c r="U15" s="95">
        <v>1</v>
      </c>
      <c r="V15" s="96">
        <v>1.0906744032152329</v>
      </c>
      <c r="W15" s="432" t="s">
        <v>2269</v>
      </c>
      <c r="X15" s="435">
        <v>3.8502673796791442</v>
      </c>
      <c r="Y15" s="95">
        <v>1</v>
      </c>
      <c r="Z15" s="96">
        <v>1.0906744032152329</v>
      </c>
      <c r="AA15" s="432" t="s">
        <v>2269</v>
      </c>
      <c r="AB15" s="435">
        <v>3.8502673796791442</v>
      </c>
      <c r="AC15" s="95">
        <v>1</v>
      </c>
      <c r="AD15" s="96">
        <v>1.0906744032152329</v>
      </c>
      <c r="AE15" s="432" t="s">
        <v>2269</v>
      </c>
      <c r="AF15" s="435">
        <v>3.8502673796791442</v>
      </c>
      <c r="AG15" s="95">
        <v>1</v>
      </c>
      <c r="AH15" s="96">
        <v>1.0906744032152329</v>
      </c>
      <c r="AI15" s="432" t="s">
        <v>2269</v>
      </c>
      <c r="AJ15" s="435">
        <v>3.8502673796791442</v>
      </c>
      <c r="AK15" s="95">
        <v>1</v>
      </c>
      <c r="AL15" s="96">
        <v>1.0906744032152329</v>
      </c>
      <c r="AM15" s="432" t="s">
        <v>2269</v>
      </c>
      <c r="AN15" s="435">
        <v>3.8502673796791442</v>
      </c>
      <c r="AO15" s="95">
        <v>1</v>
      </c>
      <c r="AP15" s="96">
        <v>1.0906744032152329</v>
      </c>
      <c r="AQ15" s="432" t="s">
        <v>2269</v>
      </c>
      <c r="AR15" s="505"/>
      <c r="AS15" s="505"/>
      <c r="AT15" s="211"/>
      <c r="AU15" s="211"/>
      <c r="AW15" s="77" t="s">
        <v>2211</v>
      </c>
      <c r="AX15" s="339">
        <v>2</v>
      </c>
      <c r="AY15" s="339">
        <v>2</v>
      </c>
      <c r="AZ15" s="339">
        <v>1</v>
      </c>
      <c r="BA15" s="339">
        <v>1</v>
      </c>
      <c r="BB15" s="339">
        <v>1</v>
      </c>
      <c r="BC15" s="339">
        <v>3</v>
      </c>
      <c r="BD15" s="104">
        <v>11</v>
      </c>
      <c r="BE15" s="104">
        <v>1.05</v>
      </c>
      <c r="BF15" s="107">
        <v>1.0744244531716256</v>
      </c>
      <c r="BG15" s="107">
        <v>1.0906744032152329</v>
      </c>
      <c r="BH15" s="107" t="s">
        <v>2270</v>
      </c>
      <c r="BI15" s="108">
        <v>1.05</v>
      </c>
      <c r="BJ15" s="108">
        <v>1.02</v>
      </c>
      <c r="BK15" s="108">
        <v>1</v>
      </c>
      <c r="BL15" s="108">
        <v>1</v>
      </c>
      <c r="BM15" s="108">
        <v>1</v>
      </c>
      <c r="BN15" s="108">
        <v>1.05</v>
      </c>
    </row>
    <row r="16" spans="1:69" ht="24" customHeight="1" outlineLevel="1">
      <c r="A16" s="330">
        <v>256078</v>
      </c>
      <c r="B16" s="331" t="s">
        <v>221</v>
      </c>
      <c r="C16" s="88"/>
      <c r="D16" s="340">
        <v>5</v>
      </c>
      <c r="E16" s="341" t="s">
        <v>98</v>
      </c>
      <c r="F16" s="432" t="s">
        <v>2333</v>
      </c>
      <c r="G16" s="433" t="s">
        <v>2129</v>
      </c>
      <c r="H16" s="434" t="s">
        <v>98</v>
      </c>
      <c r="I16" s="434" t="s">
        <v>98</v>
      </c>
      <c r="J16" s="94">
        <v>0</v>
      </c>
      <c r="K16" s="433" t="s">
        <v>96</v>
      </c>
      <c r="L16" s="435">
        <v>2.8281936558796862E-3</v>
      </c>
      <c r="M16" s="95">
        <v>1</v>
      </c>
      <c r="N16" s="96">
        <v>1.0906744032152329</v>
      </c>
      <c r="O16" s="432" t="s">
        <v>3098</v>
      </c>
      <c r="P16" s="435">
        <v>0</v>
      </c>
      <c r="Q16" s="95">
        <v>1</v>
      </c>
      <c r="R16" s="96">
        <v>1.0906744032152329</v>
      </c>
      <c r="S16" s="432" t="s">
        <v>3098</v>
      </c>
      <c r="T16" s="435">
        <v>0</v>
      </c>
      <c r="U16" s="95">
        <v>1</v>
      </c>
      <c r="V16" s="96">
        <v>1.0906744032152329</v>
      </c>
      <c r="W16" s="432" t="s">
        <v>3098</v>
      </c>
      <c r="X16" s="435">
        <v>0</v>
      </c>
      <c r="Y16" s="95">
        <v>1</v>
      </c>
      <c r="Z16" s="96">
        <v>1.0906744032152329</v>
      </c>
      <c r="AA16" s="432" t="s">
        <v>3098</v>
      </c>
      <c r="AB16" s="435">
        <v>0</v>
      </c>
      <c r="AC16" s="95">
        <v>1</v>
      </c>
      <c r="AD16" s="96">
        <v>1.0906744032152329</v>
      </c>
      <c r="AE16" s="432" t="s">
        <v>3098</v>
      </c>
      <c r="AF16" s="435">
        <v>0</v>
      </c>
      <c r="AG16" s="95">
        <v>1</v>
      </c>
      <c r="AH16" s="96">
        <v>1.0906744032152329</v>
      </c>
      <c r="AI16" s="432" t="s">
        <v>3098</v>
      </c>
      <c r="AJ16" s="435">
        <v>0</v>
      </c>
      <c r="AK16" s="95">
        <v>1</v>
      </c>
      <c r="AL16" s="96">
        <v>1.0906744032152329</v>
      </c>
      <c r="AM16" s="432" t="s">
        <v>3098</v>
      </c>
      <c r="AN16" s="435">
        <v>0</v>
      </c>
      <c r="AO16" s="95">
        <v>1</v>
      </c>
      <c r="AP16" s="96">
        <v>1.0906744032152329</v>
      </c>
      <c r="AQ16" s="432" t="s">
        <v>3098</v>
      </c>
      <c r="AR16" s="505"/>
      <c r="AS16" s="505"/>
      <c r="AT16" s="211"/>
      <c r="AU16" s="211"/>
      <c r="AW16" s="77" t="s">
        <v>2213</v>
      </c>
      <c r="AX16" s="339">
        <v>2</v>
      </c>
      <c r="AY16" s="339">
        <v>2</v>
      </c>
      <c r="AZ16" s="339">
        <v>1</v>
      </c>
      <c r="BA16" s="339">
        <v>1</v>
      </c>
      <c r="BB16" s="339">
        <v>1</v>
      </c>
      <c r="BC16" s="339">
        <v>3</v>
      </c>
      <c r="BD16" s="104">
        <v>3</v>
      </c>
      <c r="BE16" s="104">
        <v>1.05</v>
      </c>
      <c r="BF16" s="107">
        <v>1.0744244531716256</v>
      </c>
      <c r="BG16" s="107">
        <v>1.0906744032152329</v>
      </c>
      <c r="BH16" s="107" t="s">
        <v>2270</v>
      </c>
      <c r="BI16" s="108">
        <v>1.05</v>
      </c>
      <c r="BJ16" s="108">
        <v>1.02</v>
      </c>
      <c r="BK16" s="108">
        <v>1</v>
      </c>
      <c r="BL16" s="108">
        <v>1</v>
      </c>
      <c r="BM16" s="108">
        <v>1</v>
      </c>
      <c r="BN16" s="108">
        <v>1.05</v>
      </c>
    </row>
    <row r="17" spans="1:69" ht="24" customHeight="1" outlineLevel="1">
      <c r="A17" s="330">
        <v>255749</v>
      </c>
      <c r="B17" s="331"/>
      <c r="C17" s="88"/>
      <c r="D17" s="340">
        <v>5</v>
      </c>
      <c r="E17" s="341" t="s">
        <v>98</v>
      </c>
      <c r="F17" s="432" t="s">
        <v>2334</v>
      </c>
      <c r="G17" s="433" t="s">
        <v>2099</v>
      </c>
      <c r="H17" s="434" t="s">
        <v>98</v>
      </c>
      <c r="I17" s="434" t="s">
        <v>98</v>
      </c>
      <c r="J17" s="94">
        <v>0</v>
      </c>
      <c r="K17" s="433" t="s">
        <v>96</v>
      </c>
      <c r="L17" s="435">
        <v>0</v>
      </c>
      <c r="M17" s="95">
        <v>1</v>
      </c>
      <c r="N17" s="96">
        <v>1.0906744032152329</v>
      </c>
      <c r="O17" s="432" t="s">
        <v>3098</v>
      </c>
      <c r="P17" s="435">
        <v>2.1528158603125271E-3</v>
      </c>
      <c r="Q17" s="95">
        <v>1</v>
      </c>
      <c r="R17" s="96">
        <v>1.0906744032152329</v>
      </c>
      <c r="S17" s="432" t="s">
        <v>3098</v>
      </c>
      <c r="T17" s="435">
        <v>0</v>
      </c>
      <c r="U17" s="95">
        <v>1</v>
      </c>
      <c r="V17" s="96">
        <v>1.0906744032152329</v>
      </c>
      <c r="W17" s="432" t="s">
        <v>3098</v>
      </c>
      <c r="X17" s="435">
        <v>0</v>
      </c>
      <c r="Y17" s="95">
        <v>1</v>
      </c>
      <c r="Z17" s="96">
        <v>1.0906744032152329</v>
      </c>
      <c r="AA17" s="432" t="s">
        <v>3098</v>
      </c>
      <c r="AB17" s="435">
        <v>0</v>
      </c>
      <c r="AC17" s="95">
        <v>1</v>
      </c>
      <c r="AD17" s="96">
        <v>1.0906744032152329</v>
      </c>
      <c r="AE17" s="432" t="s">
        <v>3098</v>
      </c>
      <c r="AF17" s="435">
        <v>0</v>
      </c>
      <c r="AG17" s="95">
        <v>1</v>
      </c>
      <c r="AH17" s="96">
        <v>1.0906744032152329</v>
      </c>
      <c r="AI17" s="432" t="s">
        <v>3098</v>
      </c>
      <c r="AJ17" s="435">
        <v>0</v>
      </c>
      <c r="AK17" s="95">
        <v>1</v>
      </c>
      <c r="AL17" s="96">
        <v>1.0906744032152329</v>
      </c>
      <c r="AM17" s="432" t="s">
        <v>3098</v>
      </c>
      <c r="AN17" s="435">
        <v>0</v>
      </c>
      <c r="AO17" s="95">
        <v>1</v>
      </c>
      <c r="AP17" s="96">
        <v>1.0906744032152329</v>
      </c>
      <c r="AQ17" s="432" t="s">
        <v>3098</v>
      </c>
      <c r="AR17" s="505"/>
      <c r="AS17" s="505"/>
      <c r="AT17" s="211"/>
      <c r="AU17" s="211"/>
      <c r="AW17" s="77" t="s">
        <v>2213</v>
      </c>
      <c r="AX17" s="339">
        <v>2</v>
      </c>
      <c r="AY17" s="339">
        <v>2</v>
      </c>
      <c r="AZ17" s="339">
        <v>1</v>
      </c>
      <c r="BA17" s="339">
        <v>1</v>
      </c>
      <c r="BB17" s="339">
        <v>1</v>
      </c>
      <c r="BC17" s="339">
        <v>3</v>
      </c>
      <c r="BD17" s="104">
        <v>3</v>
      </c>
      <c r="BE17" s="104">
        <v>1.05</v>
      </c>
      <c r="BF17" s="107">
        <v>1.0744244531716256</v>
      </c>
      <c r="BG17" s="107">
        <v>1.0906744032152329</v>
      </c>
      <c r="BH17" s="107" t="s">
        <v>2270</v>
      </c>
      <c r="BI17" s="108">
        <v>1.05</v>
      </c>
      <c r="BJ17" s="108">
        <v>1.02</v>
      </c>
      <c r="BK17" s="108">
        <v>1</v>
      </c>
      <c r="BL17" s="108">
        <v>1</v>
      </c>
      <c r="BM17" s="108">
        <v>1</v>
      </c>
      <c r="BN17" s="108">
        <v>1.05</v>
      </c>
    </row>
    <row r="18" spans="1:69" ht="24" customHeight="1" outlineLevel="1">
      <c r="A18" s="330">
        <v>267117</v>
      </c>
      <c r="B18" s="331"/>
      <c r="C18" s="88"/>
      <c r="D18" s="340">
        <v>5</v>
      </c>
      <c r="E18" s="341" t="s">
        <v>98</v>
      </c>
      <c r="F18" s="432" t="s">
        <v>990</v>
      </c>
      <c r="G18" s="433" t="s">
        <v>485</v>
      </c>
      <c r="H18" s="434" t="s">
        <v>98</v>
      </c>
      <c r="I18" s="434" t="s">
        <v>98</v>
      </c>
      <c r="J18" s="94">
        <v>0</v>
      </c>
      <c r="K18" s="433" t="s">
        <v>96</v>
      </c>
      <c r="L18" s="435">
        <v>0</v>
      </c>
      <c r="M18" s="95">
        <v>1</v>
      </c>
      <c r="N18" s="96">
        <v>1.0906744032152329</v>
      </c>
      <c r="O18" s="432" t="s">
        <v>3098</v>
      </c>
      <c r="P18" s="435">
        <v>0</v>
      </c>
      <c r="Q18" s="95">
        <v>1</v>
      </c>
      <c r="R18" s="96">
        <v>1.0906744032152329</v>
      </c>
      <c r="S18" s="432" t="s">
        <v>3098</v>
      </c>
      <c r="T18" s="435">
        <v>2.4630726206389588E-3</v>
      </c>
      <c r="U18" s="95">
        <v>1</v>
      </c>
      <c r="V18" s="96">
        <v>1.0906744032152329</v>
      </c>
      <c r="W18" s="432" t="s">
        <v>3098</v>
      </c>
      <c r="X18" s="435">
        <v>0</v>
      </c>
      <c r="Y18" s="95">
        <v>1</v>
      </c>
      <c r="Z18" s="96">
        <v>1.0906744032152329</v>
      </c>
      <c r="AA18" s="432" t="s">
        <v>3098</v>
      </c>
      <c r="AB18" s="435">
        <v>0</v>
      </c>
      <c r="AC18" s="95">
        <v>1</v>
      </c>
      <c r="AD18" s="96">
        <v>1.0906744032152329</v>
      </c>
      <c r="AE18" s="432" t="s">
        <v>3098</v>
      </c>
      <c r="AF18" s="435">
        <v>0</v>
      </c>
      <c r="AG18" s="95">
        <v>1</v>
      </c>
      <c r="AH18" s="96">
        <v>1.0906744032152329</v>
      </c>
      <c r="AI18" s="432" t="s">
        <v>3098</v>
      </c>
      <c r="AJ18" s="435">
        <v>0</v>
      </c>
      <c r="AK18" s="95">
        <v>1</v>
      </c>
      <c r="AL18" s="96">
        <v>1.0906744032152329</v>
      </c>
      <c r="AM18" s="432" t="s">
        <v>3098</v>
      </c>
      <c r="AN18" s="435">
        <v>0</v>
      </c>
      <c r="AO18" s="95">
        <v>1</v>
      </c>
      <c r="AP18" s="96">
        <v>1.0906744032152329</v>
      </c>
      <c r="AQ18" s="432" t="s">
        <v>3098</v>
      </c>
      <c r="AR18" s="505"/>
      <c r="AS18" s="505"/>
      <c r="AT18" s="211"/>
      <c r="AU18" s="211"/>
      <c r="AW18" s="77" t="s">
        <v>2213</v>
      </c>
      <c r="AX18" s="339">
        <v>2</v>
      </c>
      <c r="AY18" s="339">
        <v>2</v>
      </c>
      <c r="AZ18" s="339">
        <v>1</v>
      </c>
      <c r="BA18" s="339">
        <v>1</v>
      </c>
      <c r="BB18" s="339">
        <v>1</v>
      </c>
      <c r="BC18" s="339">
        <v>3</v>
      </c>
      <c r="BD18" s="104">
        <v>3</v>
      </c>
      <c r="BE18" s="104">
        <v>1.05</v>
      </c>
      <c r="BF18" s="107">
        <v>1.0744244531716256</v>
      </c>
      <c r="BG18" s="107">
        <v>1.0906744032152329</v>
      </c>
      <c r="BH18" s="107" t="s">
        <v>2270</v>
      </c>
      <c r="BI18" s="108">
        <v>1.05</v>
      </c>
      <c r="BJ18" s="108">
        <v>1.02</v>
      </c>
      <c r="BK18" s="108">
        <v>1</v>
      </c>
      <c r="BL18" s="108">
        <v>1</v>
      </c>
      <c r="BM18" s="108">
        <v>1</v>
      </c>
      <c r="BN18" s="108">
        <v>1.05</v>
      </c>
    </row>
    <row r="19" spans="1:69" ht="24" customHeight="1" outlineLevel="1">
      <c r="A19" s="330">
        <v>256126</v>
      </c>
      <c r="B19" s="331"/>
      <c r="C19" s="88"/>
      <c r="D19" s="340">
        <v>5</v>
      </c>
      <c r="E19" s="341" t="s">
        <v>98</v>
      </c>
      <c r="F19" s="432" t="s">
        <v>2335</v>
      </c>
      <c r="G19" s="433" t="s">
        <v>2127</v>
      </c>
      <c r="H19" s="434" t="s">
        <v>98</v>
      </c>
      <c r="I19" s="434" t="s">
        <v>98</v>
      </c>
      <c r="J19" s="94">
        <v>0</v>
      </c>
      <c r="K19" s="433" t="s">
        <v>96</v>
      </c>
      <c r="L19" s="435">
        <v>0</v>
      </c>
      <c r="M19" s="95">
        <v>1</v>
      </c>
      <c r="N19" s="96">
        <v>1.0906744032152329</v>
      </c>
      <c r="O19" s="432" t="s">
        <v>3098</v>
      </c>
      <c r="P19" s="435">
        <v>0</v>
      </c>
      <c r="Q19" s="95">
        <v>1</v>
      </c>
      <c r="R19" s="96">
        <v>1.0906744032152329</v>
      </c>
      <c r="S19" s="432" t="s">
        <v>3098</v>
      </c>
      <c r="T19" s="435">
        <v>0</v>
      </c>
      <c r="U19" s="95">
        <v>1</v>
      </c>
      <c r="V19" s="96">
        <v>1.0906744032152329</v>
      </c>
      <c r="W19" s="432" t="s">
        <v>3098</v>
      </c>
      <c r="X19" s="435">
        <v>0</v>
      </c>
      <c r="Y19" s="95">
        <v>1</v>
      </c>
      <c r="Z19" s="96">
        <v>1.0906744032152329</v>
      </c>
      <c r="AA19" s="432" t="s">
        <v>3098</v>
      </c>
      <c r="AB19" s="435">
        <v>1.8856843833023847E-3</v>
      </c>
      <c r="AC19" s="95">
        <v>1</v>
      </c>
      <c r="AD19" s="96">
        <v>1.0906744032152329</v>
      </c>
      <c r="AE19" s="432" t="s">
        <v>3098</v>
      </c>
      <c r="AF19" s="435">
        <v>0</v>
      </c>
      <c r="AG19" s="95">
        <v>1</v>
      </c>
      <c r="AH19" s="96">
        <v>1.0906744032152329</v>
      </c>
      <c r="AI19" s="432" t="s">
        <v>3098</v>
      </c>
      <c r="AJ19" s="435">
        <v>0</v>
      </c>
      <c r="AK19" s="95">
        <v>1</v>
      </c>
      <c r="AL19" s="96">
        <v>1.0906744032152329</v>
      </c>
      <c r="AM19" s="432" t="s">
        <v>3098</v>
      </c>
      <c r="AN19" s="435">
        <v>0</v>
      </c>
      <c r="AO19" s="95">
        <v>1</v>
      </c>
      <c r="AP19" s="96">
        <v>1.0906744032152329</v>
      </c>
      <c r="AQ19" s="432" t="s">
        <v>3098</v>
      </c>
      <c r="AR19" s="505"/>
      <c r="AS19" s="505"/>
      <c r="AT19" s="211"/>
      <c r="AU19" s="211"/>
      <c r="AW19" s="77" t="s">
        <v>2213</v>
      </c>
      <c r="AX19" s="339">
        <v>2</v>
      </c>
      <c r="AY19" s="339">
        <v>2</v>
      </c>
      <c r="AZ19" s="339">
        <v>1</v>
      </c>
      <c r="BA19" s="339">
        <v>1</v>
      </c>
      <c r="BB19" s="339">
        <v>1</v>
      </c>
      <c r="BC19" s="339">
        <v>3</v>
      </c>
      <c r="BD19" s="104">
        <v>3</v>
      </c>
      <c r="BE19" s="104">
        <v>1.05</v>
      </c>
      <c r="BF19" s="107">
        <v>1.0744244531716256</v>
      </c>
      <c r="BG19" s="107">
        <v>1.0906744032152329</v>
      </c>
      <c r="BH19" s="107" t="s">
        <v>2270</v>
      </c>
      <c r="BI19" s="108">
        <v>1.05</v>
      </c>
      <c r="BJ19" s="108">
        <v>1.02</v>
      </c>
      <c r="BK19" s="108">
        <v>1</v>
      </c>
      <c r="BL19" s="108">
        <v>1</v>
      </c>
      <c r="BM19" s="108">
        <v>1</v>
      </c>
      <c r="BN19" s="108">
        <v>1.05</v>
      </c>
    </row>
    <row r="20" spans="1:69" ht="24" customHeight="1" outlineLevel="1">
      <c r="A20" s="330">
        <v>265763</v>
      </c>
      <c r="B20" s="331"/>
      <c r="C20" s="88"/>
      <c r="D20" s="340">
        <v>5</v>
      </c>
      <c r="E20" s="341" t="s">
        <v>98</v>
      </c>
      <c r="F20" s="432" t="s">
        <v>488</v>
      </c>
      <c r="G20" s="433" t="s">
        <v>372</v>
      </c>
      <c r="H20" s="434" t="s">
        <v>98</v>
      </c>
      <c r="I20" s="434" t="s">
        <v>98</v>
      </c>
      <c r="J20" s="94">
        <v>0</v>
      </c>
      <c r="K20" s="433" t="s">
        <v>96</v>
      </c>
      <c r="L20" s="435">
        <v>0</v>
      </c>
      <c r="M20" s="95">
        <v>1</v>
      </c>
      <c r="N20" s="96">
        <v>1.0906744032152329</v>
      </c>
      <c r="O20" s="432" t="s">
        <v>3098</v>
      </c>
      <c r="P20" s="435">
        <v>0</v>
      </c>
      <c r="Q20" s="95">
        <v>1</v>
      </c>
      <c r="R20" s="96">
        <v>1.0906744032152329</v>
      </c>
      <c r="S20" s="432" t="s">
        <v>3098</v>
      </c>
      <c r="T20" s="435">
        <v>0</v>
      </c>
      <c r="U20" s="95">
        <v>1</v>
      </c>
      <c r="V20" s="96">
        <v>1.0906744032152329</v>
      </c>
      <c r="W20" s="432" t="s">
        <v>3098</v>
      </c>
      <c r="X20" s="435">
        <v>0</v>
      </c>
      <c r="Y20" s="95">
        <v>1</v>
      </c>
      <c r="Z20" s="96">
        <v>1.0906744032152329</v>
      </c>
      <c r="AA20" s="432" t="s">
        <v>3098</v>
      </c>
      <c r="AB20" s="435">
        <v>0</v>
      </c>
      <c r="AC20" s="95">
        <v>1</v>
      </c>
      <c r="AD20" s="96">
        <v>1.0906744032152329</v>
      </c>
      <c r="AE20" s="432" t="s">
        <v>3098</v>
      </c>
      <c r="AF20" s="435">
        <v>0</v>
      </c>
      <c r="AG20" s="95">
        <v>1</v>
      </c>
      <c r="AH20" s="96">
        <v>1.0906744032152329</v>
      </c>
      <c r="AI20" s="432" t="s">
        <v>3098</v>
      </c>
      <c r="AJ20" s="435">
        <v>0</v>
      </c>
      <c r="AK20" s="95">
        <v>1</v>
      </c>
      <c r="AL20" s="96">
        <v>1.0906744032152329</v>
      </c>
      <c r="AM20" s="432" t="s">
        <v>3098</v>
      </c>
      <c r="AN20" s="435">
        <v>0</v>
      </c>
      <c r="AO20" s="95">
        <v>1</v>
      </c>
      <c r="AP20" s="96">
        <v>1.0906744032152329</v>
      </c>
      <c r="AQ20" s="432" t="s">
        <v>3098</v>
      </c>
      <c r="AR20" s="505"/>
      <c r="AS20" s="505"/>
      <c r="AT20" s="211"/>
      <c r="AU20" s="211"/>
      <c r="AW20" s="77" t="s">
        <v>2213</v>
      </c>
      <c r="AX20" s="339">
        <v>2</v>
      </c>
      <c r="AY20" s="339">
        <v>2</v>
      </c>
      <c r="AZ20" s="339">
        <v>1</v>
      </c>
      <c r="BA20" s="339">
        <v>1</v>
      </c>
      <c r="BB20" s="339">
        <v>1</v>
      </c>
      <c r="BC20" s="339">
        <v>3</v>
      </c>
      <c r="BD20" s="104">
        <v>3</v>
      </c>
      <c r="BE20" s="104">
        <v>1.05</v>
      </c>
      <c r="BF20" s="107">
        <v>1.0744244531716256</v>
      </c>
      <c r="BG20" s="107">
        <v>1.0906744032152329</v>
      </c>
      <c r="BH20" s="107" t="s">
        <v>2270</v>
      </c>
      <c r="BI20" s="108">
        <v>1.05</v>
      </c>
      <c r="BJ20" s="108">
        <v>1.02</v>
      </c>
      <c r="BK20" s="108">
        <v>1</v>
      </c>
      <c r="BL20" s="108">
        <v>1</v>
      </c>
      <c r="BM20" s="108">
        <v>1</v>
      </c>
      <c r="BN20" s="108">
        <v>1.05</v>
      </c>
    </row>
    <row r="21" spans="1:69" ht="24" customHeight="1" outlineLevel="1">
      <c r="A21" s="330">
        <v>256004</v>
      </c>
      <c r="B21" s="331"/>
      <c r="C21" s="88"/>
      <c r="D21" s="340">
        <v>5</v>
      </c>
      <c r="E21" s="341" t="s">
        <v>98</v>
      </c>
      <c r="F21" s="432" t="s">
        <v>2336</v>
      </c>
      <c r="G21" s="433" t="s">
        <v>2141</v>
      </c>
      <c r="H21" s="434" t="s">
        <v>98</v>
      </c>
      <c r="I21" s="434" t="s">
        <v>98</v>
      </c>
      <c r="J21" s="94">
        <v>0</v>
      </c>
      <c r="K21" s="433" t="s">
        <v>96</v>
      </c>
      <c r="L21" s="435">
        <v>0</v>
      </c>
      <c r="M21" s="95">
        <v>1</v>
      </c>
      <c r="N21" s="96">
        <v>1.0906744032152329</v>
      </c>
      <c r="O21" s="432" t="s">
        <v>3098</v>
      </c>
      <c r="P21" s="435">
        <v>0</v>
      </c>
      <c r="Q21" s="95">
        <v>1</v>
      </c>
      <c r="R21" s="96">
        <v>1.0906744032152329</v>
      </c>
      <c r="S21" s="432" t="s">
        <v>3098</v>
      </c>
      <c r="T21" s="435">
        <v>0</v>
      </c>
      <c r="U21" s="95">
        <v>1</v>
      </c>
      <c r="V21" s="96">
        <v>1.0906744032152329</v>
      </c>
      <c r="W21" s="432" t="s">
        <v>3098</v>
      </c>
      <c r="X21" s="435">
        <v>2.467984738130472E-3</v>
      </c>
      <c r="Y21" s="95">
        <v>1</v>
      </c>
      <c r="Z21" s="96">
        <v>1.0906744032152329</v>
      </c>
      <c r="AA21" s="432" t="s">
        <v>3098</v>
      </c>
      <c r="AB21" s="435">
        <v>0</v>
      </c>
      <c r="AC21" s="95">
        <v>1</v>
      </c>
      <c r="AD21" s="96">
        <v>1.0906744032152329</v>
      </c>
      <c r="AE21" s="432" t="s">
        <v>3098</v>
      </c>
      <c r="AF21" s="435">
        <v>0</v>
      </c>
      <c r="AG21" s="95">
        <v>1</v>
      </c>
      <c r="AH21" s="96">
        <v>1.0906744032152329</v>
      </c>
      <c r="AI21" s="432" t="s">
        <v>3098</v>
      </c>
      <c r="AJ21" s="435">
        <v>0</v>
      </c>
      <c r="AK21" s="95">
        <v>1</v>
      </c>
      <c r="AL21" s="96">
        <v>1.0906744032152329</v>
      </c>
      <c r="AM21" s="432" t="s">
        <v>3098</v>
      </c>
      <c r="AN21" s="435">
        <v>0</v>
      </c>
      <c r="AO21" s="95">
        <v>1</v>
      </c>
      <c r="AP21" s="96">
        <v>1.0906744032152329</v>
      </c>
      <c r="AQ21" s="432" t="s">
        <v>3098</v>
      </c>
      <c r="AR21" s="505"/>
      <c r="AS21" s="505"/>
      <c r="AT21" s="211"/>
      <c r="AU21" s="211"/>
      <c r="AW21" s="77" t="s">
        <v>2213</v>
      </c>
      <c r="AX21" s="339">
        <v>2</v>
      </c>
      <c r="AY21" s="339">
        <v>2</v>
      </c>
      <c r="AZ21" s="339">
        <v>1</v>
      </c>
      <c r="BA21" s="339">
        <v>1</v>
      </c>
      <c r="BB21" s="339">
        <v>1</v>
      </c>
      <c r="BC21" s="339">
        <v>3</v>
      </c>
      <c r="BD21" s="104">
        <v>3</v>
      </c>
      <c r="BE21" s="104">
        <v>1.05</v>
      </c>
      <c r="BF21" s="107">
        <v>1.0744244531716256</v>
      </c>
      <c r="BG21" s="107">
        <v>1.0906744032152329</v>
      </c>
      <c r="BH21" s="107" t="s">
        <v>2270</v>
      </c>
      <c r="BI21" s="108">
        <v>1.05</v>
      </c>
      <c r="BJ21" s="108">
        <v>1.02</v>
      </c>
      <c r="BK21" s="108">
        <v>1</v>
      </c>
      <c r="BL21" s="108">
        <v>1</v>
      </c>
      <c r="BM21" s="108">
        <v>1</v>
      </c>
      <c r="BN21" s="108">
        <v>1.05</v>
      </c>
    </row>
    <row r="22" spans="1:69" ht="24" customHeight="1" outlineLevel="1">
      <c r="A22" s="330">
        <v>257458</v>
      </c>
      <c r="B22" s="331"/>
      <c r="C22" s="88"/>
      <c r="D22" s="340">
        <v>5</v>
      </c>
      <c r="E22" s="341" t="s">
        <v>98</v>
      </c>
      <c r="F22" s="432" t="s">
        <v>490</v>
      </c>
      <c r="G22" s="433" t="s">
        <v>382</v>
      </c>
      <c r="H22" s="434" t="s">
        <v>98</v>
      </c>
      <c r="I22" s="434" t="s">
        <v>98</v>
      </c>
      <c r="J22" s="94">
        <v>0</v>
      </c>
      <c r="K22" s="433" t="s">
        <v>96</v>
      </c>
      <c r="L22" s="435">
        <v>0</v>
      </c>
      <c r="M22" s="95">
        <v>1</v>
      </c>
      <c r="N22" s="96">
        <v>1.0906744032152329</v>
      </c>
      <c r="O22" s="432" t="s">
        <v>3098</v>
      </c>
      <c r="P22" s="435">
        <v>0</v>
      </c>
      <c r="Q22" s="95">
        <v>1</v>
      </c>
      <c r="R22" s="96">
        <v>1.0906744032152329</v>
      </c>
      <c r="S22" s="432" t="s">
        <v>3098</v>
      </c>
      <c r="T22" s="435">
        <v>0</v>
      </c>
      <c r="U22" s="95">
        <v>1</v>
      </c>
      <c r="V22" s="96">
        <v>1.0906744032152329</v>
      </c>
      <c r="W22" s="432" t="s">
        <v>3098</v>
      </c>
      <c r="X22" s="435">
        <v>0</v>
      </c>
      <c r="Y22" s="95">
        <v>1</v>
      </c>
      <c r="Z22" s="96">
        <v>1.0906744032152329</v>
      </c>
      <c r="AA22" s="432" t="s">
        <v>3098</v>
      </c>
      <c r="AB22" s="435">
        <v>0</v>
      </c>
      <c r="AC22" s="95">
        <v>1</v>
      </c>
      <c r="AD22" s="96">
        <v>1.0906744032152329</v>
      </c>
      <c r="AE22" s="432" t="s">
        <v>3098</v>
      </c>
      <c r="AF22" s="435">
        <v>2.3658719519962495E-3</v>
      </c>
      <c r="AG22" s="95">
        <v>1</v>
      </c>
      <c r="AH22" s="96">
        <v>1.0906744032152329</v>
      </c>
      <c r="AI22" s="432" t="s">
        <v>3098</v>
      </c>
      <c r="AJ22" s="435">
        <v>0</v>
      </c>
      <c r="AK22" s="95">
        <v>1</v>
      </c>
      <c r="AL22" s="96">
        <v>1.0906744032152329</v>
      </c>
      <c r="AM22" s="432" t="s">
        <v>3098</v>
      </c>
      <c r="AN22" s="435">
        <v>0</v>
      </c>
      <c r="AO22" s="95">
        <v>1</v>
      </c>
      <c r="AP22" s="96">
        <v>1.0906744032152329</v>
      </c>
      <c r="AQ22" s="432" t="s">
        <v>3098</v>
      </c>
      <c r="AR22" s="505"/>
      <c r="AS22" s="505"/>
      <c r="AT22" s="211"/>
      <c r="AU22" s="211"/>
      <c r="AW22" s="77" t="s">
        <v>2213</v>
      </c>
      <c r="AX22" s="339">
        <v>2</v>
      </c>
      <c r="AY22" s="339">
        <v>2</v>
      </c>
      <c r="AZ22" s="339">
        <v>1</v>
      </c>
      <c r="BA22" s="339">
        <v>1</v>
      </c>
      <c r="BB22" s="339">
        <v>1</v>
      </c>
      <c r="BC22" s="339">
        <v>3</v>
      </c>
      <c r="BD22" s="104">
        <v>3</v>
      </c>
      <c r="BE22" s="104">
        <v>1.05</v>
      </c>
      <c r="BF22" s="107">
        <v>1.0744244531716256</v>
      </c>
      <c r="BG22" s="107">
        <v>1.0906744032152329</v>
      </c>
      <c r="BH22" s="107" t="s">
        <v>2270</v>
      </c>
      <c r="BI22" s="108">
        <v>1.05</v>
      </c>
      <c r="BJ22" s="108">
        <v>1.02</v>
      </c>
      <c r="BK22" s="108">
        <v>1</v>
      </c>
      <c r="BL22" s="108">
        <v>1</v>
      </c>
      <c r="BM22" s="108">
        <v>1</v>
      </c>
      <c r="BN22" s="108">
        <v>1.05</v>
      </c>
    </row>
    <row r="23" spans="1:69" ht="24" customHeight="1" outlineLevel="1">
      <c r="A23" s="330">
        <v>256160</v>
      </c>
      <c r="B23" s="331"/>
      <c r="C23" s="88"/>
      <c r="D23" s="340">
        <v>5</v>
      </c>
      <c r="E23" s="341" t="s">
        <v>98</v>
      </c>
      <c r="F23" s="432" t="s">
        <v>2337</v>
      </c>
      <c r="G23" s="433" t="s">
        <v>2146</v>
      </c>
      <c r="H23" s="434" t="s">
        <v>98</v>
      </c>
      <c r="I23" s="434" t="s">
        <v>98</v>
      </c>
      <c r="J23" s="94">
        <v>0</v>
      </c>
      <c r="K23" s="433" t="s">
        <v>96</v>
      </c>
      <c r="L23" s="435">
        <v>0</v>
      </c>
      <c r="M23" s="95">
        <v>1</v>
      </c>
      <c r="N23" s="96">
        <v>1.0906744032152329</v>
      </c>
      <c r="O23" s="432" t="s">
        <v>3098</v>
      </c>
      <c r="P23" s="435">
        <v>0</v>
      </c>
      <c r="Q23" s="95">
        <v>1</v>
      </c>
      <c r="R23" s="96">
        <v>1.0906744032152329</v>
      </c>
      <c r="S23" s="432" t="s">
        <v>3098</v>
      </c>
      <c r="T23" s="435">
        <v>0</v>
      </c>
      <c r="U23" s="95">
        <v>1</v>
      </c>
      <c r="V23" s="96">
        <v>1.0906744032152329</v>
      </c>
      <c r="W23" s="432" t="s">
        <v>3098</v>
      </c>
      <c r="X23" s="435">
        <v>0</v>
      </c>
      <c r="Y23" s="95">
        <v>1</v>
      </c>
      <c r="Z23" s="96">
        <v>1.0906744032152329</v>
      </c>
      <c r="AA23" s="432" t="s">
        <v>3098</v>
      </c>
      <c r="AB23" s="435">
        <v>0</v>
      </c>
      <c r="AC23" s="95">
        <v>1</v>
      </c>
      <c r="AD23" s="96">
        <v>1.0906744032152329</v>
      </c>
      <c r="AE23" s="432" t="s">
        <v>3098</v>
      </c>
      <c r="AF23" s="435">
        <v>0</v>
      </c>
      <c r="AG23" s="95">
        <v>1</v>
      </c>
      <c r="AH23" s="96">
        <v>1.0906744032152329</v>
      </c>
      <c r="AI23" s="432" t="s">
        <v>3098</v>
      </c>
      <c r="AJ23" s="435">
        <v>1.7953254277112028E-3</v>
      </c>
      <c r="AK23" s="95">
        <v>1</v>
      </c>
      <c r="AL23" s="96">
        <v>1.0906744032152329</v>
      </c>
      <c r="AM23" s="432" t="s">
        <v>3098</v>
      </c>
      <c r="AN23" s="435">
        <v>0</v>
      </c>
      <c r="AO23" s="95">
        <v>1</v>
      </c>
      <c r="AP23" s="96">
        <v>1.0906744032152329</v>
      </c>
      <c r="AQ23" s="432" t="s">
        <v>3098</v>
      </c>
      <c r="AR23" s="505"/>
      <c r="AS23" s="505"/>
      <c r="AT23" s="211"/>
      <c r="AU23" s="211"/>
      <c r="AW23" s="77" t="s">
        <v>2213</v>
      </c>
      <c r="AX23" s="339">
        <v>2</v>
      </c>
      <c r="AY23" s="339">
        <v>2</v>
      </c>
      <c r="AZ23" s="339">
        <v>1</v>
      </c>
      <c r="BA23" s="339">
        <v>1</v>
      </c>
      <c r="BB23" s="339">
        <v>1</v>
      </c>
      <c r="BC23" s="339">
        <v>3</v>
      </c>
      <c r="BD23" s="104">
        <v>3</v>
      </c>
      <c r="BE23" s="104">
        <v>1.05</v>
      </c>
      <c r="BF23" s="107">
        <v>1.0744244531716256</v>
      </c>
      <c r="BG23" s="107">
        <v>1.0906744032152329</v>
      </c>
      <c r="BH23" s="107" t="s">
        <v>2270</v>
      </c>
      <c r="BI23" s="108">
        <v>1.05</v>
      </c>
      <c r="BJ23" s="108">
        <v>1.02</v>
      </c>
      <c r="BK23" s="108">
        <v>1</v>
      </c>
      <c r="BL23" s="108">
        <v>1</v>
      </c>
      <c r="BM23" s="108">
        <v>1</v>
      </c>
      <c r="BN23" s="108">
        <v>1.05</v>
      </c>
    </row>
    <row r="24" spans="1:69" ht="24" customHeight="1" outlineLevel="1">
      <c r="A24" s="330">
        <v>255813</v>
      </c>
      <c r="B24" s="331"/>
      <c r="C24" s="88"/>
      <c r="D24" s="340">
        <v>5</v>
      </c>
      <c r="E24" s="341" t="s">
        <v>98</v>
      </c>
      <c r="F24" s="432" t="s">
        <v>649</v>
      </c>
      <c r="G24" s="433" t="s">
        <v>643</v>
      </c>
      <c r="H24" s="434" t="s">
        <v>98</v>
      </c>
      <c r="I24" s="434" t="s">
        <v>98</v>
      </c>
      <c r="J24" s="94">
        <v>0</v>
      </c>
      <c r="K24" s="433" t="s">
        <v>96</v>
      </c>
      <c r="L24" s="435">
        <v>0</v>
      </c>
      <c r="M24" s="95">
        <v>1</v>
      </c>
      <c r="N24" s="96">
        <v>1.0906744032152329</v>
      </c>
      <c r="O24" s="432" t="s">
        <v>3098</v>
      </c>
      <c r="P24" s="435">
        <v>0</v>
      </c>
      <c r="Q24" s="95">
        <v>1</v>
      </c>
      <c r="R24" s="96">
        <v>1.0906744032152329</v>
      </c>
      <c r="S24" s="432" t="s">
        <v>3098</v>
      </c>
      <c r="T24" s="435">
        <v>0</v>
      </c>
      <c r="U24" s="95">
        <v>1</v>
      </c>
      <c r="V24" s="96">
        <v>1.0906744032152329</v>
      </c>
      <c r="W24" s="432" t="s">
        <v>3098</v>
      </c>
      <c r="X24" s="435">
        <v>0</v>
      </c>
      <c r="Y24" s="95">
        <v>1</v>
      </c>
      <c r="Z24" s="96">
        <v>1.0906744032152329</v>
      </c>
      <c r="AA24" s="432" t="s">
        <v>3098</v>
      </c>
      <c r="AB24" s="435">
        <v>0</v>
      </c>
      <c r="AC24" s="95">
        <v>1</v>
      </c>
      <c r="AD24" s="96">
        <v>1.0906744032152329</v>
      </c>
      <c r="AE24" s="432" t="s">
        <v>3098</v>
      </c>
      <c r="AF24" s="435">
        <v>0</v>
      </c>
      <c r="AG24" s="95">
        <v>1</v>
      </c>
      <c r="AH24" s="96">
        <v>1.0906744032152329</v>
      </c>
      <c r="AI24" s="432" t="s">
        <v>3098</v>
      </c>
      <c r="AJ24" s="435">
        <v>0</v>
      </c>
      <c r="AK24" s="95">
        <v>1</v>
      </c>
      <c r="AL24" s="96">
        <v>1.0906744032152329</v>
      </c>
      <c r="AM24" s="432" t="s">
        <v>3098</v>
      </c>
      <c r="AN24" s="435">
        <v>2.0423331342673936E-3</v>
      </c>
      <c r="AO24" s="95">
        <v>1</v>
      </c>
      <c r="AP24" s="96">
        <v>1.0906744032152329</v>
      </c>
      <c r="AQ24" s="432" t="s">
        <v>3098</v>
      </c>
      <c r="AR24" s="505"/>
      <c r="AS24" s="505"/>
      <c r="AT24" s="211"/>
      <c r="AU24" s="211"/>
      <c r="AW24" s="77" t="s">
        <v>2213</v>
      </c>
      <c r="AX24" s="339">
        <v>2</v>
      </c>
      <c r="AY24" s="339">
        <v>2</v>
      </c>
      <c r="AZ24" s="339">
        <v>1</v>
      </c>
      <c r="BA24" s="339">
        <v>1</v>
      </c>
      <c r="BB24" s="339">
        <v>1</v>
      </c>
      <c r="BC24" s="339">
        <v>3</v>
      </c>
      <c r="BD24" s="104">
        <v>3</v>
      </c>
      <c r="BE24" s="104">
        <v>1.05</v>
      </c>
      <c r="BF24" s="107">
        <v>1.0744244531716256</v>
      </c>
      <c r="BG24" s="107">
        <v>1.0906744032152329</v>
      </c>
      <c r="BH24" s="107" t="s">
        <v>2270</v>
      </c>
      <c r="BI24" s="108">
        <v>1.05</v>
      </c>
      <c r="BJ24" s="108">
        <v>1.02</v>
      </c>
      <c r="BK24" s="108">
        <v>1</v>
      </c>
      <c r="BL24" s="108">
        <v>1</v>
      </c>
      <c r="BM24" s="108">
        <v>1</v>
      </c>
      <c r="BN24" s="108">
        <v>1.05</v>
      </c>
    </row>
    <row r="25" spans="1:69" ht="24" customHeight="1" outlineLevel="1">
      <c r="A25" s="330">
        <v>269349</v>
      </c>
      <c r="B25" s="331"/>
      <c r="C25" s="88"/>
      <c r="D25" s="340">
        <v>5</v>
      </c>
      <c r="E25" s="341" t="s">
        <v>98</v>
      </c>
      <c r="F25" s="432" t="s">
        <v>1226</v>
      </c>
      <c r="G25" s="433" t="s">
        <v>103</v>
      </c>
      <c r="H25" s="434" t="s">
        <v>98</v>
      </c>
      <c r="I25" s="434" t="s">
        <v>98</v>
      </c>
      <c r="J25" s="94">
        <v>0</v>
      </c>
      <c r="K25" s="433" t="s">
        <v>119</v>
      </c>
      <c r="L25" s="435">
        <v>2.5453742902917176E-6</v>
      </c>
      <c r="M25" s="95">
        <v>1</v>
      </c>
      <c r="N25" s="96">
        <v>1.0906744032152329</v>
      </c>
      <c r="O25" s="432" t="s">
        <v>3098</v>
      </c>
      <c r="P25" s="435">
        <v>1.9375342742812743E-6</v>
      </c>
      <c r="Q25" s="95">
        <v>1</v>
      </c>
      <c r="R25" s="96">
        <v>1.0906744032152329</v>
      </c>
      <c r="S25" s="432" t="s">
        <v>3098</v>
      </c>
      <c r="T25" s="435">
        <v>2.2167653585750634E-6</v>
      </c>
      <c r="U25" s="95">
        <v>1</v>
      </c>
      <c r="V25" s="96">
        <v>1.0906744032152329</v>
      </c>
      <c r="W25" s="432" t="s">
        <v>3098</v>
      </c>
      <c r="X25" s="435">
        <v>2.2211862643174249E-6</v>
      </c>
      <c r="Y25" s="95">
        <v>1</v>
      </c>
      <c r="Z25" s="96">
        <v>1.0906744032152329</v>
      </c>
      <c r="AA25" s="432" t="s">
        <v>3098</v>
      </c>
      <c r="AB25" s="435">
        <v>1.6971159449721463E-6</v>
      </c>
      <c r="AC25" s="95">
        <v>1</v>
      </c>
      <c r="AD25" s="96">
        <v>1.0906744032152329</v>
      </c>
      <c r="AE25" s="432" t="s">
        <v>3098</v>
      </c>
      <c r="AF25" s="435">
        <v>2.1292847567966246E-6</v>
      </c>
      <c r="AG25" s="95">
        <v>1</v>
      </c>
      <c r="AH25" s="96">
        <v>1.0906744032152329</v>
      </c>
      <c r="AI25" s="432" t="s">
        <v>3098</v>
      </c>
      <c r="AJ25" s="435">
        <v>1.6157928849400826E-6</v>
      </c>
      <c r="AK25" s="95">
        <v>1</v>
      </c>
      <c r="AL25" s="96">
        <v>1.0906744032152329</v>
      </c>
      <c r="AM25" s="432" t="s">
        <v>3098</v>
      </c>
      <c r="AN25" s="435">
        <v>1.8380998208406544E-6</v>
      </c>
      <c r="AO25" s="95">
        <v>1</v>
      </c>
      <c r="AP25" s="96">
        <v>1.0906744032152329</v>
      </c>
      <c r="AQ25" s="432" t="s">
        <v>3098</v>
      </c>
      <c r="AR25" s="505"/>
      <c r="AS25" s="505"/>
      <c r="AT25" s="211"/>
      <c r="AU25" s="211"/>
      <c r="AW25" s="77" t="s">
        <v>2213</v>
      </c>
      <c r="AX25" s="339">
        <v>2</v>
      </c>
      <c r="AY25" s="339">
        <v>2</v>
      </c>
      <c r="AZ25" s="339">
        <v>1</v>
      </c>
      <c r="BA25" s="339">
        <v>1</v>
      </c>
      <c r="BB25" s="339">
        <v>1</v>
      </c>
      <c r="BC25" s="339">
        <v>3</v>
      </c>
      <c r="BD25" s="104">
        <v>6</v>
      </c>
      <c r="BE25" s="104">
        <v>1.05</v>
      </c>
      <c r="BF25" s="107">
        <v>1.0744244531716256</v>
      </c>
      <c r="BG25" s="107">
        <v>1.0906744032152329</v>
      </c>
      <c r="BH25" s="107" t="s">
        <v>2270</v>
      </c>
      <c r="BI25" s="108">
        <v>1.05</v>
      </c>
      <c r="BJ25" s="108">
        <v>1.02</v>
      </c>
      <c r="BK25" s="108">
        <v>1</v>
      </c>
      <c r="BL25" s="108">
        <v>1</v>
      </c>
      <c r="BM25" s="108">
        <v>1</v>
      </c>
      <c r="BN25" s="108">
        <v>1.05</v>
      </c>
    </row>
    <row r="26" spans="1:69" ht="24" customHeight="1" outlineLevel="1">
      <c r="A26" s="330" t="s">
        <v>1831</v>
      </c>
      <c r="B26" s="331"/>
      <c r="C26" s="88"/>
      <c r="D26" s="340">
        <v>5</v>
      </c>
      <c r="E26" s="341" t="s">
        <v>98</v>
      </c>
      <c r="F26" s="432" t="s">
        <v>1836</v>
      </c>
      <c r="G26" s="433" t="s">
        <v>154</v>
      </c>
      <c r="H26" s="434" t="s">
        <v>98</v>
      </c>
      <c r="I26" s="434" t="s">
        <v>98</v>
      </c>
      <c r="J26" s="94">
        <v>1</v>
      </c>
      <c r="K26" s="433" t="s">
        <v>144</v>
      </c>
      <c r="L26" s="435">
        <v>1.0933562957894301E-9</v>
      </c>
      <c r="M26" s="95">
        <v>1</v>
      </c>
      <c r="N26" s="96">
        <v>1.2164594125584303</v>
      </c>
      <c r="O26" s="432" t="s">
        <v>3168</v>
      </c>
      <c r="P26" s="435">
        <v>9.0738643702134099E-10</v>
      </c>
      <c r="Q26" s="95">
        <v>1</v>
      </c>
      <c r="R26" s="96">
        <v>1.2164594125584303</v>
      </c>
      <c r="S26" s="432" t="s">
        <v>3168</v>
      </c>
      <c r="T26" s="435">
        <v>2.3273264353080499E-10</v>
      </c>
      <c r="U26" s="95">
        <v>1</v>
      </c>
      <c r="V26" s="96">
        <v>1.2164594125584303</v>
      </c>
      <c r="W26" s="432" t="s">
        <v>3168</v>
      </c>
      <c r="X26" s="435">
        <v>1.0564097569700999E-9</v>
      </c>
      <c r="Y26" s="95">
        <v>1</v>
      </c>
      <c r="Z26" s="96">
        <v>1.2164594125584303</v>
      </c>
      <c r="AA26" s="432" t="s">
        <v>3168</v>
      </c>
      <c r="AB26" s="435">
        <v>8.4392654179569506E-10</v>
      </c>
      <c r="AC26" s="95">
        <v>1</v>
      </c>
      <c r="AD26" s="96">
        <v>1.2164594125584303</v>
      </c>
      <c r="AE26" s="432" t="s">
        <v>3168</v>
      </c>
      <c r="AF26" s="435">
        <v>5.20237053067686E-10</v>
      </c>
      <c r="AG26" s="95">
        <v>1</v>
      </c>
      <c r="AH26" s="96">
        <v>1.2164594125584303</v>
      </c>
      <c r="AI26" s="432" t="s">
        <v>3168</v>
      </c>
      <c r="AJ26" s="435">
        <v>7.7156266571638903E-10</v>
      </c>
      <c r="AK26" s="95">
        <v>1</v>
      </c>
      <c r="AL26" s="96">
        <v>1.2164594125584303</v>
      </c>
      <c r="AM26" s="432" t="s">
        <v>3168</v>
      </c>
      <c r="AN26" s="435">
        <v>4.1473123355498102E-10</v>
      </c>
      <c r="AO26" s="95">
        <v>1</v>
      </c>
      <c r="AP26" s="96">
        <v>1.2164594125584303</v>
      </c>
      <c r="AQ26" s="432" t="s">
        <v>3168</v>
      </c>
      <c r="AR26" s="213" t="s">
        <v>2039</v>
      </c>
      <c r="AS26" s="516" t="s">
        <v>2214</v>
      </c>
      <c r="AT26" s="211">
        <v>250</v>
      </c>
      <c r="AU26" s="510">
        <v>0.22616666666666699</v>
      </c>
      <c r="AV26" s="212">
        <v>1105.3795136330125</v>
      </c>
      <c r="AW26" s="77" t="s">
        <v>2289</v>
      </c>
      <c r="AX26" s="339">
        <v>2</v>
      </c>
      <c r="AY26" s="339">
        <v>2</v>
      </c>
      <c r="AZ26" s="339">
        <v>1</v>
      </c>
      <c r="BA26" s="339">
        <v>1</v>
      </c>
      <c r="BB26" s="339">
        <v>1</v>
      </c>
      <c r="BC26" s="339">
        <v>3</v>
      </c>
      <c r="BD26" s="104">
        <v>9</v>
      </c>
      <c r="BE26" s="104">
        <v>1.2</v>
      </c>
      <c r="BF26" s="107">
        <v>1.0744244531716256</v>
      </c>
      <c r="BG26" s="107">
        <v>1.2164594125584303</v>
      </c>
      <c r="BH26" s="107" t="s">
        <v>2270</v>
      </c>
      <c r="BI26" s="108">
        <v>1.05</v>
      </c>
      <c r="BJ26" s="108">
        <v>1.02</v>
      </c>
      <c r="BK26" s="108">
        <v>1</v>
      </c>
      <c r="BL26" s="108">
        <v>1</v>
      </c>
      <c r="BM26" s="108">
        <v>1</v>
      </c>
      <c r="BN26" s="108">
        <v>1.05</v>
      </c>
      <c r="BP26" s="208">
        <v>8.8369750875927494E-3</v>
      </c>
      <c r="BQ26" s="209">
        <v>1077.6572555075761</v>
      </c>
    </row>
    <row r="27" spans="1:69" ht="24" customHeight="1" outlineLevel="1">
      <c r="A27" s="330" t="s">
        <v>1946</v>
      </c>
      <c r="B27" s="331"/>
      <c r="C27" s="88"/>
      <c r="D27" s="340">
        <v>5</v>
      </c>
      <c r="E27" s="341" t="s">
        <v>98</v>
      </c>
      <c r="F27" s="432" t="s">
        <v>1940</v>
      </c>
      <c r="G27" s="433" t="s">
        <v>154</v>
      </c>
      <c r="H27" s="434" t="s">
        <v>98</v>
      </c>
      <c r="I27" s="434" t="s">
        <v>98</v>
      </c>
      <c r="J27" s="94">
        <v>1</v>
      </c>
      <c r="K27" s="433" t="s">
        <v>144</v>
      </c>
      <c r="L27" s="435">
        <v>2.3527920289139498E-10</v>
      </c>
      <c r="M27" s="95">
        <v>1</v>
      </c>
      <c r="N27" s="96">
        <v>1.2164594125584303</v>
      </c>
      <c r="O27" s="432" t="s">
        <v>3168</v>
      </c>
      <c r="P27" s="435">
        <v>1.9526037252358001E-10</v>
      </c>
      <c r="Q27" s="95">
        <v>1</v>
      </c>
      <c r="R27" s="96">
        <v>1.2164594125584303</v>
      </c>
      <c r="S27" s="432" t="s">
        <v>3168</v>
      </c>
      <c r="T27" s="435">
        <v>5.0081708101565695E-11</v>
      </c>
      <c r="U27" s="95">
        <v>1</v>
      </c>
      <c r="V27" s="96">
        <v>1.2164594125584303</v>
      </c>
      <c r="W27" s="432" t="s">
        <v>3168</v>
      </c>
      <c r="X27" s="435">
        <v>2.27328681879642E-10</v>
      </c>
      <c r="Y27" s="95">
        <v>1</v>
      </c>
      <c r="Z27" s="96">
        <v>1.2164594125584303</v>
      </c>
      <c r="AA27" s="432" t="s">
        <v>3168</v>
      </c>
      <c r="AB27" s="435">
        <v>1.81604445702871E-10</v>
      </c>
      <c r="AC27" s="95">
        <v>1</v>
      </c>
      <c r="AD27" s="96">
        <v>1.2164594125584303</v>
      </c>
      <c r="AE27" s="432" t="s">
        <v>3168</v>
      </c>
      <c r="AF27" s="435">
        <v>1.1194974559684301E-10</v>
      </c>
      <c r="AG27" s="95">
        <v>1</v>
      </c>
      <c r="AH27" s="96">
        <v>1.2164594125584303</v>
      </c>
      <c r="AI27" s="432" t="s">
        <v>3168</v>
      </c>
      <c r="AJ27" s="435">
        <v>1.6603247236935002E-10</v>
      </c>
      <c r="AK27" s="95">
        <v>1</v>
      </c>
      <c r="AL27" s="96">
        <v>1.2164594125584303</v>
      </c>
      <c r="AM27" s="432" t="s">
        <v>3168</v>
      </c>
      <c r="AN27" s="435">
        <v>8.9245961651071886E-11</v>
      </c>
      <c r="AO27" s="95">
        <v>1</v>
      </c>
      <c r="AP27" s="96">
        <v>1.2164594125584303</v>
      </c>
      <c r="AQ27" s="432" t="s">
        <v>3168</v>
      </c>
      <c r="AR27" s="213" t="s">
        <v>2039</v>
      </c>
      <c r="AS27" s="505" t="s">
        <v>4</v>
      </c>
      <c r="AT27" s="211">
        <v>250</v>
      </c>
      <c r="AU27" s="510">
        <v>0.18</v>
      </c>
      <c r="AV27" s="212">
        <v>1388.8888888888889</v>
      </c>
      <c r="AW27" s="77" t="s">
        <v>2289</v>
      </c>
      <c r="AX27" s="339">
        <v>2</v>
      </c>
      <c r="AY27" s="339">
        <v>2</v>
      </c>
      <c r="AZ27" s="339">
        <v>1</v>
      </c>
      <c r="BA27" s="339">
        <v>1</v>
      </c>
      <c r="BB27" s="339">
        <v>1</v>
      </c>
      <c r="BC27" s="339">
        <v>3</v>
      </c>
      <c r="BD27" s="104">
        <v>9</v>
      </c>
      <c r="BE27" s="104">
        <v>1.2</v>
      </c>
      <c r="BF27" s="107">
        <v>1.0744244531716256</v>
      </c>
      <c r="BG27" s="107">
        <v>1.2164594125584303</v>
      </c>
      <c r="BH27" s="107" t="s">
        <v>2270</v>
      </c>
      <c r="BI27" s="108">
        <v>1.05</v>
      </c>
      <c r="BJ27" s="108">
        <v>1.02</v>
      </c>
      <c r="BK27" s="108">
        <v>1</v>
      </c>
      <c r="BL27" s="108">
        <v>1</v>
      </c>
      <c r="BM27" s="108">
        <v>1</v>
      </c>
      <c r="BN27" s="108">
        <v>1.05</v>
      </c>
      <c r="BP27" s="208">
        <v>1.90162755049464E-3</v>
      </c>
      <c r="BQ27" s="209">
        <v>1077.6572555075809</v>
      </c>
    </row>
    <row r="28" spans="1:69" ht="24" customHeight="1" outlineLevel="1">
      <c r="A28" s="330" t="s">
        <v>1830</v>
      </c>
      <c r="B28" s="331"/>
      <c r="C28" s="88"/>
      <c r="D28" s="340">
        <v>5</v>
      </c>
      <c r="E28" s="341" t="s">
        <v>98</v>
      </c>
      <c r="F28" s="432" t="s">
        <v>1835</v>
      </c>
      <c r="G28" s="433" t="s">
        <v>154</v>
      </c>
      <c r="H28" s="434" t="s">
        <v>98</v>
      </c>
      <c r="I28" s="434" t="s">
        <v>98</v>
      </c>
      <c r="J28" s="94">
        <v>1</v>
      </c>
      <c r="K28" s="433" t="s">
        <v>144</v>
      </c>
      <c r="L28" s="435">
        <v>1.82226049298238E-8</v>
      </c>
      <c r="M28" s="95">
        <v>1</v>
      </c>
      <c r="N28" s="96">
        <v>1.2164594125584303</v>
      </c>
      <c r="O28" s="432" t="s">
        <v>3168</v>
      </c>
      <c r="P28" s="435">
        <v>1.5123107283688999E-8</v>
      </c>
      <c r="Q28" s="95">
        <v>1</v>
      </c>
      <c r="R28" s="96">
        <v>1.2164594125584303</v>
      </c>
      <c r="S28" s="432" t="s">
        <v>3168</v>
      </c>
      <c r="T28" s="435">
        <v>3.8788773921800902E-9</v>
      </c>
      <c r="U28" s="95">
        <v>1</v>
      </c>
      <c r="V28" s="96">
        <v>1.2164594125584303</v>
      </c>
      <c r="W28" s="432" t="s">
        <v>3168</v>
      </c>
      <c r="X28" s="435">
        <v>1.7606829282835E-8</v>
      </c>
      <c r="Y28" s="95">
        <v>1</v>
      </c>
      <c r="Z28" s="96">
        <v>1.2164594125584303</v>
      </c>
      <c r="AA28" s="432" t="s">
        <v>3168</v>
      </c>
      <c r="AB28" s="435">
        <v>1.40654423632616E-8</v>
      </c>
      <c r="AC28" s="95">
        <v>1</v>
      </c>
      <c r="AD28" s="96">
        <v>1.2164594125584303</v>
      </c>
      <c r="AE28" s="432" t="s">
        <v>3168</v>
      </c>
      <c r="AF28" s="435">
        <v>8.6706175511280908E-9</v>
      </c>
      <c r="AG28" s="95">
        <v>1</v>
      </c>
      <c r="AH28" s="96">
        <v>1.2164594125584303</v>
      </c>
      <c r="AI28" s="432" t="s">
        <v>3168</v>
      </c>
      <c r="AJ28" s="435">
        <v>1.28593777619398E-8</v>
      </c>
      <c r="AK28" s="95">
        <v>1</v>
      </c>
      <c r="AL28" s="96">
        <v>1.2164594125584303</v>
      </c>
      <c r="AM28" s="432" t="s">
        <v>3168</v>
      </c>
      <c r="AN28" s="435">
        <v>6.9121872259163505E-9</v>
      </c>
      <c r="AO28" s="95">
        <v>1</v>
      </c>
      <c r="AP28" s="96">
        <v>1.2164594125584303</v>
      </c>
      <c r="AQ28" s="432" t="s">
        <v>3168</v>
      </c>
      <c r="AR28" s="213" t="s">
        <v>2039</v>
      </c>
      <c r="AS28" s="516" t="s">
        <v>2214</v>
      </c>
      <c r="AT28" s="211">
        <v>250</v>
      </c>
      <c r="AU28" s="510">
        <v>0.22616666666666699</v>
      </c>
      <c r="AV28" s="212">
        <v>1105.3795136330125</v>
      </c>
      <c r="AW28" s="77" t="s">
        <v>2289</v>
      </c>
      <c r="AX28" s="339">
        <v>2</v>
      </c>
      <c r="AY28" s="339">
        <v>2</v>
      </c>
      <c r="AZ28" s="339">
        <v>1</v>
      </c>
      <c r="BA28" s="339">
        <v>1</v>
      </c>
      <c r="BB28" s="339">
        <v>1</v>
      </c>
      <c r="BC28" s="339">
        <v>3</v>
      </c>
      <c r="BD28" s="104">
        <v>9</v>
      </c>
      <c r="BE28" s="104">
        <v>1.2</v>
      </c>
      <c r="BF28" s="107">
        <v>1.0744244531716256</v>
      </c>
      <c r="BG28" s="107">
        <v>1.2164594125584303</v>
      </c>
      <c r="BH28" s="107" t="s">
        <v>2270</v>
      </c>
      <c r="BI28" s="108">
        <v>1.05</v>
      </c>
      <c r="BJ28" s="108">
        <v>1.02</v>
      </c>
      <c r="BK28" s="108">
        <v>1</v>
      </c>
      <c r="BL28" s="108">
        <v>1</v>
      </c>
      <c r="BM28" s="108">
        <v>1</v>
      </c>
      <c r="BN28" s="108">
        <v>1.05</v>
      </c>
      <c r="BP28" s="208">
        <v>0.14728291812654601</v>
      </c>
      <c r="BQ28" s="209">
        <v>1077.6572555075791</v>
      </c>
    </row>
    <row r="29" spans="1:69" ht="24" customHeight="1" outlineLevel="1">
      <c r="A29" s="330" t="s">
        <v>1945</v>
      </c>
      <c r="B29" s="331"/>
      <c r="C29" s="88"/>
      <c r="D29" s="340">
        <v>5</v>
      </c>
      <c r="E29" s="341" t="s">
        <v>98</v>
      </c>
      <c r="F29" s="432" t="s">
        <v>1939</v>
      </c>
      <c r="G29" s="433" t="s">
        <v>154</v>
      </c>
      <c r="H29" s="434" t="s">
        <v>98</v>
      </c>
      <c r="I29" s="434" t="s">
        <v>98</v>
      </c>
      <c r="J29" s="94">
        <v>1</v>
      </c>
      <c r="K29" s="433" t="s">
        <v>144</v>
      </c>
      <c r="L29" s="435">
        <v>3.9213200481899207E-9</v>
      </c>
      <c r="M29" s="95">
        <v>1</v>
      </c>
      <c r="N29" s="96">
        <v>1.2164594125584303</v>
      </c>
      <c r="O29" s="432" t="s">
        <v>3168</v>
      </c>
      <c r="P29" s="435">
        <v>3.2543395420596605E-9</v>
      </c>
      <c r="Q29" s="95">
        <v>1</v>
      </c>
      <c r="R29" s="96">
        <v>1.2164594125584303</v>
      </c>
      <c r="S29" s="432" t="s">
        <v>3168</v>
      </c>
      <c r="T29" s="435">
        <v>8.3469513502609503E-10</v>
      </c>
      <c r="U29" s="95">
        <v>1</v>
      </c>
      <c r="V29" s="96">
        <v>1.2164594125584303</v>
      </c>
      <c r="W29" s="432" t="s">
        <v>3168</v>
      </c>
      <c r="X29" s="435">
        <v>3.7888113646606997E-9</v>
      </c>
      <c r="Y29" s="95">
        <v>1</v>
      </c>
      <c r="Z29" s="96">
        <v>1.2164594125584303</v>
      </c>
      <c r="AA29" s="432" t="s">
        <v>3168</v>
      </c>
      <c r="AB29" s="435">
        <v>3.0267407617145203E-9</v>
      </c>
      <c r="AC29" s="95">
        <v>1</v>
      </c>
      <c r="AD29" s="96">
        <v>1.2164594125584303</v>
      </c>
      <c r="AE29" s="432" t="s">
        <v>3168</v>
      </c>
      <c r="AF29" s="435">
        <v>1.8658290932807301E-9</v>
      </c>
      <c r="AG29" s="95">
        <v>1</v>
      </c>
      <c r="AH29" s="96">
        <v>1.2164594125584303</v>
      </c>
      <c r="AI29" s="432" t="s">
        <v>3168</v>
      </c>
      <c r="AJ29" s="435">
        <v>2.7672078728224902E-9</v>
      </c>
      <c r="AK29" s="95">
        <v>1</v>
      </c>
      <c r="AL29" s="96">
        <v>1.2164594125584303</v>
      </c>
      <c r="AM29" s="432" t="s">
        <v>3168</v>
      </c>
      <c r="AN29" s="435">
        <v>1.4874326941845302E-9</v>
      </c>
      <c r="AO29" s="95">
        <v>1</v>
      </c>
      <c r="AP29" s="96">
        <v>1.2164594125584303</v>
      </c>
      <c r="AQ29" s="432" t="s">
        <v>3168</v>
      </c>
      <c r="AR29" s="213" t="s">
        <v>2039</v>
      </c>
      <c r="AS29" s="505" t="s">
        <v>4</v>
      </c>
      <c r="AT29" s="211">
        <v>250</v>
      </c>
      <c r="AU29" s="510">
        <v>0.18</v>
      </c>
      <c r="AV29" s="212">
        <v>1388.8888888888889</v>
      </c>
      <c r="AW29" s="77" t="s">
        <v>2289</v>
      </c>
      <c r="AX29" s="339">
        <v>2</v>
      </c>
      <c r="AY29" s="339">
        <v>2</v>
      </c>
      <c r="AZ29" s="339">
        <v>1</v>
      </c>
      <c r="BA29" s="339">
        <v>1</v>
      </c>
      <c r="BB29" s="339">
        <v>1</v>
      </c>
      <c r="BC29" s="339">
        <v>3</v>
      </c>
      <c r="BD29" s="104">
        <v>9</v>
      </c>
      <c r="BE29" s="104">
        <v>1.2</v>
      </c>
      <c r="BF29" s="107">
        <v>1.0744244531716256</v>
      </c>
      <c r="BG29" s="107">
        <v>1.2164594125584303</v>
      </c>
      <c r="BH29" s="107" t="s">
        <v>2270</v>
      </c>
      <c r="BI29" s="108">
        <v>1.05</v>
      </c>
      <c r="BJ29" s="108">
        <v>1.02</v>
      </c>
      <c r="BK29" s="108">
        <v>1</v>
      </c>
      <c r="BL29" s="108">
        <v>1</v>
      </c>
      <c r="BM29" s="108">
        <v>1</v>
      </c>
      <c r="BN29" s="108">
        <v>1.05</v>
      </c>
      <c r="BP29" s="208">
        <v>3.1693792508244001E-2</v>
      </c>
      <c r="BQ29" s="209">
        <v>1077.6572555075795</v>
      </c>
    </row>
    <row r="30" spans="1:69" ht="24" customHeight="1" outlineLevel="1">
      <c r="A30" s="330" t="s">
        <v>1947</v>
      </c>
      <c r="B30" s="331"/>
      <c r="C30" s="88"/>
      <c r="D30" s="340">
        <v>5</v>
      </c>
      <c r="E30" s="341" t="s">
        <v>98</v>
      </c>
      <c r="F30" s="432" t="s">
        <v>1941</v>
      </c>
      <c r="G30" s="433" t="s">
        <v>154</v>
      </c>
      <c r="H30" s="434" t="s">
        <v>98</v>
      </c>
      <c r="I30" s="434" t="s">
        <v>98</v>
      </c>
      <c r="J30" s="94">
        <v>1</v>
      </c>
      <c r="K30" s="433" t="s">
        <v>144</v>
      </c>
      <c r="L30" s="435">
        <v>3.5291880433709304E-9</v>
      </c>
      <c r="M30" s="95">
        <v>1</v>
      </c>
      <c r="N30" s="96">
        <v>1.2164594125584303</v>
      </c>
      <c r="O30" s="432" t="s">
        <v>3168</v>
      </c>
      <c r="P30" s="435">
        <v>2.9289055878536904E-9</v>
      </c>
      <c r="Q30" s="95">
        <v>1</v>
      </c>
      <c r="R30" s="96">
        <v>1.2164594125584303</v>
      </c>
      <c r="S30" s="432" t="s">
        <v>3168</v>
      </c>
      <c r="T30" s="435">
        <v>7.5122562152348505E-10</v>
      </c>
      <c r="U30" s="95">
        <v>1</v>
      </c>
      <c r="V30" s="96">
        <v>1.2164594125584303</v>
      </c>
      <c r="W30" s="432" t="s">
        <v>3168</v>
      </c>
      <c r="X30" s="435">
        <v>3.4099302281946304E-9</v>
      </c>
      <c r="Y30" s="95">
        <v>1</v>
      </c>
      <c r="Z30" s="96">
        <v>1.2164594125584303</v>
      </c>
      <c r="AA30" s="432" t="s">
        <v>3168</v>
      </c>
      <c r="AB30" s="435">
        <v>2.7240666855430702E-9</v>
      </c>
      <c r="AC30" s="95">
        <v>1</v>
      </c>
      <c r="AD30" s="96">
        <v>1.2164594125584303</v>
      </c>
      <c r="AE30" s="432" t="s">
        <v>3168</v>
      </c>
      <c r="AF30" s="435">
        <v>1.6792461839526601E-9</v>
      </c>
      <c r="AG30" s="95">
        <v>1</v>
      </c>
      <c r="AH30" s="96">
        <v>1.2164594125584303</v>
      </c>
      <c r="AI30" s="432" t="s">
        <v>3168</v>
      </c>
      <c r="AJ30" s="435">
        <v>2.4904870855402402E-9</v>
      </c>
      <c r="AK30" s="95">
        <v>1</v>
      </c>
      <c r="AL30" s="96">
        <v>1.2164594125584303</v>
      </c>
      <c r="AM30" s="432" t="s">
        <v>3168</v>
      </c>
      <c r="AN30" s="435">
        <v>1.33868942476608E-9</v>
      </c>
      <c r="AO30" s="95">
        <v>1</v>
      </c>
      <c r="AP30" s="96">
        <v>1.2164594125584303</v>
      </c>
      <c r="AQ30" s="432" t="s">
        <v>3168</v>
      </c>
      <c r="AR30" s="213" t="s">
        <v>2039</v>
      </c>
      <c r="AS30" s="505" t="s">
        <v>4</v>
      </c>
      <c r="AT30" s="211">
        <v>250</v>
      </c>
      <c r="AU30" s="510">
        <v>0.18</v>
      </c>
      <c r="AV30" s="212">
        <v>1388.8888888888889</v>
      </c>
      <c r="AW30" s="77" t="s">
        <v>2289</v>
      </c>
      <c r="AX30" s="339">
        <v>2</v>
      </c>
      <c r="AY30" s="339">
        <v>2</v>
      </c>
      <c r="AZ30" s="339">
        <v>1</v>
      </c>
      <c r="BA30" s="339">
        <v>1</v>
      </c>
      <c r="BB30" s="339">
        <v>1</v>
      </c>
      <c r="BC30" s="339">
        <v>3</v>
      </c>
      <c r="BD30" s="104">
        <v>9</v>
      </c>
      <c r="BE30" s="104">
        <v>1.2</v>
      </c>
      <c r="BF30" s="107">
        <v>1.0744244531716256</v>
      </c>
      <c r="BG30" s="107">
        <v>1.2164594125584303</v>
      </c>
      <c r="BH30" s="107" t="s">
        <v>2270</v>
      </c>
      <c r="BI30" s="108">
        <v>1.05</v>
      </c>
      <c r="BJ30" s="108">
        <v>1.02</v>
      </c>
      <c r="BK30" s="108">
        <v>1</v>
      </c>
      <c r="BL30" s="108">
        <v>1</v>
      </c>
      <c r="BM30" s="108">
        <v>1</v>
      </c>
      <c r="BN30" s="108">
        <v>1.05</v>
      </c>
      <c r="BP30" s="208">
        <v>2.8524413257419601E-2</v>
      </c>
      <c r="BQ30" s="209">
        <v>1077.6572555075791</v>
      </c>
    </row>
    <row r="31" spans="1:69" ht="24" customHeight="1" outlineLevel="1">
      <c r="A31" s="330" t="s">
        <v>1832</v>
      </c>
      <c r="B31" s="331"/>
      <c r="C31" s="88"/>
      <c r="D31" s="340">
        <v>5</v>
      </c>
      <c r="E31" s="341" t="s">
        <v>98</v>
      </c>
      <c r="F31" s="432" t="s">
        <v>1837</v>
      </c>
      <c r="G31" s="433" t="s">
        <v>154</v>
      </c>
      <c r="H31" s="434" t="s">
        <v>98</v>
      </c>
      <c r="I31" s="434" t="s">
        <v>98</v>
      </c>
      <c r="J31" s="94">
        <v>1</v>
      </c>
      <c r="K31" s="433" t="s">
        <v>144</v>
      </c>
      <c r="L31" s="435">
        <v>1.6400344436841399E-8</v>
      </c>
      <c r="M31" s="95">
        <v>1</v>
      </c>
      <c r="N31" s="96">
        <v>1.2164594125584303</v>
      </c>
      <c r="O31" s="432" t="s">
        <v>3168</v>
      </c>
      <c r="P31" s="435">
        <v>1.3610796555320101E-8</v>
      </c>
      <c r="Q31" s="95">
        <v>1</v>
      </c>
      <c r="R31" s="96">
        <v>1.2164594125584303</v>
      </c>
      <c r="S31" s="432" t="s">
        <v>3168</v>
      </c>
      <c r="T31" s="435">
        <v>3.4909896529620805E-9</v>
      </c>
      <c r="U31" s="95">
        <v>1</v>
      </c>
      <c r="V31" s="96">
        <v>1.2164594125584303</v>
      </c>
      <c r="W31" s="432" t="s">
        <v>3168</v>
      </c>
      <c r="X31" s="435">
        <v>1.58461463545515E-8</v>
      </c>
      <c r="Y31" s="95">
        <v>1</v>
      </c>
      <c r="Z31" s="96">
        <v>1.2164594125584303</v>
      </c>
      <c r="AA31" s="432" t="s">
        <v>3168</v>
      </c>
      <c r="AB31" s="435">
        <v>1.26588981269354E-8</v>
      </c>
      <c r="AC31" s="95">
        <v>1</v>
      </c>
      <c r="AD31" s="96">
        <v>1.2164594125584303</v>
      </c>
      <c r="AE31" s="432" t="s">
        <v>3168</v>
      </c>
      <c r="AF31" s="435">
        <v>7.8035557960152995E-9</v>
      </c>
      <c r="AG31" s="95">
        <v>1</v>
      </c>
      <c r="AH31" s="96">
        <v>1.2164594125584303</v>
      </c>
      <c r="AI31" s="432" t="s">
        <v>3168</v>
      </c>
      <c r="AJ31" s="435">
        <v>1.15734399857458E-8</v>
      </c>
      <c r="AK31" s="95">
        <v>1</v>
      </c>
      <c r="AL31" s="96">
        <v>1.2164594125584303</v>
      </c>
      <c r="AM31" s="432" t="s">
        <v>3168</v>
      </c>
      <c r="AN31" s="435">
        <v>6.2209685033247208E-9</v>
      </c>
      <c r="AO31" s="95">
        <v>1</v>
      </c>
      <c r="AP31" s="96">
        <v>1.2164594125584303</v>
      </c>
      <c r="AQ31" s="432" t="s">
        <v>3168</v>
      </c>
      <c r="AR31" s="213" t="s">
        <v>2039</v>
      </c>
      <c r="AS31" s="516" t="s">
        <v>2214</v>
      </c>
      <c r="AT31" s="211">
        <v>250</v>
      </c>
      <c r="AU31" s="510">
        <v>0.22616666666666699</v>
      </c>
      <c r="AV31" s="212">
        <v>1105.3795136330125</v>
      </c>
      <c r="AW31" s="77" t="s">
        <v>2289</v>
      </c>
      <c r="AX31" s="339">
        <v>2</v>
      </c>
      <c r="AY31" s="339">
        <v>2</v>
      </c>
      <c r="AZ31" s="339">
        <v>1</v>
      </c>
      <c r="BA31" s="339">
        <v>1</v>
      </c>
      <c r="BB31" s="339">
        <v>1</v>
      </c>
      <c r="BC31" s="339">
        <v>3</v>
      </c>
      <c r="BD31" s="104">
        <v>9</v>
      </c>
      <c r="BE31" s="104">
        <v>1.2</v>
      </c>
      <c r="BF31" s="107">
        <v>1.0744244531716256</v>
      </c>
      <c r="BG31" s="107">
        <v>1.2164594125584303</v>
      </c>
      <c r="BH31" s="107" t="s">
        <v>2270</v>
      </c>
      <c r="BI31" s="108">
        <v>1.05</v>
      </c>
      <c r="BJ31" s="108">
        <v>1.02</v>
      </c>
      <c r="BK31" s="108">
        <v>1</v>
      </c>
      <c r="BL31" s="108">
        <v>1</v>
      </c>
      <c r="BM31" s="108">
        <v>1</v>
      </c>
      <c r="BN31" s="108">
        <v>1.05</v>
      </c>
      <c r="BP31" s="208">
        <v>0.13255462631389101</v>
      </c>
      <c r="BQ31" s="209">
        <v>1077.6572555075772</v>
      </c>
    </row>
    <row r="32" spans="1:69" ht="24" customHeight="1" outlineLevel="1">
      <c r="A32" s="330" t="s">
        <v>1833</v>
      </c>
      <c r="B32" s="331"/>
      <c r="C32" s="88"/>
      <c r="D32" s="340">
        <v>5</v>
      </c>
      <c r="E32" s="341" t="s">
        <v>98</v>
      </c>
      <c r="F32" s="432" t="s">
        <v>1838</v>
      </c>
      <c r="G32" s="433" t="s">
        <v>154</v>
      </c>
      <c r="H32" s="434" t="s">
        <v>98</v>
      </c>
      <c r="I32" s="434" t="s">
        <v>98</v>
      </c>
      <c r="J32" s="94">
        <v>1</v>
      </c>
      <c r="K32" s="433" t="s">
        <v>144</v>
      </c>
      <c r="L32" s="435">
        <v>9.29731979340605E-10</v>
      </c>
      <c r="M32" s="95">
        <v>1</v>
      </c>
      <c r="N32" s="96">
        <v>1.2164594125584303</v>
      </c>
      <c r="O32" s="432" t="s">
        <v>3168</v>
      </c>
      <c r="P32" s="435">
        <v>6.0669021744958602E-10</v>
      </c>
      <c r="Q32" s="95">
        <v>1</v>
      </c>
      <c r="R32" s="96">
        <v>1.2164594125584303</v>
      </c>
      <c r="S32" s="432" t="s">
        <v>3168</v>
      </c>
      <c r="T32" s="435">
        <v>1.7771627967520802E-9</v>
      </c>
      <c r="U32" s="95">
        <v>1</v>
      </c>
      <c r="V32" s="96">
        <v>1.2164594125584303</v>
      </c>
      <c r="W32" s="432" t="s">
        <v>3168</v>
      </c>
      <c r="X32" s="435">
        <v>6.737472377409901E-10</v>
      </c>
      <c r="Y32" s="95">
        <v>1</v>
      </c>
      <c r="Z32" s="96">
        <v>1.2164594125584303</v>
      </c>
      <c r="AA32" s="432" t="s">
        <v>3168</v>
      </c>
      <c r="AB32" s="435">
        <v>4.6534116881856901E-10</v>
      </c>
      <c r="AC32" s="95">
        <v>1</v>
      </c>
      <c r="AD32" s="96">
        <v>1.2164594125584303</v>
      </c>
      <c r="AE32" s="432" t="s">
        <v>3168</v>
      </c>
      <c r="AF32" s="435">
        <v>1.3080782133801102E-9</v>
      </c>
      <c r="AG32" s="95">
        <v>1</v>
      </c>
      <c r="AH32" s="96">
        <v>1.2164594125584303</v>
      </c>
      <c r="AI32" s="432" t="s">
        <v>3168</v>
      </c>
      <c r="AJ32" s="435">
        <v>4.8597077423943097E-10</v>
      </c>
      <c r="AK32" s="95">
        <v>1</v>
      </c>
      <c r="AL32" s="96">
        <v>1.2164594125584303</v>
      </c>
      <c r="AM32" s="432" t="s">
        <v>3168</v>
      </c>
      <c r="AN32" s="435">
        <v>1.1754014247206801E-9</v>
      </c>
      <c r="AO32" s="95">
        <v>1</v>
      </c>
      <c r="AP32" s="96">
        <v>1.2164594125584303</v>
      </c>
      <c r="AQ32" s="432" t="s">
        <v>3168</v>
      </c>
      <c r="AR32" s="213" t="s">
        <v>2041</v>
      </c>
      <c r="AS32" s="516" t="s">
        <v>2214</v>
      </c>
      <c r="AT32" s="211">
        <v>10000</v>
      </c>
      <c r="AU32" s="510">
        <v>0.22616666666666699</v>
      </c>
      <c r="AV32" s="212">
        <v>44215.180545320494</v>
      </c>
      <c r="AW32" s="77" t="s">
        <v>2289</v>
      </c>
      <c r="AX32" s="339">
        <v>2</v>
      </c>
      <c r="AY32" s="339">
        <v>2</v>
      </c>
      <c r="AZ32" s="339">
        <v>1</v>
      </c>
      <c r="BA32" s="339">
        <v>1</v>
      </c>
      <c r="BB32" s="339">
        <v>1</v>
      </c>
      <c r="BC32" s="339">
        <v>3</v>
      </c>
      <c r="BD32" s="104">
        <v>9</v>
      </c>
      <c r="BE32" s="104">
        <v>1.2</v>
      </c>
      <c r="BF32" s="107">
        <v>1.0744244531716256</v>
      </c>
      <c r="BG32" s="107">
        <v>1.2164594125584303</v>
      </c>
      <c r="BH32" s="107" t="s">
        <v>2270</v>
      </c>
      <c r="BI32" s="108">
        <v>1.05</v>
      </c>
      <c r="BJ32" s="108">
        <v>1.02</v>
      </c>
      <c r="BK32" s="108">
        <v>1</v>
      </c>
      <c r="BL32" s="108">
        <v>1</v>
      </c>
      <c r="BM32" s="108">
        <v>1</v>
      </c>
      <c r="BN32" s="108">
        <v>1.05</v>
      </c>
      <c r="BP32" s="208">
        <v>0.31869466199505397</v>
      </c>
      <c r="BQ32" s="209">
        <v>1142.6040661061704</v>
      </c>
    </row>
    <row r="33" spans="1:69" ht="24" customHeight="1" outlineLevel="1">
      <c r="A33" s="330" t="s">
        <v>1948</v>
      </c>
      <c r="B33" s="331"/>
      <c r="C33" s="88"/>
      <c r="D33" s="340">
        <v>5</v>
      </c>
      <c r="E33" s="341" t="s">
        <v>98</v>
      </c>
      <c r="F33" s="432" t="s">
        <v>1942</v>
      </c>
      <c r="G33" s="433" t="s">
        <v>154</v>
      </c>
      <c r="H33" s="434" t="s">
        <v>98</v>
      </c>
      <c r="I33" s="434" t="s">
        <v>98</v>
      </c>
      <c r="J33" s="94">
        <v>1</v>
      </c>
      <c r="K33" s="433" t="s">
        <v>144</v>
      </c>
      <c r="L33" s="435">
        <v>2.00068906946712E-10</v>
      </c>
      <c r="M33" s="95">
        <v>1</v>
      </c>
      <c r="N33" s="96">
        <v>1.2164594125584303</v>
      </c>
      <c r="O33" s="432" t="s">
        <v>3168</v>
      </c>
      <c r="P33" s="435">
        <v>1.30553591096746E-10</v>
      </c>
      <c r="Q33" s="95">
        <v>1</v>
      </c>
      <c r="R33" s="96">
        <v>1.2164594125584303</v>
      </c>
      <c r="S33" s="432" t="s">
        <v>3168</v>
      </c>
      <c r="T33" s="435">
        <v>3.82427437275764E-10</v>
      </c>
      <c r="U33" s="95">
        <v>1</v>
      </c>
      <c r="V33" s="96">
        <v>1.2164594125584303</v>
      </c>
      <c r="W33" s="432" t="s">
        <v>3168</v>
      </c>
      <c r="X33" s="435">
        <v>1.4498358280502299E-10</v>
      </c>
      <c r="Y33" s="95">
        <v>1</v>
      </c>
      <c r="Z33" s="96">
        <v>1.2164594125584303</v>
      </c>
      <c r="AA33" s="432" t="s">
        <v>3168</v>
      </c>
      <c r="AB33" s="435">
        <v>1.00136707214123E-10</v>
      </c>
      <c r="AC33" s="95">
        <v>1</v>
      </c>
      <c r="AD33" s="96">
        <v>1.2164594125584303</v>
      </c>
      <c r="AE33" s="432" t="s">
        <v>3168</v>
      </c>
      <c r="AF33" s="435">
        <v>2.8148518515774498E-10</v>
      </c>
      <c r="AG33" s="95">
        <v>1</v>
      </c>
      <c r="AH33" s="96">
        <v>1.2164594125584303</v>
      </c>
      <c r="AI33" s="432" t="s">
        <v>3168</v>
      </c>
      <c r="AJ33" s="435">
        <v>1.04575989393295E-10</v>
      </c>
      <c r="AK33" s="95">
        <v>1</v>
      </c>
      <c r="AL33" s="96">
        <v>1.2164594125584303</v>
      </c>
      <c r="AM33" s="432" t="s">
        <v>3168</v>
      </c>
      <c r="AN33" s="435">
        <v>2.5293448380065402E-10</v>
      </c>
      <c r="AO33" s="95">
        <v>1</v>
      </c>
      <c r="AP33" s="96">
        <v>1.2164594125584303</v>
      </c>
      <c r="AQ33" s="432" t="s">
        <v>3168</v>
      </c>
      <c r="AR33" s="213" t="s">
        <v>2041</v>
      </c>
      <c r="AS33" s="505" t="s">
        <v>4</v>
      </c>
      <c r="AT33" s="211">
        <v>10000</v>
      </c>
      <c r="AU33" s="510">
        <v>0.18</v>
      </c>
      <c r="AV33" s="212">
        <v>55555.555555555555</v>
      </c>
      <c r="AW33" s="77" t="s">
        <v>2289</v>
      </c>
      <c r="AX33" s="339">
        <v>2</v>
      </c>
      <c r="AY33" s="339">
        <v>2</v>
      </c>
      <c r="AZ33" s="339">
        <v>1</v>
      </c>
      <c r="BA33" s="339">
        <v>1</v>
      </c>
      <c r="BB33" s="339">
        <v>1</v>
      </c>
      <c r="BC33" s="339">
        <v>3</v>
      </c>
      <c r="BD33" s="104">
        <v>9</v>
      </c>
      <c r="BE33" s="104">
        <v>1.2</v>
      </c>
      <c r="BF33" s="107">
        <v>1.0744244531716256</v>
      </c>
      <c r="BG33" s="107">
        <v>1.2164594125584303</v>
      </c>
      <c r="BH33" s="107" t="s">
        <v>2270</v>
      </c>
      <c r="BI33" s="108">
        <v>1.05</v>
      </c>
      <c r="BJ33" s="108">
        <v>1.02</v>
      </c>
      <c r="BK33" s="108">
        <v>1</v>
      </c>
      <c r="BL33" s="108">
        <v>1</v>
      </c>
      <c r="BM33" s="108">
        <v>1</v>
      </c>
      <c r="BN33" s="108">
        <v>1.05</v>
      </c>
      <c r="BP33" s="208">
        <v>6.8579863973619107E-2</v>
      </c>
      <c r="BQ33" s="209">
        <v>1142.6040661061711</v>
      </c>
    </row>
    <row r="34" spans="1:69" ht="24" customHeight="1" outlineLevel="1">
      <c r="A34" s="330" t="s">
        <v>2016</v>
      </c>
      <c r="B34" s="331"/>
      <c r="C34" s="88"/>
      <c r="D34" s="340">
        <v>5</v>
      </c>
      <c r="E34" s="341" t="s">
        <v>98</v>
      </c>
      <c r="F34" s="432" t="s">
        <v>2009</v>
      </c>
      <c r="G34" s="433" t="s">
        <v>154</v>
      </c>
      <c r="H34" s="434" t="s">
        <v>98</v>
      </c>
      <c r="I34" s="434" t="s">
        <v>98</v>
      </c>
      <c r="J34" s="94">
        <v>1</v>
      </c>
      <c r="K34" s="433" t="s">
        <v>144</v>
      </c>
      <c r="L34" s="435">
        <v>4.7075036928638093E-11</v>
      </c>
      <c r="M34" s="95">
        <v>1</v>
      </c>
      <c r="N34" s="96">
        <v>1.2164594125584303</v>
      </c>
      <c r="O34" s="432" t="s">
        <v>3168</v>
      </c>
      <c r="P34" s="435">
        <v>3.0718492022763694E-11</v>
      </c>
      <c r="Q34" s="95">
        <v>1</v>
      </c>
      <c r="R34" s="96">
        <v>1.2164594125584303</v>
      </c>
      <c r="S34" s="432" t="s">
        <v>3168</v>
      </c>
      <c r="T34" s="435">
        <v>8.9982926417826794E-11</v>
      </c>
      <c r="U34" s="95">
        <v>1</v>
      </c>
      <c r="V34" s="96">
        <v>1.2164594125584303</v>
      </c>
      <c r="W34" s="432" t="s">
        <v>3168</v>
      </c>
      <c r="X34" s="435">
        <v>3.4113784189417096E-11</v>
      </c>
      <c r="Y34" s="95">
        <v>1</v>
      </c>
      <c r="Z34" s="96">
        <v>1.2164594125584303</v>
      </c>
      <c r="AA34" s="432" t="s">
        <v>3168</v>
      </c>
      <c r="AB34" s="435">
        <v>2.3561578168028798E-11</v>
      </c>
      <c r="AC34" s="95">
        <v>1</v>
      </c>
      <c r="AD34" s="96">
        <v>1.2164594125584303</v>
      </c>
      <c r="AE34" s="432" t="s">
        <v>3168</v>
      </c>
      <c r="AF34" s="435">
        <v>6.6231808272410697E-11</v>
      </c>
      <c r="AG34" s="95">
        <v>1</v>
      </c>
      <c r="AH34" s="96">
        <v>1.2164594125584303</v>
      </c>
      <c r="AI34" s="432" t="s">
        <v>3168</v>
      </c>
      <c r="AJ34" s="435">
        <v>2.4606115151363599E-11</v>
      </c>
      <c r="AK34" s="95">
        <v>1</v>
      </c>
      <c r="AL34" s="96">
        <v>1.2164594125584303</v>
      </c>
      <c r="AM34" s="432" t="s">
        <v>3168</v>
      </c>
      <c r="AN34" s="435">
        <v>5.9513996188388798E-11</v>
      </c>
      <c r="AO34" s="95">
        <v>1</v>
      </c>
      <c r="AP34" s="96">
        <v>1.2164594125584303</v>
      </c>
      <c r="AQ34" s="432" t="s">
        <v>3168</v>
      </c>
      <c r="AR34" s="213" t="s">
        <v>2041</v>
      </c>
      <c r="AS34" s="505" t="s">
        <v>2087</v>
      </c>
      <c r="AT34" s="211">
        <v>10000</v>
      </c>
      <c r="AU34" s="510">
        <v>0.184</v>
      </c>
      <c r="AV34" s="212">
        <v>54347.82608695652</v>
      </c>
      <c r="AW34" s="77" t="s">
        <v>2289</v>
      </c>
      <c r="AX34" s="339">
        <v>2</v>
      </c>
      <c r="AY34" s="339">
        <v>2</v>
      </c>
      <c r="AZ34" s="339">
        <v>1</v>
      </c>
      <c r="BA34" s="339">
        <v>1</v>
      </c>
      <c r="BB34" s="339">
        <v>1</v>
      </c>
      <c r="BC34" s="339">
        <v>3</v>
      </c>
      <c r="BD34" s="104">
        <v>9</v>
      </c>
      <c r="BE34" s="104">
        <v>1.2</v>
      </c>
      <c r="BF34" s="107">
        <v>1.0744244531716256</v>
      </c>
      <c r="BG34" s="107">
        <v>1.2164594125584303</v>
      </c>
      <c r="BH34" s="107" t="s">
        <v>2270</v>
      </c>
      <c r="BI34" s="108">
        <v>1.05</v>
      </c>
      <c r="BJ34" s="108">
        <v>1.02</v>
      </c>
      <c r="BK34" s="108">
        <v>1</v>
      </c>
      <c r="BL34" s="108">
        <v>1</v>
      </c>
      <c r="BM34" s="108">
        <v>1</v>
      </c>
      <c r="BN34" s="108">
        <v>1.05</v>
      </c>
      <c r="BP34" s="208">
        <v>1.6136438582028002E-2</v>
      </c>
      <c r="BQ34" s="209"/>
    </row>
    <row r="35" spans="1:69" ht="24" customHeight="1" outlineLevel="1">
      <c r="A35" s="330" t="s">
        <v>1982</v>
      </c>
      <c r="B35" s="331"/>
      <c r="C35" s="88"/>
      <c r="D35" s="340">
        <v>5</v>
      </c>
      <c r="E35" s="341" t="s">
        <v>98</v>
      </c>
      <c r="F35" s="432" t="s">
        <v>1976</v>
      </c>
      <c r="G35" s="433" t="s">
        <v>373</v>
      </c>
      <c r="H35" s="434" t="s">
        <v>98</v>
      </c>
      <c r="I35" s="434" t="s">
        <v>98</v>
      </c>
      <c r="J35" s="94">
        <v>1</v>
      </c>
      <c r="K35" s="433" t="s">
        <v>144</v>
      </c>
      <c r="L35" s="435">
        <v>4.6682381526070506E-9</v>
      </c>
      <c r="M35" s="95">
        <v>1</v>
      </c>
      <c r="N35" s="96">
        <v>1.2164594125584303</v>
      </c>
      <c r="O35" s="432" t="s">
        <v>3168</v>
      </c>
      <c r="P35" s="435">
        <v>3.8742137405472206E-9</v>
      </c>
      <c r="Q35" s="95">
        <v>1</v>
      </c>
      <c r="R35" s="96">
        <v>1.2164594125584303</v>
      </c>
      <c r="S35" s="432" t="s">
        <v>3168</v>
      </c>
      <c r="T35" s="435">
        <v>9.9368468455487706E-10</v>
      </c>
      <c r="U35" s="95">
        <v>1</v>
      </c>
      <c r="V35" s="96">
        <v>1.2164594125584303</v>
      </c>
      <c r="W35" s="432" t="s">
        <v>3168</v>
      </c>
      <c r="X35" s="435">
        <v>4.5104897198341708E-9</v>
      </c>
      <c r="Y35" s="95">
        <v>1</v>
      </c>
      <c r="Z35" s="96">
        <v>1.2164594125584303</v>
      </c>
      <c r="AA35" s="432" t="s">
        <v>3168</v>
      </c>
      <c r="AB35" s="435">
        <v>3.6032628115649204E-9</v>
      </c>
      <c r="AC35" s="95">
        <v>1</v>
      </c>
      <c r="AD35" s="96">
        <v>1.2164594125584303</v>
      </c>
      <c r="AE35" s="432" t="s">
        <v>3168</v>
      </c>
      <c r="AF35" s="435">
        <v>2.22122511104849E-9</v>
      </c>
      <c r="AG35" s="95">
        <v>1</v>
      </c>
      <c r="AH35" s="96">
        <v>1.2164594125584303</v>
      </c>
      <c r="AI35" s="432" t="s">
        <v>3168</v>
      </c>
      <c r="AJ35" s="435">
        <v>3.2942950866934501E-9</v>
      </c>
      <c r="AK35" s="95">
        <v>1</v>
      </c>
      <c r="AL35" s="96">
        <v>1.2164594125584303</v>
      </c>
      <c r="AM35" s="432" t="s">
        <v>3168</v>
      </c>
      <c r="AN35" s="435">
        <v>1.7707532073625401E-9</v>
      </c>
      <c r="AO35" s="95">
        <v>1</v>
      </c>
      <c r="AP35" s="96">
        <v>1.2164594125584303</v>
      </c>
      <c r="AQ35" s="432" t="s">
        <v>3168</v>
      </c>
      <c r="AR35" s="505" t="s">
        <v>2040</v>
      </c>
      <c r="AS35" s="505" t="s">
        <v>4</v>
      </c>
      <c r="AT35" s="211">
        <v>10</v>
      </c>
      <c r="AU35" s="510">
        <v>0.18</v>
      </c>
      <c r="AV35" s="212">
        <v>55.555555555555557</v>
      </c>
      <c r="AW35" s="77" t="s">
        <v>2289</v>
      </c>
      <c r="AX35" s="339">
        <v>2</v>
      </c>
      <c r="AY35" s="339">
        <v>2</v>
      </c>
      <c r="AZ35" s="339">
        <v>1</v>
      </c>
      <c r="BA35" s="339">
        <v>1</v>
      </c>
      <c r="BB35" s="339">
        <v>1</v>
      </c>
      <c r="BC35" s="339">
        <v>3</v>
      </c>
      <c r="BD35" s="104">
        <v>9</v>
      </c>
      <c r="BE35" s="104">
        <v>1.2</v>
      </c>
      <c r="BF35" s="107">
        <v>1.0744244531716256</v>
      </c>
      <c r="BG35" s="107">
        <v>1.2164594125584303</v>
      </c>
      <c r="BH35" s="107" t="s">
        <v>2270</v>
      </c>
      <c r="BI35" s="108">
        <v>1.05</v>
      </c>
      <c r="BJ35" s="108">
        <v>1.02</v>
      </c>
      <c r="BK35" s="108">
        <v>1</v>
      </c>
      <c r="BL35" s="108">
        <v>1</v>
      </c>
      <c r="BM35" s="108">
        <v>1</v>
      </c>
      <c r="BN35" s="108">
        <v>1.05</v>
      </c>
      <c r="BP35" s="208">
        <v>1.0564597502748E-3</v>
      </c>
      <c r="BQ35" s="209">
        <v>754.36007885530546</v>
      </c>
    </row>
    <row r="36" spans="1:69" ht="24" customHeight="1" outlineLevel="1">
      <c r="A36" s="330" t="s">
        <v>1983</v>
      </c>
      <c r="B36" s="331"/>
      <c r="C36" s="88"/>
      <c r="D36" s="340">
        <v>5</v>
      </c>
      <c r="E36" s="341" t="s">
        <v>98</v>
      </c>
      <c r="F36" s="432" t="s">
        <v>1977</v>
      </c>
      <c r="G36" s="433" t="s">
        <v>373</v>
      </c>
      <c r="H36" s="434" t="s">
        <v>98</v>
      </c>
      <c r="I36" s="434" t="s">
        <v>98</v>
      </c>
      <c r="J36" s="94">
        <v>1</v>
      </c>
      <c r="K36" s="433" t="s">
        <v>144</v>
      </c>
      <c r="L36" s="435">
        <v>4.6682381526070506E-9</v>
      </c>
      <c r="M36" s="95">
        <v>1</v>
      </c>
      <c r="N36" s="96">
        <v>1.2164594125584303</v>
      </c>
      <c r="O36" s="432" t="s">
        <v>3168</v>
      </c>
      <c r="P36" s="435">
        <v>3.8742137405472206E-9</v>
      </c>
      <c r="Q36" s="95">
        <v>1</v>
      </c>
      <c r="R36" s="96">
        <v>1.2164594125584303</v>
      </c>
      <c r="S36" s="432" t="s">
        <v>3168</v>
      </c>
      <c r="T36" s="435">
        <v>9.9368468455487706E-10</v>
      </c>
      <c r="U36" s="95">
        <v>1</v>
      </c>
      <c r="V36" s="96">
        <v>1.2164594125584303</v>
      </c>
      <c r="W36" s="432" t="s">
        <v>3168</v>
      </c>
      <c r="X36" s="435">
        <v>4.5104897198341708E-9</v>
      </c>
      <c r="Y36" s="95">
        <v>1</v>
      </c>
      <c r="Z36" s="96">
        <v>1.2164594125584303</v>
      </c>
      <c r="AA36" s="432" t="s">
        <v>3168</v>
      </c>
      <c r="AB36" s="435">
        <v>3.6032628115649204E-9</v>
      </c>
      <c r="AC36" s="95">
        <v>1</v>
      </c>
      <c r="AD36" s="96">
        <v>1.2164594125584303</v>
      </c>
      <c r="AE36" s="432" t="s">
        <v>3168</v>
      </c>
      <c r="AF36" s="435">
        <v>2.22122511104849E-9</v>
      </c>
      <c r="AG36" s="95">
        <v>1</v>
      </c>
      <c r="AH36" s="96">
        <v>1.2164594125584303</v>
      </c>
      <c r="AI36" s="432" t="s">
        <v>3168</v>
      </c>
      <c r="AJ36" s="435">
        <v>3.2942950866934501E-9</v>
      </c>
      <c r="AK36" s="95">
        <v>1</v>
      </c>
      <c r="AL36" s="96">
        <v>1.2164594125584303</v>
      </c>
      <c r="AM36" s="432" t="s">
        <v>3168</v>
      </c>
      <c r="AN36" s="435">
        <v>1.7707532073625401E-9</v>
      </c>
      <c r="AO36" s="95">
        <v>1</v>
      </c>
      <c r="AP36" s="96">
        <v>1.2164594125584303</v>
      </c>
      <c r="AQ36" s="432" t="s">
        <v>3168</v>
      </c>
      <c r="AR36" s="505" t="s">
        <v>2040</v>
      </c>
      <c r="AS36" s="505" t="s">
        <v>4</v>
      </c>
      <c r="AT36" s="211">
        <v>10</v>
      </c>
      <c r="AU36" s="510">
        <v>0.18</v>
      </c>
      <c r="AV36" s="212">
        <v>55.555555555555557</v>
      </c>
      <c r="AW36" s="77" t="s">
        <v>2289</v>
      </c>
      <c r="AX36" s="339">
        <v>2</v>
      </c>
      <c r="AY36" s="339">
        <v>2</v>
      </c>
      <c r="AZ36" s="339">
        <v>1</v>
      </c>
      <c r="BA36" s="339">
        <v>1</v>
      </c>
      <c r="BB36" s="339">
        <v>1</v>
      </c>
      <c r="BC36" s="339">
        <v>3</v>
      </c>
      <c r="BD36" s="104">
        <v>9</v>
      </c>
      <c r="BE36" s="104">
        <v>1.2</v>
      </c>
      <c r="BF36" s="107">
        <v>1.0744244531716256</v>
      </c>
      <c r="BG36" s="107">
        <v>1.2164594125584303</v>
      </c>
      <c r="BH36" s="107" t="s">
        <v>2270</v>
      </c>
      <c r="BI36" s="108">
        <v>1.05</v>
      </c>
      <c r="BJ36" s="108">
        <v>1.02</v>
      </c>
      <c r="BK36" s="108">
        <v>1</v>
      </c>
      <c r="BL36" s="108">
        <v>1</v>
      </c>
      <c r="BM36" s="108">
        <v>1</v>
      </c>
      <c r="BN36" s="108">
        <v>1.05</v>
      </c>
      <c r="BP36" s="208">
        <v>1.0564597502748E-3</v>
      </c>
      <c r="BQ36" s="209">
        <v>754.36007885530546</v>
      </c>
    </row>
    <row r="37" spans="1:69" ht="24" customHeight="1" outlineLevel="1">
      <c r="A37" s="330" t="s">
        <v>1911</v>
      </c>
      <c r="B37" s="331"/>
      <c r="C37" s="88"/>
      <c r="D37" s="340">
        <v>5</v>
      </c>
      <c r="E37" s="341" t="s">
        <v>98</v>
      </c>
      <c r="F37" s="432" t="s">
        <v>1906</v>
      </c>
      <c r="G37" s="433" t="s">
        <v>373</v>
      </c>
      <c r="H37" s="434" t="s">
        <v>98</v>
      </c>
      <c r="I37" s="434" t="s">
        <v>98</v>
      </c>
      <c r="J37" s="94">
        <v>1</v>
      </c>
      <c r="K37" s="433" t="s">
        <v>144</v>
      </c>
      <c r="L37" s="435">
        <v>2.1693577297409199E-8</v>
      </c>
      <c r="M37" s="95">
        <v>1</v>
      </c>
      <c r="N37" s="96">
        <v>1.2164594125584303</v>
      </c>
      <c r="O37" s="432" t="s">
        <v>3168</v>
      </c>
      <c r="P37" s="435">
        <v>1.80036991472488E-8</v>
      </c>
      <c r="Q37" s="95">
        <v>1</v>
      </c>
      <c r="R37" s="96">
        <v>1.2164594125584303</v>
      </c>
      <c r="S37" s="432" t="s">
        <v>3168</v>
      </c>
      <c r="T37" s="435">
        <v>4.6177111811667602E-9</v>
      </c>
      <c r="U37" s="95">
        <v>1</v>
      </c>
      <c r="V37" s="96">
        <v>1.2164594125584303</v>
      </c>
      <c r="W37" s="432" t="s">
        <v>3168</v>
      </c>
      <c r="X37" s="435">
        <v>2.0960511050994101E-8</v>
      </c>
      <c r="Y37" s="95">
        <v>1</v>
      </c>
      <c r="Z37" s="96">
        <v>1.2164594125584303</v>
      </c>
      <c r="AA37" s="432" t="s">
        <v>3168</v>
      </c>
      <c r="AB37" s="435">
        <v>1.6744574241978101E-8</v>
      </c>
      <c r="AC37" s="95">
        <v>1</v>
      </c>
      <c r="AD37" s="96">
        <v>1.2164594125584303</v>
      </c>
      <c r="AE37" s="432" t="s">
        <v>3168</v>
      </c>
      <c r="AF37" s="435">
        <v>1.0322163751343E-8</v>
      </c>
      <c r="AG37" s="95">
        <v>1</v>
      </c>
      <c r="AH37" s="96">
        <v>1.2164594125584303</v>
      </c>
      <c r="AI37" s="432" t="s">
        <v>3168</v>
      </c>
      <c r="AJ37" s="435">
        <v>1.5308783049928399E-8</v>
      </c>
      <c r="AK37" s="95">
        <v>1</v>
      </c>
      <c r="AL37" s="96">
        <v>1.2164594125584303</v>
      </c>
      <c r="AM37" s="432" t="s">
        <v>3168</v>
      </c>
      <c r="AN37" s="435">
        <v>8.2287943165671003E-9</v>
      </c>
      <c r="AO37" s="95">
        <v>1</v>
      </c>
      <c r="AP37" s="96">
        <v>1.2164594125584303</v>
      </c>
      <c r="AQ37" s="432" t="s">
        <v>3168</v>
      </c>
      <c r="AR37" s="505" t="s">
        <v>2040</v>
      </c>
      <c r="AS37" s="505" t="s">
        <v>2214</v>
      </c>
      <c r="AT37" s="211">
        <v>10</v>
      </c>
      <c r="AU37" s="510">
        <v>0.22616666666666699</v>
      </c>
      <c r="AV37" s="212">
        <v>44.2151805453205</v>
      </c>
      <c r="AW37" s="77" t="s">
        <v>2289</v>
      </c>
      <c r="AX37" s="339">
        <v>2</v>
      </c>
      <c r="AY37" s="339">
        <v>2</v>
      </c>
      <c r="AZ37" s="339">
        <v>1</v>
      </c>
      <c r="BA37" s="339">
        <v>1</v>
      </c>
      <c r="BB37" s="339">
        <v>1</v>
      </c>
      <c r="BC37" s="339">
        <v>3</v>
      </c>
      <c r="BD37" s="104">
        <v>9</v>
      </c>
      <c r="BE37" s="104">
        <v>1.2</v>
      </c>
      <c r="BF37" s="107">
        <v>1.0744244531716256</v>
      </c>
      <c r="BG37" s="107">
        <v>1.2164594125584303</v>
      </c>
      <c r="BH37" s="107" t="s">
        <v>2270</v>
      </c>
      <c r="BI37" s="108">
        <v>1.05</v>
      </c>
      <c r="BJ37" s="108">
        <v>1.02</v>
      </c>
      <c r="BK37" s="108">
        <v>1</v>
      </c>
      <c r="BL37" s="108">
        <v>1</v>
      </c>
      <c r="BM37" s="108">
        <v>1</v>
      </c>
      <c r="BN37" s="108">
        <v>1.05</v>
      </c>
      <c r="BP37" s="208">
        <v>4.9094306042181896E-3</v>
      </c>
      <c r="BQ37" s="209">
        <v>754.36007885530682</v>
      </c>
    </row>
    <row r="38" spans="1:69" ht="24" customHeight="1" outlineLevel="1">
      <c r="A38" s="330" t="s">
        <v>1912</v>
      </c>
      <c r="B38" s="331"/>
      <c r="C38" s="88"/>
      <c r="D38" s="340">
        <v>5</v>
      </c>
      <c r="E38" s="341" t="s">
        <v>98</v>
      </c>
      <c r="F38" s="432" t="s">
        <v>1907</v>
      </c>
      <c r="G38" s="433" t="s">
        <v>373</v>
      </c>
      <c r="H38" s="434" t="s">
        <v>98</v>
      </c>
      <c r="I38" s="434" t="s">
        <v>98</v>
      </c>
      <c r="J38" s="94">
        <v>1</v>
      </c>
      <c r="K38" s="433" t="s">
        <v>144</v>
      </c>
      <c r="L38" s="435">
        <v>2.1693577297409199E-8</v>
      </c>
      <c r="M38" s="95">
        <v>1</v>
      </c>
      <c r="N38" s="96">
        <v>1.2164594125584303</v>
      </c>
      <c r="O38" s="432" t="s">
        <v>3168</v>
      </c>
      <c r="P38" s="435">
        <v>1.80036991472488E-8</v>
      </c>
      <c r="Q38" s="95">
        <v>1</v>
      </c>
      <c r="R38" s="96">
        <v>1.2164594125584303</v>
      </c>
      <c r="S38" s="432" t="s">
        <v>3168</v>
      </c>
      <c r="T38" s="435">
        <v>4.6177111811667602E-9</v>
      </c>
      <c r="U38" s="95">
        <v>1</v>
      </c>
      <c r="V38" s="96">
        <v>1.2164594125584303</v>
      </c>
      <c r="W38" s="432" t="s">
        <v>3168</v>
      </c>
      <c r="X38" s="435">
        <v>2.0960511050994101E-8</v>
      </c>
      <c r="Y38" s="95">
        <v>1</v>
      </c>
      <c r="Z38" s="96">
        <v>1.2164594125584303</v>
      </c>
      <c r="AA38" s="432" t="s">
        <v>3168</v>
      </c>
      <c r="AB38" s="435">
        <v>1.6744574241978101E-8</v>
      </c>
      <c r="AC38" s="95">
        <v>1</v>
      </c>
      <c r="AD38" s="96">
        <v>1.2164594125584303</v>
      </c>
      <c r="AE38" s="432" t="s">
        <v>3168</v>
      </c>
      <c r="AF38" s="435">
        <v>1.0322163751343E-8</v>
      </c>
      <c r="AG38" s="95">
        <v>1</v>
      </c>
      <c r="AH38" s="96">
        <v>1.2164594125584303</v>
      </c>
      <c r="AI38" s="432" t="s">
        <v>3168</v>
      </c>
      <c r="AJ38" s="435">
        <v>1.5308783049928399E-8</v>
      </c>
      <c r="AK38" s="95">
        <v>1</v>
      </c>
      <c r="AL38" s="96">
        <v>1.2164594125584303</v>
      </c>
      <c r="AM38" s="432" t="s">
        <v>3168</v>
      </c>
      <c r="AN38" s="435">
        <v>8.2287943165671003E-9</v>
      </c>
      <c r="AO38" s="95">
        <v>1</v>
      </c>
      <c r="AP38" s="96">
        <v>1.2164594125584303</v>
      </c>
      <c r="AQ38" s="432" t="s">
        <v>3168</v>
      </c>
      <c r="AR38" s="505" t="s">
        <v>2040</v>
      </c>
      <c r="AS38" s="505" t="s">
        <v>2214</v>
      </c>
      <c r="AT38" s="211">
        <v>10</v>
      </c>
      <c r="AU38" s="510">
        <v>0.22616666666666699</v>
      </c>
      <c r="AV38" s="212">
        <v>44.2151805453205</v>
      </c>
      <c r="AW38" s="77" t="s">
        <v>2289</v>
      </c>
      <c r="AX38" s="339">
        <v>2</v>
      </c>
      <c r="AY38" s="339">
        <v>2</v>
      </c>
      <c r="AZ38" s="339">
        <v>1</v>
      </c>
      <c r="BA38" s="339">
        <v>1</v>
      </c>
      <c r="BB38" s="339">
        <v>1</v>
      </c>
      <c r="BC38" s="339">
        <v>3</v>
      </c>
      <c r="BD38" s="104">
        <v>9</v>
      </c>
      <c r="BE38" s="104">
        <v>1.2</v>
      </c>
      <c r="BF38" s="107">
        <v>1.0744244531716256</v>
      </c>
      <c r="BG38" s="107">
        <v>1.2164594125584303</v>
      </c>
      <c r="BH38" s="107" t="s">
        <v>2270</v>
      </c>
      <c r="BI38" s="108">
        <v>1.05</v>
      </c>
      <c r="BJ38" s="108">
        <v>1.02</v>
      </c>
      <c r="BK38" s="108">
        <v>1</v>
      </c>
      <c r="BL38" s="108">
        <v>1</v>
      </c>
      <c r="BM38" s="108">
        <v>1</v>
      </c>
      <c r="BN38" s="108">
        <v>1.05</v>
      </c>
      <c r="BP38" s="208">
        <v>4.9094306042181896E-3</v>
      </c>
      <c r="BQ38" s="209">
        <v>754.36007885530682</v>
      </c>
    </row>
    <row r="39" spans="1:69" ht="24" customHeight="1" outlineLevel="1">
      <c r="A39" s="330" t="s">
        <v>1984</v>
      </c>
      <c r="B39" s="331"/>
      <c r="C39" s="88"/>
      <c r="D39" s="340">
        <v>5</v>
      </c>
      <c r="E39" s="341" t="s">
        <v>98</v>
      </c>
      <c r="F39" s="432" t="s">
        <v>1978</v>
      </c>
      <c r="G39" s="433" t="s">
        <v>373</v>
      </c>
      <c r="H39" s="434" t="s">
        <v>98</v>
      </c>
      <c r="I39" s="434" t="s">
        <v>98</v>
      </c>
      <c r="J39" s="94">
        <v>1</v>
      </c>
      <c r="K39" s="433" t="s">
        <v>144</v>
      </c>
      <c r="L39" s="435">
        <v>5.8819800722848801E-8</v>
      </c>
      <c r="M39" s="95">
        <v>1</v>
      </c>
      <c r="N39" s="96">
        <v>1.2164594125584303</v>
      </c>
      <c r="O39" s="432" t="s">
        <v>3168</v>
      </c>
      <c r="P39" s="435">
        <v>4.8815093130894897E-8</v>
      </c>
      <c r="Q39" s="95">
        <v>1</v>
      </c>
      <c r="R39" s="96">
        <v>1.2164594125584303</v>
      </c>
      <c r="S39" s="432" t="s">
        <v>3168</v>
      </c>
      <c r="T39" s="435">
        <v>1.25204270253914E-8</v>
      </c>
      <c r="U39" s="95">
        <v>1</v>
      </c>
      <c r="V39" s="96">
        <v>1.2164594125584303</v>
      </c>
      <c r="W39" s="432" t="s">
        <v>3168</v>
      </c>
      <c r="X39" s="435">
        <v>5.6832170469910503E-8</v>
      </c>
      <c r="Y39" s="95">
        <v>1</v>
      </c>
      <c r="Z39" s="96">
        <v>1.2164594125584303</v>
      </c>
      <c r="AA39" s="432" t="s">
        <v>3168</v>
      </c>
      <c r="AB39" s="435">
        <v>4.5401111425717803E-8</v>
      </c>
      <c r="AC39" s="95">
        <v>1</v>
      </c>
      <c r="AD39" s="96">
        <v>1.2164594125584303</v>
      </c>
      <c r="AE39" s="432" t="s">
        <v>3168</v>
      </c>
      <c r="AF39" s="435">
        <v>2.7987436399210801E-8</v>
      </c>
      <c r="AG39" s="95">
        <v>1</v>
      </c>
      <c r="AH39" s="96">
        <v>1.2164594125584303</v>
      </c>
      <c r="AI39" s="432" t="s">
        <v>3168</v>
      </c>
      <c r="AJ39" s="435">
        <v>4.1508118092337498E-8</v>
      </c>
      <c r="AK39" s="95">
        <v>1</v>
      </c>
      <c r="AL39" s="96">
        <v>1.2164594125584303</v>
      </c>
      <c r="AM39" s="432" t="s">
        <v>3168</v>
      </c>
      <c r="AN39" s="435">
        <v>2.2311490412768E-8</v>
      </c>
      <c r="AO39" s="95">
        <v>1</v>
      </c>
      <c r="AP39" s="96">
        <v>1.2164594125584303</v>
      </c>
      <c r="AQ39" s="432" t="s">
        <v>3168</v>
      </c>
      <c r="AR39" s="505" t="s">
        <v>2039</v>
      </c>
      <c r="AS39" s="505" t="s">
        <v>4</v>
      </c>
      <c r="AT39" s="211">
        <v>10</v>
      </c>
      <c r="AU39" s="510">
        <v>0.18</v>
      </c>
      <c r="AV39" s="212">
        <v>55.555555555555557</v>
      </c>
      <c r="AW39" s="77" t="s">
        <v>2289</v>
      </c>
      <c r="AX39" s="339">
        <v>2</v>
      </c>
      <c r="AY39" s="339">
        <v>2</v>
      </c>
      <c r="AZ39" s="339">
        <v>1</v>
      </c>
      <c r="BA39" s="339">
        <v>1</v>
      </c>
      <c r="BB39" s="339">
        <v>1</v>
      </c>
      <c r="BC39" s="339">
        <v>3</v>
      </c>
      <c r="BD39" s="104">
        <v>9</v>
      </c>
      <c r="BE39" s="104">
        <v>1.2</v>
      </c>
      <c r="BF39" s="107">
        <v>1.0744244531716256</v>
      </c>
      <c r="BG39" s="107">
        <v>1.2164594125584303</v>
      </c>
      <c r="BH39" s="107" t="s">
        <v>2270</v>
      </c>
      <c r="BI39" s="108">
        <v>1.05</v>
      </c>
      <c r="BJ39" s="108">
        <v>1.02</v>
      </c>
      <c r="BK39" s="108">
        <v>1</v>
      </c>
      <c r="BL39" s="108">
        <v>1</v>
      </c>
      <c r="BM39" s="108">
        <v>1</v>
      </c>
      <c r="BN39" s="108">
        <v>1.05</v>
      </c>
      <c r="BP39" s="208">
        <v>1.90162755049464E-2</v>
      </c>
      <c r="BQ39" s="209">
        <v>1077.6572555075797</v>
      </c>
    </row>
    <row r="40" spans="1:69" ht="24" customHeight="1" outlineLevel="1">
      <c r="A40" s="330" t="s">
        <v>1913</v>
      </c>
      <c r="B40" s="331"/>
      <c r="C40" s="88"/>
      <c r="D40" s="340">
        <v>5</v>
      </c>
      <c r="E40" s="341" t="s">
        <v>98</v>
      </c>
      <c r="F40" s="432" t="s">
        <v>1908</v>
      </c>
      <c r="G40" s="433" t="s">
        <v>373</v>
      </c>
      <c r="H40" s="434" t="s">
        <v>98</v>
      </c>
      <c r="I40" s="434" t="s">
        <v>98</v>
      </c>
      <c r="J40" s="94">
        <v>1</v>
      </c>
      <c r="K40" s="433" t="s">
        <v>144</v>
      </c>
      <c r="L40" s="435">
        <v>2.7333907394735602E-7</v>
      </c>
      <c r="M40" s="95">
        <v>1</v>
      </c>
      <c r="N40" s="96">
        <v>1.2164594125584303</v>
      </c>
      <c r="O40" s="432" t="s">
        <v>3168</v>
      </c>
      <c r="P40" s="435">
        <v>2.2684660925533499E-7</v>
      </c>
      <c r="Q40" s="95">
        <v>1</v>
      </c>
      <c r="R40" s="96">
        <v>1.2164594125584303</v>
      </c>
      <c r="S40" s="432" t="s">
        <v>3168</v>
      </c>
      <c r="T40" s="435">
        <v>5.8183160882701303E-8</v>
      </c>
      <c r="U40" s="95">
        <v>1</v>
      </c>
      <c r="V40" s="96">
        <v>1.2164594125584303</v>
      </c>
      <c r="W40" s="432" t="s">
        <v>3168</v>
      </c>
      <c r="X40" s="435">
        <v>2.6410243924252501E-7</v>
      </c>
      <c r="Y40" s="95">
        <v>1</v>
      </c>
      <c r="Z40" s="96">
        <v>1.2164594125584303</v>
      </c>
      <c r="AA40" s="432" t="s">
        <v>3168</v>
      </c>
      <c r="AB40" s="435">
        <v>2.10981635448924E-7</v>
      </c>
      <c r="AC40" s="95">
        <v>1</v>
      </c>
      <c r="AD40" s="96">
        <v>1.2164594125584303</v>
      </c>
      <c r="AE40" s="432" t="s">
        <v>3168</v>
      </c>
      <c r="AF40" s="435">
        <v>1.3005926326692101E-7</v>
      </c>
      <c r="AG40" s="95">
        <v>1</v>
      </c>
      <c r="AH40" s="96">
        <v>1.2164594125584303</v>
      </c>
      <c r="AI40" s="432" t="s">
        <v>3168</v>
      </c>
      <c r="AJ40" s="435">
        <v>1.92890666429097E-7</v>
      </c>
      <c r="AK40" s="95">
        <v>1</v>
      </c>
      <c r="AL40" s="96">
        <v>1.2164594125584303</v>
      </c>
      <c r="AM40" s="432" t="s">
        <v>3168</v>
      </c>
      <c r="AN40" s="435">
        <v>1.03682808388745E-7</v>
      </c>
      <c r="AO40" s="95">
        <v>1</v>
      </c>
      <c r="AP40" s="96">
        <v>1.2164594125584303</v>
      </c>
      <c r="AQ40" s="432" t="s">
        <v>3168</v>
      </c>
      <c r="AR40" s="505" t="s">
        <v>2039</v>
      </c>
      <c r="AS40" s="505" t="s">
        <v>2214</v>
      </c>
      <c r="AT40" s="211">
        <v>10</v>
      </c>
      <c r="AU40" s="510">
        <v>0.22616666666666699</v>
      </c>
      <c r="AV40" s="212">
        <v>44.2151805453205</v>
      </c>
      <c r="AW40" s="77" t="s">
        <v>2289</v>
      </c>
      <c r="AX40" s="339">
        <v>2</v>
      </c>
      <c r="AY40" s="339">
        <v>2</v>
      </c>
      <c r="AZ40" s="339">
        <v>1</v>
      </c>
      <c r="BA40" s="339">
        <v>1</v>
      </c>
      <c r="BB40" s="339">
        <v>1</v>
      </c>
      <c r="BC40" s="339">
        <v>3</v>
      </c>
      <c r="BD40" s="104">
        <v>9</v>
      </c>
      <c r="BE40" s="104">
        <v>1.2</v>
      </c>
      <c r="BF40" s="107">
        <v>1.0744244531716256</v>
      </c>
      <c r="BG40" s="107">
        <v>1.2164594125584303</v>
      </c>
      <c r="BH40" s="107" t="s">
        <v>2270</v>
      </c>
      <c r="BI40" s="108">
        <v>1.05</v>
      </c>
      <c r="BJ40" s="108">
        <v>1.02</v>
      </c>
      <c r="BK40" s="108">
        <v>1</v>
      </c>
      <c r="BL40" s="108">
        <v>1</v>
      </c>
      <c r="BM40" s="108">
        <v>1</v>
      </c>
      <c r="BN40" s="108">
        <v>1.05</v>
      </c>
      <c r="BP40" s="208">
        <v>8.8369750875927494E-2</v>
      </c>
      <c r="BQ40" s="209">
        <v>1077.657255507582</v>
      </c>
    </row>
    <row r="41" spans="1:69" ht="24" customHeight="1" outlineLevel="1">
      <c r="A41" s="330" t="s">
        <v>2338</v>
      </c>
      <c r="B41" s="331"/>
      <c r="C41" s="88"/>
      <c r="D41" s="340">
        <v>5</v>
      </c>
      <c r="E41" s="341" t="s">
        <v>98</v>
      </c>
      <c r="F41" s="432" t="s">
        <v>2339</v>
      </c>
      <c r="G41" s="433" t="s">
        <v>373</v>
      </c>
      <c r="H41" s="434" t="s">
        <v>98</v>
      </c>
      <c r="I41" s="434" t="s">
        <v>98</v>
      </c>
      <c r="J41" s="94">
        <v>1</v>
      </c>
      <c r="K41" s="433" t="s">
        <v>144</v>
      </c>
      <c r="L41" s="435">
        <v>4.1780990524554207E-9</v>
      </c>
      <c r="M41" s="95">
        <v>1</v>
      </c>
      <c r="N41" s="96">
        <v>1.2164594125584303</v>
      </c>
      <c r="O41" s="432" t="s">
        <v>3168</v>
      </c>
      <c r="P41" s="435">
        <v>3.4674427973110602E-9</v>
      </c>
      <c r="Q41" s="95">
        <v>1</v>
      </c>
      <c r="R41" s="96">
        <v>1.2164594125584303</v>
      </c>
      <c r="S41" s="432" t="s">
        <v>3168</v>
      </c>
      <c r="T41" s="435">
        <v>8.8935330702003603E-10</v>
      </c>
      <c r="U41" s="95">
        <v>1</v>
      </c>
      <c r="V41" s="96">
        <v>1.2164594125584303</v>
      </c>
      <c r="W41" s="432" t="s">
        <v>3168</v>
      </c>
      <c r="X41" s="435">
        <v>4.0369133297161604E-9</v>
      </c>
      <c r="Y41" s="95">
        <v>1</v>
      </c>
      <c r="Z41" s="96">
        <v>1.2164594125584303</v>
      </c>
      <c r="AA41" s="432" t="s">
        <v>3168</v>
      </c>
      <c r="AB41" s="435">
        <v>3.2249402122596404E-9</v>
      </c>
      <c r="AC41" s="95">
        <v>1</v>
      </c>
      <c r="AD41" s="96">
        <v>1.2164594125584303</v>
      </c>
      <c r="AE41" s="432" t="s">
        <v>3168</v>
      </c>
      <c r="AF41" s="435">
        <v>1.9880088008318501E-9</v>
      </c>
      <c r="AG41" s="95">
        <v>1</v>
      </c>
      <c r="AH41" s="96">
        <v>1.2164594125584303</v>
      </c>
      <c r="AI41" s="432" t="s">
        <v>3168</v>
      </c>
      <c r="AJ41" s="435">
        <v>2.9484123839174103E-9</v>
      </c>
      <c r="AK41" s="95">
        <v>1</v>
      </c>
      <c r="AL41" s="96">
        <v>1.2164594125584303</v>
      </c>
      <c r="AM41" s="432" t="s">
        <v>3168</v>
      </c>
      <c r="AN41" s="435">
        <v>1.5848339471888501E-9</v>
      </c>
      <c r="AO41" s="95">
        <v>1</v>
      </c>
      <c r="AP41" s="96">
        <v>1.2164594125584303</v>
      </c>
      <c r="AQ41" s="432" t="s">
        <v>3168</v>
      </c>
      <c r="AR41" s="505" t="s">
        <v>2039</v>
      </c>
      <c r="AS41" s="505" t="s">
        <v>2087</v>
      </c>
      <c r="AT41" s="211">
        <v>10</v>
      </c>
      <c r="AU41" s="510">
        <v>0.184</v>
      </c>
      <c r="AV41" s="212">
        <v>54.347826086956523</v>
      </c>
      <c r="AW41" s="77" t="s">
        <v>2289</v>
      </c>
      <c r="AX41" s="339">
        <v>2</v>
      </c>
      <c r="AY41" s="339">
        <v>2</v>
      </c>
      <c r="AZ41" s="339">
        <v>1</v>
      </c>
      <c r="BA41" s="339">
        <v>1</v>
      </c>
      <c r="BB41" s="339">
        <v>1</v>
      </c>
      <c r="BC41" s="339">
        <v>3</v>
      </c>
      <c r="BD41" s="104">
        <v>9</v>
      </c>
      <c r="BE41" s="104">
        <v>1.2</v>
      </c>
      <c r="BF41" s="107">
        <v>1.0744244531716256</v>
      </c>
      <c r="BG41" s="107">
        <v>1.2164594125584303</v>
      </c>
      <c r="BH41" s="107" t="s">
        <v>2270</v>
      </c>
      <c r="BI41" s="108">
        <v>1.05</v>
      </c>
      <c r="BJ41" s="108">
        <v>1.02</v>
      </c>
      <c r="BK41" s="108">
        <v>1</v>
      </c>
      <c r="BL41" s="108">
        <v>1</v>
      </c>
      <c r="BM41" s="108">
        <v>1</v>
      </c>
      <c r="BN41" s="108">
        <v>1.05</v>
      </c>
      <c r="BP41" s="208">
        <v>1.35076762743238E-3</v>
      </c>
      <c r="BQ41" s="209">
        <v>1077.6572555075811</v>
      </c>
    </row>
    <row r="42" spans="1:69" ht="24" customHeight="1" outlineLevel="1">
      <c r="A42" s="330" t="s">
        <v>1985</v>
      </c>
      <c r="B42" s="331"/>
      <c r="C42" s="88"/>
      <c r="D42" s="340">
        <v>5</v>
      </c>
      <c r="E42" s="341" t="s">
        <v>98</v>
      </c>
      <c r="F42" s="432" t="s">
        <v>1979</v>
      </c>
      <c r="G42" s="433" t="s">
        <v>373</v>
      </c>
      <c r="H42" s="434" t="s">
        <v>98</v>
      </c>
      <c r="I42" s="434" t="s">
        <v>98</v>
      </c>
      <c r="J42" s="94">
        <v>1</v>
      </c>
      <c r="K42" s="433" t="s">
        <v>144</v>
      </c>
      <c r="L42" s="435">
        <v>3.1814483409842805E-9</v>
      </c>
      <c r="M42" s="95">
        <v>1</v>
      </c>
      <c r="N42" s="96">
        <v>1.2164594125584303</v>
      </c>
      <c r="O42" s="432" t="s">
        <v>3168</v>
      </c>
      <c r="P42" s="435">
        <v>2.6403132133691604E-9</v>
      </c>
      <c r="Q42" s="95">
        <v>1</v>
      </c>
      <c r="R42" s="96">
        <v>1.2164594125584303</v>
      </c>
      <c r="S42" s="432" t="s">
        <v>3168</v>
      </c>
      <c r="T42" s="435">
        <v>6.7720548690796501E-10</v>
      </c>
      <c r="U42" s="95">
        <v>1</v>
      </c>
      <c r="V42" s="96">
        <v>1.2164594125584303</v>
      </c>
      <c r="W42" s="432" t="s">
        <v>3168</v>
      </c>
      <c r="X42" s="435">
        <v>3.0739412958567998E-9</v>
      </c>
      <c r="Y42" s="95">
        <v>1</v>
      </c>
      <c r="Z42" s="96">
        <v>1.2164594125584303</v>
      </c>
      <c r="AA42" s="432" t="s">
        <v>3168</v>
      </c>
      <c r="AB42" s="435">
        <v>2.4556575991268702E-9</v>
      </c>
      <c r="AC42" s="95">
        <v>1</v>
      </c>
      <c r="AD42" s="96">
        <v>1.2164594125584303</v>
      </c>
      <c r="AE42" s="432" t="s">
        <v>3168</v>
      </c>
      <c r="AF42" s="435">
        <v>1.5137858681334202E-9</v>
      </c>
      <c r="AG42" s="95">
        <v>1</v>
      </c>
      <c r="AH42" s="96">
        <v>1.2164594125584303</v>
      </c>
      <c r="AI42" s="432" t="s">
        <v>3168</v>
      </c>
      <c r="AJ42" s="435">
        <v>2.2450931798371201E-9</v>
      </c>
      <c r="AK42" s="95">
        <v>1</v>
      </c>
      <c r="AL42" s="96">
        <v>1.2164594125584303</v>
      </c>
      <c r="AM42" s="432" t="s">
        <v>3168</v>
      </c>
      <c r="AN42" s="435">
        <v>1.2067850160365102E-9</v>
      </c>
      <c r="AO42" s="95">
        <v>1</v>
      </c>
      <c r="AP42" s="96">
        <v>1.2164594125584303</v>
      </c>
      <c r="AQ42" s="432" t="s">
        <v>3168</v>
      </c>
      <c r="AR42" s="505" t="s">
        <v>2039</v>
      </c>
      <c r="AS42" s="505" t="s">
        <v>4</v>
      </c>
      <c r="AT42" s="211">
        <v>10</v>
      </c>
      <c r="AU42" s="510">
        <v>0.18</v>
      </c>
      <c r="AV42" s="212">
        <v>55.555555555555557</v>
      </c>
      <c r="AW42" s="77" t="s">
        <v>2289</v>
      </c>
      <c r="AX42" s="339">
        <v>2</v>
      </c>
      <c r="AY42" s="339">
        <v>2</v>
      </c>
      <c r="AZ42" s="339">
        <v>1</v>
      </c>
      <c r="BA42" s="339">
        <v>1</v>
      </c>
      <c r="BB42" s="339">
        <v>1</v>
      </c>
      <c r="BC42" s="339">
        <v>3</v>
      </c>
      <c r="BD42" s="104">
        <v>9</v>
      </c>
      <c r="BE42" s="104">
        <v>1.2</v>
      </c>
      <c r="BF42" s="107">
        <v>1.0744244531716256</v>
      </c>
      <c r="BG42" s="107">
        <v>1.2164594125584303</v>
      </c>
      <c r="BH42" s="107" t="s">
        <v>2270</v>
      </c>
      <c r="BI42" s="108">
        <v>1.05</v>
      </c>
      <c r="BJ42" s="108">
        <v>1.02</v>
      </c>
      <c r="BK42" s="108">
        <v>1</v>
      </c>
      <c r="BL42" s="108">
        <v>1</v>
      </c>
      <c r="BM42" s="108">
        <v>1</v>
      </c>
      <c r="BN42" s="108">
        <v>1.05</v>
      </c>
      <c r="BP42" s="208">
        <v>1.0285532663052801E-3</v>
      </c>
      <c r="BQ42" s="209">
        <v>1077.6572555075811</v>
      </c>
    </row>
    <row r="43" spans="1:69" ht="24" customHeight="1" outlineLevel="1">
      <c r="A43" s="330" t="s">
        <v>1986</v>
      </c>
      <c r="B43" s="331"/>
      <c r="C43" s="88"/>
      <c r="D43" s="340">
        <v>5</v>
      </c>
      <c r="E43" s="341" t="s">
        <v>98</v>
      </c>
      <c r="F43" s="432" t="s">
        <v>1980</v>
      </c>
      <c r="G43" s="433" t="s">
        <v>373</v>
      </c>
      <c r="H43" s="434" t="s">
        <v>98</v>
      </c>
      <c r="I43" s="434" t="s">
        <v>98</v>
      </c>
      <c r="J43" s="94">
        <v>1</v>
      </c>
      <c r="K43" s="433" t="s">
        <v>144</v>
      </c>
      <c r="L43" s="435">
        <v>5.30241390164046E-8</v>
      </c>
      <c r="M43" s="95">
        <v>1</v>
      </c>
      <c r="N43" s="96">
        <v>1.2164594125584303</v>
      </c>
      <c r="O43" s="432" t="s">
        <v>3168</v>
      </c>
      <c r="P43" s="435">
        <v>4.4005220222819303E-8</v>
      </c>
      <c r="Q43" s="95">
        <v>1</v>
      </c>
      <c r="R43" s="96">
        <v>1.2164594125584303</v>
      </c>
      <c r="S43" s="432" t="s">
        <v>3168</v>
      </c>
      <c r="T43" s="435">
        <v>1.1286758115132801E-8</v>
      </c>
      <c r="U43" s="95">
        <v>1</v>
      </c>
      <c r="V43" s="96">
        <v>1.2164594125584303</v>
      </c>
      <c r="W43" s="432" t="s">
        <v>3168</v>
      </c>
      <c r="X43" s="435">
        <v>5.1232354930946502E-8</v>
      </c>
      <c r="Y43" s="95">
        <v>1</v>
      </c>
      <c r="Z43" s="96">
        <v>1.2164594125584303</v>
      </c>
      <c r="AA43" s="432" t="s">
        <v>3168</v>
      </c>
      <c r="AB43" s="435">
        <v>4.0927626652114699E-8</v>
      </c>
      <c r="AC43" s="95">
        <v>1</v>
      </c>
      <c r="AD43" s="96">
        <v>1.2164594125584303</v>
      </c>
      <c r="AE43" s="432" t="s">
        <v>3168</v>
      </c>
      <c r="AF43" s="435">
        <v>2.52297644688904E-8</v>
      </c>
      <c r="AG43" s="95">
        <v>1</v>
      </c>
      <c r="AH43" s="96">
        <v>1.2164594125584303</v>
      </c>
      <c r="AI43" s="432" t="s">
        <v>3168</v>
      </c>
      <c r="AJ43" s="435">
        <v>3.7418219663951903E-8</v>
      </c>
      <c r="AK43" s="95">
        <v>1</v>
      </c>
      <c r="AL43" s="96">
        <v>1.2164594125584303</v>
      </c>
      <c r="AM43" s="432" t="s">
        <v>3168</v>
      </c>
      <c r="AN43" s="435">
        <v>2.01130836006085E-8</v>
      </c>
      <c r="AO43" s="95">
        <v>1</v>
      </c>
      <c r="AP43" s="96">
        <v>1.2164594125584303</v>
      </c>
      <c r="AQ43" s="432" t="s">
        <v>3168</v>
      </c>
      <c r="AR43" s="505" t="s">
        <v>2039</v>
      </c>
      <c r="AS43" s="505" t="s">
        <v>4</v>
      </c>
      <c r="AT43" s="211">
        <v>10</v>
      </c>
      <c r="AU43" s="510">
        <v>0.18</v>
      </c>
      <c r="AV43" s="212">
        <v>55.555555555555557</v>
      </c>
      <c r="AW43" s="77" t="s">
        <v>2289</v>
      </c>
      <c r="AX43" s="339">
        <v>2</v>
      </c>
      <c r="AY43" s="339">
        <v>2</v>
      </c>
      <c r="AZ43" s="339">
        <v>1</v>
      </c>
      <c r="BA43" s="339">
        <v>1</v>
      </c>
      <c r="BB43" s="339">
        <v>1</v>
      </c>
      <c r="BC43" s="339">
        <v>3</v>
      </c>
      <c r="BD43" s="104">
        <v>9</v>
      </c>
      <c r="BE43" s="104">
        <v>1.2</v>
      </c>
      <c r="BF43" s="107">
        <v>1.0744244531716256</v>
      </c>
      <c r="BG43" s="107">
        <v>1.2164594125584303</v>
      </c>
      <c r="BH43" s="107" t="s">
        <v>2270</v>
      </c>
      <c r="BI43" s="108">
        <v>1.05</v>
      </c>
      <c r="BJ43" s="108">
        <v>1.02</v>
      </c>
      <c r="BK43" s="108">
        <v>1</v>
      </c>
      <c r="BL43" s="108">
        <v>1</v>
      </c>
      <c r="BM43" s="108">
        <v>1</v>
      </c>
      <c r="BN43" s="108">
        <v>1.05</v>
      </c>
      <c r="BP43" s="208">
        <v>1.71425544384213E-2</v>
      </c>
      <c r="BQ43" s="209">
        <v>1077.6572555075807</v>
      </c>
    </row>
    <row r="44" spans="1:69" ht="24" customHeight="1">
      <c r="A44" s="330" t="s">
        <v>1914</v>
      </c>
      <c r="B44" s="331"/>
      <c r="C44" s="88"/>
      <c r="D44" s="340">
        <v>5</v>
      </c>
      <c r="E44" s="341" t="s">
        <v>98</v>
      </c>
      <c r="F44" s="432" t="s">
        <v>1909</v>
      </c>
      <c r="G44" s="433" t="s">
        <v>373</v>
      </c>
      <c r="H44" s="434" t="s">
        <v>98</v>
      </c>
      <c r="I44" s="434" t="s">
        <v>98</v>
      </c>
      <c r="J44" s="94">
        <v>1</v>
      </c>
      <c r="K44" s="433" t="s">
        <v>144</v>
      </c>
      <c r="L44" s="435">
        <v>1.4784377584574E-8</v>
      </c>
      <c r="M44" s="95">
        <v>1</v>
      </c>
      <c r="N44" s="96">
        <v>1.2164594125584303</v>
      </c>
      <c r="O44" s="432" t="s">
        <v>3168</v>
      </c>
      <c r="P44" s="435">
        <v>1.22696908150685E-8</v>
      </c>
      <c r="Q44" s="95">
        <v>1</v>
      </c>
      <c r="R44" s="96">
        <v>1.2164594125584303</v>
      </c>
      <c r="S44" s="432" t="s">
        <v>3168</v>
      </c>
      <c r="T44" s="435">
        <v>3.1470137332781802E-9</v>
      </c>
      <c r="U44" s="95">
        <v>1</v>
      </c>
      <c r="V44" s="96">
        <v>1.2164594125584303</v>
      </c>
      <c r="W44" s="432" t="s">
        <v>3168</v>
      </c>
      <c r="X44" s="435">
        <v>1.4284786021922801E-8</v>
      </c>
      <c r="Y44" s="95">
        <v>1</v>
      </c>
      <c r="Z44" s="96">
        <v>1.2164594125584303</v>
      </c>
      <c r="AA44" s="432" t="s">
        <v>3168</v>
      </c>
      <c r="AB44" s="435">
        <v>1.14115853135896E-8</v>
      </c>
      <c r="AC44" s="95">
        <v>1</v>
      </c>
      <c r="AD44" s="96">
        <v>1.2164594125584303</v>
      </c>
      <c r="AE44" s="432" t="s">
        <v>3168</v>
      </c>
      <c r="AF44" s="435">
        <v>7.0346519754435509E-9</v>
      </c>
      <c r="AG44" s="95">
        <v>1</v>
      </c>
      <c r="AH44" s="96">
        <v>1.2164594125584303</v>
      </c>
      <c r="AI44" s="432" t="s">
        <v>3168</v>
      </c>
      <c r="AJ44" s="435">
        <v>1.04330800710078E-8</v>
      </c>
      <c r="AK44" s="95">
        <v>1</v>
      </c>
      <c r="AL44" s="96">
        <v>1.2164594125584303</v>
      </c>
      <c r="AM44" s="432" t="s">
        <v>3168</v>
      </c>
      <c r="AN44" s="435">
        <v>5.6080009568755302E-9</v>
      </c>
      <c r="AO44" s="95">
        <v>1</v>
      </c>
      <c r="AP44" s="96">
        <v>1.2164594125584303</v>
      </c>
      <c r="AQ44" s="432" t="s">
        <v>3168</v>
      </c>
      <c r="AR44" s="505" t="s">
        <v>2039</v>
      </c>
      <c r="AS44" s="505" t="s">
        <v>2214</v>
      </c>
      <c r="AT44" s="211">
        <v>10</v>
      </c>
      <c r="AU44" s="510">
        <v>0.22616666666666699</v>
      </c>
      <c r="AV44" s="212">
        <v>44.2151805453205</v>
      </c>
      <c r="AW44" s="77" t="s">
        <v>2289</v>
      </c>
      <c r="AX44" s="339">
        <v>2</v>
      </c>
      <c r="AY44" s="339">
        <v>2</v>
      </c>
      <c r="AZ44" s="339">
        <v>1</v>
      </c>
      <c r="BA44" s="339">
        <v>1</v>
      </c>
      <c r="BB44" s="339">
        <v>1</v>
      </c>
      <c r="BC44" s="339">
        <v>3</v>
      </c>
      <c r="BD44" s="104">
        <v>9</v>
      </c>
      <c r="BE44" s="104">
        <v>1.2</v>
      </c>
      <c r="BF44" s="107">
        <v>1.0744244531716256</v>
      </c>
      <c r="BG44" s="107">
        <v>1.2164594125584303</v>
      </c>
      <c r="BH44" s="107" t="s">
        <v>2270</v>
      </c>
      <c r="BI44" s="108">
        <v>1.05</v>
      </c>
      <c r="BJ44" s="108">
        <v>1.02</v>
      </c>
      <c r="BK44" s="108">
        <v>1</v>
      </c>
      <c r="BL44" s="108">
        <v>1</v>
      </c>
      <c r="BM44" s="108">
        <v>1</v>
      </c>
      <c r="BN44" s="108">
        <v>1.05</v>
      </c>
      <c r="BP44" s="208">
        <v>4.7797475316539396E-3</v>
      </c>
      <c r="BQ44" s="209"/>
    </row>
    <row r="45" spans="1:69" ht="24" customHeight="1">
      <c r="A45" s="330" t="s">
        <v>1915</v>
      </c>
      <c r="B45" s="331"/>
      <c r="C45" s="88"/>
      <c r="D45" s="340">
        <v>5</v>
      </c>
      <c r="E45" s="341" t="s">
        <v>98</v>
      </c>
      <c r="F45" s="432" t="s">
        <v>1910</v>
      </c>
      <c r="G45" s="433" t="s">
        <v>373</v>
      </c>
      <c r="H45" s="434" t="s">
        <v>98</v>
      </c>
      <c r="I45" s="434" t="s">
        <v>98</v>
      </c>
      <c r="J45" s="94">
        <v>1</v>
      </c>
      <c r="K45" s="433" t="s">
        <v>144</v>
      </c>
      <c r="L45" s="435">
        <v>2.4640629307623301E-7</v>
      </c>
      <c r="M45" s="95">
        <v>1</v>
      </c>
      <c r="N45" s="96">
        <v>1.2164594125584303</v>
      </c>
      <c r="O45" s="432" t="s">
        <v>3168</v>
      </c>
      <c r="P45" s="435">
        <v>2.0449484691780801E-7</v>
      </c>
      <c r="Q45" s="95">
        <v>1</v>
      </c>
      <c r="R45" s="96">
        <v>1.2164594125584303</v>
      </c>
      <c r="S45" s="432" t="s">
        <v>3168</v>
      </c>
      <c r="T45" s="435">
        <v>5.2450228887969702E-8</v>
      </c>
      <c r="U45" s="95">
        <v>1</v>
      </c>
      <c r="V45" s="96">
        <v>1.2164594125584303</v>
      </c>
      <c r="W45" s="432" t="s">
        <v>3168</v>
      </c>
      <c r="X45" s="435">
        <v>2.3807976703204601E-7</v>
      </c>
      <c r="Y45" s="95">
        <v>1</v>
      </c>
      <c r="Z45" s="96">
        <v>1.2164594125584303</v>
      </c>
      <c r="AA45" s="432" t="s">
        <v>3168</v>
      </c>
      <c r="AB45" s="435">
        <v>1.9019308855982699E-7</v>
      </c>
      <c r="AC45" s="95">
        <v>1</v>
      </c>
      <c r="AD45" s="96">
        <v>1.2164594125584303</v>
      </c>
      <c r="AE45" s="432" t="s">
        <v>3168</v>
      </c>
      <c r="AF45" s="435">
        <v>1.17244199590726E-7</v>
      </c>
      <c r="AG45" s="95">
        <v>1</v>
      </c>
      <c r="AH45" s="96">
        <v>1.2164594125584303</v>
      </c>
      <c r="AI45" s="432" t="s">
        <v>3168</v>
      </c>
      <c r="AJ45" s="435">
        <v>1.7388466785013E-7</v>
      </c>
      <c r="AK45" s="95">
        <v>1</v>
      </c>
      <c r="AL45" s="96">
        <v>1.2164594125584303</v>
      </c>
      <c r="AM45" s="432" t="s">
        <v>3168</v>
      </c>
      <c r="AN45" s="435">
        <v>9.3466682614592294E-8</v>
      </c>
      <c r="AO45" s="95">
        <v>1</v>
      </c>
      <c r="AP45" s="96">
        <v>1.2164594125584303</v>
      </c>
      <c r="AQ45" s="432" t="s">
        <v>3168</v>
      </c>
      <c r="AR45" s="505" t="s">
        <v>2039</v>
      </c>
      <c r="AS45" s="505" t="s">
        <v>2214</v>
      </c>
      <c r="AT45" s="211">
        <v>10</v>
      </c>
      <c r="AU45" s="510">
        <v>0.22616666666666699</v>
      </c>
      <c r="AV45" s="212">
        <v>44.2151805453205</v>
      </c>
      <c r="AW45" s="77" t="s">
        <v>2289</v>
      </c>
      <c r="AX45" s="339">
        <v>2</v>
      </c>
      <c r="AY45" s="339">
        <v>2</v>
      </c>
      <c r="AZ45" s="339">
        <v>1</v>
      </c>
      <c r="BA45" s="339">
        <v>1</v>
      </c>
      <c r="BB45" s="339">
        <v>1</v>
      </c>
      <c r="BC45" s="339">
        <v>3</v>
      </c>
      <c r="BD45" s="104">
        <v>9</v>
      </c>
      <c r="BE45" s="104">
        <v>1.2</v>
      </c>
      <c r="BF45" s="107">
        <v>1.0744244531716256</v>
      </c>
      <c r="BG45" s="107">
        <v>1.2164594125584303</v>
      </c>
      <c r="BH45" s="107" t="s">
        <v>2270</v>
      </c>
      <c r="BI45" s="108">
        <v>1.05</v>
      </c>
      <c r="BJ45" s="108">
        <v>1.02</v>
      </c>
      <c r="BK45" s="108">
        <v>1</v>
      </c>
      <c r="BL45" s="108">
        <v>1</v>
      </c>
      <c r="BM45" s="108">
        <v>1</v>
      </c>
      <c r="BN45" s="108">
        <v>1.05</v>
      </c>
      <c r="BP45" s="208">
        <v>7.9662458860898996E-2</v>
      </c>
      <c r="BQ45" s="209"/>
    </row>
    <row r="46" spans="1:69" ht="24" customHeight="1">
      <c r="A46" s="330" t="s">
        <v>2340</v>
      </c>
      <c r="B46" s="331"/>
      <c r="C46" s="88"/>
      <c r="D46" s="340">
        <v>5</v>
      </c>
      <c r="E46" s="341" t="s">
        <v>98</v>
      </c>
      <c r="F46" s="432" t="s">
        <v>2341</v>
      </c>
      <c r="G46" s="433" t="s">
        <v>373</v>
      </c>
      <c r="H46" s="434" t="s">
        <v>98</v>
      </c>
      <c r="I46" s="434" t="s">
        <v>98</v>
      </c>
      <c r="J46" s="94">
        <v>1</v>
      </c>
      <c r="K46" s="433" t="s">
        <v>144</v>
      </c>
      <c r="L46" s="435">
        <v>6.9634984207590196E-8</v>
      </c>
      <c r="M46" s="95">
        <v>1</v>
      </c>
      <c r="N46" s="96">
        <v>1.2164594125584303</v>
      </c>
      <c r="O46" s="432" t="s">
        <v>3168</v>
      </c>
      <c r="P46" s="435">
        <v>5.77907132885179E-8</v>
      </c>
      <c r="Q46" s="95">
        <v>1</v>
      </c>
      <c r="R46" s="96">
        <v>1.2164594125584303</v>
      </c>
      <c r="S46" s="432" t="s">
        <v>3168</v>
      </c>
      <c r="T46" s="435">
        <v>1.48225551170006E-8</v>
      </c>
      <c r="U46" s="95">
        <v>1</v>
      </c>
      <c r="V46" s="96">
        <v>1.2164594125584303</v>
      </c>
      <c r="W46" s="432" t="s">
        <v>3168</v>
      </c>
      <c r="X46" s="435">
        <v>6.7281888828603003E-8</v>
      </c>
      <c r="Y46" s="95">
        <v>1</v>
      </c>
      <c r="Z46" s="96">
        <v>1.2164594125584303</v>
      </c>
      <c r="AA46" s="432" t="s">
        <v>3168</v>
      </c>
      <c r="AB46" s="435">
        <v>5.3749003537660699E-8</v>
      </c>
      <c r="AC46" s="95">
        <v>1</v>
      </c>
      <c r="AD46" s="96">
        <v>1.2164594125584303</v>
      </c>
      <c r="AE46" s="432" t="s">
        <v>3168</v>
      </c>
      <c r="AF46" s="435">
        <v>3.3133480013864299E-8</v>
      </c>
      <c r="AG46" s="95">
        <v>1</v>
      </c>
      <c r="AH46" s="96">
        <v>1.2164594125584303</v>
      </c>
      <c r="AI46" s="432" t="s">
        <v>3168</v>
      </c>
      <c r="AJ46" s="435">
        <v>4.9140206398623699E-8</v>
      </c>
      <c r="AK46" s="95">
        <v>1</v>
      </c>
      <c r="AL46" s="96">
        <v>1.2164594125584303</v>
      </c>
      <c r="AM46" s="432" t="s">
        <v>3168</v>
      </c>
      <c r="AN46" s="435">
        <v>2.6413899119814198E-8</v>
      </c>
      <c r="AO46" s="95">
        <v>1</v>
      </c>
      <c r="AP46" s="96">
        <v>1.2164594125584303</v>
      </c>
      <c r="AQ46" s="432" t="s">
        <v>3168</v>
      </c>
      <c r="AR46" s="505" t="s">
        <v>2039</v>
      </c>
      <c r="AS46" s="505" t="s">
        <v>2087</v>
      </c>
      <c r="AT46" s="211">
        <v>10</v>
      </c>
      <c r="AU46" s="510">
        <v>0.184</v>
      </c>
      <c r="AV46" s="212">
        <v>54.347826086956523</v>
      </c>
      <c r="AW46" s="77" t="s">
        <v>2289</v>
      </c>
      <c r="AX46" s="339">
        <v>2</v>
      </c>
      <c r="AY46" s="339">
        <v>2</v>
      </c>
      <c r="AZ46" s="339">
        <v>1</v>
      </c>
      <c r="BA46" s="339">
        <v>1</v>
      </c>
      <c r="BB46" s="339">
        <v>1</v>
      </c>
      <c r="BC46" s="339">
        <v>3</v>
      </c>
      <c r="BD46" s="104">
        <v>9</v>
      </c>
      <c r="BE46" s="104">
        <v>1.2</v>
      </c>
      <c r="BF46" s="107">
        <v>1.0744244531716256</v>
      </c>
      <c r="BG46" s="107">
        <v>1.2164594125584303</v>
      </c>
      <c r="BH46" s="107" t="s">
        <v>2270</v>
      </c>
      <c r="BI46" s="108">
        <v>1.05</v>
      </c>
      <c r="BJ46" s="108">
        <v>1.02</v>
      </c>
      <c r="BK46" s="108">
        <v>1</v>
      </c>
      <c r="BL46" s="108">
        <v>1</v>
      </c>
      <c r="BM46" s="108">
        <v>1</v>
      </c>
      <c r="BN46" s="108">
        <v>1.05</v>
      </c>
      <c r="BP46" s="208">
        <v>2.2512793790539599E-2</v>
      </c>
      <c r="BQ46" s="209">
        <v>1077.65725550758</v>
      </c>
    </row>
    <row r="47" spans="1:69">
      <c r="A47" s="330">
        <v>15848</v>
      </c>
      <c r="B47" s="331" t="s">
        <v>594</v>
      </c>
      <c r="C47" s="88"/>
      <c r="D47" s="340" t="s">
        <v>98</v>
      </c>
      <c r="E47" s="341">
        <v>4</v>
      </c>
      <c r="F47" s="432" t="s">
        <v>121</v>
      </c>
      <c r="G47" s="433" t="s">
        <v>98</v>
      </c>
      <c r="H47" s="434" t="s">
        <v>247</v>
      </c>
      <c r="I47" s="434" t="s">
        <v>248</v>
      </c>
      <c r="J47" s="94" t="s">
        <v>98</v>
      </c>
      <c r="K47" s="433" t="s">
        <v>104</v>
      </c>
      <c r="L47" s="435">
        <v>0.25026737967914414</v>
      </c>
      <c r="M47" s="95">
        <v>1</v>
      </c>
      <c r="N47" s="96">
        <v>1.05</v>
      </c>
      <c r="O47" s="432" t="s">
        <v>3101</v>
      </c>
      <c r="P47" s="435">
        <v>0.25026737967914414</v>
      </c>
      <c r="Q47" s="95">
        <v>1</v>
      </c>
      <c r="R47" s="96">
        <v>1.05</v>
      </c>
      <c r="S47" s="432" t="s">
        <v>3101</v>
      </c>
      <c r="T47" s="435">
        <v>0.25026737967914414</v>
      </c>
      <c r="U47" s="95">
        <v>1</v>
      </c>
      <c r="V47" s="96">
        <v>1.05</v>
      </c>
      <c r="W47" s="432" t="s">
        <v>3101</v>
      </c>
      <c r="X47" s="435">
        <v>0.25026737967914414</v>
      </c>
      <c r="Y47" s="95">
        <v>1</v>
      </c>
      <c r="Z47" s="96">
        <v>1.05</v>
      </c>
      <c r="AA47" s="432" t="s">
        <v>3101</v>
      </c>
      <c r="AB47" s="435">
        <v>0.25026737967914414</v>
      </c>
      <c r="AC47" s="95">
        <v>1</v>
      </c>
      <c r="AD47" s="96">
        <v>1.05</v>
      </c>
      <c r="AE47" s="432" t="s">
        <v>3101</v>
      </c>
      <c r="AF47" s="435">
        <v>0.25026737967914414</v>
      </c>
      <c r="AG47" s="95">
        <v>1</v>
      </c>
      <c r="AH47" s="96">
        <v>1.05</v>
      </c>
      <c r="AI47" s="432" t="s">
        <v>3101</v>
      </c>
      <c r="AJ47" s="435">
        <v>0.25026737967914414</v>
      </c>
      <c r="AK47" s="95">
        <v>1</v>
      </c>
      <c r="AL47" s="96">
        <v>1.05</v>
      </c>
      <c r="AM47" s="432" t="s">
        <v>3101</v>
      </c>
      <c r="AN47" s="435">
        <v>0.25026737967914414</v>
      </c>
      <c r="AO47" s="95">
        <v>1</v>
      </c>
      <c r="AP47" s="96">
        <v>1.05</v>
      </c>
      <c r="AQ47" s="432" t="s">
        <v>3101</v>
      </c>
      <c r="AR47" s="213"/>
      <c r="AS47" s="505"/>
      <c r="AT47" s="211"/>
      <c r="AU47" s="211"/>
      <c r="AW47" s="77" t="s">
        <v>249</v>
      </c>
      <c r="AX47" s="339">
        <v>1</v>
      </c>
      <c r="AY47" s="339" t="s">
        <v>106</v>
      </c>
      <c r="AZ47" s="339" t="s">
        <v>106</v>
      </c>
      <c r="BA47" s="339" t="s">
        <v>106</v>
      </c>
      <c r="BB47" s="339" t="s">
        <v>106</v>
      </c>
      <c r="BC47" s="339" t="s">
        <v>106</v>
      </c>
      <c r="BD47" s="104">
        <v>13</v>
      </c>
      <c r="BE47" s="104">
        <v>1.05</v>
      </c>
      <c r="BF47" s="107">
        <v>1</v>
      </c>
      <c r="BG47" s="107">
        <v>1.05</v>
      </c>
      <c r="BH47" s="107" t="s">
        <v>3102</v>
      </c>
      <c r="BI47" s="108">
        <v>1</v>
      </c>
      <c r="BJ47" s="108">
        <v>1</v>
      </c>
      <c r="BK47" s="108">
        <v>1</v>
      </c>
      <c r="BL47" s="108">
        <v>1</v>
      </c>
      <c r="BM47" s="108">
        <v>1</v>
      </c>
      <c r="BN47" s="108">
        <v>1</v>
      </c>
      <c r="BQ47" s="209"/>
    </row>
    <row r="48" spans="1:69">
      <c r="A48" s="330">
        <v>82491</v>
      </c>
      <c r="B48" s="331"/>
      <c r="C48" s="88"/>
      <c r="D48" s="340" t="s">
        <v>98</v>
      </c>
      <c r="E48" s="341">
        <v>4</v>
      </c>
      <c r="F48" s="432" t="s">
        <v>2342</v>
      </c>
      <c r="G48" s="433" t="s">
        <v>98</v>
      </c>
      <c r="H48" s="434" t="s">
        <v>247</v>
      </c>
      <c r="I48" s="434" t="s">
        <v>248</v>
      </c>
      <c r="J48" s="94" t="s">
        <v>98</v>
      </c>
      <c r="K48" s="433" t="s">
        <v>96</v>
      </c>
      <c r="L48" s="435">
        <v>2.8281936558796861E-4</v>
      </c>
      <c r="M48" s="95">
        <v>1</v>
      </c>
      <c r="N48" s="96">
        <v>1.0906744032152329</v>
      </c>
      <c r="O48" s="432" t="s">
        <v>3103</v>
      </c>
      <c r="P48" s="435">
        <v>0</v>
      </c>
      <c r="Q48" s="95">
        <v>1</v>
      </c>
      <c r="R48" s="96">
        <v>1.0906744032152329</v>
      </c>
      <c r="S48" s="432" t="s">
        <v>3103</v>
      </c>
      <c r="T48" s="435">
        <v>0</v>
      </c>
      <c r="U48" s="95">
        <v>1</v>
      </c>
      <c r="V48" s="96">
        <v>1.0906744032152329</v>
      </c>
      <c r="W48" s="432" t="s">
        <v>3103</v>
      </c>
      <c r="X48" s="435">
        <v>0</v>
      </c>
      <c r="Y48" s="95">
        <v>1</v>
      </c>
      <c r="Z48" s="96">
        <v>1.0906744032152329</v>
      </c>
      <c r="AA48" s="432" t="s">
        <v>3103</v>
      </c>
      <c r="AB48" s="435">
        <v>0</v>
      </c>
      <c r="AC48" s="95">
        <v>1</v>
      </c>
      <c r="AD48" s="96">
        <v>1.0906744032152329</v>
      </c>
      <c r="AE48" s="432" t="s">
        <v>3103</v>
      </c>
      <c r="AF48" s="435">
        <v>0</v>
      </c>
      <c r="AG48" s="95">
        <v>1</v>
      </c>
      <c r="AH48" s="96">
        <v>1.0906744032152329</v>
      </c>
      <c r="AI48" s="432" t="s">
        <v>3103</v>
      </c>
      <c r="AJ48" s="435">
        <v>0</v>
      </c>
      <c r="AK48" s="95">
        <v>1</v>
      </c>
      <c r="AL48" s="96">
        <v>1.0906744032152329</v>
      </c>
      <c r="AM48" s="432" t="s">
        <v>3103</v>
      </c>
      <c r="AN48" s="435">
        <v>0</v>
      </c>
      <c r="AO48" s="95">
        <v>1</v>
      </c>
      <c r="AP48" s="96">
        <v>1.0906744032152329</v>
      </c>
      <c r="AQ48" s="432" t="s">
        <v>3103</v>
      </c>
      <c r="AR48" s="213"/>
      <c r="AS48" s="505"/>
      <c r="AT48" s="211"/>
      <c r="AU48" s="211"/>
      <c r="AW48" s="77" t="s">
        <v>2217</v>
      </c>
      <c r="AX48" s="339">
        <v>2</v>
      </c>
      <c r="AY48" s="339">
        <v>2</v>
      </c>
      <c r="AZ48" s="339">
        <v>1</v>
      </c>
      <c r="BA48" s="339">
        <v>1</v>
      </c>
      <c r="BB48" s="339">
        <v>1</v>
      </c>
      <c r="BC48" s="339">
        <v>3</v>
      </c>
      <c r="BD48" s="104">
        <v>13</v>
      </c>
      <c r="BE48" s="104">
        <v>1.05</v>
      </c>
      <c r="BF48" s="107">
        <v>1.0744244531716256</v>
      </c>
      <c r="BG48" s="107">
        <v>1.0906744032152329</v>
      </c>
      <c r="BH48" s="107" t="s">
        <v>2270</v>
      </c>
      <c r="BI48" s="108">
        <v>1.05</v>
      </c>
      <c r="BJ48" s="108">
        <v>1.02</v>
      </c>
      <c r="BK48" s="108">
        <v>1</v>
      </c>
      <c r="BL48" s="108">
        <v>1</v>
      </c>
      <c r="BM48" s="108">
        <v>1</v>
      </c>
      <c r="BN48" s="108">
        <v>1.05</v>
      </c>
      <c r="BQ48" s="209"/>
    </row>
    <row r="49" spans="1:69">
      <c r="A49" s="330">
        <v>41553</v>
      </c>
      <c r="B49" s="331"/>
      <c r="C49" s="88"/>
      <c r="D49" s="340" t="s">
        <v>98</v>
      </c>
      <c r="E49" s="341">
        <v>4</v>
      </c>
      <c r="F49" s="432" t="s">
        <v>2343</v>
      </c>
      <c r="G49" s="433" t="s">
        <v>98</v>
      </c>
      <c r="H49" s="434" t="s">
        <v>247</v>
      </c>
      <c r="I49" s="434" t="s">
        <v>248</v>
      </c>
      <c r="J49" s="94" t="s">
        <v>98</v>
      </c>
      <c r="K49" s="433" t="s">
        <v>96</v>
      </c>
      <c r="L49" s="435">
        <v>0</v>
      </c>
      <c r="M49" s="95">
        <v>1</v>
      </c>
      <c r="N49" s="96">
        <v>1.0906744032152329</v>
      </c>
      <c r="O49" s="432" t="s">
        <v>3103</v>
      </c>
      <c r="P49" s="435">
        <v>2.1528158603125271E-4</v>
      </c>
      <c r="Q49" s="95">
        <v>1</v>
      </c>
      <c r="R49" s="96">
        <v>1.0906744032152329</v>
      </c>
      <c r="S49" s="432" t="s">
        <v>3103</v>
      </c>
      <c r="T49" s="435">
        <v>0</v>
      </c>
      <c r="U49" s="95">
        <v>1</v>
      </c>
      <c r="V49" s="96">
        <v>1.0906744032152329</v>
      </c>
      <c r="W49" s="432" t="s">
        <v>3103</v>
      </c>
      <c r="X49" s="435">
        <v>0</v>
      </c>
      <c r="Y49" s="95">
        <v>1</v>
      </c>
      <c r="Z49" s="96">
        <v>1.0906744032152329</v>
      </c>
      <c r="AA49" s="432" t="s">
        <v>3103</v>
      </c>
      <c r="AB49" s="435">
        <v>0</v>
      </c>
      <c r="AC49" s="95">
        <v>1</v>
      </c>
      <c r="AD49" s="96">
        <v>1.0906744032152329</v>
      </c>
      <c r="AE49" s="432" t="s">
        <v>3103</v>
      </c>
      <c r="AF49" s="435">
        <v>0</v>
      </c>
      <c r="AG49" s="95">
        <v>1</v>
      </c>
      <c r="AH49" s="96">
        <v>1.0906744032152329</v>
      </c>
      <c r="AI49" s="432" t="s">
        <v>3103</v>
      </c>
      <c r="AJ49" s="435">
        <v>0</v>
      </c>
      <c r="AK49" s="95">
        <v>1</v>
      </c>
      <c r="AL49" s="96">
        <v>1.0906744032152329</v>
      </c>
      <c r="AM49" s="432" t="s">
        <v>3103</v>
      </c>
      <c r="AN49" s="435">
        <v>0</v>
      </c>
      <c r="AO49" s="95">
        <v>1</v>
      </c>
      <c r="AP49" s="96">
        <v>1.0906744032152329</v>
      </c>
      <c r="AQ49" s="432" t="s">
        <v>3103</v>
      </c>
      <c r="AR49" s="505"/>
      <c r="AS49" s="505"/>
      <c r="AT49" s="211"/>
      <c r="AU49" s="211"/>
      <c r="AW49" s="77" t="s">
        <v>2217</v>
      </c>
      <c r="AX49" s="339">
        <v>2</v>
      </c>
      <c r="AY49" s="339">
        <v>2</v>
      </c>
      <c r="AZ49" s="339">
        <v>1</v>
      </c>
      <c r="BA49" s="339">
        <v>1</v>
      </c>
      <c r="BB49" s="339">
        <v>1</v>
      </c>
      <c r="BC49" s="339">
        <v>3</v>
      </c>
      <c r="BD49" s="104">
        <v>13</v>
      </c>
      <c r="BE49" s="104">
        <v>1.05</v>
      </c>
      <c r="BF49" s="107">
        <v>1.0744244531716256</v>
      </c>
      <c r="BG49" s="107">
        <v>1.0906744032152329</v>
      </c>
      <c r="BH49" s="107" t="s">
        <v>2270</v>
      </c>
      <c r="BI49" s="108">
        <v>1.05</v>
      </c>
      <c r="BJ49" s="108">
        <v>1.02</v>
      </c>
      <c r="BK49" s="108">
        <v>1</v>
      </c>
      <c r="BL49" s="108">
        <v>1</v>
      </c>
      <c r="BM49" s="108">
        <v>1</v>
      </c>
      <c r="BN49" s="108">
        <v>1.05</v>
      </c>
      <c r="BQ49" s="209"/>
    </row>
    <row r="50" spans="1:69">
      <c r="A50" s="330">
        <v>46430</v>
      </c>
      <c r="B50" s="331"/>
      <c r="C50" s="88"/>
      <c r="D50" s="340" t="s">
        <v>98</v>
      </c>
      <c r="E50" s="341">
        <v>4</v>
      </c>
      <c r="F50" s="432" t="s">
        <v>623</v>
      </c>
      <c r="G50" s="433" t="s">
        <v>98</v>
      </c>
      <c r="H50" s="434" t="s">
        <v>247</v>
      </c>
      <c r="I50" s="434" t="s">
        <v>248</v>
      </c>
      <c r="J50" s="94" t="s">
        <v>98</v>
      </c>
      <c r="K50" s="433" t="s">
        <v>96</v>
      </c>
      <c r="L50" s="435">
        <v>0</v>
      </c>
      <c r="M50" s="95">
        <v>1</v>
      </c>
      <c r="N50" s="96">
        <v>1.0906744032152329</v>
      </c>
      <c r="O50" s="432" t="s">
        <v>3103</v>
      </c>
      <c r="P50" s="435">
        <v>0</v>
      </c>
      <c r="Q50" s="95">
        <v>1</v>
      </c>
      <c r="R50" s="96">
        <v>1.0906744032152329</v>
      </c>
      <c r="S50" s="432" t="s">
        <v>3103</v>
      </c>
      <c r="T50" s="435">
        <v>2.4630726206389589E-4</v>
      </c>
      <c r="U50" s="95">
        <v>1</v>
      </c>
      <c r="V50" s="96">
        <v>1.0906744032152329</v>
      </c>
      <c r="W50" s="432" t="s">
        <v>3103</v>
      </c>
      <c r="X50" s="435">
        <v>0</v>
      </c>
      <c r="Y50" s="95">
        <v>1</v>
      </c>
      <c r="Z50" s="96">
        <v>1.0906744032152329</v>
      </c>
      <c r="AA50" s="432" t="s">
        <v>3103</v>
      </c>
      <c r="AB50" s="435">
        <v>0</v>
      </c>
      <c r="AC50" s="95">
        <v>1</v>
      </c>
      <c r="AD50" s="96">
        <v>1.0906744032152329</v>
      </c>
      <c r="AE50" s="432" t="s">
        <v>3103</v>
      </c>
      <c r="AF50" s="435">
        <v>0</v>
      </c>
      <c r="AG50" s="95">
        <v>1</v>
      </c>
      <c r="AH50" s="96">
        <v>1.0906744032152329</v>
      </c>
      <c r="AI50" s="432" t="s">
        <v>3103</v>
      </c>
      <c r="AJ50" s="435">
        <v>0</v>
      </c>
      <c r="AK50" s="95">
        <v>1</v>
      </c>
      <c r="AL50" s="96">
        <v>1.0906744032152329</v>
      </c>
      <c r="AM50" s="432" t="s">
        <v>3103</v>
      </c>
      <c r="AN50" s="435">
        <v>0</v>
      </c>
      <c r="AO50" s="95">
        <v>1</v>
      </c>
      <c r="AP50" s="96">
        <v>1.0906744032152329</v>
      </c>
      <c r="AQ50" s="432" t="s">
        <v>3103</v>
      </c>
      <c r="AR50" s="505"/>
      <c r="AS50" s="505"/>
      <c r="AT50" s="211"/>
      <c r="AU50" s="211"/>
      <c r="AW50" s="77" t="s">
        <v>2217</v>
      </c>
      <c r="AX50" s="339">
        <v>2</v>
      </c>
      <c r="AY50" s="339">
        <v>2</v>
      </c>
      <c r="AZ50" s="339">
        <v>1</v>
      </c>
      <c r="BA50" s="339">
        <v>1</v>
      </c>
      <c r="BB50" s="339">
        <v>1</v>
      </c>
      <c r="BC50" s="339">
        <v>3</v>
      </c>
      <c r="BD50" s="104">
        <v>13</v>
      </c>
      <c r="BE50" s="104">
        <v>1.05</v>
      </c>
      <c r="BF50" s="107">
        <v>1.0744244531716256</v>
      </c>
      <c r="BG50" s="107">
        <v>1.0906744032152329</v>
      </c>
      <c r="BH50" s="107" t="s">
        <v>2270</v>
      </c>
      <c r="BI50" s="108">
        <v>1.05</v>
      </c>
      <c r="BJ50" s="108">
        <v>1.02</v>
      </c>
      <c r="BK50" s="108">
        <v>1</v>
      </c>
      <c r="BL50" s="108">
        <v>1</v>
      </c>
      <c r="BM50" s="108">
        <v>1</v>
      </c>
      <c r="BN50" s="108">
        <v>1.05</v>
      </c>
      <c r="BQ50" s="209"/>
    </row>
    <row r="51" spans="1:69">
      <c r="A51" s="330">
        <v>52048</v>
      </c>
      <c r="B51" s="331"/>
      <c r="C51" s="88"/>
      <c r="D51" s="340" t="s">
        <v>98</v>
      </c>
      <c r="E51" s="341">
        <v>4</v>
      </c>
      <c r="F51" s="432" t="s">
        <v>2344</v>
      </c>
      <c r="G51" s="433" t="s">
        <v>98</v>
      </c>
      <c r="H51" s="434" t="s">
        <v>247</v>
      </c>
      <c r="I51" s="434" t="s">
        <v>248</v>
      </c>
      <c r="J51" s="94" t="s">
        <v>98</v>
      </c>
      <c r="K51" s="433" t="s">
        <v>96</v>
      </c>
      <c r="L51" s="435">
        <v>0</v>
      </c>
      <c r="M51" s="95">
        <v>1</v>
      </c>
      <c r="N51" s="96">
        <v>1.0906744032152329</v>
      </c>
      <c r="O51" s="432" t="s">
        <v>3103</v>
      </c>
      <c r="P51" s="435">
        <v>0</v>
      </c>
      <c r="Q51" s="95">
        <v>1</v>
      </c>
      <c r="R51" s="96">
        <v>1.0906744032152329</v>
      </c>
      <c r="S51" s="432" t="s">
        <v>3103</v>
      </c>
      <c r="T51" s="435">
        <v>0</v>
      </c>
      <c r="U51" s="95">
        <v>1</v>
      </c>
      <c r="V51" s="96">
        <v>1.0906744032152329</v>
      </c>
      <c r="W51" s="432" t="s">
        <v>3103</v>
      </c>
      <c r="X51" s="435">
        <v>2.4679847381304723E-4</v>
      </c>
      <c r="Y51" s="95">
        <v>1</v>
      </c>
      <c r="Z51" s="96">
        <v>1.0906744032152329</v>
      </c>
      <c r="AA51" s="432" t="s">
        <v>3103</v>
      </c>
      <c r="AB51" s="435">
        <v>0</v>
      </c>
      <c r="AC51" s="95">
        <v>1</v>
      </c>
      <c r="AD51" s="96">
        <v>1.0906744032152329</v>
      </c>
      <c r="AE51" s="432" t="s">
        <v>3103</v>
      </c>
      <c r="AF51" s="435">
        <v>0</v>
      </c>
      <c r="AG51" s="95">
        <v>1</v>
      </c>
      <c r="AH51" s="96">
        <v>1.0906744032152329</v>
      </c>
      <c r="AI51" s="432" t="s">
        <v>3103</v>
      </c>
      <c r="AJ51" s="435">
        <v>0</v>
      </c>
      <c r="AK51" s="95">
        <v>1</v>
      </c>
      <c r="AL51" s="96">
        <v>1.0906744032152329</v>
      </c>
      <c r="AM51" s="432" t="s">
        <v>3103</v>
      </c>
      <c r="AN51" s="435">
        <v>0</v>
      </c>
      <c r="AO51" s="95">
        <v>1</v>
      </c>
      <c r="AP51" s="96">
        <v>1.0906744032152329</v>
      </c>
      <c r="AQ51" s="432" t="s">
        <v>3103</v>
      </c>
      <c r="AR51" s="505"/>
      <c r="AS51" s="505"/>
      <c r="AT51" s="211"/>
      <c r="AU51" s="211"/>
      <c r="AW51" s="77" t="s">
        <v>2217</v>
      </c>
      <c r="AX51" s="339">
        <v>2</v>
      </c>
      <c r="AY51" s="339">
        <v>2</v>
      </c>
      <c r="AZ51" s="339">
        <v>1</v>
      </c>
      <c r="BA51" s="339">
        <v>1</v>
      </c>
      <c r="BB51" s="339">
        <v>1</v>
      </c>
      <c r="BC51" s="339">
        <v>3</v>
      </c>
      <c r="BD51" s="104">
        <v>13</v>
      </c>
      <c r="BE51" s="104">
        <v>1.05</v>
      </c>
      <c r="BF51" s="107">
        <v>1.0744244531716256</v>
      </c>
      <c r="BG51" s="107">
        <v>1.0906744032152329</v>
      </c>
      <c r="BH51" s="107" t="s">
        <v>2270</v>
      </c>
      <c r="BI51" s="108">
        <v>1.05</v>
      </c>
      <c r="BJ51" s="108">
        <v>1.02</v>
      </c>
      <c r="BK51" s="108">
        <v>1</v>
      </c>
      <c r="BL51" s="108">
        <v>1</v>
      </c>
      <c r="BM51" s="108">
        <v>1</v>
      </c>
      <c r="BN51" s="108">
        <v>1.05</v>
      </c>
      <c r="BQ51" s="209"/>
    </row>
    <row r="52" spans="1:69">
      <c r="A52" s="330">
        <v>50430</v>
      </c>
      <c r="B52" s="331"/>
      <c r="C52" s="88"/>
      <c r="D52" s="340" t="s">
        <v>98</v>
      </c>
      <c r="E52" s="341">
        <v>4</v>
      </c>
      <c r="F52" s="432" t="s">
        <v>523</v>
      </c>
      <c r="G52" s="433" t="s">
        <v>98</v>
      </c>
      <c r="H52" s="434" t="s">
        <v>247</v>
      </c>
      <c r="I52" s="434" t="s">
        <v>248</v>
      </c>
      <c r="J52" s="94" t="s">
        <v>98</v>
      </c>
      <c r="K52" s="433" t="s">
        <v>96</v>
      </c>
      <c r="L52" s="435">
        <v>0</v>
      </c>
      <c r="M52" s="95">
        <v>1</v>
      </c>
      <c r="N52" s="96">
        <v>1.0906744032152329</v>
      </c>
      <c r="O52" s="432" t="s">
        <v>3103</v>
      </c>
      <c r="P52" s="435">
        <v>0</v>
      </c>
      <c r="Q52" s="95">
        <v>1</v>
      </c>
      <c r="R52" s="96">
        <v>1.0906744032152329</v>
      </c>
      <c r="S52" s="432" t="s">
        <v>3103</v>
      </c>
      <c r="T52" s="435">
        <v>0</v>
      </c>
      <c r="U52" s="95">
        <v>1</v>
      </c>
      <c r="V52" s="96">
        <v>1.0906744032152329</v>
      </c>
      <c r="W52" s="432" t="s">
        <v>3103</v>
      </c>
      <c r="X52" s="435">
        <v>0</v>
      </c>
      <c r="Y52" s="95">
        <v>1</v>
      </c>
      <c r="Z52" s="96">
        <v>1.0906744032152329</v>
      </c>
      <c r="AA52" s="432" t="s">
        <v>3103</v>
      </c>
      <c r="AB52" s="435">
        <v>0</v>
      </c>
      <c r="AC52" s="95">
        <v>1</v>
      </c>
      <c r="AD52" s="96">
        <v>1.0906744032152329</v>
      </c>
      <c r="AE52" s="432" t="s">
        <v>3103</v>
      </c>
      <c r="AF52" s="435">
        <v>0</v>
      </c>
      <c r="AG52" s="95">
        <v>1</v>
      </c>
      <c r="AH52" s="96">
        <v>1.0906744032152329</v>
      </c>
      <c r="AI52" s="432" t="s">
        <v>3103</v>
      </c>
      <c r="AJ52" s="435">
        <v>0</v>
      </c>
      <c r="AK52" s="95">
        <v>1</v>
      </c>
      <c r="AL52" s="96">
        <v>1.0906744032152329</v>
      </c>
      <c r="AM52" s="432" t="s">
        <v>3103</v>
      </c>
      <c r="AN52" s="435">
        <v>0</v>
      </c>
      <c r="AO52" s="95">
        <v>1</v>
      </c>
      <c r="AP52" s="96">
        <v>1.0906744032152329</v>
      </c>
      <c r="AQ52" s="432" t="s">
        <v>3103</v>
      </c>
      <c r="AR52" s="505"/>
      <c r="AS52" s="505"/>
      <c r="AT52" s="211"/>
      <c r="AU52" s="211"/>
      <c r="AW52" s="77" t="s">
        <v>2217</v>
      </c>
      <c r="AX52" s="339">
        <v>2</v>
      </c>
      <c r="AY52" s="339">
        <v>2</v>
      </c>
      <c r="AZ52" s="339">
        <v>1</v>
      </c>
      <c r="BA52" s="339">
        <v>1</v>
      </c>
      <c r="BB52" s="339">
        <v>1</v>
      </c>
      <c r="BC52" s="339">
        <v>3</v>
      </c>
      <c r="BD52" s="104">
        <v>13</v>
      </c>
      <c r="BE52" s="104">
        <v>1.05</v>
      </c>
      <c r="BF52" s="107">
        <v>1.0744244531716256</v>
      </c>
      <c r="BG52" s="107">
        <v>1.0906744032152329</v>
      </c>
      <c r="BH52" s="107" t="s">
        <v>2270</v>
      </c>
      <c r="BI52" s="108">
        <v>1.05</v>
      </c>
      <c r="BJ52" s="108">
        <v>1.02</v>
      </c>
      <c r="BK52" s="108">
        <v>1</v>
      </c>
      <c r="BL52" s="108">
        <v>1</v>
      </c>
      <c r="BM52" s="108">
        <v>1</v>
      </c>
      <c r="BN52" s="108">
        <v>1.05</v>
      </c>
      <c r="BQ52" s="209"/>
    </row>
    <row r="53" spans="1:69">
      <c r="A53" s="330">
        <v>75494</v>
      </c>
      <c r="B53" s="331"/>
      <c r="C53" s="88"/>
      <c r="D53" s="340" t="s">
        <v>98</v>
      </c>
      <c r="E53" s="341">
        <v>4</v>
      </c>
      <c r="F53" s="432" t="s">
        <v>2345</v>
      </c>
      <c r="G53" s="433" t="s">
        <v>98</v>
      </c>
      <c r="H53" s="434" t="s">
        <v>247</v>
      </c>
      <c r="I53" s="434" t="s">
        <v>248</v>
      </c>
      <c r="J53" s="94" t="s">
        <v>98</v>
      </c>
      <c r="K53" s="433" t="s">
        <v>96</v>
      </c>
      <c r="L53" s="435">
        <v>0</v>
      </c>
      <c r="M53" s="95">
        <v>1</v>
      </c>
      <c r="N53" s="96">
        <v>1.0906744032152329</v>
      </c>
      <c r="O53" s="432" t="s">
        <v>3103</v>
      </c>
      <c r="P53" s="435">
        <v>0</v>
      </c>
      <c r="Q53" s="95">
        <v>1</v>
      </c>
      <c r="R53" s="96">
        <v>1.0906744032152329</v>
      </c>
      <c r="S53" s="432" t="s">
        <v>3103</v>
      </c>
      <c r="T53" s="435">
        <v>0</v>
      </c>
      <c r="U53" s="95">
        <v>1</v>
      </c>
      <c r="V53" s="96">
        <v>1.0906744032152329</v>
      </c>
      <c r="W53" s="432" t="s">
        <v>3103</v>
      </c>
      <c r="X53" s="435">
        <v>0</v>
      </c>
      <c r="Y53" s="95">
        <v>1</v>
      </c>
      <c r="Z53" s="96">
        <v>1.0906744032152329</v>
      </c>
      <c r="AA53" s="432" t="s">
        <v>3103</v>
      </c>
      <c r="AB53" s="435">
        <v>1.8856843833023849E-4</v>
      </c>
      <c r="AC53" s="95">
        <v>1</v>
      </c>
      <c r="AD53" s="96">
        <v>1.0906744032152329</v>
      </c>
      <c r="AE53" s="432" t="s">
        <v>3103</v>
      </c>
      <c r="AF53" s="435">
        <v>0</v>
      </c>
      <c r="AG53" s="95">
        <v>1</v>
      </c>
      <c r="AH53" s="96">
        <v>1.0906744032152329</v>
      </c>
      <c r="AI53" s="432" t="s">
        <v>3103</v>
      </c>
      <c r="AJ53" s="435">
        <v>0</v>
      </c>
      <c r="AK53" s="95">
        <v>1</v>
      </c>
      <c r="AL53" s="96">
        <v>1.0906744032152329</v>
      </c>
      <c r="AM53" s="432" t="s">
        <v>3103</v>
      </c>
      <c r="AN53" s="435">
        <v>0</v>
      </c>
      <c r="AO53" s="95">
        <v>1</v>
      </c>
      <c r="AP53" s="96">
        <v>1.0906744032152329</v>
      </c>
      <c r="AQ53" s="432" t="s">
        <v>3103</v>
      </c>
      <c r="AR53" s="505"/>
      <c r="AS53" s="505"/>
      <c r="AT53" s="211"/>
      <c r="AU53" s="211"/>
      <c r="AW53" s="77" t="s">
        <v>2217</v>
      </c>
      <c r="AX53" s="339">
        <v>2</v>
      </c>
      <c r="AY53" s="339">
        <v>2</v>
      </c>
      <c r="AZ53" s="339">
        <v>1</v>
      </c>
      <c r="BA53" s="339">
        <v>1</v>
      </c>
      <c r="BB53" s="339">
        <v>1</v>
      </c>
      <c r="BC53" s="339">
        <v>3</v>
      </c>
      <c r="BD53" s="104">
        <v>13</v>
      </c>
      <c r="BE53" s="104">
        <v>1.05</v>
      </c>
      <c r="BF53" s="107">
        <v>1.0744244531716256</v>
      </c>
      <c r="BG53" s="107">
        <v>1.0906744032152329</v>
      </c>
      <c r="BH53" s="107" t="s">
        <v>2270</v>
      </c>
      <c r="BI53" s="108">
        <v>1.05</v>
      </c>
      <c r="BJ53" s="108">
        <v>1.02</v>
      </c>
      <c r="BK53" s="108">
        <v>1</v>
      </c>
      <c r="BL53" s="108">
        <v>1</v>
      </c>
      <c r="BM53" s="108">
        <v>1</v>
      </c>
      <c r="BN53" s="108">
        <v>1.05</v>
      </c>
      <c r="BQ53" s="209"/>
    </row>
    <row r="54" spans="1:69">
      <c r="A54" s="330">
        <v>51378</v>
      </c>
      <c r="B54" s="331"/>
      <c r="C54" s="88"/>
      <c r="D54" s="340" t="s">
        <v>98</v>
      </c>
      <c r="E54" s="341">
        <v>4</v>
      </c>
      <c r="F54" s="432" t="s">
        <v>525</v>
      </c>
      <c r="G54" s="433" t="s">
        <v>98</v>
      </c>
      <c r="H54" s="434" t="s">
        <v>247</v>
      </c>
      <c r="I54" s="434" t="s">
        <v>248</v>
      </c>
      <c r="J54" s="94" t="s">
        <v>98</v>
      </c>
      <c r="K54" s="433" t="s">
        <v>96</v>
      </c>
      <c r="L54" s="435">
        <v>0</v>
      </c>
      <c r="M54" s="95">
        <v>1</v>
      </c>
      <c r="N54" s="96">
        <v>1.0906744032152329</v>
      </c>
      <c r="O54" s="432" t="s">
        <v>3103</v>
      </c>
      <c r="P54" s="435">
        <v>0</v>
      </c>
      <c r="Q54" s="95">
        <v>1</v>
      </c>
      <c r="R54" s="96">
        <v>1.0906744032152329</v>
      </c>
      <c r="S54" s="432" t="s">
        <v>3103</v>
      </c>
      <c r="T54" s="435">
        <v>0</v>
      </c>
      <c r="U54" s="95">
        <v>1</v>
      </c>
      <c r="V54" s="96">
        <v>1.0906744032152329</v>
      </c>
      <c r="W54" s="432" t="s">
        <v>3103</v>
      </c>
      <c r="X54" s="435">
        <v>0</v>
      </c>
      <c r="Y54" s="95">
        <v>1</v>
      </c>
      <c r="Z54" s="96">
        <v>1.0906744032152329</v>
      </c>
      <c r="AA54" s="432" t="s">
        <v>3103</v>
      </c>
      <c r="AB54" s="435">
        <v>0</v>
      </c>
      <c r="AC54" s="95">
        <v>1</v>
      </c>
      <c r="AD54" s="96">
        <v>1.0906744032152329</v>
      </c>
      <c r="AE54" s="432" t="s">
        <v>3103</v>
      </c>
      <c r="AF54" s="435">
        <v>2.3658719519962495E-4</v>
      </c>
      <c r="AG54" s="95">
        <v>1</v>
      </c>
      <c r="AH54" s="96">
        <v>1.0906744032152329</v>
      </c>
      <c r="AI54" s="432" t="s">
        <v>3103</v>
      </c>
      <c r="AJ54" s="435">
        <v>0</v>
      </c>
      <c r="AK54" s="95">
        <v>1</v>
      </c>
      <c r="AL54" s="96">
        <v>1.0906744032152329</v>
      </c>
      <c r="AM54" s="432" t="s">
        <v>3103</v>
      </c>
      <c r="AN54" s="435">
        <v>0</v>
      </c>
      <c r="AO54" s="95">
        <v>1</v>
      </c>
      <c r="AP54" s="96">
        <v>1.0906744032152329</v>
      </c>
      <c r="AQ54" s="432" t="s">
        <v>3103</v>
      </c>
      <c r="AR54" s="505"/>
      <c r="AS54" s="505"/>
      <c r="AT54" s="211"/>
      <c r="AU54" s="211"/>
      <c r="AW54" s="77" t="s">
        <v>2217</v>
      </c>
      <c r="AX54" s="339">
        <v>2</v>
      </c>
      <c r="AY54" s="339">
        <v>2</v>
      </c>
      <c r="AZ54" s="339">
        <v>1</v>
      </c>
      <c r="BA54" s="339">
        <v>1</v>
      </c>
      <c r="BB54" s="339">
        <v>1</v>
      </c>
      <c r="BC54" s="339">
        <v>3</v>
      </c>
      <c r="BD54" s="104">
        <v>13</v>
      </c>
      <c r="BE54" s="104">
        <v>1.05</v>
      </c>
      <c r="BF54" s="107">
        <v>1.0744244531716256</v>
      </c>
      <c r="BG54" s="107">
        <v>1.0906744032152329</v>
      </c>
      <c r="BH54" s="107" t="s">
        <v>2270</v>
      </c>
      <c r="BI54" s="108">
        <v>1.05</v>
      </c>
      <c r="BJ54" s="108">
        <v>1.02</v>
      </c>
      <c r="BK54" s="108">
        <v>1</v>
      </c>
      <c r="BL54" s="108">
        <v>1</v>
      </c>
      <c r="BM54" s="108">
        <v>1</v>
      </c>
      <c r="BN54" s="108">
        <v>1.05</v>
      </c>
      <c r="BQ54" s="209"/>
    </row>
    <row r="55" spans="1:69">
      <c r="A55" s="330">
        <v>46828</v>
      </c>
      <c r="B55" s="331"/>
      <c r="C55" s="88"/>
      <c r="D55" s="340" t="s">
        <v>98</v>
      </c>
      <c r="E55" s="341">
        <v>4</v>
      </c>
      <c r="F55" s="432" t="s">
        <v>2346</v>
      </c>
      <c r="G55" s="433" t="s">
        <v>98</v>
      </c>
      <c r="H55" s="434" t="s">
        <v>247</v>
      </c>
      <c r="I55" s="434" t="s">
        <v>248</v>
      </c>
      <c r="J55" s="94" t="s">
        <v>98</v>
      </c>
      <c r="K55" s="433" t="s">
        <v>96</v>
      </c>
      <c r="L55" s="435">
        <v>0</v>
      </c>
      <c r="M55" s="95">
        <v>1</v>
      </c>
      <c r="N55" s="96">
        <v>1.0906744032152329</v>
      </c>
      <c r="O55" s="432" t="s">
        <v>3103</v>
      </c>
      <c r="P55" s="435">
        <v>0</v>
      </c>
      <c r="Q55" s="95">
        <v>1</v>
      </c>
      <c r="R55" s="96">
        <v>1.0906744032152329</v>
      </c>
      <c r="S55" s="432" t="s">
        <v>3103</v>
      </c>
      <c r="T55" s="435">
        <v>0</v>
      </c>
      <c r="U55" s="95">
        <v>1</v>
      </c>
      <c r="V55" s="96">
        <v>1.0906744032152329</v>
      </c>
      <c r="W55" s="432" t="s">
        <v>3103</v>
      </c>
      <c r="X55" s="435">
        <v>0</v>
      </c>
      <c r="Y55" s="95">
        <v>1</v>
      </c>
      <c r="Z55" s="96">
        <v>1.0906744032152329</v>
      </c>
      <c r="AA55" s="432" t="s">
        <v>3103</v>
      </c>
      <c r="AB55" s="435">
        <v>0</v>
      </c>
      <c r="AC55" s="95">
        <v>1</v>
      </c>
      <c r="AD55" s="96">
        <v>1.0906744032152329</v>
      </c>
      <c r="AE55" s="432" t="s">
        <v>3103</v>
      </c>
      <c r="AF55" s="435">
        <v>0</v>
      </c>
      <c r="AG55" s="95">
        <v>1</v>
      </c>
      <c r="AH55" s="96">
        <v>1.0906744032152329</v>
      </c>
      <c r="AI55" s="432" t="s">
        <v>3103</v>
      </c>
      <c r="AJ55" s="435">
        <v>1.795325427711203E-4</v>
      </c>
      <c r="AK55" s="95">
        <v>1</v>
      </c>
      <c r="AL55" s="96">
        <v>1.0906744032152329</v>
      </c>
      <c r="AM55" s="432" t="s">
        <v>3103</v>
      </c>
      <c r="AN55" s="435">
        <v>0</v>
      </c>
      <c r="AO55" s="95">
        <v>1</v>
      </c>
      <c r="AP55" s="96">
        <v>1.0906744032152329</v>
      </c>
      <c r="AQ55" s="432" t="s">
        <v>3103</v>
      </c>
      <c r="AR55" s="505"/>
      <c r="AS55" s="505"/>
      <c r="AT55" s="211"/>
      <c r="AU55" s="211"/>
      <c r="AW55" s="77" t="s">
        <v>2217</v>
      </c>
      <c r="AX55" s="339">
        <v>2</v>
      </c>
      <c r="AY55" s="339">
        <v>2</v>
      </c>
      <c r="AZ55" s="339">
        <v>1</v>
      </c>
      <c r="BA55" s="339">
        <v>1</v>
      </c>
      <c r="BB55" s="339">
        <v>1</v>
      </c>
      <c r="BC55" s="339">
        <v>3</v>
      </c>
      <c r="BD55" s="104">
        <v>13</v>
      </c>
      <c r="BE55" s="104">
        <v>1.05</v>
      </c>
      <c r="BF55" s="107">
        <v>1.0744244531716256</v>
      </c>
      <c r="BG55" s="107">
        <v>1.0906744032152329</v>
      </c>
      <c r="BH55" s="107" t="s">
        <v>2270</v>
      </c>
      <c r="BI55" s="108">
        <v>1.05</v>
      </c>
      <c r="BJ55" s="108">
        <v>1.02</v>
      </c>
      <c r="BK55" s="108">
        <v>1</v>
      </c>
      <c r="BL55" s="108">
        <v>1</v>
      </c>
      <c r="BM55" s="108">
        <v>1</v>
      </c>
      <c r="BN55" s="108">
        <v>1.05</v>
      </c>
      <c r="BQ55" s="209"/>
    </row>
    <row r="56" spans="1:69">
      <c r="A56" s="330">
        <v>27191</v>
      </c>
      <c r="B56" s="331"/>
      <c r="C56" s="88"/>
      <c r="D56" s="340" t="s">
        <v>98</v>
      </c>
      <c r="E56" s="341">
        <v>4</v>
      </c>
      <c r="F56" s="432" t="s">
        <v>657</v>
      </c>
      <c r="G56" s="433" t="s">
        <v>98</v>
      </c>
      <c r="H56" s="434" t="s">
        <v>247</v>
      </c>
      <c r="I56" s="434" t="s">
        <v>248</v>
      </c>
      <c r="J56" s="94" t="s">
        <v>98</v>
      </c>
      <c r="K56" s="433" t="s">
        <v>96</v>
      </c>
      <c r="L56" s="435">
        <v>0</v>
      </c>
      <c r="M56" s="95">
        <v>1</v>
      </c>
      <c r="N56" s="96">
        <v>1.0906744032152329</v>
      </c>
      <c r="O56" s="432" t="s">
        <v>3103</v>
      </c>
      <c r="P56" s="435">
        <v>0</v>
      </c>
      <c r="Q56" s="95">
        <v>1</v>
      </c>
      <c r="R56" s="96">
        <v>1.0906744032152329</v>
      </c>
      <c r="S56" s="432" t="s">
        <v>3103</v>
      </c>
      <c r="T56" s="435">
        <v>0</v>
      </c>
      <c r="U56" s="95">
        <v>1</v>
      </c>
      <c r="V56" s="96">
        <v>1.0906744032152329</v>
      </c>
      <c r="W56" s="432" t="s">
        <v>3103</v>
      </c>
      <c r="X56" s="435">
        <v>0</v>
      </c>
      <c r="Y56" s="95">
        <v>1</v>
      </c>
      <c r="Z56" s="96">
        <v>1.0906744032152329</v>
      </c>
      <c r="AA56" s="432" t="s">
        <v>3103</v>
      </c>
      <c r="AB56" s="435">
        <v>0</v>
      </c>
      <c r="AC56" s="95">
        <v>1</v>
      </c>
      <c r="AD56" s="96">
        <v>1.0906744032152329</v>
      </c>
      <c r="AE56" s="432" t="s">
        <v>3103</v>
      </c>
      <c r="AF56" s="435">
        <v>0</v>
      </c>
      <c r="AG56" s="95">
        <v>1</v>
      </c>
      <c r="AH56" s="96">
        <v>1.0906744032152329</v>
      </c>
      <c r="AI56" s="432" t="s">
        <v>3103</v>
      </c>
      <c r="AJ56" s="435">
        <v>0</v>
      </c>
      <c r="AK56" s="95">
        <v>1</v>
      </c>
      <c r="AL56" s="96">
        <v>1.0906744032152329</v>
      </c>
      <c r="AM56" s="432" t="s">
        <v>3103</v>
      </c>
      <c r="AN56" s="435">
        <v>2.0423331342673938E-4</v>
      </c>
      <c r="AO56" s="95">
        <v>1</v>
      </c>
      <c r="AP56" s="96">
        <v>1.0906744032152329</v>
      </c>
      <c r="AQ56" s="432" t="s">
        <v>3103</v>
      </c>
      <c r="AR56" s="505"/>
      <c r="AS56" s="505"/>
      <c r="AT56" s="211"/>
      <c r="AU56" s="211"/>
      <c r="AW56" s="77" t="s">
        <v>2217</v>
      </c>
      <c r="AX56" s="339">
        <v>2</v>
      </c>
      <c r="AY56" s="339">
        <v>2</v>
      </c>
      <c r="AZ56" s="339">
        <v>1</v>
      </c>
      <c r="BA56" s="339">
        <v>1</v>
      </c>
      <c r="BB56" s="339">
        <v>1</v>
      </c>
      <c r="BC56" s="339">
        <v>3</v>
      </c>
      <c r="BD56" s="104">
        <v>13</v>
      </c>
      <c r="BE56" s="104">
        <v>1.05</v>
      </c>
      <c r="BF56" s="107">
        <v>1.0744244531716256</v>
      </c>
      <c r="BG56" s="107">
        <v>1.0906744032152329</v>
      </c>
      <c r="BH56" s="107" t="s">
        <v>2270</v>
      </c>
      <c r="BI56" s="108">
        <v>1.05</v>
      </c>
      <c r="BJ56" s="108">
        <v>1.02</v>
      </c>
      <c r="BK56" s="108">
        <v>1</v>
      </c>
      <c r="BL56" s="108">
        <v>1</v>
      </c>
      <c r="BM56" s="108">
        <v>1</v>
      </c>
      <c r="BN56" s="108">
        <v>1.05</v>
      </c>
      <c r="BQ56" s="209"/>
    </row>
    <row r="57" spans="1:69">
      <c r="A57" s="330"/>
      <c r="B57" s="331"/>
      <c r="C57" s="88"/>
      <c r="D57" s="340"/>
      <c r="E57" s="341"/>
      <c r="F57" s="432"/>
      <c r="G57" s="433"/>
      <c r="H57" s="434"/>
      <c r="I57" s="434"/>
      <c r="J57" s="94"/>
      <c r="K57" s="433"/>
      <c r="L57" s="435"/>
      <c r="M57" s="95"/>
      <c r="N57" s="96"/>
      <c r="O57" s="432"/>
      <c r="P57" s="435"/>
      <c r="Q57" s="95"/>
      <c r="R57" s="96"/>
      <c r="S57" s="432"/>
      <c r="T57" s="435"/>
      <c r="U57" s="95"/>
      <c r="V57" s="96"/>
      <c r="W57" s="432"/>
      <c r="X57" s="435"/>
      <c r="Y57" s="95"/>
      <c r="Z57" s="96"/>
      <c r="AA57" s="432"/>
      <c r="AB57" s="435"/>
      <c r="AC57" s="95"/>
      <c r="AD57" s="96"/>
      <c r="AE57" s="432"/>
      <c r="AF57" s="435"/>
      <c r="AG57" s="95"/>
      <c r="AH57" s="96"/>
      <c r="AI57" s="432"/>
      <c r="AJ57" s="435"/>
      <c r="AK57" s="95"/>
      <c r="AL57" s="96"/>
      <c r="AM57" s="432"/>
      <c r="AN57" s="435"/>
      <c r="AO57" s="95"/>
      <c r="AP57" s="96"/>
      <c r="AQ57" s="432"/>
      <c r="AR57" s="505"/>
      <c r="AS57" s="505"/>
      <c r="AT57" s="211"/>
      <c r="AU57" s="211"/>
      <c r="AW57" s="77"/>
      <c r="AX57" s="339"/>
      <c r="AY57" s="339"/>
      <c r="AZ57" s="339"/>
      <c r="BA57" s="339"/>
      <c r="BB57" s="339"/>
      <c r="BC57" s="339"/>
      <c r="BD57" s="104"/>
      <c r="BE57" s="104"/>
      <c r="BF57" s="107"/>
      <c r="BG57" s="107"/>
      <c r="BH57" s="107"/>
      <c r="BI57" s="108"/>
      <c r="BJ57" s="108"/>
      <c r="BK57" s="108"/>
      <c r="BL57" s="108"/>
      <c r="BM57" s="108"/>
      <c r="BN57" s="108"/>
      <c r="BQ57" s="209"/>
    </row>
    <row r="58" spans="1:69">
      <c r="L58" s="198">
        <v>8.2067081572860169E-7</v>
      </c>
      <c r="M58" s="214"/>
      <c r="N58" s="214"/>
      <c r="O58" s="214"/>
      <c r="P58" s="198">
        <v>6.8087351349575236E-7</v>
      </c>
      <c r="Q58" s="214"/>
      <c r="R58" s="214"/>
      <c r="S58" s="214"/>
      <c r="T58" s="198">
        <v>1.7668766960061507E-7</v>
      </c>
      <c r="U58" s="214"/>
      <c r="V58" s="214"/>
      <c r="W58" s="214"/>
      <c r="X58" s="198">
        <v>7.9265456296701037E-7</v>
      </c>
      <c r="Y58" s="214"/>
      <c r="Z58" s="214"/>
      <c r="AA58" s="214"/>
      <c r="AB58" s="198">
        <v>6.3313004123546028E-7</v>
      </c>
      <c r="AC58" s="214"/>
      <c r="AD58" s="214"/>
      <c r="AE58" s="214"/>
      <c r="AF58" s="198">
        <v>3.915845987386559E-7</v>
      </c>
      <c r="AG58" s="214"/>
      <c r="AH58" s="214"/>
      <c r="AI58" s="214"/>
      <c r="AJ58" s="198">
        <v>5.7891788106506424E-7</v>
      </c>
      <c r="AK58" s="214"/>
      <c r="AL58" s="214"/>
      <c r="AM58" s="214"/>
      <c r="AN58" s="198">
        <v>3.1233778405259562E-7</v>
      </c>
    </row>
    <row r="59" spans="1:69">
      <c r="L59" s="198">
        <v>1</v>
      </c>
      <c r="M59" s="214"/>
      <c r="N59" s="214"/>
      <c r="O59" s="214"/>
      <c r="P59" s="198">
        <v>1</v>
      </c>
      <c r="Q59" s="214"/>
      <c r="R59" s="214"/>
      <c r="S59" s="214"/>
      <c r="T59" s="198">
        <v>0.99999999999999978</v>
      </c>
      <c r="U59" s="214"/>
      <c r="V59" s="214"/>
      <c r="W59" s="214"/>
      <c r="X59" s="198">
        <v>1</v>
      </c>
      <c r="Y59" s="214"/>
      <c r="Z59" s="214"/>
      <c r="AA59" s="214"/>
      <c r="AB59" s="198">
        <v>1</v>
      </c>
      <c r="AC59" s="214"/>
      <c r="AD59" s="214"/>
      <c r="AE59" s="214"/>
      <c r="AF59" s="198">
        <v>1</v>
      </c>
      <c r="AG59" s="214"/>
      <c r="AH59" s="214"/>
      <c r="AI59" s="214"/>
      <c r="AJ59" s="198">
        <v>1</v>
      </c>
      <c r="AK59" s="214"/>
      <c r="AL59" s="214"/>
      <c r="AM59" s="214"/>
      <c r="AN59" s="198">
        <v>1</v>
      </c>
    </row>
  </sheetData>
  <mergeCells count="1">
    <mergeCell ref="AX1:BC1"/>
  </mergeCells>
  <conditionalFormatting sqref="D15:AQ57 AW15:BC57">
    <cfRule type="expression" dxfId="40" priority="2">
      <formula>MOD(ROW(),2)=0</formula>
    </cfRule>
  </conditionalFormatting>
  <conditionalFormatting sqref="BD15:BN57">
    <cfRule type="expression" dxfId="39" priority="1">
      <formula>MOD(ROW(),2)=0</formula>
    </cfRule>
  </conditionalFormatting>
  <dataValidations disablePrompts="1" count="12">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AX3" xr:uid="{00000000-0002-0000-5B00-000001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BC3" xr:uid="{00000000-0002-0000-5B00-000002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BB3" xr:uid="{00000000-0002-0000-5B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BA3" xr:uid="{00000000-0002-0000-5B00-000004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AZ3" xr:uid="{00000000-0002-0000-5B00-000005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AY3" xr:uid="{00000000-0002-0000-5B00-000006000000}"/>
    <dataValidation allowBlank="1" showInputMessage="1" showErrorMessage="1" prompt="Do not change." sqref="BD3:BN4 BF7:BN8" xr:uid="{00000000-0002-0000-5B00-000007000000}"/>
    <dataValidation allowBlank="1" showInputMessage="1" showErrorMessage="1" promptTitle="Remarks" prompt="A general comment (data source, calculation procedure, ...) can be made about each individual exchange. The remarks are added to the GeneralComment-field." sqref="AW3" xr:uid="{00000000-0002-0000-5B00-000008000000}"/>
    <dataValidation allowBlank="1" showInputMessage="1" showErrorMessage="1" promptTitle="Do not change" prompt="This field is automatically updated from the names-list" sqref="BH15:BH57" xr:uid="{00000000-0002-0000-5B00-000000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57 Q2:Q57 U2:U57 Y2:Y57 AC2:AC57 AG2:AG57 AK2:AK57 AO2:AO57" xr:uid="{00000000-0002-0000-5B00-000009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57 R2:R57 V2:V57 Z2:Z57 AD2:AD57 AH2:AH57 AL2:AL57 AP2:AP57" xr:uid="{00000000-0002-0000-5B00-00000A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57 S1:S57 W1:W57 AA1:AA57 AE1:AE57 AI1:AI57 AM1:AM57 AQ1:AQ57" xr:uid="{00000000-0002-0000-5B00-00000B000000}"/>
  </dataValidations>
  <pageMargins left="0.78740157499999996" right="0.78740157499999996" top="0.984251969" bottom="0.984251969" header="0.4921259845" footer="0.4921259845"/>
  <pageSetup paperSize="9" scale="81" fitToWidth="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Tabelle53">
    <tabColor rgb="FF9CD9F0"/>
    <pageSetUpPr fitToPage="1"/>
  </sheetPr>
  <dimension ref="A1:AP36"/>
  <sheetViews>
    <sheetView workbookViewId="0">
      <selection activeCell="G15" sqref="G15"/>
    </sheetView>
  </sheetViews>
  <sheetFormatPr baseColWidth="10" defaultColWidth="11.42578125" defaultRowHeight="12" outlineLevelRow="1" outlineLevelCol="1"/>
  <cols>
    <col min="1" max="1" width="11.28515625" style="378" customWidth="1"/>
    <col min="2" max="2" width="12.7109375" style="114" customWidth="1"/>
    <col min="3" max="3" width="3.7109375" style="115" hidden="1" customWidth="1" outlineLevel="1"/>
    <col min="4" max="4" width="4.140625" style="378" hidden="1" customWidth="1" outlineLevel="1"/>
    <col min="5" max="5" width="4" style="378" hidden="1" customWidth="1" outlineLevel="1"/>
    <col min="6" max="6" width="40.7109375" style="378" customWidth="1" collapsed="1"/>
    <col min="7" max="7" width="10.7109375" style="378" customWidth="1"/>
    <col min="8" max="8" width="10.7109375" style="378" hidden="1" customWidth="1" outlineLevel="1"/>
    <col min="9" max="9" width="15.7109375" style="378" hidden="1" customWidth="1" outlineLevel="1"/>
    <col min="10" max="10" width="5.7109375" style="378" customWidth="1" collapsed="1"/>
    <col min="11" max="11" width="5.7109375" style="378" customWidth="1"/>
    <col min="12" max="12" width="12.7109375" style="378" customWidth="1"/>
    <col min="13" max="14" width="5.7109375" style="116" hidden="1" customWidth="1" outlineLevel="1"/>
    <col min="15" max="15" width="50.7109375" style="116" hidden="1" customWidth="1" outlineLevel="1"/>
    <col min="16" max="16" width="10.7109375" style="212" customWidth="1" collapsed="1"/>
    <col min="17" max="18" width="8.7109375" style="212" customWidth="1"/>
    <col min="19" max="21" width="6.7109375" style="212" customWidth="1"/>
    <col min="22" max="22" width="30.7109375" style="407" customWidth="1"/>
    <col min="23" max="23" width="4.140625" style="407" customWidth="1"/>
    <col min="24" max="24" width="4.42578125" style="407" customWidth="1"/>
    <col min="25" max="25" width="4.28515625" style="407" customWidth="1"/>
    <col min="26" max="26" width="4" style="407" customWidth="1"/>
    <col min="27" max="27" width="3.7109375" style="407" customWidth="1"/>
    <col min="28" max="28" width="4.28515625" style="407" customWidth="1"/>
    <col min="29" max="29" width="3.42578125" style="407" hidden="1" customWidth="1" outlineLevel="1"/>
    <col min="30" max="30" width="4.7109375" style="378" hidden="1" customWidth="1" outlineLevel="1"/>
    <col min="31" max="32" width="5.42578125" style="378" hidden="1" customWidth="1" outlineLevel="1"/>
    <col min="33" max="33" width="14.85546875" style="378" hidden="1" customWidth="1" outlineLevel="1"/>
    <col min="34" max="39" width="4.28515625" style="378" hidden="1" customWidth="1" outlineLevel="1"/>
    <col min="40" max="40" width="11.42578125" style="399" customWidth="1" collapsed="1"/>
    <col min="41" max="42" width="11.42578125" style="207" customWidth="1"/>
    <col min="43" max="44" width="11.42578125" style="399" customWidth="1"/>
    <col min="45" max="16384" width="11.42578125" style="399"/>
  </cols>
  <sheetData>
    <row r="1" spans="1:42">
      <c r="A1" s="77"/>
      <c r="B1" s="78"/>
      <c r="C1" s="79"/>
      <c r="D1" s="77"/>
      <c r="E1" s="77"/>
      <c r="F1" s="80" t="s">
        <v>65</v>
      </c>
      <c r="G1" s="77"/>
      <c r="H1" s="77"/>
      <c r="I1" s="77"/>
      <c r="J1" s="77"/>
      <c r="K1" s="77"/>
      <c r="L1" s="330">
        <v>259117</v>
      </c>
      <c r="M1" s="81"/>
      <c r="N1" s="81"/>
      <c r="O1" s="81"/>
      <c r="V1" s="378"/>
      <c r="W1" s="1586"/>
      <c r="X1" s="1581"/>
      <c r="Y1" s="1581"/>
      <c r="Z1" s="1581"/>
      <c r="AA1" s="1581"/>
      <c r="AB1" s="1581"/>
      <c r="AC1" s="406"/>
      <c r="AD1" s="406"/>
      <c r="AE1" s="406"/>
      <c r="AF1" s="406"/>
      <c r="AG1" s="406"/>
    </row>
    <row r="2" spans="1:42">
      <c r="A2" s="77"/>
      <c r="B2" s="82"/>
      <c r="C2" s="79" t="s">
        <v>67</v>
      </c>
      <c r="D2" s="82">
        <v>3503</v>
      </c>
      <c r="E2" s="82">
        <v>3504</v>
      </c>
      <c r="F2" s="82">
        <v>3702</v>
      </c>
      <c r="G2" s="82">
        <v>3703</v>
      </c>
      <c r="H2" s="82">
        <v>3506</v>
      </c>
      <c r="I2" s="82">
        <v>3507</v>
      </c>
      <c r="J2" s="82">
        <v>3508</v>
      </c>
      <c r="K2" s="82">
        <v>3706</v>
      </c>
      <c r="L2" s="82">
        <v>3707</v>
      </c>
      <c r="M2" s="419">
        <v>3708</v>
      </c>
      <c r="N2" s="419">
        <v>3709</v>
      </c>
      <c r="O2" s="420">
        <v>3792</v>
      </c>
      <c r="P2" s="253"/>
      <c r="Q2" s="253"/>
      <c r="R2" s="253"/>
      <c r="S2" s="253"/>
      <c r="T2" s="253"/>
      <c r="U2" s="253"/>
      <c r="V2" s="406"/>
      <c r="W2" s="406"/>
      <c r="X2" s="406"/>
      <c r="Y2" s="406"/>
      <c r="Z2" s="406"/>
      <c r="AA2" s="406"/>
      <c r="AB2" s="406"/>
      <c r="AC2" s="406"/>
    </row>
    <row r="3" spans="1:42" ht="105.75" customHeight="1">
      <c r="A3" s="83" t="s">
        <v>68</v>
      </c>
      <c r="B3" s="84"/>
      <c r="C3" s="79">
        <v>401</v>
      </c>
      <c r="D3" s="85" t="s">
        <v>69</v>
      </c>
      <c r="E3" s="85" t="s">
        <v>70</v>
      </c>
      <c r="F3" s="86" t="s">
        <v>71</v>
      </c>
      <c r="G3" s="85" t="s">
        <v>72</v>
      </c>
      <c r="H3" s="85" t="s">
        <v>73</v>
      </c>
      <c r="I3" s="85" t="s">
        <v>74</v>
      </c>
      <c r="J3" s="85" t="s">
        <v>75</v>
      </c>
      <c r="K3" s="85" t="s">
        <v>76</v>
      </c>
      <c r="L3" s="87" t="s">
        <v>2347</v>
      </c>
      <c r="M3" s="422" t="s">
        <v>78</v>
      </c>
      <c r="N3" s="422" t="s">
        <v>79</v>
      </c>
      <c r="O3" s="423" t="s">
        <v>80</v>
      </c>
      <c r="P3" s="210" t="s">
        <v>2199</v>
      </c>
      <c r="Q3" s="210" t="s">
        <v>2201</v>
      </c>
      <c r="R3" s="210" t="s">
        <v>2202</v>
      </c>
      <c r="S3" s="210" t="s">
        <v>2033</v>
      </c>
      <c r="T3" s="210" t="s">
        <v>2203</v>
      </c>
      <c r="U3" s="210"/>
      <c r="V3" s="97" t="s">
        <v>363</v>
      </c>
      <c r="W3" s="98" t="s">
        <v>364</v>
      </c>
      <c r="X3" s="98" t="s">
        <v>365</v>
      </c>
      <c r="Y3" s="98" t="s">
        <v>366</v>
      </c>
      <c r="Z3" s="98" t="s">
        <v>367</v>
      </c>
      <c r="AA3" s="98" t="s">
        <v>368</v>
      </c>
      <c r="AB3" s="98" t="s">
        <v>369</v>
      </c>
      <c r="AC3" s="99" t="s">
        <v>88</v>
      </c>
      <c r="AD3" s="99" t="s">
        <v>370</v>
      </c>
      <c r="AE3" s="99" t="s">
        <v>90</v>
      </c>
      <c r="AF3" s="99" t="s">
        <v>91</v>
      </c>
      <c r="AG3" s="99" t="s">
        <v>371</v>
      </c>
      <c r="AH3" s="100" t="s">
        <v>364</v>
      </c>
      <c r="AI3" s="100" t="s">
        <v>365</v>
      </c>
      <c r="AJ3" s="100" t="s">
        <v>366</v>
      </c>
      <c r="AK3" s="100" t="s">
        <v>367</v>
      </c>
      <c r="AL3" s="100" t="s">
        <v>368</v>
      </c>
      <c r="AM3" s="100" t="s">
        <v>369</v>
      </c>
      <c r="AO3" s="207" t="s">
        <v>2332</v>
      </c>
    </row>
    <row r="4" spans="1:42" ht="12.75" customHeight="1">
      <c r="A4" s="77"/>
      <c r="B4" s="84"/>
      <c r="C4" s="79">
        <v>662</v>
      </c>
      <c r="D4" s="86"/>
      <c r="E4" s="86"/>
      <c r="F4" s="86" t="s">
        <v>72</v>
      </c>
      <c r="G4" s="86"/>
      <c r="H4" s="86"/>
      <c r="I4" s="86"/>
      <c r="J4" s="86"/>
      <c r="K4" s="86"/>
      <c r="L4" s="87" t="s">
        <v>372</v>
      </c>
      <c r="M4" s="425"/>
      <c r="N4" s="425"/>
      <c r="O4" s="426"/>
      <c r="P4" s="210" t="s">
        <v>103</v>
      </c>
      <c r="Q4" s="210"/>
      <c r="R4" s="210"/>
      <c r="S4" s="210"/>
      <c r="T4" s="210"/>
      <c r="U4" s="210"/>
      <c r="V4" s="101"/>
      <c r="W4" s="102" t="s">
        <v>94</v>
      </c>
      <c r="X4" s="97"/>
      <c r="Y4" s="97"/>
      <c r="Z4" s="97"/>
      <c r="AA4" s="97"/>
      <c r="AB4" s="97"/>
      <c r="AC4" s="103"/>
      <c r="AD4" s="103"/>
      <c r="AE4" s="103" t="s">
        <v>95</v>
      </c>
      <c r="AF4" s="103" t="s">
        <v>95</v>
      </c>
      <c r="AG4" s="104"/>
      <c r="AH4" s="105"/>
      <c r="AI4" s="105"/>
      <c r="AJ4" s="105"/>
      <c r="AK4" s="105"/>
      <c r="AL4" s="105"/>
      <c r="AM4" s="105"/>
      <c r="AO4" s="207" t="s">
        <v>2204</v>
      </c>
      <c r="AP4" s="207" t="s">
        <v>2205</v>
      </c>
    </row>
    <row r="5" spans="1:42">
      <c r="A5" s="77"/>
      <c r="B5" s="84"/>
      <c r="C5" s="79">
        <v>493</v>
      </c>
      <c r="D5" s="86"/>
      <c r="E5" s="86"/>
      <c r="F5" s="86" t="s">
        <v>75</v>
      </c>
      <c r="G5" s="86"/>
      <c r="H5" s="86"/>
      <c r="I5" s="86"/>
      <c r="J5" s="86"/>
      <c r="K5" s="86"/>
      <c r="L5" s="87">
        <v>0</v>
      </c>
      <c r="M5" s="425"/>
      <c r="N5" s="425"/>
      <c r="O5" s="426"/>
      <c r="P5" s="210"/>
      <c r="Q5" s="210"/>
      <c r="R5" s="210"/>
      <c r="S5" s="210"/>
      <c r="T5" s="210"/>
      <c r="U5" s="210"/>
      <c r="V5" s="101"/>
      <c r="W5" s="97"/>
      <c r="X5" s="97"/>
      <c r="Y5" s="97"/>
      <c r="Z5" s="97"/>
      <c r="AA5" s="97"/>
      <c r="AB5" s="97"/>
      <c r="AC5" s="104"/>
      <c r="AD5" s="104"/>
      <c r="AE5" s="104"/>
      <c r="AF5" s="104"/>
      <c r="AG5" s="104"/>
      <c r="AH5" s="105"/>
      <c r="AI5" s="105"/>
      <c r="AJ5" s="105"/>
      <c r="AK5" s="105"/>
      <c r="AL5" s="105"/>
      <c r="AM5" s="105"/>
    </row>
    <row r="6" spans="1:42">
      <c r="A6" s="77"/>
      <c r="B6" s="84"/>
      <c r="C6" s="79">
        <v>403</v>
      </c>
      <c r="D6" s="86"/>
      <c r="E6" s="86"/>
      <c r="F6" s="86" t="s">
        <v>76</v>
      </c>
      <c r="G6" s="86"/>
      <c r="H6" s="86"/>
      <c r="I6" s="86"/>
      <c r="J6" s="86"/>
      <c r="K6" s="86"/>
      <c r="L6" s="87" t="s">
        <v>109</v>
      </c>
      <c r="M6" s="425"/>
      <c r="N6" s="425"/>
      <c r="O6" s="426"/>
      <c r="P6" s="210" t="s">
        <v>98</v>
      </c>
      <c r="Q6" s="210" t="s">
        <v>98</v>
      </c>
      <c r="R6" s="210" t="s">
        <v>2207</v>
      </c>
      <c r="S6" s="210" t="s">
        <v>1318</v>
      </c>
      <c r="T6" s="210" t="s">
        <v>679</v>
      </c>
      <c r="U6" s="210"/>
      <c r="V6" s="101"/>
      <c r="W6" s="106"/>
      <c r="X6" s="106"/>
      <c r="Y6" s="106"/>
      <c r="Z6" s="106"/>
      <c r="AA6" s="106"/>
      <c r="AB6" s="106"/>
      <c r="AC6" s="104"/>
      <c r="AD6" s="104"/>
      <c r="AE6" s="428"/>
      <c r="AF6" s="428"/>
      <c r="AG6" s="107"/>
      <c r="AH6" s="105"/>
      <c r="AI6" s="105"/>
      <c r="AJ6" s="105"/>
      <c r="AK6" s="105"/>
      <c r="AL6" s="105"/>
      <c r="AM6" s="105"/>
      <c r="AO6" s="207" t="s">
        <v>1318</v>
      </c>
      <c r="AP6" s="207" t="s">
        <v>2206</v>
      </c>
    </row>
    <row r="7" spans="1:42" ht="24" customHeight="1">
      <c r="A7" s="330">
        <v>259117</v>
      </c>
      <c r="B7" s="331"/>
      <c r="C7" s="88"/>
      <c r="D7" s="294" t="s">
        <v>98</v>
      </c>
      <c r="E7" s="295">
        <v>0</v>
      </c>
      <c r="F7" s="429" t="s">
        <v>2347</v>
      </c>
      <c r="G7" s="430" t="s">
        <v>372</v>
      </c>
      <c r="H7" s="431" t="s">
        <v>98</v>
      </c>
      <c r="I7" s="431" t="s">
        <v>98</v>
      </c>
      <c r="J7" s="89">
        <v>0</v>
      </c>
      <c r="K7" s="430" t="s">
        <v>109</v>
      </c>
      <c r="L7" s="90">
        <v>1</v>
      </c>
      <c r="M7" s="91"/>
      <c r="N7" s="92"/>
      <c r="O7" s="93"/>
      <c r="P7" s="505"/>
      <c r="Q7" s="505"/>
      <c r="R7" s="211"/>
      <c r="S7" s="211"/>
      <c r="T7" s="505"/>
      <c r="U7" s="505"/>
      <c r="V7" s="101"/>
      <c r="W7" s="97"/>
      <c r="X7" s="97"/>
      <c r="Y7" s="97"/>
      <c r="Z7" s="97"/>
      <c r="AA7" s="97"/>
      <c r="AB7" s="97"/>
      <c r="AC7" s="104"/>
      <c r="AD7" s="104"/>
      <c r="AE7" s="104"/>
      <c r="AF7" s="104"/>
      <c r="AG7" s="104"/>
      <c r="AH7" s="104"/>
      <c r="AI7" s="104"/>
      <c r="AJ7" s="104"/>
      <c r="AK7" s="104"/>
      <c r="AL7" s="104"/>
      <c r="AM7" s="104"/>
      <c r="AO7" s="208">
        <v>0.99999999999999956</v>
      </c>
      <c r="AP7" s="209">
        <v>869.46004215850644</v>
      </c>
    </row>
    <row r="8" spans="1:42" outlineLevel="1">
      <c r="A8" s="330">
        <v>269295</v>
      </c>
      <c r="B8" s="331" t="s">
        <v>2208</v>
      </c>
      <c r="C8" s="88"/>
      <c r="D8" s="340">
        <v>4</v>
      </c>
      <c r="E8" s="341" t="s">
        <v>98</v>
      </c>
      <c r="F8" s="432" t="s">
        <v>239</v>
      </c>
      <c r="G8" s="433" t="s">
        <v>93</v>
      </c>
      <c r="H8" s="434" t="s">
        <v>98</v>
      </c>
      <c r="I8" s="434" t="s">
        <v>98</v>
      </c>
      <c r="J8" s="94">
        <v>0</v>
      </c>
      <c r="K8" s="433" t="s">
        <v>96</v>
      </c>
      <c r="L8" s="1244">
        <v>3.8502673796791442</v>
      </c>
      <c r="M8" s="95">
        <v>1</v>
      </c>
      <c r="N8" s="96">
        <v>1.0906744032152329</v>
      </c>
      <c r="O8" s="432" t="s">
        <v>2269</v>
      </c>
      <c r="P8" s="505"/>
      <c r="Q8" s="505"/>
      <c r="R8" s="211"/>
      <c r="S8" s="211"/>
      <c r="V8" s="77" t="s">
        <v>2211</v>
      </c>
      <c r="W8" s="339">
        <v>2</v>
      </c>
      <c r="X8" s="339">
        <v>2</v>
      </c>
      <c r="Y8" s="339">
        <v>1</v>
      </c>
      <c r="Z8" s="339">
        <v>1</v>
      </c>
      <c r="AA8" s="339">
        <v>1</v>
      </c>
      <c r="AB8" s="339">
        <v>3</v>
      </c>
      <c r="AC8" s="104">
        <v>3</v>
      </c>
      <c r="AD8" s="104">
        <v>1.05</v>
      </c>
      <c r="AE8" s="107">
        <v>1.0744244531716256</v>
      </c>
      <c r="AF8" s="107">
        <v>1.0906744032152329</v>
      </c>
      <c r="AG8" s="107" t="s">
        <v>2270</v>
      </c>
      <c r="AH8" s="108">
        <v>1.05</v>
      </c>
      <c r="AI8" s="108">
        <v>1.02</v>
      </c>
      <c r="AJ8" s="108">
        <v>1</v>
      </c>
      <c r="AK8" s="108">
        <v>1</v>
      </c>
      <c r="AL8" s="108">
        <v>1</v>
      </c>
      <c r="AM8" s="108">
        <v>1.05</v>
      </c>
    </row>
    <row r="9" spans="1:42" ht="24" customHeight="1" outlineLevel="1">
      <c r="A9" s="330">
        <v>265763</v>
      </c>
      <c r="B9" s="331"/>
      <c r="C9" s="88"/>
      <c r="D9" s="340">
        <v>5</v>
      </c>
      <c r="E9" s="341" t="s">
        <v>98</v>
      </c>
      <c r="F9" s="432" t="s">
        <v>488</v>
      </c>
      <c r="G9" s="433" t="s">
        <v>372</v>
      </c>
      <c r="H9" s="434" t="s">
        <v>98</v>
      </c>
      <c r="I9" s="434" t="s">
        <v>98</v>
      </c>
      <c r="J9" s="94">
        <v>0</v>
      </c>
      <c r="K9" s="433" t="s">
        <v>96</v>
      </c>
      <c r="L9" s="435">
        <v>3.3074819343050094E-3</v>
      </c>
      <c r="M9" s="95">
        <v>1</v>
      </c>
      <c r="N9" s="96">
        <v>1.0906744032152329</v>
      </c>
      <c r="O9" s="432" t="s">
        <v>3098</v>
      </c>
      <c r="P9" s="505"/>
      <c r="Q9" s="505"/>
      <c r="R9" s="211"/>
      <c r="S9" s="211"/>
      <c r="V9" s="77" t="s">
        <v>2213</v>
      </c>
      <c r="W9" s="339">
        <v>2</v>
      </c>
      <c r="X9" s="339">
        <v>2</v>
      </c>
      <c r="Y9" s="339">
        <v>1</v>
      </c>
      <c r="Z9" s="339">
        <v>1</v>
      </c>
      <c r="AA9" s="339">
        <v>1</v>
      </c>
      <c r="AB9" s="339">
        <v>3</v>
      </c>
      <c r="AC9" s="104">
        <v>3</v>
      </c>
      <c r="AD9" s="104">
        <v>1.05</v>
      </c>
      <c r="AE9" s="107">
        <v>1.0744244531716256</v>
      </c>
      <c r="AF9" s="107">
        <v>1.0906744032152329</v>
      </c>
      <c r="AG9" s="107" t="s">
        <v>2270</v>
      </c>
      <c r="AH9" s="108">
        <v>1.05</v>
      </c>
      <c r="AI9" s="108">
        <v>1.02</v>
      </c>
      <c r="AJ9" s="108">
        <v>1</v>
      </c>
      <c r="AK9" s="108">
        <v>1</v>
      </c>
      <c r="AL9" s="108">
        <v>1</v>
      </c>
      <c r="AM9" s="108">
        <v>1.05</v>
      </c>
    </row>
    <row r="10" spans="1:42" ht="24" customHeight="1" outlineLevel="1">
      <c r="A10" s="330">
        <v>269349</v>
      </c>
      <c r="B10" s="331"/>
      <c r="C10" s="88"/>
      <c r="D10" s="340">
        <v>5</v>
      </c>
      <c r="E10" s="341" t="s">
        <v>98</v>
      </c>
      <c r="F10" s="432" t="s">
        <v>1226</v>
      </c>
      <c r="G10" s="433" t="s">
        <v>103</v>
      </c>
      <c r="H10" s="434" t="s">
        <v>98</v>
      </c>
      <c r="I10" s="434" t="s">
        <v>98</v>
      </c>
      <c r="J10" s="94">
        <v>0</v>
      </c>
      <c r="K10" s="433" t="s">
        <v>119</v>
      </c>
      <c r="L10" s="435">
        <v>2.9767337408745084E-6</v>
      </c>
      <c r="M10" s="95">
        <v>1</v>
      </c>
      <c r="N10" s="96">
        <v>1.0906744032152329</v>
      </c>
      <c r="O10" s="432" t="s">
        <v>3098</v>
      </c>
      <c r="P10" s="505"/>
      <c r="Q10" s="505"/>
      <c r="R10" s="211"/>
      <c r="S10" s="211"/>
      <c r="V10" s="77" t="s">
        <v>2213</v>
      </c>
      <c r="W10" s="339">
        <v>2</v>
      </c>
      <c r="X10" s="339">
        <v>2</v>
      </c>
      <c r="Y10" s="339">
        <v>1</v>
      </c>
      <c r="Z10" s="339">
        <v>1</v>
      </c>
      <c r="AA10" s="339">
        <v>1</v>
      </c>
      <c r="AB10" s="339">
        <v>3</v>
      </c>
      <c r="AC10" s="104">
        <v>6</v>
      </c>
      <c r="AD10" s="104">
        <v>1.05</v>
      </c>
      <c r="AE10" s="107">
        <v>1.0744244531716256</v>
      </c>
      <c r="AF10" s="107">
        <v>1.0906744032152329</v>
      </c>
      <c r="AG10" s="107" t="s">
        <v>2270</v>
      </c>
      <c r="AH10" s="108">
        <v>1.05</v>
      </c>
      <c r="AI10" s="108">
        <v>1.02</v>
      </c>
      <c r="AJ10" s="108">
        <v>1</v>
      </c>
      <c r="AK10" s="108">
        <v>1</v>
      </c>
      <c r="AL10" s="108">
        <v>1</v>
      </c>
      <c r="AM10" s="108">
        <v>1.05</v>
      </c>
    </row>
    <row r="11" spans="1:42" ht="24" customHeight="1" outlineLevel="1">
      <c r="A11" s="330" t="s">
        <v>1831</v>
      </c>
      <c r="B11" s="331"/>
      <c r="C11" s="88"/>
      <c r="D11" s="340">
        <v>5</v>
      </c>
      <c r="E11" s="341" t="s">
        <v>98</v>
      </c>
      <c r="F11" s="432" t="s">
        <v>1836</v>
      </c>
      <c r="G11" s="433" t="s">
        <v>154</v>
      </c>
      <c r="H11" s="434" t="s">
        <v>98</v>
      </c>
      <c r="I11" s="434" t="s">
        <v>98</v>
      </c>
      <c r="J11" s="94">
        <v>1</v>
      </c>
      <c r="K11" s="433" t="s">
        <v>144</v>
      </c>
      <c r="L11" s="435">
        <v>7.77321893912832E-10</v>
      </c>
      <c r="M11" s="95">
        <v>1</v>
      </c>
      <c r="N11" s="96">
        <v>1.2164594125584303</v>
      </c>
      <c r="O11" s="432" t="s">
        <v>3168</v>
      </c>
      <c r="P11" s="213" t="s">
        <v>2039</v>
      </c>
      <c r="Q11" s="516" t="s">
        <v>2214</v>
      </c>
      <c r="R11" s="211">
        <v>250</v>
      </c>
      <c r="S11" s="510">
        <v>0.22616666666666699</v>
      </c>
      <c r="T11" s="212">
        <v>1105.3795136330125</v>
      </c>
      <c r="V11" s="77" t="s">
        <v>2289</v>
      </c>
      <c r="W11" s="339">
        <v>2</v>
      </c>
      <c r="X11" s="339">
        <v>2</v>
      </c>
      <c r="Y11" s="339">
        <v>1</v>
      </c>
      <c r="Z11" s="339">
        <v>1</v>
      </c>
      <c r="AA11" s="339">
        <v>1</v>
      </c>
      <c r="AB11" s="339">
        <v>3</v>
      </c>
      <c r="AC11" s="104">
        <v>9</v>
      </c>
      <c r="AD11" s="104">
        <v>1.2</v>
      </c>
      <c r="AE11" s="107">
        <v>1.0744244531716256</v>
      </c>
      <c r="AF11" s="107">
        <v>1.2164594125584303</v>
      </c>
      <c r="AG11" s="107" t="s">
        <v>2270</v>
      </c>
      <c r="AH11" s="108">
        <v>1.05</v>
      </c>
      <c r="AI11" s="108">
        <v>1.02</v>
      </c>
      <c r="AJ11" s="108">
        <v>1</v>
      </c>
      <c r="AK11" s="108">
        <v>1</v>
      </c>
      <c r="AL11" s="108">
        <v>1</v>
      </c>
      <c r="AM11" s="108">
        <v>1.05</v>
      </c>
      <c r="AO11" s="208">
        <v>5.2865458584960704E-3</v>
      </c>
      <c r="AP11" s="209">
        <v>906.79651075395179</v>
      </c>
    </row>
    <row r="12" spans="1:42" ht="24" customHeight="1" outlineLevel="1">
      <c r="A12" s="330" t="s">
        <v>1946</v>
      </c>
      <c r="B12" s="331"/>
      <c r="C12" s="88"/>
      <c r="D12" s="340">
        <v>5</v>
      </c>
      <c r="E12" s="341" t="s">
        <v>98</v>
      </c>
      <c r="F12" s="432" t="s">
        <v>1940</v>
      </c>
      <c r="G12" s="433" t="s">
        <v>154</v>
      </c>
      <c r="H12" s="434" t="s">
        <v>98</v>
      </c>
      <c r="I12" s="434" t="s">
        <v>98</v>
      </c>
      <c r="J12" s="94">
        <v>1</v>
      </c>
      <c r="K12" s="433" t="s">
        <v>144</v>
      </c>
      <c r="L12" s="435">
        <v>1.6727179995592599E-10</v>
      </c>
      <c r="M12" s="95">
        <v>1</v>
      </c>
      <c r="N12" s="96">
        <v>1.2164594125584303</v>
      </c>
      <c r="O12" s="432" t="s">
        <v>3168</v>
      </c>
      <c r="P12" s="213" t="s">
        <v>2039</v>
      </c>
      <c r="Q12" s="505" t="s">
        <v>4</v>
      </c>
      <c r="R12" s="211">
        <v>250</v>
      </c>
      <c r="S12" s="510">
        <v>0.18</v>
      </c>
      <c r="T12" s="212">
        <v>1388.8888888888889</v>
      </c>
      <c r="V12" s="77" t="s">
        <v>2289</v>
      </c>
      <c r="W12" s="339">
        <v>2</v>
      </c>
      <c r="X12" s="339">
        <v>2</v>
      </c>
      <c r="Y12" s="339">
        <v>1</v>
      </c>
      <c r="Z12" s="339">
        <v>1</v>
      </c>
      <c r="AA12" s="339">
        <v>1</v>
      </c>
      <c r="AB12" s="339">
        <v>3</v>
      </c>
      <c r="AC12" s="104">
        <v>9</v>
      </c>
      <c r="AD12" s="104">
        <v>1.2</v>
      </c>
      <c r="AE12" s="107">
        <v>1.0744244531716256</v>
      </c>
      <c r="AF12" s="107">
        <v>1.2164594125584303</v>
      </c>
      <c r="AG12" s="107" t="s">
        <v>2270</v>
      </c>
      <c r="AH12" s="108">
        <v>1.05</v>
      </c>
      <c r="AI12" s="108">
        <v>1.02</v>
      </c>
      <c r="AJ12" s="108">
        <v>1</v>
      </c>
      <c r="AK12" s="108">
        <v>1</v>
      </c>
      <c r="AL12" s="108">
        <v>1</v>
      </c>
      <c r="AM12" s="108">
        <v>1.05</v>
      </c>
      <c r="AO12" s="208">
        <v>1.13761113410675E-3</v>
      </c>
      <c r="AP12" s="209">
        <v>906.79651075395157</v>
      </c>
    </row>
    <row r="13" spans="1:42" ht="24" customHeight="1" outlineLevel="1">
      <c r="A13" s="330" t="s">
        <v>1830</v>
      </c>
      <c r="B13" s="331"/>
      <c r="C13" s="88"/>
      <c r="D13" s="340">
        <v>5</v>
      </c>
      <c r="E13" s="341" t="s">
        <v>98</v>
      </c>
      <c r="F13" s="432" t="s">
        <v>1835</v>
      </c>
      <c r="G13" s="433" t="s">
        <v>154</v>
      </c>
      <c r="H13" s="434" t="s">
        <v>98</v>
      </c>
      <c r="I13" s="434" t="s">
        <v>98</v>
      </c>
      <c r="J13" s="94">
        <v>1</v>
      </c>
      <c r="K13" s="433" t="s">
        <v>144</v>
      </c>
      <c r="L13" s="435">
        <v>1.2955364898547199E-8</v>
      </c>
      <c r="M13" s="95">
        <v>1</v>
      </c>
      <c r="N13" s="96">
        <v>1.2164594125584303</v>
      </c>
      <c r="O13" s="432" t="s">
        <v>3168</v>
      </c>
      <c r="P13" s="213" t="s">
        <v>2039</v>
      </c>
      <c r="Q13" s="516" t="s">
        <v>2214</v>
      </c>
      <c r="R13" s="211">
        <v>250</v>
      </c>
      <c r="S13" s="510">
        <v>0.22616666666666699</v>
      </c>
      <c r="T13" s="212">
        <v>1105.3795136330125</v>
      </c>
      <c r="V13" s="77" t="s">
        <v>2289</v>
      </c>
      <c r="W13" s="339">
        <v>2</v>
      </c>
      <c r="X13" s="339">
        <v>2</v>
      </c>
      <c r="Y13" s="339">
        <v>1</v>
      </c>
      <c r="Z13" s="339">
        <v>1</v>
      </c>
      <c r="AA13" s="339">
        <v>1</v>
      </c>
      <c r="AB13" s="339">
        <v>3</v>
      </c>
      <c r="AC13" s="104">
        <v>9</v>
      </c>
      <c r="AD13" s="104">
        <v>1.2</v>
      </c>
      <c r="AE13" s="107">
        <v>1.0744244531716256</v>
      </c>
      <c r="AF13" s="107">
        <v>1.2164594125584303</v>
      </c>
      <c r="AG13" s="107" t="s">
        <v>2270</v>
      </c>
      <c r="AH13" s="108">
        <v>1.05</v>
      </c>
      <c r="AI13" s="108">
        <v>1.02</v>
      </c>
      <c r="AJ13" s="108">
        <v>1</v>
      </c>
      <c r="AK13" s="108">
        <v>1</v>
      </c>
      <c r="AL13" s="108">
        <v>1</v>
      </c>
      <c r="AM13" s="108">
        <v>1.05</v>
      </c>
      <c r="AO13" s="208">
        <v>8.81090976416012E-2</v>
      </c>
      <c r="AP13" s="209">
        <v>906.79651075395191</v>
      </c>
    </row>
    <row r="14" spans="1:42" ht="24" customHeight="1" outlineLevel="1">
      <c r="A14" s="330" t="s">
        <v>1945</v>
      </c>
      <c r="B14" s="331"/>
      <c r="C14" s="88"/>
      <c r="D14" s="340">
        <v>5</v>
      </c>
      <c r="E14" s="341" t="s">
        <v>98</v>
      </c>
      <c r="F14" s="432" t="s">
        <v>1939</v>
      </c>
      <c r="G14" s="433" t="s">
        <v>154</v>
      </c>
      <c r="H14" s="434" t="s">
        <v>98</v>
      </c>
      <c r="I14" s="434" t="s">
        <v>98</v>
      </c>
      <c r="J14" s="94">
        <v>1</v>
      </c>
      <c r="K14" s="433" t="s">
        <v>144</v>
      </c>
      <c r="L14" s="435">
        <v>2.7878633325987604E-9</v>
      </c>
      <c r="M14" s="95">
        <v>1</v>
      </c>
      <c r="N14" s="96">
        <v>1.2164594125584303</v>
      </c>
      <c r="O14" s="432" t="s">
        <v>3168</v>
      </c>
      <c r="P14" s="213" t="s">
        <v>2039</v>
      </c>
      <c r="Q14" s="505" t="s">
        <v>4</v>
      </c>
      <c r="R14" s="211">
        <v>250</v>
      </c>
      <c r="S14" s="510">
        <v>0.18</v>
      </c>
      <c r="T14" s="212">
        <v>1388.8888888888889</v>
      </c>
      <c r="V14" s="77" t="s">
        <v>2289</v>
      </c>
      <c r="W14" s="339">
        <v>2</v>
      </c>
      <c r="X14" s="339">
        <v>2</v>
      </c>
      <c r="Y14" s="339">
        <v>1</v>
      </c>
      <c r="Z14" s="339">
        <v>1</v>
      </c>
      <c r="AA14" s="339">
        <v>1</v>
      </c>
      <c r="AB14" s="339">
        <v>3</v>
      </c>
      <c r="AC14" s="104">
        <v>9</v>
      </c>
      <c r="AD14" s="104">
        <v>1.2</v>
      </c>
      <c r="AE14" s="107">
        <v>1.0744244531716256</v>
      </c>
      <c r="AF14" s="107">
        <v>1.2164594125584303</v>
      </c>
      <c r="AG14" s="107" t="s">
        <v>2270</v>
      </c>
      <c r="AH14" s="108">
        <v>1.05</v>
      </c>
      <c r="AI14" s="108">
        <v>1.02</v>
      </c>
      <c r="AJ14" s="108">
        <v>1</v>
      </c>
      <c r="AK14" s="108">
        <v>1</v>
      </c>
      <c r="AL14" s="108">
        <v>1</v>
      </c>
      <c r="AM14" s="108">
        <v>1.05</v>
      </c>
      <c r="AO14" s="208">
        <v>1.8960185568445798E-2</v>
      </c>
      <c r="AP14" s="209">
        <v>906.79651075395179</v>
      </c>
    </row>
    <row r="15" spans="1:42" ht="24" customHeight="1" outlineLevel="1">
      <c r="A15" s="330" t="s">
        <v>1947</v>
      </c>
      <c r="B15" s="331"/>
      <c r="C15" s="88"/>
      <c r="D15" s="340">
        <v>5</v>
      </c>
      <c r="E15" s="341" t="s">
        <v>98</v>
      </c>
      <c r="F15" s="432" t="s">
        <v>1941</v>
      </c>
      <c r="G15" s="433" t="s">
        <v>154</v>
      </c>
      <c r="H15" s="434" t="s">
        <v>98</v>
      </c>
      <c r="I15" s="434" t="s">
        <v>98</v>
      </c>
      <c r="J15" s="94">
        <v>1</v>
      </c>
      <c r="K15" s="433" t="s">
        <v>144</v>
      </c>
      <c r="L15" s="435">
        <v>2.5090769993388801E-9</v>
      </c>
      <c r="M15" s="95">
        <v>1</v>
      </c>
      <c r="N15" s="96">
        <v>1.2164594125584303</v>
      </c>
      <c r="O15" s="432" t="s">
        <v>3168</v>
      </c>
      <c r="P15" s="213" t="s">
        <v>2039</v>
      </c>
      <c r="Q15" s="505" t="s">
        <v>4</v>
      </c>
      <c r="R15" s="211">
        <v>250</v>
      </c>
      <c r="S15" s="510">
        <v>0.18</v>
      </c>
      <c r="T15" s="212">
        <v>1388.8888888888889</v>
      </c>
      <c r="V15" s="77" t="s">
        <v>2289</v>
      </c>
      <c r="W15" s="339">
        <v>2</v>
      </c>
      <c r="X15" s="339">
        <v>2</v>
      </c>
      <c r="Y15" s="339">
        <v>1</v>
      </c>
      <c r="Z15" s="339">
        <v>1</v>
      </c>
      <c r="AA15" s="339">
        <v>1</v>
      </c>
      <c r="AB15" s="339">
        <v>3</v>
      </c>
      <c r="AC15" s="104">
        <v>9</v>
      </c>
      <c r="AD15" s="104">
        <v>1.2</v>
      </c>
      <c r="AE15" s="107">
        <v>1.0744244531716256</v>
      </c>
      <c r="AF15" s="107">
        <v>1.2164594125584303</v>
      </c>
      <c r="AG15" s="107" t="s">
        <v>2270</v>
      </c>
      <c r="AH15" s="108">
        <v>1.05</v>
      </c>
      <c r="AI15" s="108">
        <v>1.02</v>
      </c>
      <c r="AJ15" s="108">
        <v>1</v>
      </c>
      <c r="AK15" s="108">
        <v>1</v>
      </c>
      <c r="AL15" s="108">
        <v>1</v>
      </c>
      <c r="AM15" s="108">
        <v>1.05</v>
      </c>
      <c r="AO15" s="208">
        <v>1.7064167011601201E-2</v>
      </c>
      <c r="AP15" s="209">
        <v>906.79651075395248</v>
      </c>
    </row>
    <row r="16" spans="1:42" ht="24" customHeight="1" outlineLevel="1">
      <c r="A16" s="330" t="s">
        <v>1832</v>
      </c>
      <c r="B16" s="331"/>
      <c r="C16" s="88"/>
      <c r="D16" s="340">
        <v>5</v>
      </c>
      <c r="E16" s="341" t="s">
        <v>98</v>
      </c>
      <c r="F16" s="432" t="s">
        <v>1837</v>
      </c>
      <c r="G16" s="433" t="s">
        <v>154</v>
      </c>
      <c r="H16" s="434" t="s">
        <v>98</v>
      </c>
      <c r="I16" s="434" t="s">
        <v>98</v>
      </c>
      <c r="J16" s="94">
        <v>1</v>
      </c>
      <c r="K16" s="433" t="s">
        <v>144</v>
      </c>
      <c r="L16" s="435">
        <v>1.16598284086925E-8</v>
      </c>
      <c r="M16" s="95">
        <v>1</v>
      </c>
      <c r="N16" s="96">
        <v>1.2164594125584303</v>
      </c>
      <c r="O16" s="432" t="s">
        <v>3168</v>
      </c>
      <c r="P16" s="213" t="s">
        <v>2039</v>
      </c>
      <c r="Q16" s="516" t="s">
        <v>2214</v>
      </c>
      <c r="R16" s="211">
        <v>250</v>
      </c>
      <c r="S16" s="510">
        <v>0.22616666666666699</v>
      </c>
      <c r="T16" s="212">
        <v>1105.3795136330125</v>
      </c>
      <c r="V16" s="77" t="s">
        <v>2289</v>
      </c>
      <c r="W16" s="339">
        <v>2</v>
      </c>
      <c r="X16" s="339">
        <v>2</v>
      </c>
      <c r="Y16" s="339">
        <v>1</v>
      </c>
      <c r="Z16" s="339">
        <v>1</v>
      </c>
      <c r="AA16" s="339">
        <v>1</v>
      </c>
      <c r="AB16" s="339">
        <v>3</v>
      </c>
      <c r="AC16" s="104">
        <v>9</v>
      </c>
      <c r="AD16" s="104">
        <v>1.2</v>
      </c>
      <c r="AE16" s="107">
        <v>1.0744244531716256</v>
      </c>
      <c r="AF16" s="107">
        <v>1.2164594125584303</v>
      </c>
      <c r="AG16" s="107" t="s">
        <v>2270</v>
      </c>
      <c r="AH16" s="108">
        <v>1.05</v>
      </c>
      <c r="AI16" s="108">
        <v>1.02</v>
      </c>
      <c r="AJ16" s="108">
        <v>1</v>
      </c>
      <c r="AK16" s="108">
        <v>1</v>
      </c>
      <c r="AL16" s="108">
        <v>1</v>
      </c>
      <c r="AM16" s="108">
        <v>1.05</v>
      </c>
      <c r="AO16" s="208">
        <v>7.9298187877441098E-2</v>
      </c>
      <c r="AP16" s="209">
        <v>906.79651075395054</v>
      </c>
    </row>
    <row r="17" spans="1:42" ht="24" customHeight="1" outlineLevel="1">
      <c r="A17" s="330" t="s">
        <v>1833</v>
      </c>
      <c r="B17" s="331"/>
      <c r="C17" s="88"/>
      <c r="D17" s="340">
        <v>5</v>
      </c>
      <c r="E17" s="341" t="s">
        <v>98</v>
      </c>
      <c r="F17" s="432" t="s">
        <v>1838</v>
      </c>
      <c r="G17" s="433" t="s">
        <v>154</v>
      </c>
      <c r="H17" s="434" t="s">
        <v>98</v>
      </c>
      <c r="I17" s="434" t="s">
        <v>98</v>
      </c>
      <c r="J17" s="94">
        <v>1</v>
      </c>
      <c r="K17" s="433" t="s">
        <v>144</v>
      </c>
      <c r="L17" s="435">
        <v>1.7614122457602902E-9</v>
      </c>
      <c r="M17" s="95">
        <v>1</v>
      </c>
      <c r="N17" s="96">
        <v>1.2164594125584303</v>
      </c>
      <c r="O17" s="432" t="s">
        <v>3168</v>
      </c>
      <c r="P17" s="213" t="s">
        <v>2041</v>
      </c>
      <c r="Q17" s="516" t="s">
        <v>2214</v>
      </c>
      <c r="R17" s="211">
        <v>10000</v>
      </c>
      <c r="S17" s="510">
        <v>0.22616666666666699</v>
      </c>
      <c r="T17" s="212">
        <v>44215.180545320494</v>
      </c>
      <c r="V17" s="77" t="s">
        <v>2289</v>
      </c>
      <c r="W17" s="339">
        <v>2</v>
      </c>
      <c r="X17" s="339">
        <v>2</v>
      </c>
      <c r="Y17" s="339">
        <v>1</v>
      </c>
      <c r="Z17" s="339">
        <v>1</v>
      </c>
      <c r="AA17" s="339">
        <v>1</v>
      </c>
      <c r="AB17" s="339">
        <v>3</v>
      </c>
      <c r="AC17" s="104">
        <v>9</v>
      </c>
      <c r="AD17" s="104">
        <v>1.2</v>
      </c>
      <c r="AE17" s="107">
        <v>1.0744244531716256</v>
      </c>
      <c r="AF17" s="107">
        <v>1.2164594125584303</v>
      </c>
      <c r="AG17" s="107" t="s">
        <v>2270</v>
      </c>
      <c r="AH17" s="108">
        <v>1.05</v>
      </c>
      <c r="AI17" s="108">
        <v>1.02</v>
      </c>
      <c r="AJ17" s="108">
        <v>1</v>
      </c>
      <c r="AK17" s="108">
        <v>1</v>
      </c>
      <c r="AL17" s="108">
        <v>1</v>
      </c>
      <c r="AM17" s="108">
        <v>1.05</v>
      </c>
      <c r="AO17" s="208">
        <v>0.508050887546876</v>
      </c>
      <c r="AP17" s="209">
        <v>961.44611380205799</v>
      </c>
    </row>
    <row r="18" spans="1:42" ht="24" customHeight="1" outlineLevel="1">
      <c r="A18" s="330" t="s">
        <v>1948</v>
      </c>
      <c r="B18" s="331"/>
      <c r="C18" s="88"/>
      <c r="D18" s="340">
        <v>5</v>
      </c>
      <c r="E18" s="341" t="s">
        <v>98</v>
      </c>
      <c r="F18" s="432" t="s">
        <v>1942</v>
      </c>
      <c r="G18" s="433" t="s">
        <v>154</v>
      </c>
      <c r="H18" s="434" t="s">
        <v>98</v>
      </c>
      <c r="I18" s="434" t="s">
        <v>98</v>
      </c>
      <c r="J18" s="94">
        <v>1</v>
      </c>
      <c r="K18" s="433" t="s">
        <v>144</v>
      </c>
      <c r="L18" s="435">
        <v>3.7903807820158103E-10</v>
      </c>
      <c r="M18" s="95">
        <v>1</v>
      </c>
      <c r="N18" s="96">
        <v>1.2164594125584303</v>
      </c>
      <c r="O18" s="432" t="s">
        <v>3168</v>
      </c>
      <c r="P18" s="213" t="s">
        <v>2041</v>
      </c>
      <c r="Q18" s="505" t="s">
        <v>4</v>
      </c>
      <c r="R18" s="211">
        <v>10000</v>
      </c>
      <c r="S18" s="510">
        <v>0.18</v>
      </c>
      <c r="T18" s="212">
        <v>55555.555555555555</v>
      </c>
      <c r="V18" s="77" t="s">
        <v>2289</v>
      </c>
      <c r="W18" s="339">
        <v>2</v>
      </c>
      <c r="X18" s="339">
        <v>2</v>
      </c>
      <c r="Y18" s="339">
        <v>1</v>
      </c>
      <c r="Z18" s="339">
        <v>1</v>
      </c>
      <c r="AA18" s="339">
        <v>1</v>
      </c>
      <c r="AB18" s="339">
        <v>3</v>
      </c>
      <c r="AC18" s="104">
        <v>9</v>
      </c>
      <c r="AD18" s="104">
        <v>1.2</v>
      </c>
      <c r="AE18" s="107">
        <v>1.0744244531716256</v>
      </c>
      <c r="AF18" s="107">
        <v>1.2164594125584303</v>
      </c>
      <c r="AG18" s="107" t="s">
        <v>2270</v>
      </c>
      <c r="AH18" s="108">
        <v>1.05</v>
      </c>
      <c r="AI18" s="108">
        <v>1.02</v>
      </c>
      <c r="AJ18" s="108">
        <v>1</v>
      </c>
      <c r="AK18" s="108">
        <v>1</v>
      </c>
      <c r="AL18" s="108">
        <v>1</v>
      </c>
      <c r="AM18" s="108">
        <v>1.05</v>
      </c>
      <c r="AO18" s="208">
        <v>0.109327406180973</v>
      </c>
      <c r="AP18" s="209">
        <v>961.4461138020564</v>
      </c>
    </row>
    <row r="19" spans="1:42" ht="24" customHeight="1" outlineLevel="1">
      <c r="A19" s="330" t="s">
        <v>2016</v>
      </c>
      <c r="B19" s="331"/>
      <c r="C19" s="88"/>
      <c r="D19" s="340">
        <v>5</v>
      </c>
      <c r="E19" s="341" t="s">
        <v>98</v>
      </c>
      <c r="F19" s="432" t="s">
        <v>2009</v>
      </c>
      <c r="G19" s="433" t="s">
        <v>154</v>
      </c>
      <c r="H19" s="434" t="s">
        <v>98</v>
      </c>
      <c r="I19" s="434" t="s">
        <v>98</v>
      </c>
      <c r="J19" s="94">
        <v>1</v>
      </c>
      <c r="K19" s="433" t="s">
        <v>144</v>
      </c>
      <c r="L19" s="435">
        <v>8.9185430165078098E-11</v>
      </c>
      <c r="M19" s="95">
        <v>1</v>
      </c>
      <c r="N19" s="96">
        <v>1.2164594125584303</v>
      </c>
      <c r="O19" s="432" t="s">
        <v>3168</v>
      </c>
      <c r="P19" s="213" t="s">
        <v>2041</v>
      </c>
      <c r="Q19" s="505" t="s">
        <v>2087</v>
      </c>
      <c r="R19" s="211">
        <v>10000</v>
      </c>
      <c r="S19" s="510">
        <v>0.184</v>
      </c>
      <c r="T19" s="212">
        <v>54347.82608695652</v>
      </c>
      <c r="V19" s="77" t="s">
        <v>2289</v>
      </c>
      <c r="W19" s="339">
        <v>2</v>
      </c>
      <c r="X19" s="339">
        <v>2</v>
      </c>
      <c r="Y19" s="339">
        <v>1</v>
      </c>
      <c r="Z19" s="339">
        <v>1</v>
      </c>
      <c r="AA19" s="339">
        <v>1</v>
      </c>
      <c r="AB19" s="339">
        <v>3</v>
      </c>
      <c r="AC19" s="104">
        <v>9</v>
      </c>
      <c r="AD19" s="104">
        <v>1.2</v>
      </c>
      <c r="AE19" s="107">
        <v>1.0744244531716256</v>
      </c>
      <c r="AF19" s="107">
        <v>1.2164594125584303</v>
      </c>
      <c r="AG19" s="107" t="s">
        <v>2270</v>
      </c>
      <c r="AH19" s="108">
        <v>1.05</v>
      </c>
      <c r="AI19" s="108">
        <v>1.02</v>
      </c>
      <c r="AJ19" s="108">
        <v>1</v>
      </c>
      <c r="AK19" s="108">
        <v>1</v>
      </c>
      <c r="AL19" s="108">
        <v>1</v>
      </c>
      <c r="AM19" s="108">
        <v>1.05</v>
      </c>
      <c r="AO19" s="208">
        <v>2.5724095571993701E-2</v>
      </c>
      <c r="AP19" s="209"/>
    </row>
    <row r="20" spans="1:42" ht="24" customHeight="1" outlineLevel="1">
      <c r="A20" s="330" t="s">
        <v>1994</v>
      </c>
      <c r="B20" s="331"/>
      <c r="C20" s="88"/>
      <c r="D20" s="340">
        <v>5</v>
      </c>
      <c r="E20" s="341" t="s">
        <v>98</v>
      </c>
      <c r="F20" s="432" t="s">
        <v>1989</v>
      </c>
      <c r="G20" s="433" t="s">
        <v>372</v>
      </c>
      <c r="H20" s="434" t="s">
        <v>98</v>
      </c>
      <c r="I20" s="434" t="s">
        <v>98</v>
      </c>
      <c r="J20" s="94">
        <v>1</v>
      </c>
      <c r="K20" s="433" t="s">
        <v>144</v>
      </c>
      <c r="L20" s="435">
        <v>3.3188849197604402E-9</v>
      </c>
      <c r="M20" s="95">
        <v>1</v>
      </c>
      <c r="N20" s="96">
        <v>1.2164594125584303</v>
      </c>
      <c r="O20" s="432" t="s">
        <v>3168</v>
      </c>
      <c r="P20" s="505" t="s">
        <v>2040</v>
      </c>
      <c r="Q20" s="505" t="s">
        <v>4</v>
      </c>
      <c r="R20" s="211">
        <v>10</v>
      </c>
      <c r="S20" s="510">
        <v>0.18</v>
      </c>
      <c r="T20" s="212">
        <v>55.555555555555557</v>
      </c>
      <c r="V20" s="77" t="s">
        <v>2289</v>
      </c>
      <c r="W20" s="339">
        <v>2</v>
      </c>
      <c r="X20" s="339">
        <v>2</v>
      </c>
      <c r="Y20" s="339">
        <v>1</v>
      </c>
      <c r="Z20" s="339">
        <v>1</v>
      </c>
      <c r="AA20" s="339">
        <v>1</v>
      </c>
      <c r="AB20" s="339">
        <v>3</v>
      </c>
      <c r="AC20" s="104">
        <v>9</v>
      </c>
      <c r="AD20" s="104">
        <v>1.2</v>
      </c>
      <c r="AE20" s="107">
        <v>1.0744244531716256</v>
      </c>
      <c r="AF20" s="107">
        <v>1.2164594125584303</v>
      </c>
      <c r="AG20" s="107" t="s">
        <v>2270</v>
      </c>
      <c r="AH20" s="108">
        <v>1.05</v>
      </c>
      <c r="AI20" s="108">
        <v>1.02</v>
      </c>
      <c r="AJ20" s="108">
        <v>1</v>
      </c>
      <c r="AK20" s="108">
        <v>1</v>
      </c>
      <c r="AL20" s="108">
        <v>1</v>
      </c>
      <c r="AM20" s="108">
        <v>1.05</v>
      </c>
      <c r="AO20" s="208">
        <v>6.32006185614861E-4</v>
      </c>
      <c r="AP20" s="209">
        <v>634.75755752776513</v>
      </c>
    </row>
    <row r="21" spans="1:42" ht="24" customHeight="1" outlineLevel="1">
      <c r="A21" s="330" t="s">
        <v>1995</v>
      </c>
      <c r="B21" s="331"/>
      <c r="C21" s="88"/>
      <c r="D21" s="340">
        <v>5</v>
      </c>
      <c r="E21" s="341" t="s">
        <v>98</v>
      </c>
      <c r="F21" s="432" t="s">
        <v>1990</v>
      </c>
      <c r="G21" s="433" t="s">
        <v>372</v>
      </c>
      <c r="H21" s="434" t="s">
        <v>98</v>
      </c>
      <c r="I21" s="434" t="s">
        <v>98</v>
      </c>
      <c r="J21" s="94">
        <v>1</v>
      </c>
      <c r="K21" s="433" t="s">
        <v>144</v>
      </c>
      <c r="L21" s="435">
        <v>3.3188849197604402E-9</v>
      </c>
      <c r="M21" s="95">
        <v>1</v>
      </c>
      <c r="N21" s="96">
        <v>1.2164594125584303</v>
      </c>
      <c r="O21" s="432" t="s">
        <v>3168</v>
      </c>
      <c r="P21" s="505" t="s">
        <v>2040</v>
      </c>
      <c r="Q21" s="505" t="s">
        <v>4</v>
      </c>
      <c r="R21" s="211">
        <v>10</v>
      </c>
      <c r="S21" s="510">
        <v>0.18</v>
      </c>
      <c r="T21" s="212">
        <v>55.555555555555557</v>
      </c>
      <c r="V21" s="77" t="s">
        <v>2289</v>
      </c>
      <c r="W21" s="339">
        <v>2</v>
      </c>
      <c r="X21" s="339">
        <v>2</v>
      </c>
      <c r="Y21" s="339">
        <v>1</v>
      </c>
      <c r="Z21" s="339">
        <v>1</v>
      </c>
      <c r="AA21" s="339">
        <v>1</v>
      </c>
      <c r="AB21" s="339">
        <v>3</v>
      </c>
      <c r="AC21" s="104">
        <v>9</v>
      </c>
      <c r="AD21" s="104">
        <v>1.2</v>
      </c>
      <c r="AE21" s="107">
        <v>1.0744244531716256</v>
      </c>
      <c r="AF21" s="107">
        <v>1.2164594125584303</v>
      </c>
      <c r="AG21" s="107" t="s">
        <v>2270</v>
      </c>
      <c r="AH21" s="108">
        <v>1.05</v>
      </c>
      <c r="AI21" s="108">
        <v>1.02</v>
      </c>
      <c r="AJ21" s="108">
        <v>1</v>
      </c>
      <c r="AK21" s="108">
        <v>1</v>
      </c>
      <c r="AL21" s="108">
        <v>1</v>
      </c>
      <c r="AM21" s="108">
        <v>1.05</v>
      </c>
      <c r="AO21" s="208">
        <v>6.32006185614861E-4</v>
      </c>
      <c r="AP21" s="209">
        <v>634.75755752776513</v>
      </c>
    </row>
    <row r="22" spans="1:42" ht="24" customHeight="1" outlineLevel="1">
      <c r="A22" s="330" t="s">
        <v>1923</v>
      </c>
      <c r="B22" s="331"/>
      <c r="C22" s="88"/>
      <c r="D22" s="340">
        <v>5</v>
      </c>
      <c r="E22" s="341" t="s">
        <v>98</v>
      </c>
      <c r="F22" s="432" t="s">
        <v>1918</v>
      </c>
      <c r="G22" s="433" t="s">
        <v>372</v>
      </c>
      <c r="H22" s="434" t="s">
        <v>98</v>
      </c>
      <c r="I22" s="434" t="s">
        <v>98</v>
      </c>
      <c r="J22" s="94">
        <v>1</v>
      </c>
      <c r="K22" s="433" t="s">
        <v>144</v>
      </c>
      <c r="L22" s="435">
        <v>1.5423053450651501E-8</v>
      </c>
      <c r="M22" s="95">
        <v>1</v>
      </c>
      <c r="N22" s="96">
        <v>1.2164594125584303</v>
      </c>
      <c r="O22" s="432" t="s">
        <v>3168</v>
      </c>
      <c r="P22" s="505" t="s">
        <v>2040</v>
      </c>
      <c r="Q22" s="505" t="s">
        <v>2214</v>
      </c>
      <c r="R22" s="211">
        <v>10</v>
      </c>
      <c r="S22" s="510">
        <v>0.22616666666666699</v>
      </c>
      <c r="T22" s="212">
        <v>44.2151805453205</v>
      </c>
      <c r="V22" s="77" t="s">
        <v>2289</v>
      </c>
      <c r="W22" s="339">
        <v>2</v>
      </c>
      <c r="X22" s="339">
        <v>2</v>
      </c>
      <c r="Y22" s="339">
        <v>1</v>
      </c>
      <c r="Z22" s="339">
        <v>1</v>
      </c>
      <c r="AA22" s="339">
        <v>1</v>
      </c>
      <c r="AB22" s="339">
        <v>3</v>
      </c>
      <c r="AC22" s="104">
        <v>9</v>
      </c>
      <c r="AD22" s="104">
        <v>1.2</v>
      </c>
      <c r="AE22" s="107">
        <v>1.0744244531716256</v>
      </c>
      <c r="AF22" s="107">
        <v>1.2164594125584303</v>
      </c>
      <c r="AG22" s="107" t="s">
        <v>2270</v>
      </c>
      <c r="AH22" s="108">
        <v>1.05</v>
      </c>
      <c r="AI22" s="108">
        <v>1.02</v>
      </c>
      <c r="AJ22" s="108">
        <v>1</v>
      </c>
      <c r="AK22" s="108">
        <v>1</v>
      </c>
      <c r="AL22" s="108">
        <v>1</v>
      </c>
      <c r="AM22" s="108">
        <v>1.05</v>
      </c>
      <c r="AO22" s="208">
        <v>2.9369699213867102E-3</v>
      </c>
      <c r="AP22" s="209">
        <v>634.75755752776411</v>
      </c>
    </row>
    <row r="23" spans="1:42" ht="24" customHeight="1" outlineLevel="1">
      <c r="A23" s="330" t="s">
        <v>1924</v>
      </c>
      <c r="B23" s="331"/>
      <c r="C23" s="88"/>
      <c r="D23" s="340">
        <v>5</v>
      </c>
      <c r="E23" s="341" t="s">
        <v>98</v>
      </c>
      <c r="F23" s="432" t="s">
        <v>1919</v>
      </c>
      <c r="G23" s="433" t="s">
        <v>372</v>
      </c>
      <c r="H23" s="434" t="s">
        <v>98</v>
      </c>
      <c r="I23" s="434" t="s">
        <v>98</v>
      </c>
      <c r="J23" s="94">
        <v>1</v>
      </c>
      <c r="K23" s="433" t="s">
        <v>144</v>
      </c>
      <c r="L23" s="435">
        <v>1.5423053450651501E-8</v>
      </c>
      <c r="M23" s="95">
        <v>1</v>
      </c>
      <c r="N23" s="96">
        <v>1.2164594125584303</v>
      </c>
      <c r="O23" s="432" t="s">
        <v>3168</v>
      </c>
      <c r="P23" s="505" t="s">
        <v>2040</v>
      </c>
      <c r="Q23" s="505" t="s">
        <v>2214</v>
      </c>
      <c r="R23" s="211">
        <v>10</v>
      </c>
      <c r="S23" s="510">
        <v>0.22616666666666699</v>
      </c>
      <c r="T23" s="212">
        <v>44.2151805453205</v>
      </c>
      <c r="V23" s="77" t="s">
        <v>2289</v>
      </c>
      <c r="W23" s="339">
        <v>2</v>
      </c>
      <c r="X23" s="339">
        <v>2</v>
      </c>
      <c r="Y23" s="339">
        <v>1</v>
      </c>
      <c r="Z23" s="339">
        <v>1</v>
      </c>
      <c r="AA23" s="339">
        <v>1</v>
      </c>
      <c r="AB23" s="339">
        <v>3</v>
      </c>
      <c r="AC23" s="104">
        <v>9</v>
      </c>
      <c r="AD23" s="104">
        <v>1.2</v>
      </c>
      <c r="AE23" s="107">
        <v>1.0744244531716256</v>
      </c>
      <c r="AF23" s="107">
        <v>1.2164594125584303</v>
      </c>
      <c r="AG23" s="107" t="s">
        <v>2270</v>
      </c>
      <c r="AH23" s="108">
        <v>1.05</v>
      </c>
      <c r="AI23" s="108">
        <v>1.02</v>
      </c>
      <c r="AJ23" s="108">
        <v>1</v>
      </c>
      <c r="AK23" s="108">
        <v>1</v>
      </c>
      <c r="AL23" s="108">
        <v>1</v>
      </c>
      <c r="AM23" s="108">
        <v>1.05</v>
      </c>
      <c r="AO23" s="208">
        <v>2.9369699213867102E-3</v>
      </c>
      <c r="AP23" s="209">
        <v>634.75755752776411</v>
      </c>
    </row>
    <row r="24" spans="1:42" ht="24" customHeight="1" outlineLevel="1">
      <c r="A24" s="330" t="s">
        <v>1996</v>
      </c>
      <c r="B24" s="331"/>
      <c r="C24" s="88"/>
      <c r="D24" s="340">
        <v>5</v>
      </c>
      <c r="E24" s="341" t="s">
        <v>98</v>
      </c>
      <c r="F24" s="432" t="s">
        <v>1991</v>
      </c>
      <c r="G24" s="433" t="s">
        <v>372</v>
      </c>
      <c r="H24" s="434" t="s">
        <v>98</v>
      </c>
      <c r="I24" s="434" t="s">
        <v>98</v>
      </c>
      <c r="J24" s="94">
        <v>1</v>
      </c>
      <c r="K24" s="433" t="s">
        <v>144</v>
      </c>
      <c r="L24" s="435">
        <v>4.1817949988981499E-8</v>
      </c>
      <c r="M24" s="95">
        <v>1</v>
      </c>
      <c r="N24" s="96">
        <v>1.2164594125584303</v>
      </c>
      <c r="O24" s="432" t="s">
        <v>3168</v>
      </c>
      <c r="P24" s="505" t="s">
        <v>2039</v>
      </c>
      <c r="Q24" s="505" t="s">
        <v>4</v>
      </c>
      <c r="R24" s="211">
        <v>10</v>
      </c>
      <c r="S24" s="510">
        <v>0.18</v>
      </c>
      <c r="T24" s="212">
        <v>55.555555555555557</v>
      </c>
      <c r="V24" s="77" t="s">
        <v>2289</v>
      </c>
      <c r="W24" s="339">
        <v>2</v>
      </c>
      <c r="X24" s="339">
        <v>2</v>
      </c>
      <c r="Y24" s="339">
        <v>1</v>
      </c>
      <c r="Z24" s="339">
        <v>1</v>
      </c>
      <c r="AA24" s="339">
        <v>1</v>
      </c>
      <c r="AB24" s="339">
        <v>3</v>
      </c>
      <c r="AC24" s="104">
        <v>9</v>
      </c>
      <c r="AD24" s="104">
        <v>1.2</v>
      </c>
      <c r="AE24" s="107">
        <v>1.0744244531716256</v>
      </c>
      <c r="AF24" s="107">
        <v>1.2164594125584303</v>
      </c>
      <c r="AG24" s="107" t="s">
        <v>2270</v>
      </c>
      <c r="AH24" s="108">
        <v>1.05</v>
      </c>
      <c r="AI24" s="108">
        <v>1.02</v>
      </c>
      <c r="AJ24" s="108">
        <v>1</v>
      </c>
      <c r="AK24" s="108">
        <v>1</v>
      </c>
      <c r="AL24" s="108">
        <v>1</v>
      </c>
      <c r="AM24" s="108">
        <v>1.05</v>
      </c>
      <c r="AO24" s="208">
        <v>1.13761113410675E-2</v>
      </c>
      <c r="AP24" s="209">
        <v>906.79651075395157</v>
      </c>
    </row>
    <row r="25" spans="1:42" ht="24" customHeight="1" outlineLevel="1">
      <c r="A25" s="330" t="s">
        <v>1925</v>
      </c>
      <c r="B25" s="331"/>
      <c r="C25" s="88"/>
      <c r="D25" s="340">
        <v>5</v>
      </c>
      <c r="E25" s="341" t="s">
        <v>98</v>
      </c>
      <c r="F25" s="432" t="s">
        <v>1920</v>
      </c>
      <c r="G25" s="433" t="s">
        <v>372</v>
      </c>
      <c r="H25" s="434" t="s">
        <v>98</v>
      </c>
      <c r="I25" s="434" t="s">
        <v>98</v>
      </c>
      <c r="J25" s="94">
        <v>1</v>
      </c>
      <c r="K25" s="433" t="s">
        <v>144</v>
      </c>
      <c r="L25" s="435">
        <v>1.94330473478208E-7</v>
      </c>
      <c r="M25" s="95">
        <v>1</v>
      </c>
      <c r="N25" s="96">
        <v>1.2164594125584303</v>
      </c>
      <c r="O25" s="432" t="s">
        <v>3168</v>
      </c>
      <c r="P25" s="505" t="s">
        <v>2039</v>
      </c>
      <c r="Q25" s="505" t="s">
        <v>2214</v>
      </c>
      <c r="R25" s="211">
        <v>10</v>
      </c>
      <c r="S25" s="510">
        <v>0.22616666666666699</v>
      </c>
      <c r="T25" s="212">
        <v>44.2151805453205</v>
      </c>
      <c r="V25" s="77" t="s">
        <v>2289</v>
      </c>
      <c r="W25" s="339">
        <v>2</v>
      </c>
      <c r="X25" s="339">
        <v>2</v>
      </c>
      <c r="Y25" s="339">
        <v>1</v>
      </c>
      <c r="Z25" s="339">
        <v>1</v>
      </c>
      <c r="AA25" s="339">
        <v>1</v>
      </c>
      <c r="AB25" s="339">
        <v>3</v>
      </c>
      <c r="AC25" s="104">
        <v>9</v>
      </c>
      <c r="AD25" s="104">
        <v>1.2</v>
      </c>
      <c r="AE25" s="107">
        <v>1.0744244531716256</v>
      </c>
      <c r="AF25" s="107">
        <v>1.2164594125584303</v>
      </c>
      <c r="AG25" s="107" t="s">
        <v>2270</v>
      </c>
      <c r="AH25" s="108">
        <v>1.05</v>
      </c>
      <c r="AI25" s="108">
        <v>1.02</v>
      </c>
      <c r="AJ25" s="108">
        <v>1</v>
      </c>
      <c r="AK25" s="108">
        <v>1</v>
      </c>
      <c r="AL25" s="108">
        <v>1</v>
      </c>
      <c r="AM25" s="108">
        <v>1.05</v>
      </c>
      <c r="AO25" s="208">
        <v>5.2865458584960702E-2</v>
      </c>
      <c r="AP25" s="209">
        <v>906.79651075395157</v>
      </c>
    </row>
    <row r="26" spans="1:42" ht="24" customHeight="1" outlineLevel="1">
      <c r="A26" s="330" t="s">
        <v>2348</v>
      </c>
      <c r="B26" s="331"/>
      <c r="C26" s="88"/>
      <c r="D26" s="340">
        <v>5</v>
      </c>
      <c r="E26" s="341" t="s">
        <v>98</v>
      </c>
      <c r="F26" s="432" t="s">
        <v>2349</v>
      </c>
      <c r="G26" s="433" t="s">
        <v>372</v>
      </c>
      <c r="H26" s="434" t="s">
        <v>98</v>
      </c>
      <c r="I26" s="434" t="s">
        <v>98</v>
      </c>
      <c r="J26" s="94">
        <v>1</v>
      </c>
      <c r="K26" s="433" t="s">
        <v>144</v>
      </c>
      <c r="L26" s="435">
        <v>2.9704204209709404E-9</v>
      </c>
      <c r="M26" s="95">
        <v>1</v>
      </c>
      <c r="N26" s="96">
        <v>1.2164594125584303</v>
      </c>
      <c r="O26" s="432" t="s">
        <v>3168</v>
      </c>
      <c r="P26" s="505" t="s">
        <v>2039</v>
      </c>
      <c r="Q26" s="505" t="s">
        <v>2087</v>
      </c>
      <c r="R26" s="211">
        <v>10</v>
      </c>
      <c r="S26" s="510">
        <v>0.184</v>
      </c>
      <c r="T26" s="212">
        <v>54.347826086956523</v>
      </c>
      <c r="V26" s="77" t="s">
        <v>2289</v>
      </c>
      <c r="W26" s="339">
        <v>2</v>
      </c>
      <c r="X26" s="339">
        <v>2</v>
      </c>
      <c r="Y26" s="339">
        <v>1</v>
      </c>
      <c r="Z26" s="339">
        <v>1</v>
      </c>
      <c r="AA26" s="339">
        <v>1</v>
      </c>
      <c r="AB26" s="339">
        <v>3</v>
      </c>
      <c r="AC26" s="104">
        <v>9</v>
      </c>
      <c r="AD26" s="104">
        <v>1.2</v>
      </c>
      <c r="AE26" s="107">
        <v>1.0744244531716256</v>
      </c>
      <c r="AF26" s="107">
        <v>1.2164594125584303</v>
      </c>
      <c r="AG26" s="107" t="s">
        <v>2270</v>
      </c>
      <c r="AH26" s="108">
        <v>1.05</v>
      </c>
      <c r="AI26" s="108">
        <v>1.02</v>
      </c>
      <c r="AJ26" s="108">
        <v>1</v>
      </c>
      <c r="AK26" s="108">
        <v>1</v>
      </c>
      <c r="AL26" s="108">
        <v>1</v>
      </c>
      <c r="AM26" s="108">
        <v>1.05</v>
      </c>
      <c r="AO26" s="208">
        <v>8.0807006196261899E-4</v>
      </c>
      <c r="AP26" s="209">
        <v>906.79651075395066</v>
      </c>
    </row>
    <row r="27" spans="1:42" ht="24" customHeight="1" outlineLevel="1">
      <c r="A27" s="330" t="s">
        <v>1997</v>
      </c>
      <c r="B27" s="331"/>
      <c r="C27" s="88"/>
      <c r="D27" s="340">
        <v>5</v>
      </c>
      <c r="E27" s="341" t="s">
        <v>98</v>
      </c>
      <c r="F27" s="432" t="s">
        <v>1992</v>
      </c>
      <c r="G27" s="433" t="s">
        <v>372</v>
      </c>
      <c r="H27" s="434" t="s">
        <v>98</v>
      </c>
      <c r="I27" s="434" t="s">
        <v>98</v>
      </c>
      <c r="J27" s="94">
        <v>1</v>
      </c>
      <c r="K27" s="433" t="s">
        <v>144</v>
      </c>
      <c r="L27" s="435">
        <v>2.2618513830518303E-9</v>
      </c>
      <c r="M27" s="95">
        <v>1</v>
      </c>
      <c r="N27" s="96">
        <v>1.2164594125584303</v>
      </c>
      <c r="O27" s="432" t="s">
        <v>3168</v>
      </c>
      <c r="P27" s="505" t="s">
        <v>2039</v>
      </c>
      <c r="Q27" s="505" t="s">
        <v>4</v>
      </c>
      <c r="R27" s="211">
        <v>10</v>
      </c>
      <c r="S27" s="510">
        <v>0.18</v>
      </c>
      <c r="T27" s="212">
        <v>55.555555555555557</v>
      </c>
      <c r="V27" s="77" t="s">
        <v>2289</v>
      </c>
      <c r="W27" s="339">
        <v>2</v>
      </c>
      <c r="X27" s="339">
        <v>2</v>
      </c>
      <c r="Y27" s="339">
        <v>1</v>
      </c>
      <c r="Z27" s="339">
        <v>1</v>
      </c>
      <c r="AA27" s="339">
        <v>1</v>
      </c>
      <c r="AB27" s="339">
        <v>3</v>
      </c>
      <c r="AC27" s="104">
        <v>9</v>
      </c>
      <c r="AD27" s="104">
        <v>1.2</v>
      </c>
      <c r="AE27" s="107">
        <v>1.0744244531716256</v>
      </c>
      <c r="AF27" s="107">
        <v>1.2164594125584303</v>
      </c>
      <c r="AG27" s="107" t="s">
        <v>2270</v>
      </c>
      <c r="AH27" s="108">
        <v>1.05</v>
      </c>
      <c r="AI27" s="108">
        <v>1.02</v>
      </c>
      <c r="AJ27" s="108">
        <v>1</v>
      </c>
      <c r="AK27" s="108">
        <v>1</v>
      </c>
      <c r="AL27" s="108">
        <v>1</v>
      </c>
      <c r="AM27" s="108">
        <v>1.05</v>
      </c>
      <c r="AO27" s="208">
        <v>6.1531168259861999E-4</v>
      </c>
      <c r="AP27" s="209">
        <v>906.79651075395179</v>
      </c>
    </row>
    <row r="28" spans="1:42" ht="24" customHeight="1" outlineLevel="1">
      <c r="A28" s="330" t="s">
        <v>1998</v>
      </c>
      <c r="B28" s="331"/>
      <c r="C28" s="88"/>
      <c r="D28" s="340">
        <v>5</v>
      </c>
      <c r="E28" s="341" t="s">
        <v>98</v>
      </c>
      <c r="F28" s="432" t="s">
        <v>1993</v>
      </c>
      <c r="G28" s="433" t="s">
        <v>372</v>
      </c>
      <c r="H28" s="434" t="s">
        <v>98</v>
      </c>
      <c r="I28" s="434" t="s">
        <v>98</v>
      </c>
      <c r="J28" s="94">
        <v>1</v>
      </c>
      <c r="K28" s="433" t="s">
        <v>144</v>
      </c>
      <c r="L28" s="435">
        <v>3.76975230508639E-8</v>
      </c>
      <c r="M28" s="95">
        <v>1</v>
      </c>
      <c r="N28" s="96">
        <v>1.2164594125584303</v>
      </c>
      <c r="O28" s="432" t="s">
        <v>3168</v>
      </c>
      <c r="P28" s="505" t="s">
        <v>2039</v>
      </c>
      <c r="Q28" s="505" t="s">
        <v>4</v>
      </c>
      <c r="R28" s="211">
        <v>10</v>
      </c>
      <c r="S28" s="510">
        <v>0.18</v>
      </c>
      <c r="T28" s="212">
        <v>55.555555555555557</v>
      </c>
      <c r="V28" s="77" t="s">
        <v>2289</v>
      </c>
      <c r="W28" s="339">
        <v>2</v>
      </c>
      <c r="X28" s="339">
        <v>2</v>
      </c>
      <c r="Y28" s="339">
        <v>1</v>
      </c>
      <c r="Z28" s="339">
        <v>1</v>
      </c>
      <c r="AA28" s="339">
        <v>1</v>
      </c>
      <c r="AB28" s="339">
        <v>3</v>
      </c>
      <c r="AC28" s="104">
        <v>9</v>
      </c>
      <c r="AD28" s="104">
        <v>1.2</v>
      </c>
      <c r="AE28" s="107">
        <v>1.0744244531716256</v>
      </c>
      <c r="AF28" s="107">
        <v>1.2164594125584303</v>
      </c>
      <c r="AG28" s="107" t="s">
        <v>2270</v>
      </c>
      <c r="AH28" s="108">
        <v>1.05</v>
      </c>
      <c r="AI28" s="108">
        <v>1.02</v>
      </c>
      <c r="AJ28" s="108">
        <v>1</v>
      </c>
      <c r="AK28" s="108">
        <v>1</v>
      </c>
      <c r="AL28" s="108">
        <v>1</v>
      </c>
      <c r="AM28" s="108">
        <v>1.05</v>
      </c>
      <c r="AO28" s="208">
        <v>1.0255194709977E-2</v>
      </c>
      <c r="AP28" s="209">
        <v>906.79651075395032</v>
      </c>
    </row>
    <row r="29" spans="1:42" ht="24" customHeight="1">
      <c r="A29" s="330" t="s">
        <v>1926</v>
      </c>
      <c r="B29" s="331"/>
      <c r="C29" s="88"/>
      <c r="D29" s="340">
        <v>5</v>
      </c>
      <c r="E29" s="341" t="s">
        <v>98</v>
      </c>
      <c r="F29" s="432" t="s">
        <v>1921</v>
      </c>
      <c r="G29" s="433" t="s">
        <v>372</v>
      </c>
      <c r="H29" s="434" t="s">
        <v>98</v>
      </c>
      <c r="I29" s="434" t="s">
        <v>98</v>
      </c>
      <c r="J29" s="94">
        <v>1</v>
      </c>
      <c r="K29" s="433" t="s">
        <v>144</v>
      </c>
      <c r="L29" s="435">
        <v>1.0510956427123199E-8</v>
      </c>
      <c r="M29" s="95">
        <v>1</v>
      </c>
      <c r="N29" s="96">
        <v>1.2164594125584303</v>
      </c>
      <c r="O29" s="432" t="s">
        <v>3168</v>
      </c>
      <c r="P29" s="505" t="s">
        <v>2039</v>
      </c>
      <c r="Q29" s="505" t="s">
        <v>2214</v>
      </c>
      <c r="R29" s="211">
        <v>10</v>
      </c>
      <c r="S29" s="510">
        <v>0.22616666666666699</v>
      </c>
      <c r="T29" s="212">
        <v>44.2151805453205</v>
      </c>
      <c r="V29" s="77" t="s">
        <v>2289</v>
      </c>
      <c r="W29" s="339">
        <v>2</v>
      </c>
      <c r="X29" s="339">
        <v>2</v>
      </c>
      <c r="Y29" s="339">
        <v>1</v>
      </c>
      <c r="Z29" s="339">
        <v>1</v>
      </c>
      <c r="AA29" s="339">
        <v>1</v>
      </c>
      <c r="AB29" s="339">
        <v>3</v>
      </c>
      <c r="AC29" s="104">
        <v>9</v>
      </c>
      <c r="AD29" s="104">
        <v>1.2</v>
      </c>
      <c r="AE29" s="107">
        <v>1.0744244531716256</v>
      </c>
      <c r="AF29" s="107">
        <v>1.2164594125584303</v>
      </c>
      <c r="AG29" s="107" t="s">
        <v>2270</v>
      </c>
      <c r="AH29" s="108">
        <v>1.05</v>
      </c>
      <c r="AI29" s="108">
        <v>1.02</v>
      </c>
      <c r="AJ29" s="108">
        <v>1</v>
      </c>
      <c r="AK29" s="108">
        <v>1</v>
      </c>
      <c r="AL29" s="108">
        <v>1</v>
      </c>
      <c r="AM29" s="108">
        <v>1.05</v>
      </c>
      <c r="AO29" s="208">
        <v>2.8593895838406398E-3</v>
      </c>
      <c r="AP29" s="209"/>
    </row>
    <row r="30" spans="1:42" ht="24" customHeight="1">
      <c r="A30" s="330" t="s">
        <v>1927</v>
      </c>
      <c r="B30" s="331"/>
      <c r="C30" s="88"/>
      <c r="D30" s="340">
        <v>5</v>
      </c>
      <c r="E30" s="341" t="s">
        <v>98</v>
      </c>
      <c r="F30" s="432" t="s">
        <v>1922</v>
      </c>
      <c r="G30" s="433" t="s">
        <v>372</v>
      </c>
      <c r="H30" s="434" t="s">
        <v>98</v>
      </c>
      <c r="I30" s="434" t="s">
        <v>98</v>
      </c>
      <c r="J30" s="94">
        <v>1</v>
      </c>
      <c r="K30" s="433" t="s">
        <v>144</v>
      </c>
      <c r="L30" s="435">
        <v>1.7518260711872E-7</v>
      </c>
      <c r="M30" s="95">
        <v>1</v>
      </c>
      <c r="N30" s="96">
        <v>1.2164594125584303</v>
      </c>
      <c r="O30" s="432" t="s">
        <v>3168</v>
      </c>
      <c r="P30" s="505" t="s">
        <v>2039</v>
      </c>
      <c r="Q30" s="505" t="s">
        <v>2214</v>
      </c>
      <c r="R30" s="211">
        <v>10</v>
      </c>
      <c r="S30" s="510">
        <v>0.22616666666666699</v>
      </c>
      <c r="T30" s="212">
        <v>44.2151805453205</v>
      </c>
      <c r="V30" s="77" t="s">
        <v>2289</v>
      </c>
      <c r="W30" s="339">
        <v>2</v>
      </c>
      <c r="X30" s="339">
        <v>2</v>
      </c>
      <c r="Y30" s="339">
        <v>1</v>
      </c>
      <c r="Z30" s="339">
        <v>1</v>
      </c>
      <c r="AA30" s="339">
        <v>1</v>
      </c>
      <c r="AB30" s="339">
        <v>3</v>
      </c>
      <c r="AC30" s="104">
        <v>9</v>
      </c>
      <c r="AD30" s="104">
        <v>1.2</v>
      </c>
      <c r="AE30" s="107">
        <v>1.0744244531716256</v>
      </c>
      <c r="AF30" s="107">
        <v>1.2164594125584303</v>
      </c>
      <c r="AG30" s="107" t="s">
        <v>2270</v>
      </c>
      <c r="AH30" s="108">
        <v>1.05</v>
      </c>
      <c r="AI30" s="108">
        <v>1.02</v>
      </c>
      <c r="AJ30" s="108">
        <v>1</v>
      </c>
      <c r="AK30" s="108">
        <v>1</v>
      </c>
      <c r="AL30" s="108">
        <v>1</v>
      </c>
      <c r="AM30" s="108">
        <v>1.05</v>
      </c>
      <c r="AO30" s="208">
        <v>4.7656493064010701E-2</v>
      </c>
      <c r="AP30" s="209"/>
    </row>
    <row r="31" spans="1:42" ht="24" customHeight="1">
      <c r="A31" s="330" t="s">
        <v>2350</v>
      </c>
      <c r="B31" s="331"/>
      <c r="C31" s="88"/>
      <c r="D31" s="340">
        <v>5</v>
      </c>
      <c r="E31" s="341" t="s">
        <v>98</v>
      </c>
      <c r="F31" s="432" t="s">
        <v>2351</v>
      </c>
      <c r="G31" s="433" t="s">
        <v>372</v>
      </c>
      <c r="H31" s="434" t="s">
        <v>98</v>
      </c>
      <c r="I31" s="434" t="s">
        <v>98</v>
      </c>
      <c r="J31" s="94">
        <v>1</v>
      </c>
      <c r="K31" s="433" t="s">
        <v>144</v>
      </c>
      <c r="L31" s="435">
        <v>4.9507007016182498E-8</v>
      </c>
      <c r="M31" s="95">
        <v>1</v>
      </c>
      <c r="N31" s="96">
        <v>1.2164594125584303</v>
      </c>
      <c r="O31" s="432" t="s">
        <v>3168</v>
      </c>
      <c r="P31" s="505" t="s">
        <v>2039</v>
      </c>
      <c r="Q31" s="505" t="s">
        <v>2087</v>
      </c>
      <c r="R31" s="211">
        <v>10</v>
      </c>
      <c r="S31" s="510">
        <v>0.184</v>
      </c>
      <c r="T31" s="212">
        <v>54.347826086956523</v>
      </c>
      <c r="V31" s="77" t="s">
        <v>2289</v>
      </c>
      <c r="W31" s="339">
        <v>2</v>
      </c>
      <c r="X31" s="339">
        <v>2</v>
      </c>
      <c r="Y31" s="339">
        <v>1</v>
      </c>
      <c r="Z31" s="339">
        <v>1</v>
      </c>
      <c r="AA31" s="339">
        <v>1</v>
      </c>
      <c r="AB31" s="339">
        <v>3</v>
      </c>
      <c r="AC31" s="104">
        <v>9</v>
      </c>
      <c r="AD31" s="104">
        <v>1.2</v>
      </c>
      <c r="AE31" s="107">
        <v>1.0744244531716256</v>
      </c>
      <c r="AF31" s="107">
        <v>1.2164594125584303</v>
      </c>
      <c r="AG31" s="107" t="s">
        <v>2270</v>
      </c>
      <c r="AH31" s="108">
        <v>1.05</v>
      </c>
      <c r="AI31" s="108">
        <v>1.02</v>
      </c>
      <c r="AJ31" s="108">
        <v>1</v>
      </c>
      <c r="AK31" s="108">
        <v>1</v>
      </c>
      <c r="AL31" s="108">
        <v>1</v>
      </c>
      <c r="AM31" s="108">
        <v>1.05</v>
      </c>
      <c r="AO31" s="208">
        <v>1.34678343660437E-2</v>
      </c>
      <c r="AP31" s="209">
        <v>906.79651075395122</v>
      </c>
    </row>
    <row r="32" spans="1:42">
      <c r="A32" s="330">
        <v>15848</v>
      </c>
      <c r="B32" s="331" t="s">
        <v>594</v>
      </c>
      <c r="C32" s="88"/>
      <c r="D32" s="340" t="s">
        <v>98</v>
      </c>
      <c r="E32" s="341">
        <v>4</v>
      </c>
      <c r="F32" s="432" t="s">
        <v>121</v>
      </c>
      <c r="G32" s="433" t="s">
        <v>98</v>
      </c>
      <c r="H32" s="434" t="s">
        <v>247</v>
      </c>
      <c r="I32" s="434" t="s">
        <v>248</v>
      </c>
      <c r="J32" s="94" t="s">
        <v>98</v>
      </c>
      <c r="K32" s="433" t="s">
        <v>104</v>
      </c>
      <c r="L32" s="435">
        <v>0.25026737967914414</v>
      </c>
      <c r="M32" s="95">
        <v>1</v>
      </c>
      <c r="N32" s="96">
        <v>1.05</v>
      </c>
      <c r="O32" s="432" t="s">
        <v>3101</v>
      </c>
      <c r="P32" s="213"/>
      <c r="Q32" s="505"/>
      <c r="R32" s="211"/>
      <c r="S32" s="211"/>
      <c r="V32" s="77" t="s">
        <v>249</v>
      </c>
      <c r="W32" s="339">
        <v>1</v>
      </c>
      <c r="X32" s="339" t="s">
        <v>106</v>
      </c>
      <c r="Y32" s="339" t="s">
        <v>106</v>
      </c>
      <c r="Z32" s="339" t="s">
        <v>106</v>
      </c>
      <c r="AA32" s="339" t="s">
        <v>106</v>
      </c>
      <c r="AB32" s="339" t="s">
        <v>106</v>
      </c>
      <c r="AC32" s="104">
        <v>13</v>
      </c>
      <c r="AD32" s="104">
        <v>1.05</v>
      </c>
      <c r="AE32" s="107">
        <v>1</v>
      </c>
      <c r="AF32" s="107">
        <v>1.05</v>
      </c>
      <c r="AG32" s="107" t="s">
        <v>3102</v>
      </c>
      <c r="AH32" s="108">
        <v>1</v>
      </c>
      <c r="AI32" s="108">
        <v>1</v>
      </c>
      <c r="AJ32" s="108">
        <v>1</v>
      </c>
      <c r="AK32" s="108">
        <v>1</v>
      </c>
      <c r="AL32" s="108">
        <v>1</v>
      </c>
      <c r="AM32" s="108">
        <v>1</v>
      </c>
      <c r="AP32" s="209"/>
    </row>
    <row r="33" spans="1:42">
      <c r="A33" s="330">
        <v>50430</v>
      </c>
      <c r="B33" s="331"/>
      <c r="C33" s="88"/>
      <c r="D33" s="340" t="s">
        <v>98</v>
      </c>
      <c r="E33" s="341">
        <v>4</v>
      </c>
      <c r="F33" s="432" t="s">
        <v>523</v>
      </c>
      <c r="G33" s="433" t="s">
        <v>98</v>
      </c>
      <c r="H33" s="434" t="s">
        <v>247</v>
      </c>
      <c r="I33" s="434" t="s">
        <v>248</v>
      </c>
      <c r="J33" s="94" t="s">
        <v>98</v>
      </c>
      <c r="K33" s="433" t="s">
        <v>96</v>
      </c>
      <c r="L33" s="435">
        <v>3.3074819343050096E-4</v>
      </c>
      <c r="M33" s="95">
        <v>1</v>
      </c>
      <c r="N33" s="96">
        <v>1.0906744032152329</v>
      </c>
      <c r="O33" s="432" t="s">
        <v>3103</v>
      </c>
      <c r="P33" s="505"/>
      <c r="Q33" s="505"/>
      <c r="R33" s="211"/>
      <c r="S33" s="211"/>
      <c r="V33" s="77" t="s">
        <v>2217</v>
      </c>
      <c r="W33" s="339">
        <v>2</v>
      </c>
      <c r="X33" s="339">
        <v>2</v>
      </c>
      <c r="Y33" s="339">
        <v>1</v>
      </c>
      <c r="Z33" s="339">
        <v>1</v>
      </c>
      <c r="AA33" s="339">
        <v>1</v>
      </c>
      <c r="AB33" s="339">
        <v>3</v>
      </c>
      <c r="AC33" s="104">
        <v>13</v>
      </c>
      <c r="AD33" s="104">
        <v>1.05</v>
      </c>
      <c r="AE33" s="107">
        <v>1.0744244531716256</v>
      </c>
      <c r="AF33" s="107">
        <v>1.0906744032152329</v>
      </c>
      <c r="AG33" s="107" t="s">
        <v>2270</v>
      </c>
      <c r="AH33" s="108">
        <v>1.05</v>
      </c>
      <c r="AI33" s="108">
        <v>1.02</v>
      </c>
      <c r="AJ33" s="108">
        <v>1</v>
      </c>
      <c r="AK33" s="108">
        <v>1</v>
      </c>
      <c r="AL33" s="108">
        <v>1</v>
      </c>
      <c r="AM33" s="108">
        <v>1.05</v>
      </c>
      <c r="AP33" s="209"/>
    </row>
    <row r="34" spans="1:42">
      <c r="A34" s="330"/>
      <c r="B34" s="331"/>
      <c r="C34" s="88"/>
      <c r="D34" s="340"/>
      <c r="E34" s="341"/>
      <c r="F34" s="432"/>
      <c r="G34" s="433"/>
      <c r="H34" s="434"/>
      <c r="I34" s="434"/>
      <c r="J34" s="94"/>
      <c r="K34" s="433"/>
      <c r="L34" s="435"/>
      <c r="M34" s="95"/>
      <c r="N34" s="96"/>
      <c r="O34" s="432"/>
      <c r="P34" s="505"/>
      <c r="Q34" s="505"/>
      <c r="R34" s="211"/>
      <c r="S34" s="211"/>
      <c r="V34" s="77"/>
      <c r="W34" s="339"/>
      <c r="X34" s="339"/>
      <c r="Y34" s="339"/>
      <c r="Z34" s="339"/>
      <c r="AA34" s="339"/>
      <c r="AB34" s="339"/>
      <c r="AC34" s="104"/>
      <c r="AD34" s="104"/>
      <c r="AE34" s="107"/>
      <c r="AF34" s="107"/>
      <c r="AG34" s="107"/>
      <c r="AH34" s="108"/>
      <c r="AI34" s="108"/>
      <c r="AJ34" s="108"/>
      <c r="AK34" s="108"/>
      <c r="AL34" s="108"/>
      <c r="AM34" s="108"/>
      <c r="AP34" s="209"/>
    </row>
    <row r="35" spans="1:42">
      <c r="L35" s="198">
        <v>5.8484902871209877E-7</v>
      </c>
      <c r="M35" s="214"/>
      <c r="N35" s="214"/>
      <c r="O35" s="214"/>
    </row>
    <row r="36" spans="1:42" s="116" customFormat="1">
      <c r="A36" s="378"/>
      <c r="B36" s="114"/>
      <c r="C36" s="115"/>
      <c r="D36" s="378"/>
      <c r="E36" s="378"/>
      <c r="F36" s="378"/>
      <c r="G36" s="378"/>
      <c r="H36" s="378"/>
      <c r="I36" s="378"/>
      <c r="J36" s="378"/>
      <c r="K36" s="378"/>
      <c r="L36" s="198">
        <v>1</v>
      </c>
      <c r="M36" s="214"/>
      <c r="N36" s="214"/>
      <c r="O36" s="214"/>
      <c r="P36" s="212"/>
      <c r="Q36" s="212"/>
      <c r="R36" s="212"/>
      <c r="S36" s="212"/>
      <c r="T36" s="212"/>
      <c r="U36" s="212"/>
      <c r="V36" s="407"/>
      <c r="W36" s="407"/>
      <c r="X36" s="407"/>
      <c r="Y36" s="407"/>
      <c r="Z36" s="407"/>
      <c r="AA36" s="407"/>
      <c r="AB36" s="407"/>
      <c r="AC36" s="407"/>
      <c r="AD36" s="378"/>
      <c r="AE36" s="378"/>
      <c r="AF36" s="378"/>
      <c r="AG36" s="378"/>
      <c r="AH36" s="378"/>
      <c r="AI36" s="378"/>
      <c r="AJ36" s="378"/>
      <c r="AK36" s="378"/>
      <c r="AL36" s="378"/>
      <c r="AM36" s="378"/>
      <c r="AN36" s="399"/>
      <c r="AO36" s="207"/>
      <c r="AP36" s="207"/>
    </row>
  </sheetData>
  <mergeCells count="1">
    <mergeCell ref="W1:AB1"/>
  </mergeCells>
  <conditionalFormatting sqref="D8:O8 E9:O10 D32:K33 D34:O34">
    <cfRule type="expression" dxfId="38" priority="7">
      <formula>MOD(ROW(),2)=0</formula>
    </cfRule>
  </conditionalFormatting>
  <conditionalFormatting sqref="V8:AB34 D9:D31 E11:K31 L11:O33">
    <cfRule type="expression" dxfId="37" priority="1">
      <formula>MOD(ROW(),2)=0</formula>
    </cfRule>
  </conditionalFormatting>
  <conditionalFormatting sqref="AC8:AM34">
    <cfRule type="expression" dxfId="36" priority="3">
      <formula>MOD(ROW(),2)=0</formula>
    </cfRule>
  </conditionalFormatting>
  <dataValidations count="12">
    <dataValidation allowBlank="1" showInputMessage="1" showErrorMessage="1" promptTitle="Remarks" prompt="A general comment (data source, calculation procedure, ...) can be made about each individual exchange. The remarks are added to the GeneralComment-field." sqref="V3" xr:uid="{00000000-0002-0000-5C00-000000000000}"/>
    <dataValidation allowBlank="1" showInputMessage="1" showErrorMessage="1" prompt="Do not change." sqref="AC3:AM4 AE7:AM7" xr:uid="{00000000-0002-0000-5C00-000001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X3" xr:uid="{00000000-0002-0000-5C00-000002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Y3" xr:uid="{00000000-0002-0000-5C00-000003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Z3" xr:uid="{00000000-0002-0000-5C00-000004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A3" xr:uid="{00000000-0002-0000-5C00-000005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AB3" xr:uid="{00000000-0002-0000-5C00-000006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W3" xr:uid="{00000000-0002-0000-5C00-000007000000}"/>
    <dataValidation allowBlank="1" showInputMessage="1" showErrorMessage="1" promptTitle="Do not change" prompt="This field is automatically updated from the names-list" sqref="AG8:AG34" xr:uid="{00000000-0002-0000-5C00-000008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O34" xr:uid="{00000000-0002-0000-5C00-000009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34" xr:uid="{00000000-0002-0000-5C00-00000A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34" xr:uid="{00000000-0002-0000-5C00-00000B000000}"/>
  </dataValidations>
  <pageMargins left="0.78740157499999996" right="0.78740157499999996" top="0.984251969" bottom="0.984251969" header="0.4921259845" footer="0.4921259845"/>
  <pageSetup paperSize="9" scale="54" fitToWidth="0"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Tabelle1">
    <tabColor rgb="FF9CD9F0"/>
    <pageSetUpPr fitToPage="1"/>
  </sheetPr>
  <dimension ref="A1:KE53"/>
  <sheetViews>
    <sheetView workbookViewId="0">
      <pane xSplit="3" ySplit="5" topLeftCell="FN15" activePane="bottomRight" state="frozen"/>
      <selection pane="topRight" activeCell="PU1" sqref="PU1:UX1048576"/>
      <selection pane="bottomLeft" activeCell="PU1" sqref="PU1:UX1048576"/>
      <selection pane="bottomRight" activeCell="FT18" sqref="FT18"/>
    </sheetView>
  </sheetViews>
  <sheetFormatPr baseColWidth="10" defaultColWidth="27.42578125" defaultRowHeight="12" outlineLevelRow="1" outlineLevelCol="1"/>
  <cols>
    <col min="1" max="1" width="14.42578125" style="167" customWidth="1"/>
    <col min="2" max="2" width="5.7109375" style="407" customWidth="1" outlineLevel="1"/>
    <col min="3" max="184" width="23.42578125" style="378" customWidth="1"/>
    <col min="185" max="185" width="23.42578125" style="378" customWidth="1" collapsed="1"/>
    <col min="186" max="194" width="23.42578125" style="378" customWidth="1"/>
    <col min="195" max="195" width="23.42578125" style="378" customWidth="1" collapsed="1"/>
    <col min="196" max="263" width="23.42578125" style="378" customWidth="1"/>
    <col min="264" max="264" width="23.42578125" style="531" customWidth="1"/>
    <col min="265" max="16384" width="27.42578125" style="158"/>
  </cols>
  <sheetData>
    <row r="1" spans="1:291" s="157" customFormat="1">
      <c r="A1" s="162" t="s">
        <v>2352</v>
      </c>
      <c r="B1" s="163" t="s">
        <v>67</v>
      </c>
      <c r="C1" s="159" t="s">
        <v>2353</v>
      </c>
      <c r="D1" s="1194">
        <v>261396</v>
      </c>
      <c r="E1" s="1194">
        <v>264187</v>
      </c>
      <c r="F1" s="1194">
        <v>261500</v>
      </c>
      <c r="G1" s="1194">
        <v>78566</v>
      </c>
      <c r="H1" s="1194">
        <v>262913</v>
      </c>
      <c r="I1" s="1194">
        <v>262893</v>
      </c>
      <c r="J1" s="1194">
        <v>262829</v>
      </c>
      <c r="K1" s="1194">
        <v>262907</v>
      </c>
      <c r="L1" s="1194" t="s">
        <v>445</v>
      </c>
      <c r="M1" s="1194" t="s">
        <v>446</v>
      </c>
      <c r="N1" s="1194" t="s">
        <v>447</v>
      </c>
      <c r="O1" s="1194" t="s">
        <v>448</v>
      </c>
      <c r="P1" s="1194" t="s">
        <v>449</v>
      </c>
      <c r="Q1" s="1194" t="s">
        <v>450</v>
      </c>
      <c r="R1" s="1194" t="s">
        <v>451</v>
      </c>
      <c r="S1" s="1194" t="s">
        <v>452</v>
      </c>
      <c r="T1" s="1194" t="s">
        <v>453</v>
      </c>
      <c r="U1" s="1194" t="s">
        <v>454</v>
      </c>
      <c r="V1" s="1194" t="s">
        <v>553</v>
      </c>
      <c r="W1" s="1194" t="s">
        <v>556</v>
      </c>
      <c r="X1" s="1194" t="s">
        <v>555</v>
      </c>
      <c r="Y1" s="1194" t="s">
        <v>554</v>
      </c>
      <c r="Z1" s="1194" t="s">
        <v>578</v>
      </c>
      <c r="AA1" s="1194" t="s">
        <v>579</v>
      </c>
      <c r="AB1" s="1194" t="s">
        <v>580</v>
      </c>
      <c r="AC1" s="1194" t="s">
        <v>581</v>
      </c>
      <c r="AD1" s="1194" t="s">
        <v>628</v>
      </c>
      <c r="AE1" s="1194" t="s">
        <v>629</v>
      </c>
      <c r="AF1" s="1194" t="s">
        <v>630</v>
      </c>
      <c r="AG1" s="1194" t="s">
        <v>631</v>
      </c>
      <c r="AH1" s="1194">
        <v>262965</v>
      </c>
      <c r="AI1" s="1194">
        <v>262977</v>
      </c>
      <c r="AJ1" s="1194">
        <v>262943</v>
      </c>
      <c r="AK1" s="1194">
        <v>263139</v>
      </c>
      <c r="AL1" s="1194" t="s">
        <v>806</v>
      </c>
      <c r="AM1" s="1194" t="s">
        <v>807</v>
      </c>
      <c r="AN1" s="1194" t="s">
        <v>808</v>
      </c>
      <c r="AO1" s="1194" t="s">
        <v>809</v>
      </c>
      <c r="AP1" s="1194" t="s">
        <v>810</v>
      </c>
      <c r="AQ1" s="1194" t="s">
        <v>811</v>
      </c>
      <c r="AR1" s="1194" t="s">
        <v>812</v>
      </c>
      <c r="AS1" s="1194" t="s">
        <v>813</v>
      </c>
      <c r="AT1" s="1194" t="s">
        <v>814</v>
      </c>
      <c r="AU1" s="1194" t="s">
        <v>792</v>
      </c>
      <c r="AV1" s="1194" t="s">
        <v>890</v>
      </c>
      <c r="AW1" s="1194" t="s">
        <v>891</v>
      </c>
      <c r="AX1" s="1194" t="s">
        <v>892</v>
      </c>
      <c r="AY1" s="1194" t="s">
        <v>893</v>
      </c>
      <c r="AZ1" s="1194" t="s">
        <v>894</v>
      </c>
      <c r="BA1" s="1194" t="s">
        <v>895</v>
      </c>
      <c r="BB1" s="1194" t="s">
        <v>1039</v>
      </c>
      <c r="BC1" s="1194" t="s">
        <v>1040</v>
      </c>
      <c r="BD1" s="1194" t="s">
        <v>1041</v>
      </c>
      <c r="BE1" s="1194" t="s">
        <v>1042</v>
      </c>
      <c r="BF1" s="1194" t="s">
        <v>1029</v>
      </c>
      <c r="BG1" s="1194" t="s">
        <v>1030</v>
      </c>
      <c r="BH1" s="1194" t="s">
        <v>1085</v>
      </c>
      <c r="BI1" s="1194" t="s">
        <v>1086</v>
      </c>
      <c r="BJ1" s="1194" t="s">
        <v>1087</v>
      </c>
      <c r="BK1" s="1194" t="s">
        <v>1088</v>
      </c>
      <c r="BL1" s="1013" t="s">
        <v>1089</v>
      </c>
      <c r="BM1" s="1013" t="s">
        <v>1090</v>
      </c>
      <c r="BN1" s="1194" t="s">
        <v>945</v>
      </c>
      <c r="BO1" s="1194" t="s">
        <v>951</v>
      </c>
      <c r="BP1" s="1194" t="s">
        <v>947</v>
      </c>
      <c r="BQ1" s="1194" t="s">
        <v>949</v>
      </c>
      <c r="BR1" s="1194" t="s">
        <v>944</v>
      </c>
      <c r="BS1" s="1194" t="s">
        <v>950</v>
      </c>
      <c r="BT1" s="1194" t="s">
        <v>946</v>
      </c>
      <c r="BU1" s="1194" t="s">
        <v>948</v>
      </c>
      <c r="BV1" s="1194" t="s">
        <v>952</v>
      </c>
      <c r="BW1" s="1194" t="s">
        <v>953</v>
      </c>
      <c r="BX1" s="1194" t="s">
        <v>1267</v>
      </c>
      <c r="BY1" s="1194" t="s">
        <v>1269</v>
      </c>
      <c r="BZ1" s="1194" t="s">
        <v>1271</v>
      </c>
      <c r="CA1" s="1194" t="s">
        <v>1273</v>
      </c>
      <c r="CB1" s="1194" t="s">
        <v>1152</v>
      </c>
      <c r="CC1" s="1194" t="s">
        <v>1157</v>
      </c>
      <c r="CD1" s="1194" t="s">
        <v>1162</v>
      </c>
      <c r="CE1" s="1194" t="s">
        <v>1167</v>
      </c>
      <c r="CF1" s="1194" t="s">
        <v>1266</v>
      </c>
      <c r="CG1" s="1194" t="s">
        <v>1268</v>
      </c>
      <c r="CH1" s="1194" t="s">
        <v>1270</v>
      </c>
      <c r="CI1" s="1194" t="s">
        <v>1272</v>
      </c>
      <c r="CJ1" s="1194" t="s">
        <v>1252</v>
      </c>
      <c r="CK1" s="1194" t="s">
        <v>1253</v>
      </c>
      <c r="CL1" s="1194" t="s">
        <v>1168</v>
      </c>
      <c r="CM1" s="1194" t="s">
        <v>1169</v>
      </c>
      <c r="CN1" s="1194" t="s">
        <v>1148</v>
      </c>
      <c r="CO1" s="1194" t="s">
        <v>1149</v>
      </c>
      <c r="CP1" s="1194" t="s">
        <v>1150</v>
      </c>
      <c r="CQ1" s="1194" t="s">
        <v>1151</v>
      </c>
      <c r="CR1" s="1194" t="s">
        <v>1153</v>
      </c>
      <c r="CS1" s="1194" t="s">
        <v>1154</v>
      </c>
      <c r="CT1" s="1194" t="s">
        <v>1155</v>
      </c>
      <c r="CU1" s="1194" t="s">
        <v>1156</v>
      </c>
      <c r="CV1" s="1194" t="s">
        <v>1158</v>
      </c>
      <c r="CW1" s="1194" t="s">
        <v>1159</v>
      </c>
      <c r="CX1" s="1194" t="s">
        <v>1160</v>
      </c>
      <c r="CY1" s="1194" t="s">
        <v>1161</v>
      </c>
      <c r="CZ1" s="1194" t="s">
        <v>1163</v>
      </c>
      <c r="DA1" s="1194" t="s">
        <v>1164</v>
      </c>
      <c r="DB1" s="1194" t="s">
        <v>1165</v>
      </c>
      <c r="DC1" s="1194" t="s">
        <v>1166</v>
      </c>
      <c r="DD1" s="1194">
        <v>264723</v>
      </c>
      <c r="DE1" s="1194" t="s">
        <v>1310</v>
      </c>
      <c r="DF1" s="1194" t="s">
        <v>1306</v>
      </c>
      <c r="DG1" s="1194">
        <v>264813</v>
      </c>
      <c r="DH1" s="1194" t="s">
        <v>1343</v>
      </c>
      <c r="DI1" s="1194" t="s">
        <v>1344</v>
      </c>
      <c r="DJ1" s="1194">
        <v>264689</v>
      </c>
      <c r="DK1" s="1194" t="s">
        <v>1350</v>
      </c>
      <c r="DL1" s="1194" t="s">
        <v>1351</v>
      </c>
      <c r="DM1" s="1194">
        <v>267904</v>
      </c>
      <c r="DN1" s="1194">
        <v>269261</v>
      </c>
      <c r="DO1" s="1194">
        <v>267746</v>
      </c>
      <c r="DP1" s="1194">
        <v>267239</v>
      </c>
      <c r="DQ1" s="1194">
        <v>267153</v>
      </c>
      <c r="DR1" s="1194">
        <v>268443</v>
      </c>
      <c r="DS1" s="1194" t="s">
        <v>774</v>
      </c>
      <c r="DT1" s="1194" t="s">
        <v>591</v>
      </c>
      <c r="DU1" s="1194">
        <v>262325</v>
      </c>
      <c r="DV1" s="1194" t="s">
        <v>777</v>
      </c>
      <c r="DW1" s="1194">
        <v>269235</v>
      </c>
      <c r="DX1" s="1194" t="s">
        <v>917</v>
      </c>
      <c r="DY1" s="1194">
        <v>269079</v>
      </c>
      <c r="DZ1" s="1194">
        <v>264425</v>
      </c>
      <c r="EA1" s="1194" t="s">
        <v>1102</v>
      </c>
      <c r="EB1" s="1194">
        <v>266181</v>
      </c>
      <c r="EC1" s="1194">
        <v>266185</v>
      </c>
      <c r="ED1" s="1194">
        <v>266177</v>
      </c>
      <c r="EE1" s="1194">
        <v>267956</v>
      </c>
      <c r="EF1" s="1194">
        <v>267958</v>
      </c>
      <c r="EG1" s="1194">
        <v>258737</v>
      </c>
      <c r="EH1" s="1194">
        <v>258639</v>
      </c>
      <c r="EI1" s="1194" t="s">
        <v>1392</v>
      </c>
      <c r="EJ1" s="1194" t="s">
        <v>1414</v>
      </c>
      <c r="EK1" s="1194" t="s">
        <v>1415</v>
      </c>
      <c r="EL1" s="1194">
        <v>258623</v>
      </c>
      <c r="EM1" s="1194" t="s">
        <v>1447</v>
      </c>
      <c r="EN1" s="1194" t="s">
        <v>2354</v>
      </c>
      <c r="EO1" s="1194">
        <v>256520</v>
      </c>
      <c r="EP1" s="1194">
        <v>259923</v>
      </c>
      <c r="EQ1" s="1194">
        <v>256514</v>
      </c>
      <c r="ER1" s="1194">
        <v>259983</v>
      </c>
      <c r="ES1" s="1194">
        <v>259361</v>
      </c>
      <c r="ET1" s="1194">
        <v>255621</v>
      </c>
      <c r="EU1" s="1194">
        <v>259343</v>
      </c>
      <c r="EV1" s="1194">
        <v>267852</v>
      </c>
      <c r="EW1" s="1194">
        <v>257244</v>
      </c>
      <c r="EX1" s="1194">
        <v>255633</v>
      </c>
      <c r="EY1" s="1194">
        <v>267934</v>
      </c>
      <c r="EZ1" s="1194">
        <v>257958</v>
      </c>
      <c r="FA1" s="1194">
        <v>268991</v>
      </c>
      <c r="FB1" s="1194">
        <v>258205</v>
      </c>
      <c r="FC1" s="1194">
        <v>258217</v>
      </c>
      <c r="FD1" s="1194">
        <v>262479</v>
      </c>
      <c r="FE1" s="1194">
        <v>263621</v>
      </c>
      <c r="FF1" s="1194">
        <v>263667</v>
      </c>
      <c r="FG1" s="1194">
        <v>258307</v>
      </c>
      <c r="FH1" s="1194" t="s">
        <v>1645</v>
      </c>
      <c r="FI1" s="1194" t="s">
        <v>1646</v>
      </c>
      <c r="FJ1" s="1194">
        <v>261084</v>
      </c>
      <c r="FK1" s="1194">
        <v>260128</v>
      </c>
      <c r="FL1" s="1194">
        <v>259363</v>
      </c>
      <c r="FM1" s="1194">
        <v>257174</v>
      </c>
      <c r="FN1" s="1194">
        <v>260072</v>
      </c>
      <c r="FO1" s="1194">
        <v>257122</v>
      </c>
      <c r="FP1" s="1194">
        <v>257246</v>
      </c>
      <c r="FQ1" s="1194">
        <v>257040</v>
      </c>
      <c r="FR1" s="1194">
        <v>257436</v>
      </c>
      <c r="FS1" s="1013" t="s">
        <v>1688</v>
      </c>
      <c r="FT1" s="1194" t="s">
        <v>1695</v>
      </c>
      <c r="FU1" s="1194" t="s">
        <v>1706</v>
      </c>
      <c r="FV1" s="1194" t="s">
        <v>1707</v>
      </c>
      <c r="FW1" s="1194" t="s">
        <v>1708</v>
      </c>
      <c r="FX1" s="1194" t="s">
        <v>1709</v>
      </c>
      <c r="FY1" s="1194">
        <v>257504</v>
      </c>
      <c r="FZ1" s="1194">
        <v>256878</v>
      </c>
      <c r="GA1" s="1194">
        <v>257014</v>
      </c>
      <c r="GB1" s="1194">
        <v>256794</v>
      </c>
      <c r="GC1" s="1194" t="s">
        <v>1845</v>
      </c>
      <c r="GD1" s="1194" t="s">
        <v>1847</v>
      </c>
      <c r="GE1" s="1194" t="s">
        <v>1851</v>
      </c>
      <c r="GF1" s="1194" t="s">
        <v>1932</v>
      </c>
      <c r="GG1" s="1194" t="s">
        <v>1943</v>
      </c>
      <c r="GH1" s="1194" t="s">
        <v>1839</v>
      </c>
      <c r="GI1" s="1194" t="s">
        <v>1841</v>
      </c>
      <c r="GJ1" s="1194" t="s">
        <v>1929</v>
      </c>
      <c r="GK1" s="1194" t="s">
        <v>1930</v>
      </c>
      <c r="GL1" s="1194" t="s">
        <v>1843</v>
      </c>
      <c r="GM1" s="1194" t="s">
        <v>1931</v>
      </c>
      <c r="GN1" s="1194" t="s">
        <v>1849</v>
      </c>
      <c r="GO1" s="1194" t="s">
        <v>1830</v>
      </c>
      <c r="GP1" s="1194" t="s">
        <v>1831</v>
      </c>
      <c r="GQ1" s="1194" t="s">
        <v>1832</v>
      </c>
      <c r="GR1" s="1194" t="s">
        <v>1945</v>
      </c>
      <c r="GS1" s="1194" t="s">
        <v>1946</v>
      </c>
      <c r="GT1" s="1194" t="s">
        <v>1947</v>
      </c>
      <c r="GU1" s="1194" t="s">
        <v>2015</v>
      </c>
      <c r="GV1" s="1194" t="s">
        <v>1948</v>
      </c>
      <c r="GW1" s="1194" t="s">
        <v>1833</v>
      </c>
      <c r="GX1" s="1194" t="s">
        <v>2016</v>
      </c>
      <c r="GY1" s="1194" t="s">
        <v>2001</v>
      </c>
      <c r="GZ1" s="1194" t="s">
        <v>2002</v>
      </c>
      <c r="HA1" s="1194" t="s">
        <v>2003</v>
      </c>
      <c r="HB1" s="1194" t="s">
        <v>2231</v>
      </c>
      <c r="HC1" s="1194" t="s">
        <v>2234</v>
      </c>
      <c r="HD1" s="1194" t="s">
        <v>2237</v>
      </c>
      <c r="HE1" s="1194" t="s">
        <v>2238</v>
      </c>
      <c r="HF1" s="1194" t="s">
        <v>2239</v>
      </c>
      <c r="HG1" s="1194" t="s">
        <v>2240</v>
      </c>
      <c r="HH1" s="1194" t="s">
        <v>2241</v>
      </c>
      <c r="HI1" s="1194" t="s">
        <v>2242</v>
      </c>
      <c r="HJ1" s="1194" t="s">
        <v>2014</v>
      </c>
      <c r="HK1" s="1195" t="s">
        <v>2232</v>
      </c>
      <c r="HL1" s="1194" t="s">
        <v>2235</v>
      </c>
      <c r="HM1" s="1195" t="s">
        <v>2233</v>
      </c>
      <c r="HN1" s="1194" t="s">
        <v>2236</v>
      </c>
      <c r="HO1" s="1194">
        <v>264069</v>
      </c>
      <c r="HP1" s="1194">
        <v>268679</v>
      </c>
      <c r="HQ1" s="1194">
        <v>259635</v>
      </c>
      <c r="HR1" s="1194">
        <v>259235</v>
      </c>
      <c r="HS1" s="1194">
        <v>259511</v>
      </c>
      <c r="HT1" s="1194">
        <v>259223</v>
      </c>
      <c r="HU1" s="1194">
        <v>259111</v>
      </c>
      <c r="HV1" s="1194">
        <v>267646</v>
      </c>
      <c r="HW1" s="1194">
        <v>259163</v>
      </c>
      <c r="HX1" s="1194">
        <v>259149</v>
      </c>
      <c r="HY1" s="1194">
        <v>259137</v>
      </c>
      <c r="HZ1" s="1194">
        <v>263751</v>
      </c>
      <c r="IA1" s="1194">
        <v>259677</v>
      </c>
      <c r="IB1" s="1194">
        <v>259673</v>
      </c>
      <c r="IC1" s="1194">
        <v>259655</v>
      </c>
      <c r="ID1" s="1194">
        <v>259637</v>
      </c>
      <c r="IE1" s="1194">
        <v>263849</v>
      </c>
      <c r="IF1" s="1194">
        <v>259697</v>
      </c>
      <c r="IG1" s="1194">
        <v>259583</v>
      </c>
      <c r="IH1" s="1194">
        <v>259555</v>
      </c>
      <c r="II1" s="1194">
        <v>259559</v>
      </c>
      <c r="IJ1" s="1194">
        <v>263031</v>
      </c>
      <c r="IK1" s="1194">
        <v>259619</v>
      </c>
      <c r="IL1" s="1194">
        <v>259609</v>
      </c>
      <c r="IM1" s="1194">
        <v>259679</v>
      </c>
      <c r="IN1" s="1194">
        <v>259501</v>
      </c>
      <c r="IO1" s="1194">
        <v>259573</v>
      </c>
      <c r="IP1" s="1194">
        <v>259129</v>
      </c>
      <c r="IQ1" s="1194">
        <v>259117</v>
      </c>
      <c r="IR1" s="1194">
        <v>259717</v>
      </c>
      <c r="IS1" s="1194">
        <v>259567</v>
      </c>
      <c r="IT1" s="1194">
        <v>259491</v>
      </c>
      <c r="IU1" s="1194">
        <v>259599</v>
      </c>
      <c r="IV1" s="1194">
        <v>269101</v>
      </c>
      <c r="IW1" s="1194">
        <v>255781</v>
      </c>
      <c r="IX1" s="1194">
        <v>266279</v>
      </c>
      <c r="IY1" s="1194">
        <v>266277</v>
      </c>
      <c r="IZ1" s="1194">
        <v>267340</v>
      </c>
      <c r="JA1" s="1194">
        <v>269519</v>
      </c>
      <c r="JB1" s="1194">
        <v>261889</v>
      </c>
      <c r="JC1" s="1194">
        <v>261252</v>
      </c>
      <c r="JD1" s="1194"/>
      <c r="JE1" s="1194">
        <v>256426</v>
      </c>
      <c r="JF1" s="1194">
        <v>256412</v>
      </c>
      <c r="JG1" s="1194">
        <v>256370</v>
      </c>
      <c r="JH1" s="1194">
        <v>256796</v>
      </c>
      <c r="JI1" s="1194">
        <v>259277</v>
      </c>
      <c r="JJ1" s="1194">
        <v>259245</v>
      </c>
      <c r="JK1" s="1194">
        <v>256394</v>
      </c>
      <c r="JL1" s="1194">
        <v>261861</v>
      </c>
      <c r="JM1" s="1194">
        <v>259523</v>
      </c>
      <c r="JN1" s="1194">
        <v>267115</v>
      </c>
      <c r="JO1" s="1194">
        <v>259481</v>
      </c>
      <c r="JP1" s="1194">
        <v>261737</v>
      </c>
      <c r="JQ1" s="1194">
        <v>262481</v>
      </c>
      <c r="JR1" s="1194">
        <v>258559</v>
      </c>
      <c r="JS1" s="1194">
        <v>258539</v>
      </c>
      <c r="JT1" s="1194">
        <v>258649</v>
      </c>
      <c r="JU1" s="1194">
        <v>258543</v>
      </c>
      <c r="JV1" s="1194">
        <v>261863</v>
      </c>
      <c r="JW1" s="1194">
        <v>262483</v>
      </c>
      <c r="JX1" s="1194">
        <v>267123</v>
      </c>
      <c r="JY1" s="1194">
        <v>261739</v>
      </c>
      <c r="JZ1" s="1194">
        <v>259285</v>
      </c>
      <c r="KA1" s="1194">
        <v>261208</v>
      </c>
      <c r="KB1" s="1194">
        <v>258587</v>
      </c>
      <c r="KC1" s="1194">
        <v>261216</v>
      </c>
      <c r="KD1" s="1194">
        <v>258529</v>
      </c>
      <c r="KE1" s="1194">
        <v>261190</v>
      </c>
    </row>
    <row r="2" spans="1:291" s="215" customFormat="1" ht="48" customHeight="1">
      <c r="A2" s="84" t="s">
        <v>2355</v>
      </c>
      <c r="B2" s="80">
        <v>401</v>
      </c>
      <c r="C2" s="164" t="s">
        <v>71</v>
      </c>
      <c r="D2" s="87" t="s">
        <v>359</v>
      </c>
      <c r="E2" s="87" t="s">
        <v>360</v>
      </c>
      <c r="F2" s="87" t="s">
        <v>361</v>
      </c>
      <c r="G2" s="87" t="s">
        <v>335</v>
      </c>
      <c r="H2" s="87" t="s">
        <v>432</v>
      </c>
      <c r="I2" s="87" t="s">
        <v>433</v>
      </c>
      <c r="J2" s="87" t="s">
        <v>434</v>
      </c>
      <c r="K2" s="87" t="s">
        <v>431</v>
      </c>
      <c r="L2" s="87" t="s">
        <v>435</v>
      </c>
      <c r="M2" s="87" t="s">
        <v>436</v>
      </c>
      <c r="N2" s="87" t="s">
        <v>437</v>
      </c>
      <c r="O2" s="87" t="s">
        <v>438</v>
      </c>
      <c r="P2" s="87" t="s">
        <v>439</v>
      </c>
      <c r="Q2" s="87" t="s">
        <v>440</v>
      </c>
      <c r="R2" s="87" t="s">
        <v>441</v>
      </c>
      <c r="S2" s="87" t="s">
        <v>442</v>
      </c>
      <c r="T2" s="87" t="s">
        <v>443</v>
      </c>
      <c r="U2" s="87" t="s">
        <v>444</v>
      </c>
      <c r="V2" s="87" t="s">
        <v>549</v>
      </c>
      <c r="W2" s="87" t="s">
        <v>552</v>
      </c>
      <c r="X2" s="87" t="s">
        <v>551</v>
      </c>
      <c r="Y2" s="87" t="s">
        <v>550</v>
      </c>
      <c r="Z2" s="87" t="s">
        <v>574</v>
      </c>
      <c r="AA2" s="87" t="s">
        <v>575</v>
      </c>
      <c r="AB2" s="87" t="s">
        <v>576</v>
      </c>
      <c r="AC2" s="87" t="s">
        <v>577</v>
      </c>
      <c r="AD2" s="87" t="s">
        <v>624</v>
      </c>
      <c r="AE2" s="87" t="s">
        <v>625</v>
      </c>
      <c r="AF2" s="87" t="s">
        <v>626</v>
      </c>
      <c r="AG2" s="87" t="s">
        <v>627</v>
      </c>
      <c r="AH2" s="87" t="s">
        <v>605</v>
      </c>
      <c r="AI2" s="87" t="s">
        <v>602</v>
      </c>
      <c r="AJ2" s="87" t="s">
        <v>603</v>
      </c>
      <c r="AK2" s="87" t="s">
        <v>604</v>
      </c>
      <c r="AL2" s="87" t="s">
        <v>794</v>
      </c>
      <c r="AM2" s="87" t="s">
        <v>795</v>
      </c>
      <c r="AN2" s="87" t="s">
        <v>796</v>
      </c>
      <c r="AO2" s="87" t="s">
        <v>797</v>
      </c>
      <c r="AP2" s="87" t="s">
        <v>798</v>
      </c>
      <c r="AQ2" s="87" t="s">
        <v>799</v>
      </c>
      <c r="AR2" s="87" t="s">
        <v>800</v>
      </c>
      <c r="AS2" s="87" t="s">
        <v>801</v>
      </c>
      <c r="AT2" s="87" t="s">
        <v>802</v>
      </c>
      <c r="AU2" s="87" t="s">
        <v>803</v>
      </c>
      <c r="AV2" s="87" t="s">
        <v>884</v>
      </c>
      <c r="AW2" s="87" t="s">
        <v>885</v>
      </c>
      <c r="AX2" s="87" t="s">
        <v>886</v>
      </c>
      <c r="AY2" s="87" t="s">
        <v>887</v>
      </c>
      <c r="AZ2" s="87" t="s">
        <v>888</v>
      </c>
      <c r="BA2" s="87" t="s">
        <v>889</v>
      </c>
      <c r="BB2" s="87" t="s">
        <v>1032</v>
      </c>
      <c r="BC2" s="87" t="s">
        <v>1033</v>
      </c>
      <c r="BD2" s="87" t="s">
        <v>1034</v>
      </c>
      <c r="BE2" s="87" t="s">
        <v>1035</v>
      </c>
      <c r="BF2" s="87" t="s">
        <v>1036</v>
      </c>
      <c r="BG2" s="87" t="s">
        <v>1037</v>
      </c>
      <c r="BH2" s="87" t="s">
        <v>1079</v>
      </c>
      <c r="BI2" s="87" t="s">
        <v>1080</v>
      </c>
      <c r="BJ2" s="87" t="s">
        <v>1081</v>
      </c>
      <c r="BK2" s="87" t="s">
        <v>1082</v>
      </c>
      <c r="BL2" s="106" t="s">
        <v>1083</v>
      </c>
      <c r="BM2" s="106" t="s">
        <v>1084</v>
      </c>
      <c r="BN2" s="87" t="s">
        <v>933</v>
      </c>
      <c r="BO2" s="87" t="s">
        <v>939</v>
      </c>
      <c r="BP2" s="87" t="s">
        <v>935</v>
      </c>
      <c r="BQ2" s="87" t="s">
        <v>937</v>
      </c>
      <c r="BR2" s="87" t="s">
        <v>932</v>
      </c>
      <c r="BS2" s="87" t="s">
        <v>938</v>
      </c>
      <c r="BT2" s="87" t="s">
        <v>934</v>
      </c>
      <c r="BU2" s="87" t="s">
        <v>936</v>
      </c>
      <c r="BV2" s="87" t="s">
        <v>940</v>
      </c>
      <c r="BW2" s="87" t="s">
        <v>941</v>
      </c>
      <c r="BX2" s="87" t="s">
        <v>1256</v>
      </c>
      <c r="BY2" s="87" t="s">
        <v>1258</v>
      </c>
      <c r="BZ2" s="87" t="s">
        <v>1260</v>
      </c>
      <c r="CA2" s="87" t="s">
        <v>1262</v>
      </c>
      <c r="CB2" s="87" t="s">
        <v>1126</v>
      </c>
      <c r="CC2" s="87" t="s">
        <v>1131</v>
      </c>
      <c r="CD2" s="87" t="s">
        <v>1136</v>
      </c>
      <c r="CE2" s="87" t="s">
        <v>1141</v>
      </c>
      <c r="CF2" s="87" t="s">
        <v>1255</v>
      </c>
      <c r="CG2" s="87" t="s">
        <v>1257</v>
      </c>
      <c r="CH2" s="87" t="s">
        <v>1259</v>
      </c>
      <c r="CI2" s="87" t="s">
        <v>1261</v>
      </c>
      <c r="CJ2" s="87" t="s">
        <v>1263</v>
      </c>
      <c r="CK2" s="87" t="s">
        <v>1264</v>
      </c>
      <c r="CL2" s="87" t="s">
        <v>1142</v>
      </c>
      <c r="CM2" s="87" t="s">
        <v>1143</v>
      </c>
      <c r="CN2" s="87" t="s">
        <v>1122</v>
      </c>
      <c r="CO2" s="87" t="s">
        <v>1123</v>
      </c>
      <c r="CP2" s="87" t="s">
        <v>1124</v>
      </c>
      <c r="CQ2" s="87" t="s">
        <v>1125</v>
      </c>
      <c r="CR2" s="87" t="s">
        <v>1127</v>
      </c>
      <c r="CS2" s="87" t="s">
        <v>1128</v>
      </c>
      <c r="CT2" s="87" t="s">
        <v>1129</v>
      </c>
      <c r="CU2" s="87" t="s">
        <v>1130</v>
      </c>
      <c r="CV2" s="87" t="s">
        <v>1132</v>
      </c>
      <c r="CW2" s="87" t="s">
        <v>1133</v>
      </c>
      <c r="CX2" s="87" t="s">
        <v>1134</v>
      </c>
      <c r="CY2" s="87" t="s">
        <v>1135</v>
      </c>
      <c r="CZ2" s="87" t="s">
        <v>1137</v>
      </c>
      <c r="DA2" s="87" t="s">
        <v>1138</v>
      </c>
      <c r="DB2" s="87" t="s">
        <v>1139</v>
      </c>
      <c r="DC2" s="87" t="s">
        <v>1140</v>
      </c>
      <c r="DD2" s="87" t="s">
        <v>1307</v>
      </c>
      <c r="DE2" s="87" t="s">
        <v>1308</v>
      </c>
      <c r="DF2" s="87" t="s">
        <v>1309</v>
      </c>
      <c r="DG2" s="87" t="s">
        <v>1340</v>
      </c>
      <c r="DH2" s="87" t="s">
        <v>1341</v>
      </c>
      <c r="DI2" s="87" t="s">
        <v>1342</v>
      </c>
      <c r="DJ2" s="87" t="s">
        <v>1347</v>
      </c>
      <c r="DK2" s="87" t="s">
        <v>1348</v>
      </c>
      <c r="DL2" s="87" t="s">
        <v>1349</v>
      </c>
      <c r="DM2" s="87" t="s">
        <v>206</v>
      </c>
      <c r="DN2" s="87" t="s">
        <v>207</v>
      </c>
      <c r="DO2" s="87" t="s">
        <v>208</v>
      </c>
      <c r="DP2" s="87" t="s">
        <v>210</v>
      </c>
      <c r="DQ2" s="87" t="s">
        <v>211</v>
      </c>
      <c r="DR2" s="87" t="s">
        <v>212</v>
      </c>
      <c r="DS2" s="87" t="s">
        <v>775</v>
      </c>
      <c r="DT2" s="87" t="s">
        <v>593</v>
      </c>
      <c r="DU2" s="87" t="s">
        <v>780</v>
      </c>
      <c r="DV2" s="87" t="s">
        <v>781</v>
      </c>
      <c r="DW2" s="87" t="s">
        <v>918</v>
      </c>
      <c r="DX2" s="87" t="s">
        <v>919</v>
      </c>
      <c r="DY2" s="87" t="s">
        <v>1105</v>
      </c>
      <c r="DZ2" s="87" t="s">
        <v>1395</v>
      </c>
      <c r="EA2" s="87" t="s">
        <v>1104</v>
      </c>
      <c r="EB2" s="87" t="s">
        <v>903</v>
      </c>
      <c r="EC2" s="87" t="s">
        <v>904</v>
      </c>
      <c r="ED2" s="87" t="s">
        <v>905</v>
      </c>
      <c r="EE2" s="87" t="s">
        <v>2356</v>
      </c>
      <c r="EF2" s="87" t="s">
        <v>2357</v>
      </c>
      <c r="EG2" s="87" t="s">
        <v>1389</v>
      </c>
      <c r="EH2" s="87" t="s">
        <v>1390</v>
      </c>
      <c r="EI2" s="87" t="s">
        <v>1391</v>
      </c>
      <c r="EJ2" s="87" t="s">
        <v>1412</v>
      </c>
      <c r="EK2" s="87" t="s">
        <v>1413</v>
      </c>
      <c r="EL2" s="87" t="s">
        <v>1430</v>
      </c>
      <c r="EM2" s="87" t="s">
        <v>1448</v>
      </c>
      <c r="EN2" s="87" t="s">
        <v>2358</v>
      </c>
      <c r="EO2" s="87" t="s">
        <v>1559</v>
      </c>
      <c r="EP2" s="87" t="s">
        <v>1564</v>
      </c>
      <c r="EQ2" s="87" t="s">
        <v>1586</v>
      </c>
      <c r="ER2" s="87" t="s">
        <v>1591</v>
      </c>
      <c r="ES2" s="87" t="s">
        <v>1578</v>
      </c>
      <c r="ET2" s="87" t="s">
        <v>1579</v>
      </c>
      <c r="EU2" s="87" t="s">
        <v>1580</v>
      </c>
      <c r="EV2" s="87" t="s">
        <v>1581</v>
      </c>
      <c r="EW2" s="87" t="s">
        <v>1594</v>
      </c>
      <c r="EX2" s="87" t="s">
        <v>1595</v>
      </c>
      <c r="EY2" s="87" t="s">
        <v>1596</v>
      </c>
      <c r="EZ2" s="87" t="s">
        <v>1597</v>
      </c>
      <c r="FA2" s="87" t="s">
        <v>1598</v>
      </c>
      <c r="FB2" s="87" t="s">
        <v>1600</v>
      </c>
      <c r="FC2" s="87" t="s">
        <v>1601</v>
      </c>
      <c r="FD2" s="87" t="s">
        <v>1602</v>
      </c>
      <c r="FE2" s="87" t="s">
        <v>1603</v>
      </c>
      <c r="FF2" s="87" t="s">
        <v>1604</v>
      </c>
      <c r="FG2" s="87" t="s">
        <v>1605</v>
      </c>
      <c r="FH2" s="87" t="s">
        <v>1643</v>
      </c>
      <c r="FI2" s="87" t="s">
        <v>1644</v>
      </c>
      <c r="FJ2" s="87" t="s">
        <v>1674</v>
      </c>
      <c r="FK2" s="87" t="s">
        <v>2359</v>
      </c>
      <c r="FL2" s="87" t="s">
        <v>2360</v>
      </c>
      <c r="FM2" s="87" t="s">
        <v>1860</v>
      </c>
      <c r="FN2" s="87" t="s">
        <v>2361</v>
      </c>
      <c r="FO2" s="87" t="s">
        <v>2362</v>
      </c>
      <c r="FP2" s="87" t="s">
        <v>2363</v>
      </c>
      <c r="FQ2" s="87" t="s">
        <v>2364</v>
      </c>
      <c r="FR2" s="87" t="s">
        <v>2365</v>
      </c>
      <c r="FS2" s="87" t="s">
        <v>1689</v>
      </c>
      <c r="FT2" s="106" t="s">
        <v>1696</v>
      </c>
      <c r="FU2" s="106" t="s">
        <v>1710</v>
      </c>
      <c r="FV2" s="106" t="s">
        <v>1711</v>
      </c>
      <c r="FW2" s="87" t="s">
        <v>1712</v>
      </c>
      <c r="FX2" s="87" t="s">
        <v>1713</v>
      </c>
      <c r="FY2" s="87" t="s">
        <v>2366</v>
      </c>
      <c r="FZ2" s="87" t="s">
        <v>2367</v>
      </c>
      <c r="GA2" s="87" t="s">
        <v>2368</v>
      </c>
      <c r="GB2" s="87" t="s">
        <v>2369</v>
      </c>
      <c r="GC2" s="87" t="s">
        <v>1846</v>
      </c>
      <c r="GD2" s="87" t="s">
        <v>1848</v>
      </c>
      <c r="GE2" s="87" t="s">
        <v>1852</v>
      </c>
      <c r="GF2" s="87" t="s">
        <v>1936</v>
      </c>
      <c r="GG2" s="87" t="s">
        <v>1937</v>
      </c>
      <c r="GH2" s="87" t="s">
        <v>1840</v>
      </c>
      <c r="GI2" s="87" t="s">
        <v>1842</v>
      </c>
      <c r="GJ2" s="87" t="s">
        <v>1933</v>
      </c>
      <c r="GK2" s="87" t="s">
        <v>1934</v>
      </c>
      <c r="GL2" s="87" t="s">
        <v>1844</v>
      </c>
      <c r="GM2" s="87" t="s">
        <v>1935</v>
      </c>
      <c r="GN2" s="87" t="s">
        <v>1834</v>
      </c>
      <c r="GO2" s="87" t="s">
        <v>1835</v>
      </c>
      <c r="GP2" s="87" t="s">
        <v>1836</v>
      </c>
      <c r="GQ2" s="87" t="s">
        <v>1837</v>
      </c>
      <c r="GR2" s="87" t="s">
        <v>1939</v>
      </c>
      <c r="GS2" s="87" t="s">
        <v>1940</v>
      </c>
      <c r="GT2" s="87" t="s">
        <v>1941</v>
      </c>
      <c r="GU2" s="87" t="s">
        <v>2008</v>
      </c>
      <c r="GV2" s="87" t="s">
        <v>1942</v>
      </c>
      <c r="GW2" s="87" t="s">
        <v>1838</v>
      </c>
      <c r="GX2" s="87" t="s">
        <v>2009</v>
      </c>
      <c r="GY2" s="87" t="s">
        <v>2004</v>
      </c>
      <c r="GZ2" s="87" t="s">
        <v>2005</v>
      </c>
      <c r="HA2" s="87" t="s">
        <v>2006</v>
      </c>
      <c r="HB2" s="87" t="s">
        <v>2218</v>
      </c>
      <c r="HC2" s="87" t="s">
        <v>2221</v>
      </c>
      <c r="HD2" s="87" t="s">
        <v>2224</v>
      </c>
      <c r="HE2" s="87" t="s">
        <v>2225</v>
      </c>
      <c r="HF2" s="87" t="s">
        <v>2226</v>
      </c>
      <c r="HG2" s="87" t="s">
        <v>2227</v>
      </c>
      <c r="HH2" s="87" t="s">
        <v>2228</v>
      </c>
      <c r="HI2" s="87" t="s">
        <v>2229</v>
      </c>
      <c r="HJ2" s="87" t="s">
        <v>2007</v>
      </c>
      <c r="HK2" s="87" t="s">
        <v>2219</v>
      </c>
      <c r="HL2" s="87" t="s">
        <v>2222</v>
      </c>
      <c r="HM2" s="87" t="s">
        <v>2220</v>
      </c>
      <c r="HN2" s="87" t="s">
        <v>2223</v>
      </c>
      <c r="HO2" s="87" t="s">
        <v>2197</v>
      </c>
      <c r="HP2" s="87" t="s">
        <v>2243</v>
      </c>
      <c r="HQ2" s="87" t="s">
        <v>2327</v>
      </c>
      <c r="HR2" s="87" t="s">
        <v>2244</v>
      </c>
      <c r="HS2" s="87" t="s">
        <v>2261</v>
      </c>
      <c r="HT2" s="87" t="s">
        <v>2310</v>
      </c>
      <c r="HU2" s="87" t="s">
        <v>2245</v>
      </c>
      <c r="HV2" s="87" t="s">
        <v>2249</v>
      </c>
      <c r="HW2" s="87" t="s">
        <v>2246</v>
      </c>
      <c r="HX2" s="87" t="s">
        <v>2258</v>
      </c>
      <c r="HY2" s="87" t="s">
        <v>2247</v>
      </c>
      <c r="HZ2" s="87" t="s">
        <v>2248</v>
      </c>
      <c r="IA2" s="87" t="s">
        <v>2260</v>
      </c>
      <c r="IB2" s="87" t="s">
        <v>2250</v>
      </c>
      <c r="IC2" s="87" t="s">
        <v>2251</v>
      </c>
      <c r="ID2" s="87" t="s">
        <v>2252</v>
      </c>
      <c r="IE2" s="87" t="s">
        <v>2253</v>
      </c>
      <c r="IF2" s="87" t="s">
        <v>2324</v>
      </c>
      <c r="IG2" s="87" t="s">
        <v>2254</v>
      </c>
      <c r="IH2" s="87" t="s">
        <v>2255</v>
      </c>
      <c r="II2" s="87" t="s">
        <v>2256</v>
      </c>
      <c r="IJ2" s="87" t="s">
        <v>2325</v>
      </c>
      <c r="IK2" s="87" t="s">
        <v>2257</v>
      </c>
      <c r="IL2" s="87" t="s">
        <v>2259</v>
      </c>
      <c r="IM2" s="87" t="s">
        <v>2326</v>
      </c>
      <c r="IN2" s="87" t="s">
        <v>2309</v>
      </c>
      <c r="IO2" s="87" t="s">
        <v>2311</v>
      </c>
      <c r="IP2" s="87" t="s">
        <v>2312</v>
      </c>
      <c r="IQ2" s="87" t="s">
        <v>2347</v>
      </c>
      <c r="IR2" s="87" t="s">
        <v>2328</v>
      </c>
      <c r="IS2" s="87" t="s">
        <v>2329</v>
      </c>
      <c r="IT2" s="87" t="s">
        <v>2330</v>
      </c>
      <c r="IU2" s="87" t="s">
        <v>2331</v>
      </c>
      <c r="IV2" s="87" t="s">
        <v>2370</v>
      </c>
      <c r="IW2" s="87" t="s">
        <v>2371</v>
      </c>
      <c r="IX2" s="87" t="s">
        <v>2372</v>
      </c>
      <c r="IY2" s="87" t="s">
        <v>314</v>
      </c>
      <c r="IZ2" s="87" t="s">
        <v>2373</v>
      </c>
      <c r="JA2" s="87" t="s">
        <v>2374</v>
      </c>
      <c r="JB2" s="87" t="s">
        <v>986</v>
      </c>
      <c r="JC2" s="87" t="s">
        <v>1458</v>
      </c>
      <c r="JD2" s="543"/>
      <c r="JE2" s="87" t="s">
        <v>2375</v>
      </c>
      <c r="JF2" s="87" t="s">
        <v>2376</v>
      </c>
      <c r="JG2" s="87" t="s">
        <v>2377</v>
      </c>
      <c r="JH2" s="87" t="s">
        <v>2378</v>
      </c>
      <c r="JI2" s="87" t="s">
        <v>2379</v>
      </c>
      <c r="JJ2" s="87" t="s">
        <v>2380</v>
      </c>
      <c r="JK2" s="87" t="s">
        <v>2381</v>
      </c>
      <c r="JL2" s="87" t="s">
        <v>2382</v>
      </c>
      <c r="JM2" s="87" t="s">
        <v>2383</v>
      </c>
      <c r="JN2" s="87" t="s">
        <v>2384</v>
      </c>
      <c r="JO2" s="87" t="s">
        <v>2385</v>
      </c>
      <c r="JP2" s="87" t="s">
        <v>2386</v>
      </c>
      <c r="JQ2" s="87" t="s">
        <v>2387</v>
      </c>
      <c r="JR2" s="87" t="s">
        <v>1999</v>
      </c>
      <c r="JS2" s="87" t="s">
        <v>2388</v>
      </c>
      <c r="JT2" s="87" t="s">
        <v>2389</v>
      </c>
      <c r="JU2" s="87" t="s">
        <v>2390</v>
      </c>
      <c r="JV2" s="87" t="s">
        <v>2000</v>
      </c>
      <c r="JW2" s="87" t="s">
        <v>2391</v>
      </c>
      <c r="JX2" s="87" t="s">
        <v>2392</v>
      </c>
      <c r="JY2" s="87" t="s">
        <v>2393</v>
      </c>
      <c r="JZ2" s="87" t="s">
        <v>1950</v>
      </c>
      <c r="KA2" s="87" t="s">
        <v>1951</v>
      </c>
      <c r="KB2" s="87" t="s">
        <v>1974</v>
      </c>
      <c r="KC2" s="87" t="s">
        <v>1975</v>
      </c>
      <c r="KD2" s="87" t="s">
        <v>1987</v>
      </c>
      <c r="KE2" s="87" t="s">
        <v>1988</v>
      </c>
    </row>
    <row r="3" spans="1:291">
      <c r="A3" s="78" t="s">
        <v>2394</v>
      </c>
      <c r="B3" s="83">
        <v>662</v>
      </c>
      <c r="C3" s="101" t="s">
        <v>72</v>
      </c>
      <c r="D3" s="87" t="s">
        <v>372</v>
      </c>
      <c r="E3" s="87" t="s">
        <v>215</v>
      </c>
      <c r="F3" s="87" t="s">
        <v>373</v>
      </c>
      <c r="G3" s="87" t="s">
        <v>336</v>
      </c>
      <c r="H3" s="87" t="s">
        <v>372</v>
      </c>
      <c r="I3" s="87" t="s">
        <v>215</v>
      </c>
      <c r="J3" s="87" t="s">
        <v>373</v>
      </c>
      <c r="K3" s="87" t="s">
        <v>93</v>
      </c>
      <c r="L3" s="87" t="s">
        <v>93</v>
      </c>
      <c r="M3" s="87" t="s">
        <v>372</v>
      </c>
      <c r="N3" s="87" t="s">
        <v>215</v>
      </c>
      <c r="O3" s="87" t="s">
        <v>373</v>
      </c>
      <c r="P3" s="87" t="s">
        <v>93</v>
      </c>
      <c r="Q3" s="87" t="s">
        <v>372</v>
      </c>
      <c r="R3" s="87" t="s">
        <v>215</v>
      </c>
      <c r="S3" s="87" t="s">
        <v>373</v>
      </c>
      <c r="T3" s="87" t="s">
        <v>340</v>
      </c>
      <c r="U3" s="87" t="s">
        <v>372</v>
      </c>
      <c r="V3" s="87" t="s">
        <v>372</v>
      </c>
      <c r="W3" s="87" t="s">
        <v>93</v>
      </c>
      <c r="X3" s="87" t="s">
        <v>215</v>
      </c>
      <c r="Y3" s="87" t="s">
        <v>373</v>
      </c>
      <c r="Z3" s="87" t="s">
        <v>93</v>
      </c>
      <c r="AA3" s="87" t="s">
        <v>372</v>
      </c>
      <c r="AB3" s="87" t="s">
        <v>215</v>
      </c>
      <c r="AC3" s="87" t="s">
        <v>373</v>
      </c>
      <c r="AD3" s="87" t="s">
        <v>93</v>
      </c>
      <c r="AE3" s="87" t="s">
        <v>372</v>
      </c>
      <c r="AF3" s="87" t="s">
        <v>215</v>
      </c>
      <c r="AG3" s="87" t="s">
        <v>373</v>
      </c>
      <c r="AH3" s="87" t="s">
        <v>93</v>
      </c>
      <c r="AI3" s="87" t="s">
        <v>372</v>
      </c>
      <c r="AJ3" s="87" t="s">
        <v>215</v>
      </c>
      <c r="AK3" s="87" t="s">
        <v>373</v>
      </c>
      <c r="AL3" s="87" t="s">
        <v>372</v>
      </c>
      <c r="AM3" s="87" t="s">
        <v>372</v>
      </c>
      <c r="AN3" s="87" t="s">
        <v>215</v>
      </c>
      <c r="AO3" s="87" t="s">
        <v>215</v>
      </c>
      <c r="AP3" s="87" t="s">
        <v>373</v>
      </c>
      <c r="AQ3" s="87" t="s">
        <v>373</v>
      </c>
      <c r="AR3" s="87" t="s">
        <v>93</v>
      </c>
      <c r="AS3" s="87" t="s">
        <v>93</v>
      </c>
      <c r="AT3" s="87" t="s">
        <v>340</v>
      </c>
      <c r="AU3" s="87" t="s">
        <v>372</v>
      </c>
      <c r="AV3" s="87" t="s">
        <v>93</v>
      </c>
      <c r="AW3" s="87" t="s">
        <v>93</v>
      </c>
      <c r="AX3" s="87" t="s">
        <v>215</v>
      </c>
      <c r="AY3" s="87" t="s">
        <v>215</v>
      </c>
      <c r="AZ3" s="87" t="s">
        <v>373</v>
      </c>
      <c r="BA3" s="87" t="s">
        <v>373</v>
      </c>
      <c r="BB3" s="87" t="s">
        <v>372</v>
      </c>
      <c r="BC3" s="87" t="s">
        <v>215</v>
      </c>
      <c r="BD3" s="87" t="s">
        <v>373</v>
      </c>
      <c r="BE3" s="87" t="s">
        <v>93</v>
      </c>
      <c r="BF3" s="87" t="s">
        <v>340</v>
      </c>
      <c r="BG3" s="87" t="s">
        <v>372</v>
      </c>
      <c r="BH3" s="87" t="s">
        <v>93</v>
      </c>
      <c r="BI3" s="87" t="s">
        <v>93</v>
      </c>
      <c r="BJ3" s="87" t="s">
        <v>215</v>
      </c>
      <c r="BK3" s="87" t="s">
        <v>215</v>
      </c>
      <c r="BL3" s="106" t="s">
        <v>373</v>
      </c>
      <c r="BM3" s="106" t="s">
        <v>373</v>
      </c>
      <c r="BN3" s="87" t="s">
        <v>372</v>
      </c>
      <c r="BO3" s="87" t="s">
        <v>93</v>
      </c>
      <c r="BP3" s="87" t="s">
        <v>215</v>
      </c>
      <c r="BQ3" s="87" t="s">
        <v>373</v>
      </c>
      <c r="BR3" s="87" t="s">
        <v>372</v>
      </c>
      <c r="BS3" s="87" t="s">
        <v>93</v>
      </c>
      <c r="BT3" s="87" t="s">
        <v>215</v>
      </c>
      <c r="BU3" s="87" t="s">
        <v>373</v>
      </c>
      <c r="BV3" s="87" t="s">
        <v>340</v>
      </c>
      <c r="BW3" s="87" t="s">
        <v>372</v>
      </c>
      <c r="BX3" s="87" t="s">
        <v>372</v>
      </c>
      <c r="BY3" s="87" t="s">
        <v>215</v>
      </c>
      <c r="BZ3" s="87" t="s">
        <v>373</v>
      </c>
      <c r="CA3" s="87" t="s">
        <v>93</v>
      </c>
      <c r="CB3" s="87" t="s">
        <v>372</v>
      </c>
      <c r="CC3" s="87" t="s">
        <v>215</v>
      </c>
      <c r="CD3" s="87" t="s">
        <v>373</v>
      </c>
      <c r="CE3" s="87" t="s">
        <v>93</v>
      </c>
      <c r="CF3" s="87" t="s">
        <v>372</v>
      </c>
      <c r="CG3" s="87" t="s">
        <v>215</v>
      </c>
      <c r="CH3" s="87" t="s">
        <v>373</v>
      </c>
      <c r="CI3" s="87" t="s">
        <v>93</v>
      </c>
      <c r="CJ3" s="87" t="s">
        <v>340</v>
      </c>
      <c r="CK3" s="87" t="s">
        <v>372</v>
      </c>
      <c r="CL3" s="87" t="s">
        <v>340</v>
      </c>
      <c r="CM3" s="87" t="s">
        <v>372</v>
      </c>
      <c r="CN3" s="87" t="s">
        <v>372</v>
      </c>
      <c r="CO3" s="87" t="s">
        <v>372</v>
      </c>
      <c r="CP3" s="87" t="s">
        <v>372</v>
      </c>
      <c r="CQ3" s="87" t="s">
        <v>372</v>
      </c>
      <c r="CR3" s="87" t="s">
        <v>215</v>
      </c>
      <c r="CS3" s="87" t="s">
        <v>215</v>
      </c>
      <c r="CT3" s="87" t="s">
        <v>215</v>
      </c>
      <c r="CU3" s="87" t="s">
        <v>215</v>
      </c>
      <c r="CV3" s="87" t="s">
        <v>373</v>
      </c>
      <c r="CW3" s="87" t="s">
        <v>373</v>
      </c>
      <c r="CX3" s="87" t="s">
        <v>373</v>
      </c>
      <c r="CY3" s="87" t="s">
        <v>373</v>
      </c>
      <c r="CZ3" s="87" t="s">
        <v>93</v>
      </c>
      <c r="DA3" s="87" t="s">
        <v>93</v>
      </c>
      <c r="DB3" s="87" t="s">
        <v>93</v>
      </c>
      <c r="DC3" s="87" t="s">
        <v>93</v>
      </c>
      <c r="DD3" s="87" t="s">
        <v>93</v>
      </c>
      <c r="DE3" s="87" t="s">
        <v>93</v>
      </c>
      <c r="DF3" s="87" t="s">
        <v>93</v>
      </c>
      <c r="DG3" s="87" t="s">
        <v>215</v>
      </c>
      <c r="DH3" s="87" t="s">
        <v>215</v>
      </c>
      <c r="DI3" s="87" t="s">
        <v>215</v>
      </c>
      <c r="DJ3" s="87" t="s">
        <v>373</v>
      </c>
      <c r="DK3" s="87" t="s">
        <v>373</v>
      </c>
      <c r="DL3" s="87" t="s">
        <v>373</v>
      </c>
      <c r="DM3" s="87" t="s">
        <v>154</v>
      </c>
      <c r="DN3" s="87" t="s">
        <v>154</v>
      </c>
      <c r="DO3" s="87" t="s">
        <v>215</v>
      </c>
      <c r="DP3" s="87" t="s">
        <v>215</v>
      </c>
      <c r="DQ3" s="87" t="s">
        <v>215</v>
      </c>
      <c r="DR3" s="87" t="s">
        <v>215</v>
      </c>
      <c r="DS3" s="87" t="s">
        <v>340</v>
      </c>
      <c r="DT3" s="87" t="s">
        <v>340</v>
      </c>
      <c r="DU3" s="87" t="s">
        <v>340</v>
      </c>
      <c r="DV3" s="87" t="s">
        <v>340</v>
      </c>
      <c r="DW3" s="87" t="s">
        <v>340</v>
      </c>
      <c r="DX3" s="87" t="s">
        <v>340</v>
      </c>
      <c r="DY3" s="87" t="s">
        <v>154</v>
      </c>
      <c r="DZ3" s="87" t="s">
        <v>215</v>
      </c>
      <c r="EA3" s="87" t="s">
        <v>340</v>
      </c>
      <c r="EB3" s="87" t="s">
        <v>93</v>
      </c>
      <c r="EC3" s="87" t="s">
        <v>93</v>
      </c>
      <c r="ED3" s="87" t="s">
        <v>93</v>
      </c>
      <c r="EE3" s="87" t="s">
        <v>340</v>
      </c>
      <c r="EF3" s="87" t="s">
        <v>340</v>
      </c>
      <c r="EG3" s="87" t="s">
        <v>382</v>
      </c>
      <c r="EH3" s="87" t="s">
        <v>215</v>
      </c>
      <c r="EI3" s="87" t="s">
        <v>647</v>
      </c>
      <c r="EJ3" s="87" t="s">
        <v>215</v>
      </c>
      <c r="EK3" s="87" t="s">
        <v>992</v>
      </c>
      <c r="EL3" s="87" t="s">
        <v>93</v>
      </c>
      <c r="EM3" s="87" t="s">
        <v>215</v>
      </c>
      <c r="EN3" s="87" t="s">
        <v>340</v>
      </c>
      <c r="EO3" s="87" t="s">
        <v>93</v>
      </c>
      <c r="EP3" s="87" t="s">
        <v>93</v>
      </c>
      <c r="EQ3" s="87" t="s">
        <v>340</v>
      </c>
      <c r="ER3" s="87" t="s">
        <v>340</v>
      </c>
      <c r="ES3" s="87" t="s">
        <v>93</v>
      </c>
      <c r="ET3" s="87" t="s">
        <v>93</v>
      </c>
      <c r="EU3" s="87" t="s">
        <v>93</v>
      </c>
      <c r="EV3" s="87" t="s">
        <v>93</v>
      </c>
      <c r="EW3" s="87" t="s">
        <v>340</v>
      </c>
      <c r="EX3" s="87" t="s">
        <v>340</v>
      </c>
      <c r="EY3" s="87" t="s">
        <v>340</v>
      </c>
      <c r="EZ3" s="87" t="s">
        <v>340</v>
      </c>
      <c r="FA3" s="87" t="s">
        <v>340</v>
      </c>
      <c r="FB3" s="87" t="s">
        <v>93</v>
      </c>
      <c r="FC3" s="87" t="s">
        <v>93</v>
      </c>
      <c r="FD3" s="87" t="s">
        <v>93</v>
      </c>
      <c r="FE3" s="87" t="s">
        <v>93</v>
      </c>
      <c r="FF3" s="87" t="s">
        <v>93</v>
      </c>
      <c r="FG3" s="87" t="s">
        <v>93</v>
      </c>
      <c r="FH3" s="87" t="s">
        <v>93</v>
      </c>
      <c r="FI3" s="87" t="s">
        <v>93</v>
      </c>
      <c r="FJ3" s="87" t="s">
        <v>103</v>
      </c>
      <c r="FK3" s="87" t="s">
        <v>103</v>
      </c>
      <c r="FL3" s="87" t="s">
        <v>103</v>
      </c>
      <c r="FM3" s="87" t="s">
        <v>103</v>
      </c>
      <c r="FN3" s="87" t="s">
        <v>103</v>
      </c>
      <c r="FO3" s="87" t="s">
        <v>103</v>
      </c>
      <c r="FP3" s="87" t="s">
        <v>340</v>
      </c>
      <c r="FQ3" s="87" t="s">
        <v>340</v>
      </c>
      <c r="FR3" s="87" t="s">
        <v>2147</v>
      </c>
      <c r="FS3" s="87" t="s">
        <v>93</v>
      </c>
      <c r="FT3" s="106" t="s">
        <v>93</v>
      </c>
      <c r="FU3" s="106" t="s">
        <v>93</v>
      </c>
      <c r="FV3" s="106" t="s">
        <v>93</v>
      </c>
      <c r="FW3" s="87" t="s">
        <v>154</v>
      </c>
      <c r="FX3" s="87" t="s">
        <v>154</v>
      </c>
      <c r="FY3" s="87" t="s">
        <v>93</v>
      </c>
      <c r="FZ3" s="87" t="s">
        <v>93</v>
      </c>
      <c r="GA3" s="87" t="s">
        <v>93</v>
      </c>
      <c r="GB3" s="87" t="s">
        <v>93</v>
      </c>
      <c r="GC3" s="87" t="s">
        <v>103</v>
      </c>
      <c r="GD3" s="87" t="s">
        <v>103</v>
      </c>
      <c r="GE3" s="87" t="s">
        <v>103</v>
      </c>
      <c r="GF3" s="87" t="s">
        <v>103</v>
      </c>
      <c r="GG3" s="87" t="s">
        <v>103</v>
      </c>
      <c r="GH3" s="87" t="s">
        <v>103</v>
      </c>
      <c r="GI3" s="87" t="s">
        <v>103</v>
      </c>
      <c r="GJ3" s="87" t="s">
        <v>103</v>
      </c>
      <c r="GK3" s="87" t="s">
        <v>103</v>
      </c>
      <c r="GL3" s="87" t="s">
        <v>103</v>
      </c>
      <c r="GM3" s="87" t="s">
        <v>103</v>
      </c>
      <c r="GN3" s="87" t="s">
        <v>154</v>
      </c>
      <c r="GO3" s="87" t="s">
        <v>154</v>
      </c>
      <c r="GP3" s="87" t="s">
        <v>154</v>
      </c>
      <c r="GQ3" s="87" t="s">
        <v>154</v>
      </c>
      <c r="GR3" s="87" t="s">
        <v>154</v>
      </c>
      <c r="GS3" s="87" t="s">
        <v>154</v>
      </c>
      <c r="GT3" s="87" t="s">
        <v>154</v>
      </c>
      <c r="GU3" s="87" t="s">
        <v>154</v>
      </c>
      <c r="GV3" s="87" t="s">
        <v>154</v>
      </c>
      <c r="GW3" s="87" t="s">
        <v>154</v>
      </c>
      <c r="GX3" s="87" t="s">
        <v>154</v>
      </c>
      <c r="GY3" s="87" t="s">
        <v>103</v>
      </c>
      <c r="GZ3" s="87" t="s">
        <v>103</v>
      </c>
      <c r="HA3" s="87" t="s">
        <v>103</v>
      </c>
      <c r="HB3" s="87" t="s">
        <v>2230</v>
      </c>
      <c r="HC3" s="87" t="s">
        <v>2230</v>
      </c>
      <c r="HD3" s="87" t="s">
        <v>2230</v>
      </c>
      <c r="HE3" s="87" t="s">
        <v>2230</v>
      </c>
      <c r="HF3" s="87" t="s">
        <v>2230</v>
      </c>
      <c r="HG3" s="87" t="s">
        <v>2230</v>
      </c>
      <c r="HH3" s="87" t="s">
        <v>2230</v>
      </c>
      <c r="HI3" s="87" t="s">
        <v>2230</v>
      </c>
      <c r="HJ3" s="87" t="s">
        <v>154</v>
      </c>
      <c r="HK3" s="87" t="s">
        <v>2230</v>
      </c>
      <c r="HL3" s="87" t="s">
        <v>2230</v>
      </c>
      <c r="HM3" s="87" t="s">
        <v>2230</v>
      </c>
      <c r="HN3" s="87" t="s">
        <v>2230</v>
      </c>
      <c r="HO3" s="87" t="s">
        <v>103</v>
      </c>
      <c r="HP3" s="87" t="s">
        <v>2102</v>
      </c>
      <c r="HQ3" s="87" t="s">
        <v>2141</v>
      </c>
      <c r="HR3" s="87" t="s">
        <v>2104</v>
      </c>
      <c r="HS3" s="87" t="s">
        <v>2152</v>
      </c>
      <c r="HT3" s="87" t="s">
        <v>2107</v>
      </c>
      <c r="HU3" s="87" t="s">
        <v>2113</v>
      </c>
      <c r="HV3" s="87" t="s">
        <v>340</v>
      </c>
      <c r="HW3" s="87" t="s">
        <v>2115</v>
      </c>
      <c r="HX3" s="87" t="s">
        <v>2147</v>
      </c>
      <c r="HY3" s="87" t="s">
        <v>2117</v>
      </c>
      <c r="HZ3" s="87" t="s">
        <v>2119</v>
      </c>
      <c r="IA3" s="87" t="s">
        <v>2154</v>
      </c>
      <c r="IB3" s="87" t="s">
        <v>2121</v>
      </c>
      <c r="IC3" s="87" t="s">
        <v>2123</v>
      </c>
      <c r="ID3" s="87" t="s">
        <v>2125</v>
      </c>
      <c r="IE3" s="87" t="s">
        <v>1670</v>
      </c>
      <c r="IF3" s="87" t="s">
        <v>2129</v>
      </c>
      <c r="IG3" s="87" t="s">
        <v>2131</v>
      </c>
      <c r="IH3" s="87" t="s">
        <v>2139</v>
      </c>
      <c r="II3" s="87" t="s">
        <v>336</v>
      </c>
      <c r="IJ3" s="87" t="s">
        <v>2099</v>
      </c>
      <c r="IK3" s="87" t="s">
        <v>2144</v>
      </c>
      <c r="IL3" s="87" t="s">
        <v>2149</v>
      </c>
      <c r="IM3" s="87" t="s">
        <v>485</v>
      </c>
      <c r="IN3" s="87" t="s">
        <v>215</v>
      </c>
      <c r="IO3" s="87" t="s">
        <v>2134</v>
      </c>
      <c r="IP3" s="87" t="s">
        <v>2110</v>
      </c>
      <c r="IQ3" s="87" t="s">
        <v>372</v>
      </c>
      <c r="IR3" s="87" t="s">
        <v>2127</v>
      </c>
      <c r="IS3" s="87" t="s">
        <v>382</v>
      </c>
      <c r="IT3" s="87" t="s">
        <v>2146</v>
      </c>
      <c r="IU3" s="87" t="s">
        <v>643</v>
      </c>
      <c r="IV3" s="87" t="s">
        <v>93</v>
      </c>
      <c r="IW3" s="87" t="s">
        <v>93</v>
      </c>
      <c r="IX3" s="87" t="s">
        <v>93</v>
      </c>
      <c r="IY3" s="87" t="s">
        <v>93</v>
      </c>
      <c r="IZ3" s="87" t="s">
        <v>93</v>
      </c>
      <c r="JA3" s="87" t="s">
        <v>103</v>
      </c>
      <c r="JB3" s="87" t="s">
        <v>93</v>
      </c>
      <c r="JC3" s="87" t="s">
        <v>340</v>
      </c>
      <c r="JD3" s="543"/>
      <c r="JE3" s="87" t="s">
        <v>372</v>
      </c>
      <c r="JF3" s="87" t="s">
        <v>215</v>
      </c>
      <c r="JG3" s="87" t="s">
        <v>373</v>
      </c>
      <c r="JH3" s="87" t="s">
        <v>93</v>
      </c>
      <c r="JI3" s="87" t="s">
        <v>93</v>
      </c>
      <c r="JJ3" s="87" t="s">
        <v>215</v>
      </c>
      <c r="JK3" s="87" t="s">
        <v>373</v>
      </c>
      <c r="JL3" s="87" t="s">
        <v>372</v>
      </c>
      <c r="JM3" s="87" t="s">
        <v>215</v>
      </c>
      <c r="JN3" s="87" t="s">
        <v>373</v>
      </c>
      <c r="JO3" s="87" t="s">
        <v>93</v>
      </c>
      <c r="JP3" s="87" t="s">
        <v>93</v>
      </c>
      <c r="JQ3" s="87" t="s">
        <v>215</v>
      </c>
      <c r="JR3" s="87" t="s">
        <v>372</v>
      </c>
      <c r="JS3" s="87" t="s">
        <v>215</v>
      </c>
      <c r="JT3" s="87" t="s">
        <v>373</v>
      </c>
      <c r="JU3" s="87" t="s">
        <v>93</v>
      </c>
      <c r="JV3" s="87" t="s">
        <v>372</v>
      </c>
      <c r="JW3" s="87" t="s">
        <v>215</v>
      </c>
      <c r="JX3" s="87" t="s">
        <v>373</v>
      </c>
      <c r="JY3" s="87" t="s">
        <v>93</v>
      </c>
      <c r="JZ3" s="87" t="s">
        <v>93</v>
      </c>
      <c r="KA3" s="87" t="s">
        <v>93</v>
      </c>
      <c r="KB3" s="87" t="s">
        <v>215</v>
      </c>
      <c r="KC3" s="87" t="s">
        <v>215</v>
      </c>
      <c r="KD3" s="87" t="s">
        <v>373</v>
      </c>
      <c r="KE3" s="87" t="s">
        <v>373</v>
      </c>
    </row>
    <row r="4" spans="1:291">
      <c r="A4" s="78" t="s">
        <v>2355</v>
      </c>
      <c r="B4" s="83">
        <v>493</v>
      </c>
      <c r="C4" s="101" t="s">
        <v>2395</v>
      </c>
      <c r="D4" s="87">
        <v>0</v>
      </c>
      <c r="E4" s="87">
        <v>0</v>
      </c>
      <c r="F4" s="87">
        <v>0</v>
      </c>
      <c r="G4" s="87">
        <v>0</v>
      </c>
      <c r="H4" s="87">
        <v>0</v>
      </c>
      <c r="I4" s="87">
        <v>0</v>
      </c>
      <c r="J4" s="87">
        <v>0</v>
      </c>
      <c r="K4" s="87">
        <v>0</v>
      </c>
      <c r="L4" s="87">
        <v>0</v>
      </c>
      <c r="M4" s="87">
        <v>0</v>
      </c>
      <c r="N4" s="87">
        <v>0</v>
      </c>
      <c r="O4" s="87">
        <v>0</v>
      </c>
      <c r="P4" s="87">
        <v>0</v>
      </c>
      <c r="Q4" s="87">
        <v>0</v>
      </c>
      <c r="R4" s="87">
        <v>0</v>
      </c>
      <c r="S4" s="87">
        <v>0</v>
      </c>
      <c r="T4" s="87">
        <v>0</v>
      </c>
      <c r="U4" s="87">
        <v>0</v>
      </c>
      <c r="V4" s="87">
        <v>0</v>
      </c>
      <c r="W4" s="87">
        <v>0</v>
      </c>
      <c r="X4" s="87">
        <v>0</v>
      </c>
      <c r="Y4" s="87">
        <v>0</v>
      </c>
      <c r="Z4" s="87">
        <v>0</v>
      </c>
      <c r="AA4" s="87">
        <v>0</v>
      </c>
      <c r="AB4" s="87">
        <v>0</v>
      </c>
      <c r="AC4" s="87">
        <v>0</v>
      </c>
      <c r="AD4" s="87">
        <v>0</v>
      </c>
      <c r="AE4" s="87">
        <v>0</v>
      </c>
      <c r="AF4" s="87">
        <v>0</v>
      </c>
      <c r="AG4" s="87">
        <v>0</v>
      </c>
      <c r="AH4" s="87">
        <v>0</v>
      </c>
      <c r="AI4" s="87">
        <v>0</v>
      </c>
      <c r="AJ4" s="87">
        <v>0</v>
      </c>
      <c r="AK4" s="87">
        <v>0</v>
      </c>
      <c r="AL4" s="87">
        <v>0</v>
      </c>
      <c r="AM4" s="87">
        <v>0</v>
      </c>
      <c r="AN4" s="87">
        <v>0</v>
      </c>
      <c r="AO4" s="87">
        <v>0</v>
      </c>
      <c r="AP4" s="87">
        <v>0</v>
      </c>
      <c r="AQ4" s="87">
        <v>0</v>
      </c>
      <c r="AR4" s="87">
        <v>0</v>
      </c>
      <c r="AS4" s="87">
        <v>0</v>
      </c>
      <c r="AT4" s="87">
        <v>0</v>
      </c>
      <c r="AU4" s="87">
        <v>0</v>
      </c>
      <c r="AV4" s="87">
        <v>0</v>
      </c>
      <c r="AW4" s="87">
        <v>0</v>
      </c>
      <c r="AX4" s="87">
        <v>0</v>
      </c>
      <c r="AY4" s="87">
        <v>0</v>
      </c>
      <c r="AZ4" s="87">
        <v>0</v>
      </c>
      <c r="BA4" s="87">
        <v>0</v>
      </c>
      <c r="BB4" s="87">
        <v>0</v>
      </c>
      <c r="BC4" s="87">
        <v>0</v>
      </c>
      <c r="BD4" s="87">
        <v>0</v>
      </c>
      <c r="BE4" s="87">
        <v>0</v>
      </c>
      <c r="BF4" s="87">
        <v>0</v>
      </c>
      <c r="BG4" s="87">
        <v>0</v>
      </c>
      <c r="BH4" s="87">
        <v>0</v>
      </c>
      <c r="BI4" s="87">
        <v>0</v>
      </c>
      <c r="BJ4" s="87">
        <v>0</v>
      </c>
      <c r="BK4" s="87">
        <v>0</v>
      </c>
      <c r="BL4" s="106">
        <v>0</v>
      </c>
      <c r="BM4" s="106">
        <v>0</v>
      </c>
      <c r="BN4" s="87">
        <v>0</v>
      </c>
      <c r="BO4" s="87">
        <v>0</v>
      </c>
      <c r="BP4" s="87">
        <v>0</v>
      </c>
      <c r="BQ4" s="87">
        <v>0</v>
      </c>
      <c r="BR4" s="87">
        <v>0</v>
      </c>
      <c r="BS4" s="87">
        <v>0</v>
      </c>
      <c r="BT4" s="87">
        <v>0</v>
      </c>
      <c r="BU4" s="87">
        <v>0</v>
      </c>
      <c r="BV4" s="87">
        <v>0</v>
      </c>
      <c r="BW4" s="87">
        <v>0</v>
      </c>
      <c r="BX4" s="87">
        <v>1</v>
      </c>
      <c r="BY4" s="87">
        <v>1</v>
      </c>
      <c r="BZ4" s="87">
        <v>1</v>
      </c>
      <c r="CA4" s="87">
        <v>1</v>
      </c>
      <c r="CB4" s="87">
        <v>1</v>
      </c>
      <c r="CC4" s="87">
        <v>1</v>
      </c>
      <c r="CD4" s="87">
        <v>1</v>
      </c>
      <c r="CE4" s="87">
        <v>1</v>
      </c>
      <c r="CF4" s="87">
        <v>1</v>
      </c>
      <c r="CG4" s="87">
        <v>1</v>
      </c>
      <c r="CH4" s="87">
        <v>1</v>
      </c>
      <c r="CI4" s="87">
        <v>1</v>
      </c>
      <c r="CJ4" s="87">
        <v>1</v>
      </c>
      <c r="CK4" s="87">
        <v>1</v>
      </c>
      <c r="CL4" s="87">
        <v>1</v>
      </c>
      <c r="CM4" s="87">
        <v>1</v>
      </c>
      <c r="CN4" s="87">
        <v>1</v>
      </c>
      <c r="CO4" s="87">
        <v>1</v>
      </c>
      <c r="CP4" s="87">
        <v>1</v>
      </c>
      <c r="CQ4" s="87">
        <v>1</v>
      </c>
      <c r="CR4" s="87">
        <v>1</v>
      </c>
      <c r="CS4" s="87">
        <v>1</v>
      </c>
      <c r="CT4" s="87">
        <v>1</v>
      </c>
      <c r="CU4" s="87">
        <v>1</v>
      </c>
      <c r="CV4" s="87">
        <v>1</v>
      </c>
      <c r="CW4" s="87">
        <v>1</v>
      </c>
      <c r="CX4" s="87">
        <v>1</v>
      </c>
      <c r="CY4" s="87">
        <v>1</v>
      </c>
      <c r="CZ4" s="87">
        <v>1</v>
      </c>
      <c r="DA4" s="87">
        <v>1</v>
      </c>
      <c r="DB4" s="87">
        <v>1</v>
      </c>
      <c r="DC4" s="87">
        <v>1</v>
      </c>
      <c r="DD4" s="87">
        <v>1</v>
      </c>
      <c r="DE4" s="87">
        <v>1</v>
      </c>
      <c r="DF4" s="87">
        <v>1</v>
      </c>
      <c r="DG4" s="87">
        <v>1</v>
      </c>
      <c r="DH4" s="87">
        <v>1</v>
      </c>
      <c r="DI4" s="87">
        <v>1</v>
      </c>
      <c r="DJ4" s="87">
        <v>1</v>
      </c>
      <c r="DK4" s="87">
        <v>1</v>
      </c>
      <c r="DL4" s="87">
        <v>1</v>
      </c>
      <c r="DM4" s="87">
        <v>0</v>
      </c>
      <c r="DN4" s="87">
        <v>0</v>
      </c>
      <c r="DO4" s="87">
        <v>0</v>
      </c>
      <c r="DP4" s="87">
        <v>0</v>
      </c>
      <c r="DQ4" s="87">
        <v>0</v>
      </c>
      <c r="DR4" s="87">
        <v>0</v>
      </c>
      <c r="DS4" s="87">
        <v>1</v>
      </c>
      <c r="DT4" s="87">
        <v>1</v>
      </c>
      <c r="DU4" s="87">
        <v>1</v>
      </c>
      <c r="DV4" s="87">
        <v>1</v>
      </c>
      <c r="DW4" s="87">
        <v>1</v>
      </c>
      <c r="DX4" s="87">
        <v>1</v>
      </c>
      <c r="DY4" s="87">
        <v>1</v>
      </c>
      <c r="DZ4" s="87">
        <v>1</v>
      </c>
      <c r="EA4" s="87">
        <v>1</v>
      </c>
      <c r="EB4" s="87">
        <v>0</v>
      </c>
      <c r="EC4" s="87">
        <v>0</v>
      </c>
      <c r="ED4" s="87">
        <v>0</v>
      </c>
      <c r="EE4" s="87">
        <v>1</v>
      </c>
      <c r="EF4" s="87">
        <v>1</v>
      </c>
      <c r="EG4" s="87">
        <v>1</v>
      </c>
      <c r="EH4" s="87">
        <v>1</v>
      </c>
      <c r="EI4" s="87">
        <v>1</v>
      </c>
      <c r="EJ4" s="87">
        <v>1</v>
      </c>
      <c r="EK4" s="87">
        <v>1</v>
      </c>
      <c r="EL4" s="87">
        <v>1</v>
      </c>
      <c r="EM4" s="87">
        <v>1</v>
      </c>
      <c r="EN4" s="87">
        <v>1</v>
      </c>
      <c r="EO4" s="87">
        <v>0</v>
      </c>
      <c r="EP4" s="87">
        <v>0</v>
      </c>
      <c r="EQ4" s="87">
        <v>0</v>
      </c>
      <c r="ER4" s="87">
        <v>0</v>
      </c>
      <c r="ES4" s="87">
        <v>0</v>
      </c>
      <c r="ET4" s="87">
        <v>0</v>
      </c>
      <c r="EU4" s="87">
        <v>0</v>
      </c>
      <c r="EV4" s="87">
        <v>0</v>
      </c>
      <c r="EW4" s="87">
        <v>0</v>
      </c>
      <c r="EX4" s="87">
        <v>0</v>
      </c>
      <c r="EY4" s="87">
        <v>0</v>
      </c>
      <c r="EZ4" s="87">
        <v>0</v>
      </c>
      <c r="FA4" s="87">
        <v>0</v>
      </c>
      <c r="FB4" s="87">
        <v>1</v>
      </c>
      <c r="FC4" s="87">
        <v>1</v>
      </c>
      <c r="FD4" s="87">
        <v>1</v>
      </c>
      <c r="FE4" s="87">
        <v>1</v>
      </c>
      <c r="FF4" s="87">
        <v>1</v>
      </c>
      <c r="FG4" s="87">
        <v>1</v>
      </c>
      <c r="FH4" s="87">
        <v>1</v>
      </c>
      <c r="FI4" s="87">
        <v>1</v>
      </c>
      <c r="FJ4" s="87">
        <v>1</v>
      </c>
      <c r="FK4" s="87">
        <v>1</v>
      </c>
      <c r="FL4" s="87">
        <v>1</v>
      </c>
      <c r="FM4" s="87">
        <v>1</v>
      </c>
      <c r="FN4" s="87">
        <v>1</v>
      </c>
      <c r="FO4" s="87">
        <v>1</v>
      </c>
      <c r="FP4" s="87">
        <v>1</v>
      </c>
      <c r="FQ4" s="87">
        <v>1</v>
      </c>
      <c r="FR4" s="87">
        <v>1</v>
      </c>
      <c r="FS4" s="87">
        <v>1</v>
      </c>
      <c r="FT4" s="106">
        <v>1</v>
      </c>
      <c r="FU4" s="106">
        <v>1</v>
      </c>
      <c r="FV4" s="106">
        <v>1</v>
      </c>
      <c r="FW4" s="87">
        <v>1</v>
      </c>
      <c r="FX4" s="87">
        <v>1</v>
      </c>
      <c r="FY4" s="87">
        <v>1</v>
      </c>
      <c r="FZ4" s="87">
        <v>1</v>
      </c>
      <c r="GA4" s="87">
        <v>1</v>
      </c>
      <c r="GB4" s="87">
        <v>1</v>
      </c>
      <c r="GC4" s="87">
        <v>1</v>
      </c>
      <c r="GD4" s="87">
        <v>1</v>
      </c>
      <c r="GE4" s="87">
        <v>1</v>
      </c>
      <c r="GF4" s="87">
        <v>1</v>
      </c>
      <c r="GG4" s="87">
        <v>1</v>
      </c>
      <c r="GH4" s="87">
        <v>1</v>
      </c>
      <c r="GI4" s="87">
        <v>1</v>
      </c>
      <c r="GJ4" s="87">
        <v>1</v>
      </c>
      <c r="GK4" s="87">
        <v>1</v>
      </c>
      <c r="GL4" s="87">
        <v>1</v>
      </c>
      <c r="GM4" s="87">
        <v>1</v>
      </c>
      <c r="GN4" s="87">
        <v>1</v>
      </c>
      <c r="GO4" s="87">
        <v>1</v>
      </c>
      <c r="GP4" s="87">
        <v>1</v>
      </c>
      <c r="GQ4" s="87">
        <v>1</v>
      </c>
      <c r="GR4" s="87">
        <v>1</v>
      </c>
      <c r="GS4" s="87">
        <v>1</v>
      </c>
      <c r="GT4" s="87">
        <v>1</v>
      </c>
      <c r="GU4" s="87">
        <v>1</v>
      </c>
      <c r="GV4" s="87">
        <v>1</v>
      </c>
      <c r="GW4" s="87">
        <v>1</v>
      </c>
      <c r="GX4" s="87">
        <v>1</v>
      </c>
      <c r="GY4" s="87">
        <v>1</v>
      </c>
      <c r="GZ4" s="87">
        <v>1</v>
      </c>
      <c r="HA4" s="87">
        <v>1</v>
      </c>
      <c r="HB4" s="87">
        <v>0</v>
      </c>
      <c r="HC4" s="87">
        <v>0</v>
      </c>
      <c r="HD4" s="87">
        <v>0</v>
      </c>
      <c r="HE4" s="87">
        <v>0</v>
      </c>
      <c r="HF4" s="87">
        <v>0</v>
      </c>
      <c r="HG4" s="87">
        <v>0</v>
      </c>
      <c r="HH4" s="87">
        <v>0</v>
      </c>
      <c r="HI4" s="87">
        <v>0</v>
      </c>
      <c r="HJ4" s="87">
        <v>1</v>
      </c>
      <c r="HK4" s="87">
        <v>0</v>
      </c>
      <c r="HL4" s="87">
        <v>0</v>
      </c>
      <c r="HM4" s="87">
        <v>0</v>
      </c>
      <c r="HN4" s="87">
        <v>0</v>
      </c>
      <c r="HO4" s="87">
        <v>0</v>
      </c>
      <c r="HP4" s="87">
        <v>0</v>
      </c>
      <c r="HQ4" s="87">
        <v>0</v>
      </c>
      <c r="HR4" s="87">
        <v>0</v>
      </c>
      <c r="HS4" s="87">
        <v>0</v>
      </c>
      <c r="HT4" s="87">
        <v>0</v>
      </c>
      <c r="HU4" s="87">
        <v>0</v>
      </c>
      <c r="HV4" s="87">
        <v>0</v>
      </c>
      <c r="HW4" s="87">
        <v>0</v>
      </c>
      <c r="HX4" s="87">
        <v>0</v>
      </c>
      <c r="HY4" s="87">
        <v>0</v>
      </c>
      <c r="HZ4" s="87">
        <v>0</v>
      </c>
      <c r="IA4" s="87">
        <v>0</v>
      </c>
      <c r="IB4" s="87">
        <v>0</v>
      </c>
      <c r="IC4" s="87">
        <v>0</v>
      </c>
      <c r="ID4" s="87">
        <v>0</v>
      </c>
      <c r="IE4" s="87">
        <v>0</v>
      </c>
      <c r="IF4" s="87">
        <v>0</v>
      </c>
      <c r="IG4" s="87">
        <v>0</v>
      </c>
      <c r="IH4" s="87">
        <v>0</v>
      </c>
      <c r="II4" s="87">
        <v>0</v>
      </c>
      <c r="IJ4" s="87">
        <v>0</v>
      </c>
      <c r="IK4" s="87">
        <v>0</v>
      </c>
      <c r="IL4" s="87">
        <v>0</v>
      </c>
      <c r="IM4" s="87">
        <v>0</v>
      </c>
      <c r="IN4" s="87">
        <v>0</v>
      </c>
      <c r="IO4" s="87">
        <v>0</v>
      </c>
      <c r="IP4" s="87">
        <v>0</v>
      </c>
      <c r="IQ4" s="87">
        <v>0</v>
      </c>
      <c r="IR4" s="87">
        <v>0</v>
      </c>
      <c r="IS4" s="87">
        <v>0</v>
      </c>
      <c r="IT4" s="87">
        <v>0</v>
      </c>
      <c r="IU4" s="87">
        <v>0</v>
      </c>
      <c r="IV4" s="87">
        <v>0</v>
      </c>
      <c r="IW4" s="87">
        <v>0</v>
      </c>
      <c r="IX4" s="87">
        <v>0</v>
      </c>
      <c r="IY4" s="87">
        <v>0</v>
      </c>
      <c r="IZ4" s="87">
        <v>0</v>
      </c>
      <c r="JA4" s="87">
        <v>0</v>
      </c>
      <c r="JB4" s="87">
        <v>0</v>
      </c>
      <c r="JC4" s="87">
        <v>1</v>
      </c>
      <c r="JD4" s="543"/>
      <c r="JE4" s="87">
        <v>0</v>
      </c>
      <c r="JF4" s="87">
        <v>0</v>
      </c>
      <c r="JG4" s="87">
        <v>0</v>
      </c>
      <c r="JH4" s="87">
        <v>0</v>
      </c>
      <c r="JI4" s="87">
        <v>0</v>
      </c>
      <c r="JJ4" s="87">
        <v>0</v>
      </c>
      <c r="JK4" s="87">
        <v>0</v>
      </c>
      <c r="JL4" s="87">
        <v>0</v>
      </c>
      <c r="JM4" s="87">
        <v>0</v>
      </c>
      <c r="JN4" s="87">
        <v>0</v>
      </c>
      <c r="JO4" s="87">
        <v>0</v>
      </c>
      <c r="JP4" s="87">
        <v>0</v>
      </c>
      <c r="JQ4" s="87">
        <v>0</v>
      </c>
      <c r="JR4" s="87">
        <v>1</v>
      </c>
      <c r="JS4" s="87">
        <v>1</v>
      </c>
      <c r="JT4" s="87">
        <v>1</v>
      </c>
      <c r="JU4" s="87">
        <v>1</v>
      </c>
      <c r="JV4" s="87">
        <v>1</v>
      </c>
      <c r="JW4" s="87">
        <v>1</v>
      </c>
      <c r="JX4" s="87">
        <v>1</v>
      </c>
      <c r="JY4" s="87">
        <v>1</v>
      </c>
      <c r="JZ4" s="87">
        <v>1</v>
      </c>
      <c r="KA4" s="87">
        <v>1</v>
      </c>
      <c r="KB4" s="87">
        <v>1</v>
      </c>
      <c r="KC4" s="87">
        <v>1</v>
      </c>
      <c r="KD4" s="87">
        <v>1</v>
      </c>
      <c r="KE4" s="87">
        <v>1</v>
      </c>
    </row>
    <row r="5" spans="1:291">
      <c r="A5" s="78" t="s">
        <v>2355</v>
      </c>
      <c r="B5" s="83">
        <v>403</v>
      </c>
      <c r="C5" s="101" t="s">
        <v>76</v>
      </c>
      <c r="D5" s="87" t="s">
        <v>96</v>
      </c>
      <c r="E5" s="87" t="s">
        <v>96</v>
      </c>
      <c r="F5" s="87" t="s">
        <v>96</v>
      </c>
      <c r="G5" s="87" t="s">
        <v>96</v>
      </c>
      <c r="H5" s="87" t="s">
        <v>96</v>
      </c>
      <c r="I5" s="87" t="s">
        <v>96</v>
      </c>
      <c r="J5" s="87" t="s">
        <v>96</v>
      </c>
      <c r="K5" s="87" t="s">
        <v>96</v>
      </c>
      <c r="L5" s="87" t="s">
        <v>96</v>
      </c>
      <c r="M5" s="87" t="s">
        <v>96</v>
      </c>
      <c r="N5" s="87" t="s">
        <v>96</v>
      </c>
      <c r="O5" s="87" t="s">
        <v>96</v>
      </c>
      <c r="P5" s="87" t="s">
        <v>96</v>
      </c>
      <c r="Q5" s="87" t="s">
        <v>96</v>
      </c>
      <c r="R5" s="87" t="s">
        <v>96</v>
      </c>
      <c r="S5" s="87" t="s">
        <v>96</v>
      </c>
      <c r="T5" s="87" t="s">
        <v>96</v>
      </c>
      <c r="U5" s="87" t="s">
        <v>96</v>
      </c>
      <c r="V5" s="87" t="s">
        <v>96</v>
      </c>
      <c r="W5" s="87" t="s">
        <v>96</v>
      </c>
      <c r="X5" s="87" t="s">
        <v>96</v>
      </c>
      <c r="Y5" s="87" t="s">
        <v>96</v>
      </c>
      <c r="Z5" s="87" t="s">
        <v>96</v>
      </c>
      <c r="AA5" s="87" t="s">
        <v>96</v>
      </c>
      <c r="AB5" s="87" t="s">
        <v>96</v>
      </c>
      <c r="AC5" s="87" t="s">
        <v>96</v>
      </c>
      <c r="AD5" s="87" t="s">
        <v>96</v>
      </c>
      <c r="AE5" s="87" t="s">
        <v>96</v>
      </c>
      <c r="AF5" s="87" t="s">
        <v>96</v>
      </c>
      <c r="AG5" s="87" t="s">
        <v>96</v>
      </c>
      <c r="AH5" s="87" t="s">
        <v>96</v>
      </c>
      <c r="AI5" s="87" t="s">
        <v>96</v>
      </c>
      <c r="AJ5" s="87" t="s">
        <v>96</v>
      </c>
      <c r="AK5" s="87" t="s">
        <v>96</v>
      </c>
      <c r="AL5" s="87" t="s">
        <v>679</v>
      </c>
      <c r="AM5" s="87" t="s">
        <v>679</v>
      </c>
      <c r="AN5" s="87" t="s">
        <v>679</v>
      </c>
      <c r="AO5" s="87" t="s">
        <v>679</v>
      </c>
      <c r="AP5" s="87" t="s">
        <v>679</v>
      </c>
      <c r="AQ5" s="87" t="s">
        <v>679</v>
      </c>
      <c r="AR5" s="87" t="s">
        <v>679</v>
      </c>
      <c r="AS5" s="87" t="s">
        <v>679</v>
      </c>
      <c r="AT5" s="87" t="s">
        <v>679</v>
      </c>
      <c r="AU5" s="87" t="s">
        <v>679</v>
      </c>
      <c r="AV5" s="87" t="s">
        <v>679</v>
      </c>
      <c r="AW5" s="87" t="s">
        <v>679</v>
      </c>
      <c r="AX5" s="87" t="s">
        <v>679</v>
      </c>
      <c r="AY5" s="87" t="s">
        <v>679</v>
      </c>
      <c r="AZ5" s="87" t="s">
        <v>679</v>
      </c>
      <c r="BA5" s="87" t="s">
        <v>679</v>
      </c>
      <c r="BB5" s="87" t="s">
        <v>679</v>
      </c>
      <c r="BC5" s="87" t="s">
        <v>679</v>
      </c>
      <c r="BD5" s="87" t="s">
        <v>679</v>
      </c>
      <c r="BE5" s="87" t="s">
        <v>679</v>
      </c>
      <c r="BF5" s="87" t="s">
        <v>679</v>
      </c>
      <c r="BG5" s="87" t="s">
        <v>679</v>
      </c>
      <c r="BH5" s="87" t="s">
        <v>679</v>
      </c>
      <c r="BI5" s="87" t="s">
        <v>679</v>
      </c>
      <c r="BJ5" s="87" t="s">
        <v>679</v>
      </c>
      <c r="BK5" s="87" t="s">
        <v>679</v>
      </c>
      <c r="BL5" s="106" t="s">
        <v>679</v>
      </c>
      <c r="BM5" s="106" t="s">
        <v>679</v>
      </c>
      <c r="BN5" s="87" t="s">
        <v>679</v>
      </c>
      <c r="BO5" s="87" t="s">
        <v>679</v>
      </c>
      <c r="BP5" s="87" t="s">
        <v>679</v>
      </c>
      <c r="BQ5" s="87" t="s">
        <v>679</v>
      </c>
      <c r="BR5" s="87" t="s">
        <v>679</v>
      </c>
      <c r="BS5" s="87" t="s">
        <v>679</v>
      </c>
      <c r="BT5" s="87" t="s">
        <v>679</v>
      </c>
      <c r="BU5" s="87" t="s">
        <v>679</v>
      </c>
      <c r="BV5" s="87" t="s">
        <v>679</v>
      </c>
      <c r="BW5" s="87" t="s">
        <v>679</v>
      </c>
      <c r="BX5" s="87" t="s">
        <v>679</v>
      </c>
      <c r="BY5" s="87" t="s">
        <v>679</v>
      </c>
      <c r="BZ5" s="87" t="s">
        <v>679</v>
      </c>
      <c r="CA5" s="87" t="s">
        <v>679</v>
      </c>
      <c r="CB5" s="87" t="s">
        <v>679</v>
      </c>
      <c r="CC5" s="87" t="s">
        <v>679</v>
      </c>
      <c r="CD5" s="87" t="s">
        <v>679</v>
      </c>
      <c r="CE5" s="87" t="s">
        <v>679</v>
      </c>
      <c r="CF5" s="87" t="s">
        <v>679</v>
      </c>
      <c r="CG5" s="87" t="s">
        <v>679</v>
      </c>
      <c r="CH5" s="87" t="s">
        <v>679</v>
      </c>
      <c r="CI5" s="87" t="s">
        <v>679</v>
      </c>
      <c r="CJ5" s="87" t="s">
        <v>679</v>
      </c>
      <c r="CK5" s="87" t="s">
        <v>679</v>
      </c>
      <c r="CL5" s="87" t="s">
        <v>679</v>
      </c>
      <c r="CM5" s="87" t="s">
        <v>679</v>
      </c>
      <c r="CN5" s="87" t="s">
        <v>679</v>
      </c>
      <c r="CO5" s="87" t="s">
        <v>679</v>
      </c>
      <c r="CP5" s="87" t="s">
        <v>679</v>
      </c>
      <c r="CQ5" s="87" t="s">
        <v>679</v>
      </c>
      <c r="CR5" s="87" t="s">
        <v>679</v>
      </c>
      <c r="CS5" s="87" t="s">
        <v>679</v>
      </c>
      <c r="CT5" s="87" t="s">
        <v>679</v>
      </c>
      <c r="CU5" s="87" t="s">
        <v>679</v>
      </c>
      <c r="CV5" s="87" t="s">
        <v>679</v>
      </c>
      <c r="CW5" s="87" t="s">
        <v>679</v>
      </c>
      <c r="CX5" s="87" t="s">
        <v>679</v>
      </c>
      <c r="CY5" s="87" t="s">
        <v>679</v>
      </c>
      <c r="CZ5" s="87" t="s">
        <v>679</v>
      </c>
      <c r="DA5" s="87" t="s">
        <v>679</v>
      </c>
      <c r="DB5" s="87" t="s">
        <v>679</v>
      </c>
      <c r="DC5" s="87" t="s">
        <v>679</v>
      </c>
      <c r="DD5" s="87" t="s">
        <v>679</v>
      </c>
      <c r="DE5" s="87" t="s">
        <v>679</v>
      </c>
      <c r="DF5" s="87" t="s">
        <v>679</v>
      </c>
      <c r="DG5" s="87" t="s">
        <v>679</v>
      </c>
      <c r="DH5" s="87" t="s">
        <v>679</v>
      </c>
      <c r="DI5" s="87" t="s">
        <v>679</v>
      </c>
      <c r="DJ5" s="87" t="s">
        <v>679</v>
      </c>
      <c r="DK5" s="87" t="s">
        <v>679</v>
      </c>
      <c r="DL5" s="87" t="s">
        <v>679</v>
      </c>
      <c r="DM5" s="87" t="s">
        <v>96</v>
      </c>
      <c r="DN5" s="87" t="s">
        <v>96</v>
      </c>
      <c r="DO5" s="87" t="s">
        <v>96</v>
      </c>
      <c r="DP5" s="87" t="s">
        <v>96</v>
      </c>
      <c r="DQ5" s="87" t="s">
        <v>96</v>
      </c>
      <c r="DR5" s="87" t="s">
        <v>96</v>
      </c>
      <c r="DS5" s="87" t="s">
        <v>144</v>
      </c>
      <c r="DT5" s="87" t="s">
        <v>144</v>
      </c>
      <c r="DU5" s="87" t="s">
        <v>144</v>
      </c>
      <c r="DV5" s="87" t="s">
        <v>144</v>
      </c>
      <c r="DW5" s="87" t="s">
        <v>144</v>
      </c>
      <c r="DX5" s="87" t="s">
        <v>144</v>
      </c>
      <c r="DY5" s="87" t="s">
        <v>144</v>
      </c>
      <c r="DZ5" s="87" t="s">
        <v>144</v>
      </c>
      <c r="EA5" s="87" t="s">
        <v>144</v>
      </c>
      <c r="EB5" s="87" t="s">
        <v>96</v>
      </c>
      <c r="EC5" s="87" t="s">
        <v>96</v>
      </c>
      <c r="ED5" s="87" t="s">
        <v>96</v>
      </c>
      <c r="EE5" s="87" t="s">
        <v>679</v>
      </c>
      <c r="EF5" s="87" t="s">
        <v>679</v>
      </c>
      <c r="EG5" s="87" t="s">
        <v>679</v>
      </c>
      <c r="EH5" s="87" t="s">
        <v>679</v>
      </c>
      <c r="EI5" s="87" t="s">
        <v>679</v>
      </c>
      <c r="EJ5" s="87" t="s">
        <v>679</v>
      </c>
      <c r="EK5" s="87" t="s">
        <v>679</v>
      </c>
      <c r="EL5" s="87" t="s">
        <v>679</v>
      </c>
      <c r="EM5" s="87" t="s">
        <v>679</v>
      </c>
      <c r="EN5" s="87" t="s">
        <v>679</v>
      </c>
      <c r="EO5" s="87" t="s">
        <v>96</v>
      </c>
      <c r="EP5" s="87" t="s">
        <v>96</v>
      </c>
      <c r="EQ5" s="87" t="s">
        <v>96</v>
      </c>
      <c r="ER5" s="87" t="s">
        <v>96</v>
      </c>
      <c r="ES5" s="87" t="s">
        <v>96</v>
      </c>
      <c r="ET5" s="87" t="s">
        <v>96</v>
      </c>
      <c r="EU5" s="87" t="s">
        <v>96</v>
      </c>
      <c r="EV5" s="87" t="s">
        <v>96</v>
      </c>
      <c r="EW5" s="87" t="s">
        <v>96</v>
      </c>
      <c r="EX5" s="87" t="s">
        <v>96</v>
      </c>
      <c r="EY5" s="87" t="s">
        <v>96</v>
      </c>
      <c r="EZ5" s="87" t="s">
        <v>96</v>
      </c>
      <c r="FA5" s="87" t="s">
        <v>96</v>
      </c>
      <c r="FB5" s="87" t="s">
        <v>679</v>
      </c>
      <c r="FC5" s="87" t="s">
        <v>679</v>
      </c>
      <c r="FD5" s="87" t="s">
        <v>679</v>
      </c>
      <c r="FE5" s="87" t="s">
        <v>679</v>
      </c>
      <c r="FF5" s="87" t="s">
        <v>679</v>
      </c>
      <c r="FG5" s="87" t="s">
        <v>679</v>
      </c>
      <c r="FH5" s="87" t="s">
        <v>679</v>
      </c>
      <c r="FI5" s="87" t="s">
        <v>679</v>
      </c>
      <c r="FJ5" s="87" t="s">
        <v>144</v>
      </c>
      <c r="FK5" s="87" t="s">
        <v>144</v>
      </c>
      <c r="FL5" s="87" t="s">
        <v>144</v>
      </c>
      <c r="FM5" s="87" t="s">
        <v>144</v>
      </c>
      <c r="FN5" s="87" t="s">
        <v>144</v>
      </c>
      <c r="FO5" s="87" t="s">
        <v>144</v>
      </c>
      <c r="FP5" s="87" t="s">
        <v>144</v>
      </c>
      <c r="FQ5" s="87" t="s">
        <v>144</v>
      </c>
      <c r="FR5" s="87" t="s">
        <v>144</v>
      </c>
      <c r="FS5" s="87" t="s">
        <v>679</v>
      </c>
      <c r="FT5" s="106" t="s">
        <v>144</v>
      </c>
      <c r="FU5" s="106" t="s">
        <v>144</v>
      </c>
      <c r="FV5" s="106" t="s">
        <v>144</v>
      </c>
      <c r="FW5" s="87" t="s">
        <v>144</v>
      </c>
      <c r="FX5" s="87" t="s">
        <v>144</v>
      </c>
      <c r="FY5" s="87" t="s">
        <v>144</v>
      </c>
      <c r="FZ5" s="87" t="s">
        <v>144</v>
      </c>
      <c r="GA5" s="87" t="s">
        <v>144</v>
      </c>
      <c r="GB5" s="87" t="s">
        <v>144</v>
      </c>
      <c r="GC5" s="87" t="s">
        <v>144</v>
      </c>
      <c r="GD5" s="87" t="s">
        <v>144</v>
      </c>
      <c r="GE5" s="87" t="s">
        <v>144</v>
      </c>
      <c r="GF5" s="87" t="s">
        <v>144</v>
      </c>
      <c r="GG5" s="87" t="s">
        <v>144</v>
      </c>
      <c r="GH5" s="87" t="s">
        <v>144</v>
      </c>
      <c r="GI5" s="87" t="s">
        <v>144</v>
      </c>
      <c r="GJ5" s="87" t="s">
        <v>144</v>
      </c>
      <c r="GK5" s="87" t="s">
        <v>144</v>
      </c>
      <c r="GL5" s="87" t="s">
        <v>144</v>
      </c>
      <c r="GM5" s="87" t="s">
        <v>144</v>
      </c>
      <c r="GN5" s="87" t="s">
        <v>144</v>
      </c>
      <c r="GO5" s="87" t="s">
        <v>144</v>
      </c>
      <c r="GP5" s="87" t="s">
        <v>144</v>
      </c>
      <c r="GQ5" s="87" t="s">
        <v>144</v>
      </c>
      <c r="GR5" s="87" t="s">
        <v>144</v>
      </c>
      <c r="GS5" s="87" t="s">
        <v>144</v>
      </c>
      <c r="GT5" s="87" t="s">
        <v>144</v>
      </c>
      <c r="GU5" s="87" t="s">
        <v>144</v>
      </c>
      <c r="GV5" s="87" t="s">
        <v>144</v>
      </c>
      <c r="GW5" s="87" t="s">
        <v>144</v>
      </c>
      <c r="GX5" s="87" t="s">
        <v>144</v>
      </c>
      <c r="GY5" s="87" t="s">
        <v>144</v>
      </c>
      <c r="GZ5" s="87" t="s">
        <v>144</v>
      </c>
      <c r="HA5" s="87" t="s">
        <v>144</v>
      </c>
      <c r="HB5" s="87" t="s">
        <v>109</v>
      </c>
      <c r="HC5" s="87" t="s">
        <v>109</v>
      </c>
      <c r="HD5" s="87" t="s">
        <v>109</v>
      </c>
      <c r="HE5" s="87" t="s">
        <v>109</v>
      </c>
      <c r="HF5" s="87" t="s">
        <v>109</v>
      </c>
      <c r="HG5" s="87" t="s">
        <v>109</v>
      </c>
      <c r="HH5" s="87" t="s">
        <v>109</v>
      </c>
      <c r="HI5" s="87" t="s">
        <v>109</v>
      </c>
      <c r="HJ5" s="87" t="s">
        <v>144</v>
      </c>
      <c r="HK5" s="87" t="s">
        <v>109</v>
      </c>
      <c r="HL5" s="87" t="s">
        <v>109</v>
      </c>
      <c r="HM5" s="87" t="s">
        <v>109</v>
      </c>
      <c r="HN5" s="87" t="s">
        <v>109</v>
      </c>
      <c r="HO5" s="87" t="s">
        <v>109</v>
      </c>
      <c r="HP5" s="87" t="s">
        <v>109</v>
      </c>
      <c r="HQ5" s="87" t="s">
        <v>109</v>
      </c>
      <c r="HR5" s="87" t="s">
        <v>109</v>
      </c>
      <c r="HS5" s="87" t="s">
        <v>109</v>
      </c>
      <c r="HT5" s="87" t="s">
        <v>109</v>
      </c>
      <c r="HU5" s="87" t="s">
        <v>109</v>
      </c>
      <c r="HV5" s="87" t="s">
        <v>109</v>
      </c>
      <c r="HW5" s="87" t="s">
        <v>109</v>
      </c>
      <c r="HX5" s="87" t="s">
        <v>109</v>
      </c>
      <c r="HY5" s="87" t="s">
        <v>109</v>
      </c>
      <c r="HZ5" s="87" t="s">
        <v>109</v>
      </c>
      <c r="IA5" s="87" t="s">
        <v>109</v>
      </c>
      <c r="IB5" s="87" t="s">
        <v>109</v>
      </c>
      <c r="IC5" s="87" t="s">
        <v>109</v>
      </c>
      <c r="ID5" s="87" t="s">
        <v>109</v>
      </c>
      <c r="IE5" s="87" t="s">
        <v>109</v>
      </c>
      <c r="IF5" s="87" t="s">
        <v>109</v>
      </c>
      <c r="IG5" s="87" t="s">
        <v>109</v>
      </c>
      <c r="IH5" s="87" t="s">
        <v>109</v>
      </c>
      <c r="II5" s="87" t="s">
        <v>109</v>
      </c>
      <c r="IJ5" s="87" t="s">
        <v>109</v>
      </c>
      <c r="IK5" s="87" t="s">
        <v>109</v>
      </c>
      <c r="IL5" s="87" t="s">
        <v>109</v>
      </c>
      <c r="IM5" s="87" t="s">
        <v>109</v>
      </c>
      <c r="IN5" s="87" t="s">
        <v>109</v>
      </c>
      <c r="IO5" s="87" t="s">
        <v>109</v>
      </c>
      <c r="IP5" s="87" t="s">
        <v>109</v>
      </c>
      <c r="IQ5" s="87" t="s">
        <v>109</v>
      </c>
      <c r="IR5" s="87" t="s">
        <v>109</v>
      </c>
      <c r="IS5" s="87" t="s">
        <v>109</v>
      </c>
      <c r="IT5" s="87" t="s">
        <v>109</v>
      </c>
      <c r="IU5" s="87" t="s">
        <v>109</v>
      </c>
      <c r="IV5" s="87" t="s">
        <v>96</v>
      </c>
      <c r="IW5" s="87" t="s">
        <v>96</v>
      </c>
      <c r="IX5" s="87" t="s">
        <v>96</v>
      </c>
      <c r="IY5" s="87" t="s">
        <v>96</v>
      </c>
      <c r="IZ5" s="87" t="s">
        <v>96</v>
      </c>
      <c r="JA5" s="87" t="s">
        <v>119</v>
      </c>
      <c r="JB5" s="87" t="s">
        <v>96</v>
      </c>
      <c r="JC5" s="87" t="s">
        <v>679</v>
      </c>
      <c r="JD5" s="543"/>
      <c r="JE5" s="87" t="s">
        <v>679</v>
      </c>
      <c r="JF5" s="87" t="s">
        <v>679</v>
      </c>
      <c r="JG5" s="87" t="s">
        <v>679</v>
      </c>
      <c r="JH5" s="87" t="s">
        <v>679</v>
      </c>
      <c r="JI5" s="87" t="s">
        <v>679</v>
      </c>
      <c r="JJ5" s="87" t="s">
        <v>679</v>
      </c>
      <c r="JK5" s="87" t="s">
        <v>679</v>
      </c>
      <c r="JL5" s="87" t="s">
        <v>679</v>
      </c>
      <c r="JM5" s="87" t="s">
        <v>679</v>
      </c>
      <c r="JN5" s="87" t="s">
        <v>679</v>
      </c>
      <c r="JO5" s="87" t="s">
        <v>679</v>
      </c>
      <c r="JP5" s="87" t="s">
        <v>679</v>
      </c>
      <c r="JQ5" s="87" t="s">
        <v>679</v>
      </c>
      <c r="JR5" s="87" t="s">
        <v>679</v>
      </c>
      <c r="JS5" s="87" t="s">
        <v>679</v>
      </c>
      <c r="JT5" s="87" t="s">
        <v>679</v>
      </c>
      <c r="JU5" s="87" t="s">
        <v>679</v>
      </c>
      <c r="JV5" s="87" t="s">
        <v>679</v>
      </c>
      <c r="JW5" s="87" t="s">
        <v>679</v>
      </c>
      <c r="JX5" s="87" t="s">
        <v>679</v>
      </c>
      <c r="JY5" s="87" t="s">
        <v>679</v>
      </c>
      <c r="JZ5" s="87" t="s">
        <v>679</v>
      </c>
      <c r="KA5" s="87" t="s">
        <v>679</v>
      </c>
      <c r="KB5" s="87" t="s">
        <v>679</v>
      </c>
      <c r="KC5" s="87" t="s">
        <v>679</v>
      </c>
      <c r="KD5" s="87" t="s">
        <v>679</v>
      </c>
      <c r="KE5" s="87" t="s">
        <v>679</v>
      </c>
    </row>
    <row r="6" spans="1:291" outlineLevel="1">
      <c r="A6" s="78" t="s">
        <v>2396</v>
      </c>
      <c r="B6" s="83">
        <v>201</v>
      </c>
      <c r="C6" s="437" t="s">
        <v>2352</v>
      </c>
      <c r="D6" s="1144">
        <v>1</v>
      </c>
      <c r="E6" s="1144">
        <v>1</v>
      </c>
      <c r="F6" s="1144">
        <v>1</v>
      </c>
      <c r="G6" s="1144">
        <v>1</v>
      </c>
      <c r="H6" s="1144">
        <v>1</v>
      </c>
      <c r="I6" s="1144">
        <v>1</v>
      </c>
      <c r="J6" s="1144">
        <v>1</v>
      </c>
      <c r="K6" s="1144">
        <v>1</v>
      </c>
      <c r="L6" s="1144">
        <v>1</v>
      </c>
      <c r="M6" s="1144">
        <v>1</v>
      </c>
      <c r="N6" s="1144">
        <v>1</v>
      </c>
      <c r="O6" s="1144">
        <v>1</v>
      </c>
      <c r="P6" s="1144">
        <v>1</v>
      </c>
      <c r="Q6" s="1144">
        <v>1</v>
      </c>
      <c r="R6" s="1144">
        <v>1</v>
      </c>
      <c r="S6" s="1144">
        <v>1</v>
      </c>
      <c r="T6" s="1144">
        <v>1</v>
      </c>
      <c r="U6" s="1144">
        <v>1</v>
      </c>
      <c r="V6" s="1144">
        <v>1</v>
      </c>
      <c r="W6" s="1144">
        <v>1</v>
      </c>
      <c r="X6" s="1144">
        <v>1</v>
      </c>
      <c r="Y6" s="1144">
        <v>1</v>
      </c>
      <c r="Z6" s="1144">
        <v>1</v>
      </c>
      <c r="AA6" s="1144">
        <v>1</v>
      </c>
      <c r="AB6" s="1144">
        <v>1</v>
      </c>
      <c r="AC6" s="1144">
        <v>1</v>
      </c>
      <c r="AD6" s="1144">
        <v>1</v>
      </c>
      <c r="AE6" s="1144">
        <v>1</v>
      </c>
      <c r="AF6" s="1144">
        <v>1</v>
      </c>
      <c r="AG6" s="1144">
        <v>1</v>
      </c>
      <c r="AH6" s="1144">
        <v>1</v>
      </c>
      <c r="AI6" s="1144">
        <v>1</v>
      </c>
      <c r="AJ6" s="1144">
        <v>1</v>
      </c>
      <c r="AK6" s="1144">
        <v>1</v>
      </c>
      <c r="AL6" s="1144">
        <v>1</v>
      </c>
      <c r="AM6" s="1144">
        <v>1</v>
      </c>
      <c r="AN6" s="1144">
        <v>1</v>
      </c>
      <c r="AO6" s="1144">
        <v>1</v>
      </c>
      <c r="AP6" s="1144">
        <v>1</v>
      </c>
      <c r="AQ6" s="1144">
        <v>1</v>
      </c>
      <c r="AR6" s="1144">
        <v>1</v>
      </c>
      <c r="AS6" s="1144">
        <v>1</v>
      </c>
      <c r="AT6" s="1144">
        <v>1</v>
      </c>
      <c r="AU6" s="1144">
        <v>1</v>
      </c>
      <c r="AV6" s="1144">
        <v>1</v>
      </c>
      <c r="AW6" s="1144">
        <v>1</v>
      </c>
      <c r="AX6" s="1144">
        <v>1</v>
      </c>
      <c r="AY6" s="1144">
        <v>1</v>
      </c>
      <c r="AZ6" s="1144">
        <v>1</v>
      </c>
      <c r="BA6" s="1144">
        <v>1</v>
      </c>
      <c r="BB6" s="1144">
        <v>1</v>
      </c>
      <c r="BC6" s="1144">
        <v>1</v>
      </c>
      <c r="BD6" s="1144">
        <v>1</v>
      </c>
      <c r="BE6" s="1144">
        <v>1</v>
      </c>
      <c r="BF6" s="1144">
        <v>1</v>
      </c>
      <c r="BG6" s="1144">
        <v>1</v>
      </c>
      <c r="BH6" s="1144">
        <v>1</v>
      </c>
      <c r="BI6" s="1144">
        <v>1</v>
      </c>
      <c r="BJ6" s="1144">
        <v>1</v>
      </c>
      <c r="BK6" s="1144">
        <v>1</v>
      </c>
      <c r="BL6" s="1145">
        <v>1</v>
      </c>
      <c r="BM6" s="1145">
        <v>1</v>
      </c>
      <c r="BN6" s="1144">
        <v>1</v>
      </c>
      <c r="BO6" s="1144">
        <v>1</v>
      </c>
      <c r="BP6" s="1144">
        <v>1</v>
      </c>
      <c r="BQ6" s="1144">
        <v>1</v>
      </c>
      <c r="BR6" s="1144">
        <v>1</v>
      </c>
      <c r="BS6" s="1144">
        <v>1</v>
      </c>
      <c r="BT6" s="1144">
        <v>1</v>
      </c>
      <c r="BU6" s="1144">
        <v>1</v>
      </c>
      <c r="BV6" s="1144">
        <v>1</v>
      </c>
      <c r="BW6" s="1144">
        <v>1</v>
      </c>
      <c r="BX6" s="1144">
        <v>1</v>
      </c>
      <c r="BY6" s="1144">
        <v>1</v>
      </c>
      <c r="BZ6" s="1144">
        <v>1</v>
      </c>
      <c r="CA6" s="1144">
        <v>1</v>
      </c>
      <c r="CB6" s="1144">
        <v>1</v>
      </c>
      <c r="CC6" s="1144">
        <v>1</v>
      </c>
      <c r="CD6" s="1144">
        <v>1</v>
      </c>
      <c r="CE6" s="1144">
        <v>1</v>
      </c>
      <c r="CF6" s="1144">
        <v>1</v>
      </c>
      <c r="CG6" s="1144">
        <v>1</v>
      </c>
      <c r="CH6" s="1144">
        <v>1</v>
      </c>
      <c r="CI6" s="1144">
        <v>1</v>
      </c>
      <c r="CJ6" s="1144">
        <v>1</v>
      </c>
      <c r="CK6" s="1144">
        <v>1</v>
      </c>
      <c r="CL6" s="1144">
        <v>1</v>
      </c>
      <c r="CM6" s="1144">
        <v>1</v>
      </c>
      <c r="CN6" s="1144">
        <v>1</v>
      </c>
      <c r="CO6" s="1144">
        <v>1</v>
      </c>
      <c r="CP6" s="1144">
        <v>1</v>
      </c>
      <c r="CQ6" s="1144">
        <v>1</v>
      </c>
      <c r="CR6" s="1144">
        <v>1</v>
      </c>
      <c r="CS6" s="1144">
        <v>1</v>
      </c>
      <c r="CT6" s="1144">
        <v>1</v>
      </c>
      <c r="CU6" s="1144">
        <v>1</v>
      </c>
      <c r="CV6" s="1144">
        <v>1</v>
      </c>
      <c r="CW6" s="1144">
        <v>1</v>
      </c>
      <c r="CX6" s="1144">
        <v>1</v>
      </c>
      <c r="CY6" s="1144">
        <v>1</v>
      </c>
      <c r="CZ6" s="1144">
        <v>1</v>
      </c>
      <c r="DA6" s="1144">
        <v>1</v>
      </c>
      <c r="DB6" s="1144">
        <v>1</v>
      </c>
      <c r="DC6" s="1144">
        <v>1</v>
      </c>
      <c r="DD6" s="1144">
        <v>1</v>
      </c>
      <c r="DE6" s="1144">
        <v>1</v>
      </c>
      <c r="DF6" s="1144">
        <v>1</v>
      </c>
      <c r="DG6" s="1144">
        <v>1</v>
      </c>
      <c r="DH6" s="1144">
        <v>1</v>
      </c>
      <c r="DI6" s="1144">
        <v>1</v>
      </c>
      <c r="DJ6" s="1144">
        <v>1</v>
      </c>
      <c r="DK6" s="1144">
        <v>1</v>
      </c>
      <c r="DL6" s="1144">
        <v>1</v>
      </c>
      <c r="DM6" s="1144">
        <v>1</v>
      </c>
      <c r="DN6" s="1144">
        <v>1</v>
      </c>
      <c r="DO6" s="1144">
        <v>1</v>
      </c>
      <c r="DP6" s="1144">
        <v>1</v>
      </c>
      <c r="DQ6" s="1144">
        <v>1</v>
      </c>
      <c r="DR6" s="1144">
        <v>1</v>
      </c>
      <c r="DS6" s="1145">
        <v>1</v>
      </c>
      <c r="DT6" s="1145">
        <v>1</v>
      </c>
      <c r="DU6" s="1144">
        <v>1</v>
      </c>
      <c r="DV6" s="1145">
        <v>1</v>
      </c>
      <c r="DW6" s="1144">
        <v>1</v>
      </c>
      <c r="DX6" s="1145">
        <v>1</v>
      </c>
      <c r="DY6" s="1144">
        <v>1</v>
      </c>
      <c r="DZ6" s="1144">
        <v>1</v>
      </c>
      <c r="EA6" s="1145">
        <v>1</v>
      </c>
      <c r="EB6" s="1144">
        <v>1</v>
      </c>
      <c r="EC6" s="1144">
        <v>1</v>
      </c>
      <c r="ED6" s="1144">
        <v>1</v>
      </c>
      <c r="EE6" s="1144">
        <v>1</v>
      </c>
      <c r="EF6" s="1144">
        <v>1</v>
      </c>
      <c r="EG6" s="1144">
        <v>1</v>
      </c>
      <c r="EH6" s="1144">
        <v>1</v>
      </c>
      <c r="EI6" s="1144">
        <v>1</v>
      </c>
      <c r="EJ6" s="1144">
        <v>1</v>
      </c>
      <c r="EK6" s="1144">
        <v>1</v>
      </c>
      <c r="EL6" s="1144">
        <v>1</v>
      </c>
      <c r="EM6" s="1144">
        <v>1</v>
      </c>
      <c r="EN6" s="1144">
        <v>1</v>
      </c>
      <c r="EO6" s="1144">
        <v>1</v>
      </c>
      <c r="EP6" s="1144">
        <v>1</v>
      </c>
      <c r="EQ6" s="1144">
        <v>1</v>
      </c>
      <c r="ER6" s="1144">
        <v>1</v>
      </c>
      <c r="ES6" s="1144">
        <v>1</v>
      </c>
      <c r="ET6" s="1144">
        <v>1</v>
      </c>
      <c r="EU6" s="1144">
        <v>1</v>
      </c>
      <c r="EV6" s="1144">
        <v>1</v>
      </c>
      <c r="EW6" s="1144">
        <v>1</v>
      </c>
      <c r="EX6" s="1144">
        <v>1</v>
      </c>
      <c r="EY6" s="1144">
        <v>1</v>
      </c>
      <c r="EZ6" s="1144">
        <v>1</v>
      </c>
      <c r="FA6" s="1144">
        <v>1</v>
      </c>
      <c r="FB6" s="1144">
        <v>1</v>
      </c>
      <c r="FC6" s="1144">
        <v>1</v>
      </c>
      <c r="FD6" s="1144">
        <v>1</v>
      </c>
      <c r="FE6" s="1144">
        <v>1</v>
      </c>
      <c r="FF6" s="1144">
        <v>1</v>
      </c>
      <c r="FG6" s="1144">
        <v>1</v>
      </c>
      <c r="FH6" s="1144">
        <v>1</v>
      </c>
      <c r="FI6" s="1144">
        <v>1</v>
      </c>
      <c r="FJ6" s="1144">
        <v>1</v>
      </c>
      <c r="FK6" s="1144">
        <v>1</v>
      </c>
      <c r="FL6" s="1144">
        <v>1</v>
      </c>
      <c r="FM6" s="1144">
        <v>1</v>
      </c>
      <c r="FN6" s="1144">
        <v>1</v>
      </c>
      <c r="FO6" s="1144">
        <v>1</v>
      </c>
      <c r="FP6" s="1144">
        <v>1</v>
      </c>
      <c r="FQ6" s="1144">
        <v>1</v>
      </c>
      <c r="FR6" s="1144">
        <v>1</v>
      </c>
      <c r="FS6" s="1144">
        <v>1</v>
      </c>
      <c r="FT6" s="1145">
        <v>1</v>
      </c>
      <c r="FU6" s="1145">
        <v>1</v>
      </c>
      <c r="FV6" s="1145">
        <v>1</v>
      </c>
      <c r="FW6" s="1144">
        <v>1</v>
      </c>
      <c r="FX6" s="1144">
        <v>1</v>
      </c>
      <c r="FY6" s="1144">
        <v>1</v>
      </c>
      <c r="FZ6" s="1144">
        <v>1</v>
      </c>
      <c r="GA6" s="1144">
        <v>1</v>
      </c>
      <c r="GB6" s="1144">
        <v>1</v>
      </c>
      <c r="GC6" s="1144">
        <v>1</v>
      </c>
      <c r="GD6" s="1144">
        <v>1</v>
      </c>
      <c r="GE6" s="1144">
        <v>1</v>
      </c>
      <c r="GF6" s="1144">
        <v>1</v>
      </c>
      <c r="GG6" s="1144">
        <v>1</v>
      </c>
      <c r="GH6" s="1144">
        <v>1</v>
      </c>
      <c r="GI6" s="1144">
        <v>1</v>
      </c>
      <c r="GJ6" s="1144">
        <v>1</v>
      </c>
      <c r="GK6" s="1144">
        <v>1</v>
      </c>
      <c r="GL6" s="1144">
        <v>1</v>
      </c>
      <c r="GM6" s="1144">
        <v>1</v>
      </c>
      <c r="GN6" s="1144">
        <v>1</v>
      </c>
      <c r="GO6" s="1144">
        <v>1</v>
      </c>
      <c r="GP6" s="1144">
        <v>1</v>
      </c>
      <c r="GQ6" s="1144">
        <v>1</v>
      </c>
      <c r="GR6" s="1144">
        <v>1</v>
      </c>
      <c r="GS6" s="1144">
        <v>1</v>
      </c>
      <c r="GT6" s="1144">
        <v>1</v>
      </c>
      <c r="GU6" s="1144">
        <v>1</v>
      </c>
      <c r="GV6" s="1144">
        <v>1</v>
      </c>
      <c r="GW6" s="1144">
        <v>1</v>
      </c>
      <c r="GX6" s="1144">
        <v>1</v>
      </c>
      <c r="GY6" s="1144">
        <v>1</v>
      </c>
      <c r="GZ6" s="1144">
        <v>1</v>
      </c>
      <c r="HA6" s="1144">
        <v>1</v>
      </c>
      <c r="HB6" s="1144">
        <v>1</v>
      </c>
      <c r="HC6" s="1144">
        <v>1</v>
      </c>
      <c r="HD6" s="1144">
        <v>1</v>
      </c>
      <c r="HE6" s="1144">
        <v>1</v>
      </c>
      <c r="HF6" s="1144">
        <v>1</v>
      </c>
      <c r="HG6" s="1144">
        <v>1</v>
      </c>
      <c r="HH6" s="1144">
        <v>1</v>
      </c>
      <c r="HI6" s="1144">
        <v>1</v>
      </c>
      <c r="HJ6" s="1144">
        <v>1</v>
      </c>
      <c r="HK6" s="1144">
        <v>1</v>
      </c>
      <c r="HL6" s="1144">
        <v>1</v>
      </c>
      <c r="HM6" s="1144">
        <v>1</v>
      </c>
      <c r="HN6" s="1144">
        <v>1</v>
      </c>
      <c r="HO6" s="1144">
        <v>1</v>
      </c>
      <c r="HP6" s="1144">
        <v>1</v>
      </c>
      <c r="HQ6" s="1144">
        <v>1</v>
      </c>
      <c r="HR6" s="1144">
        <v>1</v>
      </c>
      <c r="HS6" s="1144">
        <v>1</v>
      </c>
      <c r="HT6" s="1144">
        <v>1</v>
      </c>
      <c r="HU6" s="1144">
        <v>1</v>
      </c>
      <c r="HV6" s="1144">
        <v>1</v>
      </c>
      <c r="HW6" s="1144">
        <v>1</v>
      </c>
      <c r="HX6" s="1144">
        <v>1</v>
      </c>
      <c r="HY6" s="1144">
        <v>1</v>
      </c>
      <c r="HZ6" s="1144">
        <v>1</v>
      </c>
      <c r="IA6" s="1144">
        <v>1</v>
      </c>
      <c r="IB6" s="1144">
        <v>1</v>
      </c>
      <c r="IC6" s="1144">
        <v>1</v>
      </c>
      <c r="ID6" s="1144">
        <v>1</v>
      </c>
      <c r="IE6" s="1144">
        <v>1</v>
      </c>
      <c r="IF6" s="1144">
        <v>1</v>
      </c>
      <c r="IG6" s="1144">
        <v>1</v>
      </c>
      <c r="IH6" s="1144">
        <v>1</v>
      </c>
      <c r="II6" s="1144">
        <v>1</v>
      </c>
      <c r="IJ6" s="1144">
        <v>1</v>
      </c>
      <c r="IK6" s="1144">
        <v>1</v>
      </c>
      <c r="IL6" s="1144">
        <v>1</v>
      </c>
      <c r="IM6" s="1144">
        <v>1</v>
      </c>
      <c r="IN6" s="1144">
        <v>1</v>
      </c>
      <c r="IO6" s="1144">
        <v>1</v>
      </c>
      <c r="IP6" s="1144">
        <v>1</v>
      </c>
      <c r="IQ6" s="1144">
        <v>1</v>
      </c>
      <c r="IR6" s="1144">
        <v>1</v>
      </c>
      <c r="IS6" s="1144">
        <v>1</v>
      </c>
      <c r="IT6" s="1144">
        <v>1</v>
      </c>
      <c r="IU6" s="1144">
        <v>1</v>
      </c>
      <c r="IV6" s="1144">
        <v>1</v>
      </c>
      <c r="IW6" s="1144">
        <v>1</v>
      </c>
      <c r="IX6" s="1144">
        <v>1</v>
      </c>
      <c r="IY6" s="1144">
        <v>1</v>
      </c>
      <c r="IZ6" s="1144">
        <v>1</v>
      </c>
      <c r="JA6" s="1144">
        <v>1</v>
      </c>
      <c r="JB6" s="1144">
        <v>1</v>
      </c>
      <c r="JC6" s="1144">
        <v>1</v>
      </c>
      <c r="JD6" s="1146"/>
      <c r="JE6" s="1144">
        <v>1</v>
      </c>
      <c r="JF6" s="1144">
        <v>1</v>
      </c>
      <c r="JG6" s="1144">
        <v>1</v>
      </c>
      <c r="JH6" s="1144">
        <v>1</v>
      </c>
      <c r="JI6" s="1144">
        <v>1</v>
      </c>
      <c r="JJ6" s="1144">
        <v>1</v>
      </c>
      <c r="JK6" s="1144">
        <v>1</v>
      </c>
      <c r="JL6" s="1144">
        <v>1</v>
      </c>
      <c r="JM6" s="1144">
        <v>1</v>
      </c>
      <c r="JN6" s="1144">
        <v>1</v>
      </c>
      <c r="JO6" s="1144">
        <v>1</v>
      </c>
      <c r="JP6" s="1144">
        <v>1</v>
      </c>
      <c r="JQ6" s="1144">
        <v>1</v>
      </c>
      <c r="JR6" s="1144">
        <v>1</v>
      </c>
      <c r="JS6" s="1144">
        <v>1</v>
      </c>
      <c r="JT6" s="1144">
        <v>1</v>
      </c>
      <c r="JU6" s="1144">
        <v>1</v>
      </c>
      <c r="JV6" s="1144">
        <v>1</v>
      </c>
      <c r="JW6" s="1144">
        <v>1</v>
      </c>
      <c r="JX6" s="1144">
        <v>1</v>
      </c>
      <c r="JY6" s="1144">
        <v>1</v>
      </c>
      <c r="JZ6" s="1144">
        <v>1</v>
      </c>
      <c r="KA6" s="1144">
        <v>1</v>
      </c>
      <c r="KB6" s="1144">
        <v>1</v>
      </c>
      <c r="KC6" s="1144">
        <v>1</v>
      </c>
      <c r="KD6" s="1144">
        <v>1</v>
      </c>
      <c r="KE6" s="1144">
        <v>1</v>
      </c>
    </row>
    <row r="7" spans="1:291" outlineLevel="1">
      <c r="A7" s="78"/>
      <c r="B7" s="83">
        <v>202</v>
      </c>
      <c r="C7" s="437" t="s">
        <v>2397</v>
      </c>
      <c r="D7" s="1147">
        <v>1</v>
      </c>
      <c r="E7" s="1147">
        <v>1</v>
      </c>
      <c r="F7" s="1147">
        <v>1</v>
      </c>
      <c r="G7" s="1147">
        <v>1</v>
      </c>
      <c r="H7" s="1147">
        <v>1</v>
      </c>
      <c r="I7" s="1147">
        <v>1</v>
      </c>
      <c r="J7" s="1147">
        <v>1</v>
      </c>
      <c r="K7" s="1147">
        <v>1</v>
      </c>
      <c r="L7" s="1147">
        <v>1</v>
      </c>
      <c r="M7" s="1147">
        <v>1</v>
      </c>
      <c r="N7" s="1147">
        <v>1</v>
      </c>
      <c r="O7" s="1147">
        <v>1</v>
      </c>
      <c r="P7" s="1147">
        <v>1</v>
      </c>
      <c r="Q7" s="1147">
        <v>1</v>
      </c>
      <c r="R7" s="1147">
        <v>1</v>
      </c>
      <c r="S7" s="1147">
        <v>1</v>
      </c>
      <c r="T7" s="1147">
        <v>1</v>
      </c>
      <c r="U7" s="1147">
        <v>1</v>
      </c>
      <c r="V7" s="1147">
        <v>1</v>
      </c>
      <c r="W7" s="1147">
        <v>1</v>
      </c>
      <c r="X7" s="1147">
        <v>1</v>
      </c>
      <c r="Y7" s="1147">
        <v>1</v>
      </c>
      <c r="Z7" s="1147">
        <v>1</v>
      </c>
      <c r="AA7" s="1147">
        <v>1</v>
      </c>
      <c r="AB7" s="1147">
        <v>1</v>
      </c>
      <c r="AC7" s="1147">
        <v>1</v>
      </c>
      <c r="AD7" s="1147">
        <v>1</v>
      </c>
      <c r="AE7" s="1147">
        <v>1</v>
      </c>
      <c r="AF7" s="1147">
        <v>1</v>
      </c>
      <c r="AG7" s="1147">
        <v>1</v>
      </c>
      <c r="AH7" s="1147">
        <v>1</v>
      </c>
      <c r="AI7" s="1147">
        <v>1</v>
      </c>
      <c r="AJ7" s="1147">
        <v>1</v>
      </c>
      <c r="AK7" s="1147">
        <v>1</v>
      </c>
      <c r="AL7" s="1147">
        <v>1</v>
      </c>
      <c r="AM7" s="1147">
        <v>1</v>
      </c>
      <c r="AN7" s="1147">
        <v>1</v>
      </c>
      <c r="AO7" s="1147">
        <v>1</v>
      </c>
      <c r="AP7" s="1147">
        <v>1</v>
      </c>
      <c r="AQ7" s="1147">
        <v>1</v>
      </c>
      <c r="AR7" s="1147">
        <v>1</v>
      </c>
      <c r="AS7" s="1147">
        <v>1</v>
      </c>
      <c r="AT7" s="1147">
        <v>1</v>
      </c>
      <c r="AU7" s="1147">
        <v>1</v>
      </c>
      <c r="AV7" s="1147">
        <v>1</v>
      </c>
      <c r="AW7" s="1147">
        <v>1</v>
      </c>
      <c r="AX7" s="1147">
        <v>1</v>
      </c>
      <c r="AY7" s="1147">
        <v>1</v>
      </c>
      <c r="AZ7" s="1147">
        <v>1</v>
      </c>
      <c r="BA7" s="1147">
        <v>1</v>
      </c>
      <c r="BB7" s="1147">
        <v>1</v>
      </c>
      <c r="BC7" s="1147">
        <v>1</v>
      </c>
      <c r="BD7" s="1147">
        <v>1</v>
      </c>
      <c r="BE7" s="1147">
        <v>1</v>
      </c>
      <c r="BF7" s="1147">
        <v>1</v>
      </c>
      <c r="BG7" s="1147">
        <v>1</v>
      </c>
      <c r="BH7" s="1147">
        <v>1</v>
      </c>
      <c r="BI7" s="1147">
        <v>1</v>
      </c>
      <c r="BJ7" s="1147">
        <v>1</v>
      </c>
      <c r="BK7" s="1147">
        <v>1</v>
      </c>
      <c r="BL7" s="1148">
        <v>1</v>
      </c>
      <c r="BM7" s="1148">
        <v>1</v>
      </c>
      <c r="BN7" s="1147">
        <v>1</v>
      </c>
      <c r="BO7" s="1147">
        <v>1</v>
      </c>
      <c r="BP7" s="1147">
        <v>1</v>
      </c>
      <c r="BQ7" s="1147">
        <v>1</v>
      </c>
      <c r="BR7" s="1147">
        <v>1</v>
      </c>
      <c r="BS7" s="1147">
        <v>1</v>
      </c>
      <c r="BT7" s="1147">
        <v>1</v>
      </c>
      <c r="BU7" s="1147">
        <v>1</v>
      </c>
      <c r="BV7" s="1147">
        <v>1</v>
      </c>
      <c r="BW7" s="1147">
        <v>1</v>
      </c>
      <c r="BX7" s="1147">
        <v>1</v>
      </c>
      <c r="BY7" s="1147">
        <v>1</v>
      </c>
      <c r="BZ7" s="1147">
        <v>1</v>
      </c>
      <c r="CA7" s="1147">
        <v>1</v>
      </c>
      <c r="CB7" s="1147">
        <v>1</v>
      </c>
      <c r="CC7" s="1147">
        <v>1</v>
      </c>
      <c r="CD7" s="1147">
        <v>1</v>
      </c>
      <c r="CE7" s="1147">
        <v>1</v>
      </c>
      <c r="CF7" s="1147">
        <v>1</v>
      </c>
      <c r="CG7" s="1147">
        <v>1</v>
      </c>
      <c r="CH7" s="1147">
        <v>1</v>
      </c>
      <c r="CI7" s="1147">
        <v>1</v>
      </c>
      <c r="CJ7" s="1147">
        <v>1</v>
      </c>
      <c r="CK7" s="1147">
        <v>1</v>
      </c>
      <c r="CL7" s="1147">
        <v>1</v>
      </c>
      <c r="CM7" s="1147">
        <v>1</v>
      </c>
      <c r="CN7" s="1147">
        <v>1</v>
      </c>
      <c r="CO7" s="1147">
        <v>1</v>
      </c>
      <c r="CP7" s="1147">
        <v>1</v>
      </c>
      <c r="CQ7" s="1147">
        <v>1</v>
      </c>
      <c r="CR7" s="1147">
        <v>1</v>
      </c>
      <c r="CS7" s="1147">
        <v>1</v>
      </c>
      <c r="CT7" s="1147">
        <v>1</v>
      </c>
      <c r="CU7" s="1147">
        <v>1</v>
      </c>
      <c r="CV7" s="1147">
        <v>1</v>
      </c>
      <c r="CW7" s="1147">
        <v>1</v>
      </c>
      <c r="CX7" s="1147">
        <v>1</v>
      </c>
      <c r="CY7" s="1147">
        <v>1</v>
      </c>
      <c r="CZ7" s="1147">
        <v>1</v>
      </c>
      <c r="DA7" s="1147">
        <v>1</v>
      </c>
      <c r="DB7" s="1147">
        <v>1</v>
      </c>
      <c r="DC7" s="1147">
        <v>1</v>
      </c>
      <c r="DD7" s="1147">
        <v>1</v>
      </c>
      <c r="DE7" s="1147">
        <v>1</v>
      </c>
      <c r="DF7" s="1147">
        <v>1</v>
      </c>
      <c r="DG7" s="1147">
        <v>1</v>
      </c>
      <c r="DH7" s="1147">
        <v>1</v>
      </c>
      <c r="DI7" s="1147">
        <v>1</v>
      </c>
      <c r="DJ7" s="1147">
        <v>1</v>
      </c>
      <c r="DK7" s="1147">
        <v>1</v>
      </c>
      <c r="DL7" s="1147">
        <v>1</v>
      </c>
      <c r="DM7" s="1147">
        <v>1</v>
      </c>
      <c r="DN7" s="1147">
        <v>1</v>
      </c>
      <c r="DO7" s="1147">
        <v>1</v>
      </c>
      <c r="DP7" s="1147">
        <v>1</v>
      </c>
      <c r="DQ7" s="1147">
        <v>1</v>
      </c>
      <c r="DR7" s="1147">
        <v>1</v>
      </c>
      <c r="DS7" s="1148">
        <v>1</v>
      </c>
      <c r="DT7" s="1148">
        <v>1</v>
      </c>
      <c r="DU7" s="1147">
        <v>1</v>
      </c>
      <c r="DV7" s="1148">
        <v>1</v>
      </c>
      <c r="DW7" s="1147">
        <v>1</v>
      </c>
      <c r="DX7" s="1148">
        <v>1</v>
      </c>
      <c r="DY7" s="1147">
        <v>1</v>
      </c>
      <c r="DZ7" s="1147">
        <v>1</v>
      </c>
      <c r="EA7" s="1148">
        <v>1</v>
      </c>
      <c r="EB7" s="1147">
        <v>1</v>
      </c>
      <c r="EC7" s="1147">
        <v>1</v>
      </c>
      <c r="ED7" s="1147">
        <v>1</v>
      </c>
      <c r="EE7" s="1147">
        <v>1</v>
      </c>
      <c r="EF7" s="1147">
        <v>1</v>
      </c>
      <c r="EG7" s="1147">
        <v>1</v>
      </c>
      <c r="EH7" s="1147">
        <v>1</v>
      </c>
      <c r="EI7" s="1147">
        <v>1</v>
      </c>
      <c r="EJ7" s="1147">
        <v>1</v>
      </c>
      <c r="EK7" s="1147">
        <v>1</v>
      </c>
      <c r="EL7" s="1147">
        <v>1</v>
      </c>
      <c r="EM7" s="1147">
        <v>1</v>
      </c>
      <c r="EN7" s="1147">
        <v>1</v>
      </c>
      <c r="EO7" s="1147">
        <v>1</v>
      </c>
      <c r="EP7" s="1147">
        <v>1</v>
      </c>
      <c r="EQ7" s="1147">
        <v>1</v>
      </c>
      <c r="ER7" s="1147">
        <v>1</v>
      </c>
      <c r="ES7" s="1147">
        <v>1</v>
      </c>
      <c r="ET7" s="1147">
        <v>1</v>
      </c>
      <c r="EU7" s="1147">
        <v>1</v>
      </c>
      <c r="EV7" s="1147">
        <v>1</v>
      </c>
      <c r="EW7" s="1147">
        <v>1</v>
      </c>
      <c r="EX7" s="1147">
        <v>1</v>
      </c>
      <c r="EY7" s="1147">
        <v>1</v>
      </c>
      <c r="EZ7" s="1147">
        <v>1</v>
      </c>
      <c r="FA7" s="1147">
        <v>1</v>
      </c>
      <c r="FB7" s="1147">
        <v>1</v>
      </c>
      <c r="FC7" s="1147">
        <v>1</v>
      </c>
      <c r="FD7" s="1147">
        <v>1</v>
      </c>
      <c r="FE7" s="1147">
        <v>1</v>
      </c>
      <c r="FF7" s="1147">
        <v>1</v>
      </c>
      <c r="FG7" s="1147">
        <v>1</v>
      </c>
      <c r="FH7" s="1147">
        <v>1</v>
      </c>
      <c r="FI7" s="1147">
        <v>1</v>
      </c>
      <c r="FJ7" s="1147">
        <v>1</v>
      </c>
      <c r="FK7" s="1147" t="s">
        <v>2398</v>
      </c>
      <c r="FL7" s="1147" t="s">
        <v>2398</v>
      </c>
      <c r="FM7" s="1147" t="s">
        <v>2398</v>
      </c>
      <c r="FN7" s="1147" t="s">
        <v>2398</v>
      </c>
      <c r="FO7" s="1147" t="s">
        <v>2398</v>
      </c>
      <c r="FP7" s="1147" t="s">
        <v>2398</v>
      </c>
      <c r="FQ7" s="1147" t="s">
        <v>2398</v>
      </c>
      <c r="FR7" s="1147" t="s">
        <v>2398</v>
      </c>
      <c r="FS7" s="1147">
        <v>1</v>
      </c>
      <c r="FT7" s="1148">
        <v>1</v>
      </c>
      <c r="FU7" s="1148">
        <v>1</v>
      </c>
      <c r="FV7" s="1148">
        <v>1</v>
      </c>
      <c r="FW7" s="1147">
        <v>1</v>
      </c>
      <c r="FX7" s="1147">
        <v>1</v>
      </c>
      <c r="FY7" s="1147">
        <v>1</v>
      </c>
      <c r="FZ7" s="1147">
        <v>1</v>
      </c>
      <c r="GA7" s="1147">
        <v>1</v>
      </c>
      <c r="GB7" s="1147">
        <v>1</v>
      </c>
      <c r="GC7" s="1147">
        <v>1</v>
      </c>
      <c r="GD7" s="1147">
        <v>1</v>
      </c>
      <c r="GE7" s="1147">
        <v>1</v>
      </c>
      <c r="GF7" s="1147">
        <v>1</v>
      </c>
      <c r="GG7" s="1147">
        <v>1</v>
      </c>
      <c r="GH7" s="1147">
        <v>1</v>
      </c>
      <c r="GI7" s="1147">
        <v>1</v>
      </c>
      <c r="GJ7" s="1147">
        <v>1</v>
      </c>
      <c r="GK7" s="1147">
        <v>1</v>
      </c>
      <c r="GL7" s="1147">
        <v>1</v>
      </c>
      <c r="GM7" s="1147">
        <v>1</v>
      </c>
      <c r="GN7" s="1147">
        <v>1</v>
      </c>
      <c r="GO7" s="1147">
        <v>1</v>
      </c>
      <c r="GP7" s="1147">
        <v>1</v>
      </c>
      <c r="GQ7" s="1147">
        <v>1</v>
      </c>
      <c r="GR7" s="1147">
        <v>1</v>
      </c>
      <c r="GS7" s="1147">
        <v>1</v>
      </c>
      <c r="GT7" s="1147">
        <v>1</v>
      </c>
      <c r="GU7" s="1147">
        <v>1</v>
      </c>
      <c r="GV7" s="1147">
        <v>1</v>
      </c>
      <c r="GW7" s="1147">
        <v>1</v>
      </c>
      <c r="GX7" s="1147">
        <v>1</v>
      </c>
      <c r="GY7" s="1147">
        <v>1</v>
      </c>
      <c r="GZ7" s="1147">
        <v>1</v>
      </c>
      <c r="HA7" s="1147">
        <v>1</v>
      </c>
      <c r="HB7" s="1147">
        <v>1</v>
      </c>
      <c r="HC7" s="1147">
        <v>1</v>
      </c>
      <c r="HD7" s="1147">
        <v>1</v>
      </c>
      <c r="HE7" s="1147">
        <v>1</v>
      </c>
      <c r="HF7" s="1147">
        <v>1</v>
      </c>
      <c r="HG7" s="1147">
        <v>1</v>
      </c>
      <c r="HH7" s="1147">
        <v>1</v>
      </c>
      <c r="HI7" s="1147">
        <v>1</v>
      </c>
      <c r="HJ7" s="1147">
        <v>1</v>
      </c>
      <c r="HK7" s="1147">
        <v>1</v>
      </c>
      <c r="HL7" s="1147">
        <v>1</v>
      </c>
      <c r="HM7" s="1147">
        <v>1</v>
      </c>
      <c r="HN7" s="1147">
        <v>1</v>
      </c>
      <c r="HO7" s="1147">
        <v>1</v>
      </c>
      <c r="HP7" s="1147">
        <v>1</v>
      </c>
      <c r="HQ7" s="1147">
        <v>1</v>
      </c>
      <c r="HR7" s="1147">
        <v>1</v>
      </c>
      <c r="HS7" s="1147">
        <v>1</v>
      </c>
      <c r="HT7" s="1147">
        <v>1</v>
      </c>
      <c r="HU7" s="1147">
        <v>1</v>
      </c>
      <c r="HV7" s="1147">
        <v>1</v>
      </c>
      <c r="HW7" s="1147">
        <v>1</v>
      </c>
      <c r="HX7" s="1147">
        <v>1</v>
      </c>
      <c r="HY7" s="1147">
        <v>1</v>
      </c>
      <c r="HZ7" s="1147">
        <v>1</v>
      </c>
      <c r="IA7" s="1147">
        <v>1</v>
      </c>
      <c r="IB7" s="1147">
        <v>1</v>
      </c>
      <c r="IC7" s="1147">
        <v>1</v>
      </c>
      <c r="ID7" s="1147">
        <v>1</v>
      </c>
      <c r="IE7" s="1147">
        <v>1</v>
      </c>
      <c r="IF7" s="1147">
        <v>1</v>
      </c>
      <c r="IG7" s="1147">
        <v>1</v>
      </c>
      <c r="IH7" s="1147">
        <v>1</v>
      </c>
      <c r="II7" s="1147">
        <v>1</v>
      </c>
      <c r="IJ7" s="1147">
        <v>1</v>
      </c>
      <c r="IK7" s="1147">
        <v>1</v>
      </c>
      <c r="IL7" s="1147">
        <v>1</v>
      </c>
      <c r="IM7" s="1147">
        <v>1</v>
      </c>
      <c r="IN7" s="1147">
        <v>1</v>
      </c>
      <c r="IO7" s="1147">
        <v>1</v>
      </c>
      <c r="IP7" s="1147">
        <v>1</v>
      </c>
      <c r="IQ7" s="1147">
        <v>1</v>
      </c>
      <c r="IR7" s="1147">
        <v>1</v>
      </c>
      <c r="IS7" s="1147">
        <v>1</v>
      </c>
      <c r="IT7" s="1147">
        <v>1</v>
      </c>
      <c r="IU7" s="1147">
        <v>1</v>
      </c>
      <c r="IV7" s="1147" t="s">
        <v>2398</v>
      </c>
      <c r="IW7" s="1147" t="s">
        <v>2398</v>
      </c>
      <c r="IX7" s="1147" t="s">
        <v>2398</v>
      </c>
      <c r="IY7" s="1147" t="s">
        <v>2398</v>
      </c>
      <c r="IZ7" s="1147">
        <v>1</v>
      </c>
      <c r="JA7" s="1147">
        <v>1</v>
      </c>
      <c r="JB7" s="1147">
        <v>1</v>
      </c>
      <c r="JC7" s="1147">
        <v>1</v>
      </c>
      <c r="JD7" s="1149"/>
      <c r="JE7" s="1147">
        <v>1</v>
      </c>
      <c r="JF7" s="1147">
        <v>1</v>
      </c>
      <c r="JG7" s="1147">
        <v>1</v>
      </c>
      <c r="JH7" s="1147">
        <v>1</v>
      </c>
      <c r="JI7" s="1147">
        <v>1</v>
      </c>
      <c r="JJ7" s="1147">
        <v>1</v>
      </c>
      <c r="JK7" s="1147">
        <v>1</v>
      </c>
      <c r="JL7" s="1147">
        <v>1</v>
      </c>
      <c r="JM7" s="1147">
        <v>1</v>
      </c>
      <c r="JN7" s="1147">
        <v>1</v>
      </c>
      <c r="JO7" s="1147">
        <v>1</v>
      </c>
      <c r="JP7" s="1147">
        <v>1</v>
      </c>
      <c r="JQ7" s="1147">
        <v>1</v>
      </c>
      <c r="JR7" s="1147">
        <v>1</v>
      </c>
      <c r="JS7" s="1147">
        <v>1</v>
      </c>
      <c r="JT7" s="1147">
        <v>1</v>
      </c>
      <c r="JU7" s="1147">
        <v>1</v>
      </c>
      <c r="JV7" s="1147">
        <v>1</v>
      </c>
      <c r="JW7" s="1147">
        <v>1</v>
      </c>
      <c r="JX7" s="1147">
        <v>1</v>
      </c>
      <c r="JY7" s="1147">
        <v>1</v>
      </c>
      <c r="JZ7" s="1147">
        <v>1</v>
      </c>
      <c r="KA7" s="1147">
        <v>1</v>
      </c>
      <c r="KB7" s="1147">
        <v>1</v>
      </c>
      <c r="KC7" s="1147">
        <v>1</v>
      </c>
      <c r="KD7" s="1147">
        <v>1</v>
      </c>
      <c r="KE7" s="1147">
        <v>1</v>
      </c>
    </row>
    <row r="8" spans="1:291" outlineLevel="1">
      <c r="A8" s="78"/>
      <c r="B8" s="83">
        <v>203</v>
      </c>
      <c r="C8" s="437" t="s">
        <v>2399</v>
      </c>
      <c r="D8" s="1144">
        <v>0</v>
      </c>
      <c r="E8" s="1144">
        <v>0</v>
      </c>
      <c r="F8" s="1144">
        <v>0</v>
      </c>
      <c r="G8" s="1144">
        <v>0</v>
      </c>
      <c r="H8" s="1144">
        <v>0</v>
      </c>
      <c r="I8" s="1144">
        <v>0</v>
      </c>
      <c r="J8" s="1144">
        <v>0</v>
      </c>
      <c r="K8" s="1144">
        <v>0</v>
      </c>
      <c r="L8" s="1144">
        <v>0</v>
      </c>
      <c r="M8" s="1144">
        <v>0</v>
      </c>
      <c r="N8" s="1144">
        <v>0</v>
      </c>
      <c r="O8" s="1144">
        <v>0</v>
      </c>
      <c r="P8" s="1144">
        <v>0</v>
      </c>
      <c r="Q8" s="1144">
        <v>0</v>
      </c>
      <c r="R8" s="1144">
        <v>0</v>
      </c>
      <c r="S8" s="1144">
        <v>0</v>
      </c>
      <c r="T8" s="1144">
        <v>0</v>
      </c>
      <c r="U8" s="1144">
        <v>0</v>
      </c>
      <c r="V8" s="1144">
        <v>0</v>
      </c>
      <c r="W8" s="1144">
        <v>0</v>
      </c>
      <c r="X8" s="1144">
        <v>0</v>
      </c>
      <c r="Y8" s="1144">
        <v>0</v>
      </c>
      <c r="Z8" s="1144">
        <v>0</v>
      </c>
      <c r="AA8" s="1144">
        <v>0</v>
      </c>
      <c r="AB8" s="1144">
        <v>0</v>
      </c>
      <c r="AC8" s="1144">
        <v>0</v>
      </c>
      <c r="AD8" s="1144">
        <v>0</v>
      </c>
      <c r="AE8" s="1144">
        <v>0</v>
      </c>
      <c r="AF8" s="1144">
        <v>0</v>
      </c>
      <c r="AG8" s="1144">
        <v>0</v>
      </c>
      <c r="AH8" s="1144">
        <v>0</v>
      </c>
      <c r="AI8" s="1144">
        <v>0</v>
      </c>
      <c r="AJ8" s="1144">
        <v>0</v>
      </c>
      <c r="AK8" s="1144">
        <v>0</v>
      </c>
      <c r="AL8" s="1144">
        <v>0</v>
      </c>
      <c r="AM8" s="1144">
        <v>0</v>
      </c>
      <c r="AN8" s="1144">
        <v>0</v>
      </c>
      <c r="AO8" s="1144">
        <v>0</v>
      </c>
      <c r="AP8" s="1144">
        <v>0</v>
      </c>
      <c r="AQ8" s="1144">
        <v>0</v>
      </c>
      <c r="AR8" s="1144">
        <v>0</v>
      </c>
      <c r="AS8" s="1144">
        <v>0</v>
      </c>
      <c r="AT8" s="1144">
        <v>0</v>
      </c>
      <c r="AU8" s="1144">
        <v>0</v>
      </c>
      <c r="AV8" s="1144">
        <v>0</v>
      </c>
      <c r="AW8" s="1144">
        <v>0</v>
      </c>
      <c r="AX8" s="1144">
        <v>0</v>
      </c>
      <c r="AY8" s="1144">
        <v>0</v>
      </c>
      <c r="AZ8" s="1144">
        <v>0</v>
      </c>
      <c r="BA8" s="1144">
        <v>0</v>
      </c>
      <c r="BB8" s="1144">
        <v>0</v>
      </c>
      <c r="BC8" s="1144">
        <v>0</v>
      </c>
      <c r="BD8" s="1144">
        <v>0</v>
      </c>
      <c r="BE8" s="1144">
        <v>0</v>
      </c>
      <c r="BF8" s="1144">
        <v>0</v>
      </c>
      <c r="BG8" s="1144">
        <v>0</v>
      </c>
      <c r="BH8" s="1144">
        <v>0</v>
      </c>
      <c r="BI8" s="1144">
        <v>0</v>
      </c>
      <c r="BJ8" s="1144">
        <v>0</v>
      </c>
      <c r="BK8" s="1144">
        <v>0</v>
      </c>
      <c r="BL8" s="1145">
        <v>0</v>
      </c>
      <c r="BM8" s="1145">
        <v>0</v>
      </c>
      <c r="BN8" s="1144">
        <v>0</v>
      </c>
      <c r="BO8" s="1144">
        <v>0</v>
      </c>
      <c r="BP8" s="1144">
        <v>0</v>
      </c>
      <c r="BQ8" s="1144">
        <v>0</v>
      </c>
      <c r="BR8" s="1144">
        <v>0</v>
      </c>
      <c r="BS8" s="1144">
        <v>0</v>
      </c>
      <c r="BT8" s="1144">
        <v>0</v>
      </c>
      <c r="BU8" s="1144">
        <v>0</v>
      </c>
      <c r="BV8" s="1144">
        <v>0</v>
      </c>
      <c r="BW8" s="1144">
        <v>0</v>
      </c>
      <c r="BX8" s="1144">
        <v>0</v>
      </c>
      <c r="BY8" s="1144">
        <v>0</v>
      </c>
      <c r="BZ8" s="1144">
        <v>0</v>
      </c>
      <c r="CA8" s="1144">
        <v>0</v>
      </c>
      <c r="CB8" s="1144">
        <v>0</v>
      </c>
      <c r="CC8" s="1144">
        <v>0</v>
      </c>
      <c r="CD8" s="1144">
        <v>0</v>
      </c>
      <c r="CE8" s="1144">
        <v>0</v>
      </c>
      <c r="CF8" s="1144">
        <v>0</v>
      </c>
      <c r="CG8" s="1144">
        <v>0</v>
      </c>
      <c r="CH8" s="1144">
        <v>0</v>
      </c>
      <c r="CI8" s="1144">
        <v>0</v>
      </c>
      <c r="CJ8" s="1144">
        <v>0</v>
      </c>
      <c r="CK8" s="1144">
        <v>0</v>
      </c>
      <c r="CL8" s="1144">
        <v>0</v>
      </c>
      <c r="CM8" s="1144">
        <v>0</v>
      </c>
      <c r="CN8" s="1144">
        <v>0</v>
      </c>
      <c r="CO8" s="1144">
        <v>0</v>
      </c>
      <c r="CP8" s="1144">
        <v>0</v>
      </c>
      <c r="CQ8" s="1144">
        <v>0</v>
      </c>
      <c r="CR8" s="1144">
        <v>0</v>
      </c>
      <c r="CS8" s="1144">
        <v>0</v>
      </c>
      <c r="CT8" s="1144">
        <v>0</v>
      </c>
      <c r="CU8" s="1144">
        <v>0</v>
      </c>
      <c r="CV8" s="1144">
        <v>0</v>
      </c>
      <c r="CW8" s="1144">
        <v>0</v>
      </c>
      <c r="CX8" s="1144">
        <v>0</v>
      </c>
      <c r="CY8" s="1144">
        <v>0</v>
      </c>
      <c r="CZ8" s="1144">
        <v>0</v>
      </c>
      <c r="DA8" s="1144">
        <v>0</v>
      </c>
      <c r="DB8" s="1144">
        <v>0</v>
      </c>
      <c r="DC8" s="1144">
        <v>0</v>
      </c>
      <c r="DD8" s="1144">
        <v>0</v>
      </c>
      <c r="DE8" s="1144">
        <v>0</v>
      </c>
      <c r="DF8" s="1144">
        <v>0</v>
      </c>
      <c r="DG8" s="1144">
        <v>0</v>
      </c>
      <c r="DH8" s="1144">
        <v>0</v>
      </c>
      <c r="DI8" s="1144">
        <v>0</v>
      </c>
      <c r="DJ8" s="1144">
        <v>0</v>
      </c>
      <c r="DK8" s="1144">
        <v>0</v>
      </c>
      <c r="DL8" s="1144">
        <v>0</v>
      </c>
      <c r="DM8" s="1144">
        <v>0</v>
      </c>
      <c r="DN8" s="1144">
        <v>0</v>
      </c>
      <c r="DO8" s="1144">
        <v>0</v>
      </c>
      <c r="DP8" s="1144">
        <v>0</v>
      </c>
      <c r="DQ8" s="1144">
        <v>0</v>
      </c>
      <c r="DR8" s="1144">
        <v>0</v>
      </c>
      <c r="DS8" s="1145">
        <v>0</v>
      </c>
      <c r="DT8" s="1145">
        <v>0</v>
      </c>
      <c r="DU8" s="1144">
        <v>0</v>
      </c>
      <c r="DV8" s="1145">
        <v>0</v>
      </c>
      <c r="DW8" s="1144">
        <v>0</v>
      </c>
      <c r="DX8" s="1145">
        <v>0</v>
      </c>
      <c r="DY8" s="1144">
        <v>0</v>
      </c>
      <c r="DZ8" s="1144">
        <v>0</v>
      </c>
      <c r="EA8" s="1145">
        <v>0</v>
      </c>
      <c r="EB8" s="1144">
        <v>0</v>
      </c>
      <c r="EC8" s="1144">
        <v>0</v>
      </c>
      <c r="ED8" s="1144">
        <v>0</v>
      </c>
      <c r="EE8" s="1144">
        <v>0</v>
      </c>
      <c r="EF8" s="1144">
        <v>0</v>
      </c>
      <c r="EG8" s="1144">
        <v>0</v>
      </c>
      <c r="EH8" s="1144">
        <v>0</v>
      </c>
      <c r="EI8" s="1144">
        <v>0</v>
      </c>
      <c r="EJ8" s="1144">
        <v>0</v>
      </c>
      <c r="EK8" s="1144">
        <v>0</v>
      </c>
      <c r="EL8" s="1144">
        <v>0</v>
      </c>
      <c r="EM8" s="1144">
        <v>0</v>
      </c>
      <c r="EN8" s="1144">
        <v>0</v>
      </c>
      <c r="EO8" s="1144">
        <v>0</v>
      </c>
      <c r="EP8" s="1144">
        <v>0</v>
      </c>
      <c r="EQ8" s="1144">
        <v>0</v>
      </c>
      <c r="ER8" s="1144">
        <v>0</v>
      </c>
      <c r="ES8" s="1144">
        <v>0</v>
      </c>
      <c r="ET8" s="1144">
        <v>0</v>
      </c>
      <c r="EU8" s="1144">
        <v>0</v>
      </c>
      <c r="EV8" s="1144">
        <v>0</v>
      </c>
      <c r="EW8" s="1144">
        <v>0</v>
      </c>
      <c r="EX8" s="1144">
        <v>0</v>
      </c>
      <c r="EY8" s="1144">
        <v>0</v>
      </c>
      <c r="EZ8" s="1144">
        <v>0</v>
      </c>
      <c r="FA8" s="1144">
        <v>0</v>
      </c>
      <c r="FB8" s="1144">
        <v>0</v>
      </c>
      <c r="FC8" s="1144">
        <v>0</v>
      </c>
      <c r="FD8" s="1144">
        <v>0</v>
      </c>
      <c r="FE8" s="1144">
        <v>0</v>
      </c>
      <c r="FF8" s="1144">
        <v>0</v>
      </c>
      <c r="FG8" s="1144">
        <v>0</v>
      </c>
      <c r="FH8" s="1144">
        <v>0</v>
      </c>
      <c r="FI8" s="1144">
        <v>0</v>
      </c>
      <c r="FJ8" s="1144">
        <v>0</v>
      </c>
      <c r="FK8" s="1144">
        <v>0</v>
      </c>
      <c r="FL8" s="1144">
        <v>0</v>
      </c>
      <c r="FM8" s="1144">
        <v>0</v>
      </c>
      <c r="FN8" s="1144">
        <v>0</v>
      </c>
      <c r="FO8" s="1144">
        <v>0</v>
      </c>
      <c r="FP8" s="1144">
        <v>0</v>
      </c>
      <c r="FQ8" s="1144">
        <v>0</v>
      </c>
      <c r="FR8" s="1144">
        <v>0</v>
      </c>
      <c r="FS8" s="1144">
        <v>0</v>
      </c>
      <c r="FT8" s="1145">
        <v>0</v>
      </c>
      <c r="FU8" s="1145">
        <v>0</v>
      </c>
      <c r="FV8" s="1145">
        <v>0</v>
      </c>
      <c r="FW8" s="1144">
        <v>0</v>
      </c>
      <c r="FX8" s="1144">
        <v>0</v>
      </c>
      <c r="FY8" s="1144">
        <v>0</v>
      </c>
      <c r="FZ8" s="1144">
        <v>0</v>
      </c>
      <c r="GA8" s="1144">
        <v>0</v>
      </c>
      <c r="GB8" s="1144">
        <v>0</v>
      </c>
      <c r="GC8" s="1144">
        <v>0</v>
      </c>
      <c r="GD8" s="1144">
        <v>0</v>
      </c>
      <c r="GE8" s="1144">
        <v>0</v>
      </c>
      <c r="GF8" s="1144">
        <v>0</v>
      </c>
      <c r="GG8" s="1144">
        <v>0</v>
      </c>
      <c r="GH8" s="1144">
        <v>0</v>
      </c>
      <c r="GI8" s="1144">
        <v>0</v>
      </c>
      <c r="GJ8" s="1144">
        <v>0</v>
      </c>
      <c r="GK8" s="1144">
        <v>0</v>
      </c>
      <c r="GL8" s="1144">
        <v>0</v>
      </c>
      <c r="GM8" s="1144">
        <v>0</v>
      </c>
      <c r="GN8" s="1144">
        <v>0</v>
      </c>
      <c r="GO8" s="1144">
        <v>0</v>
      </c>
      <c r="GP8" s="1144">
        <v>0</v>
      </c>
      <c r="GQ8" s="1144">
        <v>0</v>
      </c>
      <c r="GR8" s="1144">
        <v>0</v>
      </c>
      <c r="GS8" s="1144">
        <v>0</v>
      </c>
      <c r="GT8" s="1144">
        <v>0</v>
      </c>
      <c r="GU8" s="1144">
        <v>0</v>
      </c>
      <c r="GV8" s="1144">
        <v>0</v>
      </c>
      <c r="GW8" s="1144">
        <v>0</v>
      </c>
      <c r="GX8" s="1144">
        <v>0</v>
      </c>
      <c r="GY8" s="1144">
        <v>0</v>
      </c>
      <c r="GZ8" s="1144">
        <v>0</v>
      </c>
      <c r="HA8" s="1144">
        <v>0</v>
      </c>
      <c r="HB8" s="1144">
        <v>0</v>
      </c>
      <c r="HC8" s="1144">
        <v>0</v>
      </c>
      <c r="HD8" s="1144">
        <v>0</v>
      </c>
      <c r="HE8" s="1144">
        <v>0</v>
      </c>
      <c r="HF8" s="1144">
        <v>0</v>
      </c>
      <c r="HG8" s="1144">
        <v>0</v>
      </c>
      <c r="HH8" s="1144">
        <v>0</v>
      </c>
      <c r="HI8" s="1144">
        <v>0</v>
      </c>
      <c r="HJ8" s="1144">
        <v>0</v>
      </c>
      <c r="HK8" s="1144">
        <v>0</v>
      </c>
      <c r="HL8" s="1144">
        <v>0</v>
      </c>
      <c r="HM8" s="1144">
        <v>0</v>
      </c>
      <c r="HN8" s="1144">
        <v>0</v>
      </c>
      <c r="HO8" s="1144">
        <v>0</v>
      </c>
      <c r="HP8" s="1144">
        <v>0</v>
      </c>
      <c r="HQ8" s="1144">
        <v>0</v>
      </c>
      <c r="HR8" s="1144">
        <v>0</v>
      </c>
      <c r="HS8" s="1144">
        <v>0</v>
      </c>
      <c r="HT8" s="1144">
        <v>0</v>
      </c>
      <c r="HU8" s="1144">
        <v>0</v>
      </c>
      <c r="HV8" s="1144">
        <v>0</v>
      </c>
      <c r="HW8" s="1144">
        <v>0</v>
      </c>
      <c r="HX8" s="1144">
        <v>0</v>
      </c>
      <c r="HY8" s="1144">
        <v>0</v>
      </c>
      <c r="HZ8" s="1144">
        <v>0</v>
      </c>
      <c r="IA8" s="1144">
        <v>0</v>
      </c>
      <c r="IB8" s="1144">
        <v>0</v>
      </c>
      <c r="IC8" s="1144">
        <v>0</v>
      </c>
      <c r="ID8" s="1144">
        <v>0</v>
      </c>
      <c r="IE8" s="1144">
        <v>0</v>
      </c>
      <c r="IF8" s="1144">
        <v>0</v>
      </c>
      <c r="IG8" s="1144">
        <v>0</v>
      </c>
      <c r="IH8" s="1144">
        <v>0</v>
      </c>
      <c r="II8" s="1144">
        <v>0</v>
      </c>
      <c r="IJ8" s="1144">
        <v>0</v>
      </c>
      <c r="IK8" s="1144">
        <v>0</v>
      </c>
      <c r="IL8" s="1144">
        <v>0</v>
      </c>
      <c r="IM8" s="1144">
        <v>0</v>
      </c>
      <c r="IN8" s="1144">
        <v>0</v>
      </c>
      <c r="IO8" s="1144">
        <v>0</v>
      </c>
      <c r="IP8" s="1144">
        <v>0</v>
      </c>
      <c r="IQ8" s="1144">
        <v>0</v>
      </c>
      <c r="IR8" s="1144">
        <v>0</v>
      </c>
      <c r="IS8" s="1144">
        <v>0</v>
      </c>
      <c r="IT8" s="1144">
        <v>0</v>
      </c>
      <c r="IU8" s="1144">
        <v>0</v>
      </c>
      <c r="IV8" s="1144">
        <v>0</v>
      </c>
      <c r="IW8" s="1144">
        <v>0</v>
      </c>
      <c r="IX8" s="1144">
        <v>0</v>
      </c>
      <c r="IY8" s="1144">
        <v>0</v>
      </c>
      <c r="IZ8" s="1144">
        <v>0</v>
      </c>
      <c r="JA8" s="1144">
        <v>0</v>
      </c>
      <c r="JB8" s="1144">
        <v>0</v>
      </c>
      <c r="JC8" s="1144">
        <v>0</v>
      </c>
      <c r="JD8" s="1146"/>
      <c r="JE8" s="1144">
        <v>0</v>
      </c>
      <c r="JF8" s="1144">
        <v>0</v>
      </c>
      <c r="JG8" s="1144">
        <v>0</v>
      </c>
      <c r="JH8" s="1144">
        <v>0</v>
      </c>
      <c r="JI8" s="1144">
        <v>0</v>
      </c>
      <c r="JJ8" s="1144">
        <v>0</v>
      </c>
      <c r="JK8" s="1144">
        <v>0</v>
      </c>
      <c r="JL8" s="1144">
        <v>0</v>
      </c>
      <c r="JM8" s="1144">
        <v>0</v>
      </c>
      <c r="JN8" s="1144">
        <v>0</v>
      </c>
      <c r="JO8" s="1144">
        <v>0</v>
      </c>
      <c r="JP8" s="1144">
        <v>0</v>
      </c>
      <c r="JQ8" s="1144">
        <v>0</v>
      </c>
      <c r="JR8" s="1144">
        <v>0</v>
      </c>
      <c r="JS8" s="1144">
        <v>0</v>
      </c>
      <c r="JT8" s="1144">
        <v>0</v>
      </c>
      <c r="JU8" s="1144">
        <v>0</v>
      </c>
      <c r="JV8" s="1144">
        <v>0</v>
      </c>
      <c r="JW8" s="1144">
        <v>0</v>
      </c>
      <c r="JX8" s="1144">
        <v>0</v>
      </c>
      <c r="JY8" s="1144">
        <v>0</v>
      </c>
      <c r="JZ8" s="1144">
        <v>0</v>
      </c>
      <c r="KA8" s="1144">
        <v>0</v>
      </c>
      <c r="KB8" s="1144">
        <v>0</v>
      </c>
      <c r="KC8" s="1144">
        <v>0</v>
      </c>
      <c r="KD8" s="1144">
        <v>0</v>
      </c>
      <c r="KE8" s="1144">
        <v>0</v>
      </c>
    </row>
    <row r="9" spans="1:291" outlineLevel="1">
      <c r="A9" s="78"/>
      <c r="B9" s="83">
        <v>205</v>
      </c>
      <c r="C9" s="437" t="s">
        <v>2400</v>
      </c>
      <c r="D9" s="1144" t="s">
        <v>2401</v>
      </c>
      <c r="E9" s="1144" t="s">
        <v>2401</v>
      </c>
      <c r="F9" s="1144" t="s">
        <v>2401</v>
      </c>
      <c r="G9" s="1144" t="s">
        <v>2401</v>
      </c>
      <c r="H9" s="1144" t="s">
        <v>2401</v>
      </c>
      <c r="I9" s="1144" t="s">
        <v>2401</v>
      </c>
      <c r="J9" s="1144" t="s">
        <v>2401</v>
      </c>
      <c r="K9" s="1144" t="s">
        <v>2401</v>
      </c>
      <c r="L9" s="1144" t="s">
        <v>2401</v>
      </c>
      <c r="M9" s="1144" t="s">
        <v>2401</v>
      </c>
      <c r="N9" s="1144" t="s">
        <v>2401</v>
      </c>
      <c r="O9" s="1144" t="s">
        <v>2401</v>
      </c>
      <c r="P9" s="1144" t="s">
        <v>2401</v>
      </c>
      <c r="Q9" s="1144" t="s">
        <v>2401</v>
      </c>
      <c r="R9" s="1144" t="s">
        <v>2401</v>
      </c>
      <c r="S9" s="1144" t="s">
        <v>2401</v>
      </c>
      <c r="T9" s="1144" t="s">
        <v>2401</v>
      </c>
      <c r="U9" s="1144" t="s">
        <v>2401</v>
      </c>
      <c r="V9" s="1144" t="s">
        <v>2401</v>
      </c>
      <c r="W9" s="1144" t="s">
        <v>2401</v>
      </c>
      <c r="X9" s="1144" t="s">
        <v>2401</v>
      </c>
      <c r="Y9" s="1144" t="s">
        <v>2401</v>
      </c>
      <c r="Z9" s="1144" t="s">
        <v>2401</v>
      </c>
      <c r="AA9" s="1144" t="s">
        <v>2401</v>
      </c>
      <c r="AB9" s="1144" t="s">
        <v>2401</v>
      </c>
      <c r="AC9" s="1144" t="s">
        <v>2401</v>
      </c>
      <c r="AD9" s="1144" t="s">
        <v>2401</v>
      </c>
      <c r="AE9" s="1144" t="s">
        <v>2401</v>
      </c>
      <c r="AF9" s="1144" t="s">
        <v>2401</v>
      </c>
      <c r="AG9" s="1144" t="s">
        <v>2401</v>
      </c>
      <c r="AH9" s="1144" t="s">
        <v>2401</v>
      </c>
      <c r="AI9" s="1144" t="s">
        <v>2401</v>
      </c>
      <c r="AJ9" s="1144" t="s">
        <v>2401</v>
      </c>
      <c r="AK9" s="1144" t="s">
        <v>2401</v>
      </c>
      <c r="AL9" s="1144" t="s">
        <v>2401</v>
      </c>
      <c r="AM9" s="1144" t="s">
        <v>2401</v>
      </c>
      <c r="AN9" s="1144" t="s">
        <v>2401</v>
      </c>
      <c r="AO9" s="1144" t="s">
        <v>2401</v>
      </c>
      <c r="AP9" s="1144" t="s">
        <v>2401</v>
      </c>
      <c r="AQ9" s="1144" t="s">
        <v>2401</v>
      </c>
      <c r="AR9" s="1144" t="s">
        <v>2401</v>
      </c>
      <c r="AS9" s="1144" t="s">
        <v>2401</v>
      </c>
      <c r="AT9" s="1144" t="s">
        <v>2401</v>
      </c>
      <c r="AU9" s="1144" t="s">
        <v>2401</v>
      </c>
      <c r="AV9" s="1144" t="s">
        <v>2401</v>
      </c>
      <c r="AW9" s="1144" t="s">
        <v>2401</v>
      </c>
      <c r="AX9" s="1144" t="s">
        <v>2401</v>
      </c>
      <c r="AY9" s="1144" t="s">
        <v>2401</v>
      </c>
      <c r="AZ9" s="1144" t="s">
        <v>2401</v>
      </c>
      <c r="BA9" s="1144" t="s">
        <v>2401</v>
      </c>
      <c r="BB9" s="1144" t="s">
        <v>2401</v>
      </c>
      <c r="BC9" s="1144" t="s">
        <v>2401</v>
      </c>
      <c r="BD9" s="1144" t="s">
        <v>2401</v>
      </c>
      <c r="BE9" s="1144" t="s">
        <v>2401</v>
      </c>
      <c r="BF9" s="1144" t="s">
        <v>2401</v>
      </c>
      <c r="BG9" s="1144" t="s">
        <v>2401</v>
      </c>
      <c r="BH9" s="1144" t="s">
        <v>2401</v>
      </c>
      <c r="BI9" s="1144" t="s">
        <v>2401</v>
      </c>
      <c r="BJ9" s="1144" t="s">
        <v>2401</v>
      </c>
      <c r="BK9" s="1144" t="s">
        <v>2401</v>
      </c>
      <c r="BL9" s="1145" t="s">
        <v>2401</v>
      </c>
      <c r="BM9" s="1145" t="s">
        <v>2401</v>
      </c>
      <c r="BN9" s="1144" t="s">
        <v>2401</v>
      </c>
      <c r="BO9" s="1144" t="s">
        <v>2401</v>
      </c>
      <c r="BP9" s="1144" t="s">
        <v>2401</v>
      </c>
      <c r="BQ9" s="1144" t="s">
        <v>2401</v>
      </c>
      <c r="BR9" s="1144" t="s">
        <v>2401</v>
      </c>
      <c r="BS9" s="1144" t="s">
        <v>2401</v>
      </c>
      <c r="BT9" s="1144" t="s">
        <v>2401</v>
      </c>
      <c r="BU9" s="1144" t="s">
        <v>2401</v>
      </c>
      <c r="BV9" s="1144" t="s">
        <v>2401</v>
      </c>
      <c r="BW9" s="1144" t="s">
        <v>2401</v>
      </c>
      <c r="BX9" s="1144" t="s">
        <v>2401</v>
      </c>
      <c r="BY9" s="1144" t="s">
        <v>2401</v>
      </c>
      <c r="BZ9" s="1144" t="s">
        <v>2401</v>
      </c>
      <c r="CA9" s="1144" t="s">
        <v>2401</v>
      </c>
      <c r="CB9" s="1144" t="s">
        <v>2401</v>
      </c>
      <c r="CC9" s="1144" t="s">
        <v>2401</v>
      </c>
      <c r="CD9" s="1144" t="s">
        <v>2401</v>
      </c>
      <c r="CE9" s="1144" t="s">
        <v>2401</v>
      </c>
      <c r="CF9" s="1144" t="s">
        <v>2401</v>
      </c>
      <c r="CG9" s="1144" t="s">
        <v>2401</v>
      </c>
      <c r="CH9" s="1144" t="s">
        <v>2401</v>
      </c>
      <c r="CI9" s="1144" t="s">
        <v>2401</v>
      </c>
      <c r="CJ9" s="1144" t="s">
        <v>2401</v>
      </c>
      <c r="CK9" s="1144" t="s">
        <v>2401</v>
      </c>
      <c r="CL9" s="1144" t="s">
        <v>2401</v>
      </c>
      <c r="CM9" s="1144" t="s">
        <v>2401</v>
      </c>
      <c r="CN9" s="1144" t="s">
        <v>2401</v>
      </c>
      <c r="CO9" s="1144" t="s">
        <v>2401</v>
      </c>
      <c r="CP9" s="1144" t="s">
        <v>2401</v>
      </c>
      <c r="CQ9" s="1144" t="s">
        <v>2401</v>
      </c>
      <c r="CR9" s="1144" t="s">
        <v>2401</v>
      </c>
      <c r="CS9" s="1144" t="s">
        <v>2401</v>
      </c>
      <c r="CT9" s="1144" t="s">
        <v>2401</v>
      </c>
      <c r="CU9" s="1144" t="s">
        <v>2401</v>
      </c>
      <c r="CV9" s="1144" t="s">
        <v>2401</v>
      </c>
      <c r="CW9" s="1144" t="s">
        <v>2401</v>
      </c>
      <c r="CX9" s="1144" t="s">
        <v>2401</v>
      </c>
      <c r="CY9" s="1144" t="s">
        <v>2401</v>
      </c>
      <c r="CZ9" s="1144" t="s">
        <v>2401</v>
      </c>
      <c r="DA9" s="1144" t="s">
        <v>2401</v>
      </c>
      <c r="DB9" s="1144" t="s">
        <v>2401</v>
      </c>
      <c r="DC9" s="1144" t="s">
        <v>2401</v>
      </c>
      <c r="DD9" s="1144" t="s">
        <v>2401</v>
      </c>
      <c r="DE9" s="1144" t="s">
        <v>2401</v>
      </c>
      <c r="DF9" s="1144" t="s">
        <v>2401</v>
      </c>
      <c r="DG9" s="1144" t="s">
        <v>2401</v>
      </c>
      <c r="DH9" s="1144" t="s">
        <v>2401</v>
      </c>
      <c r="DI9" s="1144" t="s">
        <v>2401</v>
      </c>
      <c r="DJ9" s="1144" t="s">
        <v>2401</v>
      </c>
      <c r="DK9" s="1144" t="s">
        <v>2401</v>
      </c>
      <c r="DL9" s="1144" t="s">
        <v>2401</v>
      </c>
      <c r="DM9" s="1144" t="s">
        <v>2401</v>
      </c>
      <c r="DN9" s="1144" t="s">
        <v>2401</v>
      </c>
      <c r="DO9" s="1144" t="s">
        <v>2401</v>
      </c>
      <c r="DP9" s="1144" t="s">
        <v>2401</v>
      </c>
      <c r="DQ9" s="1144" t="s">
        <v>2401</v>
      </c>
      <c r="DR9" s="1144" t="s">
        <v>2401</v>
      </c>
      <c r="DS9" s="1145" t="s">
        <v>2401</v>
      </c>
      <c r="DT9" s="1145" t="s">
        <v>2401</v>
      </c>
      <c r="DU9" s="1144" t="s">
        <v>2401</v>
      </c>
      <c r="DV9" s="1145" t="s">
        <v>2401</v>
      </c>
      <c r="DW9" s="1144" t="s">
        <v>2401</v>
      </c>
      <c r="DX9" s="1145" t="s">
        <v>2401</v>
      </c>
      <c r="DY9" s="1144" t="s">
        <v>2401</v>
      </c>
      <c r="DZ9" s="1144" t="s">
        <v>2401</v>
      </c>
      <c r="EA9" s="1145" t="s">
        <v>2401</v>
      </c>
      <c r="EB9" s="1144" t="s">
        <v>2401</v>
      </c>
      <c r="EC9" s="1144" t="s">
        <v>2401</v>
      </c>
      <c r="ED9" s="1144" t="s">
        <v>2401</v>
      </c>
      <c r="EE9" s="1144" t="s">
        <v>2401</v>
      </c>
      <c r="EF9" s="1144" t="s">
        <v>2401</v>
      </c>
      <c r="EG9" s="1144" t="s">
        <v>2401</v>
      </c>
      <c r="EH9" s="1144" t="s">
        <v>2401</v>
      </c>
      <c r="EI9" s="1144" t="s">
        <v>2401</v>
      </c>
      <c r="EJ9" s="1144" t="s">
        <v>2401</v>
      </c>
      <c r="EK9" s="1144" t="s">
        <v>2401</v>
      </c>
      <c r="EL9" s="1144" t="s">
        <v>2401</v>
      </c>
      <c r="EM9" s="1144" t="s">
        <v>2401</v>
      </c>
      <c r="EN9" s="1144" t="s">
        <v>2401</v>
      </c>
      <c r="EO9" s="1144" t="s">
        <v>2401</v>
      </c>
      <c r="EP9" s="1144" t="s">
        <v>2401</v>
      </c>
      <c r="EQ9" s="1144" t="s">
        <v>2401</v>
      </c>
      <c r="ER9" s="1144" t="s">
        <v>2401</v>
      </c>
      <c r="ES9" s="1144" t="s">
        <v>2401</v>
      </c>
      <c r="ET9" s="1144" t="s">
        <v>2401</v>
      </c>
      <c r="EU9" s="1144" t="s">
        <v>2401</v>
      </c>
      <c r="EV9" s="1144" t="s">
        <v>2401</v>
      </c>
      <c r="EW9" s="1144" t="s">
        <v>2401</v>
      </c>
      <c r="EX9" s="1144" t="s">
        <v>2401</v>
      </c>
      <c r="EY9" s="1144" t="s">
        <v>2401</v>
      </c>
      <c r="EZ9" s="1144" t="s">
        <v>2401</v>
      </c>
      <c r="FA9" s="1144" t="s">
        <v>2401</v>
      </c>
      <c r="FB9" s="1144" t="s">
        <v>2401</v>
      </c>
      <c r="FC9" s="1144" t="s">
        <v>2401</v>
      </c>
      <c r="FD9" s="1144" t="s">
        <v>2401</v>
      </c>
      <c r="FE9" s="1144" t="s">
        <v>2401</v>
      </c>
      <c r="FF9" s="1144" t="s">
        <v>2401</v>
      </c>
      <c r="FG9" s="1144" t="s">
        <v>2401</v>
      </c>
      <c r="FH9" s="1144" t="s">
        <v>2401</v>
      </c>
      <c r="FI9" s="1144" t="s">
        <v>2401</v>
      </c>
      <c r="FJ9" s="1144" t="s">
        <v>2401</v>
      </c>
      <c r="FK9" s="1144" t="s">
        <v>2401</v>
      </c>
      <c r="FL9" s="1144" t="s">
        <v>2401</v>
      </c>
      <c r="FM9" s="1144" t="s">
        <v>2401</v>
      </c>
      <c r="FN9" s="1144" t="s">
        <v>2401</v>
      </c>
      <c r="FO9" s="1144" t="s">
        <v>2401</v>
      </c>
      <c r="FP9" s="1144" t="s">
        <v>2401</v>
      </c>
      <c r="FQ9" s="1144" t="s">
        <v>2401</v>
      </c>
      <c r="FR9" s="1144" t="s">
        <v>2401</v>
      </c>
      <c r="FS9" s="1144" t="s">
        <v>2401</v>
      </c>
      <c r="FT9" s="1145" t="s">
        <v>2401</v>
      </c>
      <c r="FU9" s="1145" t="s">
        <v>2401</v>
      </c>
      <c r="FV9" s="1145" t="s">
        <v>2401</v>
      </c>
      <c r="FW9" s="1144" t="s">
        <v>2401</v>
      </c>
      <c r="FX9" s="1144" t="s">
        <v>2401</v>
      </c>
      <c r="FY9" s="1144" t="s">
        <v>2401</v>
      </c>
      <c r="FZ9" s="1144" t="s">
        <v>2401</v>
      </c>
      <c r="GA9" s="1144" t="s">
        <v>2401</v>
      </c>
      <c r="GB9" s="1144" t="s">
        <v>2401</v>
      </c>
      <c r="GC9" s="1144" t="s">
        <v>2401</v>
      </c>
      <c r="GD9" s="1144" t="s">
        <v>2401</v>
      </c>
      <c r="GE9" s="1144" t="s">
        <v>2401</v>
      </c>
      <c r="GF9" s="1144" t="s">
        <v>2401</v>
      </c>
      <c r="GG9" s="1144" t="s">
        <v>2401</v>
      </c>
      <c r="GH9" s="1144" t="s">
        <v>2401</v>
      </c>
      <c r="GI9" s="1144" t="s">
        <v>2401</v>
      </c>
      <c r="GJ9" s="1144" t="s">
        <v>2401</v>
      </c>
      <c r="GK9" s="1144" t="s">
        <v>2401</v>
      </c>
      <c r="GL9" s="1144" t="s">
        <v>2401</v>
      </c>
      <c r="GM9" s="1144" t="s">
        <v>2401</v>
      </c>
      <c r="GN9" s="1144" t="s">
        <v>2401</v>
      </c>
      <c r="GO9" s="1144" t="s">
        <v>2401</v>
      </c>
      <c r="GP9" s="1144" t="s">
        <v>2401</v>
      </c>
      <c r="GQ9" s="1144" t="s">
        <v>2401</v>
      </c>
      <c r="GR9" s="1144" t="s">
        <v>2401</v>
      </c>
      <c r="GS9" s="1144" t="s">
        <v>2401</v>
      </c>
      <c r="GT9" s="1144" t="s">
        <v>2401</v>
      </c>
      <c r="GU9" s="1144" t="s">
        <v>2401</v>
      </c>
      <c r="GV9" s="1144" t="s">
        <v>2401</v>
      </c>
      <c r="GW9" s="1144" t="s">
        <v>2401</v>
      </c>
      <c r="GX9" s="1144" t="s">
        <v>2401</v>
      </c>
      <c r="GY9" s="1144" t="s">
        <v>2401</v>
      </c>
      <c r="GZ9" s="1144" t="s">
        <v>2401</v>
      </c>
      <c r="HA9" s="1144" t="s">
        <v>2401</v>
      </c>
      <c r="HB9" s="1144" t="s">
        <v>2401</v>
      </c>
      <c r="HC9" s="1144" t="s">
        <v>2401</v>
      </c>
      <c r="HD9" s="1144" t="s">
        <v>2401</v>
      </c>
      <c r="HE9" s="1144" t="s">
        <v>2401</v>
      </c>
      <c r="HF9" s="1144" t="s">
        <v>2401</v>
      </c>
      <c r="HG9" s="1144" t="s">
        <v>2401</v>
      </c>
      <c r="HH9" s="1144" t="s">
        <v>2401</v>
      </c>
      <c r="HI9" s="1144" t="s">
        <v>2401</v>
      </c>
      <c r="HJ9" s="1144" t="s">
        <v>2401</v>
      </c>
      <c r="HK9" s="1144" t="s">
        <v>2401</v>
      </c>
      <c r="HL9" s="1144" t="s">
        <v>2401</v>
      </c>
      <c r="HM9" s="1144" t="s">
        <v>2401</v>
      </c>
      <c r="HN9" s="1144" t="s">
        <v>2401</v>
      </c>
      <c r="HO9" s="1144" t="s">
        <v>2401</v>
      </c>
      <c r="HP9" s="1144" t="s">
        <v>2401</v>
      </c>
      <c r="HQ9" s="1144" t="s">
        <v>2401</v>
      </c>
      <c r="HR9" s="1144" t="s">
        <v>2401</v>
      </c>
      <c r="HS9" s="1144" t="s">
        <v>2401</v>
      </c>
      <c r="HT9" s="1144" t="s">
        <v>2401</v>
      </c>
      <c r="HU9" s="1144" t="s">
        <v>2401</v>
      </c>
      <c r="HV9" s="1144" t="s">
        <v>2401</v>
      </c>
      <c r="HW9" s="1144" t="s">
        <v>2401</v>
      </c>
      <c r="HX9" s="1144" t="s">
        <v>2401</v>
      </c>
      <c r="HY9" s="1144" t="s">
        <v>2401</v>
      </c>
      <c r="HZ9" s="1144" t="s">
        <v>2401</v>
      </c>
      <c r="IA9" s="1144" t="s">
        <v>2401</v>
      </c>
      <c r="IB9" s="1144" t="s">
        <v>2401</v>
      </c>
      <c r="IC9" s="1144" t="s">
        <v>2401</v>
      </c>
      <c r="ID9" s="1144" t="s">
        <v>2401</v>
      </c>
      <c r="IE9" s="1144" t="s">
        <v>2401</v>
      </c>
      <c r="IF9" s="1144" t="s">
        <v>2401</v>
      </c>
      <c r="IG9" s="1144" t="s">
        <v>2401</v>
      </c>
      <c r="IH9" s="1144" t="s">
        <v>2401</v>
      </c>
      <c r="II9" s="1144" t="s">
        <v>2401</v>
      </c>
      <c r="IJ9" s="1144" t="s">
        <v>2401</v>
      </c>
      <c r="IK9" s="1144" t="s">
        <v>2401</v>
      </c>
      <c r="IL9" s="1144" t="s">
        <v>2401</v>
      </c>
      <c r="IM9" s="1144" t="s">
        <v>2401</v>
      </c>
      <c r="IN9" s="1144" t="s">
        <v>2401</v>
      </c>
      <c r="IO9" s="1144" t="s">
        <v>2401</v>
      </c>
      <c r="IP9" s="1144" t="s">
        <v>2401</v>
      </c>
      <c r="IQ9" s="1144" t="s">
        <v>2401</v>
      </c>
      <c r="IR9" s="1144" t="s">
        <v>2401</v>
      </c>
      <c r="IS9" s="1144" t="s">
        <v>2401</v>
      </c>
      <c r="IT9" s="1144" t="s">
        <v>2401</v>
      </c>
      <c r="IU9" s="1144" t="s">
        <v>2401</v>
      </c>
      <c r="IV9" s="1144" t="s">
        <v>2401</v>
      </c>
      <c r="IW9" s="1144" t="s">
        <v>2401</v>
      </c>
      <c r="IX9" s="1144" t="s">
        <v>2401</v>
      </c>
      <c r="IY9" s="1144" t="s">
        <v>2401</v>
      </c>
      <c r="IZ9" s="1144" t="s">
        <v>2401</v>
      </c>
      <c r="JA9" s="1144" t="s">
        <v>2401</v>
      </c>
      <c r="JB9" s="1144" t="s">
        <v>2401</v>
      </c>
      <c r="JC9" s="1144" t="s">
        <v>2401</v>
      </c>
      <c r="JD9" s="1146"/>
      <c r="JE9" s="1144" t="s">
        <v>2401</v>
      </c>
      <c r="JF9" s="1144" t="s">
        <v>2401</v>
      </c>
      <c r="JG9" s="1144" t="s">
        <v>2401</v>
      </c>
      <c r="JH9" s="1144" t="s">
        <v>2401</v>
      </c>
      <c r="JI9" s="1144" t="s">
        <v>2401</v>
      </c>
      <c r="JJ9" s="1144" t="s">
        <v>2401</v>
      </c>
      <c r="JK9" s="1144" t="s">
        <v>2401</v>
      </c>
      <c r="JL9" s="1144" t="s">
        <v>2401</v>
      </c>
      <c r="JM9" s="1144" t="s">
        <v>2401</v>
      </c>
      <c r="JN9" s="1144" t="s">
        <v>2401</v>
      </c>
      <c r="JO9" s="1144" t="s">
        <v>2401</v>
      </c>
      <c r="JP9" s="1144" t="s">
        <v>2401</v>
      </c>
      <c r="JQ9" s="1144" t="s">
        <v>2401</v>
      </c>
      <c r="JR9" s="1144" t="s">
        <v>2401</v>
      </c>
      <c r="JS9" s="1144" t="s">
        <v>2401</v>
      </c>
      <c r="JT9" s="1144" t="s">
        <v>2401</v>
      </c>
      <c r="JU9" s="1144" t="s">
        <v>2401</v>
      </c>
      <c r="JV9" s="1144" t="s">
        <v>2401</v>
      </c>
      <c r="JW9" s="1144" t="s">
        <v>2401</v>
      </c>
      <c r="JX9" s="1144" t="s">
        <v>2401</v>
      </c>
      <c r="JY9" s="1144" t="s">
        <v>2401</v>
      </c>
      <c r="JZ9" s="1144" t="s">
        <v>2401</v>
      </c>
      <c r="KA9" s="1144" t="s">
        <v>2401</v>
      </c>
      <c r="KB9" s="1144" t="s">
        <v>2401</v>
      </c>
      <c r="KC9" s="1144" t="s">
        <v>2401</v>
      </c>
      <c r="KD9" s="1144" t="s">
        <v>2401</v>
      </c>
      <c r="KE9" s="1144" t="s">
        <v>2401</v>
      </c>
    </row>
    <row r="10" spans="1:291" outlineLevel="1">
      <c r="A10" s="78"/>
      <c r="B10" s="83">
        <v>202</v>
      </c>
      <c r="C10" s="437" t="s">
        <v>2402</v>
      </c>
      <c r="D10" s="1144" t="s">
        <v>2403</v>
      </c>
      <c r="E10" s="1144" t="s">
        <v>2403</v>
      </c>
      <c r="F10" s="1144" t="s">
        <v>2403</v>
      </c>
      <c r="G10" s="1144" t="s">
        <v>2403</v>
      </c>
      <c r="H10" s="1144" t="s">
        <v>2403</v>
      </c>
      <c r="I10" s="1144" t="s">
        <v>2403</v>
      </c>
      <c r="J10" s="1144" t="s">
        <v>2403</v>
      </c>
      <c r="K10" s="1144" t="s">
        <v>2403</v>
      </c>
      <c r="L10" s="1144" t="s">
        <v>2403</v>
      </c>
      <c r="M10" s="1144" t="s">
        <v>2403</v>
      </c>
      <c r="N10" s="1144" t="s">
        <v>2403</v>
      </c>
      <c r="O10" s="1144" t="s">
        <v>2403</v>
      </c>
      <c r="P10" s="1144" t="s">
        <v>2403</v>
      </c>
      <c r="Q10" s="1144" t="s">
        <v>2403</v>
      </c>
      <c r="R10" s="1144" t="s">
        <v>2403</v>
      </c>
      <c r="S10" s="1144" t="s">
        <v>2403</v>
      </c>
      <c r="T10" s="1144" t="s">
        <v>2403</v>
      </c>
      <c r="U10" s="1144" t="s">
        <v>2403</v>
      </c>
      <c r="V10" s="1144" t="s">
        <v>2403</v>
      </c>
      <c r="W10" s="1144" t="s">
        <v>2403</v>
      </c>
      <c r="X10" s="1144" t="s">
        <v>2403</v>
      </c>
      <c r="Y10" s="1144" t="s">
        <v>2403</v>
      </c>
      <c r="Z10" s="1144" t="s">
        <v>2403</v>
      </c>
      <c r="AA10" s="1144" t="s">
        <v>2403</v>
      </c>
      <c r="AB10" s="1144" t="s">
        <v>2403</v>
      </c>
      <c r="AC10" s="1144" t="s">
        <v>2403</v>
      </c>
      <c r="AD10" s="1144" t="s">
        <v>2403</v>
      </c>
      <c r="AE10" s="1144" t="s">
        <v>2403</v>
      </c>
      <c r="AF10" s="1144" t="s">
        <v>2403</v>
      </c>
      <c r="AG10" s="1144" t="s">
        <v>2403</v>
      </c>
      <c r="AH10" s="1144" t="s">
        <v>2403</v>
      </c>
      <c r="AI10" s="1144" t="s">
        <v>2403</v>
      </c>
      <c r="AJ10" s="1144" t="s">
        <v>2403</v>
      </c>
      <c r="AK10" s="1144" t="s">
        <v>2403</v>
      </c>
      <c r="AL10" s="1144" t="s">
        <v>2403</v>
      </c>
      <c r="AM10" s="1144" t="s">
        <v>2403</v>
      </c>
      <c r="AN10" s="1144" t="s">
        <v>2403</v>
      </c>
      <c r="AO10" s="1144" t="s">
        <v>2403</v>
      </c>
      <c r="AP10" s="1144" t="s">
        <v>2403</v>
      </c>
      <c r="AQ10" s="1144" t="s">
        <v>2403</v>
      </c>
      <c r="AR10" s="1144" t="s">
        <v>2403</v>
      </c>
      <c r="AS10" s="1144" t="s">
        <v>2403</v>
      </c>
      <c r="AT10" s="1144" t="s">
        <v>2403</v>
      </c>
      <c r="AU10" s="1144" t="s">
        <v>2403</v>
      </c>
      <c r="AV10" s="1144" t="s">
        <v>2403</v>
      </c>
      <c r="AW10" s="1144" t="s">
        <v>2403</v>
      </c>
      <c r="AX10" s="1144" t="s">
        <v>2403</v>
      </c>
      <c r="AY10" s="1144" t="s">
        <v>2403</v>
      </c>
      <c r="AZ10" s="1144" t="s">
        <v>2403</v>
      </c>
      <c r="BA10" s="1144" t="s">
        <v>2403</v>
      </c>
      <c r="BB10" s="1144" t="s">
        <v>2403</v>
      </c>
      <c r="BC10" s="1144" t="s">
        <v>2403</v>
      </c>
      <c r="BD10" s="1144" t="s">
        <v>2403</v>
      </c>
      <c r="BE10" s="1144" t="s">
        <v>2403</v>
      </c>
      <c r="BF10" s="1144" t="s">
        <v>2403</v>
      </c>
      <c r="BG10" s="1144" t="s">
        <v>2403</v>
      </c>
      <c r="BH10" s="1144" t="s">
        <v>2403</v>
      </c>
      <c r="BI10" s="1144" t="s">
        <v>2403</v>
      </c>
      <c r="BJ10" s="1144" t="s">
        <v>2403</v>
      </c>
      <c r="BK10" s="1144" t="s">
        <v>2403</v>
      </c>
      <c r="BL10" s="1145" t="s">
        <v>2403</v>
      </c>
      <c r="BM10" s="1145" t="s">
        <v>2403</v>
      </c>
      <c r="BN10" s="1144" t="s">
        <v>2403</v>
      </c>
      <c r="BO10" s="1144" t="s">
        <v>2403</v>
      </c>
      <c r="BP10" s="1144" t="s">
        <v>2403</v>
      </c>
      <c r="BQ10" s="1144" t="s">
        <v>2403</v>
      </c>
      <c r="BR10" s="1144" t="s">
        <v>2403</v>
      </c>
      <c r="BS10" s="1144" t="s">
        <v>2403</v>
      </c>
      <c r="BT10" s="1144" t="s">
        <v>2403</v>
      </c>
      <c r="BU10" s="1144" t="s">
        <v>2403</v>
      </c>
      <c r="BV10" s="1144" t="s">
        <v>2403</v>
      </c>
      <c r="BW10" s="1144" t="s">
        <v>2403</v>
      </c>
      <c r="BX10" s="1144" t="s">
        <v>2403</v>
      </c>
      <c r="BY10" s="1144" t="s">
        <v>2403</v>
      </c>
      <c r="BZ10" s="1144" t="s">
        <v>2403</v>
      </c>
      <c r="CA10" s="1144" t="s">
        <v>2403</v>
      </c>
      <c r="CB10" s="1144" t="s">
        <v>2403</v>
      </c>
      <c r="CC10" s="1144" t="s">
        <v>2403</v>
      </c>
      <c r="CD10" s="1144" t="s">
        <v>2403</v>
      </c>
      <c r="CE10" s="1144" t="s">
        <v>2403</v>
      </c>
      <c r="CF10" s="1144" t="s">
        <v>2403</v>
      </c>
      <c r="CG10" s="1144" t="s">
        <v>2403</v>
      </c>
      <c r="CH10" s="1144" t="s">
        <v>2403</v>
      </c>
      <c r="CI10" s="1144" t="s">
        <v>2403</v>
      </c>
      <c r="CJ10" s="1144" t="s">
        <v>2403</v>
      </c>
      <c r="CK10" s="1144" t="s">
        <v>2403</v>
      </c>
      <c r="CL10" s="1144" t="s">
        <v>2403</v>
      </c>
      <c r="CM10" s="1144" t="s">
        <v>2403</v>
      </c>
      <c r="CN10" s="1144" t="s">
        <v>2403</v>
      </c>
      <c r="CO10" s="1144" t="s">
        <v>2403</v>
      </c>
      <c r="CP10" s="1144" t="s">
        <v>2403</v>
      </c>
      <c r="CQ10" s="1144" t="s">
        <v>2403</v>
      </c>
      <c r="CR10" s="1144" t="s">
        <v>2403</v>
      </c>
      <c r="CS10" s="1144" t="s">
        <v>2403</v>
      </c>
      <c r="CT10" s="1144" t="s">
        <v>2403</v>
      </c>
      <c r="CU10" s="1144" t="s">
        <v>2403</v>
      </c>
      <c r="CV10" s="1144" t="s">
        <v>2403</v>
      </c>
      <c r="CW10" s="1144" t="s">
        <v>2403</v>
      </c>
      <c r="CX10" s="1144" t="s">
        <v>2403</v>
      </c>
      <c r="CY10" s="1144" t="s">
        <v>2403</v>
      </c>
      <c r="CZ10" s="1144" t="s">
        <v>2403</v>
      </c>
      <c r="DA10" s="1144" t="s">
        <v>2403</v>
      </c>
      <c r="DB10" s="1144" t="s">
        <v>2403</v>
      </c>
      <c r="DC10" s="1144" t="s">
        <v>2403</v>
      </c>
      <c r="DD10" s="1144" t="s">
        <v>2403</v>
      </c>
      <c r="DE10" s="1144" t="s">
        <v>2403</v>
      </c>
      <c r="DF10" s="1144" t="s">
        <v>2403</v>
      </c>
      <c r="DG10" s="1144" t="s">
        <v>2403</v>
      </c>
      <c r="DH10" s="1144" t="s">
        <v>2403</v>
      </c>
      <c r="DI10" s="1144" t="s">
        <v>2403</v>
      </c>
      <c r="DJ10" s="1144" t="s">
        <v>2403</v>
      </c>
      <c r="DK10" s="1144" t="s">
        <v>2403</v>
      </c>
      <c r="DL10" s="1144" t="s">
        <v>2403</v>
      </c>
      <c r="DM10" s="1144" t="s">
        <v>2403</v>
      </c>
      <c r="DN10" s="1144" t="s">
        <v>2403</v>
      </c>
      <c r="DO10" s="1144" t="s">
        <v>2403</v>
      </c>
      <c r="DP10" s="1144" t="s">
        <v>2403</v>
      </c>
      <c r="DQ10" s="1144" t="s">
        <v>2403</v>
      </c>
      <c r="DR10" s="1144" t="s">
        <v>2403</v>
      </c>
      <c r="DS10" s="1145" t="s">
        <v>2403</v>
      </c>
      <c r="DT10" s="1145" t="s">
        <v>2403</v>
      </c>
      <c r="DU10" s="1144" t="s">
        <v>2403</v>
      </c>
      <c r="DV10" s="1145" t="s">
        <v>2403</v>
      </c>
      <c r="DW10" s="1144" t="s">
        <v>2403</v>
      </c>
      <c r="DX10" s="1145" t="s">
        <v>2403</v>
      </c>
      <c r="DY10" s="1144" t="s">
        <v>2403</v>
      </c>
      <c r="DZ10" s="1144" t="s">
        <v>2403</v>
      </c>
      <c r="EA10" s="1145" t="s">
        <v>2403</v>
      </c>
      <c r="EB10" s="1144" t="s">
        <v>2403</v>
      </c>
      <c r="EC10" s="1144" t="s">
        <v>2403</v>
      </c>
      <c r="ED10" s="1144" t="s">
        <v>2403</v>
      </c>
      <c r="EE10" s="1144" t="s">
        <v>2403</v>
      </c>
      <c r="EF10" s="1144" t="s">
        <v>2403</v>
      </c>
      <c r="EG10" s="1144" t="s">
        <v>2403</v>
      </c>
      <c r="EH10" s="1144" t="s">
        <v>2403</v>
      </c>
      <c r="EI10" s="1144" t="s">
        <v>2403</v>
      </c>
      <c r="EJ10" s="1144" t="s">
        <v>2403</v>
      </c>
      <c r="EK10" s="1144" t="s">
        <v>2403</v>
      </c>
      <c r="EL10" s="1144" t="s">
        <v>2403</v>
      </c>
      <c r="EM10" s="1144" t="s">
        <v>2403</v>
      </c>
      <c r="EN10" s="1144" t="s">
        <v>2403</v>
      </c>
      <c r="EO10" s="1144" t="s">
        <v>2403</v>
      </c>
      <c r="EP10" s="1144" t="s">
        <v>2403</v>
      </c>
      <c r="EQ10" s="1144" t="s">
        <v>2403</v>
      </c>
      <c r="ER10" s="1144" t="s">
        <v>2403</v>
      </c>
      <c r="ES10" s="1144" t="s">
        <v>2403</v>
      </c>
      <c r="ET10" s="1144" t="s">
        <v>2403</v>
      </c>
      <c r="EU10" s="1144" t="s">
        <v>2403</v>
      </c>
      <c r="EV10" s="1144" t="s">
        <v>2403</v>
      </c>
      <c r="EW10" s="1144" t="s">
        <v>2403</v>
      </c>
      <c r="EX10" s="1144" t="s">
        <v>2403</v>
      </c>
      <c r="EY10" s="1144" t="s">
        <v>2403</v>
      </c>
      <c r="EZ10" s="1144" t="s">
        <v>2403</v>
      </c>
      <c r="FA10" s="1144" t="s">
        <v>2403</v>
      </c>
      <c r="FB10" s="1144" t="s">
        <v>2403</v>
      </c>
      <c r="FC10" s="1144" t="s">
        <v>2403</v>
      </c>
      <c r="FD10" s="1144" t="s">
        <v>2403</v>
      </c>
      <c r="FE10" s="1144" t="s">
        <v>2403</v>
      </c>
      <c r="FF10" s="1144" t="s">
        <v>2403</v>
      </c>
      <c r="FG10" s="1144" t="s">
        <v>2403</v>
      </c>
      <c r="FH10" s="1144" t="s">
        <v>2403</v>
      </c>
      <c r="FI10" s="1144" t="s">
        <v>2403</v>
      </c>
      <c r="FJ10" s="1144" t="s">
        <v>2403</v>
      </c>
      <c r="FK10" s="1144" t="s">
        <v>2403</v>
      </c>
      <c r="FL10" s="1144" t="s">
        <v>2403</v>
      </c>
      <c r="FM10" s="1144" t="s">
        <v>2403</v>
      </c>
      <c r="FN10" s="1144" t="s">
        <v>2403</v>
      </c>
      <c r="FO10" s="1144" t="s">
        <v>2403</v>
      </c>
      <c r="FP10" s="1144" t="s">
        <v>2403</v>
      </c>
      <c r="FQ10" s="1144" t="s">
        <v>2403</v>
      </c>
      <c r="FR10" s="1144" t="s">
        <v>2403</v>
      </c>
      <c r="FS10" s="1144" t="s">
        <v>2403</v>
      </c>
      <c r="FT10" s="1145" t="s">
        <v>2403</v>
      </c>
      <c r="FU10" s="1145" t="s">
        <v>2403</v>
      </c>
      <c r="FV10" s="1145" t="s">
        <v>2403</v>
      </c>
      <c r="FW10" s="1144" t="s">
        <v>2403</v>
      </c>
      <c r="FX10" s="1144" t="s">
        <v>2403</v>
      </c>
      <c r="FY10" s="1144" t="s">
        <v>2403</v>
      </c>
      <c r="FZ10" s="1144" t="s">
        <v>2403</v>
      </c>
      <c r="GA10" s="1144" t="s">
        <v>2403</v>
      </c>
      <c r="GB10" s="1144" t="s">
        <v>2403</v>
      </c>
      <c r="GC10" s="1144" t="s">
        <v>2403</v>
      </c>
      <c r="GD10" s="1144" t="s">
        <v>2403</v>
      </c>
      <c r="GE10" s="1144" t="s">
        <v>2403</v>
      </c>
      <c r="GF10" s="1144" t="s">
        <v>2403</v>
      </c>
      <c r="GG10" s="1144" t="s">
        <v>2403</v>
      </c>
      <c r="GH10" s="1144" t="s">
        <v>2403</v>
      </c>
      <c r="GI10" s="1144" t="s">
        <v>2403</v>
      </c>
      <c r="GJ10" s="1144" t="s">
        <v>2403</v>
      </c>
      <c r="GK10" s="1144" t="s">
        <v>2403</v>
      </c>
      <c r="GL10" s="1144" t="s">
        <v>2403</v>
      </c>
      <c r="GM10" s="1144" t="s">
        <v>2403</v>
      </c>
      <c r="GN10" s="1144" t="s">
        <v>2403</v>
      </c>
      <c r="GO10" s="1144" t="s">
        <v>2403</v>
      </c>
      <c r="GP10" s="1144" t="s">
        <v>2403</v>
      </c>
      <c r="GQ10" s="1144" t="s">
        <v>2403</v>
      </c>
      <c r="GR10" s="1144" t="s">
        <v>2403</v>
      </c>
      <c r="GS10" s="1144" t="s">
        <v>2403</v>
      </c>
      <c r="GT10" s="1144" t="s">
        <v>2403</v>
      </c>
      <c r="GU10" s="1144" t="s">
        <v>2403</v>
      </c>
      <c r="GV10" s="1144" t="s">
        <v>2403</v>
      </c>
      <c r="GW10" s="1144" t="s">
        <v>2403</v>
      </c>
      <c r="GX10" s="1144" t="s">
        <v>2403</v>
      </c>
      <c r="GY10" s="1144" t="s">
        <v>2403</v>
      </c>
      <c r="GZ10" s="1144" t="s">
        <v>2403</v>
      </c>
      <c r="HA10" s="1144" t="s">
        <v>2403</v>
      </c>
      <c r="HB10" s="1144" t="s">
        <v>2403</v>
      </c>
      <c r="HC10" s="1144" t="s">
        <v>2403</v>
      </c>
      <c r="HD10" s="1144" t="s">
        <v>2403</v>
      </c>
      <c r="HE10" s="1144" t="s">
        <v>2403</v>
      </c>
      <c r="HF10" s="1144" t="s">
        <v>2403</v>
      </c>
      <c r="HG10" s="1144" t="s">
        <v>2403</v>
      </c>
      <c r="HH10" s="1144" t="s">
        <v>2403</v>
      </c>
      <c r="HI10" s="1144" t="s">
        <v>2403</v>
      </c>
      <c r="HJ10" s="1144" t="s">
        <v>2403</v>
      </c>
      <c r="HK10" s="1144" t="s">
        <v>2403</v>
      </c>
      <c r="HL10" s="1144" t="s">
        <v>2403</v>
      </c>
      <c r="HM10" s="1144" t="s">
        <v>2403</v>
      </c>
      <c r="HN10" s="1144" t="s">
        <v>2403</v>
      </c>
      <c r="HO10" s="1144" t="s">
        <v>2403</v>
      </c>
      <c r="HP10" s="1144" t="s">
        <v>2403</v>
      </c>
      <c r="HQ10" s="1144" t="s">
        <v>2403</v>
      </c>
      <c r="HR10" s="1144" t="s">
        <v>2403</v>
      </c>
      <c r="HS10" s="1144" t="s">
        <v>2403</v>
      </c>
      <c r="HT10" s="1144" t="s">
        <v>2403</v>
      </c>
      <c r="HU10" s="1144" t="s">
        <v>2403</v>
      </c>
      <c r="HV10" s="1144" t="s">
        <v>2403</v>
      </c>
      <c r="HW10" s="1144" t="s">
        <v>2403</v>
      </c>
      <c r="HX10" s="1144" t="s">
        <v>2403</v>
      </c>
      <c r="HY10" s="1144" t="s">
        <v>2403</v>
      </c>
      <c r="HZ10" s="1144" t="s">
        <v>2403</v>
      </c>
      <c r="IA10" s="1144" t="s">
        <v>2403</v>
      </c>
      <c r="IB10" s="1144" t="s">
        <v>2403</v>
      </c>
      <c r="IC10" s="1144" t="s">
        <v>2403</v>
      </c>
      <c r="ID10" s="1144" t="s">
        <v>2403</v>
      </c>
      <c r="IE10" s="1144" t="s">
        <v>2403</v>
      </c>
      <c r="IF10" s="1144" t="s">
        <v>2403</v>
      </c>
      <c r="IG10" s="1144" t="s">
        <v>2403</v>
      </c>
      <c r="IH10" s="1144" t="s">
        <v>2403</v>
      </c>
      <c r="II10" s="1144" t="s">
        <v>2403</v>
      </c>
      <c r="IJ10" s="1144" t="s">
        <v>2403</v>
      </c>
      <c r="IK10" s="1144" t="s">
        <v>2403</v>
      </c>
      <c r="IL10" s="1144" t="s">
        <v>2403</v>
      </c>
      <c r="IM10" s="1144" t="s">
        <v>2403</v>
      </c>
      <c r="IN10" s="1144" t="s">
        <v>2403</v>
      </c>
      <c r="IO10" s="1144" t="s">
        <v>2403</v>
      </c>
      <c r="IP10" s="1144" t="s">
        <v>2403</v>
      </c>
      <c r="IQ10" s="1144" t="s">
        <v>2403</v>
      </c>
      <c r="IR10" s="1144" t="s">
        <v>2403</v>
      </c>
      <c r="IS10" s="1144" t="s">
        <v>2403</v>
      </c>
      <c r="IT10" s="1144" t="s">
        <v>2403</v>
      </c>
      <c r="IU10" s="1144" t="s">
        <v>2403</v>
      </c>
      <c r="IV10" s="1144" t="s">
        <v>2403</v>
      </c>
      <c r="IW10" s="1144" t="s">
        <v>2403</v>
      </c>
      <c r="IX10" s="1144" t="s">
        <v>2403</v>
      </c>
      <c r="IY10" s="1144" t="s">
        <v>2403</v>
      </c>
      <c r="IZ10" s="1144" t="s">
        <v>2403</v>
      </c>
      <c r="JA10" s="1144" t="s">
        <v>2403</v>
      </c>
      <c r="JB10" s="1144" t="s">
        <v>2403</v>
      </c>
      <c r="JC10" s="1144" t="s">
        <v>2403</v>
      </c>
      <c r="JD10" s="1146"/>
      <c r="JE10" s="1144" t="s">
        <v>2403</v>
      </c>
      <c r="JF10" s="1144" t="s">
        <v>2403</v>
      </c>
      <c r="JG10" s="1144" t="s">
        <v>2403</v>
      </c>
      <c r="JH10" s="1144" t="s">
        <v>2403</v>
      </c>
      <c r="JI10" s="1144" t="s">
        <v>2403</v>
      </c>
      <c r="JJ10" s="1144" t="s">
        <v>2403</v>
      </c>
      <c r="JK10" s="1144" t="s">
        <v>2403</v>
      </c>
      <c r="JL10" s="1144" t="s">
        <v>2403</v>
      </c>
      <c r="JM10" s="1144" t="s">
        <v>2403</v>
      </c>
      <c r="JN10" s="1144" t="s">
        <v>2403</v>
      </c>
      <c r="JO10" s="1144" t="s">
        <v>2403</v>
      </c>
      <c r="JP10" s="1144" t="s">
        <v>2403</v>
      </c>
      <c r="JQ10" s="1144" t="s">
        <v>2403</v>
      </c>
      <c r="JR10" s="1144" t="s">
        <v>2403</v>
      </c>
      <c r="JS10" s="1144" t="s">
        <v>2403</v>
      </c>
      <c r="JT10" s="1144" t="s">
        <v>2403</v>
      </c>
      <c r="JU10" s="1144" t="s">
        <v>2403</v>
      </c>
      <c r="JV10" s="1144" t="s">
        <v>2403</v>
      </c>
      <c r="JW10" s="1144" t="s">
        <v>2403</v>
      </c>
      <c r="JX10" s="1144" t="s">
        <v>2403</v>
      </c>
      <c r="JY10" s="1144" t="s">
        <v>2403</v>
      </c>
      <c r="JZ10" s="1144" t="s">
        <v>2403</v>
      </c>
      <c r="KA10" s="1144" t="s">
        <v>2403</v>
      </c>
      <c r="KB10" s="1144" t="s">
        <v>2403</v>
      </c>
      <c r="KC10" s="1144" t="s">
        <v>2403</v>
      </c>
      <c r="KD10" s="1144" t="s">
        <v>2403</v>
      </c>
      <c r="KE10" s="1144" t="s">
        <v>2403</v>
      </c>
    </row>
    <row r="11" spans="1:291" outlineLevel="1">
      <c r="A11" s="78" t="s">
        <v>2404</v>
      </c>
      <c r="B11" s="83">
        <v>302</v>
      </c>
      <c r="C11" s="437" t="s">
        <v>2405</v>
      </c>
      <c r="D11" s="1150">
        <v>202</v>
      </c>
      <c r="E11" s="1150">
        <v>202</v>
      </c>
      <c r="F11" s="1150">
        <v>202</v>
      </c>
      <c r="G11" s="1150">
        <v>202</v>
      </c>
      <c r="H11" s="1150">
        <v>201</v>
      </c>
      <c r="I11" s="1150">
        <v>201</v>
      </c>
      <c r="J11" s="1150">
        <v>201</v>
      </c>
      <c r="K11" s="1150">
        <v>201</v>
      </c>
      <c r="L11" s="1150">
        <v>201</v>
      </c>
      <c r="M11" s="1150">
        <v>201</v>
      </c>
      <c r="N11" s="1150">
        <v>201</v>
      </c>
      <c r="O11" s="1150">
        <v>201</v>
      </c>
      <c r="P11" s="1150">
        <v>201</v>
      </c>
      <c r="Q11" s="1150">
        <v>201</v>
      </c>
      <c r="R11" s="1150">
        <v>201</v>
      </c>
      <c r="S11" s="1150">
        <v>201</v>
      </c>
      <c r="T11" s="1150">
        <v>201</v>
      </c>
      <c r="U11" s="1150">
        <v>201</v>
      </c>
      <c r="V11" s="1150">
        <v>201</v>
      </c>
      <c r="W11" s="1150">
        <v>201</v>
      </c>
      <c r="X11" s="1150">
        <v>201</v>
      </c>
      <c r="Y11" s="1150">
        <v>201</v>
      </c>
      <c r="Z11" s="1150">
        <v>201</v>
      </c>
      <c r="AA11" s="1150">
        <v>201</v>
      </c>
      <c r="AB11" s="1150">
        <v>201</v>
      </c>
      <c r="AC11" s="1150">
        <v>201</v>
      </c>
      <c r="AD11" s="1150">
        <v>201</v>
      </c>
      <c r="AE11" s="1150">
        <v>201</v>
      </c>
      <c r="AF11" s="1150">
        <v>201</v>
      </c>
      <c r="AG11" s="1150">
        <v>201</v>
      </c>
      <c r="AH11" s="1150">
        <v>42</v>
      </c>
      <c r="AI11" s="1150">
        <v>42</v>
      </c>
      <c r="AJ11" s="1150">
        <v>42</v>
      </c>
      <c r="AK11" s="1150">
        <v>42</v>
      </c>
      <c r="AL11" s="1150">
        <v>201</v>
      </c>
      <c r="AM11" s="1150">
        <v>201</v>
      </c>
      <c r="AN11" s="1150">
        <v>201</v>
      </c>
      <c r="AO11" s="1150">
        <v>201</v>
      </c>
      <c r="AP11" s="1150">
        <v>201</v>
      </c>
      <c r="AQ11" s="1150">
        <v>201</v>
      </c>
      <c r="AR11" s="1150">
        <v>201</v>
      </c>
      <c r="AS11" s="1150">
        <v>201</v>
      </c>
      <c r="AT11" s="1150">
        <v>201</v>
      </c>
      <c r="AU11" s="1150">
        <v>201</v>
      </c>
      <c r="AV11" s="1150">
        <v>201</v>
      </c>
      <c r="AW11" s="1150">
        <v>201</v>
      </c>
      <c r="AX11" s="1150">
        <v>201</v>
      </c>
      <c r="AY11" s="1150">
        <v>201</v>
      </c>
      <c r="AZ11" s="1150">
        <v>201</v>
      </c>
      <c r="BA11" s="1150">
        <v>201</v>
      </c>
      <c r="BB11" s="1150">
        <v>202</v>
      </c>
      <c r="BC11" s="1150">
        <v>202</v>
      </c>
      <c r="BD11" s="1150">
        <v>202</v>
      </c>
      <c r="BE11" s="1150">
        <v>202</v>
      </c>
      <c r="BF11" s="1150">
        <v>201</v>
      </c>
      <c r="BG11" s="1150">
        <v>201</v>
      </c>
      <c r="BH11" s="1150">
        <v>201</v>
      </c>
      <c r="BI11" s="1150">
        <v>201</v>
      </c>
      <c r="BJ11" s="1150">
        <v>201</v>
      </c>
      <c r="BK11" s="1150">
        <v>201</v>
      </c>
      <c r="BL11" s="1151">
        <v>201</v>
      </c>
      <c r="BM11" s="1151">
        <v>201</v>
      </c>
      <c r="BN11" s="1150">
        <v>201</v>
      </c>
      <c r="BO11" s="1150">
        <v>201</v>
      </c>
      <c r="BP11" s="1150">
        <v>201</v>
      </c>
      <c r="BQ11" s="1150">
        <v>201</v>
      </c>
      <c r="BR11" s="1150">
        <v>201</v>
      </c>
      <c r="BS11" s="1150">
        <v>201</v>
      </c>
      <c r="BT11" s="1150">
        <v>201</v>
      </c>
      <c r="BU11" s="1150">
        <v>201</v>
      </c>
      <c r="BV11" s="1150">
        <v>201</v>
      </c>
      <c r="BW11" s="1150">
        <v>201</v>
      </c>
      <c r="BX11" s="1150">
        <v>202</v>
      </c>
      <c r="BY11" s="1150">
        <v>202</v>
      </c>
      <c r="BZ11" s="1150">
        <v>202</v>
      </c>
      <c r="CA11" s="1150">
        <v>202</v>
      </c>
      <c r="CB11" s="1150">
        <v>201</v>
      </c>
      <c r="CC11" s="1150">
        <v>201</v>
      </c>
      <c r="CD11" s="1150">
        <v>201</v>
      </c>
      <c r="CE11" s="1150">
        <v>201</v>
      </c>
      <c r="CF11" s="1150">
        <v>202</v>
      </c>
      <c r="CG11" s="1150">
        <v>202</v>
      </c>
      <c r="CH11" s="1150">
        <v>202</v>
      </c>
      <c r="CI11" s="1150">
        <v>202</v>
      </c>
      <c r="CJ11" s="1150">
        <v>201</v>
      </c>
      <c r="CK11" s="1150">
        <v>201</v>
      </c>
      <c r="CL11" s="1150">
        <v>201</v>
      </c>
      <c r="CM11" s="1150">
        <v>201</v>
      </c>
      <c r="CN11" s="1150">
        <v>201</v>
      </c>
      <c r="CO11" s="1150">
        <v>201</v>
      </c>
      <c r="CP11" s="1150">
        <v>201</v>
      </c>
      <c r="CQ11" s="1150">
        <v>201</v>
      </c>
      <c r="CR11" s="1150">
        <v>201</v>
      </c>
      <c r="CS11" s="1150">
        <v>201</v>
      </c>
      <c r="CT11" s="1150">
        <v>201</v>
      </c>
      <c r="CU11" s="1150">
        <v>201</v>
      </c>
      <c r="CV11" s="1150">
        <v>201</v>
      </c>
      <c r="CW11" s="1150">
        <v>201</v>
      </c>
      <c r="CX11" s="1150">
        <v>201</v>
      </c>
      <c r="CY11" s="1150">
        <v>201</v>
      </c>
      <c r="CZ11" s="1150">
        <v>201</v>
      </c>
      <c r="DA11" s="1150">
        <v>201</v>
      </c>
      <c r="DB11" s="1150">
        <v>201</v>
      </c>
      <c r="DC11" s="1150">
        <v>201</v>
      </c>
      <c r="DD11" s="1150">
        <v>201</v>
      </c>
      <c r="DE11" s="1150">
        <v>201</v>
      </c>
      <c r="DF11" s="1150">
        <v>201</v>
      </c>
      <c r="DG11" s="1150">
        <v>201</v>
      </c>
      <c r="DH11" s="1150">
        <v>201</v>
      </c>
      <c r="DI11" s="1150">
        <v>201</v>
      </c>
      <c r="DJ11" s="1150">
        <v>201</v>
      </c>
      <c r="DK11" s="1150">
        <v>201</v>
      </c>
      <c r="DL11" s="1150">
        <v>201</v>
      </c>
      <c r="DM11" s="1150">
        <v>42</v>
      </c>
      <c r="DN11" s="1150">
        <v>42</v>
      </c>
      <c r="DO11" s="1150">
        <v>42</v>
      </c>
      <c r="DP11" s="1150">
        <v>42</v>
      </c>
      <c r="DQ11" s="1150">
        <v>42</v>
      </c>
      <c r="DR11" s="1150">
        <v>42</v>
      </c>
      <c r="DS11" s="1151">
        <v>201</v>
      </c>
      <c r="DT11" s="1151">
        <v>201</v>
      </c>
      <c r="DU11" s="1150">
        <v>42</v>
      </c>
      <c r="DV11" s="1151">
        <v>201</v>
      </c>
      <c r="DW11" s="1150">
        <v>42</v>
      </c>
      <c r="DX11" s="1151">
        <v>201</v>
      </c>
      <c r="DY11" s="1150">
        <v>42</v>
      </c>
      <c r="DZ11" s="1150">
        <v>42</v>
      </c>
      <c r="EA11" s="1151">
        <v>201</v>
      </c>
      <c r="EB11" s="1150">
        <v>42</v>
      </c>
      <c r="EC11" s="1150">
        <v>42</v>
      </c>
      <c r="ED11" s="1150">
        <v>42</v>
      </c>
      <c r="EE11" s="1150">
        <v>42</v>
      </c>
      <c r="EF11" s="1150">
        <v>42</v>
      </c>
      <c r="EG11" s="1150">
        <v>202</v>
      </c>
      <c r="EH11" s="1150">
        <v>202</v>
      </c>
      <c r="EI11" s="1150">
        <v>202</v>
      </c>
      <c r="EJ11" s="1150">
        <v>202</v>
      </c>
      <c r="EK11" s="1150">
        <v>202</v>
      </c>
      <c r="EL11" s="1150">
        <v>202</v>
      </c>
      <c r="EM11" s="1150">
        <v>202</v>
      </c>
      <c r="EN11" s="1150">
        <v>42</v>
      </c>
      <c r="EO11" s="1150">
        <v>42</v>
      </c>
      <c r="EP11" s="1150">
        <v>42</v>
      </c>
      <c r="EQ11" s="1150">
        <v>42</v>
      </c>
      <c r="ER11" s="1150">
        <v>42</v>
      </c>
      <c r="ES11" s="1150">
        <v>42</v>
      </c>
      <c r="ET11" s="1150">
        <v>42</v>
      </c>
      <c r="EU11" s="1150">
        <v>42</v>
      </c>
      <c r="EV11" s="1150">
        <v>42</v>
      </c>
      <c r="EW11" s="1150">
        <v>42</v>
      </c>
      <c r="EX11" s="1150">
        <v>42</v>
      </c>
      <c r="EY11" s="1150">
        <v>42</v>
      </c>
      <c r="EZ11" s="1150">
        <v>42</v>
      </c>
      <c r="FA11" s="1150">
        <v>42</v>
      </c>
      <c r="FB11" s="1150">
        <v>42</v>
      </c>
      <c r="FC11" s="1150">
        <v>42</v>
      </c>
      <c r="FD11" s="1150">
        <v>42</v>
      </c>
      <c r="FE11" s="1150">
        <v>42</v>
      </c>
      <c r="FF11" s="1150">
        <v>42</v>
      </c>
      <c r="FG11" s="1150">
        <v>42</v>
      </c>
      <c r="FH11" s="1150">
        <v>202</v>
      </c>
      <c r="FI11" s="1150">
        <v>202</v>
      </c>
      <c r="FJ11" s="1150">
        <v>42</v>
      </c>
      <c r="FK11" s="1150">
        <v>42</v>
      </c>
      <c r="FL11" s="1150">
        <v>42</v>
      </c>
      <c r="FM11" s="1150">
        <v>42</v>
      </c>
      <c r="FN11" s="1150">
        <v>42</v>
      </c>
      <c r="FO11" s="1150">
        <v>42</v>
      </c>
      <c r="FP11" s="1150">
        <v>42</v>
      </c>
      <c r="FQ11" s="1150">
        <v>42</v>
      </c>
      <c r="FR11" s="1150">
        <v>42</v>
      </c>
      <c r="FS11" s="1150">
        <v>202</v>
      </c>
      <c r="FT11" s="1151">
        <v>202</v>
      </c>
      <c r="FU11" s="1151">
        <v>201</v>
      </c>
      <c r="FV11" s="1151">
        <v>201</v>
      </c>
      <c r="FW11" s="1150">
        <v>201</v>
      </c>
      <c r="FX11" s="1150">
        <v>201</v>
      </c>
      <c r="FY11" s="1150">
        <v>42</v>
      </c>
      <c r="FZ11" s="1150">
        <v>42</v>
      </c>
      <c r="GA11" s="1150">
        <v>42</v>
      </c>
      <c r="GB11" s="1150">
        <v>42</v>
      </c>
      <c r="GC11" s="1150">
        <v>202</v>
      </c>
      <c r="GD11" s="1150">
        <v>202</v>
      </c>
      <c r="GE11" s="1150">
        <v>202</v>
      </c>
      <c r="GF11" s="1150">
        <v>202</v>
      </c>
      <c r="GG11" s="1150">
        <v>202</v>
      </c>
      <c r="GH11" s="1150">
        <v>202</v>
      </c>
      <c r="GI11" s="1150">
        <v>202</v>
      </c>
      <c r="GJ11" s="1150">
        <v>202</v>
      </c>
      <c r="GK11" s="1150">
        <v>202</v>
      </c>
      <c r="GL11" s="1150">
        <v>202</v>
      </c>
      <c r="GM11" s="1150">
        <v>202</v>
      </c>
      <c r="GN11" s="1150">
        <v>202</v>
      </c>
      <c r="GO11" s="1150">
        <v>202</v>
      </c>
      <c r="GP11" s="1150">
        <v>202</v>
      </c>
      <c r="GQ11" s="1150">
        <v>202</v>
      </c>
      <c r="GR11" s="1150">
        <v>202</v>
      </c>
      <c r="GS11" s="1150">
        <v>202</v>
      </c>
      <c r="GT11" s="1150">
        <v>202</v>
      </c>
      <c r="GU11" s="1150">
        <v>202</v>
      </c>
      <c r="GV11" s="1150">
        <v>202</v>
      </c>
      <c r="GW11" s="1150">
        <v>202</v>
      </c>
      <c r="GX11" s="1150">
        <v>202</v>
      </c>
      <c r="GY11" s="1150">
        <v>202</v>
      </c>
      <c r="GZ11" s="1150">
        <v>202</v>
      </c>
      <c r="HA11" s="1150">
        <v>202</v>
      </c>
      <c r="HB11" s="1150">
        <v>202</v>
      </c>
      <c r="HC11" s="1150">
        <v>202</v>
      </c>
      <c r="HD11" s="1150">
        <v>202</v>
      </c>
      <c r="HE11" s="1150">
        <v>202</v>
      </c>
      <c r="HF11" s="1150">
        <v>202</v>
      </c>
      <c r="HG11" s="1150">
        <v>202</v>
      </c>
      <c r="HH11" s="1150">
        <v>202</v>
      </c>
      <c r="HI11" s="1150">
        <v>202</v>
      </c>
      <c r="HJ11" s="1150">
        <v>202</v>
      </c>
      <c r="HK11" s="1150">
        <v>202</v>
      </c>
      <c r="HL11" s="1150">
        <v>202</v>
      </c>
      <c r="HM11" s="1150">
        <v>202</v>
      </c>
      <c r="HN11" s="1150">
        <v>202</v>
      </c>
      <c r="HO11" s="1150">
        <v>202</v>
      </c>
      <c r="HP11" s="1150">
        <v>42</v>
      </c>
      <c r="HQ11" s="1150">
        <v>42</v>
      </c>
      <c r="HR11" s="1150">
        <v>42</v>
      </c>
      <c r="HS11" s="1150">
        <v>42</v>
      </c>
      <c r="HT11" s="1150">
        <v>42</v>
      </c>
      <c r="HU11" s="1150">
        <v>42</v>
      </c>
      <c r="HV11" s="1150">
        <v>42</v>
      </c>
      <c r="HW11" s="1150">
        <v>42</v>
      </c>
      <c r="HX11" s="1150">
        <v>42</v>
      </c>
      <c r="HY11" s="1150">
        <v>42</v>
      </c>
      <c r="HZ11" s="1150">
        <v>42</v>
      </c>
      <c r="IA11" s="1150">
        <v>42</v>
      </c>
      <c r="IB11" s="1150">
        <v>42</v>
      </c>
      <c r="IC11" s="1150">
        <v>42</v>
      </c>
      <c r="ID11" s="1150">
        <v>42</v>
      </c>
      <c r="IE11" s="1150">
        <v>42</v>
      </c>
      <c r="IF11" s="1150">
        <v>42</v>
      </c>
      <c r="IG11" s="1150">
        <v>42</v>
      </c>
      <c r="IH11" s="1150">
        <v>42</v>
      </c>
      <c r="II11" s="1150">
        <v>42</v>
      </c>
      <c r="IJ11" s="1150">
        <v>42</v>
      </c>
      <c r="IK11" s="1150">
        <v>42</v>
      </c>
      <c r="IL11" s="1150">
        <v>42</v>
      </c>
      <c r="IM11" s="1150">
        <v>42</v>
      </c>
      <c r="IN11" s="1150">
        <v>42</v>
      </c>
      <c r="IO11" s="1150">
        <v>42</v>
      </c>
      <c r="IP11" s="1150">
        <v>42</v>
      </c>
      <c r="IQ11" s="1150">
        <v>42</v>
      </c>
      <c r="IR11" s="1150">
        <v>42</v>
      </c>
      <c r="IS11" s="1150">
        <v>42</v>
      </c>
      <c r="IT11" s="1150">
        <v>42</v>
      </c>
      <c r="IU11" s="1150">
        <v>42</v>
      </c>
      <c r="IV11" s="1150">
        <v>42</v>
      </c>
      <c r="IW11" s="1150">
        <v>42</v>
      </c>
      <c r="IX11" s="1150">
        <v>42</v>
      </c>
      <c r="IY11" s="1150">
        <v>42</v>
      </c>
      <c r="IZ11" s="1150">
        <v>42</v>
      </c>
      <c r="JA11" s="1150">
        <v>42</v>
      </c>
      <c r="JB11" s="1150">
        <v>42</v>
      </c>
      <c r="JC11" s="1150">
        <v>42</v>
      </c>
      <c r="JD11" s="1152"/>
      <c r="JE11" s="1150">
        <v>42</v>
      </c>
      <c r="JF11" s="1150">
        <v>42</v>
      </c>
      <c r="JG11" s="1150">
        <v>42</v>
      </c>
      <c r="JH11" s="1150">
        <v>42</v>
      </c>
      <c r="JI11" s="1150">
        <v>42</v>
      </c>
      <c r="JJ11" s="1150">
        <v>42</v>
      </c>
      <c r="JK11" s="1150">
        <v>42</v>
      </c>
      <c r="JL11" s="1150">
        <v>42</v>
      </c>
      <c r="JM11" s="1150">
        <v>42</v>
      </c>
      <c r="JN11" s="1150">
        <v>42</v>
      </c>
      <c r="JO11" s="1150">
        <v>42</v>
      </c>
      <c r="JP11" s="1150">
        <v>42</v>
      </c>
      <c r="JQ11" s="1150">
        <v>42</v>
      </c>
      <c r="JR11" s="1150">
        <v>42</v>
      </c>
      <c r="JS11" s="1150">
        <v>42</v>
      </c>
      <c r="JT11" s="1150">
        <v>42</v>
      </c>
      <c r="JU11" s="1150">
        <v>42</v>
      </c>
      <c r="JV11" s="1150">
        <v>42</v>
      </c>
      <c r="JW11" s="1150">
        <v>42</v>
      </c>
      <c r="JX11" s="1150">
        <v>42</v>
      </c>
      <c r="JY11" s="1150">
        <v>42</v>
      </c>
      <c r="JZ11" s="1150">
        <v>42</v>
      </c>
      <c r="KA11" s="1150">
        <v>42</v>
      </c>
      <c r="KB11" s="1150">
        <v>42</v>
      </c>
      <c r="KC11" s="1150">
        <v>42</v>
      </c>
      <c r="KD11" s="1150">
        <v>42</v>
      </c>
      <c r="KE11" s="1150">
        <v>42</v>
      </c>
    </row>
    <row r="12" spans="1:291" outlineLevel="1">
      <c r="A12" s="78"/>
      <c r="B12" s="83">
        <v>304</v>
      </c>
      <c r="C12" s="437" t="s">
        <v>2406</v>
      </c>
      <c r="D12" s="1144">
        <v>1</v>
      </c>
      <c r="E12" s="1144">
        <v>1</v>
      </c>
      <c r="F12" s="1144">
        <v>1</v>
      </c>
      <c r="G12" s="1144">
        <v>1</v>
      </c>
      <c r="H12" s="1144">
        <v>1</v>
      </c>
      <c r="I12" s="1144">
        <v>1</v>
      </c>
      <c r="J12" s="1144">
        <v>1</v>
      </c>
      <c r="K12" s="1144">
        <v>1</v>
      </c>
      <c r="L12" s="1144">
        <v>1</v>
      </c>
      <c r="M12" s="1144">
        <v>1</v>
      </c>
      <c r="N12" s="1144">
        <v>1</v>
      </c>
      <c r="O12" s="1144">
        <v>1</v>
      </c>
      <c r="P12" s="1144">
        <v>1</v>
      </c>
      <c r="Q12" s="1144">
        <v>1</v>
      </c>
      <c r="R12" s="1144">
        <v>1</v>
      </c>
      <c r="S12" s="1144">
        <v>1</v>
      </c>
      <c r="T12" s="1144">
        <v>1</v>
      </c>
      <c r="U12" s="1144">
        <v>1</v>
      </c>
      <c r="V12" s="1144">
        <v>1</v>
      </c>
      <c r="W12" s="1144">
        <v>1</v>
      </c>
      <c r="X12" s="1144">
        <v>1</v>
      </c>
      <c r="Y12" s="1144">
        <v>1</v>
      </c>
      <c r="Z12" s="1144">
        <v>1</v>
      </c>
      <c r="AA12" s="1144">
        <v>1</v>
      </c>
      <c r="AB12" s="1144">
        <v>1</v>
      </c>
      <c r="AC12" s="1144">
        <v>1</v>
      </c>
      <c r="AD12" s="1144">
        <v>1</v>
      </c>
      <c r="AE12" s="1144">
        <v>1</v>
      </c>
      <c r="AF12" s="1144">
        <v>1</v>
      </c>
      <c r="AG12" s="1144">
        <v>1</v>
      </c>
      <c r="AH12" s="1144">
        <v>1</v>
      </c>
      <c r="AI12" s="1144">
        <v>1</v>
      </c>
      <c r="AJ12" s="1144">
        <v>1</v>
      </c>
      <c r="AK12" s="1144">
        <v>1</v>
      </c>
      <c r="AL12" s="1144">
        <v>1</v>
      </c>
      <c r="AM12" s="1144">
        <v>1</v>
      </c>
      <c r="AN12" s="1144">
        <v>1</v>
      </c>
      <c r="AO12" s="1144">
        <v>1</v>
      </c>
      <c r="AP12" s="1144">
        <v>1</v>
      </c>
      <c r="AQ12" s="1144">
        <v>1</v>
      </c>
      <c r="AR12" s="1144">
        <v>1</v>
      </c>
      <c r="AS12" s="1144">
        <v>1</v>
      </c>
      <c r="AT12" s="1144">
        <v>1</v>
      </c>
      <c r="AU12" s="1144">
        <v>1</v>
      </c>
      <c r="AV12" s="1144">
        <v>1</v>
      </c>
      <c r="AW12" s="1144">
        <v>1</v>
      </c>
      <c r="AX12" s="1144">
        <v>1</v>
      </c>
      <c r="AY12" s="1144">
        <v>1</v>
      </c>
      <c r="AZ12" s="1144">
        <v>1</v>
      </c>
      <c r="BA12" s="1144">
        <v>1</v>
      </c>
      <c r="BB12" s="1144">
        <v>1</v>
      </c>
      <c r="BC12" s="1144">
        <v>1</v>
      </c>
      <c r="BD12" s="1144">
        <v>1</v>
      </c>
      <c r="BE12" s="1144">
        <v>1</v>
      </c>
      <c r="BF12" s="1144">
        <v>1</v>
      </c>
      <c r="BG12" s="1144">
        <v>1</v>
      </c>
      <c r="BH12" s="1144">
        <v>1</v>
      </c>
      <c r="BI12" s="1144">
        <v>1</v>
      </c>
      <c r="BJ12" s="1144">
        <v>1</v>
      </c>
      <c r="BK12" s="1144">
        <v>1</v>
      </c>
      <c r="BL12" s="1145">
        <v>1</v>
      </c>
      <c r="BM12" s="1145">
        <v>1</v>
      </c>
      <c r="BN12" s="1144">
        <v>1</v>
      </c>
      <c r="BO12" s="1144">
        <v>1</v>
      </c>
      <c r="BP12" s="1144">
        <v>1</v>
      </c>
      <c r="BQ12" s="1144">
        <v>1</v>
      </c>
      <c r="BR12" s="1144">
        <v>1</v>
      </c>
      <c r="BS12" s="1144">
        <v>1</v>
      </c>
      <c r="BT12" s="1144">
        <v>1</v>
      </c>
      <c r="BU12" s="1144">
        <v>1</v>
      </c>
      <c r="BV12" s="1144">
        <v>1</v>
      </c>
      <c r="BW12" s="1144">
        <v>1</v>
      </c>
      <c r="BX12" s="1144">
        <v>1</v>
      </c>
      <c r="BY12" s="1144">
        <v>1</v>
      </c>
      <c r="BZ12" s="1144">
        <v>1</v>
      </c>
      <c r="CA12" s="1144">
        <v>1</v>
      </c>
      <c r="CB12" s="1144">
        <v>1</v>
      </c>
      <c r="CC12" s="1144">
        <v>1</v>
      </c>
      <c r="CD12" s="1144">
        <v>1</v>
      </c>
      <c r="CE12" s="1144">
        <v>1</v>
      </c>
      <c r="CF12" s="1144">
        <v>1</v>
      </c>
      <c r="CG12" s="1144">
        <v>1</v>
      </c>
      <c r="CH12" s="1144">
        <v>1</v>
      </c>
      <c r="CI12" s="1144">
        <v>1</v>
      </c>
      <c r="CJ12" s="1144">
        <v>1</v>
      </c>
      <c r="CK12" s="1144">
        <v>1</v>
      </c>
      <c r="CL12" s="1144">
        <v>1</v>
      </c>
      <c r="CM12" s="1144">
        <v>1</v>
      </c>
      <c r="CN12" s="1144">
        <v>1</v>
      </c>
      <c r="CO12" s="1144">
        <v>1</v>
      </c>
      <c r="CP12" s="1144">
        <v>1</v>
      </c>
      <c r="CQ12" s="1144">
        <v>1</v>
      </c>
      <c r="CR12" s="1144">
        <v>1</v>
      </c>
      <c r="CS12" s="1144">
        <v>1</v>
      </c>
      <c r="CT12" s="1144">
        <v>1</v>
      </c>
      <c r="CU12" s="1144">
        <v>1</v>
      </c>
      <c r="CV12" s="1144">
        <v>1</v>
      </c>
      <c r="CW12" s="1144">
        <v>1</v>
      </c>
      <c r="CX12" s="1144">
        <v>1</v>
      </c>
      <c r="CY12" s="1144">
        <v>1</v>
      </c>
      <c r="CZ12" s="1144">
        <v>1</v>
      </c>
      <c r="DA12" s="1144">
        <v>1</v>
      </c>
      <c r="DB12" s="1144">
        <v>1</v>
      </c>
      <c r="DC12" s="1144">
        <v>1</v>
      </c>
      <c r="DD12" s="1144">
        <v>1</v>
      </c>
      <c r="DE12" s="1144">
        <v>1</v>
      </c>
      <c r="DF12" s="1144">
        <v>1</v>
      </c>
      <c r="DG12" s="1144">
        <v>1</v>
      </c>
      <c r="DH12" s="1144">
        <v>1</v>
      </c>
      <c r="DI12" s="1144">
        <v>1</v>
      </c>
      <c r="DJ12" s="1144">
        <v>1</v>
      </c>
      <c r="DK12" s="1144">
        <v>1</v>
      </c>
      <c r="DL12" s="1144">
        <v>1</v>
      </c>
      <c r="DM12" s="1144">
        <v>1</v>
      </c>
      <c r="DN12" s="1144">
        <v>1</v>
      </c>
      <c r="DO12" s="1144">
        <v>1</v>
      </c>
      <c r="DP12" s="1144">
        <v>1</v>
      </c>
      <c r="DQ12" s="1144">
        <v>1</v>
      </c>
      <c r="DR12" s="1144">
        <v>1</v>
      </c>
      <c r="DS12" s="1145">
        <v>1</v>
      </c>
      <c r="DT12" s="1145">
        <v>1</v>
      </c>
      <c r="DU12" s="1144">
        <v>1</v>
      </c>
      <c r="DV12" s="1145">
        <v>1</v>
      </c>
      <c r="DW12" s="1144">
        <v>1</v>
      </c>
      <c r="DX12" s="1145">
        <v>1</v>
      </c>
      <c r="DY12" s="1144">
        <v>1</v>
      </c>
      <c r="DZ12" s="1144">
        <v>1</v>
      </c>
      <c r="EA12" s="1145">
        <v>1</v>
      </c>
      <c r="EB12" s="1144">
        <v>1</v>
      </c>
      <c r="EC12" s="1144">
        <v>1</v>
      </c>
      <c r="ED12" s="1144">
        <v>1</v>
      </c>
      <c r="EE12" s="1144">
        <v>1</v>
      </c>
      <c r="EF12" s="1144">
        <v>1</v>
      </c>
      <c r="EG12" s="1144">
        <v>1</v>
      </c>
      <c r="EH12" s="1144">
        <v>1</v>
      </c>
      <c r="EI12" s="1144">
        <v>1</v>
      </c>
      <c r="EJ12" s="1144">
        <v>1</v>
      </c>
      <c r="EK12" s="1144">
        <v>1</v>
      </c>
      <c r="EL12" s="1144">
        <v>1</v>
      </c>
      <c r="EM12" s="1144">
        <v>1</v>
      </c>
      <c r="EN12" s="1144">
        <v>1</v>
      </c>
      <c r="EO12" s="1144">
        <v>1</v>
      </c>
      <c r="EP12" s="1144">
        <v>1</v>
      </c>
      <c r="EQ12" s="1144">
        <v>1</v>
      </c>
      <c r="ER12" s="1144">
        <v>1</v>
      </c>
      <c r="ES12" s="1144">
        <v>1</v>
      </c>
      <c r="ET12" s="1144">
        <v>1</v>
      </c>
      <c r="EU12" s="1144">
        <v>1</v>
      </c>
      <c r="EV12" s="1144">
        <v>1</v>
      </c>
      <c r="EW12" s="1144">
        <v>1</v>
      </c>
      <c r="EX12" s="1144">
        <v>1</v>
      </c>
      <c r="EY12" s="1144">
        <v>1</v>
      </c>
      <c r="EZ12" s="1144">
        <v>1</v>
      </c>
      <c r="FA12" s="1144">
        <v>1</v>
      </c>
      <c r="FB12" s="1144">
        <v>1</v>
      </c>
      <c r="FC12" s="1144">
        <v>1</v>
      </c>
      <c r="FD12" s="1144">
        <v>1</v>
      </c>
      <c r="FE12" s="1144">
        <v>1</v>
      </c>
      <c r="FF12" s="1144">
        <v>1</v>
      </c>
      <c r="FG12" s="1144">
        <v>1</v>
      </c>
      <c r="FH12" s="1144">
        <v>1</v>
      </c>
      <c r="FI12" s="1144">
        <v>1</v>
      </c>
      <c r="FJ12" s="1144">
        <v>1</v>
      </c>
      <c r="FK12" s="1144">
        <v>1</v>
      </c>
      <c r="FL12" s="1144">
        <v>1</v>
      </c>
      <c r="FM12" s="1144">
        <v>1</v>
      </c>
      <c r="FN12" s="1144">
        <v>1</v>
      </c>
      <c r="FO12" s="1144">
        <v>1</v>
      </c>
      <c r="FP12" s="1144">
        <v>1</v>
      </c>
      <c r="FQ12" s="1144">
        <v>1</v>
      </c>
      <c r="FR12" s="1144">
        <v>1</v>
      </c>
      <c r="FS12" s="1144">
        <v>1</v>
      </c>
      <c r="FT12" s="1145">
        <v>1</v>
      </c>
      <c r="FU12" s="1145">
        <v>1</v>
      </c>
      <c r="FV12" s="1145">
        <v>1</v>
      </c>
      <c r="FW12" s="1144">
        <v>1</v>
      </c>
      <c r="FX12" s="1144">
        <v>1</v>
      </c>
      <c r="FY12" s="1144">
        <v>1</v>
      </c>
      <c r="FZ12" s="1144">
        <v>1</v>
      </c>
      <c r="GA12" s="1144">
        <v>1</v>
      </c>
      <c r="GB12" s="1144">
        <v>1</v>
      </c>
      <c r="GC12" s="1144">
        <v>1</v>
      </c>
      <c r="GD12" s="1144">
        <v>1</v>
      </c>
      <c r="GE12" s="1144">
        <v>1</v>
      </c>
      <c r="GF12" s="1144">
        <v>1</v>
      </c>
      <c r="GG12" s="1144">
        <v>1</v>
      </c>
      <c r="GH12" s="1144">
        <v>1</v>
      </c>
      <c r="GI12" s="1144">
        <v>1</v>
      </c>
      <c r="GJ12" s="1144">
        <v>1</v>
      </c>
      <c r="GK12" s="1144">
        <v>1</v>
      </c>
      <c r="GL12" s="1144">
        <v>1</v>
      </c>
      <c r="GM12" s="1144">
        <v>1</v>
      </c>
      <c r="GN12" s="1144">
        <v>1</v>
      </c>
      <c r="GO12" s="1144">
        <v>1</v>
      </c>
      <c r="GP12" s="1144">
        <v>1</v>
      </c>
      <c r="GQ12" s="1144">
        <v>1</v>
      </c>
      <c r="GR12" s="1144">
        <v>1</v>
      </c>
      <c r="GS12" s="1144">
        <v>1</v>
      </c>
      <c r="GT12" s="1144">
        <v>1</v>
      </c>
      <c r="GU12" s="1144">
        <v>1</v>
      </c>
      <c r="GV12" s="1144">
        <v>1</v>
      </c>
      <c r="GW12" s="1144">
        <v>1</v>
      </c>
      <c r="GX12" s="1144">
        <v>1</v>
      </c>
      <c r="GY12" s="1144">
        <v>1</v>
      </c>
      <c r="GZ12" s="1144">
        <v>1</v>
      </c>
      <c r="HA12" s="1144">
        <v>1</v>
      </c>
      <c r="HB12" s="1144">
        <v>1</v>
      </c>
      <c r="HC12" s="1144">
        <v>1</v>
      </c>
      <c r="HD12" s="1144">
        <v>1</v>
      </c>
      <c r="HE12" s="1144">
        <v>1</v>
      </c>
      <c r="HF12" s="1144">
        <v>1</v>
      </c>
      <c r="HG12" s="1144">
        <v>1</v>
      </c>
      <c r="HH12" s="1144">
        <v>1</v>
      </c>
      <c r="HI12" s="1144">
        <v>1</v>
      </c>
      <c r="HJ12" s="1144">
        <v>1</v>
      </c>
      <c r="HK12" s="1144">
        <v>1</v>
      </c>
      <c r="HL12" s="1144">
        <v>1</v>
      </c>
      <c r="HM12" s="1144">
        <v>1</v>
      </c>
      <c r="HN12" s="1144">
        <v>1</v>
      </c>
      <c r="HO12" s="1144">
        <v>1</v>
      </c>
      <c r="HP12" s="1144">
        <v>1</v>
      </c>
      <c r="HQ12" s="1144">
        <v>1</v>
      </c>
      <c r="HR12" s="1144">
        <v>1</v>
      </c>
      <c r="HS12" s="1144">
        <v>1</v>
      </c>
      <c r="HT12" s="1144">
        <v>1</v>
      </c>
      <c r="HU12" s="1144">
        <v>1</v>
      </c>
      <c r="HV12" s="1144">
        <v>1</v>
      </c>
      <c r="HW12" s="1144">
        <v>1</v>
      </c>
      <c r="HX12" s="1144">
        <v>1</v>
      </c>
      <c r="HY12" s="1144">
        <v>1</v>
      </c>
      <c r="HZ12" s="1144">
        <v>1</v>
      </c>
      <c r="IA12" s="1144">
        <v>1</v>
      </c>
      <c r="IB12" s="1144">
        <v>1</v>
      </c>
      <c r="IC12" s="1144">
        <v>1</v>
      </c>
      <c r="ID12" s="1144">
        <v>1</v>
      </c>
      <c r="IE12" s="1144">
        <v>1</v>
      </c>
      <c r="IF12" s="1144">
        <v>1</v>
      </c>
      <c r="IG12" s="1144">
        <v>1</v>
      </c>
      <c r="IH12" s="1144">
        <v>1</v>
      </c>
      <c r="II12" s="1144">
        <v>1</v>
      </c>
      <c r="IJ12" s="1144">
        <v>1</v>
      </c>
      <c r="IK12" s="1144">
        <v>1</v>
      </c>
      <c r="IL12" s="1144">
        <v>1</v>
      </c>
      <c r="IM12" s="1144">
        <v>1</v>
      </c>
      <c r="IN12" s="1144">
        <v>1</v>
      </c>
      <c r="IO12" s="1144">
        <v>1</v>
      </c>
      <c r="IP12" s="1144">
        <v>1</v>
      </c>
      <c r="IQ12" s="1144">
        <v>1</v>
      </c>
      <c r="IR12" s="1144">
        <v>1</v>
      </c>
      <c r="IS12" s="1144">
        <v>1</v>
      </c>
      <c r="IT12" s="1144">
        <v>1</v>
      </c>
      <c r="IU12" s="1144">
        <v>1</v>
      </c>
      <c r="IV12" s="1144">
        <v>1</v>
      </c>
      <c r="IW12" s="1144">
        <v>1</v>
      </c>
      <c r="IX12" s="1144">
        <v>1</v>
      </c>
      <c r="IY12" s="1144">
        <v>1</v>
      </c>
      <c r="IZ12" s="1144">
        <v>1</v>
      </c>
      <c r="JA12" s="1144">
        <v>1</v>
      </c>
      <c r="JB12" s="1144">
        <v>1</v>
      </c>
      <c r="JC12" s="1144">
        <v>1</v>
      </c>
      <c r="JD12" s="1146"/>
      <c r="JE12" s="1144">
        <v>1</v>
      </c>
      <c r="JF12" s="1144">
        <v>1</v>
      </c>
      <c r="JG12" s="1144">
        <v>1</v>
      </c>
      <c r="JH12" s="1144">
        <v>1</v>
      </c>
      <c r="JI12" s="1144">
        <v>1</v>
      </c>
      <c r="JJ12" s="1144">
        <v>1</v>
      </c>
      <c r="JK12" s="1144">
        <v>1</v>
      </c>
      <c r="JL12" s="1144">
        <v>1</v>
      </c>
      <c r="JM12" s="1144">
        <v>1</v>
      </c>
      <c r="JN12" s="1144">
        <v>1</v>
      </c>
      <c r="JO12" s="1144">
        <v>1</v>
      </c>
      <c r="JP12" s="1144">
        <v>1</v>
      </c>
      <c r="JQ12" s="1144">
        <v>1</v>
      </c>
      <c r="JR12" s="1144">
        <v>1</v>
      </c>
      <c r="JS12" s="1144">
        <v>1</v>
      </c>
      <c r="JT12" s="1144">
        <v>1</v>
      </c>
      <c r="JU12" s="1144">
        <v>1</v>
      </c>
      <c r="JV12" s="1144">
        <v>1</v>
      </c>
      <c r="JW12" s="1144">
        <v>1</v>
      </c>
      <c r="JX12" s="1144">
        <v>1</v>
      </c>
      <c r="JY12" s="1144">
        <v>1</v>
      </c>
      <c r="JZ12" s="1144">
        <v>1</v>
      </c>
      <c r="KA12" s="1144">
        <v>1</v>
      </c>
      <c r="KB12" s="1144">
        <v>1</v>
      </c>
      <c r="KC12" s="1144">
        <v>1</v>
      </c>
      <c r="KD12" s="1144">
        <v>1</v>
      </c>
      <c r="KE12" s="1144">
        <v>1</v>
      </c>
    </row>
    <row r="13" spans="1:291" ht="16.5" customHeight="1" outlineLevel="1">
      <c r="A13" s="78" t="s">
        <v>2355</v>
      </c>
      <c r="B13" s="83">
        <v>400</v>
      </c>
      <c r="C13" s="437" t="s">
        <v>2407</v>
      </c>
      <c r="D13" s="1144">
        <v>1</v>
      </c>
      <c r="E13" s="1144">
        <v>1</v>
      </c>
      <c r="F13" s="1144">
        <v>1</v>
      </c>
      <c r="G13" s="1144">
        <v>1</v>
      </c>
      <c r="H13" s="1144">
        <v>1</v>
      </c>
      <c r="I13" s="1144">
        <v>1</v>
      </c>
      <c r="J13" s="1144">
        <v>1</v>
      </c>
      <c r="K13" s="1144">
        <v>1</v>
      </c>
      <c r="L13" s="1144">
        <v>1</v>
      </c>
      <c r="M13" s="1144">
        <v>1</v>
      </c>
      <c r="N13" s="1144">
        <v>1</v>
      </c>
      <c r="O13" s="1144">
        <v>1</v>
      </c>
      <c r="P13" s="1144">
        <v>1</v>
      </c>
      <c r="Q13" s="1144">
        <v>1</v>
      </c>
      <c r="R13" s="1144">
        <v>1</v>
      </c>
      <c r="S13" s="1144">
        <v>1</v>
      </c>
      <c r="T13" s="1144">
        <v>1</v>
      </c>
      <c r="U13" s="1144">
        <v>1</v>
      </c>
      <c r="V13" s="1144">
        <v>1</v>
      </c>
      <c r="W13" s="1144">
        <v>1</v>
      </c>
      <c r="X13" s="1144">
        <v>1</v>
      </c>
      <c r="Y13" s="1144">
        <v>1</v>
      </c>
      <c r="Z13" s="1144">
        <v>1</v>
      </c>
      <c r="AA13" s="1144">
        <v>1</v>
      </c>
      <c r="AB13" s="1144">
        <v>1</v>
      </c>
      <c r="AC13" s="1144">
        <v>1</v>
      </c>
      <c r="AD13" s="1144">
        <v>1</v>
      </c>
      <c r="AE13" s="1144">
        <v>1</v>
      </c>
      <c r="AF13" s="1144">
        <v>1</v>
      </c>
      <c r="AG13" s="1144">
        <v>1</v>
      </c>
      <c r="AH13" s="1144">
        <v>1</v>
      </c>
      <c r="AI13" s="1144">
        <v>1</v>
      </c>
      <c r="AJ13" s="1144">
        <v>1</v>
      </c>
      <c r="AK13" s="1144">
        <v>1</v>
      </c>
      <c r="AL13" s="1144">
        <v>1</v>
      </c>
      <c r="AM13" s="1144">
        <v>1</v>
      </c>
      <c r="AN13" s="1144">
        <v>1</v>
      </c>
      <c r="AO13" s="1144">
        <v>1</v>
      </c>
      <c r="AP13" s="1144">
        <v>1</v>
      </c>
      <c r="AQ13" s="1144">
        <v>1</v>
      </c>
      <c r="AR13" s="1144">
        <v>1</v>
      </c>
      <c r="AS13" s="1144">
        <v>1</v>
      </c>
      <c r="AT13" s="1144">
        <v>1</v>
      </c>
      <c r="AU13" s="1144">
        <v>1</v>
      </c>
      <c r="AV13" s="1144">
        <v>1</v>
      </c>
      <c r="AW13" s="1144">
        <v>1</v>
      </c>
      <c r="AX13" s="1144">
        <v>1</v>
      </c>
      <c r="AY13" s="1144">
        <v>1</v>
      </c>
      <c r="AZ13" s="1144">
        <v>1</v>
      </c>
      <c r="BA13" s="1144">
        <v>1</v>
      </c>
      <c r="BB13" s="1144">
        <v>1</v>
      </c>
      <c r="BC13" s="1144">
        <v>1</v>
      </c>
      <c r="BD13" s="1144">
        <v>1</v>
      </c>
      <c r="BE13" s="1144">
        <v>1</v>
      </c>
      <c r="BF13" s="1144">
        <v>1</v>
      </c>
      <c r="BG13" s="1144">
        <v>1</v>
      </c>
      <c r="BH13" s="1144">
        <v>1</v>
      </c>
      <c r="BI13" s="1144">
        <v>1</v>
      </c>
      <c r="BJ13" s="1144">
        <v>1</v>
      </c>
      <c r="BK13" s="1144">
        <v>1</v>
      </c>
      <c r="BL13" s="1145">
        <v>1</v>
      </c>
      <c r="BM13" s="1145">
        <v>1</v>
      </c>
      <c r="BN13" s="1144">
        <v>1</v>
      </c>
      <c r="BO13" s="1144">
        <v>1</v>
      </c>
      <c r="BP13" s="1144">
        <v>1</v>
      </c>
      <c r="BQ13" s="1144">
        <v>1</v>
      </c>
      <c r="BR13" s="1144">
        <v>1</v>
      </c>
      <c r="BS13" s="1144">
        <v>1</v>
      </c>
      <c r="BT13" s="1144">
        <v>1</v>
      </c>
      <c r="BU13" s="1144">
        <v>1</v>
      </c>
      <c r="BV13" s="1144">
        <v>1</v>
      </c>
      <c r="BW13" s="1144">
        <v>1</v>
      </c>
      <c r="BX13" s="1144">
        <v>1</v>
      </c>
      <c r="BY13" s="1144">
        <v>1</v>
      </c>
      <c r="BZ13" s="1144">
        <v>1</v>
      </c>
      <c r="CA13" s="1144">
        <v>1</v>
      </c>
      <c r="CB13" s="1144">
        <v>1</v>
      </c>
      <c r="CC13" s="1144">
        <v>1</v>
      </c>
      <c r="CD13" s="1144">
        <v>1</v>
      </c>
      <c r="CE13" s="1144">
        <v>1</v>
      </c>
      <c r="CF13" s="1144">
        <v>1</v>
      </c>
      <c r="CG13" s="1144">
        <v>1</v>
      </c>
      <c r="CH13" s="1144">
        <v>1</v>
      </c>
      <c r="CI13" s="1144">
        <v>1</v>
      </c>
      <c r="CJ13" s="1144">
        <v>1</v>
      </c>
      <c r="CK13" s="1144">
        <v>1</v>
      </c>
      <c r="CL13" s="1144">
        <v>1</v>
      </c>
      <c r="CM13" s="1144">
        <v>1</v>
      </c>
      <c r="CN13" s="1144">
        <v>1</v>
      </c>
      <c r="CO13" s="1144">
        <v>1</v>
      </c>
      <c r="CP13" s="1144">
        <v>1</v>
      </c>
      <c r="CQ13" s="1144">
        <v>1</v>
      </c>
      <c r="CR13" s="1144">
        <v>1</v>
      </c>
      <c r="CS13" s="1144">
        <v>1</v>
      </c>
      <c r="CT13" s="1144">
        <v>1</v>
      </c>
      <c r="CU13" s="1144">
        <v>1</v>
      </c>
      <c r="CV13" s="1144">
        <v>1</v>
      </c>
      <c r="CW13" s="1144">
        <v>1</v>
      </c>
      <c r="CX13" s="1144">
        <v>1</v>
      </c>
      <c r="CY13" s="1144">
        <v>1</v>
      </c>
      <c r="CZ13" s="1144">
        <v>1</v>
      </c>
      <c r="DA13" s="1144">
        <v>1</v>
      </c>
      <c r="DB13" s="1144">
        <v>1</v>
      </c>
      <c r="DC13" s="1144">
        <v>1</v>
      </c>
      <c r="DD13" s="1144">
        <v>1</v>
      </c>
      <c r="DE13" s="1144">
        <v>1</v>
      </c>
      <c r="DF13" s="1144">
        <v>1</v>
      </c>
      <c r="DG13" s="1144">
        <v>1</v>
      </c>
      <c r="DH13" s="1144">
        <v>1</v>
      </c>
      <c r="DI13" s="1144">
        <v>1</v>
      </c>
      <c r="DJ13" s="1144">
        <v>1</v>
      </c>
      <c r="DK13" s="1144">
        <v>1</v>
      </c>
      <c r="DL13" s="1144">
        <v>1</v>
      </c>
      <c r="DM13" s="1144">
        <v>1</v>
      </c>
      <c r="DN13" s="1144">
        <v>1</v>
      </c>
      <c r="DO13" s="1144">
        <v>1</v>
      </c>
      <c r="DP13" s="1144">
        <v>1</v>
      </c>
      <c r="DQ13" s="1144">
        <v>1</v>
      </c>
      <c r="DR13" s="1144">
        <v>1</v>
      </c>
      <c r="DS13" s="1145">
        <v>1</v>
      </c>
      <c r="DT13" s="1145">
        <v>1</v>
      </c>
      <c r="DU13" s="1144">
        <v>1</v>
      </c>
      <c r="DV13" s="1145">
        <v>1</v>
      </c>
      <c r="DW13" s="1144">
        <v>1</v>
      </c>
      <c r="DX13" s="1145">
        <v>1</v>
      </c>
      <c r="DY13" s="1144">
        <v>1</v>
      </c>
      <c r="DZ13" s="1144">
        <v>1</v>
      </c>
      <c r="EA13" s="1145">
        <v>1</v>
      </c>
      <c r="EB13" s="1144">
        <v>1</v>
      </c>
      <c r="EC13" s="1144">
        <v>1</v>
      </c>
      <c r="ED13" s="1144">
        <v>1</v>
      </c>
      <c r="EE13" s="1144">
        <v>1</v>
      </c>
      <c r="EF13" s="1144">
        <v>1</v>
      </c>
      <c r="EG13" s="1144">
        <v>1</v>
      </c>
      <c r="EH13" s="1144">
        <v>1</v>
      </c>
      <c r="EI13" s="1144">
        <v>1</v>
      </c>
      <c r="EJ13" s="1144">
        <v>1</v>
      </c>
      <c r="EK13" s="1144">
        <v>1</v>
      </c>
      <c r="EL13" s="1144">
        <v>1</v>
      </c>
      <c r="EM13" s="1144">
        <v>1</v>
      </c>
      <c r="EN13" s="1144">
        <v>1</v>
      </c>
      <c r="EO13" s="1144">
        <v>1</v>
      </c>
      <c r="EP13" s="1144">
        <v>1</v>
      </c>
      <c r="EQ13" s="1144">
        <v>1</v>
      </c>
      <c r="ER13" s="1144">
        <v>1</v>
      </c>
      <c r="ES13" s="1144">
        <v>1</v>
      </c>
      <c r="ET13" s="1144">
        <v>1</v>
      </c>
      <c r="EU13" s="1144">
        <v>1</v>
      </c>
      <c r="EV13" s="1144">
        <v>1</v>
      </c>
      <c r="EW13" s="1144">
        <v>1</v>
      </c>
      <c r="EX13" s="1144">
        <v>1</v>
      </c>
      <c r="EY13" s="1144">
        <v>1</v>
      </c>
      <c r="EZ13" s="1144">
        <v>1</v>
      </c>
      <c r="FA13" s="1144">
        <v>1</v>
      </c>
      <c r="FB13" s="1144">
        <v>1</v>
      </c>
      <c r="FC13" s="1144">
        <v>1</v>
      </c>
      <c r="FD13" s="1144">
        <v>1</v>
      </c>
      <c r="FE13" s="1144">
        <v>1</v>
      </c>
      <c r="FF13" s="1144">
        <v>1</v>
      </c>
      <c r="FG13" s="1144">
        <v>1</v>
      </c>
      <c r="FH13" s="1144">
        <v>1</v>
      </c>
      <c r="FI13" s="1144">
        <v>1</v>
      </c>
      <c r="FJ13" s="1144">
        <v>1</v>
      </c>
      <c r="FK13" s="1144">
        <v>1</v>
      </c>
      <c r="FL13" s="1144">
        <v>1</v>
      </c>
      <c r="FM13" s="1144">
        <v>1</v>
      </c>
      <c r="FN13" s="1144">
        <v>1</v>
      </c>
      <c r="FO13" s="1144">
        <v>1</v>
      </c>
      <c r="FP13" s="1144">
        <v>1</v>
      </c>
      <c r="FQ13" s="1144">
        <v>1</v>
      </c>
      <c r="FR13" s="1144">
        <v>1</v>
      </c>
      <c r="FS13" s="1144">
        <v>1</v>
      </c>
      <c r="FT13" s="1145">
        <v>1</v>
      </c>
      <c r="FU13" s="1145">
        <v>1</v>
      </c>
      <c r="FV13" s="1145">
        <v>1</v>
      </c>
      <c r="FW13" s="1144">
        <v>1</v>
      </c>
      <c r="FX13" s="1144">
        <v>1</v>
      </c>
      <c r="FY13" s="1144">
        <v>1</v>
      </c>
      <c r="FZ13" s="1144">
        <v>1</v>
      </c>
      <c r="GA13" s="1144">
        <v>1</v>
      </c>
      <c r="GB13" s="1144">
        <v>1</v>
      </c>
      <c r="GC13" s="1144">
        <v>1</v>
      </c>
      <c r="GD13" s="1144">
        <v>1</v>
      </c>
      <c r="GE13" s="1144">
        <v>1</v>
      </c>
      <c r="GF13" s="1144">
        <v>1</v>
      </c>
      <c r="GG13" s="1144">
        <v>1</v>
      </c>
      <c r="GH13" s="1144">
        <v>1</v>
      </c>
      <c r="GI13" s="1144">
        <v>1</v>
      </c>
      <c r="GJ13" s="1144">
        <v>1</v>
      </c>
      <c r="GK13" s="1144">
        <v>1</v>
      </c>
      <c r="GL13" s="1144">
        <v>1</v>
      </c>
      <c r="GM13" s="1144">
        <v>1</v>
      </c>
      <c r="GN13" s="1144">
        <v>1</v>
      </c>
      <c r="GO13" s="1144">
        <v>1</v>
      </c>
      <c r="GP13" s="1144">
        <v>1</v>
      </c>
      <c r="GQ13" s="1144">
        <v>1</v>
      </c>
      <c r="GR13" s="1144">
        <v>1</v>
      </c>
      <c r="GS13" s="1144">
        <v>1</v>
      </c>
      <c r="GT13" s="1144">
        <v>1</v>
      </c>
      <c r="GU13" s="1144">
        <v>1</v>
      </c>
      <c r="GV13" s="1144">
        <v>1</v>
      </c>
      <c r="GW13" s="1144">
        <v>1</v>
      </c>
      <c r="GX13" s="1144">
        <v>1</v>
      </c>
      <c r="GY13" s="1144">
        <v>1</v>
      </c>
      <c r="GZ13" s="1144">
        <v>1</v>
      </c>
      <c r="HA13" s="1144">
        <v>1</v>
      </c>
      <c r="HB13" s="1144">
        <v>1</v>
      </c>
      <c r="HC13" s="1144">
        <v>1</v>
      </c>
      <c r="HD13" s="1144">
        <v>1</v>
      </c>
      <c r="HE13" s="1144">
        <v>1</v>
      </c>
      <c r="HF13" s="1144">
        <v>1</v>
      </c>
      <c r="HG13" s="1144">
        <v>1</v>
      </c>
      <c r="HH13" s="1144">
        <v>1</v>
      </c>
      <c r="HI13" s="1144">
        <v>1</v>
      </c>
      <c r="HJ13" s="1144">
        <v>1</v>
      </c>
      <c r="HK13" s="1144">
        <v>1</v>
      </c>
      <c r="HL13" s="1144">
        <v>1</v>
      </c>
      <c r="HM13" s="1144">
        <v>1</v>
      </c>
      <c r="HN13" s="1144">
        <v>1</v>
      </c>
      <c r="HO13" s="1144">
        <v>1</v>
      </c>
      <c r="HP13" s="1144">
        <v>1</v>
      </c>
      <c r="HQ13" s="1144">
        <v>1</v>
      </c>
      <c r="HR13" s="1144">
        <v>1</v>
      </c>
      <c r="HS13" s="1144">
        <v>1</v>
      </c>
      <c r="HT13" s="1144">
        <v>1</v>
      </c>
      <c r="HU13" s="1144">
        <v>1</v>
      </c>
      <c r="HV13" s="1144">
        <v>1</v>
      </c>
      <c r="HW13" s="1144">
        <v>1</v>
      </c>
      <c r="HX13" s="1144">
        <v>1</v>
      </c>
      <c r="HY13" s="1144">
        <v>1</v>
      </c>
      <c r="HZ13" s="1144">
        <v>1</v>
      </c>
      <c r="IA13" s="1144">
        <v>1</v>
      </c>
      <c r="IB13" s="1144">
        <v>1</v>
      </c>
      <c r="IC13" s="1144">
        <v>1</v>
      </c>
      <c r="ID13" s="1144">
        <v>1</v>
      </c>
      <c r="IE13" s="1144">
        <v>1</v>
      </c>
      <c r="IF13" s="1144">
        <v>1</v>
      </c>
      <c r="IG13" s="1144">
        <v>1</v>
      </c>
      <c r="IH13" s="1144">
        <v>1</v>
      </c>
      <c r="II13" s="1144">
        <v>1</v>
      </c>
      <c r="IJ13" s="1144">
        <v>1</v>
      </c>
      <c r="IK13" s="1144">
        <v>1</v>
      </c>
      <c r="IL13" s="1144">
        <v>1</v>
      </c>
      <c r="IM13" s="1144">
        <v>1</v>
      </c>
      <c r="IN13" s="1144">
        <v>1</v>
      </c>
      <c r="IO13" s="1144">
        <v>1</v>
      </c>
      <c r="IP13" s="1144">
        <v>1</v>
      </c>
      <c r="IQ13" s="1144">
        <v>1</v>
      </c>
      <c r="IR13" s="1144">
        <v>1</v>
      </c>
      <c r="IS13" s="1144">
        <v>1</v>
      </c>
      <c r="IT13" s="1144">
        <v>1</v>
      </c>
      <c r="IU13" s="1144">
        <v>1</v>
      </c>
      <c r="IV13" s="1144">
        <v>1</v>
      </c>
      <c r="IW13" s="1144">
        <v>1</v>
      </c>
      <c r="IX13" s="1144">
        <v>1</v>
      </c>
      <c r="IY13" s="1144">
        <v>1</v>
      </c>
      <c r="IZ13" s="1144">
        <v>1</v>
      </c>
      <c r="JA13" s="1144">
        <v>1</v>
      </c>
      <c r="JB13" s="1144">
        <v>1</v>
      </c>
      <c r="JC13" s="1144">
        <v>1</v>
      </c>
      <c r="JD13" s="1146"/>
      <c r="JE13" s="1144">
        <v>1</v>
      </c>
      <c r="JF13" s="1144">
        <v>1</v>
      </c>
      <c r="JG13" s="1144">
        <v>1</v>
      </c>
      <c r="JH13" s="1144">
        <v>1</v>
      </c>
      <c r="JI13" s="1144">
        <v>1</v>
      </c>
      <c r="JJ13" s="1144">
        <v>1</v>
      </c>
      <c r="JK13" s="1144">
        <v>1</v>
      </c>
      <c r="JL13" s="1144">
        <v>1</v>
      </c>
      <c r="JM13" s="1144">
        <v>1</v>
      </c>
      <c r="JN13" s="1144">
        <v>1</v>
      </c>
      <c r="JO13" s="1144">
        <v>1</v>
      </c>
      <c r="JP13" s="1144">
        <v>1</v>
      </c>
      <c r="JQ13" s="1144">
        <v>1</v>
      </c>
      <c r="JR13" s="1144">
        <v>1</v>
      </c>
      <c r="JS13" s="1144">
        <v>1</v>
      </c>
      <c r="JT13" s="1144">
        <v>1</v>
      </c>
      <c r="JU13" s="1144">
        <v>1</v>
      </c>
      <c r="JV13" s="1144">
        <v>1</v>
      </c>
      <c r="JW13" s="1144">
        <v>1</v>
      </c>
      <c r="JX13" s="1144">
        <v>1</v>
      </c>
      <c r="JY13" s="1144">
        <v>1</v>
      </c>
      <c r="JZ13" s="1144">
        <v>1</v>
      </c>
      <c r="KA13" s="1144">
        <v>1</v>
      </c>
      <c r="KB13" s="1144">
        <v>1</v>
      </c>
      <c r="KC13" s="1144">
        <v>1</v>
      </c>
      <c r="KD13" s="1144">
        <v>1</v>
      </c>
      <c r="KE13" s="1144">
        <v>1</v>
      </c>
    </row>
    <row r="14" spans="1:291" ht="264" customHeight="1">
      <c r="A14" s="78"/>
      <c r="B14" s="83">
        <v>402</v>
      </c>
      <c r="C14" s="437" t="s">
        <v>2408</v>
      </c>
      <c r="D14" s="1144" t="s">
        <v>2409</v>
      </c>
      <c r="E14" s="1144" t="s">
        <v>2409</v>
      </c>
      <c r="F14" s="1144" t="s">
        <v>2409</v>
      </c>
      <c r="G14" s="1145" t="s">
        <v>2409</v>
      </c>
      <c r="H14" s="1144" t="s">
        <v>2410</v>
      </c>
      <c r="I14" s="1144" t="s">
        <v>2410</v>
      </c>
      <c r="J14" s="1144" t="s">
        <v>2410</v>
      </c>
      <c r="K14" s="1144" t="s">
        <v>2410</v>
      </c>
      <c r="L14" s="1144" t="s">
        <v>2411</v>
      </c>
      <c r="M14" s="1144" t="s">
        <v>2411</v>
      </c>
      <c r="N14" s="1144" t="s">
        <v>2411</v>
      </c>
      <c r="O14" s="1144" t="s">
        <v>2411</v>
      </c>
      <c r="P14" s="1144" t="s">
        <v>2412</v>
      </c>
      <c r="Q14" s="1144" t="s">
        <v>2412</v>
      </c>
      <c r="R14" s="1144" t="s">
        <v>2412</v>
      </c>
      <c r="S14" s="1144" t="s">
        <v>2412</v>
      </c>
      <c r="T14" s="1144" t="s">
        <v>2413</v>
      </c>
      <c r="U14" s="1144" t="s">
        <v>2413</v>
      </c>
      <c r="V14" s="1144" t="s">
        <v>2414</v>
      </c>
      <c r="W14" s="1144" t="s">
        <v>2415</v>
      </c>
      <c r="X14" s="1144" t="s">
        <v>2416</v>
      </c>
      <c r="Y14" s="1144" t="s">
        <v>2417</v>
      </c>
      <c r="Z14" s="1144" t="s">
        <v>2418</v>
      </c>
      <c r="AA14" s="1144" t="s">
        <v>2418</v>
      </c>
      <c r="AB14" s="1144" t="s">
        <v>2418</v>
      </c>
      <c r="AC14" s="1144" t="s">
        <v>2418</v>
      </c>
      <c r="AD14" s="1144" t="s">
        <v>2419</v>
      </c>
      <c r="AE14" s="1144" t="s">
        <v>2419</v>
      </c>
      <c r="AF14" s="1144" t="s">
        <v>2419</v>
      </c>
      <c r="AG14" s="1144" t="s">
        <v>2419</v>
      </c>
      <c r="AH14" s="1144" t="s">
        <v>2420</v>
      </c>
      <c r="AI14" s="1144" t="s">
        <v>2420</v>
      </c>
      <c r="AJ14" s="1144" t="s">
        <v>2420</v>
      </c>
      <c r="AK14" s="1144" t="s">
        <v>2420</v>
      </c>
      <c r="AL14" s="1144" t="s">
        <v>2421</v>
      </c>
      <c r="AM14" s="1144" t="s">
        <v>2421</v>
      </c>
      <c r="AN14" s="1144" t="s">
        <v>2421</v>
      </c>
      <c r="AO14" s="1144" t="s">
        <v>2421</v>
      </c>
      <c r="AP14" s="1144" t="s">
        <v>2421</v>
      </c>
      <c r="AQ14" s="1144" t="s">
        <v>2421</v>
      </c>
      <c r="AR14" s="1144" t="s">
        <v>2421</v>
      </c>
      <c r="AS14" s="1144" t="s">
        <v>2421</v>
      </c>
      <c r="AT14" s="1144" t="s">
        <v>2422</v>
      </c>
      <c r="AU14" s="1144" t="s">
        <v>2422</v>
      </c>
      <c r="AV14" s="1144" t="s">
        <v>2423</v>
      </c>
      <c r="AW14" s="1144" t="s">
        <v>2423</v>
      </c>
      <c r="AX14" s="1144" t="s">
        <v>2424</v>
      </c>
      <c r="AY14" s="1144" t="s">
        <v>2424</v>
      </c>
      <c r="AZ14" s="1144" t="s">
        <v>2425</v>
      </c>
      <c r="BA14" s="1144" t="s">
        <v>2425</v>
      </c>
      <c r="BB14" s="379" t="s">
        <v>2426</v>
      </c>
      <c r="BC14" s="379" t="s">
        <v>2426</v>
      </c>
      <c r="BD14" s="379" t="s">
        <v>2426</v>
      </c>
      <c r="BE14" s="379" t="s">
        <v>2426</v>
      </c>
      <c r="BF14" s="379" t="s">
        <v>2427</v>
      </c>
      <c r="BG14" s="1144" t="s">
        <v>2428</v>
      </c>
      <c r="BH14" s="1144" t="s">
        <v>2429</v>
      </c>
      <c r="BI14" s="1144" t="s">
        <v>2429</v>
      </c>
      <c r="BJ14" s="1144" t="s">
        <v>2430</v>
      </c>
      <c r="BK14" s="1144" t="s">
        <v>2430</v>
      </c>
      <c r="BL14" s="1145" t="s">
        <v>2431</v>
      </c>
      <c r="BM14" s="1145" t="s">
        <v>2431</v>
      </c>
      <c r="BN14" s="1153" t="s">
        <v>2432</v>
      </c>
      <c r="BO14" s="1153" t="s">
        <v>2432</v>
      </c>
      <c r="BP14" s="1153" t="s">
        <v>2432</v>
      </c>
      <c r="BQ14" s="1153" t="s">
        <v>2432</v>
      </c>
      <c r="BR14" s="1153" t="s">
        <v>2433</v>
      </c>
      <c r="BS14" s="1153" t="s">
        <v>2433</v>
      </c>
      <c r="BT14" s="1153" t="s">
        <v>2433</v>
      </c>
      <c r="BU14" s="1153" t="s">
        <v>2433</v>
      </c>
      <c r="BV14" s="1153" t="s">
        <v>2426</v>
      </c>
      <c r="BW14" s="1153" t="s">
        <v>2426</v>
      </c>
      <c r="BX14" s="1144" t="s">
        <v>2434</v>
      </c>
      <c r="BY14" s="1144" t="s">
        <v>2434</v>
      </c>
      <c r="BZ14" s="1144" t="s">
        <v>2434</v>
      </c>
      <c r="CA14" s="1144" t="s">
        <v>2434</v>
      </c>
      <c r="CB14" s="1144" t="s">
        <v>2434</v>
      </c>
      <c r="CC14" s="1144" t="s">
        <v>2434</v>
      </c>
      <c r="CD14" s="1144" t="s">
        <v>2434</v>
      </c>
      <c r="CE14" s="1144" t="s">
        <v>2434</v>
      </c>
      <c r="CF14" s="1144" t="s">
        <v>2434</v>
      </c>
      <c r="CG14" s="1144" t="s">
        <v>2434</v>
      </c>
      <c r="CH14" s="1144" t="s">
        <v>2434</v>
      </c>
      <c r="CI14" s="1144" t="s">
        <v>2434</v>
      </c>
      <c r="CJ14" s="1144" t="s">
        <v>2435</v>
      </c>
      <c r="CK14" s="1144" t="s">
        <v>2435</v>
      </c>
      <c r="CL14" s="1144" t="s">
        <v>2435</v>
      </c>
      <c r="CM14" s="1144" t="s">
        <v>2435</v>
      </c>
      <c r="CN14" s="1144" t="s">
        <v>2436</v>
      </c>
      <c r="CO14" s="1144" t="s">
        <v>2436</v>
      </c>
      <c r="CP14" s="1144" t="s">
        <v>2436</v>
      </c>
      <c r="CQ14" s="1144" t="s">
        <v>2436</v>
      </c>
      <c r="CR14" s="1144" t="s">
        <v>2436</v>
      </c>
      <c r="CS14" s="1144" t="s">
        <v>2436</v>
      </c>
      <c r="CT14" s="1144" t="s">
        <v>2436</v>
      </c>
      <c r="CU14" s="1144" t="s">
        <v>2436</v>
      </c>
      <c r="CV14" s="1144" t="s">
        <v>2436</v>
      </c>
      <c r="CW14" s="1144" t="s">
        <v>2436</v>
      </c>
      <c r="CX14" s="1144" t="s">
        <v>2436</v>
      </c>
      <c r="CY14" s="1144" t="s">
        <v>2436</v>
      </c>
      <c r="CZ14" s="1144" t="s">
        <v>2436</v>
      </c>
      <c r="DA14" s="1144" t="s">
        <v>2436</v>
      </c>
      <c r="DB14" s="1144" t="s">
        <v>2436</v>
      </c>
      <c r="DC14" s="1144" t="s">
        <v>2436</v>
      </c>
      <c r="DD14" s="1144" t="s">
        <v>2437</v>
      </c>
      <c r="DE14" s="1144" t="s">
        <v>2438</v>
      </c>
      <c r="DF14" s="1144" t="s">
        <v>2439</v>
      </c>
      <c r="DG14" s="1144" t="s">
        <v>2440</v>
      </c>
      <c r="DH14" s="1144" t="s">
        <v>2441</v>
      </c>
      <c r="DI14" s="1144" t="s">
        <v>2442</v>
      </c>
      <c r="DJ14" s="1144" t="s">
        <v>2443</v>
      </c>
      <c r="DK14" s="1144" t="s">
        <v>2444</v>
      </c>
      <c r="DL14" s="1144" t="s">
        <v>2445</v>
      </c>
      <c r="DM14" s="1144" t="s">
        <v>2446</v>
      </c>
      <c r="DN14" s="1144" t="s">
        <v>2447</v>
      </c>
      <c r="DO14" s="1144" t="s">
        <v>2448</v>
      </c>
      <c r="DP14" s="1144" t="str">
        <f>DO14</f>
        <v>Pre-products, energy use, infrastructure, some air emissions and transports. No full information on all air and water emissions available.</v>
      </c>
      <c r="DQ14" s="1144" t="str">
        <f>DP14</f>
        <v>Pre-products, energy use, infrastructure, some air emissions and transports. No full information on all air and water emissions available.</v>
      </c>
      <c r="DR14" s="1144" t="str">
        <f>DQ14</f>
        <v>Pre-products, energy use, infrastructure, some air emissions and transports. No full information on all air and water emissions available.</v>
      </c>
      <c r="DS14" s="1145" t="s">
        <v>2449</v>
      </c>
      <c r="DT14" s="1145" t="s">
        <v>2449</v>
      </c>
      <c r="DU14" s="1144" t="s">
        <v>2450</v>
      </c>
      <c r="DV14" s="1145" t="s">
        <v>2449</v>
      </c>
      <c r="DW14" s="1144" t="s">
        <v>2450</v>
      </c>
      <c r="DX14" s="1145" t="s">
        <v>2449</v>
      </c>
      <c r="DY14" s="1144" t="s">
        <v>2450</v>
      </c>
      <c r="DZ14" s="1144" t="s">
        <v>2450</v>
      </c>
      <c r="EA14" s="1145" t="s">
        <v>2449</v>
      </c>
      <c r="EB14" s="1144" t="s">
        <v>2451</v>
      </c>
      <c r="EC14" s="1144" t="str">
        <f>EB14</f>
        <v>Production of paste used in production of photovoltaic cells.</v>
      </c>
      <c r="ED14" s="1144" t="str">
        <f>EC14</f>
        <v>Production of paste used in production of photovoltaic cells.</v>
      </c>
      <c r="EE14" s="1144" t="s">
        <v>2452</v>
      </c>
      <c r="EF14" s="1144" t="str">
        <f>EE14</f>
        <v>Electricity use, materials, transport of materials, treatment of production wastes. Disposal after end of life. Process emissions not known (except Cd).</v>
      </c>
      <c r="EG14" s="1144" t="s">
        <v>2453</v>
      </c>
      <c r="EH14" s="1144" t="s">
        <v>2454</v>
      </c>
      <c r="EI14" s="1144" t="s">
        <v>2455</v>
      </c>
      <c r="EJ14" s="1144" t="s">
        <v>2455</v>
      </c>
      <c r="EK14" s="1144" t="s">
        <v>2455</v>
      </c>
      <c r="EL14" s="1144" t="s">
        <v>2456</v>
      </c>
      <c r="EM14" s="1144" t="s">
        <v>2457</v>
      </c>
      <c r="EN14" s="1144" t="s">
        <v>2458</v>
      </c>
      <c r="EO14" s="1144" t="s">
        <v>2459</v>
      </c>
      <c r="EP14" s="1144" t="s">
        <v>2460</v>
      </c>
      <c r="EQ14" s="1144" t="s">
        <v>2461</v>
      </c>
      <c r="ER14" s="1144" t="s">
        <v>2462</v>
      </c>
      <c r="ES14" s="1144" t="s">
        <v>2463</v>
      </c>
      <c r="ET14" s="1144" t="s">
        <v>2463</v>
      </c>
      <c r="EU14" s="1144" t="s">
        <v>2463</v>
      </c>
      <c r="EV14" s="1144" t="s">
        <v>2463</v>
      </c>
      <c r="EW14" s="1144" t="s">
        <v>2461</v>
      </c>
      <c r="EX14" s="1144" t="s">
        <v>2461</v>
      </c>
      <c r="EY14" s="1144" t="s">
        <v>2461</v>
      </c>
      <c r="EZ14" s="1144" t="s">
        <v>2461</v>
      </c>
      <c r="FA14" s="1144" t="s">
        <v>2461</v>
      </c>
      <c r="FB14" s="1144" t="s">
        <v>2464</v>
      </c>
      <c r="FC14" s="1144" t="str">
        <f t="shared" ref="FC14:FI14" si="0">FB14</f>
        <v>Materials and packaging for the production and estimation for metal processing. Disposal of the product after use. Energy use for the construction process must be included in data of the PV-plant.</v>
      </c>
      <c r="FD14" s="1144" t="str">
        <f t="shared" si="0"/>
        <v>Materials and packaging for the production and estimation for metal processing. Disposal of the product after use. Energy use for the construction process must be included in data of the PV-plant.</v>
      </c>
      <c r="FE14" s="1144" t="str">
        <f t="shared" si="0"/>
        <v>Materials and packaging for the production and estimation for metal processing. Disposal of the product after use. Energy use for the construction process must be included in data of the PV-plant.</v>
      </c>
      <c r="FF14" s="1144" t="str">
        <f t="shared" si="0"/>
        <v>Materials and packaging for the production and estimation for metal processing. Disposal of the product after use. Energy use for the construction process must be included in data of the PV-plant.</v>
      </c>
      <c r="FG14" s="1144" t="str">
        <f t="shared" si="0"/>
        <v>Materials and packaging for the production and estimation for metal processing. Disposal of the product after use. Energy use for the construction process must be included in data of the PV-plant.</v>
      </c>
      <c r="FH14" s="1144" t="str">
        <f t="shared" si="0"/>
        <v>Materials and packaging for the production and estimation for metal processing. Disposal of the product after use. Energy use for the construction process must be included in data of the PV-plant.</v>
      </c>
      <c r="FI14" s="1144" t="str">
        <f t="shared" si="0"/>
        <v>Materials and packaging for the production and estimation for metal processing. Disposal of the product after use. Energy use for the construction process must be included in data of the PV-plant.</v>
      </c>
      <c r="FJ14" s="1144" t="s">
        <v>2465</v>
      </c>
      <c r="FK14" s="1144" t="s">
        <v>2466</v>
      </c>
      <c r="FL14" s="1144" t="s">
        <v>2466</v>
      </c>
      <c r="FM14" s="1144" t="s">
        <v>2466</v>
      </c>
      <c r="FN14" s="1144" t="s">
        <v>2466</v>
      </c>
      <c r="FO14" s="1144" t="s">
        <v>2466</v>
      </c>
      <c r="FP14" s="1144" t="s">
        <v>2466</v>
      </c>
      <c r="FQ14" s="1144" t="s">
        <v>2466</v>
      </c>
      <c r="FR14" s="1144" t="s">
        <v>2466</v>
      </c>
      <c r="FS14" s="1144" t="s">
        <v>2467</v>
      </c>
      <c r="FT14" s="1145" t="s">
        <v>2468</v>
      </c>
      <c r="FU14" s="1145" t="s">
        <v>2469</v>
      </c>
      <c r="FV14" s="1145" t="s">
        <v>2470</v>
      </c>
      <c r="FW14" s="1144" t="s">
        <v>2471</v>
      </c>
      <c r="FX14" s="1144" t="s">
        <v>2471</v>
      </c>
      <c r="FY14" s="1144" t="s">
        <v>2471</v>
      </c>
      <c r="FZ14" s="1144" t="s">
        <v>2471</v>
      </c>
      <c r="GA14" s="1144" t="s">
        <v>2471</v>
      </c>
      <c r="GB14" s="1144" t="s">
        <v>2471</v>
      </c>
      <c r="GC14" s="1144" t="s">
        <v>2472</v>
      </c>
      <c r="GD14" s="1144" t="s">
        <v>2472</v>
      </c>
      <c r="GE14" s="1144" t="s">
        <v>2472</v>
      </c>
      <c r="GF14" s="1144" t="s">
        <v>2472</v>
      </c>
      <c r="GG14" s="1144" t="s">
        <v>2472</v>
      </c>
      <c r="GH14" s="1144" t="s">
        <v>2472</v>
      </c>
      <c r="GI14" s="1144" t="s">
        <v>2472</v>
      </c>
      <c r="GJ14" s="1144" t="s">
        <v>2472</v>
      </c>
      <c r="GK14" s="1144" t="s">
        <v>2472</v>
      </c>
      <c r="GL14" s="1144" t="s">
        <v>2472</v>
      </c>
      <c r="GM14" s="1144" t="s">
        <v>2472</v>
      </c>
      <c r="GN14" s="1144" t="s">
        <v>2472</v>
      </c>
      <c r="GO14" s="1144" t="s">
        <v>2473</v>
      </c>
      <c r="GP14" s="1144" t="s">
        <v>2473</v>
      </c>
      <c r="GQ14" s="1144" t="s">
        <v>2473</v>
      </c>
      <c r="GR14" s="1144" t="s">
        <v>2473</v>
      </c>
      <c r="GS14" s="1144" t="s">
        <v>2473</v>
      </c>
      <c r="GT14" s="1144" t="s">
        <v>2473</v>
      </c>
      <c r="GU14" s="1144" t="s">
        <v>2473</v>
      </c>
      <c r="GV14" s="1154" t="s">
        <v>2474</v>
      </c>
      <c r="GW14" s="1154" t="s">
        <v>2474</v>
      </c>
      <c r="GX14" s="1154" t="s">
        <v>2474</v>
      </c>
      <c r="GY14" s="1144" t="s">
        <v>2472</v>
      </c>
      <c r="GZ14" s="1144" t="s">
        <v>2472</v>
      </c>
      <c r="HA14" s="1144" t="s">
        <v>2472</v>
      </c>
      <c r="HB14" s="1144" t="str">
        <f>"Infrastructure for 10 kWp PV plant, water use for cleaning, amount of solar energy transformed to electricity and waste heat emission due to losses of electricity in the system. Annual output, Roof-Top: "&amp;HB51&amp;" kWh/kWp."</f>
        <v>Infrastructure for 10 kWp PV plant, water use for cleaning, amount of solar energy transformed to electricity and waste heat emission due to losses of electricity in the system. Annual output, Roof-Top: 1300 kWh/kWp.</v>
      </c>
      <c r="HC14" s="1144" t="str">
        <f>"Infrastructure for 10 kWp PV plant, water use for cleaning, amount of solar energy transformed to electricity and waste heat emission due to losses of electricity in the system. Annual output, Roof-Top: "&amp;HC51&amp;" kWh/kWp."</f>
        <v>Infrastructure for 10 kWp PV plant, water use for cleaning, amount of solar energy transformed to electricity and waste heat emission due to losses of electricity in the system. Annual output, Roof-Top: 1000 kWh/kWp.</v>
      </c>
      <c r="HD14" s="1144" t="str">
        <f>"Infrastructure for 10 kWp PV plant, water use for cleaning, amount of solar energy transformed to electricity and waste heat emission due to losses of electricity in the system. Annual output, Roof-Top: "&amp;HD51&amp;" kWh/kWp."</f>
        <v>Infrastructure for 10 kWp PV plant, water use for cleaning, amount of solar energy transformed to electricity and waste heat emission due to losses of electricity in the system. Annual output, Roof-Top: 1300 kWh/kWp.</v>
      </c>
      <c r="HE14" s="1144" t="str">
        <f>"Infrastructure for 250 kWp PV plant, water use for cleaning, amount of solar energy transformed to electricity and waste heat emission due to losses of electricity in the system. Annual output, Roof-Top: "&amp;HE51&amp;" kWh/kWp."</f>
        <v>Infrastructure for 250 kWp PV plant, water use for cleaning, amount of solar energy transformed to electricity and waste heat emission due to losses of electricity in the system. Annual output, Roof-Top: 1300 kWh/kWp.</v>
      </c>
      <c r="HF14" s="1144" t="str">
        <f>"Infrastructure for 10 MWp PV plant, water use for cleaning, amount of solar energy transformed to electricity and waste heat emission due to losses of electricity in the system. Annual output, Roof-Top: "&amp;HF51&amp;" kWh/kWp."</f>
        <v>Infrastructure for 10 MWp PV plant, water use for cleaning, amount of solar energy transformed to electricity and waste heat emission due to losses of electricity in the system. Annual output, Roof-Top: 1300 kWh/kWp.</v>
      </c>
      <c r="HG14" s="1144" t="str">
        <f>"Infrastructure for 10 kWp PV plant, water use for cleaning, amount of solar energy transformed to electricity and waste heat emission due to losses of electricity in the system. Annual output, Roof-Top: "&amp;HG51&amp;" kWh/kWp."</f>
        <v>Infrastructure for 10 kWp PV plant, water use for cleaning, amount of solar energy transformed to electricity and waste heat emission due to losses of electricity in the system. Annual output, Roof-Top: 1000 kWh/kWp.</v>
      </c>
      <c r="HH14" s="1144" t="str">
        <f>"Infrastructure for 250 kWp PV plant, water use for cleaning, amount of solar energy transformed to electricity and waste heat emission due to losses of electricity in the system. Annual output, Roof-Top: "&amp;HH51&amp;" kWh/kWp."</f>
        <v>Infrastructure for 250 kWp PV plant, water use for cleaning, amount of solar energy transformed to electricity and waste heat emission due to losses of electricity in the system. Annual output, Roof-Top: 1000 kWh/kWp.</v>
      </c>
      <c r="HI14" s="1144" t="str">
        <f>"Infrastructure for 10 MWp PV plant, water use for cleaning, amount of solar energy transformed to electricity and waste heat emission due to losses of electricity in the system. Annual output, Roof-Top: "&amp;HI51&amp;" kWh/kWp."</f>
        <v>Infrastructure for 10 MWp PV plant, water use for cleaning, amount of solar energy transformed to electricity and waste heat emission due to losses of electricity in the system. Annual output, Roof-Top: 1000 kWh/kWp.</v>
      </c>
      <c r="HJ14" s="1144" t="str">
        <f>"Infrastructure for 10 kWp PV plant, water use for cleaning, amount of solar energy transformed to electricity and waste heat emission due to losses of electricity in the system. Annual output, Roof-Top: "&amp;HJ51&amp;" kWh/kWp."</f>
        <v>Infrastructure for 10 kWp PV plant, water use for cleaning, amount of solar energy transformed to electricity and waste heat emission due to losses of electricity in the system. Annual output, Roof-Top: 1252 kWh/kWp.</v>
      </c>
      <c r="HK14" s="1144" t="str">
        <f>"Infrastructure for 250 kWp PV plant, water use for cleaning, amount of solar energy transformed to electricity and waste heat emission due to losses of electricity in the system. Annual output, Roof-Top: "&amp;HK51&amp;" kWh/kWp."</f>
        <v>Infrastructure for 250 kWp PV plant, water use for cleaning, amount of solar energy transformed to electricity and waste heat emission due to losses of electricity in the system. Annual output, Roof-Top: 1300 kWh/kWp.</v>
      </c>
      <c r="HL14" s="1144" t="str">
        <f>"Infrastructure for 250 kWp PV plant, water use for cleaning, amount of solar energy transformed to electricity and waste heat emission due to losses of electricity in the system. Annual output, Roof-Top: "&amp;HL51&amp;" kWh/kWp."</f>
        <v>Infrastructure for 250 kWp PV plant, water use for cleaning, amount of solar energy transformed to electricity and waste heat emission due to losses of electricity in the system. Annual output, Roof-Top: 1000 kWh/kWp.</v>
      </c>
      <c r="HM14" s="1144" t="str">
        <f>"Infrastructure for 10 MWp PV plant, water use for cleaning, amount of solar energy transformed to electricity and waste heat emission due to losses of electricity in the system. Annual output, Roof-Top: "&amp;HM53&amp;" kWh/kWp."</f>
        <v>Infrastructure for 10 MWp PV plant, water use for cleaning, amount of solar energy transformed to electricity and waste heat emission due to losses of electricity in the system. Annual output, Roof-Top: 1300 kWh/kWp.</v>
      </c>
      <c r="HN14" s="1144" t="str">
        <f>"Infrastructure for 10 MWp PV plant, water use for cleaning, amount of solar energy transformed to electricity and waste heat emission due to losses of electricity in the system. Annual output, Roof-Top: "&amp;HN51&amp;" kWh/kWp."</f>
        <v>Infrastructure for 10 MWp PV plant, water use for cleaning, amount of solar energy transformed to electricity and waste heat emission due to losses of electricity in the system. Annual output, Roof-Top: 1000 kWh/kWp.</v>
      </c>
      <c r="HO14" s="1144" t="str">
        <f t="shared" ref="HO14:IU14" si="1">"Production mix of photovoltaic electricity in the country. Annual output, Roof-Top: "&amp;HO51&amp;", Annual output, Facade: "&amp;HO52&amp;" kWh/kWp, Annual output, centralized PV systems: "&amp;HO53&amp;" kWh/kWp. Amount of solar energy transformed to electricity. Waste heat emission due to losses of electricity in the system."</f>
        <v>Production mix of photovoltaic electricity in the country. Annual output, Roof-Top: 924, Annual output, Facade: 647 kWh/kWp, Annual output, centralized PV systems: 980 kWh/kWp. Amount of solar energy transformed to electricity. Waste heat emission due to losses of electricity in the system.</v>
      </c>
      <c r="HP14" s="1144" t="str">
        <f t="shared" si="1"/>
        <v>Production mix of photovoltaic electricity in the country. Annual output, Roof-Top: 1044, Annual output, Facade: 731 kWh/kWp, Annual output, centralized PV systems: 1111 kWh/kWp. Amount of solar energy transformed to electricity. Waste heat emission due to losses of electricity in the system.</v>
      </c>
      <c r="HQ14" s="1144" t="str">
        <f t="shared" si="1"/>
        <v>Production mix of photovoltaic electricity in the country. Annual output, Roof-Top: 1240, Annual output, Facade: 868 kWh/kWp, Annual output, centralized PV systems: 1315 kWh/kWp. Amount of solar energy transformed to electricity. Waste heat emission due to losses of electricity in the system.</v>
      </c>
      <c r="HR14" s="1144" t="str">
        <f t="shared" si="1"/>
        <v>Production mix of photovoltaic electricity in the country. Annual output, Roof-Top: 857, Annual output, Facade: 600 kWh/kWp, Annual output, centralized PV systems: 908 kWh/kWp. Amount of solar energy transformed to electricity. Waste heat emission due to losses of electricity in the system.</v>
      </c>
      <c r="HS14" s="1144" t="str">
        <f t="shared" si="1"/>
        <v>Production mix of photovoltaic electricity in the country. Annual output, Roof-Top: 1460, Annual output, Facade: 1022 kWh/kWp, Annual output, centralized PV systems: 1548 kWh/kWp. Amount of solar energy transformed to electricity. Waste heat emission due to losses of electricity in the system.</v>
      </c>
      <c r="HT14" s="1144" t="str">
        <f t="shared" si="1"/>
        <v>Production mix of photovoltaic electricity in the country. Annual output, Roof-Top: 1107, Annual output, Facade: 775 kWh/kWp, Annual output, centralized PV systems: 1173 kWh/kWp. Amount of solar energy transformed to electricity. Waste heat emission due to losses of electricity in the system.</v>
      </c>
      <c r="HU14" s="1144" t="str">
        <f t="shared" si="1"/>
        <v>Production mix of photovoltaic electricity in the country. Annual output, Roof-Top: 944, Annual output, Facade: 661 kWh/kWp, Annual output, centralized PV systems: 1001 kWh/kWp. Amount of solar energy transformed to electricity. Waste heat emission due to losses of electricity in the system.</v>
      </c>
      <c r="HV14" s="1144" t="str">
        <f t="shared" si="1"/>
        <v>Production mix of photovoltaic electricity in the country. Annual output, Roof-Top: 922, Annual output, Facade: 645 kWh/kWp, Annual output, centralized PV systems: 978 kWh/kWp. Amount of solar energy transformed to electricity. Waste heat emission due to losses of electricity in the system.</v>
      </c>
      <c r="HW14" s="1144" t="str">
        <f t="shared" si="1"/>
        <v>Production mix of photovoltaic electricity in the country. Annual output, Roof-Top: 957, Annual output, Facade: 670 kWh/kWp, Annual output, centralized PV systems: 1014 kWh/kWp. Amount of solar energy transformed to electricity. Waste heat emission due to losses of electricity in the system.</v>
      </c>
      <c r="HX14" s="1144" t="str">
        <f t="shared" si="1"/>
        <v>Production mix of photovoltaic electricity in the country. Annual output, Roof-Top: 1433, Annual output, Facade: 1003 kWh/kWp, Annual output, centralized PV systems: 1519 kWh/kWp. Amount of solar energy transformed to electricity. Waste heat emission due to losses of electricity in the system.</v>
      </c>
      <c r="HY14" s="1144" t="str">
        <f t="shared" si="1"/>
        <v>Production mix of photovoltaic electricity in the country. Annual output, Roof-Top: 850, Annual output, Facade: 595 kWh/kWp, Annual output, centralized PV systems: 902 kWh/kWp. Amount of solar energy transformed to electricity. Waste heat emission due to losses of electricity in the system.</v>
      </c>
      <c r="HZ14" s="1144" t="str">
        <f t="shared" si="1"/>
        <v>Production mix of photovoltaic electricity in the country. Annual output, Roof-Top: 1076, Annual output, Facade: 753 kWh/kWp, Annual output, centralized PV systems: 1140 kWh/kWp. Amount of solar energy transformed to electricity. Waste heat emission due to losses of electricity in the system.</v>
      </c>
      <c r="IA14" s="1144" t="str">
        <f t="shared" si="1"/>
        <v>Production mix of photovoltaic electricity in the country. Annual output, Roof-Top: 884, Annual output, Facade: 619 kWh/kWp, Annual output, centralized PV systems: 937 kWh/kWp. Amount of solar energy transformed to electricity. Waste heat emission due to losses of electricity in the system.</v>
      </c>
      <c r="IB14" s="1144" t="str">
        <f t="shared" si="1"/>
        <v>Production mix of photovoltaic electricity in the country. Annual output, Roof-Top: 1323, Annual output, Facade: 926 kWh/kWp, Annual output, centralized PV systems: 1402 kWh/kWp. Amount of solar energy transformed to electricity. Waste heat emission due to losses of electricity in the system.</v>
      </c>
      <c r="IC14" s="1144" t="str">
        <f t="shared" si="1"/>
        <v>Production mix of photovoltaic electricity in the country. Annual output, Roof-Top: 1090, Annual output, Facade: 763 kWh/kWp, Annual output, centralized PV systems: 1156 kWh/kWp. Amount of solar energy transformed to electricity. Waste heat emission due to losses of electricity in the system.</v>
      </c>
      <c r="ID14" s="1144" t="str">
        <f t="shared" si="1"/>
        <v>Production mix of photovoltaic electricity in the country. Annual output, Roof-Top: 796, Annual output, Facade: 557 kWh/kWp, Annual output, centralized PV systems: 844 kWh/kWp. Amount of solar energy transformed to electricity. Waste heat emission due to losses of electricity in the system.</v>
      </c>
      <c r="IE14" s="1144" t="str">
        <f t="shared" si="1"/>
        <v>Production mix of photovoltaic electricity in the country. Annual output, Roof-Top: 1051, Annual output, Facade: 735 kWh/kWp, Annual output, centralized PV systems: 1114 kWh/kWp. Amount of solar energy transformed to electricity. Waste heat emission due to losses of electricity in the system.</v>
      </c>
      <c r="IF14" s="1144" t="str">
        <f t="shared" si="1"/>
        <v>Production mix of photovoltaic electricity in the country. Annual output, Roof-Top: 1078, Annual output, Facade: 754 kWh/kWp, Annual output, centralized PV systems: 1143 kWh/kWp. Amount of solar energy transformed to electricity. Waste heat emission due to losses of electricity in the system.</v>
      </c>
      <c r="IG14" s="1144" t="str">
        <f t="shared" si="1"/>
        <v>Production mix of photovoltaic electricity in the country. Annual output, Roof-Top: 857, Annual output, Facade: 600 kWh/kWp, Annual output, centralized PV systems: 908 kWh/kWp. Amount of solar energy transformed to electricity. Waste heat emission due to losses of electricity in the system.</v>
      </c>
      <c r="IH14" s="1144" t="str">
        <f t="shared" si="1"/>
        <v>Production mix of photovoltaic electricity in the country. Annual output, Roof-Top: 848, Annual output, Facade: 593 kWh/kWp, Annual output, centralized PV systems: 899 kWh/kWp. Amount of solar energy transformed to electricity. Waste heat emission due to losses of electricity in the system.</v>
      </c>
      <c r="II14" s="1144" t="str">
        <f t="shared" si="1"/>
        <v>Production mix of photovoltaic electricity in the country. Annual output, Roof-Top: 764, Annual output, Facade: 535 kWh/kWp, Annual output, centralized PV systems: 810 kWh/kWp. Amount of solar energy transformed to electricity. Waste heat emission due to losses of electricity in the system.</v>
      </c>
      <c r="IJ14" s="1144" t="str">
        <f t="shared" si="1"/>
        <v>Production mix of photovoltaic electricity in the country. Annual output, Roof-Top: 1444, Annual output, Facade: 1011 kWh/kWp, Annual output, centralized PV systems: 1461 kWh/kWp. Amount of solar energy transformed to electricity. Waste heat emission due to losses of electricity in the system.</v>
      </c>
      <c r="IK14" s="1144" t="str">
        <f t="shared" si="1"/>
        <v>Production mix of photovoltaic electricity in the country. Annual output, Roof-Top: 1369, Annual output, Facade: 958 kWh/kWp, Annual output, centralized PV systems: 1451 kWh/kWp. Amount of solar energy transformed to electricity. Waste heat emission due to losses of electricity in the system.</v>
      </c>
      <c r="IL14" s="1144" t="str">
        <f t="shared" si="1"/>
        <v>Production mix of photovoltaic electricity in the country. Annual output, Roof-Top: 850, Annual output, Facade: 595 kWh/kWp, Annual output, centralized PV systems: 902 kWh/kWp. Amount of solar energy transformed to electricity. Waste heat emission due to losses of electricity in the system.</v>
      </c>
      <c r="IM14" s="1144" t="str">
        <f t="shared" si="1"/>
        <v>Production mix of photovoltaic electricity in the country. Annual output, Roof-Top: 1200, Annual output, Facade: 840 kWh/kWp, Annual output, centralized PV systems: 1272 kWh/kWp. Amount of solar energy transformed to electricity. Waste heat emission due to losses of electricity in the system.</v>
      </c>
      <c r="IN14" s="1144" t="str">
        <f t="shared" si="1"/>
        <v>Production mix of photovoltaic electricity in the country. Annual output, Roof-Top: 1453, Annual output, Facade: 1017 kWh/kWp, Annual output, centralized PV systems: 1541 kWh/kWp. Amount of solar energy transformed to electricity. Waste heat emission due to losses of electricity in the system.</v>
      </c>
      <c r="IO14" s="1144" t="str">
        <f t="shared" si="1"/>
        <v>Production mix of photovoltaic electricity in the country. Annual output, Roof-Top: 1612, Annual output, Facade: 1128 kWh/kWp, Annual output, centralized PV systems: 1709 kWh/kWp. Amount of solar energy transformed to electricity. Waste heat emission due to losses of electricity in the system.</v>
      </c>
      <c r="IP14" s="1144" t="str">
        <f t="shared" si="1"/>
        <v>Production mix of photovoltaic electricity in the country. Annual output, Roof-Top: 1603, Annual output, Facade: 1122 kWh/kWp, Annual output, centralized PV systems: 1699 kWh/kWp. Amount of solar energy transformed to electricity. Waste heat emission due to losses of electricity in the system.</v>
      </c>
      <c r="IQ14" s="1144" t="str">
        <f t="shared" si="1"/>
        <v>Production mix of photovoltaic electricity in the country. Annual output, Roof-Top: 907, Annual output, Facade: 635 kWh/kWp, Annual output, centralized PV systems: 961 kWh/kWp. Amount of solar energy transformed to electricity. Waste heat emission due to losses of electricity in the system.</v>
      </c>
      <c r="IR14" s="1144" t="str">
        <f t="shared" si="1"/>
        <v>Production mix of photovoltaic electricity in the country. Annual output, Roof-Top: 1627, Annual output, Facade: 1139 kWh/kWp, Annual output, centralized PV systems: 1725 kWh/kWp. Amount of solar energy transformed to electricity. Waste heat emission due to losses of electricity in the system.</v>
      </c>
      <c r="IS14" s="1144" t="str">
        <f t="shared" si="1"/>
        <v>Production mix of photovoltaic electricity in the country. Annual output, Roof-Top: 1266, Annual output, Facade: 886 kWh/kWp, Annual output, centralized PV systems: 1342 kWh/kWp. Amount of solar energy transformed to electricity. Waste heat emission due to losses of electricity in the system.</v>
      </c>
      <c r="IT14" s="1144" t="str">
        <f t="shared" si="1"/>
        <v>Production mix of photovoltaic electricity in the country. Annual output, Roof-Top: 1706, Annual output, Facade: 1194 kWh/kWp, Annual output, centralized PV systems: 1808 kWh/kWp. Amount of solar energy transformed to electricity. Waste heat emission due to losses of electricity in the system.</v>
      </c>
      <c r="IU14" s="1144" t="str">
        <f t="shared" si="1"/>
        <v>Production mix of photovoltaic electricity in the country. Annual output, Roof-Top: 1464, Annual output, Facade: 1025 kWh/kWp, Annual output, centralized PV systems: 1552 kWh/kWp. Amount of solar energy transformed to electricity. Waste heat emission due to losses of electricity in the system.</v>
      </c>
      <c r="IV14" s="1144" t="s">
        <v>2475</v>
      </c>
      <c r="IW14" s="1144" t="s">
        <v>2476</v>
      </c>
      <c r="IX14" s="1144" t="s">
        <v>2476</v>
      </c>
      <c r="IY14" s="1144" t="s">
        <v>2477</v>
      </c>
      <c r="IZ14" s="1144" t="s">
        <v>2478</v>
      </c>
      <c r="JA14" s="1144" t="s">
        <v>2479</v>
      </c>
      <c r="JB14" s="1144" t="s">
        <v>2480</v>
      </c>
      <c r="JC14" s="1144" t="s">
        <v>2481</v>
      </c>
      <c r="JD14" s="1146"/>
      <c r="JE14" s="1144" t="s">
        <v>2482</v>
      </c>
      <c r="JF14" s="1144" t="s">
        <v>2482</v>
      </c>
      <c r="JG14" s="1144" t="s">
        <v>2482</v>
      </c>
      <c r="JH14" s="1144" t="s">
        <v>2482</v>
      </c>
      <c r="JI14" s="1144" t="s">
        <v>2483</v>
      </c>
      <c r="JJ14" s="1144" t="s">
        <v>2484</v>
      </c>
      <c r="JK14" s="1144" t="s">
        <v>2485</v>
      </c>
      <c r="JL14" s="1144" t="s">
        <v>2426</v>
      </c>
      <c r="JM14" s="1144" t="s">
        <v>2426</v>
      </c>
      <c r="JN14" s="1144" t="s">
        <v>2426</v>
      </c>
      <c r="JO14" s="1144" t="str">
        <f>JN14</f>
        <v>Cleaning, damage etching, texture etching, covering of backside, phosphor dotation, phosphor glass etching, printing of contacts, cleaning and quality testing.</v>
      </c>
      <c r="JP14" s="1144" t="s">
        <v>2486</v>
      </c>
      <c r="JQ14" s="1144" t="s">
        <v>2487</v>
      </c>
      <c r="JR14" s="1144" t="s">
        <v>2488</v>
      </c>
      <c r="JS14" s="1144" t="s">
        <v>2488</v>
      </c>
      <c r="JT14" s="1144" t="s">
        <v>2488</v>
      </c>
      <c r="JU14" s="1144" t="s">
        <v>2488</v>
      </c>
      <c r="JV14" s="1144" t="s">
        <v>2489</v>
      </c>
      <c r="JW14" s="1144" t="s">
        <v>2489</v>
      </c>
      <c r="JX14" s="1144" t="s">
        <v>2489</v>
      </c>
      <c r="JY14" s="1144" t="s">
        <v>2489</v>
      </c>
      <c r="JZ14" s="1144" t="s">
        <v>2490</v>
      </c>
      <c r="KA14" s="1144" t="s">
        <v>2491</v>
      </c>
      <c r="KB14" s="1144" t="s">
        <v>2492</v>
      </c>
      <c r="KC14" s="1144" t="s">
        <v>2493</v>
      </c>
      <c r="KD14" s="1144" t="s">
        <v>2443</v>
      </c>
      <c r="KE14" s="1144" t="s">
        <v>2443</v>
      </c>
    </row>
    <row r="15" spans="1:291" outlineLevel="1">
      <c r="A15" s="78"/>
      <c r="B15" s="83">
        <v>404</v>
      </c>
      <c r="C15" s="437" t="s">
        <v>2494</v>
      </c>
      <c r="D15" s="1144">
        <v>1</v>
      </c>
      <c r="E15" s="1144">
        <v>1</v>
      </c>
      <c r="F15" s="1144">
        <v>1</v>
      </c>
      <c r="G15" s="1144">
        <v>1</v>
      </c>
      <c r="H15" s="1144">
        <v>1</v>
      </c>
      <c r="I15" s="1144">
        <v>1</v>
      </c>
      <c r="J15" s="1144">
        <v>1</v>
      </c>
      <c r="K15" s="1144">
        <v>1</v>
      </c>
      <c r="L15" s="1144">
        <v>1</v>
      </c>
      <c r="M15" s="1144">
        <v>1</v>
      </c>
      <c r="N15" s="1144">
        <v>1</v>
      </c>
      <c r="O15" s="1144">
        <v>1</v>
      </c>
      <c r="P15" s="1144">
        <v>1</v>
      </c>
      <c r="Q15" s="1144">
        <v>1</v>
      </c>
      <c r="R15" s="1144">
        <v>1</v>
      </c>
      <c r="S15" s="1144">
        <v>1</v>
      </c>
      <c r="T15" s="1144">
        <v>1</v>
      </c>
      <c r="U15" s="1144">
        <v>1</v>
      </c>
      <c r="V15" s="1144">
        <v>1</v>
      </c>
      <c r="W15" s="1144">
        <v>1</v>
      </c>
      <c r="X15" s="1144">
        <v>1</v>
      </c>
      <c r="Y15" s="1144">
        <v>1</v>
      </c>
      <c r="Z15" s="1144">
        <v>1</v>
      </c>
      <c r="AA15" s="1144">
        <v>1</v>
      </c>
      <c r="AB15" s="1144">
        <v>1</v>
      </c>
      <c r="AC15" s="1144">
        <v>1</v>
      </c>
      <c r="AD15" s="1144">
        <v>1</v>
      </c>
      <c r="AE15" s="1144">
        <v>1</v>
      </c>
      <c r="AF15" s="1144">
        <v>1</v>
      </c>
      <c r="AG15" s="1144">
        <v>1</v>
      </c>
      <c r="AH15" s="1144">
        <v>1</v>
      </c>
      <c r="AI15" s="1144">
        <v>1</v>
      </c>
      <c r="AJ15" s="1144">
        <v>1</v>
      </c>
      <c r="AK15" s="1144">
        <v>1</v>
      </c>
      <c r="AL15" s="1144">
        <v>1</v>
      </c>
      <c r="AM15" s="1144">
        <v>1</v>
      </c>
      <c r="AN15" s="1144">
        <v>1</v>
      </c>
      <c r="AO15" s="1144">
        <v>1</v>
      </c>
      <c r="AP15" s="1144">
        <v>1</v>
      </c>
      <c r="AQ15" s="1144">
        <v>1</v>
      </c>
      <c r="AR15" s="1144">
        <v>1</v>
      </c>
      <c r="AS15" s="1144">
        <v>1</v>
      </c>
      <c r="AT15" s="1144">
        <v>1</v>
      </c>
      <c r="AU15" s="1144">
        <v>1</v>
      </c>
      <c r="AV15" s="1144">
        <v>1</v>
      </c>
      <c r="AW15" s="1144">
        <v>1</v>
      </c>
      <c r="AX15" s="1144">
        <v>1</v>
      </c>
      <c r="AY15" s="1144">
        <v>1</v>
      </c>
      <c r="AZ15" s="1144">
        <v>1</v>
      </c>
      <c r="BA15" s="1144">
        <v>1</v>
      </c>
      <c r="BB15" s="1144">
        <v>1</v>
      </c>
      <c r="BC15" s="1144">
        <v>1</v>
      </c>
      <c r="BD15" s="1144">
        <v>1</v>
      </c>
      <c r="BE15" s="1144">
        <v>1</v>
      </c>
      <c r="BF15" s="1144">
        <v>1</v>
      </c>
      <c r="BG15" s="1144">
        <v>1</v>
      </c>
      <c r="BH15" s="1144">
        <v>1</v>
      </c>
      <c r="BI15" s="1144">
        <v>1</v>
      </c>
      <c r="BJ15" s="1144">
        <v>1</v>
      </c>
      <c r="BK15" s="1144">
        <v>1</v>
      </c>
      <c r="BL15" s="1145">
        <v>1</v>
      </c>
      <c r="BM15" s="1145">
        <v>1</v>
      </c>
      <c r="BN15" s="1144">
        <v>1</v>
      </c>
      <c r="BO15" s="1144">
        <v>1</v>
      </c>
      <c r="BP15" s="1144">
        <v>1</v>
      </c>
      <c r="BQ15" s="1144">
        <v>1</v>
      </c>
      <c r="BR15" s="1144">
        <v>1</v>
      </c>
      <c r="BS15" s="1144">
        <v>1</v>
      </c>
      <c r="BT15" s="1144">
        <v>1</v>
      </c>
      <c r="BU15" s="1144">
        <v>1</v>
      </c>
      <c r="BV15" s="1144">
        <v>1</v>
      </c>
      <c r="BW15" s="1144">
        <v>1</v>
      </c>
      <c r="BX15" s="1144">
        <v>1</v>
      </c>
      <c r="BY15" s="1144">
        <v>1</v>
      </c>
      <c r="BZ15" s="1144">
        <v>1</v>
      </c>
      <c r="CA15" s="1144">
        <v>1</v>
      </c>
      <c r="CB15" s="1144">
        <v>1</v>
      </c>
      <c r="CC15" s="1144">
        <v>1</v>
      </c>
      <c r="CD15" s="1144">
        <v>1</v>
      </c>
      <c r="CE15" s="1144">
        <v>1</v>
      </c>
      <c r="CF15" s="1144">
        <v>1</v>
      </c>
      <c r="CG15" s="1144">
        <v>1</v>
      </c>
      <c r="CH15" s="1144">
        <v>1</v>
      </c>
      <c r="CI15" s="1144">
        <v>1</v>
      </c>
      <c r="CJ15" s="1144">
        <v>1</v>
      </c>
      <c r="CK15" s="1144">
        <v>1</v>
      </c>
      <c r="CL15" s="1144">
        <v>1</v>
      </c>
      <c r="CM15" s="1144">
        <v>1</v>
      </c>
      <c r="CN15" s="1144">
        <v>1</v>
      </c>
      <c r="CO15" s="1144">
        <v>1</v>
      </c>
      <c r="CP15" s="1144">
        <v>1</v>
      </c>
      <c r="CQ15" s="1144">
        <v>1</v>
      </c>
      <c r="CR15" s="1144">
        <v>1</v>
      </c>
      <c r="CS15" s="1144">
        <v>1</v>
      </c>
      <c r="CT15" s="1144">
        <v>1</v>
      </c>
      <c r="CU15" s="1144">
        <v>1</v>
      </c>
      <c r="CV15" s="1144">
        <v>1</v>
      </c>
      <c r="CW15" s="1144">
        <v>1</v>
      </c>
      <c r="CX15" s="1144">
        <v>1</v>
      </c>
      <c r="CY15" s="1144">
        <v>1</v>
      </c>
      <c r="CZ15" s="1144">
        <v>1</v>
      </c>
      <c r="DA15" s="1144">
        <v>1</v>
      </c>
      <c r="DB15" s="1144">
        <v>1</v>
      </c>
      <c r="DC15" s="1144">
        <v>1</v>
      </c>
      <c r="DD15" s="1144">
        <v>1</v>
      </c>
      <c r="DE15" s="1144">
        <v>1</v>
      </c>
      <c r="DF15" s="1144">
        <v>1</v>
      </c>
      <c r="DG15" s="1144">
        <v>1</v>
      </c>
      <c r="DH15" s="1144">
        <v>1</v>
      </c>
      <c r="DI15" s="1144">
        <v>1</v>
      </c>
      <c r="DJ15" s="1144">
        <v>1</v>
      </c>
      <c r="DK15" s="1144">
        <v>1</v>
      </c>
      <c r="DL15" s="1144">
        <v>1</v>
      </c>
      <c r="DM15" s="1144">
        <v>1</v>
      </c>
      <c r="DN15" s="1144">
        <v>1</v>
      </c>
      <c r="DO15" s="1144">
        <v>1</v>
      </c>
      <c r="DP15" s="1144">
        <v>1</v>
      </c>
      <c r="DQ15" s="1144">
        <v>1</v>
      </c>
      <c r="DR15" s="1144">
        <v>1</v>
      </c>
      <c r="DS15" s="1145">
        <v>1</v>
      </c>
      <c r="DT15" s="1145">
        <v>1</v>
      </c>
      <c r="DU15" s="1144">
        <v>1</v>
      </c>
      <c r="DV15" s="1145">
        <v>1</v>
      </c>
      <c r="DW15" s="1144">
        <v>1</v>
      </c>
      <c r="DX15" s="1145">
        <v>1</v>
      </c>
      <c r="DY15" s="1144">
        <v>1</v>
      </c>
      <c r="DZ15" s="1144">
        <v>1</v>
      </c>
      <c r="EA15" s="1145">
        <v>1</v>
      </c>
      <c r="EB15" s="1144">
        <v>1</v>
      </c>
      <c r="EC15" s="1144">
        <v>1</v>
      </c>
      <c r="ED15" s="1144">
        <v>1</v>
      </c>
      <c r="EE15" s="1144">
        <v>1</v>
      </c>
      <c r="EF15" s="1144">
        <v>1</v>
      </c>
      <c r="EG15" s="1144">
        <v>1</v>
      </c>
      <c r="EH15" s="1144">
        <v>1</v>
      </c>
      <c r="EI15" s="1144">
        <v>1</v>
      </c>
      <c r="EJ15" s="1144">
        <v>1</v>
      </c>
      <c r="EK15" s="1144">
        <v>1</v>
      </c>
      <c r="EL15" s="1144">
        <v>1</v>
      </c>
      <c r="EM15" s="1144">
        <v>1</v>
      </c>
      <c r="EN15" s="1144">
        <v>1</v>
      </c>
      <c r="EO15" s="1144">
        <v>1</v>
      </c>
      <c r="EP15" s="1144">
        <v>1</v>
      </c>
      <c r="EQ15" s="1144">
        <v>1</v>
      </c>
      <c r="ER15" s="1144">
        <v>1</v>
      </c>
      <c r="ES15" s="1144">
        <v>1</v>
      </c>
      <c r="ET15" s="1144">
        <v>1</v>
      </c>
      <c r="EU15" s="1144">
        <v>1</v>
      </c>
      <c r="EV15" s="1144">
        <v>1</v>
      </c>
      <c r="EW15" s="1144">
        <v>1</v>
      </c>
      <c r="EX15" s="1144">
        <v>1</v>
      </c>
      <c r="EY15" s="1144">
        <v>1</v>
      </c>
      <c r="EZ15" s="1144">
        <v>1</v>
      </c>
      <c r="FA15" s="1144">
        <v>1</v>
      </c>
      <c r="FB15" s="1144">
        <v>1</v>
      </c>
      <c r="FC15" s="1144">
        <v>1</v>
      </c>
      <c r="FD15" s="1144">
        <v>1</v>
      </c>
      <c r="FE15" s="1144">
        <v>1</v>
      </c>
      <c r="FF15" s="1144">
        <v>1</v>
      </c>
      <c r="FG15" s="1144">
        <v>1</v>
      </c>
      <c r="FH15" s="1144">
        <v>1</v>
      </c>
      <c r="FI15" s="1144">
        <v>1</v>
      </c>
      <c r="FJ15" s="1144">
        <v>1</v>
      </c>
      <c r="FK15" s="1144">
        <v>1</v>
      </c>
      <c r="FL15" s="1144">
        <v>1</v>
      </c>
      <c r="FM15" s="1144">
        <v>1</v>
      </c>
      <c r="FN15" s="1144">
        <v>1</v>
      </c>
      <c r="FO15" s="1144">
        <v>1</v>
      </c>
      <c r="FP15" s="1144">
        <v>1</v>
      </c>
      <c r="FQ15" s="1144">
        <v>1</v>
      </c>
      <c r="FR15" s="1144">
        <v>1</v>
      </c>
      <c r="FS15" s="1144">
        <v>1</v>
      </c>
      <c r="FT15" s="1145">
        <v>1</v>
      </c>
      <c r="FU15" s="1145">
        <v>1</v>
      </c>
      <c r="FV15" s="1145">
        <v>1</v>
      </c>
      <c r="FW15" s="1144">
        <v>1</v>
      </c>
      <c r="FX15" s="1144">
        <v>1</v>
      </c>
      <c r="FY15" s="1144">
        <v>1</v>
      </c>
      <c r="FZ15" s="1144">
        <v>1</v>
      </c>
      <c r="GA15" s="1144">
        <v>1</v>
      </c>
      <c r="GB15" s="1144">
        <v>1</v>
      </c>
      <c r="GC15" s="1144">
        <v>1</v>
      </c>
      <c r="GD15" s="1144">
        <v>1</v>
      </c>
      <c r="GE15" s="1144">
        <v>1</v>
      </c>
      <c r="GF15" s="1144">
        <v>1</v>
      </c>
      <c r="GG15" s="1144">
        <v>1</v>
      </c>
      <c r="GH15" s="1144">
        <v>1</v>
      </c>
      <c r="GI15" s="1144">
        <v>1</v>
      </c>
      <c r="GJ15" s="1144">
        <v>1</v>
      </c>
      <c r="GK15" s="1144">
        <v>1</v>
      </c>
      <c r="GL15" s="1144">
        <v>1</v>
      </c>
      <c r="GM15" s="1144">
        <v>1</v>
      </c>
      <c r="GN15" s="1144">
        <v>1</v>
      </c>
      <c r="GO15" s="1144">
        <v>1</v>
      </c>
      <c r="GP15" s="1144">
        <v>1</v>
      </c>
      <c r="GQ15" s="1144">
        <v>1</v>
      </c>
      <c r="GR15" s="1144">
        <v>1</v>
      </c>
      <c r="GS15" s="1144">
        <v>1</v>
      </c>
      <c r="GT15" s="1144">
        <v>1</v>
      </c>
      <c r="GU15" s="1144">
        <v>1</v>
      </c>
      <c r="GV15" s="1144">
        <v>1</v>
      </c>
      <c r="GW15" s="1144">
        <v>1</v>
      </c>
      <c r="GX15" s="1144">
        <v>1</v>
      </c>
      <c r="GY15" s="1144">
        <v>1</v>
      </c>
      <c r="GZ15" s="1144">
        <v>1</v>
      </c>
      <c r="HA15" s="1144">
        <v>1</v>
      </c>
      <c r="HB15" s="1144">
        <v>1</v>
      </c>
      <c r="HC15" s="1144">
        <v>1</v>
      </c>
      <c r="HD15" s="1144">
        <v>1</v>
      </c>
      <c r="HE15" s="1144">
        <v>1</v>
      </c>
      <c r="HF15" s="1144">
        <v>1</v>
      </c>
      <c r="HG15" s="1144">
        <v>1</v>
      </c>
      <c r="HH15" s="1144">
        <v>1</v>
      </c>
      <c r="HI15" s="1144">
        <v>1</v>
      </c>
      <c r="HJ15" s="1144">
        <v>1</v>
      </c>
      <c r="HK15" s="1144">
        <v>1</v>
      </c>
      <c r="HL15" s="1144">
        <v>1</v>
      </c>
      <c r="HM15" s="1144">
        <v>1</v>
      </c>
      <c r="HN15" s="1144">
        <v>1</v>
      </c>
      <c r="HO15" s="1144">
        <v>1</v>
      </c>
      <c r="HP15" s="1144">
        <v>1</v>
      </c>
      <c r="HQ15" s="1144">
        <v>1</v>
      </c>
      <c r="HR15" s="1144">
        <v>1</v>
      </c>
      <c r="HS15" s="1144">
        <v>1</v>
      </c>
      <c r="HT15" s="1144">
        <v>1</v>
      </c>
      <c r="HU15" s="1144">
        <v>1</v>
      </c>
      <c r="HV15" s="1144">
        <v>1</v>
      </c>
      <c r="HW15" s="1144">
        <v>1</v>
      </c>
      <c r="HX15" s="1144">
        <v>1</v>
      </c>
      <c r="HY15" s="1144">
        <v>1</v>
      </c>
      <c r="HZ15" s="1144">
        <v>1</v>
      </c>
      <c r="IA15" s="1144">
        <v>1</v>
      </c>
      <c r="IB15" s="1144">
        <v>1</v>
      </c>
      <c r="IC15" s="1144">
        <v>1</v>
      </c>
      <c r="ID15" s="1144">
        <v>1</v>
      </c>
      <c r="IE15" s="1144">
        <v>1</v>
      </c>
      <c r="IF15" s="1144">
        <v>1</v>
      </c>
      <c r="IG15" s="1144">
        <v>1</v>
      </c>
      <c r="IH15" s="1144">
        <v>1</v>
      </c>
      <c r="II15" s="1144">
        <v>1</v>
      </c>
      <c r="IJ15" s="1144">
        <v>1</v>
      </c>
      <c r="IK15" s="1144">
        <v>1</v>
      </c>
      <c r="IL15" s="1144">
        <v>1</v>
      </c>
      <c r="IM15" s="1144">
        <v>1</v>
      </c>
      <c r="IN15" s="1144">
        <v>1</v>
      </c>
      <c r="IO15" s="1144">
        <v>1</v>
      </c>
      <c r="IP15" s="1144">
        <v>1</v>
      </c>
      <c r="IQ15" s="1144">
        <v>1</v>
      </c>
      <c r="IR15" s="1144">
        <v>1</v>
      </c>
      <c r="IS15" s="1144">
        <v>1</v>
      </c>
      <c r="IT15" s="1144">
        <v>1</v>
      </c>
      <c r="IU15" s="1144">
        <v>1</v>
      </c>
      <c r="IV15" s="1144">
        <v>1</v>
      </c>
      <c r="IW15" s="1144">
        <v>1</v>
      </c>
      <c r="IX15" s="1144">
        <v>1</v>
      </c>
      <c r="IY15" s="1144">
        <v>1</v>
      </c>
      <c r="IZ15" s="1144">
        <v>1</v>
      </c>
      <c r="JA15" s="1144">
        <v>1</v>
      </c>
      <c r="JB15" s="1144">
        <v>1</v>
      </c>
      <c r="JC15" s="1144">
        <v>1</v>
      </c>
      <c r="JD15" s="1146"/>
      <c r="JE15" s="1144">
        <v>1</v>
      </c>
      <c r="JF15" s="1144">
        <v>1</v>
      </c>
      <c r="JG15" s="1144">
        <v>1</v>
      </c>
      <c r="JH15" s="1144">
        <v>1</v>
      </c>
      <c r="JI15" s="1144">
        <v>1</v>
      </c>
      <c r="JJ15" s="1144">
        <v>1</v>
      </c>
      <c r="JK15" s="1144">
        <v>1</v>
      </c>
      <c r="JL15" s="1144">
        <v>1</v>
      </c>
      <c r="JM15" s="1144">
        <v>1</v>
      </c>
      <c r="JN15" s="1144">
        <v>1</v>
      </c>
      <c r="JO15" s="1144">
        <v>1</v>
      </c>
      <c r="JP15" s="1144">
        <v>1</v>
      </c>
      <c r="JQ15" s="1144">
        <v>1</v>
      </c>
      <c r="JR15" s="1144">
        <v>1</v>
      </c>
      <c r="JS15" s="1144">
        <v>1</v>
      </c>
      <c r="JT15" s="1144">
        <v>1</v>
      </c>
      <c r="JU15" s="1144">
        <v>1</v>
      </c>
      <c r="JV15" s="1144">
        <v>1</v>
      </c>
      <c r="JW15" s="1144">
        <v>1</v>
      </c>
      <c r="JX15" s="1144">
        <v>1</v>
      </c>
      <c r="JY15" s="1144">
        <v>1</v>
      </c>
      <c r="JZ15" s="1144">
        <v>1</v>
      </c>
      <c r="KA15" s="1144">
        <v>1</v>
      </c>
      <c r="KB15" s="1144">
        <v>1</v>
      </c>
      <c r="KC15" s="1144">
        <v>1</v>
      </c>
      <c r="KD15" s="1144">
        <v>1</v>
      </c>
      <c r="KE15" s="1144">
        <v>1</v>
      </c>
    </row>
    <row r="16" spans="1:291" ht="48" customHeight="1">
      <c r="A16" s="78"/>
      <c r="B16" s="83">
        <v>490</v>
      </c>
      <c r="C16" s="437" t="s">
        <v>2495</v>
      </c>
      <c r="D16" s="1144" t="s">
        <v>2496</v>
      </c>
      <c r="E16" s="1144" t="s">
        <v>2496</v>
      </c>
      <c r="F16" s="1144" t="s">
        <v>2496</v>
      </c>
      <c r="G16" s="1144" t="s">
        <v>2496</v>
      </c>
      <c r="H16" s="1144" t="s">
        <v>2497</v>
      </c>
      <c r="I16" s="1144" t="s">
        <v>2497</v>
      </c>
      <c r="J16" s="1144" t="s">
        <v>2497</v>
      </c>
      <c r="K16" s="1144" t="s">
        <v>2497</v>
      </c>
      <c r="L16" s="1144" t="s">
        <v>435</v>
      </c>
      <c r="M16" s="1144" t="s">
        <v>436</v>
      </c>
      <c r="N16" s="1144" t="s">
        <v>437</v>
      </c>
      <c r="O16" s="1144" t="s">
        <v>438</v>
      </c>
      <c r="P16" s="1144" t="s">
        <v>439</v>
      </c>
      <c r="Q16" s="1144" t="s">
        <v>440</v>
      </c>
      <c r="R16" s="1144" t="s">
        <v>441</v>
      </c>
      <c r="S16" s="1144" t="s">
        <v>442</v>
      </c>
      <c r="T16" s="1144" t="s">
        <v>443</v>
      </c>
      <c r="U16" s="1144" t="s">
        <v>444</v>
      </c>
      <c r="V16" s="1144" t="s">
        <v>549</v>
      </c>
      <c r="W16" s="1144" t="s">
        <v>552</v>
      </c>
      <c r="X16" s="1144" t="s">
        <v>551</v>
      </c>
      <c r="Y16" s="1144" t="s">
        <v>550</v>
      </c>
      <c r="Z16" s="1144" t="s">
        <v>574</v>
      </c>
      <c r="AA16" s="1144" t="s">
        <v>575</v>
      </c>
      <c r="AB16" s="1144" t="s">
        <v>576</v>
      </c>
      <c r="AC16" s="1144" t="s">
        <v>577</v>
      </c>
      <c r="AD16" s="1144" t="s">
        <v>624</v>
      </c>
      <c r="AE16" s="1144" t="s">
        <v>625</v>
      </c>
      <c r="AF16" s="1144" t="s">
        <v>626</v>
      </c>
      <c r="AG16" s="1144" t="s">
        <v>627</v>
      </c>
      <c r="AH16" s="1144" t="s">
        <v>2498</v>
      </c>
      <c r="AI16" s="1144" t="s">
        <v>2498</v>
      </c>
      <c r="AJ16" s="1144" t="s">
        <v>2498</v>
      </c>
      <c r="AK16" s="1144" t="s">
        <v>2498</v>
      </c>
      <c r="AL16" s="1144" t="s">
        <v>794</v>
      </c>
      <c r="AM16" s="1144" t="s">
        <v>795</v>
      </c>
      <c r="AN16" s="1144" t="s">
        <v>796</v>
      </c>
      <c r="AO16" s="1144" t="s">
        <v>797</v>
      </c>
      <c r="AP16" s="1144" t="s">
        <v>798</v>
      </c>
      <c r="AQ16" s="1144" t="s">
        <v>799</v>
      </c>
      <c r="AR16" s="1144" t="s">
        <v>800</v>
      </c>
      <c r="AS16" s="1144" t="s">
        <v>801</v>
      </c>
      <c r="AT16" s="1144" t="s">
        <v>802</v>
      </c>
      <c r="AU16" s="1144" t="s">
        <v>803</v>
      </c>
      <c r="AV16" s="1144" t="s">
        <v>884</v>
      </c>
      <c r="AW16" s="1144" t="s">
        <v>885</v>
      </c>
      <c r="AX16" s="1144" t="s">
        <v>886</v>
      </c>
      <c r="AY16" s="1144" t="s">
        <v>887</v>
      </c>
      <c r="AZ16" s="1144" t="s">
        <v>888</v>
      </c>
      <c r="BA16" s="1144" t="s">
        <v>889</v>
      </c>
      <c r="BB16" s="1144" t="s">
        <v>1032</v>
      </c>
      <c r="BC16" s="1144" t="s">
        <v>1033</v>
      </c>
      <c r="BD16" s="1144" t="s">
        <v>1034</v>
      </c>
      <c r="BE16" s="1144" t="s">
        <v>1035</v>
      </c>
      <c r="BF16" s="1144" t="s">
        <v>1036</v>
      </c>
      <c r="BG16" s="1144" t="s">
        <v>1037</v>
      </c>
      <c r="BH16" s="1144" t="s">
        <v>1079</v>
      </c>
      <c r="BI16" s="1144" t="s">
        <v>1080</v>
      </c>
      <c r="BJ16" s="1144" t="s">
        <v>1081</v>
      </c>
      <c r="BK16" s="1144" t="s">
        <v>1082</v>
      </c>
      <c r="BL16" s="1145" t="s">
        <v>1083</v>
      </c>
      <c r="BM16" s="1145" t="s">
        <v>1084</v>
      </c>
      <c r="BN16" s="1144" t="s">
        <v>933</v>
      </c>
      <c r="BO16" s="1144" t="s">
        <v>939</v>
      </c>
      <c r="BP16" s="1144" t="s">
        <v>935</v>
      </c>
      <c r="BQ16" s="1144" t="s">
        <v>937</v>
      </c>
      <c r="BR16" s="1144" t="s">
        <v>932</v>
      </c>
      <c r="BS16" s="1144" t="s">
        <v>938</v>
      </c>
      <c r="BT16" s="1144" t="s">
        <v>934</v>
      </c>
      <c r="BU16" s="1144" t="s">
        <v>936</v>
      </c>
      <c r="BV16" s="1144" t="s">
        <v>940</v>
      </c>
      <c r="BW16" s="1144" t="s">
        <v>941</v>
      </c>
      <c r="BX16" s="1144" t="s">
        <v>1256</v>
      </c>
      <c r="BY16" s="1144" t="s">
        <v>1258</v>
      </c>
      <c r="BZ16" s="1144" t="s">
        <v>1260</v>
      </c>
      <c r="CA16" s="1144" t="s">
        <v>1262</v>
      </c>
      <c r="CB16" s="1144" t="s">
        <v>1126</v>
      </c>
      <c r="CC16" s="1144" t="s">
        <v>1131</v>
      </c>
      <c r="CD16" s="1144" t="s">
        <v>1136</v>
      </c>
      <c r="CE16" s="1144" t="s">
        <v>1141</v>
      </c>
      <c r="CF16" s="1144" t="s">
        <v>1255</v>
      </c>
      <c r="CG16" s="1144" t="s">
        <v>1257</v>
      </c>
      <c r="CH16" s="1144" t="s">
        <v>1259</v>
      </c>
      <c r="CI16" s="1144" t="s">
        <v>1261</v>
      </c>
      <c r="CJ16" s="1144" t="s">
        <v>1263</v>
      </c>
      <c r="CK16" s="1144" t="s">
        <v>1264</v>
      </c>
      <c r="CL16" s="1144" t="s">
        <v>1142</v>
      </c>
      <c r="CM16" s="1144" t="s">
        <v>1143</v>
      </c>
      <c r="CN16" s="1144" t="s">
        <v>1122</v>
      </c>
      <c r="CO16" s="1144" t="s">
        <v>1123</v>
      </c>
      <c r="CP16" s="1144" t="s">
        <v>1124</v>
      </c>
      <c r="CQ16" s="1144" t="s">
        <v>1125</v>
      </c>
      <c r="CR16" s="1144" t="s">
        <v>1127</v>
      </c>
      <c r="CS16" s="1144" t="s">
        <v>1128</v>
      </c>
      <c r="CT16" s="1144" t="s">
        <v>1129</v>
      </c>
      <c r="CU16" s="1144" t="s">
        <v>1130</v>
      </c>
      <c r="CV16" s="1144" t="s">
        <v>1132</v>
      </c>
      <c r="CW16" s="1144" t="s">
        <v>1133</v>
      </c>
      <c r="CX16" s="1144" t="s">
        <v>1134</v>
      </c>
      <c r="CY16" s="1144" t="s">
        <v>1135</v>
      </c>
      <c r="CZ16" s="1144" t="s">
        <v>1137</v>
      </c>
      <c r="DA16" s="1144" t="s">
        <v>1138</v>
      </c>
      <c r="DB16" s="1144" t="s">
        <v>1139</v>
      </c>
      <c r="DC16" s="1144" t="s">
        <v>1140</v>
      </c>
      <c r="DD16" s="1144" t="s">
        <v>2499</v>
      </c>
      <c r="DE16" s="1144" t="s">
        <v>1308</v>
      </c>
      <c r="DF16" s="1144" t="s">
        <v>1309</v>
      </c>
      <c r="DG16" s="1144" t="s">
        <v>2499</v>
      </c>
      <c r="DH16" s="1144" t="s">
        <v>1341</v>
      </c>
      <c r="DI16" s="1144" t="s">
        <v>1342</v>
      </c>
      <c r="DJ16" s="1144" t="s">
        <v>2499</v>
      </c>
      <c r="DK16" s="1144" t="s">
        <v>1348</v>
      </c>
      <c r="DL16" s="1144" t="s">
        <v>1349</v>
      </c>
      <c r="DM16" s="1144" t="s">
        <v>2500</v>
      </c>
      <c r="DN16" s="1144" t="s">
        <v>2501</v>
      </c>
      <c r="DO16" s="1144" t="s">
        <v>2502</v>
      </c>
      <c r="DP16" s="1144" t="s">
        <v>2503</v>
      </c>
      <c r="DQ16" s="1144" t="s">
        <v>2504</v>
      </c>
      <c r="DR16" s="1144" t="s">
        <v>2505</v>
      </c>
      <c r="DS16" s="1145" t="s">
        <v>775</v>
      </c>
      <c r="DT16" s="1145" t="s">
        <v>593</v>
      </c>
      <c r="DU16" s="1144" t="s">
        <v>2506</v>
      </c>
      <c r="DV16" s="1145" t="s">
        <v>781</v>
      </c>
      <c r="DW16" s="1144" t="s">
        <v>2507</v>
      </c>
      <c r="DX16" s="1145" t="s">
        <v>919</v>
      </c>
      <c r="DY16" s="1144" t="s">
        <v>2508</v>
      </c>
      <c r="DZ16" s="1144" t="s">
        <v>2509</v>
      </c>
      <c r="EA16" s="1145" t="s">
        <v>1104</v>
      </c>
      <c r="EB16" s="1144" t="s">
        <v>2510</v>
      </c>
      <c r="EC16" s="1144" t="s">
        <v>2511</v>
      </c>
      <c r="ED16" s="1144" t="s">
        <v>2512</v>
      </c>
      <c r="EE16" s="1144" t="s">
        <v>2513</v>
      </c>
      <c r="EF16" s="1144" t="s">
        <v>2514</v>
      </c>
      <c r="EG16" s="1144" t="s">
        <v>2515</v>
      </c>
      <c r="EH16" s="1144" t="s">
        <v>2515</v>
      </c>
      <c r="EI16" s="1144" t="s">
        <v>2515</v>
      </c>
      <c r="EJ16" s="1144" t="s">
        <v>1412</v>
      </c>
      <c r="EK16" s="1144" t="s">
        <v>1413</v>
      </c>
      <c r="EL16" s="1144" t="s">
        <v>2516</v>
      </c>
      <c r="EM16" s="1144" t="s">
        <v>1448</v>
      </c>
      <c r="EN16" s="1144" t="s">
        <v>2358</v>
      </c>
      <c r="EO16" s="1144" t="s">
        <v>2517</v>
      </c>
      <c r="EP16" s="1144" t="s">
        <v>2518</v>
      </c>
      <c r="EQ16" s="1144" t="s">
        <v>2519</v>
      </c>
      <c r="ER16" s="1144" t="s">
        <v>2520</v>
      </c>
      <c r="ES16" s="1144" t="s">
        <v>2521</v>
      </c>
      <c r="ET16" s="1144" t="s">
        <v>2522</v>
      </c>
      <c r="EU16" s="1144" t="s">
        <v>2523</v>
      </c>
      <c r="EV16" s="1144" t="s">
        <v>2524</v>
      </c>
      <c r="EW16" s="1144" t="s">
        <v>2525</v>
      </c>
      <c r="EX16" s="1144" t="s">
        <v>2526</v>
      </c>
      <c r="EY16" s="1144" t="s">
        <v>2527</v>
      </c>
      <c r="EZ16" s="1144" t="s">
        <v>2528</v>
      </c>
      <c r="FA16" s="1144" t="s">
        <v>2529</v>
      </c>
      <c r="FB16" s="1144" t="s">
        <v>2530</v>
      </c>
      <c r="FC16" s="1144" t="s">
        <v>2531</v>
      </c>
      <c r="FD16" s="1144" t="s">
        <v>2532</v>
      </c>
      <c r="FE16" s="1144" t="s">
        <v>2533</v>
      </c>
      <c r="FF16" s="1144" t="s">
        <v>2534</v>
      </c>
      <c r="FG16" s="1144" t="s">
        <v>2535</v>
      </c>
      <c r="FH16" s="1144" t="s">
        <v>1643</v>
      </c>
      <c r="FI16" s="1144" t="s">
        <v>1644</v>
      </c>
      <c r="FJ16" s="1144" t="s">
        <v>2536</v>
      </c>
      <c r="FK16" s="1144" t="s">
        <v>2537</v>
      </c>
      <c r="FL16" s="1144" t="s">
        <v>2538</v>
      </c>
      <c r="FM16" s="1144" t="s">
        <v>2539</v>
      </c>
      <c r="FN16" s="1144" t="s">
        <v>2540</v>
      </c>
      <c r="FO16" s="1144" t="s">
        <v>2541</v>
      </c>
      <c r="FP16" s="1144" t="s">
        <v>2542</v>
      </c>
      <c r="FQ16" s="1144" t="s">
        <v>2543</v>
      </c>
      <c r="FR16" s="1144" t="s">
        <v>2544</v>
      </c>
      <c r="FS16" s="1144" t="s">
        <v>1689</v>
      </c>
      <c r="FT16" s="1145" t="s">
        <v>1696</v>
      </c>
      <c r="FU16" s="1145" t="s">
        <v>1710</v>
      </c>
      <c r="FV16" s="1145" t="s">
        <v>1711</v>
      </c>
      <c r="FW16" s="1144" t="s">
        <v>1712</v>
      </c>
      <c r="FX16" s="1144" t="s">
        <v>1713</v>
      </c>
      <c r="FY16" s="1144" t="s">
        <v>2545</v>
      </c>
      <c r="FZ16" s="1144" t="s">
        <v>2546</v>
      </c>
      <c r="GA16" s="1144" t="s">
        <v>2547</v>
      </c>
      <c r="GB16" s="1144" t="s">
        <v>2548</v>
      </c>
      <c r="GC16" s="1144" t="s">
        <v>1846</v>
      </c>
      <c r="GD16" s="1144" t="s">
        <v>1848</v>
      </c>
      <c r="GE16" s="1144" t="s">
        <v>1852</v>
      </c>
      <c r="GF16" s="1144" t="s">
        <v>1936</v>
      </c>
      <c r="GG16" s="1144" t="s">
        <v>1937</v>
      </c>
      <c r="GH16" s="1144" t="s">
        <v>1840</v>
      </c>
      <c r="GI16" s="1144" t="s">
        <v>1842</v>
      </c>
      <c r="GJ16" s="1144" t="s">
        <v>1933</v>
      </c>
      <c r="GK16" s="1144" t="s">
        <v>1934</v>
      </c>
      <c r="GL16" s="1144" t="s">
        <v>1844</v>
      </c>
      <c r="GM16" s="1144" t="s">
        <v>1935</v>
      </c>
      <c r="GN16" s="1144" t="s">
        <v>1834</v>
      </c>
      <c r="GO16" s="1144" t="s">
        <v>1835</v>
      </c>
      <c r="GP16" s="1144" t="s">
        <v>1836</v>
      </c>
      <c r="GQ16" s="1144" t="s">
        <v>1837</v>
      </c>
      <c r="GR16" s="1144" t="s">
        <v>1939</v>
      </c>
      <c r="GS16" s="1144" t="s">
        <v>1940</v>
      </c>
      <c r="GT16" s="1144" t="s">
        <v>1941</v>
      </c>
      <c r="GU16" s="1144" t="s">
        <v>2008</v>
      </c>
      <c r="GV16" s="1144" t="s">
        <v>1942</v>
      </c>
      <c r="GW16" s="1144" t="s">
        <v>1838</v>
      </c>
      <c r="GX16" s="1144" t="s">
        <v>2009</v>
      </c>
      <c r="GY16" s="1144" t="s">
        <v>2004</v>
      </c>
      <c r="GZ16" s="1144" t="s">
        <v>2005</v>
      </c>
      <c r="HA16" s="1144" t="s">
        <v>2006</v>
      </c>
      <c r="HB16" s="1144" t="s">
        <v>2218</v>
      </c>
      <c r="HC16" s="1144" t="s">
        <v>2221</v>
      </c>
      <c r="HD16" s="1144" t="s">
        <v>2224</v>
      </c>
      <c r="HE16" s="1144" t="s">
        <v>2225</v>
      </c>
      <c r="HF16" s="1144" t="s">
        <v>2226</v>
      </c>
      <c r="HG16" s="1144" t="s">
        <v>2227</v>
      </c>
      <c r="HH16" s="1144" t="s">
        <v>2228</v>
      </c>
      <c r="HI16" s="1144" t="s">
        <v>2229</v>
      </c>
      <c r="HJ16" s="1144" t="s">
        <v>2007</v>
      </c>
      <c r="HK16" s="1144" t="s">
        <v>2219</v>
      </c>
      <c r="HL16" s="1144" t="s">
        <v>2222</v>
      </c>
      <c r="HM16" s="1144" t="s">
        <v>2220</v>
      </c>
      <c r="HN16" s="1144" t="s">
        <v>2223</v>
      </c>
      <c r="HO16" s="1144" t="s">
        <v>2549</v>
      </c>
      <c r="HP16" s="1144" t="s">
        <v>2549</v>
      </c>
      <c r="HQ16" s="1144" t="s">
        <v>2549</v>
      </c>
      <c r="HR16" s="1144" t="s">
        <v>2549</v>
      </c>
      <c r="HS16" s="1144" t="s">
        <v>2549</v>
      </c>
      <c r="HT16" s="1144" t="s">
        <v>2549</v>
      </c>
      <c r="HU16" s="1144" t="s">
        <v>2549</v>
      </c>
      <c r="HV16" s="1144" t="s">
        <v>2549</v>
      </c>
      <c r="HW16" s="1144" t="s">
        <v>2549</v>
      </c>
      <c r="HX16" s="1144" t="s">
        <v>2549</v>
      </c>
      <c r="HY16" s="1144" t="s">
        <v>2549</v>
      </c>
      <c r="HZ16" s="1144" t="s">
        <v>2549</v>
      </c>
      <c r="IA16" s="1144" t="s">
        <v>2549</v>
      </c>
      <c r="IB16" s="1144" t="s">
        <v>2549</v>
      </c>
      <c r="IC16" s="1144" t="s">
        <v>2549</v>
      </c>
      <c r="ID16" s="1144" t="s">
        <v>2549</v>
      </c>
      <c r="IE16" s="1144" t="s">
        <v>2549</v>
      </c>
      <c r="IF16" s="1144" t="s">
        <v>2549</v>
      </c>
      <c r="IG16" s="1144" t="s">
        <v>2549</v>
      </c>
      <c r="IH16" s="1144" t="s">
        <v>2549</v>
      </c>
      <c r="II16" s="1144" t="s">
        <v>2549</v>
      </c>
      <c r="IJ16" s="1144" t="s">
        <v>2549</v>
      </c>
      <c r="IK16" s="1144" t="s">
        <v>2549</v>
      </c>
      <c r="IL16" s="1144" t="s">
        <v>2549</v>
      </c>
      <c r="IM16" s="1144" t="s">
        <v>2549</v>
      </c>
      <c r="IN16" s="1144" t="s">
        <v>2549</v>
      </c>
      <c r="IO16" s="1144" t="s">
        <v>2549</v>
      </c>
      <c r="IP16" s="1144" t="s">
        <v>2549</v>
      </c>
      <c r="IQ16" s="1144" t="s">
        <v>2549</v>
      </c>
      <c r="IR16" s="1144" t="s">
        <v>2549</v>
      </c>
      <c r="IS16" s="1144" t="s">
        <v>2549</v>
      </c>
      <c r="IT16" s="1144" t="s">
        <v>2549</v>
      </c>
      <c r="IU16" s="1144" t="s">
        <v>2549</v>
      </c>
      <c r="IV16" s="1144" t="s">
        <v>2550</v>
      </c>
      <c r="IW16" s="1144" t="s">
        <v>2551</v>
      </c>
      <c r="IX16" s="1144" t="s">
        <v>2552</v>
      </c>
      <c r="IY16" s="1144" t="s">
        <v>2553</v>
      </c>
      <c r="IZ16" s="1144" t="s">
        <v>2554</v>
      </c>
      <c r="JA16" s="1144" t="s">
        <v>2555</v>
      </c>
      <c r="JB16" s="1144" t="s">
        <v>2556</v>
      </c>
      <c r="JC16" s="1144" t="s">
        <v>2557</v>
      </c>
      <c r="JD16" s="1146"/>
      <c r="JE16" s="1144" t="s">
        <v>2558</v>
      </c>
      <c r="JF16" s="1144" t="s">
        <v>2558</v>
      </c>
      <c r="JG16" s="1144" t="s">
        <v>2558</v>
      </c>
      <c r="JH16" s="1144" t="s">
        <v>2558</v>
      </c>
      <c r="JI16" s="1144" t="s">
        <v>2559</v>
      </c>
      <c r="JJ16" s="1144" t="s">
        <v>2559</v>
      </c>
      <c r="JK16" s="1144" t="s">
        <v>2559</v>
      </c>
      <c r="JL16" s="1144" t="s">
        <v>2560</v>
      </c>
      <c r="JM16" s="1144" t="s">
        <v>2560</v>
      </c>
      <c r="JN16" s="1144" t="s">
        <v>2560</v>
      </c>
      <c r="JO16" s="1144" t="s">
        <v>2560</v>
      </c>
      <c r="JP16" s="1144" t="s">
        <v>2561</v>
      </c>
      <c r="JQ16" s="1144" t="s">
        <v>2561</v>
      </c>
      <c r="JR16" s="1144" t="s">
        <v>2562</v>
      </c>
      <c r="JS16" s="1144" t="s">
        <v>2562</v>
      </c>
      <c r="JT16" s="1144" t="s">
        <v>2562</v>
      </c>
      <c r="JU16" s="1144" t="s">
        <v>2562</v>
      </c>
      <c r="JV16" s="1144" t="s">
        <v>2563</v>
      </c>
      <c r="JW16" s="1144" t="s">
        <v>2563</v>
      </c>
      <c r="JX16" s="1144" t="s">
        <v>2563</v>
      </c>
      <c r="JY16" s="1144" t="s">
        <v>2563</v>
      </c>
      <c r="JZ16" s="1144" t="s">
        <v>2564</v>
      </c>
      <c r="KA16" s="1144" t="s">
        <v>2565</v>
      </c>
      <c r="KB16" s="1144" t="s">
        <v>2564</v>
      </c>
      <c r="KC16" s="1144" t="s">
        <v>2565</v>
      </c>
      <c r="KD16" s="1144" t="s">
        <v>2564</v>
      </c>
      <c r="KE16" s="1144" t="s">
        <v>2565</v>
      </c>
    </row>
    <row r="17" spans="1:291" ht="36" customHeight="1">
      <c r="A17" s="78"/>
      <c r="B17" s="83">
        <v>491</v>
      </c>
      <c r="C17" s="437" t="s">
        <v>2566</v>
      </c>
      <c r="D17" s="1144" t="s">
        <v>2567</v>
      </c>
      <c r="E17" s="1144" t="s">
        <v>2567</v>
      </c>
      <c r="F17" s="1144" t="s">
        <v>2567</v>
      </c>
      <c r="G17" s="1144">
        <v>0</v>
      </c>
      <c r="H17" s="1144">
        <v>0</v>
      </c>
      <c r="I17" s="1144">
        <v>0</v>
      </c>
      <c r="J17" s="1144">
        <v>0</v>
      </c>
      <c r="K17" s="1144">
        <v>0</v>
      </c>
      <c r="L17" s="1144">
        <v>0</v>
      </c>
      <c r="M17" s="1144">
        <v>0</v>
      </c>
      <c r="N17" s="1144">
        <v>0</v>
      </c>
      <c r="O17" s="1144">
        <v>0</v>
      </c>
      <c r="P17" s="1144">
        <v>0</v>
      </c>
      <c r="Q17" s="1144">
        <v>0</v>
      </c>
      <c r="R17" s="1144">
        <v>0</v>
      </c>
      <c r="S17" s="1144">
        <v>0</v>
      </c>
      <c r="T17" s="1144">
        <v>0</v>
      </c>
      <c r="U17" s="1144">
        <v>0</v>
      </c>
      <c r="V17" s="1144">
        <v>0</v>
      </c>
      <c r="W17" s="1144">
        <v>0</v>
      </c>
      <c r="X17" s="1144">
        <v>0</v>
      </c>
      <c r="Y17" s="1144">
        <v>0</v>
      </c>
      <c r="Z17" s="1144" t="s">
        <v>2568</v>
      </c>
      <c r="AA17" s="1144" t="s">
        <v>2568</v>
      </c>
      <c r="AB17" s="1144" t="s">
        <v>2568</v>
      </c>
      <c r="AC17" s="1144" t="s">
        <v>2568</v>
      </c>
      <c r="AD17" s="1144">
        <v>0</v>
      </c>
      <c r="AE17" s="1144">
        <v>0</v>
      </c>
      <c r="AF17" s="1144">
        <v>0</v>
      </c>
      <c r="AG17" s="1144">
        <v>0</v>
      </c>
      <c r="AH17" s="1144">
        <v>0</v>
      </c>
      <c r="AI17" s="1144">
        <v>0</v>
      </c>
      <c r="AJ17" s="1144">
        <v>0</v>
      </c>
      <c r="AK17" s="1144">
        <v>0</v>
      </c>
      <c r="AL17" s="1144" t="s">
        <v>2569</v>
      </c>
      <c r="AM17" s="1144" t="s">
        <v>2569</v>
      </c>
      <c r="AN17" s="1144" t="s">
        <v>2569</v>
      </c>
      <c r="AO17" s="1144" t="s">
        <v>2569</v>
      </c>
      <c r="AP17" s="1144" t="s">
        <v>2569</v>
      </c>
      <c r="AQ17" s="1144" t="s">
        <v>2569</v>
      </c>
      <c r="AR17" s="1144" t="s">
        <v>2569</v>
      </c>
      <c r="AS17" s="1144" t="s">
        <v>2569</v>
      </c>
      <c r="AT17" s="1144" t="s">
        <v>2569</v>
      </c>
      <c r="AU17" s="1144" t="s">
        <v>2569</v>
      </c>
      <c r="AV17" s="1144">
        <v>0</v>
      </c>
      <c r="AW17" s="1144">
        <v>0</v>
      </c>
      <c r="AX17" s="1144">
        <v>0</v>
      </c>
      <c r="AY17" s="1144">
        <v>0</v>
      </c>
      <c r="AZ17" s="1144">
        <v>0</v>
      </c>
      <c r="BA17" s="1144">
        <v>0</v>
      </c>
      <c r="BB17" s="1144" t="s">
        <v>2569</v>
      </c>
      <c r="BC17" s="1144" t="s">
        <v>2569</v>
      </c>
      <c r="BD17" s="1144" t="s">
        <v>2569</v>
      </c>
      <c r="BE17" s="1144">
        <v>0</v>
      </c>
      <c r="BF17" s="1144" t="s">
        <v>2569</v>
      </c>
      <c r="BG17" s="1144" t="s">
        <v>2569</v>
      </c>
      <c r="BH17" s="1144">
        <v>0</v>
      </c>
      <c r="BI17" s="1144">
        <v>0</v>
      </c>
      <c r="BJ17" s="1144">
        <v>0</v>
      </c>
      <c r="BK17" s="1144">
        <v>0</v>
      </c>
      <c r="BL17" s="1145">
        <v>0</v>
      </c>
      <c r="BM17" s="1145">
        <v>0</v>
      </c>
      <c r="BN17" s="1144">
        <v>0</v>
      </c>
      <c r="BO17" s="1144">
        <v>0</v>
      </c>
      <c r="BP17" s="1144">
        <v>0</v>
      </c>
      <c r="BQ17" s="1144">
        <v>0</v>
      </c>
      <c r="BR17" s="1144">
        <v>0</v>
      </c>
      <c r="BS17" s="1144">
        <v>0</v>
      </c>
      <c r="BT17" s="1144">
        <v>0</v>
      </c>
      <c r="BU17" s="1144">
        <v>0</v>
      </c>
      <c r="BV17" s="1144">
        <v>0</v>
      </c>
      <c r="BW17" s="1144">
        <v>0</v>
      </c>
      <c r="BX17" s="1144">
        <v>0</v>
      </c>
      <c r="BY17" s="1144">
        <v>0</v>
      </c>
      <c r="BZ17" s="1144">
        <v>0</v>
      </c>
      <c r="CA17" s="1144">
        <v>0</v>
      </c>
      <c r="CB17" s="1144">
        <v>0</v>
      </c>
      <c r="CC17" s="1144">
        <v>0</v>
      </c>
      <c r="CD17" s="1144">
        <v>0</v>
      </c>
      <c r="CE17" s="1144">
        <v>0</v>
      </c>
      <c r="CF17" s="1144" t="s">
        <v>2570</v>
      </c>
      <c r="CG17" s="1144" t="s">
        <v>2570</v>
      </c>
      <c r="CH17" s="1144" t="s">
        <v>2570</v>
      </c>
      <c r="CI17" s="1144">
        <v>0</v>
      </c>
      <c r="CJ17" s="1144">
        <v>0</v>
      </c>
      <c r="CK17" s="1144">
        <v>0</v>
      </c>
      <c r="CL17" s="1144">
        <v>0</v>
      </c>
      <c r="CM17" s="1144">
        <v>0</v>
      </c>
      <c r="CN17" s="1144">
        <v>0</v>
      </c>
      <c r="CO17" s="1144">
        <v>0</v>
      </c>
      <c r="CP17" s="1144">
        <v>0</v>
      </c>
      <c r="CQ17" s="1144">
        <v>0</v>
      </c>
      <c r="CR17" s="1144">
        <v>0</v>
      </c>
      <c r="CS17" s="1144">
        <v>0</v>
      </c>
      <c r="CT17" s="1144">
        <v>0</v>
      </c>
      <c r="CU17" s="1144">
        <v>0</v>
      </c>
      <c r="CV17" s="1144">
        <v>0</v>
      </c>
      <c r="CW17" s="1144">
        <v>0</v>
      </c>
      <c r="CX17" s="1144">
        <v>0</v>
      </c>
      <c r="CY17" s="1144">
        <v>0</v>
      </c>
      <c r="CZ17" s="1144">
        <v>0</v>
      </c>
      <c r="DA17" s="1144">
        <v>0</v>
      </c>
      <c r="DB17" s="1144">
        <v>0</v>
      </c>
      <c r="DC17" s="1144">
        <v>0</v>
      </c>
      <c r="DD17" s="1144">
        <v>0</v>
      </c>
      <c r="DE17" s="1144">
        <v>0</v>
      </c>
      <c r="DF17" s="1144">
        <v>0</v>
      </c>
      <c r="DG17" s="1144">
        <v>0</v>
      </c>
      <c r="DH17" s="1144">
        <v>0</v>
      </c>
      <c r="DI17" s="1144">
        <v>0</v>
      </c>
      <c r="DJ17" s="1144">
        <v>0</v>
      </c>
      <c r="DK17" s="1144">
        <v>0</v>
      </c>
      <c r="DL17" s="1144">
        <v>0</v>
      </c>
      <c r="DM17" s="1144">
        <v>0</v>
      </c>
      <c r="DN17" s="1144">
        <v>0</v>
      </c>
      <c r="DO17" s="1144">
        <v>0</v>
      </c>
      <c r="DP17" s="1144">
        <v>0</v>
      </c>
      <c r="DQ17" s="1144">
        <v>0</v>
      </c>
      <c r="DR17" s="1144">
        <v>0</v>
      </c>
      <c r="DS17" s="1145">
        <v>0</v>
      </c>
      <c r="DT17" s="1145">
        <v>0</v>
      </c>
      <c r="DU17" s="1144">
        <v>0</v>
      </c>
      <c r="DV17" s="1145">
        <v>0</v>
      </c>
      <c r="DW17" s="1144">
        <v>0</v>
      </c>
      <c r="DX17" s="1145">
        <v>0</v>
      </c>
      <c r="DY17" s="1144">
        <v>0</v>
      </c>
      <c r="DZ17" s="1144">
        <v>0</v>
      </c>
      <c r="EA17" s="1145">
        <v>0</v>
      </c>
      <c r="EB17" s="1144">
        <v>0</v>
      </c>
      <c r="EC17" s="1144">
        <v>0</v>
      </c>
      <c r="ED17" s="1144">
        <v>0</v>
      </c>
      <c r="EE17" s="1144">
        <v>0</v>
      </c>
      <c r="EF17" s="1144">
        <v>0</v>
      </c>
      <c r="EG17" s="1144">
        <v>0</v>
      </c>
      <c r="EH17" s="1144">
        <v>0</v>
      </c>
      <c r="EI17" s="1144">
        <v>0</v>
      </c>
      <c r="EJ17" s="1144">
        <v>0</v>
      </c>
      <c r="EK17" s="1144">
        <v>0</v>
      </c>
      <c r="EL17" s="1144">
        <v>0</v>
      </c>
      <c r="EM17" s="1144">
        <v>0</v>
      </c>
      <c r="EN17" s="1144">
        <v>0</v>
      </c>
      <c r="EO17" s="1144">
        <v>0</v>
      </c>
      <c r="EP17" s="1144">
        <v>0</v>
      </c>
      <c r="EQ17" s="1144">
        <v>0</v>
      </c>
      <c r="ER17" s="1144">
        <v>0</v>
      </c>
      <c r="ES17" s="1144">
        <v>0</v>
      </c>
      <c r="ET17" s="1144">
        <v>0</v>
      </c>
      <c r="EU17" s="1144">
        <v>0</v>
      </c>
      <c r="EV17" s="1144">
        <v>0</v>
      </c>
      <c r="EW17" s="1144">
        <v>0</v>
      </c>
      <c r="EX17" s="1144">
        <v>0</v>
      </c>
      <c r="EY17" s="1144">
        <v>0</v>
      </c>
      <c r="EZ17" s="1144">
        <v>0</v>
      </c>
      <c r="FA17" s="1144">
        <v>0</v>
      </c>
      <c r="FB17" s="1144">
        <v>0</v>
      </c>
      <c r="FC17" s="1144">
        <v>0</v>
      </c>
      <c r="FD17" s="1144">
        <v>0</v>
      </c>
      <c r="FE17" s="1144">
        <v>0</v>
      </c>
      <c r="FF17" s="1144">
        <v>0</v>
      </c>
      <c r="FG17" s="1144">
        <v>0</v>
      </c>
      <c r="FH17" s="1144">
        <v>0</v>
      </c>
      <c r="FI17" s="1144">
        <v>0</v>
      </c>
      <c r="FJ17" s="1144">
        <v>0</v>
      </c>
      <c r="FK17" s="1144">
        <v>0</v>
      </c>
      <c r="FL17" s="1144">
        <v>0</v>
      </c>
      <c r="FM17" s="1144">
        <v>0</v>
      </c>
      <c r="FN17" s="1144">
        <v>0</v>
      </c>
      <c r="FO17" s="1144">
        <v>0</v>
      </c>
      <c r="FP17" s="1144">
        <v>0</v>
      </c>
      <c r="FQ17" s="1144">
        <v>0</v>
      </c>
      <c r="FR17" s="1144">
        <v>0</v>
      </c>
      <c r="FS17" s="1144">
        <v>0</v>
      </c>
      <c r="FT17" s="1145">
        <v>0</v>
      </c>
      <c r="FU17" s="1145">
        <v>0</v>
      </c>
      <c r="FV17" s="1145">
        <v>0</v>
      </c>
      <c r="FW17" s="1144">
        <v>0</v>
      </c>
      <c r="FX17" s="1144">
        <v>0</v>
      </c>
      <c r="FY17" s="1144">
        <v>0</v>
      </c>
      <c r="FZ17" s="1144">
        <v>0</v>
      </c>
      <c r="GA17" s="1144">
        <v>0</v>
      </c>
      <c r="GB17" s="1144">
        <v>0</v>
      </c>
      <c r="GC17" s="1144">
        <v>0</v>
      </c>
      <c r="GD17" s="1144">
        <v>0</v>
      </c>
      <c r="GE17" s="1144">
        <v>0</v>
      </c>
      <c r="GF17" s="1144">
        <v>0</v>
      </c>
      <c r="GG17" s="1144">
        <v>0</v>
      </c>
      <c r="GH17" s="1144">
        <v>0</v>
      </c>
      <c r="GI17" s="1144">
        <v>0</v>
      </c>
      <c r="GJ17" s="1144">
        <v>0</v>
      </c>
      <c r="GK17" s="1144">
        <v>0</v>
      </c>
      <c r="GL17" s="1144">
        <v>0</v>
      </c>
      <c r="GM17" s="1144">
        <v>0</v>
      </c>
      <c r="GN17" s="1144">
        <v>0</v>
      </c>
      <c r="GO17" s="1144">
        <v>0</v>
      </c>
      <c r="GP17" s="1144">
        <v>0</v>
      </c>
      <c r="GQ17" s="1144">
        <v>0</v>
      </c>
      <c r="GR17" s="1144">
        <v>0</v>
      </c>
      <c r="GS17" s="1144">
        <v>0</v>
      </c>
      <c r="GT17" s="1144">
        <v>0</v>
      </c>
      <c r="GU17" s="1144">
        <v>0</v>
      </c>
      <c r="GV17" s="1144">
        <v>0</v>
      </c>
      <c r="GW17" s="1144">
        <v>0</v>
      </c>
      <c r="GX17" s="1144">
        <v>0</v>
      </c>
      <c r="GY17" s="1144">
        <v>0</v>
      </c>
      <c r="GZ17" s="1144">
        <v>0</v>
      </c>
      <c r="HA17" s="1144">
        <v>0</v>
      </c>
      <c r="HB17" s="1144">
        <v>0</v>
      </c>
      <c r="HC17" s="1144">
        <v>0</v>
      </c>
      <c r="HD17" s="1144">
        <v>0</v>
      </c>
      <c r="HE17" s="1144">
        <v>0</v>
      </c>
      <c r="HF17" s="1144">
        <v>0</v>
      </c>
      <c r="HG17" s="1144">
        <v>0</v>
      </c>
      <c r="HH17" s="1144">
        <v>0</v>
      </c>
      <c r="HI17" s="1144">
        <v>0</v>
      </c>
      <c r="HJ17" s="1144">
        <v>0</v>
      </c>
      <c r="HK17" s="1144">
        <v>0</v>
      </c>
      <c r="HL17" s="1144">
        <v>0</v>
      </c>
      <c r="HM17" s="1144">
        <v>0</v>
      </c>
      <c r="HN17" s="1144">
        <v>0</v>
      </c>
      <c r="HO17" s="1144"/>
      <c r="HP17" s="1144"/>
      <c r="HQ17" s="1144"/>
      <c r="HR17" s="1144"/>
      <c r="HS17" s="1144"/>
      <c r="HT17" s="1144"/>
      <c r="HU17" s="1144"/>
      <c r="HV17" s="1144"/>
      <c r="HW17" s="1144"/>
      <c r="HX17" s="1144"/>
      <c r="HY17" s="1144"/>
      <c r="HZ17" s="1144"/>
      <c r="IA17" s="1144"/>
      <c r="IB17" s="1144"/>
      <c r="IC17" s="1144"/>
      <c r="ID17" s="1144"/>
      <c r="IE17" s="1144"/>
      <c r="IF17" s="1144"/>
      <c r="IG17" s="1144"/>
      <c r="IH17" s="1144"/>
      <c r="II17" s="1144"/>
      <c r="IJ17" s="1144"/>
      <c r="IK17" s="1144"/>
      <c r="IL17" s="1144"/>
      <c r="IM17" s="1144"/>
      <c r="IN17" s="1144"/>
      <c r="IO17" s="1144"/>
      <c r="IP17" s="1144"/>
      <c r="IQ17" s="1144"/>
      <c r="IR17" s="1144"/>
      <c r="IS17" s="1144"/>
      <c r="IT17" s="1144"/>
      <c r="IU17" s="1144"/>
      <c r="IV17" s="1144">
        <v>0</v>
      </c>
      <c r="IW17" s="1144">
        <v>0</v>
      </c>
      <c r="IX17" s="1144">
        <v>0</v>
      </c>
      <c r="IY17" s="1144">
        <v>0</v>
      </c>
      <c r="IZ17" s="1144">
        <v>0</v>
      </c>
      <c r="JA17" s="1144">
        <v>0</v>
      </c>
      <c r="JB17" s="1144">
        <v>0</v>
      </c>
      <c r="JC17" s="1144">
        <v>0</v>
      </c>
      <c r="JD17" s="1146"/>
      <c r="JE17" s="1144" t="s">
        <v>2571</v>
      </c>
      <c r="JF17" s="1144" t="s">
        <v>2571</v>
      </c>
      <c r="JG17" s="1144" t="s">
        <v>2571</v>
      </c>
      <c r="JH17" s="1144">
        <v>0</v>
      </c>
      <c r="JI17" s="1144">
        <v>0</v>
      </c>
      <c r="JJ17" s="1144">
        <v>0</v>
      </c>
      <c r="JK17" s="1144">
        <v>0</v>
      </c>
      <c r="JL17" s="1144" t="s">
        <v>2571</v>
      </c>
      <c r="JM17" s="1144" t="s">
        <v>2571</v>
      </c>
      <c r="JN17" s="1144" t="s">
        <v>2571</v>
      </c>
      <c r="JO17" s="1144">
        <v>0</v>
      </c>
      <c r="JP17" s="1144">
        <v>0</v>
      </c>
      <c r="JQ17" s="1144">
        <v>0</v>
      </c>
      <c r="JR17" s="1144">
        <v>0</v>
      </c>
      <c r="JS17" s="1144">
        <v>0</v>
      </c>
      <c r="JT17" s="1144">
        <v>0</v>
      </c>
      <c r="JU17" s="1144">
        <v>0</v>
      </c>
      <c r="JV17" s="1144" t="s">
        <v>2572</v>
      </c>
      <c r="JW17" s="1144" t="s">
        <v>2572</v>
      </c>
      <c r="JX17" s="1144" t="s">
        <v>2572</v>
      </c>
      <c r="JY17" s="1144">
        <v>0</v>
      </c>
      <c r="JZ17" s="1144">
        <v>0</v>
      </c>
      <c r="KA17" s="1144">
        <v>0</v>
      </c>
      <c r="KB17" s="1144">
        <v>0</v>
      </c>
      <c r="KC17" s="1144">
        <v>0</v>
      </c>
      <c r="KD17" s="1144">
        <v>0</v>
      </c>
      <c r="KE17" s="1144">
        <v>0</v>
      </c>
    </row>
    <row r="18" spans="1:291" ht="234.75" customHeight="1">
      <c r="A18" s="78"/>
      <c r="B18" s="83">
        <v>492</v>
      </c>
      <c r="C18" s="437" t="s">
        <v>80</v>
      </c>
      <c r="D18" s="1144" t="s">
        <v>2573</v>
      </c>
      <c r="E18" s="1144" t="s">
        <v>2573</v>
      </c>
      <c r="F18" s="1144" t="s">
        <v>2573</v>
      </c>
      <c r="G18" s="1144" t="s">
        <v>2573</v>
      </c>
      <c r="H18" s="1144" t="s">
        <v>2574</v>
      </c>
      <c r="I18" s="1144" t="s">
        <v>2574</v>
      </c>
      <c r="J18" s="1144" t="s">
        <v>2574</v>
      </c>
      <c r="K18" s="1144" t="s">
        <v>2574</v>
      </c>
      <c r="L18" s="1144" t="s">
        <v>2574</v>
      </c>
      <c r="M18" s="1144" t="s">
        <v>2574</v>
      </c>
      <c r="N18" s="1144" t="s">
        <v>2574</v>
      </c>
      <c r="O18" s="1144" t="s">
        <v>2574</v>
      </c>
      <c r="P18" s="1144" t="s">
        <v>2574</v>
      </c>
      <c r="Q18" s="1144" t="s">
        <v>2574</v>
      </c>
      <c r="R18" s="1144" t="s">
        <v>2574</v>
      </c>
      <c r="S18" s="1144" t="s">
        <v>2574</v>
      </c>
      <c r="T18" s="1144" t="s">
        <v>2575</v>
      </c>
      <c r="U18" s="1144" t="s">
        <v>2575</v>
      </c>
      <c r="V18" s="1144" t="s">
        <v>2576</v>
      </c>
      <c r="W18" s="1144" t="s">
        <v>2577</v>
      </c>
      <c r="X18" s="1144" t="s">
        <v>2577</v>
      </c>
      <c r="Y18" s="1144" t="s">
        <v>2578</v>
      </c>
      <c r="Z18" s="1144" t="s">
        <v>2579</v>
      </c>
      <c r="AA18" s="1144" t="s">
        <v>2579</v>
      </c>
      <c r="AB18" s="1144" t="s">
        <v>2579</v>
      </c>
      <c r="AC18" s="1144" t="s">
        <v>2579</v>
      </c>
      <c r="AD18" s="1144" t="s">
        <v>2580</v>
      </c>
      <c r="AE18" s="1144" t="s">
        <v>2580</v>
      </c>
      <c r="AF18" s="1144" t="s">
        <v>2580</v>
      </c>
      <c r="AG18" s="1144" t="s">
        <v>2580</v>
      </c>
      <c r="AH18" s="1144" t="s">
        <v>2581</v>
      </c>
      <c r="AI18" s="1144" t="s">
        <v>2581</v>
      </c>
      <c r="AJ18" s="1144" t="s">
        <v>2581</v>
      </c>
      <c r="AK18" s="1144" t="s">
        <v>2581</v>
      </c>
      <c r="AL18" s="1144" t="s">
        <v>2574</v>
      </c>
      <c r="AM18" s="1144" t="s">
        <v>2574</v>
      </c>
      <c r="AN18" s="1144" t="s">
        <v>2574</v>
      </c>
      <c r="AO18" s="1144" t="s">
        <v>2574</v>
      </c>
      <c r="AP18" s="1144" t="s">
        <v>2574</v>
      </c>
      <c r="AQ18" s="1144" t="s">
        <v>2574</v>
      </c>
      <c r="AR18" s="1144" t="s">
        <v>2574</v>
      </c>
      <c r="AS18" s="1144" t="s">
        <v>2574</v>
      </c>
      <c r="AT18" s="1144" t="s">
        <v>2582</v>
      </c>
      <c r="AU18" s="1144" t="s">
        <v>2582</v>
      </c>
      <c r="AV18" s="1144" t="s">
        <v>2583</v>
      </c>
      <c r="AW18" s="1144" t="s">
        <v>2583</v>
      </c>
      <c r="AX18" s="1144" t="s">
        <v>2584</v>
      </c>
      <c r="AY18" s="1144" t="s">
        <v>2584</v>
      </c>
      <c r="AZ18" s="1144" t="s">
        <v>2585</v>
      </c>
      <c r="BA18" s="1144" t="s">
        <v>2585</v>
      </c>
      <c r="BB18" s="1144" t="s">
        <v>2586</v>
      </c>
      <c r="BC18" s="1144" t="s">
        <v>2586</v>
      </c>
      <c r="BD18" s="1144" t="s">
        <v>2586</v>
      </c>
      <c r="BE18" s="1144" t="s">
        <v>2586</v>
      </c>
      <c r="BF18" s="380" t="s">
        <v>2587</v>
      </c>
      <c r="BG18" s="380" t="s">
        <v>2587</v>
      </c>
      <c r="BH18" s="1144" t="s">
        <v>2588</v>
      </c>
      <c r="BI18" s="1144" t="s">
        <v>2589</v>
      </c>
      <c r="BJ18" s="1144" t="s">
        <v>2590</v>
      </c>
      <c r="BK18" s="1144" t="s">
        <v>2591</v>
      </c>
      <c r="BL18" s="1145" t="s">
        <v>2592</v>
      </c>
      <c r="BM18" s="1145" t="s">
        <v>2593</v>
      </c>
      <c r="BN18" s="1144" t="s">
        <v>2574</v>
      </c>
      <c r="BO18" s="1144" t="s">
        <v>2574</v>
      </c>
      <c r="BP18" s="1144" t="s">
        <v>2574</v>
      </c>
      <c r="BQ18" s="1144" t="s">
        <v>2574</v>
      </c>
      <c r="BR18" s="1144" t="s">
        <v>2574</v>
      </c>
      <c r="BS18" s="1144" t="s">
        <v>2574</v>
      </c>
      <c r="BT18" s="1144" t="s">
        <v>2574</v>
      </c>
      <c r="BU18" s="1144" t="s">
        <v>2574</v>
      </c>
      <c r="BV18" s="1144" t="s">
        <v>2582</v>
      </c>
      <c r="BW18" s="1144" t="s">
        <v>2582</v>
      </c>
      <c r="BX18" s="1144" t="s">
        <v>2594</v>
      </c>
      <c r="BY18" s="1144" t="s">
        <v>2594</v>
      </c>
      <c r="BZ18" s="1144" t="s">
        <v>2594</v>
      </c>
      <c r="CA18" s="1144" t="s">
        <v>2594</v>
      </c>
      <c r="CB18" s="1144" t="s">
        <v>2574</v>
      </c>
      <c r="CC18" s="1144" t="s">
        <v>2574</v>
      </c>
      <c r="CD18" s="1144" t="s">
        <v>2574</v>
      </c>
      <c r="CE18" s="1144" t="s">
        <v>2574</v>
      </c>
      <c r="CF18" s="1144" t="s">
        <v>2594</v>
      </c>
      <c r="CG18" s="1144" t="s">
        <v>2594</v>
      </c>
      <c r="CH18" s="1144" t="s">
        <v>2594</v>
      </c>
      <c r="CI18" s="1144" t="s">
        <v>2594</v>
      </c>
      <c r="CJ18" s="1144" t="s">
        <v>2595</v>
      </c>
      <c r="CK18" s="1144" t="s">
        <v>2596</v>
      </c>
      <c r="CL18" s="1144" t="s">
        <v>2597</v>
      </c>
      <c r="CM18" s="1144" t="s">
        <v>2598</v>
      </c>
      <c r="CN18" s="1144" t="s">
        <v>2574</v>
      </c>
      <c r="CO18" s="1144" t="s">
        <v>2574</v>
      </c>
      <c r="CP18" s="1144" t="s">
        <v>2574</v>
      </c>
      <c r="CQ18" s="1144" t="s">
        <v>2574</v>
      </c>
      <c r="CR18" s="1144" t="s">
        <v>2574</v>
      </c>
      <c r="CS18" s="1144" t="s">
        <v>2574</v>
      </c>
      <c r="CT18" s="1144" t="s">
        <v>2574</v>
      </c>
      <c r="CU18" s="1144" t="s">
        <v>2574</v>
      </c>
      <c r="CV18" s="1144" t="s">
        <v>2574</v>
      </c>
      <c r="CW18" s="1144" t="s">
        <v>2574</v>
      </c>
      <c r="CX18" s="1144" t="s">
        <v>2574</v>
      </c>
      <c r="CY18" s="1144" t="s">
        <v>2574</v>
      </c>
      <c r="CZ18" s="1144" t="s">
        <v>2574</v>
      </c>
      <c r="DA18" s="1144" t="s">
        <v>2574</v>
      </c>
      <c r="DB18" s="1144" t="s">
        <v>2574</v>
      </c>
      <c r="DC18" s="1144" t="s">
        <v>2574</v>
      </c>
      <c r="DD18" s="1144" t="s">
        <v>2599</v>
      </c>
      <c r="DE18" s="1144" t="s">
        <v>2600</v>
      </c>
      <c r="DF18" s="1144" t="s">
        <v>2601</v>
      </c>
      <c r="DG18" s="1144" t="s">
        <v>2602</v>
      </c>
      <c r="DH18" s="1144" t="s">
        <v>2603</v>
      </c>
      <c r="DI18" s="1144" t="s">
        <v>2604</v>
      </c>
      <c r="DJ18" s="1144" t="s">
        <v>2605</v>
      </c>
      <c r="DK18" s="1144" t="s">
        <v>2606</v>
      </c>
      <c r="DL18" s="1144" t="s">
        <v>2607</v>
      </c>
      <c r="DM18" s="1144" t="s">
        <v>2608</v>
      </c>
      <c r="DN18" s="1144" t="s">
        <v>2609</v>
      </c>
      <c r="DO18" s="1144" t="s">
        <v>2610</v>
      </c>
      <c r="DP18" s="1144" t="str">
        <f>DO18</f>
        <v>Basic inventory based on cumulative data.</v>
      </c>
      <c r="DQ18" s="1144" t="str">
        <f>DP18</f>
        <v>Basic inventory based on cumulative data.</v>
      </c>
      <c r="DR18" s="1144" t="str">
        <f>DQ18</f>
        <v>Basic inventory based on cumulative data.</v>
      </c>
      <c r="DS18" s="1145" t="s">
        <v>2611</v>
      </c>
      <c r="DT18" s="1145" t="s">
        <v>2612</v>
      </c>
      <c r="DU18" s="1144" t="s">
        <v>2613</v>
      </c>
      <c r="DV18" s="1145" t="s">
        <v>2614</v>
      </c>
      <c r="DW18" s="1144" t="s">
        <v>2615</v>
      </c>
      <c r="DX18" s="1145" t="s">
        <v>2616</v>
      </c>
      <c r="DY18" s="1144" t="s">
        <v>2617</v>
      </c>
      <c r="DZ18" s="1144" t="s">
        <v>2617</v>
      </c>
      <c r="EA18" s="1145" t="s">
        <v>2618</v>
      </c>
      <c r="EB18" s="1144" t="s">
        <v>2619</v>
      </c>
      <c r="EC18" s="1144" t="str">
        <f>EB18</f>
        <v>Chemical composition of typical pastes taken from Material Safety Data Sheets. Energy use and infrastructure estimated with data for solder production.</v>
      </c>
      <c r="ED18" s="1144" t="str">
        <f>EC18</f>
        <v>Chemical composition of typical pastes taken from Material Safety Data Sheets. Energy use and infrastructure estimated with data for solder production.</v>
      </c>
      <c r="EE18" s="1144" t="s">
        <v>2620</v>
      </c>
      <c r="EF18" s="1144" t="s">
        <v>2621</v>
      </c>
      <c r="EG18" s="1144" t="s">
        <v>2622</v>
      </c>
      <c r="EH18" s="1144" t="s">
        <v>2623</v>
      </c>
      <c r="EI18" s="1144" t="s">
        <v>2622</v>
      </c>
      <c r="EJ18" s="1144" t="s">
        <v>2624</v>
      </c>
      <c r="EK18" s="1144" t="s">
        <v>2625</v>
      </c>
      <c r="EL18" s="1144" t="s">
        <v>2626</v>
      </c>
      <c r="EM18" s="1144" t="s">
        <v>2627</v>
      </c>
      <c r="EN18" s="1144" t="s">
        <v>2628</v>
      </c>
      <c r="EO18" s="1144" t="s">
        <v>2629</v>
      </c>
      <c r="EP18" s="1144" t="s">
        <v>2630</v>
      </c>
      <c r="EQ18" s="1144" t="s">
        <v>2631</v>
      </c>
      <c r="ER18" s="1144" t="s">
        <v>2632</v>
      </c>
      <c r="ES18" s="1144" t="s">
        <v>2633</v>
      </c>
      <c r="ET18" s="1144" t="s">
        <v>2633</v>
      </c>
      <c r="EU18" s="1144" t="s">
        <v>2633</v>
      </c>
      <c r="EV18" s="1144" t="s">
        <v>2633</v>
      </c>
      <c r="EW18" s="1144" t="s">
        <v>2634</v>
      </c>
      <c r="EX18" s="1144" t="s">
        <v>2634</v>
      </c>
      <c r="EY18" s="1144" t="s">
        <v>2634</v>
      </c>
      <c r="EZ18" s="1144" t="s">
        <v>2634</v>
      </c>
      <c r="FA18" s="1144" t="s">
        <v>2634</v>
      </c>
      <c r="FB18" s="1144" t="s">
        <v>2635</v>
      </c>
      <c r="FC18" s="1144" t="str">
        <f t="shared" ref="FC18:FI18" si="2">FB18</f>
        <v>Production of the additional components necessary for the mounting of 1 m2 PV panel or laminate.</v>
      </c>
      <c r="FD18" s="1144" t="str">
        <f t="shared" si="2"/>
        <v>Production of the additional components necessary for the mounting of 1 m2 PV panel or laminate.</v>
      </c>
      <c r="FE18" s="1144" t="str">
        <f t="shared" si="2"/>
        <v>Production of the additional components necessary for the mounting of 1 m2 PV panel or laminate.</v>
      </c>
      <c r="FF18" s="1144" t="str">
        <f t="shared" si="2"/>
        <v>Production of the additional components necessary for the mounting of 1 m2 PV panel or laminate.</v>
      </c>
      <c r="FG18" s="1144" t="str">
        <f t="shared" si="2"/>
        <v>Production of the additional components necessary for the mounting of 1 m2 PV panel or laminate.</v>
      </c>
      <c r="FH18" s="1144" t="str">
        <f t="shared" si="2"/>
        <v>Production of the additional components necessary for the mounting of 1 m2 PV panel or laminate.</v>
      </c>
      <c r="FI18" s="1144" t="str">
        <f t="shared" si="2"/>
        <v>Production of the additional components necessary for the mounting of 1 m2 PV panel or laminate.</v>
      </c>
      <c r="FJ18" s="1144" t="s">
        <v>2636</v>
      </c>
      <c r="FK18" s="1144" t="s">
        <v>2637</v>
      </c>
      <c r="FL18" s="1144" t="s">
        <v>2638</v>
      </c>
      <c r="FM18" s="1144" t="s">
        <v>2639</v>
      </c>
      <c r="FN18" s="1144" t="s">
        <v>2640</v>
      </c>
      <c r="FO18" s="1144" t="s">
        <v>2641</v>
      </c>
      <c r="FP18" s="1144" t="s">
        <v>2642</v>
      </c>
      <c r="FQ18" s="1144" t="s">
        <v>2643</v>
      </c>
      <c r="FR18" s="1144" t="s">
        <v>2644</v>
      </c>
      <c r="FS18" s="1144" t="s">
        <v>2645</v>
      </c>
      <c r="FT18" s="1145" t="s">
        <v>2646</v>
      </c>
      <c r="FU18" s="1145" t="s">
        <v>2647</v>
      </c>
      <c r="FV18" s="1145" t="s">
        <v>2648</v>
      </c>
      <c r="FW18" s="1144" t="s">
        <v>2649</v>
      </c>
      <c r="FX18" s="1144" t="s">
        <v>2650</v>
      </c>
      <c r="FY18" s="1144" t="s">
        <v>2651</v>
      </c>
      <c r="FZ18" s="1144" t="s">
        <v>2652</v>
      </c>
      <c r="GA18" s="1144" t="s">
        <v>2653</v>
      </c>
      <c r="GB18" s="1144" t="s">
        <v>2654</v>
      </c>
      <c r="GC18" s="380" t="s">
        <v>2655</v>
      </c>
      <c r="GD18" s="380" t="s">
        <v>2655</v>
      </c>
      <c r="GE18" s="380" t="s">
        <v>2655</v>
      </c>
      <c r="GF18" s="1144" t="s">
        <v>2656</v>
      </c>
      <c r="GG18" s="1144" t="s">
        <v>2656</v>
      </c>
      <c r="GH18" s="1144" t="s">
        <v>2655</v>
      </c>
      <c r="GI18" s="1144" t="s">
        <v>2655</v>
      </c>
      <c r="GJ18" s="1144" t="s">
        <v>2656</v>
      </c>
      <c r="GK18" s="1144" t="s">
        <v>2656</v>
      </c>
      <c r="GL18" s="1144" t="s">
        <v>2655</v>
      </c>
      <c r="GM18" s="1144" t="s">
        <v>2656</v>
      </c>
      <c r="GN18" s="1144" t="s">
        <v>2655</v>
      </c>
      <c r="GO18" s="1144" t="s">
        <v>2657</v>
      </c>
      <c r="GP18" s="1144" t="s">
        <v>2657</v>
      </c>
      <c r="GQ18" s="1144" t="s">
        <v>2657</v>
      </c>
      <c r="GR18" s="1144" t="s">
        <v>2657</v>
      </c>
      <c r="GS18" s="1144" t="s">
        <v>2657</v>
      </c>
      <c r="GT18" s="1144" t="s">
        <v>2657</v>
      </c>
      <c r="GU18" s="1144" t="s">
        <v>2657</v>
      </c>
      <c r="GV18" s="1144" t="s">
        <v>2657</v>
      </c>
      <c r="GW18" s="1144" t="s">
        <v>2657</v>
      </c>
      <c r="GX18" s="1144" t="s">
        <v>2657</v>
      </c>
      <c r="GY18" s="1144" t="s">
        <v>2658</v>
      </c>
      <c r="GZ18" s="1144" t="s">
        <v>2658</v>
      </c>
      <c r="HA18" s="1144" t="s">
        <v>2659</v>
      </c>
      <c r="HB18" s="1144" t="s">
        <v>2660</v>
      </c>
      <c r="HC18" s="1144" t="s">
        <v>2660</v>
      </c>
      <c r="HD18" s="1144" t="s">
        <v>2660</v>
      </c>
      <c r="HE18" s="1144" t="s">
        <v>2660</v>
      </c>
      <c r="HF18" s="1144" t="s">
        <v>2660</v>
      </c>
      <c r="HG18" s="1144" t="s">
        <v>2660</v>
      </c>
      <c r="HH18" s="1144" t="s">
        <v>2660</v>
      </c>
      <c r="HI18" s="1144" t="s">
        <v>2660</v>
      </c>
      <c r="HJ18" s="1144" t="s">
        <v>2660</v>
      </c>
      <c r="HK18" s="1144" t="s">
        <v>2660</v>
      </c>
      <c r="HL18" s="1144" t="s">
        <v>2660</v>
      </c>
      <c r="HM18" s="1144" t="s">
        <v>2660</v>
      </c>
      <c r="HN18" s="1144" t="s">
        <v>2660</v>
      </c>
      <c r="HO18" s="1144" t="s">
        <v>2660</v>
      </c>
      <c r="HP18" s="1144" t="s">
        <v>2661</v>
      </c>
      <c r="HQ18" s="1144" t="s">
        <v>2661</v>
      </c>
      <c r="HR18" s="1144" t="s">
        <v>2661</v>
      </c>
      <c r="HS18" s="1144" t="s">
        <v>2661</v>
      </c>
      <c r="HT18" s="1144" t="s">
        <v>2661</v>
      </c>
      <c r="HU18" s="1144" t="s">
        <v>2661</v>
      </c>
      <c r="HV18" s="1144" t="s">
        <v>2661</v>
      </c>
      <c r="HW18" s="1144" t="s">
        <v>2661</v>
      </c>
      <c r="HX18" s="1144" t="s">
        <v>2661</v>
      </c>
      <c r="HY18" s="1144" t="s">
        <v>2661</v>
      </c>
      <c r="HZ18" s="1144" t="s">
        <v>2662</v>
      </c>
      <c r="IA18" s="1144" t="s">
        <v>2663</v>
      </c>
      <c r="IB18" s="1144" t="s">
        <v>2661</v>
      </c>
      <c r="IC18" s="1144" t="s">
        <v>2661</v>
      </c>
      <c r="ID18" s="1144" t="s">
        <v>2661</v>
      </c>
      <c r="IE18" s="1144" t="s">
        <v>2661</v>
      </c>
      <c r="IF18" s="1144" t="s">
        <v>2664</v>
      </c>
      <c r="IG18" s="1144" t="s">
        <v>2661</v>
      </c>
      <c r="IH18" s="1144" t="s">
        <v>2661</v>
      </c>
      <c r="II18" s="1144" t="s">
        <v>2661</v>
      </c>
      <c r="IJ18" s="1144" t="s">
        <v>2665</v>
      </c>
      <c r="IK18" s="1144" t="s">
        <v>2661</v>
      </c>
      <c r="IL18" s="1144" t="s">
        <v>2661</v>
      </c>
      <c r="IM18" s="1144" t="s">
        <v>2666</v>
      </c>
      <c r="IN18" s="1144" t="s">
        <v>2667</v>
      </c>
      <c r="IO18" s="1144" t="s">
        <v>2661</v>
      </c>
      <c r="IP18" s="1144" t="s">
        <v>2661</v>
      </c>
      <c r="IQ18" s="1144" t="s">
        <v>2662</v>
      </c>
      <c r="IR18" s="1144" t="s">
        <v>2661</v>
      </c>
      <c r="IS18" s="1144" t="s">
        <v>2661</v>
      </c>
      <c r="IT18" s="1144" t="s">
        <v>2661</v>
      </c>
      <c r="IU18" s="1144" t="s">
        <v>2661</v>
      </c>
      <c r="IV18" s="1144" t="s">
        <v>2668</v>
      </c>
      <c r="IW18" s="1144" t="s">
        <v>2669</v>
      </c>
      <c r="IX18" s="1144" t="s">
        <v>2669</v>
      </c>
      <c r="IY18" s="1144" t="s">
        <v>2670</v>
      </c>
      <c r="IZ18" s="1144" t="s">
        <v>2671</v>
      </c>
      <c r="JA18" s="1144" t="s">
        <v>2672</v>
      </c>
      <c r="JB18" s="1144" t="s">
        <v>2673</v>
      </c>
      <c r="JC18" s="1144" t="s">
        <v>2674</v>
      </c>
      <c r="JD18" s="1146"/>
      <c r="JE18" s="1144" t="s">
        <v>2675</v>
      </c>
      <c r="JF18" s="1144" t="s">
        <v>2675</v>
      </c>
      <c r="JG18" s="1144" t="s">
        <v>2675</v>
      </c>
      <c r="JH18" s="1144" t="s">
        <v>2675</v>
      </c>
      <c r="JI18" s="1144" t="s">
        <v>2676</v>
      </c>
      <c r="JJ18" s="1144" t="s">
        <v>2677</v>
      </c>
      <c r="JK18" s="1144" t="s">
        <v>2678</v>
      </c>
      <c r="JL18" s="1144" t="s">
        <v>2679</v>
      </c>
      <c r="JM18" s="1144" t="s">
        <v>2679</v>
      </c>
      <c r="JN18" s="1144" t="s">
        <v>2679</v>
      </c>
      <c r="JO18" s="1144" t="s">
        <v>2679</v>
      </c>
      <c r="JP18" s="1144" t="s">
        <v>2680</v>
      </c>
      <c r="JQ18" s="1144" t="s">
        <v>2681</v>
      </c>
      <c r="JR18" s="1144" t="s">
        <v>2682</v>
      </c>
      <c r="JS18" s="1144" t="s">
        <v>2682</v>
      </c>
      <c r="JT18" s="1144" t="s">
        <v>2682</v>
      </c>
      <c r="JU18" s="1144" t="s">
        <v>2682</v>
      </c>
      <c r="JV18" s="1144" t="s">
        <v>2682</v>
      </c>
      <c r="JW18" s="1144" t="s">
        <v>2682</v>
      </c>
      <c r="JX18" s="1144" t="s">
        <v>2682</v>
      </c>
      <c r="JY18" s="1144" t="s">
        <v>2682</v>
      </c>
      <c r="JZ18" s="1144" t="s">
        <v>2683</v>
      </c>
      <c r="KA18" s="1144" t="s">
        <v>2683</v>
      </c>
      <c r="KB18" s="1144" t="s">
        <v>2684</v>
      </c>
      <c r="KC18" s="1144" t="s">
        <v>2684</v>
      </c>
      <c r="KD18" s="1144" t="s">
        <v>2684</v>
      </c>
      <c r="KE18" s="1144" t="s">
        <v>2684</v>
      </c>
    </row>
    <row r="19" spans="1:291" ht="21.75" customHeight="1" outlineLevel="1">
      <c r="A19" s="78"/>
      <c r="B19" s="83">
        <v>494</v>
      </c>
      <c r="C19" s="437" t="s">
        <v>2685</v>
      </c>
      <c r="D19" s="1144">
        <v>0</v>
      </c>
      <c r="E19" s="1144">
        <v>0</v>
      </c>
      <c r="F19" s="1144">
        <v>0</v>
      </c>
      <c r="G19" s="1144">
        <v>0</v>
      </c>
      <c r="H19" s="1144">
        <v>0</v>
      </c>
      <c r="I19" s="1144">
        <v>0</v>
      </c>
      <c r="J19" s="1144">
        <v>0</v>
      </c>
      <c r="K19" s="1144">
        <v>0</v>
      </c>
      <c r="L19" s="1144">
        <v>0</v>
      </c>
      <c r="M19" s="1144">
        <v>0</v>
      </c>
      <c r="N19" s="1144">
        <v>0</v>
      </c>
      <c r="O19" s="1144">
        <v>0</v>
      </c>
      <c r="P19" s="1144">
        <v>0</v>
      </c>
      <c r="Q19" s="1144">
        <v>0</v>
      </c>
      <c r="R19" s="1144">
        <v>0</v>
      </c>
      <c r="S19" s="1144">
        <v>0</v>
      </c>
      <c r="T19" s="1144">
        <v>0</v>
      </c>
      <c r="U19" s="1144">
        <v>0</v>
      </c>
      <c r="V19" s="1144">
        <v>0</v>
      </c>
      <c r="W19" s="1144">
        <v>0</v>
      </c>
      <c r="X19" s="1144">
        <v>0</v>
      </c>
      <c r="Y19" s="1144">
        <v>0</v>
      </c>
      <c r="Z19" s="1144">
        <v>0</v>
      </c>
      <c r="AA19" s="1144">
        <v>0</v>
      </c>
      <c r="AB19" s="1144">
        <v>0</v>
      </c>
      <c r="AC19" s="1144">
        <v>0</v>
      </c>
      <c r="AD19" s="1144">
        <v>0</v>
      </c>
      <c r="AE19" s="1144">
        <v>0</v>
      </c>
      <c r="AF19" s="1144">
        <v>0</v>
      </c>
      <c r="AG19" s="1144">
        <v>0</v>
      </c>
      <c r="AH19" s="1144">
        <v>0</v>
      </c>
      <c r="AI19" s="1144">
        <v>0</v>
      </c>
      <c r="AJ19" s="1144">
        <v>0</v>
      </c>
      <c r="AK19" s="1144">
        <v>0</v>
      </c>
      <c r="AL19" s="1144">
        <v>0</v>
      </c>
      <c r="AM19" s="1144">
        <v>0</v>
      </c>
      <c r="AN19" s="1144">
        <v>0</v>
      </c>
      <c r="AO19" s="1144">
        <v>0</v>
      </c>
      <c r="AP19" s="1144">
        <v>0</v>
      </c>
      <c r="AQ19" s="1144">
        <v>0</v>
      </c>
      <c r="AR19" s="1144">
        <v>0</v>
      </c>
      <c r="AS19" s="1144">
        <v>0</v>
      </c>
      <c r="AT19" s="1144">
        <v>0</v>
      </c>
      <c r="AU19" s="1144">
        <v>0</v>
      </c>
      <c r="AV19" s="1144">
        <v>0</v>
      </c>
      <c r="AW19" s="1144">
        <v>0</v>
      </c>
      <c r="AX19" s="1144">
        <v>0</v>
      </c>
      <c r="AY19" s="1144">
        <v>0</v>
      </c>
      <c r="AZ19" s="1144">
        <v>0</v>
      </c>
      <c r="BA19" s="1144">
        <v>0</v>
      </c>
      <c r="BB19" s="1144">
        <v>0</v>
      </c>
      <c r="BC19" s="1144">
        <v>0</v>
      </c>
      <c r="BD19" s="1144">
        <v>0</v>
      </c>
      <c r="BE19" s="1144">
        <v>0</v>
      </c>
      <c r="BF19" s="1144">
        <v>0</v>
      </c>
      <c r="BG19" s="1144">
        <v>0</v>
      </c>
      <c r="BH19" s="1144">
        <v>1</v>
      </c>
      <c r="BI19" s="1144">
        <v>1</v>
      </c>
      <c r="BJ19" s="1144">
        <v>1</v>
      </c>
      <c r="BK19" s="1144">
        <v>1</v>
      </c>
      <c r="BL19" s="1145">
        <v>1</v>
      </c>
      <c r="BM19" s="1145">
        <v>1</v>
      </c>
      <c r="BN19" s="1144">
        <v>1</v>
      </c>
      <c r="BO19" s="1144">
        <v>1</v>
      </c>
      <c r="BP19" s="1144">
        <v>1</v>
      </c>
      <c r="BQ19" s="1144">
        <v>1</v>
      </c>
      <c r="BR19" s="1144">
        <v>1</v>
      </c>
      <c r="BS19" s="1144">
        <v>1</v>
      </c>
      <c r="BT19" s="1144">
        <v>1</v>
      </c>
      <c r="BU19" s="1144">
        <v>1</v>
      </c>
      <c r="BV19" s="1144">
        <v>1</v>
      </c>
      <c r="BW19" s="1144">
        <v>1</v>
      </c>
      <c r="BX19" s="1144">
        <v>1</v>
      </c>
      <c r="BY19" s="1144">
        <v>1</v>
      </c>
      <c r="BZ19" s="1144">
        <v>1</v>
      </c>
      <c r="CA19" s="1144">
        <v>1</v>
      </c>
      <c r="CB19" s="1144">
        <v>1</v>
      </c>
      <c r="CC19" s="1144">
        <v>1</v>
      </c>
      <c r="CD19" s="1144">
        <v>1</v>
      </c>
      <c r="CE19" s="1144">
        <v>1</v>
      </c>
      <c r="CF19" s="1144">
        <v>1</v>
      </c>
      <c r="CG19" s="1144">
        <v>1</v>
      </c>
      <c r="CH19" s="1144">
        <v>1</v>
      </c>
      <c r="CI19" s="1144">
        <v>1</v>
      </c>
      <c r="CJ19" s="1144">
        <v>1</v>
      </c>
      <c r="CK19" s="1144">
        <v>1</v>
      </c>
      <c r="CL19" s="1144">
        <v>1</v>
      </c>
      <c r="CM19" s="1144">
        <v>1</v>
      </c>
      <c r="CN19" s="1144">
        <v>1</v>
      </c>
      <c r="CO19" s="1144">
        <v>1</v>
      </c>
      <c r="CP19" s="1144">
        <v>1</v>
      </c>
      <c r="CQ19" s="1144">
        <v>1</v>
      </c>
      <c r="CR19" s="1144">
        <v>1</v>
      </c>
      <c r="CS19" s="1144">
        <v>1</v>
      </c>
      <c r="CT19" s="1144">
        <v>1</v>
      </c>
      <c r="CU19" s="1144">
        <v>1</v>
      </c>
      <c r="CV19" s="1144">
        <v>1</v>
      </c>
      <c r="CW19" s="1144">
        <v>1</v>
      </c>
      <c r="CX19" s="1144">
        <v>1</v>
      </c>
      <c r="CY19" s="1144">
        <v>1</v>
      </c>
      <c r="CZ19" s="1144">
        <v>1</v>
      </c>
      <c r="DA19" s="1144">
        <v>1</v>
      </c>
      <c r="DB19" s="1144">
        <v>1</v>
      </c>
      <c r="DC19" s="1144">
        <v>1</v>
      </c>
      <c r="DD19" s="1144">
        <v>1</v>
      </c>
      <c r="DE19" s="1144">
        <v>1</v>
      </c>
      <c r="DF19" s="1144">
        <v>1</v>
      </c>
      <c r="DG19" s="1144">
        <v>1</v>
      </c>
      <c r="DH19" s="1144">
        <v>1</v>
      </c>
      <c r="DI19" s="1144">
        <v>1</v>
      </c>
      <c r="DJ19" s="1144">
        <v>1</v>
      </c>
      <c r="DK19" s="1144">
        <v>1</v>
      </c>
      <c r="DL19" s="1144">
        <v>1</v>
      </c>
      <c r="DM19" s="1144">
        <v>0</v>
      </c>
      <c r="DN19" s="1144">
        <v>0</v>
      </c>
      <c r="DO19" s="1144">
        <v>0</v>
      </c>
      <c r="DP19" s="1144">
        <v>0</v>
      </c>
      <c r="DQ19" s="1144">
        <v>0</v>
      </c>
      <c r="DR19" s="1144">
        <v>0</v>
      </c>
      <c r="DS19" s="1145">
        <v>1</v>
      </c>
      <c r="DT19" s="1145">
        <v>1</v>
      </c>
      <c r="DU19" s="1144">
        <v>1</v>
      </c>
      <c r="DV19" s="1145">
        <v>1</v>
      </c>
      <c r="DW19" s="1144">
        <v>1</v>
      </c>
      <c r="DX19" s="1145">
        <v>1</v>
      </c>
      <c r="DY19" s="1144">
        <v>1</v>
      </c>
      <c r="DZ19" s="1144">
        <v>1</v>
      </c>
      <c r="EA19" s="1145">
        <v>1</v>
      </c>
      <c r="EB19" s="1144">
        <v>0</v>
      </c>
      <c r="EC19" s="1144">
        <v>0</v>
      </c>
      <c r="ED19" s="1144">
        <v>0</v>
      </c>
      <c r="EE19" s="1144">
        <v>1</v>
      </c>
      <c r="EF19" s="1144">
        <v>1</v>
      </c>
      <c r="EG19" s="1144">
        <v>1</v>
      </c>
      <c r="EH19" s="1144">
        <v>1</v>
      </c>
      <c r="EI19" s="1144">
        <v>1</v>
      </c>
      <c r="EJ19" s="1144">
        <v>1</v>
      </c>
      <c r="EK19" s="1144">
        <v>1</v>
      </c>
      <c r="EL19" s="1144">
        <v>1</v>
      </c>
      <c r="EM19" s="1144">
        <v>1</v>
      </c>
      <c r="EN19" s="1144">
        <v>1</v>
      </c>
      <c r="EO19" s="1144">
        <v>1</v>
      </c>
      <c r="EP19" s="1144">
        <v>1</v>
      </c>
      <c r="EQ19" s="1144">
        <v>1</v>
      </c>
      <c r="ER19" s="1144">
        <v>1</v>
      </c>
      <c r="ES19" s="1144">
        <v>1</v>
      </c>
      <c r="ET19" s="1144">
        <v>1</v>
      </c>
      <c r="EU19" s="1144">
        <v>1</v>
      </c>
      <c r="EV19" s="1144">
        <v>1</v>
      </c>
      <c r="EW19" s="1144">
        <v>1</v>
      </c>
      <c r="EX19" s="1144">
        <v>1</v>
      </c>
      <c r="EY19" s="1144">
        <v>1</v>
      </c>
      <c r="EZ19" s="1144">
        <v>1</v>
      </c>
      <c r="FA19" s="1144">
        <v>1</v>
      </c>
      <c r="FB19" s="1144">
        <v>1</v>
      </c>
      <c r="FC19" s="1144">
        <v>1</v>
      </c>
      <c r="FD19" s="1144">
        <v>1</v>
      </c>
      <c r="FE19" s="1144">
        <v>1</v>
      </c>
      <c r="FF19" s="1144">
        <v>1</v>
      </c>
      <c r="FG19" s="1144">
        <v>1</v>
      </c>
      <c r="FH19" s="1144">
        <v>1</v>
      </c>
      <c r="FI19" s="1144">
        <v>1</v>
      </c>
      <c r="FJ19" s="1144">
        <v>1</v>
      </c>
      <c r="FK19" s="1144">
        <v>1</v>
      </c>
      <c r="FL19" s="1144">
        <v>1</v>
      </c>
      <c r="FM19" s="1144">
        <v>1</v>
      </c>
      <c r="FN19" s="1144">
        <v>1</v>
      </c>
      <c r="FO19" s="1144">
        <v>1</v>
      </c>
      <c r="FP19" s="1144">
        <v>1</v>
      </c>
      <c r="FQ19" s="1144">
        <v>1</v>
      </c>
      <c r="FR19" s="1144">
        <v>1</v>
      </c>
      <c r="FS19" s="1144">
        <v>1</v>
      </c>
      <c r="FT19" s="1145">
        <v>1</v>
      </c>
      <c r="FU19" s="1145">
        <v>1</v>
      </c>
      <c r="FV19" s="1145">
        <v>1</v>
      </c>
      <c r="FW19" s="1144">
        <v>1</v>
      </c>
      <c r="FX19" s="1144">
        <v>1</v>
      </c>
      <c r="FY19" s="1144">
        <v>1</v>
      </c>
      <c r="FZ19" s="1144">
        <v>1</v>
      </c>
      <c r="GA19" s="1144">
        <v>1</v>
      </c>
      <c r="GB19" s="1144">
        <v>1</v>
      </c>
      <c r="GC19" s="1144">
        <v>1</v>
      </c>
      <c r="GD19" s="1144">
        <v>1</v>
      </c>
      <c r="GE19" s="1144">
        <v>1</v>
      </c>
      <c r="GF19" s="1144">
        <v>1</v>
      </c>
      <c r="GG19" s="1144">
        <v>1</v>
      </c>
      <c r="GH19" s="1144">
        <v>1</v>
      </c>
      <c r="GI19" s="1144">
        <v>1</v>
      </c>
      <c r="GJ19" s="1144">
        <v>1</v>
      </c>
      <c r="GK19" s="1144">
        <v>1</v>
      </c>
      <c r="GL19" s="1144">
        <v>1</v>
      </c>
      <c r="GM19" s="1144">
        <v>1</v>
      </c>
      <c r="GN19" s="1144">
        <v>1</v>
      </c>
      <c r="GO19" s="1144">
        <v>1</v>
      </c>
      <c r="GP19" s="1144">
        <v>1</v>
      </c>
      <c r="GQ19" s="1144">
        <v>1</v>
      </c>
      <c r="GR19" s="1144">
        <v>1</v>
      </c>
      <c r="GS19" s="1144">
        <v>1</v>
      </c>
      <c r="GT19" s="1144">
        <v>1</v>
      </c>
      <c r="GU19" s="1144">
        <v>1</v>
      </c>
      <c r="GV19" s="1144">
        <v>1</v>
      </c>
      <c r="GW19" s="1144">
        <v>1</v>
      </c>
      <c r="GX19" s="1144">
        <v>1</v>
      </c>
      <c r="GY19" s="1144">
        <v>1</v>
      </c>
      <c r="GZ19" s="1144">
        <v>1</v>
      </c>
      <c r="HA19" s="1144">
        <v>1</v>
      </c>
      <c r="HB19" s="1144">
        <v>0</v>
      </c>
      <c r="HC19" s="1144">
        <v>0</v>
      </c>
      <c r="HD19" s="1144">
        <v>0</v>
      </c>
      <c r="HE19" s="1144">
        <v>0</v>
      </c>
      <c r="HF19" s="1144">
        <v>0</v>
      </c>
      <c r="HG19" s="1144">
        <v>0</v>
      </c>
      <c r="HH19" s="1144">
        <v>0</v>
      </c>
      <c r="HI19" s="1144">
        <v>0</v>
      </c>
      <c r="HJ19" s="1144">
        <v>1</v>
      </c>
      <c r="HK19" s="1144">
        <v>0</v>
      </c>
      <c r="HL19" s="1144">
        <v>0</v>
      </c>
      <c r="HM19" s="1144">
        <v>0</v>
      </c>
      <c r="HN19" s="1144">
        <v>0</v>
      </c>
      <c r="HO19" s="1144">
        <v>0</v>
      </c>
      <c r="HP19" s="1144">
        <v>0</v>
      </c>
      <c r="HQ19" s="1144">
        <v>0</v>
      </c>
      <c r="HR19" s="1144">
        <v>0</v>
      </c>
      <c r="HS19" s="1144">
        <v>0</v>
      </c>
      <c r="HT19" s="1144">
        <v>0</v>
      </c>
      <c r="HU19" s="1144">
        <v>0</v>
      </c>
      <c r="HV19" s="1144">
        <v>0</v>
      </c>
      <c r="HW19" s="1144">
        <v>0</v>
      </c>
      <c r="HX19" s="1144">
        <v>0</v>
      </c>
      <c r="HY19" s="1144">
        <v>0</v>
      </c>
      <c r="HZ19" s="1144">
        <v>0</v>
      </c>
      <c r="IA19" s="1144">
        <v>0</v>
      </c>
      <c r="IB19" s="1144">
        <v>0</v>
      </c>
      <c r="IC19" s="1144">
        <v>0</v>
      </c>
      <c r="ID19" s="1144">
        <v>0</v>
      </c>
      <c r="IE19" s="1144">
        <v>0</v>
      </c>
      <c r="IF19" s="1144">
        <v>0</v>
      </c>
      <c r="IG19" s="1144">
        <v>0</v>
      </c>
      <c r="IH19" s="1144">
        <v>0</v>
      </c>
      <c r="II19" s="1144">
        <v>0</v>
      </c>
      <c r="IJ19" s="1144">
        <v>0</v>
      </c>
      <c r="IK19" s="1144">
        <v>0</v>
      </c>
      <c r="IL19" s="1144">
        <v>0</v>
      </c>
      <c r="IM19" s="1144">
        <v>0</v>
      </c>
      <c r="IN19" s="1144">
        <v>0</v>
      </c>
      <c r="IO19" s="1144">
        <v>0</v>
      </c>
      <c r="IP19" s="1144">
        <v>0</v>
      </c>
      <c r="IQ19" s="1144">
        <v>0</v>
      </c>
      <c r="IR19" s="1144">
        <v>0</v>
      </c>
      <c r="IS19" s="1144">
        <v>0</v>
      </c>
      <c r="IT19" s="1144">
        <v>0</v>
      </c>
      <c r="IU19" s="1144">
        <v>0</v>
      </c>
      <c r="IV19" s="1144">
        <v>0</v>
      </c>
      <c r="IW19" s="1144">
        <v>0</v>
      </c>
      <c r="IX19" s="1144">
        <v>0</v>
      </c>
      <c r="IY19" s="1144">
        <v>0</v>
      </c>
      <c r="IZ19" s="1144">
        <v>0</v>
      </c>
      <c r="JA19" s="1144">
        <v>0</v>
      </c>
      <c r="JB19" s="1144">
        <v>0</v>
      </c>
      <c r="JC19" s="1144">
        <v>1</v>
      </c>
      <c r="JD19" s="1146"/>
      <c r="JE19" s="1144">
        <v>0</v>
      </c>
      <c r="JF19" s="1144">
        <v>0</v>
      </c>
      <c r="JG19" s="1144">
        <v>0</v>
      </c>
      <c r="JH19" s="1144">
        <v>0</v>
      </c>
      <c r="JI19" s="1144">
        <v>0</v>
      </c>
      <c r="JJ19" s="1144">
        <v>0</v>
      </c>
      <c r="JK19" s="1144">
        <v>0</v>
      </c>
      <c r="JL19" s="1144">
        <v>0</v>
      </c>
      <c r="JM19" s="1144">
        <v>0</v>
      </c>
      <c r="JN19" s="1144">
        <v>0</v>
      </c>
      <c r="JO19" s="1144">
        <v>0</v>
      </c>
      <c r="JP19" s="1144">
        <v>1</v>
      </c>
      <c r="JQ19" s="1144">
        <v>1</v>
      </c>
      <c r="JR19" s="1144">
        <v>1</v>
      </c>
      <c r="JS19" s="1144">
        <v>1</v>
      </c>
      <c r="JT19" s="1144">
        <v>1</v>
      </c>
      <c r="JU19" s="1144">
        <v>1</v>
      </c>
      <c r="JV19" s="1144">
        <v>1</v>
      </c>
      <c r="JW19" s="1144">
        <v>1</v>
      </c>
      <c r="JX19" s="1144">
        <v>1</v>
      </c>
      <c r="JY19" s="1144">
        <v>1</v>
      </c>
      <c r="JZ19" s="1144">
        <v>1</v>
      </c>
      <c r="KA19" s="1144">
        <v>1</v>
      </c>
      <c r="KB19" s="1144">
        <v>1</v>
      </c>
      <c r="KC19" s="1144">
        <v>1</v>
      </c>
      <c r="KD19" s="1144">
        <v>1</v>
      </c>
      <c r="KE19" s="1144">
        <v>1</v>
      </c>
    </row>
    <row r="20" spans="1:291">
      <c r="A20" s="78"/>
      <c r="B20" s="83">
        <v>495</v>
      </c>
      <c r="C20" s="437" t="s">
        <v>73</v>
      </c>
      <c r="D20" s="1144" t="s">
        <v>2686</v>
      </c>
      <c r="E20" s="1144" t="s">
        <v>2686</v>
      </c>
      <c r="F20" s="1144" t="s">
        <v>2686</v>
      </c>
      <c r="G20" s="1144" t="s">
        <v>2686</v>
      </c>
      <c r="H20" s="1144" t="s">
        <v>2686</v>
      </c>
      <c r="I20" s="1144" t="s">
        <v>2686</v>
      </c>
      <c r="J20" s="1144" t="s">
        <v>2686</v>
      </c>
      <c r="K20" s="1144" t="s">
        <v>2686</v>
      </c>
      <c r="L20" s="1144" t="s">
        <v>2686</v>
      </c>
      <c r="M20" s="1144" t="s">
        <v>2686</v>
      </c>
      <c r="N20" s="1144" t="s">
        <v>2686</v>
      </c>
      <c r="O20" s="1144" t="s">
        <v>2686</v>
      </c>
      <c r="P20" s="1144" t="s">
        <v>2686</v>
      </c>
      <c r="Q20" s="1144" t="s">
        <v>2686</v>
      </c>
      <c r="R20" s="1144" t="s">
        <v>2686</v>
      </c>
      <c r="S20" s="1144" t="s">
        <v>2686</v>
      </c>
      <c r="T20" s="1144" t="s">
        <v>2686</v>
      </c>
      <c r="U20" s="1144" t="s">
        <v>2686</v>
      </c>
      <c r="V20" s="1144" t="s">
        <v>2686</v>
      </c>
      <c r="W20" s="1144" t="s">
        <v>2686</v>
      </c>
      <c r="X20" s="1144" t="s">
        <v>2686</v>
      </c>
      <c r="Y20" s="1144" t="s">
        <v>2686</v>
      </c>
      <c r="Z20" s="1144" t="s">
        <v>2686</v>
      </c>
      <c r="AA20" s="1144" t="s">
        <v>2686</v>
      </c>
      <c r="AB20" s="1144" t="s">
        <v>2686</v>
      </c>
      <c r="AC20" s="1144" t="s">
        <v>2686</v>
      </c>
      <c r="AD20" s="1144" t="s">
        <v>2686</v>
      </c>
      <c r="AE20" s="1144" t="s">
        <v>2686</v>
      </c>
      <c r="AF20" s="1144" t="s">
        <v>2686</v>
      </c>
      <c r="AG20" s="1144" t="s">
        <v>2686</v>
      </c>
      <c r="AH20" s="1144" t="s">
        <v>2686</v>
      </c>
      <c r="AI20" s="1144" t="s">
        <v>2686</v>
      </c>
      <c r="AJ20" s="1144" t="s">
        <v>2686</v>
      </c>
      <c r="AK20" s="1144" t="s">
        <v>2686</v>
      </c>
      <c r="AL20" s="1144" t="s">
        <v>2687</v>
      </c>
      <c r="AM20" s="1144" t="s">
        <v>2687</v>
      </c>
      <c r="AN20" s="1144" t="s">
        <v>2687</v>
      </c>
      <c r="AO20" s="1144" t="s">
        <v>2687</v>
      </c>
      <c r="AP20" s="1144" t="s">
        <v>2687</v>
      </c>
      <c r="AQ20" s="1144" t="s">
        <v>2687</v>
      </c>
      <c r="AR20" s="1144" t="s">
        <v>2687</v>
      </c>
      <c r="AS20" s="1144" t="s">
        <v>2687</v>
      </c>
      <c r="AT20" s="1144" t="s">
        <v>2687</v>
      </c>
      <c r="AU20" s="1144" t="s">
        <v>2687</v>
      </c>
      <c r="AV20" s="1144" t="s">
        <v>2687</v>
      </c>
      <c r="AW20" s="1144" t="s">
        <v>2687</v>
      </c>
      <c r="AX20" s="1144" t="s">
        <v>2687</v>
      </c>
      <c r="AY20" s="1144" t="s">
        <v>2687</v>
      </c>
      <c r="AZ20" s="1144" t="s">
        <v>2687</v>
      </c>
      <c r="BA20" s="1144" t="s">
        <v>2687</v>
      </c>
      <c r="BB20" s="1144" t="s">
        <v>2687</v>
      </c>
      <c r="BC20" s="1144" t="s">
        <v>2687</v>
      </c>
      <c r="BD20" s="1144" t="s">
        <v>2687</v>
      </c>
      <c r="BE20" s="1144" t="s">
        <v>2687</v>
      </c>
      <c r="BF20" s="1144" t="s">
        <v>2687</v>
      </c>
      <c r="BG20" s="1144" t="s">
        <v>2687</v>
      </c>
      <c r="BH20" s="1144" t="s">
        <v>2687</v>
      </c>
      <c r="BI20" s="1144" t="s">
        <v>2687</v>
      </c>
      <c r="BJ20" s="1144" t="s">
        <v>2687</v>
      </c>
      <c r="BK20" s="1144" t="s">
        <v>2687</v>
      </c>
      <c r="BL20" s="1145" t="s">
        <v>2687</v>
      </c>
      <c r="BM20" s="1145" t="s">
        <v>2687</v>
      </c>
      <c r="BN20" s="1144" t="s">
        <v>2687</v>
      </c>
      <c r="BO20" s="1144" t="s">
        <v>2687</v>
      </c>
      <c r="BP20" s="1144" t="s">
        <v>2687</v>
      </c>
      <c r="BQ20" s="1144" t="s">
        <v>2687</v>
      </c>
      <c r="BR20" s="1144" t="s">
        <v>2687</v>
      </c>
      <c r="BS20" s="1144" t="s">
        <v>2687</v>
      </c>
      <c r="BT20" s="1144" t="s">
        <v>2687</v>
      </c>
      <c r="BU20" s="1144" t="s">
        <v>2687</v>
      </c>
      <c r="BV20" s="1144" t="s">
        <v>2687</v>
      </c>
      <c r="BW20" s="1144" t="s">
        <v>2687</v>
      </c>
      <c r="BX20" s="1144" t="s">
        <v>2687</v>
      </c>
      <c r="BY20" s="1144" t="s">
        <v>2687</v>
      </c>
      <c r="BZ20" s="1144" t="s">
        <v>2687</v>
      </c>
      <c r="CA20" s="1144" t="s">
        <v>2687</v>
      </c>
      <c r="CB20" s="1144" t="s">
        <v>2687</v>
      </c>
      <c r="CC20" s="1144" t="s">
        <v>2687</v>
      </c>
      <c r="CD20" s="1144" t="s">
        <v>2687</v>
      </c>
      <c r="CE20" s="1144" t="s">
        <v>2687</v>
      </c>
      <c r="CF20" s="1144" t="s">
        <v>2687</v>
      </c>
      <c r="CG20" s="1144" t="s">
        <v>2687</v>
      </c>
      <c r="CH20" s="1144" t="s">
        <v>2687</v>
      </c>
      <c r="CI20" s="1144" t="s">
        <v>2687</v>
      </c>
      <c r="CJ20" s="1144" t="s">
        <v>2687</v>
      </c>
      <c r="CK20" s="1144" t="s">
        <v>2687</v>
      </c>
      <c r="CL20" s="1144" t="s">
        <v>2687</v>
      </c>
      <c r="CM20" s="1144" t="s">
        <v>2687</v>
      </c>
      <c r="CN20" s="1144" t="s">
        <v>2687</v>
      </c>
      <c r="CO20" s="1144" t="s">
        <v>2687</v>
      </c>
      <c r="CP20" s="1144" t="s">
        <v>2687</v>
      </c>
      <c r="CQ20" s="1144" t="s">
        <v>2687</v>
      </c>
      <c r="CR20" s="1144" t="s">
        <v>2687</v>
      </c>
      <c r="CS20" s="1144" t="s">
        <v>2687</v>
      </c>
      <c r="CT20" s="1144" t="s">
        <v>2687</v>
      </c>
      <c r="CU20" s="1144" t="s">
        <v>2687</v>
      </c>
      <c r="CV20" s="1144" t="s">
        <v>2687</v>
      </c>
      <c r="CW20" s="1144" t="s">
        <v>2687</v>
      </c>
      <c r="CX20" s="1144" t="s">
        <v>2687</v>
      </c>
      <c r="CY20" s="1144" t="s">
        <v>2687</v>
      </c>
      <c r="CZ20" s="1144" t="s">
        <v>2687</v>
      </c>
      <c r="DA20" s="1144" t="s">
        <v>2687</v>
      </c>
      <c r="DB20" s="1144" t="s">
        <v>2687</v>
      </c>
      <c r="DC20" s="1144" t="s">
        <v>2687</v>
      </c>
      <c r="DD20" s="1144" t="s">
        <v>2687</v>
      </c>
      <c r="DE20" s="1144" t="s">
        <v>2687</v>
      </c>
      <c r="DF20" s="1144" t="s">
        <v>2687</v>
      </c>
      <c r="DG20" s="1144" t="s">
        <v>2687</v>
      </c>
      <c r="DH20" s="1144" t="s">
        <v>2687</v>
      </c>
      <c r="DI20" s="1144" t="s">
        <v>2687</v>
      </c>
      <c r="DJ20" s="1144" t="s">
        <v>2687</v>
      </c>
      <c r="DK20" s="1144" t="s">
        <v>2687</v>
      </c>
      <c r="DL20" s="1144" t="s">
        <v>2687</v>
      </c>
      <c r="DM20" s="1144" t="s">
        <v>968</v>
      </c>
      <c r="DN20" s="1144" t="s">
        <v>968</v>
      </c>
      <c r="DO20" s="1144" t="s">
        <v>968</v>
      </c>
      <c r="DP20" s="1144" t="s">
        <v>968</v>
      </c>
      <c r="DQ20" s="1144" t="s">
        <v>968</v>
      </c>
      <c r="DR20" s="1144" t="s">
        <v>968</v>
      </c>
      <c r="DS20" s="1145" t="s">
        <v>2687</v>
      </c>
      <c r="DT20" s="1145" t="s">
        <v>2687</v>
      </c>
      <c r="DU20" s="1144" t="s">
        <v>2687</v>
      </c>
      <c r="DV20" s="1145" t="s">
        <v>2687</v>
      </c>
      <c r="DW20" s="1144" t="s">
        <v>2687</v>
      </c>
      <c r="DX20" s="1145" t="s">
        <v>2687</v>
      </c>
      <c r="DY20" s="1144" t="s">
        <v>2687</v>
      </c>
      <c r="DZ20" s="1144" t="s">
        <v>2687</v>
      </c>
      <c r="EA20" s="1145" t="s">
        <v>2687</v>
      </c>
      <c r="EB20" s="1144" t="s">
        <v>2687</v>
      </c>
      <c r="EC20" s="1144" t="s">
        <v>2687</v>
      </c>
      <c r="ED20" s="1144" t="s">
        <v>2687</v>
      </c>
      <c r="EE20" s="1144" t="s">
        <v>2687</v>
      </c>
      <c r="EF20" s="1144" t="s">
        <v>2687</v>
      </c>
      <c r="EG20" s="1144" t="s">
        <v>2687</v>
      </c>
      <c r="EH20" s="1144" t="s">
        <v>2687</v>
      </c>
      <c r="EI20" s="1144" t="s">
        <v>2687</v>
      </c>
      <c r="EJ20" s="1144" t="s">
        <v>2687</v>
      </c>
      <c r="EK20" s="1144" t="s">
        <v>2687</v>
      </c>
      <c r="EL20" s="1144" t="s">
        <v>2687</v>
      </c>
      <c r="EM20" s="1144" t="s">
        <v>2687</v>
      </c>
      <c r="EN20" s="1144" t="s">
        <v>35</v>
      </c>
      <c r="EO20" s="1144" t="s">
        <v>2688</v>
      </c>
      <c r="EP20" s="1144" t="s">
        <v>2688</v>
      </c>
      <c r="EQ20" s="1144" t="s">
        <v>2688</v>
      </c>
      <c r="ER20" s="1144" t="s">
        <v>2688</v>
      </c>
      <c r="ES20" s="1144" t="s">
        <v>2688</v>
      </c>
      <c r="ET20" s="1144" t="s">
        <v>2688</v>
      </c>
      <c r="EU20" s="1144" t="s">
        <v>2688</v>
      </c>
      <c r="EV20" s="1144" t="s">
        <v>2688</v>
      </c>
      <c r="EW20" s="1144" t="s">
        <v>2688</v>
      </c>
      <c r="EX20" s="1144" t="s">
        <v>2688</v>
      </c>
      <c r="EY20" s="1144" t="s">
        <v>2688</v>
      </c>
      <c r="EZ20" s="1144" t="s">
        <v>2688</v>
      </c>
      <c r="FA20" s="1144" t="s">
        <v>2688</v>
      </c>
      <c r="FB20" s="1144" t="s">
        <v>2687</v>
      </c>
      <c r="FC20" s="1144" t="s">
        <v>2687</v>
      </c>
      <c r="FD20" s="1144" t="s">
        <v>2687</v>
      </c>
      <c r="FE20" s="1144" t="s">
        <v>2687</v>
      </c>
      <c r="FF20" s="1144" t="s">
        <v>2687</v>
      </c>
      <c r="FG20" s="1144" t="s">
        <v>2687</v>
      </c>
      <c r="FH20" s="1144" t="s">
        <v>2687</v>
      </c>
      <c r="FI20" s="1144" t="s">
        <v>2687</v>
      </c>
      <c r="FJ20" s="1144" t="s">
        <v>2687</v>
      </c>
      <c r="FK20" s="1144" t="s">
        <v>2689</v>
      </c>
      <c r="FL20" s="1144" t="s">
        <v>2689</v>
      </c>
      <c r="FM20" s="1144" t="s">
        <v>2689</v>
      </c>
      <c r="FN20" s="1144" t="s">
        <v>2689</v>
      </c>
      <c r="FO20" s="1144" t="s">
        <v>2689</v>
      </c>
      <c r="FP20" s="1144" t="s">
        <v>2689</v>
      </c>
      <c r="FQ20" s="1144" t="s">
        <v>2689</v>
      </c>
      <c r="FR20" s="1144" t="s">
        <v>2689</v>
      </c>
      <c r="FS20" s="1144" t="s">
        <v>2689</v>
      </c>
      <c r="FT20" s="1145" t="s">
        <v>2687</v>
      </c>
      <c r="FU20" s="1145" t="s">
        <v>2687</v>
      </c>
      <c r="FV20" s="1145" t="s">
        <v>2687</v>
      </c>
      <c r="FW20" s="1144" t="s">
        <v>2687</v>
      </c>
      <c r="FX20" s="1144" t="s">
        <v>2687</v>
      </c>
      <c r="FY20" s="1144" t="s">
        <v>2687</v>
      </c>
      <c r="FZ20" s="1144" t="s">
        <v>2687</v>
      </c>
      <c r="GA20" s="1144" t="s">
        <v>2687</v>
      </c>
      <c r="GB20" s="1144" t="s">
        <v>2687</v>
      </c>
      <c r="GC20" s="1144" t="s">
        <v>2687</v>
      </c>
      <c r="GD20" s="1144" t="s">
        <v>2687</v>
      </c>
      <c r="GE20" s="1144" t="s">
        <v>2687</v>
      </c>
      <c r="GF20" s="1144" t="s">
        <v>2687</v>
      </c>
      <c r="GG20" s="1144" t="s">
        <v>2687</v>
      </c>
      <c r="GH20" s="1144" t="s">
        <v>2687</v>
      </c>
      <c r="GI20" s="1144" t="s">
        <v>2687</v>
      </c>
      <c r="GJ20" s="1144" t="s">
        <v>2687</v>
      </c>
      <c r="GK20" s="1144" t="s">
        <v>2687</v>
      </c>
      <c r="GL20" s="1144" t="s">
        <v>2687</v>
      </c>
      <c r="GM20" s="1144" t="s">
        <v>2687</v>
      </c>
      <c r="GN20" s="1144" t="s">
        <v>2687</v>
      </c>
      <c r="GO20" s="1144" t="s">
        <v>2687</v>
      </c>
      <c r="GP20" s="1144" t="s">
        <v>2687</v>
      </c>
      <c r="GQ20" s="1144" t="s">
        <v>2687</v>
      </c>
      <c r="GR20" s="1144" t="s">
        <v>2687</v>
      </c>
      <c r="GS20" s="1144" t="s">
        <v>2687</v>
      </c>
      <c r="GT20" s="1144" t="s">
        <v>2687</v>
      </c>
      <c r="GU20" s="1144" t="s">
        <v>2687</v>
      </c>
      <c r="GV20" s="1144" t="s">
        <v>2687</v>
      </c>
      <c r="GW20" s="1144" t="s">
        <v>2687</v>
      </c>
      <c r="GX20" s="1144" t="s">
        <v>2687</v>
      </c>
      <c r="GY20" s="1144" t="s">
        <v>2687</v>
      </c>
      <c r="GZ20" s="1144" t="s">
        <v>2687</v>
      </c>
      <c r="HA20" s="1144" t="s">
        <v>2687</v>
      </c>
      <c r="HB20" s="1144" t="s">
        <v>2690</v>
      </c>
      <c r="HC20" s="1144" t="s">
        <v>2690</v>
      </c>
      <c r="HD20" s="1144" t="s">
        <v>2690</v>
      </c>
      <c r="HE20" s="1144" t="s">
        <v>2690</v>
      </c>
      <c r="HF20" s="1144" t="s">
        <v>2690</v>
      </c>
      <c r="HG20" s="1144" t="s">
        <v>2690</v>
      </c>
      <c r="HH20" s="1144" t="s">
        <v>2690</v>
      </c>
      <c r="HI20" s="1144" t="s">
        <v>2690</v>
      </c>
      <c r="HJ20" s="1144" t="s">
        <v>2687</v>
      </c>
      <c r="HK20" s="1144" t="s">
        <v>2690</v>
      </c>
      <c r="HL20" s="1144" t="s">
        <v>2690</v>
      </c>
      <c r="HM20" s="1144" t="s">
        <v>2690</v>
      </c>
      <c r="HN20" s="1144" t="s">
        <v>2690</v>
      </c>
      <c r="HO20" s="1144" t="s">
        <v>2687</v>
      </c>
      <c r="HP20" s="1144" t="s">
        <v>2687</v>
      </c>
      <c r="HQ20" s="1144" t="s">
        <v>2687</v>
      </c>
      <c r="HR20" s="1144" t="s">
        <v>2687</v>
      </c>
      <c r="HS20" s="1144" t="s">
        <v>2687</v>
      </c>
      <c r="HT20" s="1144" t="s">
        <v>2687</v>
      </c>
      <c r="HU20" s="1144" t="s">
        <v>2687</v>
      </c>
      <c r="HV20" s="1144" t="s">
        <v>2687</v>
      </c>
      <c r="HW20" s="1144" t="s">
        <v>2687</v>
      </c>
      <c r="HX20" s="1144" t="s">
        <v>2687</v>
      </c>
      <c r="HY20" s="1144" t="s">
        <v>2687</v>
      </c>
      <c r="HZ20" s="1144" t="s">
        <v>2687</v>
      </c>
      <c r="IA20" s="1144" t="s">
        <v>2687</v>
      </c>
      <c r="IB20" s="1144" t="s">
        <v>2687</v>
      </c>
      <c r="IC20" s="1144" t="s">
        <v>2687</v>
      </c>
      <c r="ID20" s="1144" t="s">
        <v>2687</v>
      </c>
      <c r="IE20" s="1144" t="s">
        <v>2687</v>
      </c>
      <c r="IF20" s="1144" t="s">
        <v>2687</v>
      </c>
      <c r="IG20" s="1144" t="s">
        <v>2687</v>
      </c>
      <c r="IH20" s="1144" t="s">
        <v>2687</v>
      </c>
      <c r="II20" s="1144" t="s">
        <v>2687</v>
      </c>
      <c r="IJ20" s="1144" t="s">
        <v>2687</v>
      </c>
      <c r="IK20" s="1144" t="s">
        <v>2687</v>
      </c>
      <c r="IL20" s="1144" t="s">
        <v>2687</v>
      </c>
      <c r="IM20" s="1144" t="s">
        <v>2687</v>
      </c>
      <c r="IN20" s="1144" t="s">
        <v>2687</v>
      </c>
      <c r="IO20" s="1144" t="s">
        <v>2687</v>
      </c>
      <c r="IP20" s="1144" t="s">
        <v>2687</v>
      </c>
      <c r="IQ20" s="1144" t="s">
        <v>2687</v>
      </c>
      <c r="IR20" s="1144" t="s">
        <v>2687</v>
      </c>
      <c r="IS20" s="1144" t="s">
        <v>2687</v>
      </c>
      <c r="IT20" s="1144" t="s">
        <v>2687</v>
      </c>
      <c r="IU20" s="1144" t="s">
        <v>2687</v>
      </c>
      <c r="IV20" s="1144" t="s">
        <v>22</v>
      </c>
      <c r="IW20" s="1144" t="s">
        <v>22</v>
      </c>
      <c r="IX20" s="1144" t="s">
        <v>35</v>
      </c>
      <c r="IY20" s="1144" t="s">
        <v>35</v>
      </c>
      <c r="IZ20" s="1144" t="s">
        <v>968</v>
      </c>
      <c r="JA20" s="1144" t="s">
        <v>2688</v>
      </c>
      <c r="JB20" s="1144" t="s">
        <v>968</v>
      </c>
      <c r="JC20" s="1144" t="s">
        <v>2687</v>
      </c>
      <c r="JD20" s="1146"/>
      <c r="JE20" s="1144" t="s">
        <v>2687</v>
      </c>
      <c r="JF20" s="1144" t="s">
        <v>2687</v>
      </c>
      <c r="JG20" s="1144" t="s">
        <v>2687</v>
      </c>
      <c r="JH20" s="1144" t="s">
        <v>2687</v>
      </c>
      <c r="JI20" s="1144" t="s">
        <v>2687</v>
      </c>
      <c r="JJ20" s="1144" t="s">
        <v>2687</v>
      </c>
      <c r="JK20" s="1144" t="s">
        <v>2687</v>
      </c>
      <c r="JL20" s="1144" t="s">
        <v>2687</v>
      </c>
      <c r="JM20" s="1144" t="s">
        <v>2687</v>
      </c>
      <c r="JN20" s="1144" t="s">
        <v>2687</v>
      </c>
      <c r="JO20" s="1144" t="s">
        <v>2687</v>
      </c>
      <c r="JP20" s="1144" t="s">
        <v>2687</v>
      </c>
      <c r="JQ20" s="1144" t="s">
        <v>2687</v>
      </c>
      <c r="JR20" s="1144" t="s">
        <v>2687</v>
      </c>
      <c r="JS20" s="1144" t="s">
        <v>2687</v>
      </c>
      <c r="JT20" s="1144" t="s">
        <v>2687</v>
      </c>
      <c r="JU20" s="1144" t="s">
        <v>2687</v>
      </c>
      <c r="JV20" s="1144" t="s">
        <v>2687</v>
      </c>
      <c r="JW20" s="1144" t="s">
        <v>2687</v>
      </c>
      <c r="JX20" s="1144" t="s">
        <v>2687</v>
      </c>
      <c r="JY20" s="1144" t="s">
        <v>2687</v>
      </c>
      <c r="JZ20" s="1144" t="s">
        <v>2687</v>
      </c>
      <c r="KA20" s="1144" t="s">
        <v>2687</v>
      </c>
      <c r="KB20" s="1144" t="s">
        <v>2687</v>
      </c>
      <c r="KC20" s="1144" t="s">
        <v>2687</v>
      </c>
      <c r="KD20" s="1144" t="s">
        <v>2687</v>
      </c>
      <c r="KE20" s="1144" t="s">
        <v>2687</v>
      </c>
    </row>
    <row r="21" spans="1:291">
      <c r="A21" s="78"/>
      <c r="B21" s="83">
        <v>496</v>
      </c>
      <c r="C21" s="437" t="s">
        <v>74</v>
      </c>
      <c r="D21" s="1144" t="s">
        <v>2691</v>
      </c>
      <c r="E21" s="1144" t="s">
        <v>2691</v>
      </c>
      <c r="F21" s="1144" t="s">
        <v>2691</v>
      </c>
      <c r="G21" s="1144" t="s">
        <v>2691</v>
      </c>
      <c r="H21" s="1144" t="s">
        <v>2692</v>
      </c>
      <c r="I21" s="1144" t="s">
        <v>2692</v>
      </c>
      <c r="J21" s="1144" t="s">
        <v>2692</v>
      </c>
      <c r="K21" s="1144" t="s">
        <v>2692</v>
      </c>
      <c r="L21" s="1144" t="s">
        <v>2692</v>
      </c>
      <c r="M21" s="1144" t="s">
        <v>2692</v>
      </c>
      <c r="N21" s="1144" t="s">
        <v>2692</v>
      </c>
      <c r="O21" s="1144" t="s">
        <v>2692</v>
      </c>
      <c r="P21" s="1144" t="s">
        <v>2692</v>
      </c>
      <c r="Q21" s="1144" t="s">
        <v>2692</v>
      </c>
      <c r="R21" s="1144" t="s">
        <v>2692</v>
      </c>
      <c r="S21" s="1144" t="s">
        <v>2692</v>
      </c>
      <c r="T21" s="1144" t="s">
        <v>2692</v>
      </c>
      <c r="U21" s="1144" t="s">
        <v>2692</v>
      </c>
      <c r="V21" s="1144" t="s">
        <v>2692</v>
      </c>
      <c r="W21" s="1144" t="s">
        <v>2692</v>
      </c>
      <c r="X21" s="1144" t="s">
        <v>2692</v>
      </c>
      <c r="Y21" s="1144" t="s">
        <v>2692</v>
      </c>
      <c r="Z21" s="1144" t="s">
        <v>2692</v>
      </c>
      <c r="AA21" s="1144" t="s">
        <v>2692</v>
      </c>
      <c r="AB21" s="1144" t="s">
        <v>2692</v>
      </c>
      <c r="AC21" s="1144" t="s">
        <v>2692</v>
      </c>
      <c r="AD21" s="1144" t="s">
        <v>2692</v>
      </c>
      <c r="AE21" s="1144" t="s">
        <v>2692</v>
      </c>
      <c r="AF21" s="1144" t="s">
        <v>2692</v>
      </c>
      <c r="AG21" s="1144" t="s">
        <v>2692</v>
      </c>
      <c r="AH21" s="1144" t="s">
        <v>2692</v>
      </c>
      <c r="AI21" s="1144" t="s">
        <v>2692</v>
      </c>
      <c r="AJ21" s="1144" t="s">
        <v>2692</v>
      </c>
      <c r="AK21" s="1144" t="s">
        <v>2692</v>
      </c>
      <c r="AL21" s="1144" t="s">
        <v>2693</v>
      </c>
      <c r="AM21" s="1144" t="s">
        <v>2693</v>
      </c>
      <c r="AN21" s="1144" t="s">
        <v>2693</v>
      </c>
      <c r="AO21" s="1144" t="s">
        <v>2693</v>
      </c>
      <c r="AP21" s="1144" t="s">
        <v>2693</v>
      </c>
      <c r="AQ21" s="1144" t="s">
        <v>2693</v>
      </c>
      <c r="AR21" s="1144" t="s">
        <v>2693</v>
      </c>
      <c r="AS21" s="1144" t="s">
        <v>2693</v>
      </c>
      <c r="AT21" s="1144" t="s">
        <v>2693</v>
      </c>
      <c r="AU21" s="1144" t="s">
        <v>2693</v>
      </c>
      <c r="AV21" s="1144" t="s">
        <v>2693</v>
      </c>
      <c r="AW21" s="1144" t="s">
        <v>2693</v>
      </c>
      <c r="AX21" s="1144" t="s">
        <v>2693</v>
      </c>
      <c r="AY21" s="1144" t="s">
        <v>2693</v>
      </c>
      <c r="AZ21" s="1144" t="s">
        <v>2693</v>
      </c>
      <c r="BA21" s="1144" t="s">
        <v>2693</v>
      </c>
      <c r="BB21" s="1144" t="s">
        <v>2693</v>
      </c>
      <c r="BC21" s="1144" t="s">
        <v>2693</v>
      </c>
      <c r="BD21" s="1144" t="s">
        <v>2693</v>
      </c>
      <c r="BE21" s="1144" t="s">
        <v>2693</v>
      </c>
      <c r="BF21" s="1144" t="s">
        <v>2693</v>
      </c>
      <c r="BG21" s="1144" t="s">
        <v>2693</v>
      </c>
      <c r="BH21" s="1144" t="s">
        <v>2693</v>
      </c>
      <c r="BI21" s="1144" t="s">
        <v>2693</v>
      </c>
      <c r="BJ21" s="1144" t="s">
        <v>2693</v>
      </c>
      <c r="BK21" s="1144" t="s">
        <v>2693</v>
      </c>
      <c r="BL21" s="1145" t="s">
        <v>2693</v>
      </c>
      <c r="BM21" s="1145" t="s">
        <v>2693</v>
      </c>
      <c r="BN21" s="1144" t="s">
        <v>2693</v>
      </c>
      <c r="BO21" s="1144" t="s">
        <v>2693</v>
      </c>
      <c r="BP21" s="1144" t="s">
        <v>2693</v>
      </c>
      <c r="BQ21" s="1144" t="s">
        <v>2693</v>
      </c>
      <c r="BR21" s="1144" t="s">
        <v>2693</v>
      </c>
      <c r="BS21" s="1144" t="s">
        <v>2693</v>
      </c>
      <c r="BT21" s="1144" t="s">
        <v>2693</v>
      </c>
      <c r="BU21" s="1144" t="s">
        <v>2693</v>
      </c>
      <c r="BV21" s="1144" t="s">
        <v>2693</v>
      </c>
      <c r="BW21" s="1144" t="s">
        <v>2693</v>
      </c>
      <c r="BX21" s="1144" t="s">
        <v>2693</v>
      </c>
      <c r="BY21" s="1144" t="s">
        <v>2693</v>
      </c>
      <c r="BZ21" s="1144" t="s">
        <v>2693</v>
      </c>
      <c r="CA21" s="1144" t="s">
        <v>2693</v>
      </c>
      <c r="CB21" s="1144" t="s">
        <v>2693</v>
      </c>
      <c r="CC21" s="1144" t="s">
        <v>2693</v>
      </c>
      <c r="CD21" s="1144" t="s">
        <v>2693</v>
      </c>
      <c r="CE21" s="1144" t="s">
        <v>2693</v>
      </c>
      <c r="CF21" s="1144" t="s">
        <v>2693</v>
      </c>
      <c r="CG21" s="1144" t="s">
        <v>2693</v>
      </c>
      <c r="CH21" s="1144" t="s">
        <v>2693</v>
      </c>
      <c r="CI21" s="1144" t="s">
        <v>2693</v>
      </c>
      <c r="CJ21" s="1144" t="s">
        <v>2693</v>
      </c>
      <c r="CK21" s="1144" t="s">
        <v>2693</v>
      </c>
      <c r="CL21" s="1144" t="s">
        <v>2693</v>
      </c>
      <c r="CM21" s="1144" t="s">
        <v>2693</v>
      </c>
      <c r="CN21" s="1144" t="s">
        <v>2693</v>
      </c>
      <c r="CO21" s="1144" t="s">
        <v>2693</v>
      </c>
      <c r="CP21" s="1144" t="s">
        <v>2693</v>
      </c>
      <c r="CQ21" s="1144" t="s">
        <v>2693</v>
      </c>
      <c r="CR21" s="1144" t="s">
        <v>2693</v>
      </c>
      <c r="CS21" s="1144" t="s">
        <v>2693</v>
      </c>
      <c r="CT21" s="1144" t="s">
        <v>2693</v>
      </c>
      <c r="CU21" s="1144" t="s">
        <v>2693</v>
      </c>
      <c r="CV21" s="1144" t="s">
        <v>2693</v>
      </c>
      <c r="CW21" s="1144" t="s">
        <v>2693</v>
      </c>
      <c r="CX21" s="1144" t="s">
        <v>2693</v>
      </c>
      <c r="CY21" s="1144" t="s">
        <v>2693</v>
      </c>
      <c r="CZ21" s="1144" t="s">
        <v>2693</v>
      </c>
      <c r="DA21" s="1144" t="s">
        <v>2693</v>
      </c>
      <c r="DB21" s="1144" t="s">
        <v>2693</v>
      </c>
      <c r="DC21" s="1144" t="s">
        <v>2693</v>
      </c>
      <c r="DD21" s="1144" t="s">
        <v>2693</v>
      </c>
      <c r="DE21" s="1144" t="s">
        <v>2693</v>
      </c>
      <c r="DF21" s="1144" t="s">
        <v>2693</v>
      </c>
      <c r="DG21" s="1144" t="s">
        <v>2693</v>
      </c>
      <c r="DH21" s="1144" t="s">
        <v>2693</v>
      </c>
      <c r="DI21" s="1144" t="s">
        <v>2693</v>
      </c>
      <c r="DJ21" s="1144" t="s">
        <v>2693</v>
      </c>
      <c r="DK21" s="1144" t="s">
        <v>2693</v>
      </c>
      <c r="DL21" s="1144" t="s">
        <v>2693</v>
      </c>
      <c r="DM21" s="1144" t="s">
        <v>2694</v>
      </c>
      <c r="DN21" s="1144" t="s">
        <v>2694</v>
      </c>
      <c r="DO21" s="1144" t="s">
        <v>2695</v>
      </c>
      <c r="DP21" s="1144" t="s">
        <v>2695</v>
      </c>
      <c r="DQ21" s="1144" t="s">
        <v>2695</v>
      </c>
      <c r="DR21" s="1144" t="s">
        <v>2695</v>
      </c>
      <c r="DS21" s="1145" t="s">
        <v>2693</v>
      </c>
      <c r="DT21" s="1145" t="s">
        <v>2693</v>
      </c>
      <c r="DU21" s="1144" t="s">
        <v>2693</v>
      </c>
      <c r="DV21" s="1145" t="s">
        <v>2693</v>
      </c>
      <c r="DW21" s="1144" t="s">
        <v>2693</v>
      </c>
      <c r="DX21" s="1145" t="s">
        <v>2693</v>
      </c>
      <c r="DY21" s="1144" t="s">
        <v>2693</v>
      </c>
      <c r="DZ21" s="1144" t="s">
        <v>2693</v>
      </c>
      <c r="EA21" s="1145" t="s">
        <v>2693</v>
      </c>
      <c r="EB21" s="1144" t="s">
        <v>2693</v>
      </c>
      <c r="EC21" s="1144" t="s">
        <v>2693</v>
      </c>
      <c r="ED21" s="1144" t="s">
        <v>2693</v>
      </c>
      <c r="EE21" s="1144" t="s">
        <v>2693</v>
      </c>
      <c r="EF21" s="1144" t="s">
        <v>2693</v>
      </c>
      <c r="EG21" s="1144" t="s">
        <v>2693</v>
      </c>
      <c r="EH21" s="1144" t="s">
        <v>2693</v>
      </c>
      <c r="EI21" s="1144" t="s">
        <v>2693</v>
      </c>
      <c r="EJ21" s="1144" t="s">
        <v>2693</v>
      </c>
      <c r="EK21" s="1144" t="s">
        <v>2693</v>
      </c>
      <c r="EL21" s="1144" t="s">
        <v>2693</v>
      </c>
      <c r="EM21" s="1144" t="s">
        <v>2693</v>
      </c>
      <c r="EN21" s="1144" t="s">
        <v>2696</v>
      </c>
      <c r="EO21" s="1144" t="s">
        <v>2030</v>
      </c>
      <c r="EP21" s="1144" t="s">
        <v>2030</v>
      </c>
      <c r="EQ21" s="1144" t="s">
        <v>2030</v>
      </c>
      <c r="ER21" s="1144" t="s">
        <v>2030</v>
      </c>
      <c r="ES21" s="1144" t="s">
        <v>2030</v>
      </c>
      <c r="ET21" s="1144" t="s">
        <v>2030</v>
      </c>
      <c r="EU21" s="1144" t="s">
        <v>2030</v>
      </c>
      <c r="EV21" s="1144" t="s">
        <v>2030</v>
      </c>
      <c r="EW21" s="1144" t="s">
        <v>2030</v>
      </c>
      <c r="EX21" s="1144" t="s">
        <v>2030</v>
      </c>
      <c r="EY21" s="1144" t="s">
        <v>2030</v>
      </c>
      <c r="EZ21" s="1144" t="s">
        <v>2030</v>
      </c>
      <c r="FA21" s="1144" t="s">
        <v>2030</v>
      </c>
      <c r="FB21" s="1144" t="s">
        <v>2693</v>
      </c>
      <c r="FC21" s="1144" t="s">
        <v>2693</v>
      </c>
      <c r="FD21" s="1144" t="s">
        <v>2693</v>
      </c>
      <c r="FE21" s="1144" t="s">
        <v>2693</v>
      </c>
      <c r="FF21" s="1144" t="s">
        <v>2693</v>
      </c>
      <c r="FG21" s="1144" t="s">
        <v>2693</v>
      </c>
      <c r="FH21" s="1144" t="s">
        <v>2693</v>
      </c>
      <c r="FI21" s="1144" t="s">
        <v>2693</v>
      </c>
      <c r="FJ21" s="1144" t="s">
        <v>2693</v>
      </c>
      <c r="FK21" s="1144" t="s">
        <v>2697</v>
      </c>
      <c r="FL21" s="1144" t="s">
        <v>2697</v>
      </c>
      <c r="FM21" s="1144" t="s">
        <v>2697</v>
      </c>
      <c r="FN21" s="1144" t="s">
        <v>2697</v>
      </c>
      <c r="FO21" s="1144" t="s">
        <v>2697</v>
      </c>
      <c r="FP21" s="1144" t="s">
        <v>2697</v>
      </c>
      <c r="FQ21" s="1144" t="s">
        <v>2697</v>
      </c>
      <c r="FR21" s="1144" t="s">
        <v>2697</v>
      </c>
      <c r="FS21" s="1144" t="s">
        <v>2697</v>
      </c>
      <c r="FT21" s="1145" t="s">
        <v>2693</v>
      </c>
      <c r="FU21" s="1145" t="s">
        <v>2693</v>
      </c>
      <c r="FV21" s="1145" t="s">
        <v>2693</v>
      </c>
      <c r="FW21" s="1144" t="s">
        <v>2693</v>
      </c>
      <c r="FX21" s="1144" t="s">
        <v>2693</v>
      </c>
      <c r="FY21" s="1144" t="s">
        <v>2693</v>
      </c>
      <c r="FZ21" s="1144" t="s">
        <v>2693</v>
      </c>
      <c r="GA21" s="1144" t="s">
        <v>2693</v>
      </c>
      <c r="GB21" s="1144" t="s">
        <v>2693</v>
      </c>
      <c r="GC21" s="1144" t="s">
        <v>2693</v>
      </c>
      <c r="GD21" s="1144" t="s">
        <v>2693</v>
      </c>
      <c r="GE21" s="1144" t="s">
        <v>2693</v>
      </c>
      <c r="GF21" s="1144" t="s">
        <v>2693</v>
      </c>
      <c r="GG21" s="1144" t="s">
        <v>2693</v>
      </c>
      <c r="GH21" s="1144" t="s">
        <v>2693</v>
      </c>
      <c r="GI21" s="1144" t="s">
        <v>2693</v>
      </c>
      <c r="GJ21" s="1144" t="s">
        <v>2693</v>
      </c>
      <c r="GK21" s="1144" t="s">
        <v>2693</v>
      </c>
      <c r="GL21" s="1144" t="s">
        <v>2693</v>
      </c>
      <c r="GM21" s="1144" t="s">
        <v>2693</v>
      </c>
      <c r="GN21" s="1144" t="s">
        <v>2693</v>
      </c>
      <c r="GO21" s="1144" t="s">
        <v>2693</v>
      </c>
      <c r="GP21" s="1144" t="s">
        <v>2693</v>
      </c>
      <c r="GQ21" s="1144" t="s">
        <v>2693</v>
      </c>
      <c r="GR21" s="1144" t="s">
        <v>2693</v>
      </c>
      <c r="GS21" s="1144" t="s">
        <v>2693</v>
      </c>
      <c r="GT21" s="1144" t="s">
        <v>2693</v>
      </c>
      <c r="GU21" s="1144" t="s">
        <v>2693</v>
      </c>
      <c r="GV21" s="1144" t="s">
        <v>2693</v>
      </c>
      <c r="GW21" s="1144" t="s">
        <v>2693</v>
      </c>
      <c r="GX21" s="1144" t="s">
        <v>2693</v>
      </c>
      <c r="GY21" s="1144" t="s">
        <v>2693</v>
      </c>
      <c r="GZ21" s="1144" t="s">
        <v>2693</v>
      </c>
      <c r="HA21" s="1144" t="s">
        <v>2693</v>
      </c>
      <c r="HB21" s="1144" t="s">
        <v>2687</v>
      </c>
      <c r="HC21" s="1144" t="s">
        <v>2687</v>
      </c>
      <c r="HD21" s="1144" t="s">
        <v>2687</v>
      </c>
      <c r="HE21" s="1144" t="s">
        <v>2687</v>
      </c>
      <c r="HF21" s="1144" t="s">
        <v>2687</v>
      </c>
      <c r="HG21" s="1144" t="s">
        <v>2687</v>
      </c>
      <c r="HH21" s="1144" t="s">
        <v>2687</v>
      </c>
      <c r="HI21" s="1144" t="s">
        <v>2687</v>
      </c>
      <c r="HJ21" s="1144" t="s">
        <v>2693</v>
      </c>
      <c r="HK21" s="1144" t="s">
        <v>2687</v>
      </c>
      <c r="HL21" s="1144" t="s">
        <v>2687</v>
      </c>
      <c r="HM21" s="1144" t="s">
        <v>2687</v>
      </c>
      <c r="HN21" s="1144" t="s">
        <v>2687</v>
      </c>
      <c r="HO21" s="1144" t="s">
        <v>2698</v>
      </c>
      <c r="HP21" s="1144" t="s">
        <v>2698</v>
      </c>
      <c r="HQ21" s="1144" t="s">
        <v>2698</v>
      </c>
      <c r="HR21" s="1144" t="s">
        <v>2698</v>
      </c>
      <c r="HS21" s="1144" t="s">
        <v>2698</v>
      </c>
      <c r="HT21" s="1144" t="s">
        <v>2698</v>
      </c>
      <c r="HU21" s="1144" t="s">
        <v>2698</v>
      </c>
      <c r="HV21" s="1144" t="s">
        <v>2698</v>
      </c>
      <c r="HW21" s="1144" t="s">
        <v>2698</v>
      </c>
      <c r="HX21" s="1144" t="s">
        <v>2698</v>
      </c>
      <c r="HY21" s="1144" t="s">
        <v>2698</v>
      </c>
      <c r="HZ21" s="1144" t="s">
        <v>2698</v>
      </c>
      <c r="IA21" s="1144" t="s">
        <v>2698</v>
      </c>
      <c r="IB21" s="1144" t="s">
        <v>2698</v>
      </c>
      <c r="IC21" s="1144" t="s">
        <v>2698</v>
      </c>
      <c r="ID21" s="1144" t="s">
        <v>2698</v>
      </c>
      <c r="IE21" s="1144" t="s">
        <v>2698</v>
      </c>
      <c r="IF21" s="1144" t="s">
        <v>2698</v>
      </c>
      <c r="IG21" s="1144" t="s">
        <v>2698</v>
      </c>
      <c r="IH21" s="1144" t="s">
        <v>2698</v>
      </c>
      <c r="II21" s="1144" t="s">
        <v>2698</v>
      </c>
      <c r="IJ21" s="1144" t="s">
        <v>2698</v>
      </c>
      <c r="IK21" s="1144" t="s">
        <v>2698</v>
      </c>
      <c r="IL21" s="1144" t="s">
        <v>2698</v>
      </c>
      <c r="IM21" s="1144" t="s">
        <v>2698</v>
      </c>
      <c r="IN21" s="1144" t="s">
        <v>2698</v>
      </c>
      <c r="IO21" s="1144" t="s">
        <v>2698</v>
      </c>
      <c r="IP21" s="1144" t="s">
        <v>2698</v>
      </c>
      <c r="IQ21" s="1144" t="s">
        <v>2698</v>
      </c>
      <c r="IR21" s="1144" t="s">
        <v>2698</v>
      </c>
      <c r="IS21" s="1144" t="s">
        <v>2698</v>
      </c>
      <c r="IT21" s="1144" t="s">
        <v>2698</v>
      </c>
      <c r="IU21" s="1144" t="s">
        <v>2698</v>
      </c>
      <c r="IV21" s="1144" t="s">
        <v>2699</v>
      </c>
      <c r="IW21" s="1144" t="s">
        <v>2699</v>
      </c>
      <c r="IX21" s="1144" t="s">
        <v>2700</v>
      </c>
      <c r="IY21" s="1144" t="s">
        <v>2696</v>
      </c>
      <c r="IZ21" s="1144" t="s">
        <v>2694</v>
      </c>
      <c r="JA21" s="1144" t="s">
        <v>2701</v>
      </c>
      <c r="JB21" s="1144" t="s">
        <v>2702</v>
      </c>
      <c r="JC21" s="1144" t="s">
        <v>2693</v>
      </c>
      <c r="JD21" s="1146"/>
      <c r="JE21" s="1144" t="s">
        <v>2693</v>
      </c>
      <c r="JF21" s="1144" t="s">
        <v>2693</v>
      </c>
      <c r="JG21" s="1144" t="s">
        <v>2693</v>
      </c>
      <c r="JH21" s="1144" t="s">
        <v>2693</v>
      </c>
      <c r="JI21" s="1144" t="s">
        <v>2693</v>
      </c>
      <c r="JJ21" s="1144" t="s">
        <v>2693</v>
      </c>
      <c r="JK21" s="1144" t="s">
        <v>2693</v>
      </c>
      <c r="JL21" s="1144" t="s">
        <v>2693</v>
      </c>
      <c r="JM21" s="1144" t="s">
        <v>2693</v>
      </c>
      <c r="JN21" s="1144" t="s">
        <v>2693</v>
      </c>
      <c r="JO21" s="1144" t="s">
        <v>2693</v>
      </c>
      <c r="JP21" s="1144" t="s">
        <v>2693</v>
      </c>
      <c r="JQ21" s="1144" t="s">
        <v>2693</v>
      </c>
      <c r="JR21" s="1144" t="s">
        <v>2693</v>
      </c>
      <c r="JS21" s="1144" t="s">
        <v>2693</v>
      </c>
      <c r="JT21" s="1144" t="s">
        <v>2693</v>
      </c>
      <c r="JU21" s="1144" t="s">
        <v>2693</v>
      </c>
      <c r="JV21" s="1144" t="s">
        <v>2693</v>
      </c>
      <c r="JW21" s="1144" t="s">
        <v>2693</v>
      </c>
      <c r="JX21" s="1144" t="s">
        <v>2693</v>
      </c>
      <c r="JY21" s="1144" t="s">
        <v>2693</v>
      </c>
      <c r="JZ21" s="1144" t="s">
        <v>2693</v>
      </c>
      <c r="KA21" s="1144" t="s">
        <v>2693</v>
      </c>
      <c r="KB21" s="1144" t="s">
        <v>2693</v>
      </c>
      <c r="KC21" s="1144" t="s">
        <v>2693</v>
      </c>
      <c r="KD21" s="1144" t="s">
        <v>2693</v>
      </c>
      <c r="KE21" s="1144" t="s">
        <v>2693</v>
      </c>
    </row>
    <row r="22" spans="1:291" outlineLevel="1">
      <c r="A22" s="78"/>
      <c r="B22" s="83">
        <v>497</v>
      </c>
      <c r="C22" s="437" t="s">
        <v>2703</v>
      </c>
      <c r="D22" s="1144" t="s">
        <v>2704</v>
      </c>
      <c r="E22" s="1144" t="s">
        <v>2704</v>
      </c>
      <c r="F22" s="1144" t="s">
        <v>2704</v>
      </c>
      <c r="G22" s="1144" t="s">
        <v>2704</v>
      </c>
      <c r="H22" s="1144" t="s">
        <v>2704</v>
      </c>
      <c r="I22" s="1144" t="s">
        <v>2704</v>
      </c>
      <c r="J22" s="1144" t="s">
        <v>2704</v>
      </c>
      <c r="K22" s="1144" t="s">
        <v>2704</v>
      </c>
      <c r="L22" s="1144" t="s">
        <v>2704</v>
      </c>
      <c r="M22" s="1144" t="s">
        <v>2704</v>
      </c>
      <c r="N22" s="1144" t="s">
        <v>2704</v>
      </c>
      <c r="O22" s="1144" t="s">
        <v>2704</v>
      </c>
      <c r="P22" s="1144" t="s">
        <v>2704</v>
      </c>
      <c r="Q22" s="1144" t="s">
        <v>2704</v>
      </c>
      <c r="R22" s="1144" t="s">
        <v>2704</v>
      </c>
      <c r="S22" s="1144" t="s">
        <v>2704</v>
      </c>
      <c r="T22" s="1144" t="s">
        <v>2704</v>
      </c>
      <c r="U22" s="1144" t="s">
        <v>2704</v>
      </c>
      <c r="V22" s="1144" t="s">
        <v>2704</v>
      </c>
      <c r="W22" s="1144" t="s">
        <v>2704</v>
      </c>
      <c r="X22" s="1144" t="s">
        <v>2704</v>
      </c>
      <c r="Y22" s="1144" t="s">
        <v>2704</v>
      </c>
      <c r="Z22" s="1144" t="s">
        <v>2704</v>
      </c>
      <c r="AA22" s="1144" t="s">
        <v>2704</v>
      </c>
      <c r="AB22" s="1144" t="s">
        <v>2704</v>
      </c>
      <c r="AC22" s="1144" t="s">
        <v>2704</v>
      </c>
      <c r="AD22" s="1144" t="s">
        <v>2704</v>
      </c>
      <c r="AE22" s="1144" t="s">
        <v>2704</v>
      </c>
      <c r="AF22" s="1144" t="s">
        <v>2704</v>
      </c>
      <c r="AG22" s="1144" t="s">
        <v>2704</v>
      </c>
      <c r="AH22" s="1144" t="s">
        <v>2704</v>
      </c>
      <c r="AI22" s="1144" t="s">
        <v>2704</v>
      </c>
      <c r="AJ22" s="1144" t="s">
        <v>2704</v>
      </c>
      <c r="AK22" s="1144" t="s">
        <v>2704</v>
      </c>
      <c r="AL22" s="1144" t="s">
        <v>2705</v>
      </c>
      <c r="AM22" s="1144" t="s">
        <v>2705</v>
      </c>
      <c r="AN22" s="1144" t="s">
        <v>2705</v>
      </c>
      <c r="AO22" s="1144" t="s">
        <v>2705</v>
      </c>
      <c r="AP22" s="1144" t="s">
        <v>2705</v>
      </c>
      <c r="AQ22" s="1144" t="s">
        <v>2705</v>
      </c>
      <c r="AR22" s="1144" t="s">
        <v>2705</v>
      </c>
      <c r="AS22" s="1144" t="s">
        <v>2705</v>
      </c>
      <c r="AT22" s="1144" t="s">
        <v>2705</v>
      </c>
      <c r="AU22" s="1144" t="s">
        <v>2705</v>
      </c>
      <c r="AV22" s="1144" t="s">
        <v>2705</v>
      </c>
      <c r="AW22" s="1144" t="s">
        <v>2705</v>
      </c>
      <c r="AX22" s="1144" t="s">
        <v>2705</v>
      </c>
      <c r="AY22" s="1144" t="s">
        <v>2705</v>
      </c>
      <c r="AZ22" s="1144" t="s">
        <v>2705</v>
      </c>
      <c r="BA22" s="1144" t="s">
        <v>2705</v>
      </c>
      <c r="BB22" s="1144" t="s">
        <v>2705</v>
      </c>
      <c r="BC22" s="1144" t="s">
        <v>2705</v>
      </c>
      <c r="BD22" s="1144" t="s">
        <v>2705</v>
      </c>
      <c r="BE22" s="1144" t="s">
        <v>2705</v>
      </c>
      <c r="BF22" s="1144" t="s">
        <v>2705</v>
      </c>
      <c r="BG22" s="1144" t="s">
        <v>2705</v>
      </c>
      <c r="BH22" s="1144" t="s">
        <v>2705</v>
      </c>
      <c r="BI22" s="1144" t="s">
        <v>2705</v>
      </c>
      <c r="BJ22" s="1144" t="s">
        <v>2705</v>
      </c>
      <c r="BK22" s="1144" t="s">
        <v>2705</v>
      </c>
      <c r="BL22" s="1145" t="s">
        <v>2705</v>
      </c>
      <c r="BM22" s="1145" t="s">
        <v>2705</v>
      </c>
      <c r="BN22" s="1144" t="s">
        <v>2705</v>
      </c>
      <c r="BO22" s="1144" t="s">
        <v>2705</v>
      </c>
      <c r="BP22" s="1144" t="s">
        <v>2705</v>
      </c>
      <c r="BQ22" s="1144" t="s">
        <v>2705</v>
      </c>
      <c r="BR22" s="1144" t="s">
        <v>2705</v>
      </c>
      <c r="BS22" s="1144" t="s">
        <v>2705</v>
      </c>
      <c r="BT22" s="1144" t="s">
        <v>2705</v>
      </c>
      <c r="BU22" s="1144" t="s">
        <v>2705</v>
      </c>
      <c r="BV22" s="1144" t="s">
        <v>2705</v>
      </c>
      <c r="BW22" s="1144" t="s">
        <v>2705</v>
      </c>
      <c r="BX22" s="1144" t="s">
        <v>2705</v>
      </c>
      <c r="BY22" s="1144" t="s">
        <v>2705</v>
      </c>
      <c r="BZ22" s="1144" t="s">
        <v>2705</v>
      </c>
      <c r="CA22" s="1144" t="s">
        <v>2705</v>
      </c>
      <c r="CB22" s="1144" t="s">
        <v>2705</v>
      </c>
      <c r="CC22" s="1144" t="s">
        <v>2705</v>
      </c>
      <c r="CD22" s="1144" t="s">
        <v>2705</v>
      </c>
      <c r="CE22" s="1144" t="s">
        <v>2705</v>
      </c>
      <c r="CF22" s="1144" t="s">
        <v>2705</v>
      </c>
      <c r="CG22" s="1144" t="s">
        <v>2705</v>
      </c>
      <c r="CH22" s="1144" t="s">
        <v>2705</v>
      </c>
      <c r="CI22" s="1144" t="s">
        <v>2705</v>
      </c>
      <c r="CJ22" s="1144" t="s">
        <v>2705</v>
      </c>
      <c r="CK22" s="1144" t="s">
        <v>2705</v>
      </c>
      <c r="CL22" s="1144" t="s">
        <v>2705</v>
      </c>
      <c r="CM22" s="1144" t="s">
        <v>2705</v>
      </c>
      <c r="CN22" s="1144" t="s">
        <v>2705</v>
      </c>
      <c r="CO22" s="1144" t="s">
        <v>2705</v>
      </c>
      <c r="CP22" s="1144" t="s">
        <v>2705</v>
      </c>
      <c r="CQ22" s="1144" t="s">
        <v>2705</v>
      </c>
      <c r="CR22" s="1144" t="s">
        <v>2705</v>
      </c>
      <c r="CS22" s="1144" t="s">
        <v>2705</v>
      </c>
      <c r="CT22" s="1144" t="s">
        <v>2705</v>
      </c>
      <c r="CU22" s="1144" t="s">
        <v>2705</v>
      </c>
      <c r="CV22" s="1144" t="s">
        <v>2705</v>
      </c>
      <c r="CW22" s="1144" t="s">
        <v>2705</v>
      </c>
      <c r="CX22" s="1144" t="s">
        <v>2705</v>
      </c>
      <c r="CY22" s="1144" t="s">
        <v>2705</v>
      </c>
      <c r="CZ22" s="1144" t="s">
        <v>2705</v>
      </c>
      <c r="DA22" s="1144" t="s">
        <v>2705</v>
      </c>
      <c r="DB22" s="1144" t="s">
        <v>2705</v>
      </c>
      <c r="DC22" s="1144" t="s">
        <v>2705</v>
      </c>
      <c r="DD22" s="1144" t="s">
        <v>2705</v>
      </c>
      <c r="DE22" s="1144" t="s">
        <v>2705</v>
      </c>
      <c r="DF22" s="1144" t="s">
        <v>2705</v>
      </c>
      <c r="DG22" s="1144" t="s">
        <v>2705</v>
      </c>
      <c r="DH22" s="1144" t="s">
        <v>2705</v>
      </c>
      <c r="DI22" s="1144" t="s">
        <v>2705</v>
      </c>
      <c r="DJ22" s="1144" t="s">
        <v>2705</v>
      </c>
      <c r="DK22" s="1144" t="s">
        <v>2705</v>
      </c>
      <c r="DL22" s="1144" t="s">
        <v>2705</v>
      </c>
      <c r="DM22" s="1144" t="s">
        <v>2706</v>
      </c>
      <c r="DN22" s="1144" t="s">
        <v>2706</v>
      </c>
      <c r="DO22" s="1144" t="s">
        <v>2706</v>
      </c>
      <c r="DP22" s="1144" t="s">
        <v>2706</v>
      </c>
      <c r="DQ22" s="1144" t="s">
        <v>2706</v>
      </c>
      <c r="DR22" s="1144" t="s">
        <v>2706</v>
      </c>
      <c r="DS22" s="1145" t="s">
        <v>2705</v>
      </c>
      <c r="DT22" s="1145" t="s">
        <v>2705</v>
      </c>
      <c r="DU22" s="1144" t="s">
        <v>2705</v>
      </c>
      <c r="DV22" s="1145" t="s">
        <v>2705</v>
      </c>
      <c r="DW22" s="1144" t="s">
        <v>2705</v>
      </c>
      <c r="DX22" s="1145" t="s">
        <v>2705</v>
      </c>
      <c r="DY22" s="1144" t="s">
        <v>2705</v>
      </c>
      <c r="DZ22" s="1144" t="s">
        <v>2705</v>
      </c>
      <c r="EA22" s="1145" t="s">
        <v>2705</v>
      </c>
      <c r="EB22" s="1144" t="s">
        <v>2705</v>
      </c>
      <c r="EC22" s="1144" t="s">
        <v>2705</v>
      </c>
      <c r="ED22" s="1144" t="s">
        <v>2705</v>
      </c>
      <c r="EE22" s="1144" t="s">
        <v>2705</v>
      </c>
      <c r="EF22" s="1144" t="s">
        <v>2705</v>
      </c>
      <c r="EG22" s="1144" t="s">
        <v>2705</v>
      </c>
      <c r="EH22" s="1144" t="s">
        <v>2705</v>
      </c>
      <c r="EI22" s="1144" t="s">
        <v>2705</v>
      </c>
      <c r="EJ22" s="1144" t="s">
        <v>2705</v>
      </c>
      <c r="EK22" s="1144" t="s">
        <v>2705</v>
      </c>
      <c r="EL22" s="1144" t="s">
        <v>2705</v>
      </c>
      <c r="EM22" s="1144" t="s">
        <v>2705</v>
      </c>
      <c r="EN22" s="1144" t="s">
        <v>2705</v>
      </c>
      <c r="EO22" s="1144" t="s">
        <v>2707</v>
      </c>
      <c r="EP22" s="1144" t="s">
        <v>2707</v>
      </c>
      <c r="EQ22" s="1144" t="s">
        <v>2707</v>
      </c>
      <c r="ER22" s="1144" t="s">
        <v>2707</v>
      </c>
      <c r="ES22" s="1144" t="s">
        <v>2707</v>
      </c>
      <c r="ET22" s="1144" t="s">
        <v>2707</v>
      </c>
      <c r="EU22" s="1144" t="s">
        <v>2707</v>
      </c>
      <c r="EV22" s="1144" t="s">
        <v>2707</v>
      </c>
      <c r="EW22" s="1144" t="s">
        <v>2707</v>
      </c>
      <c r="EX22" s="1144" t="s">
        <v>2707</v>
      </c>
      <c r="EY22" s="1144" t="s">
        <v>2707</v>
      </c>
      <c r="EZ22" s="1144" t="s">
        <v>2707</v>
      </c>
      <c r="FA22" s="1144" t="s">
        <v>2707</v>
      </c>
      <c r="FB22" s="1144" t="s">
        <v>2705</v>
      </c>
      <c r="FC22" s="1144" t="s">
        <v>2705</v>
      </c>
      <c r="FD22" s="1144" t="s">
        <v>2705</v>
      </c>
      <c r="FE22" s="1144" t="s">
        <v>2705</v>
      </c>
      <c r="FF22" s="1144" t="s">
        <v>2705</v>
      </c>
      <c r="FG22" s="1144" t="s">
        <v>2705</v>
      </c>
      <c r="FH22" s="1144" t="s">
        <v>2705</v>
      </c>
      <c r="FI22" s="1144" t="s">
        <v>2705</v>
      </c>
      <c r="FJ22" s="1144" t="s">
        <v>2705</v>
      </c>
      <c r="FK22" s="1144" t="s">
        <v>2705</v>
      </c>
      <c r="FL22" s="1144" t="s">
        <v>2705</v>
      </c>
      <c r="FM22" s="1144" t="s">
        <v>2705</v>
      </c>
      <c r="FN22" s="1144" t="s">
        <v>2705</v>
      </c>
      <c r="FO22" s="1144" t="s">
        <v>2705</v>
      </c>
      <c r="FP22" s="1144" t="s">
        <v>2705</v>
      </c>
      <c r="FQ22" s="1144" t="s">
        <v>2705</v>
      </c>
      <c r="FR22" s="1144" t="s">
        <v>2705</v>
      </c>
      <c r="FS22" s="1144" t="s">
        <v>2705</v>
      </c>
      <c r="FT22" s="1145" t="s">
        <v>2708</v>
      </c>
      <c r="FU22" s="1145" t="s">
        <v>2705</v>
      </c>
      <c r="FV22" s="1145" t="s">
        <v>2705</v>
      </c>
      <c r="FW22" s="1144" t="s">
        <v>2705</v>
      </c>
      <c r="FX22" s="1144" t="s">
        <v>2705</v>
      </c>
      <c r="FY22" s="1144" t="s">
        <v>2705</v>
      </c>
      <c r="FZ22" s="1144" t="s">
        <v>2705</v>
      </c>
      <c r="GA22" s="1144" t="s">
        <v>2705</v>
      </c>
      <c r="GB22" s="1144" t="s">
        <v>2705</v>
      </c>
      <c r="GC22" s="1144" t="s">
        <v>2705</v>
      </c>
      <c r="GD22" s="1144" t="s">
        <v>2705</v>
      </c>
      <c r="GE22" s="1144" t="s">
        <v>2705</v>
      </c>
      <c r="GF22" s="1144" t="s">
        <v>2705</v>
      </c>
      <c r="GG22" s="1144" t="s">
        <v>2705</v>
      </c>
      <c r="GH22" s="1144" t="s">
        <v>2705</v>
      </c>
      <c r="GI22" s="1144" t="s">
        <v>2705</v>
      </c>
      <c r="GJ22" s="1144" t="s">
        <v>2705</v>
      </c>
      <c r="GK22" s="1144" t="s">
        <v>2705</v>
      </c>
      <c r="GL22" s="1144" t="s">
        <v>2705</v>
      </c>
      <c r="GM22" s="1144" t="s">
        <v>2705</v>
      </c>
      <c r="GN22" s="1144" t="s">
        <v>2705</v>
      </c>
      <c r="GO22" s="1144" t="s">
        <v>2705</v>
      </c>
      <c r="GP22" s="1144" t="s">
        <v>2705</v>
      </c>
      <c r="GQ22" s="1144" t="s">
        <v>2705</v>
      </c>
      <c r="GR22" s="1144" t="s">
        <v>2705</v>
      </c>
      <c r="GS22" s="1144" t="s">
        <v>2705</v>
      </c>
      <c r="GT22" s="1144" t="s">
        <v>2705</v>
      </c>
      <c r="GU22" s="1144" t="s">
        <v>2705</v>
      </c>
      <c r="GV22" s="1144" t="s">
        <v>2705</v>
      </c>
      <c r="GW22" s="1144" t="s">
        <v>2705</v>
      </c>
      <c r="GX22" s="1144" t="s">
        <v>2705</v>
      </c>
      <c r="GY22" s="1144" t="s">
        <v>2705</v>
      </c>
      <c r="GZ22" s="1144" t="s">
        <v>2705</v>
      </c>
      <c r="HA22" s="1144" t="s">
        <v>2705</v>
      </c>
      <c r="HB22" s="1144" t="s">
        <v>2709</v>
      </c>
      <c r="HC22" s="1144" t="s">
        <v>2709</v>
      </c>
      <c r="HD22" s="1144" t="s">
        <v>2709</v>
      </c>
      <c r="HE22" s="1144" t="s">
        <v>2709</v>
      </c>
      <c r="HF22" s="1144" t="s">
        <v>2709</v>
      </c>
      <c r="HG22" s="1144" t="s">
        <v>2709</v>
      </c>
      <c r="HH22" s="1144" t="s">
        <v>2709</v>
      </c>
      <c r="HI22" s="1144" t="s">
        <v>2709</v>
      </c>
      <c r="HJ22" s="1144" t="s">
        <v>2705</v>
      </c>
      <c r="HK22" s="1144" t="s">
        <v>2709</v>
      </c>
      <c r="HL22" s="1144" t="s">
        <v>2709</v>
      </c>
      <c r="HM22" s="1144" t="s">
        <v>2709</v>
      </c>
      <c r="HN22" s="1144" t="s">
        <v>2709</v>
      </c>
      <c r="HO22" s="1144" t="s">
        <v>2705</v>
      </c>
      <c r="HP22" s="1144" t="s">
        <v>2705</v>
      </c>
      <c r="HQ22" s="1144" t="s">
        <v>2705</v>
      </c>
      <c r="HR22" s="1144" t="s">
        <v>2705</v>
      </c>
      <c r="HS22" s="1144" t="s">
        <v>2705</v>
      </c>
      <c r="HT22" s="1144" t="s">
        <v>2705</v>
      </c>
      <c r="HU22" s="1144" t="s">
        <v>2705</v>
      </c>
      <c r="HV22" s="1144" t="s">
        <v>2705</v>
      </c>
      <c r="HW22" s="1144" t="s">
        <v>2705</v>
      </c>
      <c r="HX22" s="1144" t="s">
        <v>2705</v>
      </c>
      <c r="HY22" s="1144" t="s">
        <v>2705</v>
      </c>
      <c r="HZ22" s="1144" t="s">
        <v>2705</v>
      </c>
      <c r="IA22" s="1144" t="s">
        <v>2705</v>
      </c>
      <c r="IB22" s="1144" t="s">
        <v>2705</v>
      </c>
      <c r="IC22" s="1144" t="s">
        <v>2705</v>
      </c>
      <c r="ID22" s="1144" t="s">
        <v>2705</v>
      </c>
      <c r="IE22" s="1144" t="s">
        <v>2705</v>
      </c>
      <c r="IF22" s="1144" t="s">
        <v>2705</v>
      </c>
      <c r="IG22" s="1144" t="s">
        <v>2705</v>
      </c>
      <c r="IH22" s="1144" t="s">
        <v>2705</v>
      </c>
      <c r="II22" s="1144" t="s">
        <v>2705</v>
      </c>
      <c r="IJ22" s="1144" t="s">
        <v>2705</v>
      </c>
      <c r="IK22" s="1144" t="s">
        <v>2705</v>
      </c>
      <c r="IL22" s="1144" t="s">
        <v>2705</v>
      </c>
      <c r="IM22" s="1144" t="s">
        <v>2705</v>
      </c>
      <c r="IN22" s="1144" t="s">
        <v>2705</v>
      </c>
      <c r="IO22" s="1144" t="s">
        <v>2705</v>
      </c>
      <c r="IP22" s="1144" t="s">
        <v>2705</v>
      </c>
      <c r="IQ22" s="1144" t="s">
        <v>2705</v>
      </c>
      <c r="IR22" s="1144" t="s">
        <v>2705</v>
      </c>
      <c r="IS22" s="1144" t="s">
        <v>2705</v>
      </c>
      <c r="IT22" s="1144" t="s">
        <v>2705</v>
      </c>
      <c r="IU22" s="1144" t="s">
        <v>2705</v>
      </c>
      <c r="IV22" s="1144" t="s">
        <v>2710</v>
      </c>
      <c r="IW22" s="1144" t="s">
        <v>2710</v>
      </c>
      <c r="IX22" s="1144" t="s">
        <v>2706</v>
      </c>
      <c r="IY22" s="1144" t="s">
        <v>2706</v>
      </c>
      <c r="IZ22" s="1144" t="s">
        <v>2706</v>
      </c>
      <c r="JA22" s="1144" t="s">
        <v>2707</v>
      </c>
      <c r="JB22" s="1144" t="s">
        <v>2706</v>
      </c>
      <c r="JC22" s="1144" t="s">
        <v>2705</v>
      </c>
      <c r="JD22" s="1146"/>
      <c r="JE22" s="1144" t="s">
        <v>2705</v>
      </c>
      <c r="JF22" s="1144" t="s">
        <v>2705</v>
      </c>
      <c r="JG22" s="1144" t="s">
        <v>2705</v>
      </c>
      <c r="JH22" s="1144" t="s">
        <v>2705</v>
      </c>
      <c r="JI22" s="1144" t="s">
        <v>2705</v>
      </c>
      <c r="JJ22" s="1144" t="s">
        <v>2705</v>
      </c>
      <c r="JK22" s="1144" t="s">
        <v>2705</v>
      </c>
      <c r="JL22" s="1144" t="s">
        <v>2705</v>
      </c>
      <c r="JM22" s="1144" t="s">
        <v>2705</v>
      </c>
      <c r="JN22" s="1144" t="s">
        <v>2705</v>
      </c>
      <c r="JO22" s="1144" t="s">
        <v>2705</v>
      </c>
      <c r="JP22" s="1144" t="s">
        <v>2705</v>
      </c>
      <c r="JQ22" s="1144" t="s">
        <v>2705</v>
      </c>
      <c r="JR22" s="1144" t="s">
        <v>2705</v>
      </c>
      <c r="JS22" s="1144" t="s">
        <v>2705</v>
      </c>
      <c r="JT22" s="1144" t="s">
        <v>2705</v>
      </c>
      <c r="JU22" s="1144" t="s">
        <v>2705</v>
      </c>
      <c r="JV22" s="1144" t="s">
        <v>2705</v>
      </c>
      <c r="JW22" s="1144" t="s">
        <v>2705</v>
      </c>
      <c r="JX22" s="1144" t="s">
        <v>2705</v>
      </c>
      <c r="JY22" s="1144" t="s">
        <v>2705</v>
      </c>
      <c r="JZ22" s="1144" t="s">
        <v>2705</v>
      </c>
      <c r="KA22" s="1144" t="s">
        <v>2705</v>
      </c>
      <c r="KB22" s="1144" t="s">
        <v>2705</v>
      </c>
      <c r="KC22" s="1144" t="s">
        <v>2705</v>
      </c>
      <c r="KD22" s="1144" t="s">
        <v>2705</v>
      </c>
      <c r="KE22" s="1144" t="s">
        <v>2705</v>
      </c>
    </row>
    <row r="23" spans="1:291" outlineLevel="1">
      <c r="A23" s="78"/>
      <c r="B23" s="83">
        <v>498</v>
      </c>
      <c r="C23" s="437" t="s">
        <v>2711</v>
      </c>
      <c r="D23" s="1144" t="s">
        <v>2712</v>
      </c>
      <c r="E23" s="1144" t="s">
        <v>2712</v>
      </c>
      <c r="F23" s="1144" t="s">
        <v>2712</v>
      </c>
      <c r="G23" s="1144" t="s">
        <v>2712</v>
      </c>
      <c r="H23" s="1144" t="s">
        <v>2713</v>
      </c>
      <c r="I23" s="1144" t="s">
        <v>2713</v>
      </c>
      <c r="J23" s="1144" t="s">
        <v>2713</v>
      </c>
      <c r="K23" s="1144" t="s">
        <v>2713</v>
      </c>
      <c r="L23" s="1144" t="s">
        <v>2713</v>
      </c>
      <c r="M23" s="1144" t="s">
        <v>2713</v>
      </c>
      <c r="N23" s="1144" t="s">
        <v>2713</v>
      </c>
      <c r="O23" s="1144" t="s">
        <v>2713</v>
      </c>
      <c r="P23" s="1144" t="s">
        <v>2713</v>
      </c>
      <c r="Q23" s="1144" t="s">
        <v>2713</v>
      </c>
      <c r="R23" s="1144" t="s">
        <v>2713</v>
      </c>
      <c r="S23" s="1144" t="s">
        <v>2713</v>
      </c>
      <c r="T23" s="1144" t="s">
        <v>2713</v>
      </c>
      <c r="U23" s="1144" t="s">
        <v>2713</v>
      </c>
      <c r="V23" s="1144" t="s">
        <v>2713</v>
      </c>
      <c r="W23" s="1144" t="s">
        <v>2713</v>
      </c>
      <c r="X23" s="1144" t="s">
        <v>2713</v>
      </c>
      <c r="Y23" s="1144" t="s">
        <v>2713</v>
      </c>
      <c r="Z23" s="1144" t="s">
        <v>2713</v>
      </c>
      <c r="AA23" s="1144" t="s">
        <v>2713</v>
      </c>
      <c r="AB23" s="1144" t="s">
        <v>2713</v>
      </c>
      <c r="AC23" s="1144" t="s">
        <v>2713</v>
      </c>
      <c r="AD23" s="1144" t="s">
        <v>2713</v>
      </c>
      <c r="AE23" s="1144" t="s">
        <v>2713</v>
      </c>
      <c r="AF23" s="1144" t="s">
        <v>2713</v>
      </c>
      <c r="AG23" s="1144" t="s">
        <v>2713</v>
      </c>
      <c r="AH23" s="1144" t="s">
        <v>2713</v>
      </c>
      <c r="AI23" s="1144" t="s">
        <v>2713</v>
      </c>
      <c r="AJ23" s="1144" t="s">
        <v>2713</v>
      </c>
      <c r="AK23" s="1144" t="s">
        <v>2713</v>
      </c>
      <c r="AL23" s="1144" t="s">
        <v>2714</v>
      </c>
      <c r="AM23" s="1144" t="s">
        <v>2714</v>
      </c>
      <c r="AN23" s="1144" t="s">
        <v>2714</v>
      </c>
      <c r="AO23" s="1144" t="s">
        <v>2714</v>
      </c>
      <c r="AP23" s="1144" t="s">
        <v>2714</v>
      </c>
      <c r="AQ23" s="1144" t="s">
        <v>2714</v>
      </c>
      <c r="AR23" s="1144" t="s">
        <v>2714</v>
      </c>
      <c r="AS23" s="1144" t="s">
        <v>2714</v>
      </c>
      <c r="AT23" s="1144" t="s">
        <v>2714</v>
      </c>
      <c r="AU23" s="1144" t="s">
        <v>2714</v>
      </c>
      <c r="AV23" s="1144" t="s">
        <v>2714</v>
      </c>
      <c r="AW23" s="1144" t="s">
        <v>2714</v>
      </c>
      <c r="AX23" s="1144" t="s">
        <v>2714</v>
      </c>
      <c r="AY23" s="1144" t="s">
        <v>2714</v>
      </c>
      <c r="AZ23" s="1144" t="s">
        <v>2714</v>
      </c>
      <c r="BA23" s="1144" t="s">
        <v>2714</v>
      </c>
      <c r="BB23" s="1144" t="s">
        <v>2714</v>
      </c>
      <c r="BC23" s="1144" t="s">
        <v>2714</v>
      </c>
      <c r="BD23" s="1144" t="s">
        <v>2714</v>
      </c>
      <c r="BE23" s="1144" t="s">
        <v>2714</v>
      </c>
      <c r="BF23" s="1144" t="s">
        <v>2714</v>
      </c>
      <c r="BG23" s="1144" t="s">
        <v>2714</v>
      </c>
      <c r="BH23" s="1144" t="s">
        <v>2714</v>
      </c>
      <c r="BI23" s="1144" t="s">
        <v>2714</v>
      </c>
      <c r="BJ23" s="1144" t="s">
        <v>2714</v>
      </c>
      <c r="BK23" s="1144" t="s">
        <v>2714</v>
      </c>
      <c r="BL23" s="1145" t="s">
        <v>2714</v>
      </c>
      <c r="BM23" s="1145" t="s">
        <v>2714</v>
      </c>
      <c r="BN23" s="1144" t="s">
        <v>2714</v>
      </c>
      <c r="BO23" s="1144" t="s">
        <v>2714</v>
      </c>
      <c r="BP23" s="1144" t="s">
        <v>2714</v>
      </c>
      <c r="BQ23" s="1144" t="s">
        <v>2714</v>
      </c>
      <c r="BR23" s="1144" t="s">
        <v>2714</v>
      </c>
      <c r="BS23" s="1144" t="s">
        <v>2714</v>
      </c>
      <c r="BT23" s="1144" t="s">
        <v>2714</v>
      </c>
      <c r="BU23" s="1144" t="s">
        <v>2714</v>
      </c>
      <c r="BV23" s="1144" t="s">
        <v>2714</v>
      </c>
      <c r="BW23" s="1144" t="s">
        <v>2714</v>
      </c>
      <c r="BX23" s="1144" t="s">
        <v>2714</v>
      </c>
      <c r="BY23" s="1144" t="s">
        <v>2714</v>
      </c>
      <c r="BZ23" s="1144" t="s">
        <v>2714</v>
      </c>
      <c r="CA23" s="1144" t="s">
        <v>2714</v>
      </c>
      <c r="CB23" s="1144" t="s">
        <v>2714</v>
      </c>
      <c r="CC23" s="1144" t="s">
        <v>2714</v>
      </c>
      <c r="CD23" s="1144" t="s">
        <v>2714</v>
      </c>
      <c r="CE23" s="1144" t="s">
        <v>2714</v>
      </c>
      <c r="CF23" s="1144" t="s">
        <v>2714</v>
      </c>
      <c r="CG23" s="1144" t="s">
        <v>2714</v>
      </c>
      <c r="CH23" s="1144" t="s">
        <v>2714</v>
      </c>
      <c r="CI23" s="1144" t="s">
        <v>2714</v>
      </c>
      <c r="CJ23" s="1144" t="s">
        <v>2714</v>
      </c>
      <c r="CK23" s="1144" t="s">
        <v>2714</v>
      </c>
      <c r="CL23" s="1144" t="s">
        <v>2714</v>
      </c>
      <c r="CM23" s="1144" t="s">
        <v>2714</v>
      </c>
      <c r="CN23" s="1144" t="s">
        <v>2714</v>
      </c>
      <c r="CO23" s="1144" t="s">
        <v>2714</v>
      </c>
      <c r="CP23" s="1144" t="s">
        <v>2714</v>
      </c>
      <c r="CQ23" s="1144" t="s">
        <v>2714</v>
      </c>
      <c r="CR23" s="1144" t="s">
        <v>2714</v>
      </c>
      <c r="CS23" s="1144" t="s">
        <v>2714</v>
      </c>
      <c r="CT23" s="1144" t="s">
        <v>2714</v>
      </c>
      <c r="CU23" s="1144" t="s">
        <v>2714</v>
      </c>
      <c r="CV23" s="1144" t="s">
        <v>2714</v>
      </c>
      <c r="CW23" s="1144" t="s">
        <v>2714</v>
      </c>
      <c r="CX23" s="1144" t="s">
        <v>2714</v>
      </c>
      <c r="CY23" s="1144" t="s">
        <v>2714</v>
      </c>
      <c r="CZ23" s="1144" t="s">
        <v>2714</v>
      </c>
      <c r="DA23" s="1144" t="s">
        <v>2714</v>
      </c>
      <c r="DB23" s="1144" t="s">
        <v>2714</v>
      </c>
      <c r="DC23" s="1144" t="s">
        <v>2714</v>
      </c>
      <c r="DD23" s="1144" t="s">
        <v>2714</v>
      </c>
      <c r="DE23" s="1144" t="s">
        <v>2714</v>
      </c>
      <c r="DF23" s="1144" t="s">
        <v>2714</v>
      </c>
      <c r="DG23" s="1144" t="s">
        <v>2714</v>
      </c>
      <c r="DH23" s="1144" t="s">
        <v>2714</v>
      </c>
      <c r="DI23" s="1144" t="s">
        <v>2714</v>
      </c>
      <c r="DJ23" s="1144" t="s">
        <v>2714</v>
      </c>
      <c r="DK23" s="1144" t="s">
        <v>2714</v>
      </c>
      <c r="DL23" s="1144" t="s">
        <v>2714</v>
      </c>
      <c r="DM23" s="1144" t="s">
        <v>2715</v>
      </c>
      <c r="DN23" s="1144" t="s">
        <v>2715</v>
      </c>
      <c r="DO23" s="1144" t="s">
        <v>2716</v>
      </c>
      <c r="DP23" s="1144" t="s">
        <v>2716</v>
      </c>
      <c r="DQ23" s="1144" t="s">
        <v>2716</v>
      </c>
      <c r="DR23" s="1144" t="s">
        <v>2716</v>
      </c>
      <c r="DS23" s="1145" t="s">
        <v>2714</v>
      </c>
      <c r="DT23" s="1145" t="s">
        <v>2714</v>
      </c>
      <c r="DU23" s="1144" t="s">
        <v>2714</v>
      </c>
      <c r="DV23" s="1145" t="s">
        <v>2714</v>
      </c>
      <c r="DW23" s="1144" t="s">
        <v>2714</v>
      </c>
      <c r="DX23" s="1145" t="s">
        <v>2714</v>
      </c>
      <c r="DY23" s="1144" t="s">
        <v>2714</v>
      </c>
      <c r="DZ23" s="1144" t="s">
        <v>2714</v>
      </c>
      <c r="EA23" s="1145" t="s">
        <v>2714</v>
      </c>
      <c r="EB23" s="1144" t="s">
        <v>2714</v>
      </c>
      <c r="EC23" s="1144" t="s">
        <v>2714</v>
      </c>
      <c r="ED23" s="1144" t="s">
        <v>2714</v>
      </c>
      <c r="EE23" s="1144" t="s">
        <v>2714</v>
      </c>
      <c r="EF23" s="1144" t="s">
        <v>2714</v>
      </c>
      <c r="EG23" s="1144" t="s">
        <v>2714</v>
      </c>
      <c r="EH23" s="1144" t="s">
        <v>2714</v>
      </c>
      <c r="EI23" s="1144" t="s">
        <v>2714</v>
      </c>
      <c r="EJ23" s="1144" t="s">
        <v>2714</v>
      </c>
      <c r="EK23" s="1144" t="s">
        <v>2714</v>
      </c>
      <c r="EL23" s="1144" t="s">
        <v>2714</v>
      </c>
      <c r="EM23" s="1144" t="s">
        <v>2714</v>
      </c>
      <c r="EN23" s="1144" t="s">
        <v>2714</v>
      </c>
      <c r="EO23" s="1144" t="s">
        <v>2717</v>
      </c>
      <c r="EP23" s="1144" t="s">
        <v>2717</v>
      </c>
      <c r="EQ23" s="1144" t="s">
        <v>2717</v>
      </c>
      <c r="ER23" s="1144" t="s">
        <v>2717</v>
      </c>
      <c r="ES23" s="1144" t="s">
        <v>2717</v>
      </c>
      <c r="ET23" s="1144" t="s">
        <v>2717</v>
      </c>
      <c r="EU23" s="1144" t="s">
        <v>2717</v>
      </c>
      <c r="EV23" s="1144" t="s">
        <v>2717</v>
      </c>
      <c r="EW23" s="1144" t="s">
        <v>2717</v>
      </c>
      <c r="EX23" s="1144" t="s">
        <v>2717</v>
      </c>
      <c r="EY23" s="1144" t="s">
        <v>2717</v>
      </c>
      <c r="EZ23" s="1144" t="s">
        <v>2717</v>
      </c>
      <c r="FA23" s="1144" t="s">
        <v>2717</v>
      </c>
      <c r="FB23" s="1144" t="s">
        <v>2714</v>
      </c>
      <c r="FC23" s="1144" t="s">
        <v>2714</v>
      </c>
      <c r="FD23" s="1144" t="s">
        <v>2714</v>
      </c>
      <c r="FE23" s="1144" t="s">
        <v>2714</v>
      </c>
      <c r="FF23" s="1144" t="s">
        <v>2714</v>
      </c>
      <c r="FG23" s="1144" t="s">
        <v>2714</v>
      </c>
      <c r="FH23" s="1144" t="s">
        <v>2714</v>
      </c>
      <c r="FI23" s="1144" t="s">
        <v>2714</v>
      </c>
      <c r="FJ23" s="1144" t="s">
        <v>2714</v>
      </c>
      <c r="FK23" s="1144" t="s">
        <v>2714</v>
      </c>
      <c r="FL23" s="1144" t="s">
        <v>2714</v>
      </c>
      <c r="FM23" s="1144" t="s">
        <v>2714</v>
      </c>
      <c r="FN23" s="1144" t="s">
        <v>2714</v>
      </c>
      <c r="FO23" s="1144" t="s">
        <v>2714</v>
      </c>
      <c r="FP23" s="1144" t="s">
        <v>2714</v>
      </c>
      <c r="FQ23" s="1144" t="s">
        <v>2714</v>
      </c>
      <c r="FR23" s="1144" t="s">
        <v>2714</v>
      </c>
      <c r="FS23" s="1144" t="s">
        <v>2714</v>
      </c>
      <c r="FT23" s="1145" t="s">
        <v>2718</v>
      </c>
      <c r="FU23" s="1145" t="s">
        <v>2714</v>
      </c>
      <c r="FV23" s="1145" t="s">
        <v>2714</v>
      </c>
      <c r="FW23" s="1144" t="s">
        <v>2714</v>
      </c>
      <c r="FX23" s="1144" t="s">
        <v>2714</v>
      </c>
      <c r="FY23" s="1144" t="s">
        <v>2714</v>
      </c>
      <c r="FZ23" s="1144" t="s">
        <v>2714</v>
      </c>
      <c r="GA23" s="1144" t="s">
        <v>2714</v>
      </c>
      <c r="GB23" s="1144" t="s">
        <v>2714</v>
      </c>
      <c r="GC23" s="1144" t="s">
        <v>2714</v>
      </c>
      <c r="GD23" s="1144" t="s">
        <v>2714</v>
      </c>
      <c r="GE23" s="1144" t="s">
        <v>2714</v>
      </c>
      <c r="GF23" s="1144" t="s">
        <v>2714</v>
      </c>
      <c r="GG23" s="1144" t="s">
        <v>2714</v>
      </c>
      <c r="GH23" s="1144" t="s">
        <v>2714</v>
      </c>
      <c r="GI23" s="1144" t="s">
        <v>2714</v>
      </c>
      <c r="GJ23" s="1144" t="s">
        <v>2714</v>
      </c>
      <c r="GK23" s="1144" t="s">
        <v>2714</v>
      </c>
      <c r="GL23" s="1144" t="s">
        <v>2714</v>
      </c>
      <c r="GM23" s="1144" t="s">
        <v>2714</v>
      </c>
      <c r="GN23" s="1144" t="s">
        <v>2714</v>
      </c>
      <c r="GO23" s="1144" t="s">
        <v>2714</v>
      </c>
      <c r="GP23" s="1144" t="s">
        <v>2714</v>
      </c>
      <c r="GQ23" s="1144" t="s">
        <v>2714</v>
      </c>
      <c r="GR23" s="1144" t="s">
        <v>2714</v>
      </c>
      <c r="GS23" s="1144" t="s">
        <v>2714</v>
      </c>
      <c r="GT23" s="1144" t="s">
        <v>2714</v>
      </c>
      <c r="GU23" s="1144" t="s">
        <v>2714</v>
      </c>
      <c r="GV23" s="1144" t="s">
        <v>2714</v>
      </c>
      <c r="GW23" s="1144" t="s">
        <v>2714</v>
      </c>
      <c r="GX23" s="1144" t="s">
        <v>2714</v>
      </c>
      <c r="GY23" s="1144" t="s">
        <v>2714</v>
      </c>
      <c r="GZ23" s="1144" t="s">
        <v>2714</v>
      </c>
      <c r="HA23" s="1144" t="s">
        <v>2714</v>
      </c>
      <c r="HB23" s="1144" t="s">
        <v>2719</v>
      </c>
      <c r="HC23" s="1144" t="s">
        <v>2719</v>
      </c>
      <c r="HD23" s="1144" t="s">
        <v>2719</v>
      </c>
      <c r="HE23" s="1144" t="s">
        <v>2719</v>
      </c>
      <c r="HF23" s="1144" t="s">
        <v>2719</v>
      </c>
      <c r="HG23" s="1144" t="s">
        <v>2719</v>
      </c>
      <c r="HH23" s="1144" t="s">
        <v>2719</v>
      </c>
      <c r="HI23" s="1144" t="s">
        <v>2719</v>
      </c>
      <c r="HJ23" s="1144" t="s">
        <v>2714</v>
      </c>
      <c r="HK23" s="1144" t="s">
        <v>2719</v>
      </c>
      <c r="HL23" s="1144" t="s">
        <v>2719</v>
      </c>
      <c r="HM23" s="1144" t="s">
        <v>2719</v>
      </c>
      <c r="HN23" s="1144" t="s">
        <v>2719</v>
      </c>
      <c r="HO23" s="1144" t="s">
        <v>2719</v>
      </c>
      <c r="HP23" s="1144" t="s">
        <v>2719</v>
      </c>
      <c r="HQ23" s="1144" t="s">
        <v>2719</v>
      </c>
      <c r="HR23" s="1144" t="s">
        <v>2719</v>
      </c>
      <c r="HS23" s="1144" t="s">
        <v>2719</v>
      </c>
      <c r="HT23" s="1144" t="s">
        <v>2719</v>
      </c>
      <c r="HU23" s="1144" t="s">
        <v>2719</v>
      </c>
      <c r="HV23" s="1144" t="s">
        <v>2719</v>
      </c>
      <c r="HW23" s="1144" t="s">
        <v>2719</v>
      </c>
      <c r="HX23" s="1144" t="s">
        <v>2719</v>
      </c>
      <c r="HY23" s="1144" t="s">
        <v>2719</v>
      </c>
      <c r="HZ23" s="1144" t="s">
        <v>2719</v>
      </c>
      <c r="IA23" s="1144" t="s">
        <v>2719</v>
      </c>
      <c r="IB23" s="1144" t="s">
        <v>2719</v>
      </c>
      <c r="IC23" s="1144" t="s">
        <v>2719</v>
      </c>
      <c r="ID23" s="1144" t="s">
        <v>2719</v>
      </c>
      <c r="IE23" s="1144" t="s">
        <v>2719</v>
      </c>
      <c r="IF23" s="1144" t="s">
        <v>2719</v>
      </c>
      <c r="IG23" s="1144" t="s">
        <v>2719</v>
      </c>
      <c r="IH23" s="1144" t="s">
        <v>2719</v>
      </c>
      <c r="II23" s="1144" t="s">
        <v>2719</v>
      </c>
      <c r="IJ23" s="1144" t="s">
        <v>2719</v>
      </c>
      <c r="IK23" s="1144" t="s">
        <v>2719</v>
      </c>
      <c r="IL23" s="1144" t="s">
        <v>2719</v>
      </c>
      <c r="IM23" s="1144" t="s">
        <v>2719</v>
      </c>
      <c r="IN23" s="1144" t="s">
        <v>2719</v>
      </c>
      <c r="IO23" s="1144" t="s">
        <v>2719</v>
      </c>
      <c r="IP23" s="1144" t="s">
        <v>2719</v>
      </c>
      <c r="IQ23" s="1144" t="s">
        <v>2719</v>
      </c>
      <c r="IR23" s="1144" t="s">
        <v>2719</v>
      </c>
      <c r="IS23" s="1144" t="s">
        <v>2719</v>
      </c>
      <c r="IT23" s="1144" t="s">
        <v>2719</v>
      </c>
      <c r="IU23" s="1144" t="s">
        <v>2719</v>
      </c>
      <c r="IV23" s="1144" t="s">
        <v>2720</v>
      </c>
      <c r="IW23" s="1144" t="s">
        <v>2720</v>
      </c>
      <c r="IX23" s="1144" t="s">
        <v>2716</v>
      </c>
      <c r="IY23" s="1144" t="s">
        <v>2721</v>
      </c>
      <c r="IZ23" s="1144" t="s">
        <v>2715</v>
      </c>
      <c r="JA23" s="1144" t="s">
        <v>2722</v>
      </c>
      <c r="JB23" s="1144" t="s">
        <v>2716</v>
      </c>
      <c r="JC23" s="1144" t="s">
        <v>2714</v>
      </c>
      <c r="JD23" s="1146"/>
      <c r="JE23" s="1144" t="s">
        <v>2714</v>
      </c>
      <c r="JF23" s="1144" t="s">
        <v>2714</v>
      </c>
      <c r="JG23" s="1144" t="s">
        <v>2714</v>
      </c>
      <c r="JH23" s="1144" t="s">
        <v>2714</v>
      </c>
      <c r="JI23" s="1144" t="s">
        <v>2714</v>
      </c>
      <c r="JJ23" s="1144" t="s">
        <v>2714</v>
      </c>
      <c r="JK23" s="1144" t="s">
        <v>2714</v>
      </c>
      <c r="JL23" s="1144" t="s">
        <v>2714</v>
      </c>
      <c r="JM23" s="1144" t="s">
        <v>2714</v>
      </c>
      <c r="JN23" s="1144" t="s">
        <v>2714</v>
      </c>
      <c r="JO23" s="1144" t="s">
        <v>2714</v>
      </c>
      <c r="JP23" s="1144" t="s">
        <v>2714</v>
      </c>
      <c r="JQ23" s="1144" t="s">
        <v>2714</v>
      </c>
      <c r="JR23" s="1144" t="s">
        <v>2714</v>
      </c>
      <c r="JS23" s="1144" t="s">
        <v>2714</v>
      </c>
      <c r="JT23" s="1144" t="s">
        <v>2714</v>
      </c>
      <c r="JU23" s="1144" t="s">
        <v>2714</v>
      </c>
      <c r="JV23" s="1144" t="s">
        <v>2714</v>
      </c>
      <c r="JW23" s="1144" t="s">
        <v>2714</v>
      </c>
      <c r="JX23" s="1144" t="s">
        <v>2714</v>
      </c>
      <c r="JY23" s="1144" t="s">
        <v>2714</v>
      </c>
      <c r="JZ23" s="1144" t="s">
        <v>2714</v>
      </c>
      <c r="KA23" s="1144" t="s">
        <v>2714</v>
      </c>
      <c r="KB23" s="1144" t="s">
        <v>2714</v>
      </c>
      <c r="KC23" s="1144" t="s">
        <v>2714</v>
      </c>
      <c r="KD23" s="1144" t="s">
        <v>2714</v>
      </c>
      <c r="KE23" s="1144" t="s">
        <v>2714</v>
      </c>
    </row>
    <row r="24" spans="1:291" ht="9.75" customHeight="1">
      <c r="A24" s="78"/>
      <c r="B24" s="83">
        <v>499</v>
      </c>
      <c r="C24" s="437" t="s">
        <v>2723</v>
      </c>
      <c r="D24" s="1150" t="s">
        <v>2724</v>
      </c>
      <c r="E24" s="1150" t="s">
        <v>2724</v>
      </c>
      <c r="F24" s="1150" t="s">
        <v>2724</v>
      </c>
      <c r="G24" s="1150"/>
      <c r="H24" s="1150" t="s">
        <v>2724</v>
      </c>
      <c r="I24" s="1150" t="s">
        <v>2724</v>
      </c>
      <c r="J24" s="1150" t="s">
        <v>2724</v>
      </c>
      <c r="K24" s="1150" t="s">
        <v>2724</v>
      </c>
      <c r="L24" s="1150" t="s">
        <v>2724</v>
      </c>
      <c r="M24" s="1150" t="s">
        <v>2724</v>
      </c>
      <c r="N24" s="1150" t="s">
        <v>2724</v>
      </c>
      <c r="O24" s="1150" t="s">
        <v>2724</v>
      </c>
      <c r="P24" s="1150" t="s">
        <v>2724</v>
      </c>
      <c r="Q24" s="1150" t="s">
        <v>2724</v>
      </c>
      <c r="R24" s="1150" t="s">
        <v>2724</v>
      </c>
      <c r="S24" s="1150" t="s">
        <v>2724</v>
      </c>
      <c r="T24" s="1150" t="s">
        <v>2724</v>
      </c>
      <c r="U24" s="1150" t="s">
        <v>2724</v>
      </c>
      <c r="V24" s="1150" t="s">
        <v>2724</v>
      </c>
      <c r="W24" s="1150"/>
      <c r="X24" s="1150" t="s">
        <v>2724</v>
      </c>
      <c r="Y24" s="1150" t="s">
        <v>2724</v>
      </c>
      <c r="Z24" s="1150"/>
      <c r="AA24" s="1150"/>
      <c r="AB24" s="1150"/>
      <c r="AC24" s="1150"/>
      <c r="AD24" s="1150"/>
      <c r="AE24" s="1150"/>
      <c r="AF24" s="1150"/>
      <c r="AG24" s="1150"/>
      <c r="AH24" s="1150"/>
      <c r="AI24" s="1150"/>
      <c r="AJ24" s="1150"/>
      <c r="AK24" s="1150"/>
      <c r="AL24" s="1150"/>
      <c r="AM24" s="1150"/>
      <c r="AN24" s="1150"/>
      <c r="AO24" s="1150"/>
      <c r="AP24" s="1150"/>
      <c r="AQ24" s="1150"/>
      <c r="AR24" s="1150"/>
      <c r="AS24" s="1150"/>
      <c r="AT24" s="1150"/>
      <c r="AU24" s="1150"/>
      <c r="AV24" s="1150"/>
      <c r="AW24" s="1150"/>
      <c r="AX24" s="1150"/>
      <c r="AY24" s="1150"/>
      <c r="AZ24" s="1150"/>
      <c r="BA24" s="1150"/>
      <c r="BB24" s="1150"/>
      <c r="BC24" s="1150"/>
      <c r="BD24" s="1150"/>
      <c r="BE24" s="1150"/>
      <c r="BF24" s="1150"/>
      <c r="BG24" s="1150"/>
      <c r="BH24" s="1150"/>
      <c r="BI24" s="1150"/>
      <c r="BJ24" s="1150"/>
      <c r="BK24" s="1150"/>
      <c r="BL24" s="1151"/>
      <c r="BM24" s="1151"/>
      <c r="BN24" s="1150"/>
      <c r="BO24" s="1150"/>
      <c r="BP24" s="1150"/>
      <c r="BQ24" s="1150"/>
      <c r="BR24" s="1150"/>
      <c r="BS24" s="1150"/>
      <c r="BT24" s="1150"/>
      <c r="BU24" s="1150"/>
      <c r="BV24" s="1150"/>
      <c r="BW24" s="1150"/>
      <c r="BX24" s="1150"/>
      <c r="BY24" s="1150"/>
      <c r="BZ24" s="1150"/>
      <c r="CA24" s="1150"/>
      <c r="CB24" s="1150"/>
      <c r="CC24" s="1150"/>
      <c r="CD24" s="1150"/>
      <c r="CE24" s="1150"/>
      <c r="CF24" s="1150"/>
      <c r="CG24" s="1150"/>
      <c r="CH24" s="1150"/>
      <c r="CI24" s="1150"/>
      <c r="CJ24" s="1150"/>
      <c r="CK24" s="1150"/>
      <c r="CL24" s="1150"/>
      <c r="CM24" s="1150"/>
      <c r="CN24" s="1150"/>
      <c r="CO24" s="1150"/>
      <c r="CP24" s="1150"/>
      <c r="CQ24" s="1150"/>
      <c r="CR24" s="1150"/>
      <c r="CS24" s="1150"/>
      <c r="CT24" s="1150"/>
      <c r="CU24" s="1150"/>
      <c r="CV24" s="1150"/>
      <c r="CW24" s="1150"/>
      <c r="CX24" s="1150"/>
      <c r="CY24" s="1150"/>
      <c r="CZ24" s="1150"/>
      <c r="DA24" s="1150"/>
      <c r="DB24" s="1150"/>
      <c r="DC24" s="1150"/>
      <c r="DD24" s="1150"/>
      <c r="DE24" s="1150"/>
      <c r="DF24" s="1150"/>
      <c r="DG24" s="1150"/>
      <c r="DH24" s="1150"/>
      <c r="DI24" s="1150"/>
      <c r="DJ24" s="1150"/>
      <c r="DK24" s="1150"/>
      <c r="DL24" s="1150"/>
      <c r="DM24" s="1150"/>
      <c r="DN24" s="1150"/>
      <c r="DO24" s="1150"/>
      <c r="DP24" s="1150"/>
      <c r="DQ24" s="1150"/>
      <c r="DR24" s="1150"/>
      <c r="DS24" s="1151"/>
      <c r="DT24" s="1151"/>
      <c r="DU24" s="1150"/>
      <c r="DV24" s="1151"/>
      <c r="DW24" s="1150"/>
      <c r="DX24" s="1151"/>
      <c r="DY24" s="1150"/>
      <c r="DZ24" s="1150"/>
      <c r="EA24" s="1151"/>
      <c r="EB24" s="1150"/>
      <c r="EC24" s="1150"/>
      <c r="ED24" s="1150"/>
      <c r="EE24" s="1150"/>
      <c r="EF24" s="1150"/>
      <c r="EG24" s="1150"/>
      <c r="EH24" s="1150"/>
      <c r="EI24" s="1150"/>
      <c r="EJ24" s="1150"/>
      <c r="EK24" s="1150"/>
      <c r="EL24" s="1150"/>
      <c r="EM24" s="1150"/>
      <c r="EN24" s="1150"/>
      <c r="EO24" s="1150"/>
      <c r="EP24" s="1150"/>
      <c r="EQ24" s="1150"/>
      <c r="ER24" s="1150"/>
      <c r="ES24" s="1150"/>
      <c r="ET24" s="1150"/>
      <c r="EU24" s="1150"/>
      <c r="EV24" s="1150"/>
      <c r="EW24" s="1150"/>
      <c r="EX24" s="1150"/>
      <c r="EY24" s="1150"/>
      <c r="EZ24" s="1150"/>
      <c r="FA24" s="1150"/>
      <c r="FB24" s="1150"/>
      <c r="FC24" s="1150"/>
      <c r="FD24" s="1150"/>
      <c r="FE24" s="1150"/>
      <c r="FF24" s="1150"/>
      <c r="FG24" s="1150"/>
      <c r="FH24" s="1150"/>
      <c r="FI24" s="1150"/>
      <c r="FJ24" s="1150"/>
      <c r="FK24" s="1150"/>
      <c r="FL24" s="1150"/>
      <c r="FM24" s="1150"/>
      <c r="FN24" s="1150"/>
      <c r="FO24" s="1150"/>
      <c r="FP24" s="1150"/>
      <c r="FQ24" s="1150"/>
      <c r="FR24" s="1150"/>
      <c r="FS24" s="1150"/>
      <c r="FT24" s="1151"/>
      <c r="FU24" s="1151"/>
      <c r="FV24" s="1151"/>
      <c r="FW24" s="1150"/>
      <c r="FX24" s="1150"/>
      <c r="FY24" s="1150"/>
      <c r="FZ24" s="1150"/>
      <c r="GA24" s="1150"/>
      <c r="GB24" s="1150"/>
      <c r="GC24" s="1150"/>
      <c r="GD24" s="1150"/>
      <c r="GE24" s="1150"/>
      <c r="GF24" s="1150"/>
      <c r="GG24" s="1150"/>
      <c r="GH24" s="1150"/>
      <c r="GI24" s="1150"/>
      <c r="GJ24" s="1150"/>
      <c r="GK24" s="1150"/>
      <c r="GL24" s="1150"/>
      <c r="GM24" s="1150"/>
      <c r="GN24" s="1150"/>
      <c r="GO24" s="1150"/>
      <c r="GP24" s="1150"/>
      <c r="GQ24" s="1150"/>
      <c r="GR24" s="1150"/>
      <c r="GS24" s="1150"/>
      <c r="GT24" s="1150"/>
      <c r="GU24" s="1150"/>
      <c r="GV24" s="1150"/>
      <c r="GW24" s="1150"/>
      <c r="GX24" s="1150"/>
      <c r="GY24" s="1150"/>
      <c r="GZ24" s="1150"/>
      <c r="HA24" s="1150"/>
      <c r="HB24" s="1150"/>
      <c r="HC24" s="1150"/>
      <c r="HD24" s="1150"/>
      <c r="HE24" s="1150"/>
      <c r="HF24" s="1150"/>
      <c r="HG24" s="1150"/>
      <c r="HH24" s="1150"/>
      <c r="HI24" s="1150"/>
      <c r="HJ24" s="1150"/>
      <c r="HK24" s="1150"/>
      <c r="HL24" s="1150"/>
      <c r="HM24" s="1150"/>
      <c r="HN24" s="1150"/>
      <c r="HO24" s="1150"/>
      <c r="HP24" s="1150"/>
      <c r="HQ24" s="1150"/>
      <c r="HR24" s="1150"/>
      <c r="HS24" s="1150"/>
      <c r="HT24" s="1150"/>
      <c r="HU24" s="1150"/>
      <c r="HV24" s="1150"/>
      <c r="HW24" s="1150"/>
      <c r="HX24" s="1150"/>
      <c r="HY24" s="1150"/>
      <c r="HZ24" s="1150"/>
      <c r="IA24" s="1150"/>
      <c r="IB24" s="1150"/>
      <c r="IC24" s="1150"/>
      <c r="ID24" s="1150"/>
      <c r="IE24" s="1150"/>
      <c r="IF24" s="1150"/>
      <c r="IG24" s="1150"/>
      <c r="IH24" s="1150"/>
      <c r="II24" s="1150"/>
      <c r="IJ24" s="1150"/>
      <c r="IK24" s="1150"/>
      <c r="IL24" s="1150"/>
      <c r="IM24" s="1150"/>
      <c r="IN24" s="1150"/>
      <c r="IO24" s="1150"/>
      <c r="IP24" s="1150"/>
      <c r="IQ24" s="1150"/>
      <c r="IR24" s="1150"/>
      <c r="IS24" s="1150"/>
      <c r="IT24" s="1150"/>
      <c r="IU24" s="1150"/>
      <c r="IV24" s="1150"/>
      <c r="IW24" s="1150"/>
      <c r="IX24" s="1150"/>
      <c r="IY24" s="1150"/>
      <c r="IZ24" s="1150"/>
      <c r="JA24" s="1150"/>
      <c r="JB24" s="1150"/>
      <c r="JC24" s="1150"/>
      <c r="JD24" s="1152"/>
      <c r="JE24" s="1150"/>
      <c r="JF24" s="1150"/>
      <c r="JG24" s="1150"/>
      <c r="JH24" s="1150"/>
      <c r="JI24" s="1150"/>
      <c r="JJ24" s="1150"/>
      <c r="JK24" s="1150"/>
      <c r="JL24" s="1150"/>
      <c r="JM24" s="1150"/>
      <c r="JN24" s="1150"/>
      <c r="JO24" s="1150"/>
      <c r="JP24" s="1150"/>
      <c r="JQ24" s="1150"/>
      <c r="JR24" s="1150"/>
      <c r="JS24" s="1150"/>
      <c r="JT24" s="1150"/>
      <c r="JU24" s="1150"/>
      <c r="JV24" s="1150"/>
      <c r="JW24" s="1150"/>
      <c r="JX24" s="1150"/>
      <c r="JY24" s="1150"/>
      <c r="JZ24" s="1150"/>
      <c r="KA24" s="1150"/>
      <c r="KB24" s="1150"/>
      <c r="KC24" s="1150"/>
      <c r="KD24" s="1150"/>
      <c r="KE24" s="1150"/>
    </row>
    <row r="25" spans="1:291" ht="11.25" customHeight="1">
      <c r="A25" s="78"/>
      <c r="B25" s="83">
        <v>501</v>
      </c>
      <c r="C25" s="437" t="s">
        <v>2725</v>
      </c>
      <c r="D25" s="1144"/>
      <c r="E25" s="1144"/>
      <c r="F25" s="1144"/>
      <c r="G25" s="1144"/>
      <c r="H25" s="1144"/>
      <c r="I25" s="1144"/>
      <c r="J25" s="1144"/>
      <c r="K25" s="1144"/>
      <c r="L25" s="1144"/>
      <c r="M25" s="1144"/>
      <c r="N25" s="1144"/>
      <c r="O25" s="1144"/>
      <c r="P25" s="1144"/>
      <c r="Q25" s="1144"/>
      <c r="R25" s="1144"/>
      <c r="S25" s="1144"/>
      <c r="T25" s="1144"/>
      <c r="U25" s="1144"/>
      <c r="V25" s="1144"/>
      <c r="W25" s="1144"/>
      <c r="X25" s="1144"/>
      <c r="Y25" s="1144"/>
      <c r="Z25" s="1144"/>
      <c r="AA25" s="1144"/>
      <c r="AB25" s="1144"/>
      <c r="AC25" s="1144"/>
      <c r="AD25" s="1144"/>
      <c r="AE25" s="1144"/>
      <c r="AF25" s="1144"/>
      <c r="AG25" s="1144"/>
      <c r="AH25" s="1144"/>
      <c r="AI25" s="1144"/>
      <c r="AJ25" s="1144"/>
      <c r="AK25" s="1144"/>
      <c r="AL25" s="1144"/>
      <c r="AM25" s="1144"/>
      <c r="AN25" s="1144"/>
      <c r="AO25" s="1144"/>
      <c r="AP25" s="1144"/>
      <c r="AQ25" s="1144"/>
      <c r="AR25" s="1144"/>
      <c r="AS25" s="1144"/>
      <c r="AT25" s="1144"/>
      <c r="AU25" s="1144"/>
      <c r="AV25" s="1144"/>
      <c r="AW25" s="1144"/>
      <c r="AX25" s="1144"/>
      <c r="AY25" s="1144"/>
      <c r="AZ25" s="1144"/>
      <c r="BA25" s="1144"/>
      <c r="BB25" s="1144"/>
      <c r="BC25" s="1144"/>
      <c r="BD25" s="1144"/>
      <c r="BE25" s="1144"/>
      <c r="BF25" s="1144"/>
      <c r="BG25" s="1144"/>
      <c r="BH25" s="1144"/>
      <c r="BI25" s="1144"/>
      <c r="BJ25" s="1144"/>
      <c r="BK25" s="1144"/>
      <c r="BL25" s="1145"/>
      <c r="BM25" s="1145"/>
      <c r="BN25" s="1144"/>
      <c r="BO25" s="1144"/>
      <c r="BP25" s="1144"/>
      <c r="BQ25" s="1144"/>
      <c r="BR25" s="1144"/>
      <c r="BS25" s="1144"/>
      <c r="BT25" s="1144"/>
      <c r="BU25" s="1144"/>
      <c r="BV25" s="1144"/>
      <c r="BW25" s="1144"/>
      <c r="BX25" s="1144"/>
      <c r="BY25" s="1144"/>
      <c r="BZ25" s="1144"/>
      <c r="CA25" s="1144"/>
      <c r="CB25" s="1144"/>
      <c r="CC25" s="1144"/>
      <c r="CD25" s="1144"/>
      <c r="CE25" s="1144"/>
      <c r="CF25" s="1144"/>
      <c r="CG25" s="1144"/>
      <c r="CH25" s="1144"/>
      <c r="CI25" s="1144"/>
      <c r="CJ25" s="1144"/>
      <c r="CK25" s="1144"/>
      <c r="CL25" s="1144"/>
      <c r="CM25" s="1144"/>
      <c r="CN25" s="1144"/>
      <c r="CO25" s="1144"/>
      <c r="CP25" s="1144"/>
      <c r="CQ25" s="1144"/>
      <c r="CR25" s="1144"/>
      <c r="CS25" s="1144"/>
      <c r="CT25" s="1144"/>
      <c r="CU25" s="1144"/>
      <c r="CV25" s="1144"/>
      <c r="CW25" s="1144"/>
      <c r="CX25" s="1144"/>
      <c r="CY25" s="1144"/>
      <c r="CZ25" s="1144"/>
      <c r="DA25" s="1144"/>
      <c r="DB25" s="1144"/>
      <c r="DC25" s="1144"/>
      <c r="DD25" s="1144"/>
      <c r="DE25" s="1144"/>
      <c r="DF25" s="1144"/>
      <c r="DG25" s="1144"/>
      <c r="DH25" s="1144"/>
      <c r="DI25" s="1144"/>
      <c r="DJ25" s="1144"/>
      <c r="DK25" s="1144"/>
      <c r="DL25" s="1144"/>
      <c r="DM25" s="1144"/>
      <c r="DN25" s="1144"/>
      <c r="DO25" s="1144"/>
      <c r="DP25" s="1144"/>
      <c r="DQ25" s="1144"/>
      <c r="DR25" s="1144"/>
      <c r="DS25" s="1145"/>
      <c r="DT25" s="1145"/>
      <c r="DU25" s="1144"/>
      <c r="DV25" s="1145"/>
      <c r="DW25" s="1144"/>
      <c r="DX25" s="1145"/>
      <c r="DY25" s="1144"/>
      <c r="DZ25" s="1144"/>
      <c r="EA25" s="1145"/>
      <c r="EB25" s="1144"/>
      <c r="EC25" s="1144"/>
      <c r="ED25" s="1144"/>
      <c r="EE25" s="1144"/>
      <c r="EF25" s="1144"/>
      <c r="EG25" s="1144"/>
      <c r="EH25" s="1144"/>
      <c r="EI25" s="1144"/>
      <c r="EJ25" s="1144"/>
      <c r="EK25" s="1144"/>
      <c r="EL25" s="1144"/>
      <c r="EM25" s="1144"/>
      <c r="EN25" s="1144"/>
      <c r="EO25" s="1144"/>
      <c r="EP25" s="1144"/>
      <c r="EQ25" s="1144"/>
      <c r="ER25" s="1144"/>
      <c r="ES25" s="1144"/>
      <c r="ET25" s="1144"/>
      <c r="EU25" s="1144"/>
      <c r="EV25" s="1144"/>
      <c r="EW25" s="1144"/>
      <c r="EX25" s="1144"/>
      <c r="EY25" s="1144"/>
      <c r="EZ25" s="1144"/>
      <c r="FA25" s="1144"/>
      <c r="FB25" s="1144"/>
      <c r="FC25" s="1144"/>
      <c r="FD25" s="1144"/>
      <c r="FE25" s="1144"/>
      <c r="FF25" s="1144"/>
      <c r="FG25" s="1144"/>
      <c r="FH25" s="1144"/>
      <c r="FI25" s="1144"/>
      <c r="FJ25" s="1144"/>
      <c r="FK25" s="1144"/>
      <c r="FL25" s="1144"/>
      <c r="FM25" s="1144"/>
      <c r="FN25" s="1144"/>
      <c r="FO25" s="1144"/>
      <c r="FP25" s="1144"/>
      <c r="FQ25" s="1144"/>
      <c r="FR25" s="1144"/>
      <c r="FS25" s="1144"/>
      <c r="FT25" s="1145"/>
      <c r="FU25" s="1145"/>
      <c r="FV25" s="1145"/>
      <c r="FW25" s="1144"/>
      <c r="FX25" s="1144"/>
      <c r="FY25" s="1144"/>
      <c r="FZ25" s="1144"/>
      <c r="GA25" s="1144"/>
      <c r="GB25" s="1144"/>
      <c r="GC25" s="1144"/>
      <c r="GD25" s="1144"/>
      <c r="GE25" s="1144"/>
      <c r="GF25" s="1144"/>
      <c r="GG25" s="1144"/>
      <c r="GH25" s="1144"/>
      <c r="GI25" s="1144"/>
      <c r="GJ25" s="1144"/>
      <c r="GK25" s="1144"/>
      <c r="GL25" s="1144"/>
      <c r="GM25" s="1144"/>
      <c r="GN25" s="1144"/>
      <c r="GO25" s="1144"/>
      <c r="GP25" s="1144"/>
      <c r="GQ25" s="1144"/>
      <c r="GR25" s="1144"/>
      <c r="GS25" s="1144"/>
      <c r="GT25" s="1144"/>
      <c r="GU25" s="1144"/>
      <c r="GV25" s="1144"/>
      <c r="GW25" s="1144"/>
      <c r="GX25" s="1144"/>
      <c r="GY25" s="1144"/>
      <c r="GZ25" s="1144"/>
      <c r="HA25" s="1144"/>
      <c r="HB25" s="1144"/>
      <c r="HC25" s="1144"/>
      <c r="HD25" s="1144"/>
      <c r="HE25" s="1144"/>
      <c r="HF25" s="1144"/>
      <c r="HG25" s="1144"/>
      <c r="HH25" s="1144"/>
      <c r="HI25" s="1144"/>
      <c r="HJ25" s="1144"/>
      <c r="HK25" s="1144"/>
      <c r="HL25" s="1144"/>
      <c r="HM25" s="1144"/>
      <c r="HN25" s="1144"/>
      <c r="HO25" s="1144"/>
      <c r="HP25" s="1144"/>
      <c r="HQ25" s="1144"/>
      <c r="HR25" s="1144"/>
      <c r="HS25" s="1144"/>
      <c r="HT25" s="1144"/>
      <c r="HU25" s="1144"/>
      <c r="HV25" s="1144"/>
      <c r="HW25" s="1144"/>
      <c r="HX25" s="1144"/>
      <c r="HY25" s="1144"/>
      <c r="HZ25" s="1144"/>
      <c r="IA25" s="1144"/>
      <c r="IB25" s="1144"/>
      <c r="IC25" s="1144"/>
      <c r="ID25" s="1144"/>
      <c r="IE25" s="1144"/>
      <c r="IF25" s="1144"/>
      <c r="IG25" s="1144"/>
      <c r="IH25" s="1144"/>
      <c r="II25" s="1144"/>
      <c r="IJ25" s="1144"/>
      <c r="IK25" s="1144"/>
      <c r="IL25" s="1144"/>
      <c r="IM25" s="1144"/>
      <c r="IN25" s="1144"/>
      <c r="IO25" s="1144"/>
      <c r="IP25" s="1144"/>
      <c r="IQ25" s="1144"/>
      <c r="IR25" s="1144"/>
      <c r="IS25" s="1144"/>
      <c r="IT25" s="1144"/>
      <c r="IU25" s="1144"/>
      <c r="IV25" s="1144"/>
      <c r="IW25" s="1144"/>
      <c r="IX25" s="1144"/>
      <c r="IY25" s="1144"/>
      <c r="IZ25" s="1144"/>
      <c r="JA25" s="1144"/>
      <c r="JB25" s="1144"/>
      <c r="JC25" s="1144"/>
      <c r="JD25" s="1146"/>
      <c r="JE25" s="1144"/>
      <c r="JF25" s="1144"/>
      <c r="JG25" s="1144"/>
      <c r="JH25" s="1144"/>
      <c r="JI25" s="1144"/>
      <c r="JJ25" s="1144"/>
      <c r="JK25" s="1144"/>
      <c r="JL25" s="1144"/>
      <c r="JM25" s="1144"/>
      <c r="JN25" s="1144"/>
      <c r="JO25" s="1144"/>
      <c r="JP25" s="1144"/>
      <c r="JQ25" s="1144"/>
      <c r="JR25" s="1144"/>
      <c r="JS25" s="1144"/>
      <c r="JT25" s="1144"/>
      <c r="JU25" s="1144"/>
      <c r="JV25" s="1144"/>
      <c r="JW25" s="1144"/>
      <c r="JX25" s="1144"/>
      <c r="JY25" s="1144"/>
      <c r="JZ25" s="1144"/>
      <c r="KA25" s="1144"/>
      <c r="KB25" s="1144"/>
      <c r="KC25" s="1144"/>
      <c r="KD25" s="1144"/>
      <c r="KE25" s="1144"/>
    </row>
    <row r="26" spans="1:291" ht="9.75" customHeight="1">
      <c r="A26" s="78"/>
      <c r="B26" s="83">
        <v>502</v>
      </c>
      <c r="C26" s="437" t="s">
        <v>2726</v>
      </c>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c r="AT26" s="1150"/>
      <c r="AU26" s="1150"/>
      <c r="AV26" s="1150"/>
      <c r="AW26" s="1150"/>
      <c r="AX26" s="1150"/>
      <c r="AY26" s="1150"/>
      <c r="AZ26" s="1150"/>
      <c r="BA26" s="1150"/>
      <c r="BB26" s="1150"/>
      <c r="BC26" s="1150"/>
      <c r="BD26" s="1150"/>
      <c r="BE26" s="1150"/>
      <c r="BF26" s="1150"/>
      <c r="BG26" s="1150"/>
      <c r="BH26" s="1150"/>
      <c r="BI26" s="1150"/>
      <c r="BJ26" s="1150"/>
      <c r="BK26" s="1150"/>
      <c r="BL26" s="1151"/>
      <c r="BM26" s="1151"/>
      <c r="BN26" s="1150"/>
      <c r="BO26" s="1150"/>
      <c r="BP26" s="1150"/>
      <c r="BQ26" s="1150"/>
      <c r="BR26" s="1150"/>
      <c r="BS26" s="1150"/>
      <c r="BT26" s="1150"/>
      <c r="BU26" s="1150"/>
      <c r="BV26" s="1150"/>
      <c r="BW26" s="1150"/>
      <c r="BX26" s="1150"/>
      <c r="BY26" s="1150"/>
      <c r="BZ26" s="1150"/>
      <c r="CA26" s="1150"/>
      <c r="CB26" s="1150"/>
      <c r="CC26" s="1150"/>
      <c r="CD26" s="1150"/>
      <c r="CE26" s="1150"/>
      <c r="CF26" s="1150"/>
      <c r="CG26" s="1150"/>
      <c r="CH26" s="1150"/>
      <c r="CI26" s="1150"/>
      <c r="CJ26" s="1150"/>
      <c r="CK26" s="1150"/>
      <c r="CL26" s="1150"/>
      <c r="CM26" s="1150"/>
      <c r="CN26" s="1150"/>
      <c r="CO26" s="1150"/>
      <c r="CP26" s="1150"/>
      <c r="CQ26" s="1150"/>
      <c r="CR26" s="1150"/>
      <c r="CS26" s="1150"/>
      <c r="CT26" s="1150"/>
      <c r="CU26" s="1150"/>
      <c r="CV26" s="1150"/>
      <c r="CW26" s="1150"/>
      <c r="CX26" s="1150"/>
      <c r="CY26" s="1150"/>
      <c r="CZ26" s="1150"/>
      <c r="DA26" s="1150"/>
      <c r="DB26" s="1150"/>
      <c r="DC26" s="1150"/>
      <c r="DD26" s="1150"/>
      <c r="DE26" s="1150"/>
      <c r="DF26" s="1150"/>
      <c r="DG26" s="1150"/>
      <c r="DH26" s="1150"/>
      <c r="DI26" s="1150"/>
      <c r="DJ26" s="1150"/>
      <c r="DK26" s="1150"/>
      <c r="DL26" s="1150"/>
      <c r="DM26" s="1150"/>
      <c r="DN26" s="1150"/>
      <c r="DO26" s="1150"/>
      <c r="DP26" s="1150"/>
      <c r="DQ26" s="1150"/>
      <c r="DR26" s="1150"/>
      <c r="DS26" s="1151"/>
      <c r="DT26" s="1151"/>
      <c r="DU26" s="1150"/>
      <c r="DV26" s="1151"/>
      <c r="DW26" s="1150"/>
      <c r="DX26" s="1151"/>
      <c r="DY26" s="1150"/>
      <c r="DZ26" s="1150"/>
      <c r="EA26" s="1151"/>
      <c r="EB26" s="1150"/>
      <c r="EC26" s="1150"/>
      <c r="ED26" s="1150"/>
      <c r="EE26" s="1150"/>
      <c r="EF26" s="1150"/>
      <c r="EG26" s="1150"/>
      <c r="EH26" s="1150"/>
      <c r="EI26" s="1150"/>
      <c r="EJ26" s="1150"/>
      <c r="EK26" s="1150"/>
      <c r="EL26" s="1150"/>
      <c r="EM26" s="1150"/>
      <c r="EN26" s="1150"/>
      <c r="EO26" s="1150"/>
      <c r="EP26" s="1150"/>
      <c r="EQ26" s="1150"/>
      <c r="ER26" s="1150"/>
      <c r="ES26" s="1150"/>
      <c r="ET26" s="1150"/>
      <c r="EU26" s="1150"/>
      <c r="EV26" s="1150"/>
      <c r="EW26" s="1150"/>
      <c r="EX26" s="1150"/>
      <c r="EY26" s="1150"/>
      <c r="EZ26" s="1150"/>
      <c r="FA26" s="1150"/>
      <c r="FB26" s="1150"/>
      <c r="FC26" s="1150"/>
      <c r="FD26" s="1150"/>
      <c r="FE26" s="1150"/>
      <c r="FF26" s="1150"/>
      <c r="FG26" s="1150"/>
      <c r="FH26" s="1150"/>
      <c r="FI26" s="1150"/>
      <c r="FJ26" s="1150"/>
      <c r="FK26" s="1150"/>
      <c r="FL26" s="1150"/>
      <c r="FM26" s="1150"/>
      <c r="FN26" s="1150"/>
      <c r="FO26" s="1150"/>
      <c r="FP26" s="1150"/>
      <c r="FQ26" s="1150"/>
      <c r="FR26" s="1150"/>
      <c r="FS26" s="1150"/>
      <c r="FT26" s="1151"/>
      <c r="FU26" s="1151"/>
      <c r="FV26" s="1151"/>
      <c r="FW26" s="1150"/>
      <c r="FX26" s="1150"/>
      <c r="FY26" s="1150"/>
      <c r="FZ26" s="1150"/>
      <c r="GA26" s="1150"/>
      <c r="GB26" s="1150"/>
      <c r="GC26" s="1150"/>
      <c r="GD26" s="1150"/>
      <c r="GE26" s="1150"/>
      <c r="GF26" s="1150"/>
      <c r="GG26" s="1150"/>
      <c r="GH26" s="1150"/>
      <c r="GI26" s="1150"/>
      <c r="GJ26" s="1150"/>
      <c r="GK26" s="1150"/>
      <c r="GL26" s="1150"/>
      <c r="GM26" s="1150"/>
      <c r="GN26" s="1150"/>
      <c r="GO26" s="1150"/>
      <c r="GP26" s="1150"/>
      <c r="GQ26" s="1150"/>
      <c r="GR26" s="1150"/>
      <c r="GS26" s="1150"/>
      <c r="GT26" s="1150"/>
      <c r="GU26" s="1150"/>
      <c r="GV26" s="1150"/>
      <c r="GW26" s="1150"/>
      <c r="GX26" s="1150"/>
      <c r="GY26" s="1150"/>
      <c r="GZ26" s="1150"/>
      <c r="HA26" s="1150"/>
      <c r="HB26" s="1150"/>
      <c r="HC26" s="1150"/>
      <c r="HD26" s="1150"/>
      <c r="HE26" s="1150"/>
      <c r="HF26" s="1150"/>
      <c r="HG26" s="1150"/>
      <c r="HH26" s="1150"/>
      <c r="HI26" s="1150"/>
      <c r="HJ26" s="1150"/>
      <c r="HK26" s="1150"/>
      <c r="HL26" s="1150"/>
      <c r="HM26" s="1150"/>
      <c r="HN26" s="1150"/>
      <c r="HO26" s="1150"/>
      <c r="HP26" s="1150"/>
      <c r="HQ26" s="1150"/>
      <c r="HR26" s="1150"/>
      <c r="HS26" s="1150"/>
      <c r="HT26" s="1150"/>
      <c r="HU26" s="1150"/>
      <c r="HV26" s="1150"/>
      <c r="HW26" s="1150"/>
      <c r="HX26" s="1150"/>
      <c r="HY26" s="1150"/>
      <c r="HZ26" s="1150"/>
      <c r="IA26" s="1150"/>
      <c r="IB26" s="1150"/>
      <c r="IC26" s="1150"/>
      <c r="ID26" s="1150"/>
      <c r="IE26" s="1150"/>
      <c r="IF26" s="1150"/>
      <c r="IG26" s="1150"/>
      <c r="IH26" s="1150"/>
      <c r="II26" s="1150"/>
      <c r="IJ26" s="1150"/>
      <c r="IK26" s="1150"/>
      <c r="IL26" s="1150"/>
      <c r="IM26" s="1150"/>
      <c r="IN26" s="1150"/>
      <c r="IO26" s="1150"/>
      <c r="IP26" s="1150"/>
      <c r="IQ26" s="1150"/>
      <c r="IR26" s="1150"/>
      <c r="IS26" s="1150"/>
      <c r="IT26" s="1150"/>
      <c r="IU26" s="1150"/>
      <c r="IV26" s="1150"/>
      <c r="IW26" s="1150"/>
      <c r="IX26" s="1150"/>
      <c r="IY26" s="1150"/>
      <c r="IZ26" s="1150"/>
      <c r="JA26" s="1150"/>
      <c r="JB26" s="1150"/>
      <c r="JC26" s="1150"/>
      <c r="JD26" s="1152"/>
      <c r="JE26" s="1150"/>
      <c r="JF26" s="1150"/>
      <c r="JG26" s="1150"/>
      <c r="JH26" s="1150"/>
      <c r="JI26" s="1150"/>
      <c r="JJ26" s="1150"/>
      <c r="JK26" s="1150"/>
      <c r="JL26" s="1150"/>
      <c r="JM26" s="1150"/>
      <c r="JN26" s="1150"/>
      <c r="JO26" s="1150"/>
      <c r="JP26" s="1150"/>
      <c r="JQ26" s="1150"/>
      <c r="JR26" s="1150"/>
      <c r="JS26" s="1150"/>
      <c r="JT26" s="1150"/>
      <c r="JU26" s="1150"/>
      <c r="JV26" s="1150"/>
      <c r="JW26" s="1150"/>
      <c r="JX26" s="1150"/>
      <c r="JY26" s="1150"/>
      <c r="JZ26" s="1150"/>
      <c r="KA26" s="1150"/>
      <c r="KB26" s="1150"/>
      <c r="KC26" s="1150"/>
      <c r="KD26" s="1150"/>
      <c r="KE26" s="1150"/>
    </row>
    <row r="27" spans="1:291">
      <c r="A27" s="78" t="s">
        <v>2727</v>
      </c>
      <c r="B27" s="83">
        <v>601</v>
      </c>
      <c r="C27" s="437" t="s">
        <v>2728</v>
      </c>
      <c r="D27" s="1155">
        <v>2023</v>
      </c>
      <c r="E27" s="1155">
        <v>2023</v>
      </c>
      <c r="F27" s="1155">
        <v>2023</v>
      </c>
      <c r="G27" s="1155">
        <v>2023</v>
      </c>
      <c r="H27" s="1155">
        <v>2023</v>
      </c>
      <c r="I27" s="1155">
        <v>2023</v>
      </c>
      <c r="J27" s="1155">
        <v>2023</v>
      </c>
      <c r="K27" s="1155">
        <v>2023</v>
      </c>
      <c r="L27" s="1155">
        <v>2022</v>
      </c>
      <c r="M27" s="1155">
        <v>2022</v>
      </c>
      <c r="N27" s="1155">
        <v>2022</v>
      </c>
      <c r="O27" s="1155">
        <v>2022</v>
      </c>
      <c r="P27" s="1155">
        <v>2023</v>
      </c>
      <c r="Q27" s="1155">
        <v>2023</v>
      </c>
      <c r="R27" s="1155">
        <v>2023</v>
      </c>
      <c r="S27" s="1155">
        <v>2023</v>
      </c>
      <c r="T27" s="1155">
        <v>2022</v>
      </c>
      <c r="U27" s="1155">
        <v>2022</v>
      </c>
      <c r="V27" s="1155">
        <v>2023</v>
      </c>
      <c r="W27" s="1155">
        <v>2023</v>
      </c>
      <c r="X27" s="1155">
        <v>2023</v>
      </c>
      <c r="Y27" s="1155">
        <v>2023</v>
      </c>
      <c r="Z27" s="1155">
        <v>2022</v>
      </c>
      <c r="AA27" s="1155">
        <v>2022</v>
      </c>
      <c r="AB27" s="1155">
        <v>2022</v>
      </c>
      <c r="AC27" s="1155">
        <v>2022</v>
      </c>
      <c r="AD27" s="1155">
        <v>2023</v>
      </c>
      <c r="AE27" s="1155">
        <v>2023</v>
      </c>
      <c r="AF27" s="1155">
        <v>2023</v>
      </c>
      <c r="AG27" s="1155">
        <v>2023</v>
      </c>
      <c r="AH27" s="1155">
        <v>2014</v>
      </c>
      <c r="AI27" s="1155">
        <v>2014</v>
      </c>
      <c r="AJ27" s="1155">
        <v>2014</v>
      </c>
      <c r="AK27" s="1155">
        <v>2014</v>
      </c>
      <c r="AL27" s="1155">
        <v>2023</v>
      </c>
      <c r="AM27" s="1155">
        <v>2023</v>
      </c>
      <c r="AN27" s="1155">
        <v>2023</v>
      </c>
      <c r="AO27" s="1155">
        <v>2023</v>
      </c>
      <c r="AP27" s="1155">
        <v>2023</v>
      </c>
      <c r="AQ27" s="1155">
        <v>2023</v>
      </c>
      <c r="AR27" s="1155">
        <v>2023</v>
      </c>
      <c r="AS27" s="1155">
        <v>2023</v>
      </c>
      <c r="AT27" s="1155">
        <v>2022</v>
      </c>
      <c r="AU27" s="1155">
        <v>2022</v>
      </c>
      <c r="AV27" s="1155">
        <v>2023</v>
      </c>
      <c r="AW27" s="1155">
        <v>2023</v>
      </c>
      <c r="AX27" s="1155">
        <v>2023</v>
      </c>
      <c r="AY27" s="1155">
        <v>2023</v>
      </c>
      <c r="AZ27" s="1155">
        <v>2023</v>
      </c>
      <c r="BA27" s="1155">
        <v>2023</v>
      </c>
      <c r="BB27" s="1155">
        <v>2024</v>
      </c>
      <c r="BC27" s="1155">
        <v>2024</v>
      </c>
      <c r="BD27" s="1155">
        <v>2024</v>
      </c>
      <c r="BE27" s="1155">
        <v>2024</v>
      </c>
      <c r="BF27" s="1155">
        <v>2022</v>
      </c>
      <c r="BG27" s="1155">
        <v>2022</v>
      </c>
      <c r="BH27" s="1155">
        <v>2023</v>
      </c>
      <c r="BI27" s="1155">
        <v>2023</v>
      </c>
      <c r="BJ27" s="1155">
        <v>2023</v>
      </c>
      <c r="BK27" s="1155">
        <v>2023</v>
      </c>
      <c r="BL27" s="1156">
        <v>2023</v>
      </c>
      <c r="BM27" s="1156">
        <v>2023</v>
      </c>
      <c r="BN27" s="1155">
        <v>2024</v>
      </c>
      <c r="BO27" s="1155">
        <v>2024</v>
      </c>
      <c r="BP27" s="1155">
        <v>2024</v>
      </c>
      <c r="BQ27" s="1155">
        <v>2024</v>
      </c>
      <c r="BR27" s="1155">
        <v>2024</v>
      </c>
      <c r="BS27" s="1155">
        <v>2024</v>
      </c>
      <c r="BT27" s="1155">
        <v>2024</v>
      </c>
      <c r="BU27" s="1155">
        <v>2024</v>
      </c>
      <c r="BV27" s="1155">
        <v>2022</v>
      </c>
      <c r="BW27" s="1155">
        <v>2022</v>
      </c>
      <c r="BX27" s="1155">
        <v>2014</v>
      </c>
      <c r="BY27" s="1155">
        <v>2014</v>
      </c>
      <c r="BZ27" s="1155">
        <v>2014</v>
      </c>
      <c r="CA27" s="1155">
        <v>2014</v>
      </c>
      <c r="CB27" s="1155">
        <v>2023</v>
      </c>
      <c r="CC27" s="1155">
        <v>2023</v>
      </c>
      <c r="CD27" s="1155">
        <v>2023</v>
      </c>
      <c r="CE27" s="1155">
        <v>2023</v>
      </c>
      <c r="CF27" s="1155">
        <v>2014</v>
      </c>
      <c r="CG27" s="1155">
        <v>2014</v>
      </c>
      <c r="CH27" s="1155">
        <v>2014</v>
      </c>
      <c r="CI27" s="1155">
        <v>2022</v>
      </c>
      <c r="CJ27" s="1155">
        <v>2022</v>
      </c>
      <c r="CK27" s="1155">
        <v>2022</v>
      </c>
      <c r="CL27" s="1155">
        <v>2022</v>
      </c>
      <c r="CM27" s="1155">
        <v>2022</v>
      </c>
      <c r="CN27" s="1155">
        <v>2023</v>
      </c>
      <c r="CO27" s="1155">
        <v>2023</v>
      </c>
      <c r="CP27" s="1155">
        <v>2023</v>
      </c>
      <c r="CQ27" s="1155">
        <v>2023</v>
      </c>
      <c r="CR27" s="1155">
        <v>2023</v>
      </c>
      <c r="CS27" s="1155">
        <v>2023</v>
      </c>
      <c r="CT27" s="1155">
        <v>2023</v>
      </c>
      <c r="CU27" s="1155">
        <v>2023</v>
      </c>
      <c r="CV27" s="1155">
        <v>2023</v>
      </c>
      <c r="CW27" s="1155">
        <v>2023</v>
      </c>
      <c r="CX27" s="1155">
        <v>2023</v>
      </c>
      <c r="CY27" s="1155">
        <v>2023</v>
      </c>
      <c r="CZ27" s="1155">
        <v>2023</v>
      </c>
      <c r="DA27" s="1155">
        <v>2023</v>
      </c>
      <c r="DB27" s="1155">
        <v>2023</v>
      </c>
      <c r="DC27" s="1155">
        <v>2023</v>
      </c>
      <c r="DD27" s="1155">
        <v>2023</v>
      </c>
      <c r="DE27" s="1155">
        <v>2023</v>
      </c>
      <c r="DF27" s="1155">
        <v>2023</v>
      </c>
      <c r="DG27" s="1155">
        <v>2023</v>
      </c>
      <c r="DH27" s="1155">
        <v>2023</v>
      </c>
      <c r="DI27" s="1155">
        <v>2023</v>
      </c>
      <c r="DJ27" s="1155">
        <v>2023</v>
      </c>
      <c r="DK27" s="1155">
        <v>2023</v>
      </c>
      <c r="DL27" s="1155">
        <v>2023</v>
      </c>
      <c r="DM27" s="1155">
        <v>1976</v>
      </c>
      <c r="DN27" s="1155">
        <v>1979</v>
      </c>
      <c r="DO27" s="1155">
        <v>2005</v>
      </c>
      <c r="DP27" s="1155">
        <v>2005</v>
      </c>
      <c r="DQ27" s="1155">
        <v>2005</v>
      </c>
      <c r="DR27" s="1155">
        <v>2005</v>
      </c>
      <c r="DS27" s="1156">
        <v>2022</v>
      </c>
      <c r="DT27" s="1156">
        <v>2022</v>
      </c>
      <c r="DU27" s="1155">
        <v>2000</v>
      </c>
      <c r="DV27" s="1156">
        <v>2022</v>
      </c>
      <c r="DW27" s="1155">
        <v>2000</v>
      </c>
      <c r="DX27" s="1156">
        <v>2022</v>
      </c>
      <c r="DY27" s="1155">
        <v>2000</v>
      </c>
      <c r="DZ27" s="1155">
        <v>2014</v>
      </c>
      <c r="EA27" s="1156">
        <v>2022</v>
      </c>
      <c r="EB27" s="1155">
        <v>2006</v>
      </c>
      <c r="EC27" s="1155">
        <v>2006</v>
      </c>
      <c r="ED27" s="1155">
        <v>2006</v>
      </c>
      <c r="EE27" s="1155">
        <v>2002</v>
      </c>
      <c r="EF27" s="1155">
        <v>2002</v>
      </c>
      <c r="EG27" s="1155">
        <v>2020</v>
      </c>
      <c r="EH27" s="1155">
        <v>2020</v>
      </c>
      <c r="EI27" s="1155">
        <v>2020</v>
      </c>
      <c r="EJ27" s="1155">
        <v>2022</v>
      </c>
      <c r="EK27" s="1155">
        <v>2022</v>
      </c>
      <c r="EL27" s="1155">
        <v>2023</v>
      </c>
      <c r="EM27" s="1155">
        <v>2023</v>
      </c>
      <c r="EN27" s="1155">
        <v>2020</v>
      </c>
      <c r="EO27" s="1155">
        <v>2014</v>
      </c>
      <c r="EP27" s="1155">
        <v>2014</v>
      </c>
      <c r="EQ27" s="1155">
        <v>2014</v>
      </c>
      <c r="ER27" s="1155">
        <v>2014</v>
      </c>
      <c r="ES27" s="1155">
        <v>2014</v>
      </c>
      <c r="ET27" s="1155">
        <v>2014</v>
      </c>
      <c r="EU27" s="1155">
        <v>2014</v>
      </c>
      <c r="EV27" s="1155">
        <v>2014</v>
      </c>
      <c r="EW27" s="1155">
        <v>2014</v>
      </c>
      <c r="EX27" s="1155">
        <v>2014</v>
      </c>
      <c r="EY27" s="1155">
        <v>2014</v>
      </c>
      <c r="EZ27" s="1155">
        <v>2014</v>
      </c>
      <c r="FA27" s="1155">
        <v>2014</v>
      </c>
      <c r="FB27" s="1155">
        <v>1992</v>
      </c>
      <c r="FC27" s="1155">
        <v>1992</v>
      </c>
      <c r="FD27" s="1155">
        <v>1992</v>
      </c>
      <c r="FE27" s="1155">
        <v>1992</v>
      </c>
      <c r="FF27" s="1155">
        <v>1992</v>
      </c>
      <c r="FG27" s="1155">
        <v>1992</v>
      </c>
      <c r="FH27" s="1155">
        <v>2022</v>
      </c>
      <c r="FI27" s="1155">
        <v>2023</v>
      </c>
      <c r="FJ27" s="1155">
        <v>1992</v>
      </c>
      <c r="FK27" s="1155">
        <v>1992</v>
      </c>
      <c r="FL27" s="1155">
        <v>1992</v>
      </c>
      <c r="FM27" s="1155">
        <v>1992</v>
      </c>
      <c r="FN27" s="1155">
        <v>1992</v>
      </c>
      <c r="FO27" s="1155">
        <v>1991</v>
      </c>
      <c r="FP27" s="1155">
        <v>1992</v>
      </c>
      <c r="FQ27" s="1155">
        <v>1992</v>
      </c>
      <c r="FR27" s="1155">
        <v>1992</v>
      </c>
      <c r="FS27" s="1155">
        <v>2022</v>
      </c>
      <c r="FT27" s="1155">
        <v>2016</v>
      </c>
      <c r="FU27" s="1156">
        <v>2012</v>
      </c>
      <c r="FV27" s="1156">
        <v>2022</v>
      </c>
      <c r="FW27" s="1155">
        <v>2022</v>
      </c>
      <c r="FX27" s="1155">
        <v>2022</v>
      </c>
      <c r="FY27" s="1155">
        <v>1992</v>
      </c>
      <c r="FZ27" s="1155">
        <v>1992</v>
      </c>
      <c r="GA27" s="1155">
        <v>1992</v>
      </c>
      <c r="GB27" s="1155">
        <v>1992</v>
      </c>
      <c r="GC27" s="1155">
        <v>2022</v>
      </c>
      <c r="GD27" s="1155">
        <v>2022</v>
      </c>
      <c r="GE27" s="1155">
        <v>2022</v>
      </c>
      <c r="GF27" s="1155">
        <v>2020</v>
      </c>
      <c r="GG27" s="1155">
        <v>2018</v>
      </c>
      <c r="GH27" s="1155">
        <v>2022</v>
      </c>
      <c r="GI27" s="1155">
        <v>2022</v>
      </c>
      <c r="GJ27" s="1155">
        <v>2018</v>
      </c>
      <c r="GK27" s="1155">
        <v>2018</v>
      </c>
      <c r="GL27" s="1155">
        <v>2022</v>
      </c>
      <c r="GM27" s="1155">
        <v>2018</v>
      </c>
      <c r="GN27" s="1155">
        <v>2022</v>
      </c>
      <c r="GO27" s="1155">
        <v>2022</v>
      </c>
      <c r="GP27" s="1155">
        <v>2022</v>
      </c>
      <c r="GQ27" s="1155">
        <v>2022</v>
      </c>
      <c r="GR27" s="1155">
        <v>2022</v>
      </c>
      <c r="GS27" s="1155">
        <v>2022</v>
      </c>
      <c r="GT27" s="1155">
        <v>2022</v>
      </c>
      <c r="GU27" s="1155">
        <v>2022</v>
      </c>
      <c r="GV27" s="1155">
        <v>2022</v>
      </c>
      <c r="GW27" s="1155">
        <v>2022</v>
      </c>
      <c r="GX27" s="1155">
        <v>2022</v>
      </c>
      <c r="GY27" s="1155">
        <v>2022</v>
      </c>
      <c r="GZ27" s="1155">
        <v>2022</v>
      </c>
      <c r="HA27" s="1155" t="s">
        <v>2729</v>
      </c>
      <c r="HB27" s="1155">
        <v>2022</v>
      </c>
      <c r="HC27" s="1155">
        <v>2022</v>
      </c>
      <c r="HD27" s="1155">
        <v>2022</v>
      </c>
      <c r="HE27" s="1155">
        <v>2022</v>
      </c>
      <c r="HF27" s="1155">
        <v>2022</v>
      </c>
      <c r="HG27" s="1155">
        <v>2022</v>
      </c>
      <c r="HH27" s="1155">
        <v>2022</v>
      </c>
      <c r="HI27" s="1155">
        <v>2022</v>
      </c>
      <c r="HJ27" s="1155">
        <v>2022</v>
      </c>
      <c r="HK27" s="1155">
        <v>2022</v>
      </c>
      <c r="HL27" s="1155">
        <v>2022</v>
      </c>
      <c r="HM27" s="1155">
        <v>2022</v>
      </c>
      <c r="HN27" s="1155">
        <v>2022</v>
      </c>
      <c r="HO27" s="1155">
        <v>2000</v>
      </c>
      <c r="HP27" s="1155">
        <v>2005</v>
      </c>
      <c r="HQ27" s="1155">
        <v>2005</v>
      </c>
      <c r="HR27" s="1155">
        <v>2005</v>
      </c>
      <c r="HS27" s="1155">
        <v>2005</v>
      </c>
      <c r="HT27" s="1155">
        <v>2005</v>
      </c>
      <c r="HU27" s="1155">
        <v>2005</v>
      </c>
      <c r="HV27" s="1155">
        <v>2005</v>
      </c>
      <c r="HW27" s="1155">
        <v>2005</v>
      </c>
      <c r="HX27" s="1155">
        <v>2005</v>
      </c>
      <c r="HY27" s="1155">
        <v>2005</v>
      </c>
      <c r="HZ27" s="1155">
        <v>2005</v>
      </c>
      <c r="IA27" s="1155">
        <v>2005</v>
      </c>
      <c r="IB27" s="1155">
        <v>2005</v>
      </c>
      <c r="IC27" s="1155">
        <v>2005</v>
      </c>
      <c r="ID27" s="1155">
        <v>2005</v>
      </c>
      <c r="IE27" s="1155">
        <v>2005</v>
      </c>
      <c r="IF27" s="1155">
        <v>2005</v>
      </c>
      <c r="IG27" s="1155">
        <v>2005</v>
      </c>
      <c r="IH27" s="1155">
        <v>2005</v>
      </c>
      <c r="II27" s="1155">
        <v>2005</v>
      </c>
      <c r="IJ27" s="1155">
        <v>2005</v>
      </c>
      <c r="IK27" s="1155">
        <v>2005</v>
      </c>
      <c r="IL27" s="1155">
        <v>2005</v>
      </c>
      <c r="IM27" s="1155">
        <v>2005</v>
      </c>
      <c r="IN27" s="1155">
        <v>2005</v>
      </c>
      <c r="IO27" s="1155">
        <v>2005</v>
      </c>
      <c r="IP27" s="1155">
        <v>2005</v>
      </c>
      <c r="IQ27" s="1155">
        <v>2005</v>
      </c>
      <c r="IR27" s="1155">
        <v>2005</v>
      </c>
      <c r="IS27" s="1155">
        <v>2005</v>
      </c>
      <c r="IT27" s="1155">
        <v>2005</v>
      </c>
      <c r="IU27" s="1155">
        <v>2005</v>
      </c>
      <c r="IV27" s="1155">
        <v>2007</v>
      </c>
      <c r="IW27" s="1155">
        <v>2007</v>
      </c>
      <c r="IX27" s="1155">
        <v>2007</v>
      </c>
      <c r="IY27" s="1155">
        <v>2006</v>
      </c>
      <c r="IZ27" s="1155">
        <v>2005</v>
      </c>
      <c r="JA27" s="1155">
        <v>1994</v>
      </c>
      <c r="JB27" s="1155">
        <v>2005</v>
      </c>
      <c r="JC27" s="1155">
        <v>2010</v>
      </c>
      <c r="JD27" s="1157" t="s">
        <v>529</v>
      </c>
      <c r="JE27" s="1155">
        <v>2014</v>
      </c>
      <c r="JF27" s="1155">
        <v>2014</v>
      </c>
      <c r="JG27" s="1155">
        <v>2014</v>
      </c>
      <c r="JH27" s="1155">
        <v>2014</v>
      </c>
      <c r="JI27" s="1155">
        <v>2022</v>
      </c>
      <c r="JJ27" s="1155">
        <v>2022</v>
      </c>
      <c r="JK27" s="1155">
        <v>2022</v>
      </c>
      <c r="JL27" s="1155">
        <v>2014</v>
      </c>
      <c r="JM27" s="1155">
        <v>2014</v>
      </c>
      <c r="JN27" s="1155">
        <v>2014</v>
      </c>
      <c r="JO27" s="1155">
        <v>2014</v>
      </c>
      <c r="JP27" s="1155">
        <v>2022</v>
      </c>
      <c r="JQ27" s="1155">
        <v>2022</v>
      </c>
      <c r="JR27" s="1155">
        <v>2014</v>
      </c>
      <c r="JS27" s="1155">
        <v>2014</v>
      </c>
      <c r="JT27" s="1155">
        <v>2014</v>
      </c>
      <c r="JU27" s="1155">
        <v>2014</v>
      </c>
      <c r="JV27" s="1155">
        <v>2014</v>
      </c>
      <c r="JW27" s="1155">
        <v>2014</v>
      </c>
      <c r="JX27" s="1155">
        <v>2014</v>
      </c>
      <c r="JY27" s="1155">
        <v>2014</v>
      </c>
      <c r="JZ27" s="1155">
        <v>2022</v>
      </c>
      <c r="KA27" s="1155">
        <v>2022</v>
      </c>
      <c r="KB27" s="1155">
        <v>2022</v>
      </c>
      <c r="KC27" s="1155">
        <v>2022</v>
      </c>
      <c r="KD27" s="1155">
        <v>2022</v>
      </c>
      <c r="KE27" s="1155">
        <v>2022</v>
      </c>
    </row>
    <row r="28" spans="1:291">
      <c r="A28" s="78"/>
      <c r="B28" s="83">
        <v>602</v>
      </c>
      <c r="C28" s="437" t="s">
        <v>2730</v>
      </c>
      <c r="D28" s="1155">
        <v>2023</v>
      </c>
      <c r="E28" s="1155">
        <v>2023</v>
      </c>
      <c r="F28" s="1155">
        <v>2023</v>
      </c>
      <c r="G28" s="1155">
        <v>2023</v>
      </c>
      <c r="H28" s="1155">
        <v>2025</v>
      </c>
      <c r="I28" s="1155">
        <v>2025</v>
      </c>
      <c r="J28" s="1155">
        <v>2025</v>
      </c>
      <c r="K28" s="1155">
        <v>2025</v>
      </c>
      <c r="L28" s="1155">
        <v>2025</v>
      </c>
      <c r="M28" s="1155">
        <v>2025</v>
      </c>
      <c r="N28" s="1155">
        <v>2025</v>
      </c>
      <c r="O28" s="1155">
        <v>2025</v>
      </c>
      <c r="P28" s="1155">
        <v>2025</v>
      </c>
      <c r="Q28" s="1155">
        <v>2025</v>
      </c>
      <c r="R28" s="1155">
        <v>2025</v>
      </c>
      <c r="S28" s="1155">
        <v>2025</v>
      </c>
      <c r="T28" s="1155">
        <v>2024</v>
      </c>
      <c r="U28" s="1155">
        <v>2024</v>
      </c>
      <c r="V28" s="1155">
        <v>2024</v>
      </c>
      <c r="W28" s="1155">
        <v>2024</v>
      </c>
      <c r="X28" s="1155">
        <v>2024</v>
      </c>
      <c r="Y28" s="1155">
        <v>2024</v>
      </c>
      <c r="Z28" s="1155">
        <v>2025</v>
      </c>
      <c r="AA28" s="1155">
        <v>2025</v>
      </c>
      <c r="AB28" s="1155">
        <v>2025</v>
      </c>
      <c r="AC28" s="1155">
        <v>2025</v>
      </c>
      <c r="AD28" s="1155">
        <v>2025</v>
      </c>
      <c r="AE28" s="1155">
        <v>2025</v>
      </c>
      <c r="AF28" s="1155">
        <v>2025</v>
      </c>
      <c r="AG28" s="1155">
        <v>2025</v>
      </c>
      <c r="AH28" s="1155">
        <v>2020</v>
      </c>
      <c r="AI28" s="1155">
        <v>2020</v>
      </c>
      <c r="AJ28" s="1155">
        <v>2020</v>
      </c>
      <c r="AK28" s="1155">
        <v>2020</v>
      </c>
      <c r="AL28" s="1155">
        <v>2025</v>
      </c>
      <c r="AM28" s="1155">
        <v>2025</v>
      </c>
      <c r="AN28" s="1155">
        <v>2025</v>
      </c>
      <c r="AO28" s="1155">
        <v>2025</v>
      </c>
      <c r="AP28" s="1155">
        <v>2025</v>
      </c>
      <c r="AQ28" s="1155">
        <v>2025</v>
      </c>
      <c r="AR28" s="1155">
        <v>2025</v>
      </c>
      <c r="AS28" s="1155">
        <v>2025</v>
      </c>
      <c r="AT28" s="1155">
        <v>2024</v>
      </c>
      <c r="AU28" s="1155">
        <v>2024</v>
      </c>
      <c r="AV28" s="1155">
        <v>2024</v>
      </c>
      <c r="AW28" s="1155">
        <v>2024</v>
      </c>
      <c r="AX28" s="1155">
        <v>2024</v>
      </c>
      <c r="AY28" s="1155">
        <v>2024</v>
      </c>
      <c r="AZ28" s="1155">
        <v>2024</v>
      </c>
      <c r="BA28" s="1155">
        <v>2024</v>
      </c>
      <c r="BB28" s="1155">
        <v>2025</v>
      </c>
      <c r="BC28" s="1155">
        <v>2025</v>
      </c>
      <c r="BD28" s="1155">
        <v>2025</v>
      </c>
      <c r="BE28" s="1155">
        <v>2025</v>
      </c>
      <c r="BF28" s="1155">
        <v>2024</v>
      </c>
      <c r="BG28" s="1155">
        <v>2024</v>
      </c>
      <c r="BH28" s="1155">
        <v>2024</v>
      </c>
      <c r="BI28" s="1155">
        <v>2024</v>
      </c>
      <c r="BJ28" s="1155">
        <v>2024</v>
      </c>
      <c r="BK28" s="1155">
        <v>2024</v>
      </c>
      <c r="BL28" s="1156">
        <v>2024</v>
      </c>
      <c r="BM28" s="1156">
        <v>2024</v>
      </c>
      <c r="BN28" s="1155">
        <v>2025</v>
      </c>
      <c r="BO28" s="1155">
        <v>2025</v>
      </c>
      <c r="BP28" s="1155">
        <v>2025</v>
      </c>
      <c r="BQ28" s="1155">
        <v>2025</v>
      </c>
      <c r="BR28" s="1155">
        <v>2025</v>
      </c>
      <c r="BS28" s="1155">
        <v>2025</v>
      </c>
      <c r="BT28" s="1155">
        <v>2025</v>
      </c>
      <c r="BU28" s="1155">
        <v>2025</v>
      </c>
      <c r="BV28" s="1155">
        <v>2024</v>
      </c>
      <c r="BW28" s="1155">
        <v>2024</v>
      </c>
      <c r="BX28" s="1155">
        <v>2025</v>
      </c>
      <c r="BY28" s="1155">
        <v>2025</v>
      </c>
      <c r="BZ28" s="1155">
        <v>2025</v>
      </c>
      <c r="CA28" s="1155">
        <v>2025</v>
      </c>
      <c r="CB28" s="1155">
        <v>2025</v>
      </c>
      <c r="CC28" s="1155">
        <v>2025</v>
      </c>
      <c r="CD28" s="1155">
        <v>2025</v>
      </c>
      <c r="CE28" s="1155">
        <v>2025</v>
      </c>
      <c r="CF28" s="1155">
        <v>2024</v>
      </c>
      <c r="CG28" s="1155">
        <v>2024</v>
      </c>
      <c r="CH28" s="1155">
        <v>2024</v>
      </c>
      <c r="CI28" s="1155">
        <v>2024</v>
      </c>
      <c r="CJ28" s="1155">
        <v>2024</v>
      </c>
      <c r="CK28" s="1155">
        <v>2024</v>
      </c>
      <c r="CL28" s="1155">
        <v>2024</v>
      </c>
      <c r="CM28" s="1155">
        <v>2024</v>
      </c>
      <c r="CN28" s="1155">
        <v>2024</v>
      </c>
      <c r="CO28" s="1155">
        <v>2024</v>
      </c>
      <c r="CP28" s="1155">
        <v>2025</v>
      </c>
      <c r="CQ28" s="1155">
        <v>2025</v>
      </c>
      <c r="CR28" s="1155">
        <v>2024</v>
      </c>
      <c r="CS28" s="1155">
        <v>2024</v>
      </c>
      <c r="CT28" s="1155">
        <v>2025</v>
      </c>
      <c r="CU28" s="1155">
        <v>2025</v>
      </c>
      <c r="CV28" s="1155">
        <v>2024</v>
      </c>
      <c r="CW28" s="1155">
        <v>2024</v>
      </c>
      <c r="CX28" s="1155">
        <v>2025</v>
      </c>
      <c r="CY28" s="1155">
        <v>2025</v>
      </c>
      <c r="CZ28" s="1155">
        <v>2024</v>
      </c>
      <c r="DA28" s="1155">
        <v>2024</v>
      </c>
      <c r="DB28" s="1155">
        <v>2025</v>
      </c>
      <c r="DC28" s="1155">
        <v>2025</v>
      </c>
      <c r="DD28" s="1155">
        <v>2024</v>
      </c>
      <c r="DE28" s="1155">
        <v>2024</v>
      </c>
      <c r="DF28" s="1155">
        <v>2024</v>
      </c>
      <c r="DG28" s="1155">
        <v>2024</v>
      </c>
      <c r="DH28" s="1155">
        <v>2024</v>
      </c>
      <c r="DI28" s="1155">
        <v>2024</v>
      </c>
      <c r="DJ28" s="1155">
        <v>2024</v>
      </c>
      <c r="DK28" s="1155">
        <v>2024</v>
      </c>
      <c r="DL28" s="1155">
        <v>2024</v>
      </c>
      <c r="DM28" s="1155">
        <v>1991</v>
      </c>
      <c r="DN28" s="1155">
        <v>1991</v>
      </c>
      <c r="DO28" s="1155">
        <v>2006</v>
      </c>
      <c r="DP28" s="1155">
        <v>2006</v>
      </c>
      <c r="DQ28" s="1155">
        <v>2006</v>
      </c>
      <c r="DR28" s="1155">
        <v>2006</v>
      </c>
      <c r="DS28" s="1156">
        <v>2024</v>
      </c>
      <c r="DT28" s="1156">
        <v>2024</v>
      </c>
      <c r="DU28" s="1155">
        <v>2000</v>
      </c>
      <c r="DV28" s="1156">
        <v>2024</v>
      </c>
      <c r="DW28" s="1155">
        <v>2000</v>
      </c>
      <c r="DX28" s="1156">
        <v>2024</v>
      </c>
      <c r="DY28" s="1155">
        <v>2006</v>
      </c>
      <c r="DZ28" s="1155">
        <v>2014</v>
      </c>
      <c r="EA28" s="1156">
        <v>2024</v>
      </c>
      <c r="EB28" s="1155">
        <v>2006</v>
      </c>
      <c r="EC28" s="1155">
        <v>2006</v>
      </c>
      <c r="ED28" s="1155">
        <v>2006</v>
      </c>
      <c r="EE28" s="1155">
        <v>2014</v>
      </c>
      <c r="EF28" s="1155">
        <v>2014</v>
      </c>
      <c r="EG28" s="1155">
        <v>2022</v>
      </c>
      <c r="EH28" s="1155">
        <v>2022</v>
      </c>
      <c r="EI28" s="1155">
        <v>2022</v>
      </c>
      <c r="EJ28" s="1155">
        <v>2024</v>
      </c>
      <c r="EK28" s="1155">
        <v>2024</v>
      </c>
      <c r="EL28" s="1155">
        <v>2024</v>
      </c>
      <c r="EM28" s="1155">
        <v>2024</v>
      </c>
      <c r="EN28" s="1155">
        <v>2020</v>
      </c>
      <c r="EO28" s="1155">
        <v>2017</v>
      </c>
      <c r="EP28" s="1155">
        <v>2017</v>
      </c>
      <c r="EQ28" s="1155">
        <v>2017</v>
      </c>
      <c r="ER28" s="1155">
        <v>2017</v>
      </c>
      <c r="ES28" s="1155">
        <v>2017</v>
      </c>
      <c r="ET28" s="1155">
        <v>2017</v>
      </c>
      <c r="EU28" s="1155">
        <v>2017</v>
      </c>
      <c r="EV28" s="1155">
        <v>2017</v>
      </c>
      <c r="EW28" s="1155">
        <v>2017</v>
      </c>
      <c r="EX28" s="1155">
        <v>2017</v>
      </c>
      <c r="EY28" s="1155">
        <v>2017</v>
      </c>
      <c r="EZ28" s="1155">
        <v>2017</v>
      </c>
      <c r="FA28" s="1155">
        <v>2017</v>
      </c>
      <c r="FB28" s="1155">
        <v>2006</v>
      </c>
      <c r="FC28" s="1155">
        <v>2006</v>
      </c>
      <c r="FD28" s="1155">
        <v>2006</v>
      </c>
      <c r="FE28" s="1155">
        <v>2006</v>
      </c>
      <c r="FF28" s="1155">
        <v>2006</v>
      </c>
      <c r="FG28" s="1155">
        <v>2009</v>
      </c>
      <c r="FH28" s="1155">
        <v>2026</v>
      </c>
      <c r="FI28" s="1155">
        <v>2026</v>
      </c>
      <c r="FJ28" s="1155">
        <v>1992</v>
      </c>
      <c r="FK28" s="1155">
        <v>2009</v>
      </c>
      <c r="FL28" s="1155">
        <v>2009</v>
      </c>
      <c r="FM28" s="1155">
        <v>2009</v>
      </c>
      <c r="FN28" s="1155">
        <v>2009</v>
      </c>
      <c r="FO28" s="1155">
        <v>1991</v>
      </c>
      <c r="FP28" s="1155">
        <v>2009</v>
      </c>
      <c r="FQ28" s="1155">
        <v>2009</v>
      </c>
      <c r="FR28" s="1155">
        <v>2009</v>
      </c>
      <c r="FS28" s="1155">
        <v>2026</v>
      </c>
      <c r="FT28" s="1155">
        <v>2026</v>
      </c>
      <c r="FU28" s="1156">
        <v>2026</v>
      </c>
      <c r="FV28" s="1156">
        <v>2026</v>
      </c>
      <c r="FW28" s="1155">
        <v>2026</v>
      </c>
      <c r="FX28" s="1155">
        <v>2026</v>
      </c>
      <c r="FY28" s="1155">
        <v>2015</v>
      </c>
      <c r="FZ28" s="1155">
        <v>2015</v>
      </c>
      <c r="GA28" s="1155">
        <v>2015</v>
      </c>
      <c r="GB28" s="1155">
        <v>2015</v>
      </c>
      <c r="GC28" s="1155">
        <v>2026</v>
      </c>
      <c r="GD28" s="1155">
        <v>2026</v>
      </c>
      <c r="GE28" s="1155">
        <v>2026</v>
      </c>
      <c r="GF28" s="1155">
        <v>2025</v>
      </c>
      <c r="GG28" s="1155">
        <v>2023</v>
      </c>
      <c r="GH28" s="1155">
        <v>2026</v>
      </c>
      <c r="GI28" s="1155">
        <v>2026</v>
      </c>
      <c r="GJ28" s="1155">
        <v>2023</v>
      </c>
      <c r="GK28" s="1155">
        <v>2023</v>
      </c>
      <c r="GL28" s="1155">
        <v>2026</v>
      </c>
      <c r="GM28" s="1155">
        <v>2023</v>
      </c>
      <c r="GN28" s="1155">
        <v>2026</v>
      </c>
      <c r="GO28" s="1155">
        <v>2026</v>
      </c>
      <c r="GP28" s="1155">
        <v>2026</v>
      </c>
      <c r="GQ28" s="1155">
        <v>2026</v>
      </c>
      <c r="GR28" s="1155">
        <v>2026</v>
      </c>
      <c r="GS28" s="1155">
        <v>2026</v>
      </c>
      <c r="GT28" s="1155">
        <v>2026</v>
      </c>
      <c r="GU28" s="1155">
        <v>2026</v>
      </c>
      <c r="GV28" s="1155">
        <v>2026</v>
      </c>
      <c r="GW28" s="1155">
        <v>2026</v>
      </c>
      <c r="GX28" s="1155">
        <v>2026</v>
      </c>
      <c r="GY28" s="1155" t="s">
        <v>2729</v>
      </c>
      <c r="GZ28" s="1155" t="s">
        <v>2729</v>
      </c>
      <c r="HA28" s="1155" t="s">
        <v>2729</v>
      </c>
      <c r="HB28" s="1155">
        <v>2026</v>
      </c>
      <c r="HC28" s="1155">
        <v>2026</v>
      </c>
      <c r="HD28" s="1155">
        <v>2026</v>
      </c>
      <c r="HE28" s="1155">
        <v>2026</v>
      </c>
      <c r="HF28" s="1155">
        <v>2026</v>
      </c>
      <c r="HG28" s="1155">
        <v>2026</v>
      </c>
      <c r="HH28" s="1155">
        <v>2026</v>
      </c>
      <c r="HI28" s="1155">
        <v>2026</v>
      </c>
      <c r="HJ28" s="1155">
        <v>2026</v>
      </c>
      <c r="HK28" s="1155">
        <v>2026</v>
      </c>
      <c r="HL28" s="1155">
        <v>2026</v>
      </c>
      <c r="HM28" s="1155">
        <v>2026</v>
      </c>
      <c r="HN28" s="1155">
        <v>2026</v>
      </c>
      <c r="HO28" s="1155">
        <v>2018</v>
      </c>
      <c r="HP28" s="1155">
        <v>2018</v>
      </c>
      <c r="HQ28" s="1155">
        <v>2018</v>
      </c>
      <c r="HR28" s="1155">
        <v>2018</v>
      </c>
      <c r="HS28" s="1155">
        <v>2018</v>
      </c>
      <c r="HT28" s="1155">
        <v>2018</v>
      </c>
      <c r="HU28" s="1155">
        <v>2018</v>
      </c>
      <c r="HV28" s="1155">
        <v>2018</v>
      </c>
      <c r="HW28" s="1155">
        <v>2018</v>
      </c>
      <c r="HX28" s="1155">
        <v>2018</v>
      </c>
      <c r="HY28" s="1155">
        <v>2018</v>
      </c>
      <c r="HZ28" s="1155">
        <v>2018</v>
      </c>
      <c r="IA28" s="1155">
        <v>2018</v>
      </c>
      <c r="IB28" s="1155">
        <v>2018</v>
      </c>
      <c r="IC28" s="1155">
        <v>2018</v>
      </c>
      <c r="ID28" s="1155">
        <v>2018</v>
      </c>
      <c r="IE28" s="1155">
        <v>2018</v>
      </c>
      <c r="IF28" s="1155">
        <v>2018</v>
      </c>
      <c r="IG28" s="1155">
        <v>2018</v>
      </c>
      <c r="IH28" s="1155">
        <v>2018</v>
      </c>
      <c r="II28" s="1155">
        <v>2018</v>
      </c>
      <c r="IJ28" s="1155">
        <v>2018</v>
      </c>
      <c r="IK28" s="1155">
        <v>2018</v>
      </c>
      <c r="IL28" s="1155">
        <v>2018</v>
      </c>
      <c r="IM28" s="1155">
        <v>2018</v>
      </c>
      <c r="IN28" s="1155">
        <v>2018</v>
      </c>
      <c r="IO28" s="1155">
        <v>2018</v>
      </c>
      <c r="IP28" s="1155">
        <v>2018</v>
      </c>
      <c r="IQ28" s="1155">
        <v>2018</v>
      </c>
      <c r="IR28" s="1155">
        <v>2018</v>
      </c>
      <c r="IS28" s="1155">
        <v>2018</v>
      </c>
      <c r="IT28" s="1155">
        <v>2018</v>
      </c>
      <c r="IU28" s="1155">
        <v>2018</v>
      </c>
      <c r="IV28" s="1155">
        <v>2009</v>
      </c>
      <c r="IW28" s="1155">
        <v>2009</v>
      </c>
      <c r="IX28" s="1155">
        <v>2009</v>
      </c>
      <c r="IY28" s="1155">
        <v>2006</v>
      </c>
      <c r="IZ28" s="1155">
        <v>2007</v>
      </c>
      <c r="JA28" s="1155">
        <v>2007</v>
      </c>
      <c r="JB28" s="1155">
        <v>2007</v>
      </c>
      <c r="JC28" s="1155">
        <v>2017</v>
      </c>
      <c r="JD28" s="1157" t="s">
        <v>529</v>
      </c>
      <c r="JE28" s="1155">
        <v>2020</v>
      </c>
      <c r="JF28" s="1155">
        <v>2020</v>
      </c>
      <c r="JG28" s="1155">
        <v>2020</v>
      </c>
      <c r="JH28" s="1155">
        <v>2020</v>
      </c>
      <c r="JI28" s="1155">
        <v>2022</v>
      </c>
      <c r="JJ28" s="1155">
        <v>2022</v>
      </c>
      <c r="JK28" s="1155">
        <v>2022</v>
      </c>
      <c r="JL28" s="1155">
        <v>2020</v>
      </c>
      <c r="JM28" s="1155">
        <v>2020</v>
      </c>
      <c r="JN28" s="1155">
        <v>2020</v>
      </c>
      <c r="JO28" s="1155">
        <v>2020</v>
      </c>
      <c r="JP28" s="1155">
        <v>2022</v>
      </c>
      <c r="JQ28" s="1155">
        <v>2022</v>
      </c>
      <c r="JR28" s="1155">
        <v>2018</v>
      </c>
      <c r="JS28" s="1155">
        <v>2018</v>
      </c>
      <c r="JT28" s="1155">
        <v>2018</v>
      </c>
      <c r="JU28" s="1155">
        <v>2018</v>
      </c>
      <c r="JV28" s="1155">
        <v>2019</v>
      </c>
      <c r="JW28" s="1155">
        <v>2019</v>
      </c>
      <c r="JX28" s="1155">
        <v>2019</v>
      </c>
      <c r="JY28" s="1155">
        <v>2019</v>
      </c>
      <c r="JZ28" s="1155">
        <v>2022</v>
      </c>
      <c r="KA28" s="1155">
        <v>2022</v>
      </c>
      <c r="KB28" s="1155">
        <v>2022</v>
      </c>
      <c r="KC28" s="1155">
        <v>2022</v>
      </c>
      <c r="KD28" s="1155">
        <v>2022</v>
      </c>
      <c r="KE28" s="1155">
        <v>2022</v>
      </c>
    </row>
    <row r="29" spans="1:291" outlineLevel="1">
      <c r="A29" s="78"/>
      <c r="B29" s="83">
        <v>603</v>
      </c>
      <c r="C29" s="437" t="s">
        <v>2731</v>
      </c>
      <c r="D29" s="1144">
        <v>1</v>
      </c>
      <c r="E29" s="1144">
        <v>1</v>
      </c>
      <c r="F29" s="1144">
        <v>1</v>
      </c>
      <c r="G29" s="1144">
        <v>1</v>
      </c>
      <c r="H29" s="1144">
        <v>1</v>
      </c>
      <c r="I29" s="1144">
        <v>1</v>
      </c>
      <c r="J29" s="1144">
        <v>1</v>
      </c>
      <c r="K29" s="1144">
        <v>1</v>
      </c>
      <c r="L29" s="1144">
        <v>1</v>
      </c>
      <c r="M29" s="1144">
        <v>1</v>
      </c>
      <c r="N29" s="1144">
        <v>1</v>
      </c>
      <c r="O29" s="1144">
        <v>1</v>
      </c>
      <c r="P29" s="1144">
        <v>1</v>
      </c>
      <c r="Q29" s="1144">
        <v>1</v>
      </c>
      <c r="R29" s="1144">
        <v>1</v>
      </c>
      <c r="S29" s="1144">
        <v>1</v>
      </c>
      <c r="T29" s="1144">
        <v>1</v>
      </c>
      <c r="U29" s="1144">
        <v>1</v>
      </c>
      <c r="V29" s="1155">
        <v>1</v>
      </c>
      <c r="W29" s="1155">
        <v>1</v>
      </c>
      <c r="X29" s="1155">
        <v>1</v>
      </c>
      <c r="Y29" s="1155">
        <v>1</v>
      </c>
      <c r="Z29" s="1144">
        <v>1</v>
      </c>
      <c r="AA29" s="1144">
        <v>1</v>
      </c>
      <c r="AB29" s="1144">
        <v>1</v>
      </c>
      <c r="AC29" s="1144">
        <v>1</v>
      </c>
      <c r="AD29" s="1144">
        <v>1</v>
      </c>
      <c r="AE29" s="1144">
        <v>1</v>
      </c>
      <c r="AF29" s="1144">
        <v>1</v>
      </c>
      <c r="AG29" s="1144">
        <v>1</v>
      </c>
      <c r="AH29" s="1144">
        <v>1</v>
      </c>
      <c r="AI29" s="1144">
        <v>1</v>
      </c>
      <c r="AJ29" s="1144">
        <v>1</v>
      </c>
      <c r="AK29" s="1144">
        <v>1</v>
      </c>
      <c r="AL29" s="1144">
        <v>1</v>
      </c>
      <c r="AM29" s="1144">
        <v>1</v>
      </c>
      <c r="AN29" s="1144">
        <v>1</v>
      </c>
      <c r="AO29" s="1144">
        <v>1</v>
      </c>
      <c r="AP29" s="1144">
        <v>1</v>
      </c>
      <c r="AQ29" s="1144">
        <v>1</v>
      </c>
      <c r="AR29" s="1144">
        <v>1</v>
      </c>
      <c r="AS29" s="1144">
        <v>1</v>
      </c>
      <c r="AT29" s="1144">
        <v>1</v>
      </c>
      <c r="AU29" s="1144">
        <v>1</v>
      </c>
      <c r="AV29" s="1144">
        <v>1</v>
      </c>
      <c r="AW29" s="1144">
        <v>1</v>
      </c>
      <c r="AX29" s="1144">
        <v>1</v>
      </c>
      <c r="AY29" s="1144">
        <v>1</v>
      </c>
      <c r="AZ29" s="1144">
        <v>1</v>
      </c>
      <c r="BA29" s="1144">
        <v>1</v>
      </c>
      <c r="BB29" s="1144">
        <v>1</v>
      </c>
      <c r="BC29" s="1144">
        <v>1</v>
      </c>
      <c r="BD29" s="1144">
        <v>1</v>
      </c>
      <c r="BE29" s="1144">
        <v>1</v>
      </c>
      <c r="BF29" s="1144">
        <v>1</v>
      </c>
      <c r="BG29" s="1144">
        <v>1</v>
      </c>
      <c r="BH29" s="1144">
        <v>1</v>
      </c>
      <c r="BI29" s="1144">
        <v>1</v>
      </c>
      <c r="BJ29" s="1144">
        <v>1</v>
      </c>
      <c r="BK29" s="1144">
        <v>1</v>
      </c>
      <c r="BL29" s="1145">
        <v>1</v>
      </c>
      <c r="BM29" s="1145">
        <v>1</v>
      </c>
      <c r="BN29" s="1144">
        <v>1</v>
      </c>
      <c r="BO29" s="1144">
        <v>1</v>
      </c>
      <c r="BP29" s="1144">
        <v>1</v>
      </c>
      <c r="BQ29" s="1144">
        <v>1</v>
      </c>
      <c r="BR29" s="1144">
        <v>1</v>
      </c>
      <c r="BS29" s="1144">
        <v>1</v>
      </c>
      <c r="BT29" s="1144">
        <v>1</v>
      </c>
      <c r="BU29" s="1144">
        <v>1</v>
      </c>
      <c r="BV29" s="1144">
        <v>1</v>
      </c>
      <c r="BW29" s="1144">
        <v>1</v>
      </c>
      <c r="BX29" s="1144">
        <v>1</v>
      </c>
      <c r="BY29" s="1144">
        <v>1</v>
      </c>
      <c r="BZ29" s="1144">
        <v>1</v>
      </c>
      <c r="CA29" s="1144">
        <v>1</v>
      </c>
      <c r="CB29" s="1144">
        <v>1</v>
      </c>
      <c r="CC29" s="1144">
        <v>1</v>
      </c>
      <c r="CD29" s="1144">
        <v>1</v>
      </c>
      <c r="CE29" s="1144">
        <v>1</v>
      </c>
      <c r="CF29" s="1144">
        <v>1</v>
      </c>
      <c r="CG29" s="1144">
        <v>1</v>
      </c>
      <c r="CH29" s="1144">
        <v>1</v>
      </c>
      <c r="CI29" s="1144">
        <v>1</v>
      </c>
      <c r="CJ29" s="1144">
        <v>1</v>
      </c>
      <c r="CK29" s="1144">
        <v>1</v>
      </c>
      <c r="CL29" s="1144">
        <v>1</v>
      </c>
      <c r="CM29" s="1144">
        <v>1</v>
      </c>
      <c r="CN29" s="1144">
        <v>1</v>
      </c>
      <c r="CO29" s="1144">
        <v>1</v>
      </c>
      <c r="CP29" s="1144">
        <v>1</v>
      </c>
      <c r="CQ29" s="1144">
        <v>1</v>
      </c>
      <c r="CR29" s="1144">
        <v>1</v>
      </c>
      <c r="CS29" s="1144">
        <v>1</v>
      </c>
      <c r="CT29" s="1144">
        <v>1</v>
      </c>
      <c r="CU29" s="1144">
        <v>1</v>
      </c>
      <c r="CV29" s="1144">
        <v>1</v>
      </c>
      <c r="CW29" s="1144">
        <v>1</v>
      </c>
      <c r="CX29" s="1144">
        <v>1</v>
      </c>
      <c r="CY29" s="1144">
        <v>1</v>
      </c>
      <c r="CZ29" s="1144">
        <v>1</v>
      </c>
      <c r="DA29" s="1144">
        <v>1</v>
      </c>
      <c r="DB29" s="1144">
        <v>1</v>
      </c>
      <c r="DC29" s="1144">
        <v>1</v>
      </c>
      <c r="DD29" s="1144">
        <v>1</v>
      </c>
      <c r="DE29" s="1144">
        <v>1</v>
      </c>
      <c r="DF29" s="1144">
        <v>1</v>
      </c>
      <c r="DG29" s="1144">
        <v>1</v>
      </c>
      <c r="DH29" s="1144">
        <v>1</v>
      </c>
      <c r="DI29" s="1144">
        <v>1</v>
      </c>
      <c r="DJ29" s="1144">
        <v>1</v>
      </c>
      <c r="DK29" s="1144">
        <v>1</v>
      </c>
      <c r="DL29" s="1144">
        <v>1</v>
      </c>
      <c r="DM29" s="1144">
        <v>1</v>
      </c>
      <c r="DN29" s="1144">
        <v>1</v>
      </c>
      <c r="DO29" s="1144">
        <v>1</v>
      </c>
      <c r="DP29" s="1144">
        <v>1</v>
      </c>
      <c r="DQ29" s="1144">
        <v>1</v>
      </c>
      <c r="DR29" s="1144">
        <v>1</v>
      </c>
      <c r="DS29" s="1145">
        <v>1</v>
      </c>
      <c r="DT29" s="1145">
        <v>1</v>
      </c>
      <c r="DU29" s="1144">
        <v>1</v>
      </c>
      <c r="DV29" s="1145">
        <v>1</v>
      </c>
      <c r="DW29" s="1144">
        <v>1</v>
      </c>
      <c r="DX29" s="1145">
        <v>1</v>
      </c>
      <c r="DY29" s="1144">
        <v>1</v>
      </c>
      <c r="DZ29" s="1144">
        <v>1</v>
      </c>
      <c r="EA29" s="1145">
        <v>1</v>
      </c>
      <c r="EB29" s="1144">
        <v>1</v>
      </c>
      <c r="EC29" s="1144">
        <v>1</v>
      </c>
      <c r="ED29" s="1144">
        <v>1</v>
      </c>
      <c r="EE29" s="1144">
        <v>1</v>
      </c>
      <c r="EF29" s="1144">
        <v>1</v>
      </c>
      <c r="EG29" s="1144">
        <v>1</v>
      </c>
      <c r="EH29" s="1144">
        <v>1</v>
      </c>
      <c r="EI29" s="1144">
        <v>1</v>
      </c>
      <c r="EJ29" s="1144">
        <v>1</v>
      </c>
      <c r="EK29" s="1144">
        <v>1</v>
      </c>
      <c r="EL29" s="1144">
        <v>1</v>
      </c>
      <c r="EM29" s="1144">
        <v>1</v>
      </c>
      <c r="EN29" s="1144">
        <v>1</v>
      </c>
      <c r="EO29" s="1144">
        <v>1</v>
      </c>
      <c r="EP29" s="1144">
        <v>1</v>
      </c>
      <c r="EQ29" s="1144">
        <v>1</v>
      </c>
      <c r="ER29" s="1144">
        <v>1</v>
      </c>
      <c r="ES29" s="1144">
        <v>1</v>
      </c>
      <c r="ET29" s="1144">
        <v>1</v>
      </c>
      <c r="EU29" s="1144">
        <v>1</v>
      </c>
      <c r="EV29" s="1144">
        <v>1</v>
      </c>
      <c r="EW29" s="1144">
        <v>1</v>
      </c>
      <c r="EX29" s="1144">
        <v>1</v>
      </c>
      <c r="EY29" s="1144">
        <v>1</v>
      </c>
      <c r="EZ29" s="1144">
        <v>1</v>
      </c>
      <c r="FA29" s="1144">
        <v>1</v>
      </c>
      <c r="FB29" s="1144">
        <v>1</v>
      </c>
      <c r="FC29" s="1144">
        <v>1</v>
      </c>
      <c r="FD29" s="1144">
        <v>1</v>
      </c>
      <c r="FE29" s="1144">
        <v>1</v>
      </c>
      <c r="FF29" s="1144">
        <v>1</v>
      </c>
      <c r="FG29" s="1144">
        <v>1</v>
      </c>
      <c r="FH29" s="1144">
        <v>1</v>
      </c>
      <c r="FI29" s="1144">
        <v>1</v>
      </c>
      <c r="FJ29" s="1144">
        <v>1</v>
      </c>
      <c r="FK29" s="1144">
        <v>1</v>
      </c>
      <c r="FL29" s="1144">
        <v>1</v>
      </c>
      <c r="FM29" s="1144">
        <v>1</v>
      </c>
      <c r="FN29" s="1144">
        <v>1</v>
      </c>
      <c r="FO29" s="1144">
        <v>1</v>
      </c>
      <c r="FP29" s="1144">
        <v>1</v>
      </c>
      <c r="FQ29" s="1144">
        <v>1</v>
      </c>
      <c r="FR29" s="1144">
        <v>1</v>
      </c>
      <c r="FS29" s="1144">
        <v>1</v>
      </c>
      <c r="FT29" s="1145">
        <v>1</v>
      </c>
      <c r="FU29" s="1145">
        <v>1</v>
      </c>
      <c r="FV29" s="1145">
        <v>1</v>
      </c>
      <c r="FW29" s="1144">
        <v>1</v>
      </c>
      <c r="FX29" s="1144">
        <v>1</v>
      </c>
      <c r="FY29" s="1144">
        <v>1</v>
      </c>
      <c r="FZ29" s="1144">
        <v>1</v>
      </c>
      <c r="GA29" s="1144">
        <v>1</v>
      </c>
      <c r="GB29" s="1144">
        <v>1</v>
      </c>
      <c r="GC29" s="1144">
        <v>1</v>
      </c>
      <c r="GD29" s="1144">
        <v>1</v>
      </c>
      <c r="GE29" s="1144">
        <v>1</v>
      </c>
      <c r="GF29" s="1144">
        <v>1</v>
      </c>
      <c r="GG29" s="1144">
        <v>1</v>
      </c>
      <c r="GH29" s="1144">
        <v>1</v>
      </c>
      <c r="GI29" s="1144">
        <v>1</v>
      </c>
      <c r="GJ29" s="1144">
        <v>1</v>
      </c>
      <c r="GK29" s="1144">
        <v>1</v>
      </c>
      <c r="GL29" s="1144">
        <v>1</v>
      </c>
      <c r="GM29" s="1144">
        <v>1</v>
      </c>
      <c r="GN29" s="1144">
        <v>1</v>
      </c>
      <c r="GO29" s="1144">
        <v>1</v>
      </c>
      <c r="GP29" s="1144">
        <v>1</v>
      </c>
      <c r="GQ29" s="1144">
        <v>1</v>
      </c>
      <c r="GR29" s="1144">
        <v>1</v>
      </c>
      <c r="GS29" s="1144">
        <v>1</v>
      </c>
      <c r="GT29" s="1144">
        <v>1</v>
      </c>
      <c r="GU29" s="1144">
        <v>1</v>
      </c>
      <c r="GV29" s="1144">
        <v>1</v>
      </c>
      <c r="GW29" s="1144">
        <v>1</v>
      </c>
      <c r="GX29" s="1144">
        <v>1</v>
      </c>
      <c r="GY29" s="1144">
        <v>1</v>
      </c>
      <c r="GZ29" s="1144">
        <v>1</v>
      </c>
      <c r="HA29" s="1144">
        <v>1</v>
      </c>
      <c r="HB29" s="1144">
        <v>1</v>
      </c>
      <c r="HC29" s="1144">
        <v>1</v>
      </c>
      <c r="HD29" s="1144">
        <v>1</v>
      </c>
      <c r="HE29" s="1144">
        <v>1</v>
      </c>
      <c r="HF29" s="1144">
        <v>1</v>
      </c>
      <c r="HG29" s="1144">
        <v>1</v>
      </c>
      <c r="HH29" s="1144">
        <v>1</v>
      </c>
      <c r="HI29" s="1144">
        <v>1</v>
      </c>
      <c r="HJ29" s="1144">
        <v>1</v>
      </c>
      <c r="HK29" s="1144">
        <v>1</v>
      </c>
      <c r="HL29" s="1144">
        <v>1</v>
      </c>
      <c r="HM29" s="1144">
        <v>1</v>
      </c>
      <c r="HN29" s="1144">
        <v>1</v>
      </c>
      <c r="HO29" s="1144">
        <v>1</v>
      </c>
      <c r="HP29" s="1144">
        <v>1</v>
      </c>
      <c r="HQ29" s="1144">
        <v>1</v>
      </c>
      <c r="HR29" s="1144">
        <v>1</v>
      </c>
      <c r="HS29" s="1144">
        <v>1</v>
      </c>
      <c r="HT29" s="1144">
        <v>1</v>
      </c>
      <c r="HU29" s="1144">
        <v>1</v>
      </c>
      <c r="HV29" s="1144">
        <v>1</v>
      </c>
      <c r="HW29" s="1144">
        <v>1</v>
      </c>
      <c r="HX29" s="1144">
        <v>1</v>
      </c>
      <c r="HY29" s="1144">
        <v>1</v>
      </c>
      <c r="HZ29" s="1144">
        <v>1</v>
      </c>
      <c r="IA29" s="1144">
        <v>1</v>
      </c>
      <c r="IB29" s="1144">
        <v>1</v>
      </c>
      <c r="IC29" s="1144">
        <v>1</v>
      </c>
      <c r="ID29" s="1144">
        <v>1</v>
      </c>
      <c r="IE29" s="1144">
        <v>1</v>
      </c>
      <c r="IF29" s="1144">
        <v>1</v>
      </c>
      <c r="IG29" s="1144">
        <v>1</v>
      </c>
      <c r="IH29" s="1144">
        <v>1</v>
      </c>
      <c r="II29" s="1144">
        <v>1</v>
      </c>
      <c r="IJ29" s="1144">
        <v>1</v>
      </c>
      <c r="IK29" s="1144">
        <v>1</v>
      </c>
      <c r="IL29" s="1144">
        <v>1</v>
      </c>
      <c r="IM29" s="1144">
        <v>1</v>
      </c>
      <c r="IN29" s="1144">
        <v>1</v>
      </c>
      <c r="IO29" s="1144">
        <v>1</v>
      </c>
      <c r="IP29" s="1144">
        <v>1</v>
      </c>
      <c r="IQ29" s="1144">
        <v>1</v>
      </c>
      <c r="IR29" s="1144">
        <v>1</v>
      </c>
      <c r="IS29" s="1144">
        <v>1</v>
      </c>
      <c r="IT29" s="1144">
        <v>1</v>
      </c>
      <c r="IU29" s="1144">
        <v>1</v>
      </c>
      <c r="IV29" s="1144">
        <v>1</v>
      </c>
      <c r="IW29" s="1144">
        <v>1</v>
      </c>
      <c r="IX29" s="1144">
        <v>1</v>
      </c>
      <c r="IY29" s="1144">
        <v>1</v>
      </c>
      <c r="IZ29" s="1144">
        <v>1</v>
      </c>
      <c r="JA29" s="1144">
        <v>1</v>
      </c>
      <c r="JB29" s="1144">
        <v>1</v>
      </c>
      <c r="JC29" s="1144">
        <v>1</v>
      </c>
      <c r="JD29" s="1146"/>
      <c r="JE29" s="1144">
        <v>1</v>
      </c>
      <c r="JF29" s="1144">
        <v>1</v>
      </c>
      <c r="JG29" s="1144">
        <v>1</v>
      </c>
      <c r="JH29" s="1144">
        <v>1</v>
      </c>
      <c r="JI29" s="1144">
        <v>1</v>
      </c>
      <c r="JJ29" s="1144">
        <v>1</v>
      </c>
      <c r="JK29" s="1144">
        <v>1</v>
      </c>
      <c r="JL29" s="1144">
        <v>1</v>
      </c>
      <c r="JM29" s="1144">
        <v>1</v>
      </c>
      <c r="JN29" s="1144">
        <v>1</v>
      </c>
      <c r="JO29" s="1144">
        <v>1</v>
      </c>
      <c r="JP29" s="1144">
        <v>1</v>
      </c>
      <c r="JQ29" s="1144">
        <v>1</v>
      </c>
      <c r="JR29" s="1144">
        <v>1</v>
      </c>
      <c r="JS29" s="1144">
        <v>1</v>
      </c>
      <c r="JT29" s="1144">
        <v>1</v>
      </c>
      <c r="JU29" s="1144">
        <v>1</v>
      </c>
      <c r="JV29" s="1144">
        <v>1</v>
      </c>
      <c r="JW29" s="1144">
        <v>1</v>
      </c>
      <c r="JX29" s="1144">
        <v>1</v>
      </c>
      <c r="JY29" s="1144">
        <v>1</v>
      </c>
      <c r="JZ29" s="1144">
        <v>1</v>
      </c>
      <c r="KA29" s="1144">
        <v>1</v>
      </c>
      <c r="KB29" s="1144">
        <v>1</v>
      </c>
      <c r="KC29" s="1144">
        <v>1</v>
      </c>
      <c r="KD29" s="1144">
        <v>1</v>
      </c>
      <c r="KE29" s="1144">
        <v>1</v>
      </c>
    </row>
    <row r="30" spans="1:291" ht="80.25" customHeight="1">
      <c r="A30" s="78"/>
      <c r="B30" s="83">
        <v>611</v>
      </c>
      <c r="C30" s="437" t="s">
        <v>2732</v>
      </c>
      <c r="D30" s="1144" t="s">
        <v>2733</v>
      </c>
      <c r="E30" s="1144" t="s">
        <v>2733</v>
      </c>
      <c r="F30" s="1144" t="s">
        <v>2733</v>
      </c>
      <c r="G30" s="1144" t="s">
        <v>2733</v>
      </c>
      <c r="H30" s="1144" t="s">
        <v>2734</v>
      </c>
      <c r="I30" s="1144" t="s">
        <v>2734</v>
      </c>
      <c r="J30" s="1144" t="s">
        <v>2734</v>
      </c>
      <c r="K30" s="1144" t="s">
        <v>2734</v>
      </c>
      <c r="L30" s="1144" t="s">
        <v>2734</v>
      </c>
      <c r="M30" s="1144" t="s">
        <v>2734</v>
      </c>
      <c r="N30" s="1144" t="s">
        <v>2734</v>
      </c>
      <c r="O30" s="1144" t="s">
        <v>2734</v>
      </c>
      <c r="P30" s="1144" t="s">
        <v>2734</v>
      </c>
      <c r="Q30" s="1144" t="s">
        <v>2734</v>
      </c>
      <c r="R30" s="1144" t="s">
        <v>2734</v>
      </c>
      <c r="S30" s="1144" t="s">
        <v>2734</v>
      </c>
      <c r="T30" s="1144" t="s">
        <v>2735</v>
      </c>
      <c r="U30" s="1144" t="s">
        <v>2735</v>
      </c>
      <c r="V30" s="1155" t="s">
        <v>2736</v>
      </c>
      <c r="W30" s="1155" t="s">
        <v>2736</v>
      </c>
      <c r="X30" s="1155" t="s">
        <v>2736</v>
      </c>
      <c r="Y30" s="1155" t="s">
        <v>2736</v>
      </c>
      <c r="Z30" s="1144" t="s">
        <v>2734</v>
      </c>
      <c r="AA30" s="1144" t="s">
        <v>2734</v>
      </c>
      <c r="AB30" s="1144" t="s">
        <v>2734</v>
      </c>
      <c r="AC30" s="1144" t="s">
        <v>2734</v>
      </c>
      <c r="AD30" s="1144" t="s">
        <v>2734</v>
      </c>
      <c r="AE30" s="1144" t="s">
        <v>2734</v>
      </c>
      <c r="AF30" s="1144" t="s">
        <v>2734</v>
      </c>
      <c r="AG30" s="1144" t="s">
        <v>2734</v>
      </c>
      <c r="AH30" s="1144" t="s">
        <v>2737</v>
      </c>
      <c r="AI30" s="1144" t="s">
        <v>2737</v>
      </c>
      <c r="AJ30" s="1144" t="s">
        <v>2737</v>
      </c>
      <c r="AK30" s="1144" t="s">
        <v>2737</v>
      </c>
      <c r="AL30" s="1144" t="s">
        <v>2734</v>
      </c>
      <c r="AM30" s="1144" t="s">
        <v>2734</v>
      </c>
      <c r="AN30" s="1144" t="s">
        <v>2734</v>
      </c>
      <c r="AO30" s="1144" t="s">
        <v>2734</v>
      </c>
      <c r="AP30" s="1144" t="s">
        <v>2734</v>
      </c>
      <c r="AQ30" s="1144" t="s">
        <v>2734</v>
      </c>
      <c r="AR30" s="1144" t="s">
        <v>2734</v>
      </c>
      <c r="AS30" s="1144" t="s">
        <v>2734</v>
      </c>
      <c r="AT30" s="1144" t="s">
        <v>2735</v>
      </c>
      <c r="AU30" s="1144" t="s">
        <v>2735</v>
      </c>
      <c r="AV30" s="1144" t="s">
        <v>2738</v>
      </c>
      <c r="AW30" s="1144" t="s">
        <v>2738</v>
      </c>
      <c r="AX30" s="1144" t="s">
        <v>2738</v>
      </c>
      <c r="AY30" s="1144" t="s">
        <v>2738</v>
      </c>
      <c r="AZ30" s="1144" t="s">
        <v>2738</v>
      </c>
      <c r="BA30" s="1144" t="s">
        <v>2738</v>
      </c>
      <c r="BB30" s="1144" t="s">
        <v>2739</v>
      </c>
      <c r="BC30" s="1144" t="s">
        <v>2739</v>
      </c>
      <c r="BD30" s="1144" t="s">
        <v>2739</v>
      </c>
      <c r="BE30" s="1144" t="s">
        <v>2739</v>
      </c>
      <c r="BF30" s="380" t="s">
        <v>2735</v>
      </c>
      <c r="BG30" s="380" t="s">
        <v>2735</v>
      </c>
      <c r="BH30" s="1144" t="s">
        <v>2738</v>
      </c>
      <c r="BI30" s="1144" t="s">
        <v>2738</v>
      </c>
      <c r="BJ30" s="1144" t="s">
        <v>2738</v>
      </c>
      <c r="BK30" s="1144" t="s">
        <v>2738</v>
      </c>
      <c r="BL30" s="1145" t="s">
        <v>2738</v>
      </c>
      <c r="BM30" s="1145" t="s">
        <v>2738</v>
      </c>
      <c r="BN30" s="1144" t="s">
        <v>2734</v>
      </c>
      <c r="BO30" s="1144" t="s">
        <v>2734</v>
      </c>
      <c r="BP30" s="1144" t="s">
        <v>2734</v>
      </c>
      <c r="BQ30" s="1144" t="s">
        <v>2734</v>
      </c>
      <c r="BR30" s="1144" t="s">
        <v>2734</v>
      </c>
      <c r="BS30" s="1144" t="s">
        <v>2734</v>
      </c>
      <c r="BT30" s="1144" t="s">
        <v>2734</v>
      </c>
      <c r="BU30" s="1144" t="s">
        <v>2734</v>
      </c>
      <c r="BV30" s="1144" t="s">
        <v>2735</v>
      </c>
      <c r="BW30" s="1144" t="s">
        <v>2735</v>
      </c>
      <c r="BX30" s="1144" t="s">
        <v>2740</v>
      </c>
      <c r="BY30" s="1144" t="s">
        <v>2740</v>
      </c>
      <c r="BZ30" s="1144" t="s">
        <v>2740</v>
      </c>
      <c r="CA30" s="1144" t="s">
        <v>2740</v>
      </c>
      <c r="CB30" s="1144" t="s">
        <v>2734</v>
      </c>
      <c r="CC30" s="1144" t="s">
        <v>2734</v>
      </c>
      <c r="CD30" s="1144" t="s">
        <v>2734</v>
      </c>
      <c r="CE30" s="1144" t="s">
        <v>2734</v>
      </c>
      <c r="CF30" s="380" t="s">
        <v>2740</v>
      </c>
      <c r="CG30" s="380" t="s">
        <v>2740</v>
      </c>
      <c r="CH30" s="380" t="s">
        <v>2740</v>
      </c>
      <c r="CI30" s="380" t="s">
        <v>2740</v>
      </c>
      <c r="CJ30" s="380" t="s">
        <v>2735</v>
      </c>
      <c r="CK30" s="380" t="s">
        <v>2735</v>
      </c>
      <c r="CL30" s="380" t="s">
        <v>2735</v>
      </c>
      <c r="CM30" s="380" t="s">
        <v>2735</v>
      </c>
      <c r="CN30" s="1144" t="s">
        <v>2734</v>
      </c>
      <c r="CO30" s="1144" t="s">
        <v>2734</v>
      </c>
      <c r="CP30" s="1144" t="s">
        <v>2734</v>
      </c>
      <c r="CQ30" s="1144" t="s">
        <v>2734</v>
      </c>
      <c r="CR30" s="1144" t="s">
        <v>2734</v>
      </c>
      <c r="CS30" s="1144" t="s">
        <v>2734</v>
      </c>
      <c r="CT30" s="1144" t="s">
        <v>2734</v>
      </c>
      <c r="CU30" s="1144" t="s">
        <v>2734</v>
      </c>
      <c r="CV30" s="1144" t="s">
        <v>2734</v>
      </c>
      <c r="CW30" s="1144" t="s">
        <v>2734</v>
      </c>
      <c r="CX30" s="1144" t="s">
        <v>2734</v>
      </c>
      <c r="CY30" s="1144" t="s">
        <v>2734</v>
      </c>
      <c r="CZ30" s="1144" t="s">
        <v>2734</v>
      </c>
      <c r="DA30" s="1144" t="s">
        <v>2734</v>
      </c>
      <c r="DB30" s="1144" t="s">
        <v>2734</v>
      </c>
      <c r="DC30" s="1144" t="s">
        <v>2734</v>
      </c>
      <c r="DD30" s="1144" t="s">
        <v>2738</v>
      </c>
      <c r="DE30" s="1144" t="s">
        <v>2738</v>
      </c>
      <c r="DF30" s="1144" t="s">
        <v>2738</v>
      </c>
      <c r="DG30" s="1144" t="s">
        <v>2738</v>
      </c>
      <c r="DH30" s="1144" t="s">
        <v>2738</v>
      </c>
      <c r="DI30" s="1144" t="s">
        <v>2738</v>
      </c>
      <c r="DJ30" s="1144" t="s">
        <v>2738</v>
      </c>
      <c r="DK30" s="1144" t="s">
        <v>2738</v>
      </c>
      <c r="DL30" s="1144" t="s">
        <v>2738</v>
      </c>
      <c r="DM30" s="1144" t="s">
        <v>2741</v>
      </c>
      <c r="DN30" s="1144" t="s">
        <v>2741</v>
      </c>
      <c r="DO30" s="1144" t="s">
        <v>2741</v>
      </c>
      <c r="DP30" s="1144" t="str">
        <f t="shared" ref="DP30:DR36" si="3">DO30</f>
        <v>Time of publications.</v>
      </c>
      <c r="DQ30" s="1144" t="str">
        <f t="shared" si="3"/>
        <v>Time of publications.</v>
      </c>
      <c r="DR30" s="1144" t="str">
        <f t="shared" si="3"/>
        <v>Time of publications.</v>
      </c>
      <c r="DS30" s="380" t="s">
        <v>2742</v>
      </c>
      <c r="DT30" s="380" t="s">
        <v>2742</v>
      </c>
      <c r="DU30" s="1144" t="s">
        <v>2743</v>
      </c>
      <c r="DV30" s="381" t="s">
        <v>2742</v>
      </c>
      <c r="DW30" s="1144" t="s">
        <v>2743</v>
      </c>
      <c r="DX30" s="381" t="s">
        <v>2742</v>
      </c>
      <c r="DY30" s="1144" t="s">
        <v>2744</v>
      </c>
      <c r="DZ30" s="1144" t="s">
        <v>2744</v>
      </c>
      <c r="EA30" s="381" t="s">
        <v>2745</v>
      </c>
      <c r="EB30" s="1144" t="s">
        <v>2746</v>
      </c>
      <c r="EC30" s="1144" t="str">
        <f t="shared" ref="EC30:ED32" si="4">EB30</f>
        <v>Data investigated in 2006.</v>
      </c>
      <c r="ED30" s="1144" t="str">
        <f t="shared" si="4"/>
        <v>Data investigated in 2006.</v>
      </c>
      <c r="EE30" s="1144" t="s">
        <v>2747</v>
      </c>
      <c r="EF30" s="1144" t="str">
        <f>EE30</f>
        <v>Data refer to 2007. Production in 2006 was ramped up.</v>
      </c>
      <c r="EG30" s="1144" t="s">
        <v>2748</v>
      </c>
      <c r="EH30" s="1144" t="s">
        <v>2748</v>
      </c>
      <c r="EI30" s="1144" t="s">
        <v>2748</v>
      </c>
      <c r="EJ30" s="1144" t="s">
        <v>2749</v>
      </c>
      <c r="EK30" s="1144" t="s">
        <v>2749</v>
      </c>
      <c r="EL30" s="1144" t="s">
        <v>2750</v>
      </c>
      <c r="EM30" s="1144" t="s">
        <v>2750</v>
      </c>
      <c r="EN30" s="1144" t="s">
        <v>2741</v>
      </c>
      <c r="EO30" s="1144" t="s">
        <v>2741</v>
      </c>
      <c r="EP30" s="1144" t="s">
        <v>2741</v>
      </c>
      <c r="EQ30" s="1144" t="s">
        <v>2741</v>
      </c>
      <c r="ER30" s="1144" t="s">
        <v>2741</v>
      </c>
      <c r="ES30" s="1144" t="s">
        <v>2741</v>
      </c>
      <c r="ET30" s="1144" t="s">
        <v>2741</v>
      </c>
      <c r="EU30" s="1144" t="s">
        <v>2741</v>
      </c>
      <c r="EV30" s="1144" t="s">
        <v>2741</v>
      </c>
      <c r="EW30" s="1144" t="s">
        <v>2741</v>
      </c>
      <c r="EX30" s="1144" t="s">
        <v>2741</v>
      </c>
      <c r="EY30" s="1144" t="s">
        <v>2741</v>
      </c>
      <c r="EZ30" s="1144" t="s">
        <v>2741</v>
      </c>
      <c r="FA30" s="1144" t="s">
        <v>2741</v>
      </c>
      <c r="FB30" s="1144" t="s">
        <v>2751</v>
      </c>
      <c r="FC30" s="1144" t="s">
        <v>2751</v>
      </c>
      <c r="FD30" s="1144" t="s">
        <v>2751</v>
      </c>
      <c r="FE30" s="1144" t="s">
        <v>2751</v>
      </c>
      <c r="FF30" s="1144" t="s">
        <v>2751</v>
      </c>
      <c r="FG30" s="1144" t="s">
        <v>2752</v>
      </c>
      <c r="FH30" s="1144" t="s">
        <v>2752</v>
      </c>
      <c r="FI30" s="1144" t="s">
        <v>2752</v>
      </c>
      <c r="FJ30" s="1144" t="s">
        <v>2752</v>
      </c>
      <c r="FK30" s="1144"/>
      <c r="FL30" s="1144"/>
      <c r="FM30" s="1144"/>
      <c r="FN30" s="1144"/>
      <c r="FO30" s="1144"/>
      <c r="FP30" s="1144"/>
      <c r="FQ30" s="1144"/>
      <c r="FR30" s="1144"/>
      <c r="FS30" s="1144"/>
      <c r="FT30" s="1145"/>
      <c r="FU30" s="1145"/>
      <c r="FV30" s="1145"/>
      <c r="FW30" s="1144"/>
      <c r="FX30" s="1144"/>
      <c r="FY30" s="1144"/>
      <c r="FZ30" s="1144"/>
      <c r="GA30" s="1144"/>
      <c r="GB30" s="1144"/>
      <c r="GC30" s="380" t="s">
        <v>2753</v>
      </c>
      <c r="GD30" s="380" t="s">
        <v>2753</v>
      </c>
      <c r="GE30" s="380" t="s">
        <v>2753</v>
      </c>
      <c r="GF30" s="1144" t="s">
        <v>2754</v>
      </c>
      <c r="GG30" s="1144" t="s">
        <v>2754</v>
      </c>
      <c r="GH30" s="1144" t="s">
        <v>2753</v>
      </c>
      <c r="GI30" s="1144" t="s">
        <v>2753</v>
      </c>
      <c r="GJ30" s="1144" t="s">
        <v>2754</v>
      </c>
      <c r="GK30" s="1144" t="s">
        <v>2754</v>
      </c>
      <c r="GL30" s="1144" t="s">
        <v>2753</v>
      </c>
      <c r="GM30" s="1144" t="s">
        <v>2754</v>
      </c>
      <c r="GN30" s="1144" t="s">
        <v>2753</v>
      </c>
      <c r="GO30" s="1144" t="s">
        <v>2753</v>
      </c>
      <c r="GP30" s="1144" t="s">
        <v>2753</v>
      </c>
      <c r="GQ30" s="1144" t="s">
        <v>2753</v>
      </c>
      <c r="GR30" s="1144" t="s">
        <v>2753</v>
      </c>
      <c r="GS30" s="1144" t="s">
        <v>2753</v>
      </c>
      <c r="GT30" s="1144" t="s">
        <v>2753</v>
      </c>
      <c r="GU30" s="1144" t="s">
        <v>2753</v>
      </c>
      <c r="GV30" s="1144" t="s">
        <v>2753</v>
      </c>
      <c r="GW30" s="1144" t="s">
        <v>2753</v>
      </c>
      <c r="GX30" s="1144" t="s">
        <v>2753</v>
      </c>
      <c r="GY30" s="1144" t="s">
        <v>2754</v>
      </c>
      <c r="GZ30" s="1144" t="s">
        <v>2754</v>
      </c>
      <c r="HA30" s="1144" t="s">
        <v>2753</v>
      </c>
      <c r="HB30" s="1144" t="s">
        <v>2755</v>
      </c>
      <c r="HC30" s="1144" t="s">
        <v>2755</v>
      </c>
      <c r="HD30" s="1144" t="s">
        <v>2755</v>
      </c>
      <c r="HE30" s="1144" t="s">
        <v>2755</v>
      </c>
      <c r="HF30" s="1144" t="s">
        <v>2755</v>
      </c>
      <c r="HG30" s="1144" t="s">
        <v>2755</v>
      </c>
      <c r="HH30" s="1144" t="s">
        <v>2755</v>
      </c>
      <c r="HI30" s="1144" t="s">
        <v>2755</v>
      </c>
      <c r="HJ30" s="1144" t="s">
        <v>2755</v>
      </c>
      <c r="HK30" s="1144" t="s">
        <v>2755</v>
      </c>
      <c r="HL30" s="1144" t="s">
        <v>2755</v>
      </c>
      <c r="HM30" s="1144" t="s">
        <v>2755</v>
      </c>
      <c r="HN30" s="1144" t="s">
        <v>2755</v>
      </c>
      <c r="HO30" s="1144" t="s">
        <v>2756</v>
      </c>
      <c r="HP30" s="1144" t="s">
        <v>2756</v>
      </c>
      <c r="HQ30" s="1144" t="str">
        <f t="shared" ref="HQ30:IU30" si="5">HP30</f>
        <v>Time of publications</v>
      </c>
      <c r="HR30" s="1144" t="str">
        <f t="shared" si="5"/>
        <v>Time of publications</v>
      </c>
      <c r="HS30" s="1144" t="str">
        <f t="shared" si="5"/>
        <v>Time of publications</v>
      </c>
      <c r="HT30" s="1144" t="str">
        <f t="shared" si="5"/>
        <v>Time of publications</v>
      </c>
      <c r="HU30" s="1144" t="str">
        <f t="shared" si="5"/>
        <v>Time of publications</v>
      </c>
      <c r="HV30" s="1144" t="str">
        <f t="shared" si="5"/>
        <v>Time of publications</v>
      </c>
      <c r="HW30" s="1144" t="str">
        <f t="shared" si="5"/>
        <v>Time of publications</v>
      </c>
      <c r="HX30" s="1144" t="str">
        <f t="shared" si="5"/>
        <v>Time of publications</v>
      </c>
      <c r="HY30" s="1144" t="str">
        <f t="shared" si="5"/>
        <v>Time of publications</v>
      </c>
      <c r="HZ30" s="1144" t="str">
        <f t="shared" si="5"/>
        <v>Time of publications</v>
      </c>
      <c r="IA30" s="1144" t="str">
        <f t="shared" si="5"/>
        <v>Time of publications</v>
      </c>
      <c r="IB30" s="1144" t="str">
        <f t="shared" si="5"/>
        <v>Time of publications</v>
      </c>
      <c r="IC30" s="1144" t="str">
        <f t="shared" si="5"/>
        <v>Time of publications</v>
      </c>
      <c r="ID30" s="1144" t="str">
        <f t="shared" si="5"/>
        <v>Time of publications</v>
      </c>
      <c r="IE30" s="1144" t="str">
        <f t="shared" si="5"/>
        <v>Time of publications</v>
      </c>
      <c r="IF30" s="1144" t="str">
        <f t="shared" si="5"/>
        <v>Time of publications</v>
      </c>
      <c r="IG30" s="1144" t="str">
        <f t="shared" si="5"/>
        <v>Time of publications</v>
      </c>
      <c r="IH30" s="1144" t="str">
        <f t="shared" si="5"/>
        <v>Time of publications</v>
      </c>
      <c r="II30" s="1144" t="str">
        <f t="shared" si="5"/>
        <v>Time of publications</v>
      </c>
      <c r="IJ30" s="1144" t="str">
        <f t="shared" si="5"/>
        <v>Time of publications</v>
      </c>
      <c r="IK30" s="1144" t="str">
        <f t="shared" si="5"/>
        <v>Time of publications</v>
      </c>
      <c r="IL30" s="1144" t="str">
        <f t="shared" si="5"/>
        <v>Time of publications</v>
      </c>
      <c r="IM30" s="1144" t="str">
        <f t="shared" si="5"/>
        <v>Time of publications</v>
      </c>
      <c r="IN30" s="1144" t="str">
        <f t="shared" si="5"/>
        <v>Time of publications</v>
      </c>
      <c r="IO30" s="1144" t="str">
        <f t="shared" si="5"/>
        <v>Time of publications</v>
      </c>
      <c r="IP30" s="1144" t="str">
        <f t="shared" si="5"/>
        <v>Time of publications</v>
      </c>
      <c r="IQ30" s="1144" t="str">
        <f t="shared" si="5"/>
        <v>Time of publications</v>
      </c>
      <c r="IR30" s="1144" t="str">
        <f t="shared" si="5"/>
        <v>Time of publications</v>
      </c>
      <c r="IS30" s="1144" t="str">
        <f t="shared" si="5"/>
        <v>Time of publications</v>
      </c>
      <c r="IT30" s="1144" t="str">
        <f t="shared" si="5"/>
        <v>Time of publications</v>
      </c>
      <c r="IU30" s="1144" t="str">
        <f t="shared" si="5"/>
        <v>Time of publications</v>
      </c>
      <c r="IV30" s="1144" t="s">
        <v>2741</v>
      </c>
      <c r="IW30" s="1144" t="s">
        <v>2741</v>
      </c>
      <c r="IX30" s="1144" t="s">
        <v>2741</v>
      </c>
      <c r="IY30" s="1144" t="s">
        <v>2741</v>
      </c>
      <c r="IZ30" s="1144" t="s">
        <v>2741</v>
      </c>
      <c r="JA30" s="1144" t="s">
        <v>2741</v>
      </c>
      <c r="JB30" s="1144" t="s">
        <v>2741</v>
      </c>
      <c r="JC30" s="1144" t="s">
        <v>2741</v>
      </c>
      <c r="JD30" s="1146"/>
      <c r="JE30" s="1144" t="s">
        <v>2757</v>
      </c>
      <c r="JF30" s="1144" t="s">
        <v>2757</v>
      </c>
      <c r="JG30" s="1144" t="s">
        <v>2757</v>
      </c>
      <c r="JH30" s="1144" t="s">
        <v>2757</v>
      </c>
      <c r="JI30" s="1144" t="s">
        <v>2758</v>
      </c>
      <c r="JJ30" s="1144" t="s">
        <v>2758</v>
      </c>
      <c r="JK30" s="1144" t="s">
        <v>2758</v>
      </c>
      <c r="JL30" s="1144" t="s">
        <v>2759</v>
      </c>
      <c r="JM30" s="1144" t="s">
        <v>2759</v>
      </c>
      <c r="JN30" s="1144" t="s">
        <v>2759</v>
      </c>
      <c r="JO30" s="1144" t="s">
        <v>2759</v>
      </c>
      <c r="JP30" s="1144" t="s">
        <v>2758</v>
      </c>
      <c r="JQ30" s="1144" t="s">
        <v>2758</v>
      </c>
      <c r="JR30" s="1144" t="s">
        <v>2760</v>
      </c>
      <c r="JS30" s="1144" t="s">
        <v>2760</v>
      </c>
      <c r="JT30" s="1144" t="s">
        <v>2760</v>
      </c>
      <c r="JU30" s="1144" t="s">
        <v>2760</v>
      </c>
      <c r="JV30" s="1144" t="s">
        <v>2761</v>
      </c>
      <c r="JW30" s="1144" t="s">
        <v>2761</v>
      </c>
      <c r="JX30" s="1144" t="s">
        <v>2761</v>
      </c>
      <c r="JY30" s="1144" t="s">
        <v>2761</v>
      </c>
      <c r="JZ30" s="1144" t="s">
        <v>2758</v>
      </c>
      <c r="KA30" s="1144" t="s">
        <v>2758</v>
      </c>
      <c r="KB30" s="1144" t="s">
        <v>2758</v>
      </c>
      <c r="KC30" s="1144" t="s">
        <v>2758</v>
      </c>
      <c r="KD30" s="1144" t="s">
        <v>2758</v>
      </c>
      <c r="KE30" s="1144" t="s">
        <v>2758</v>
      </c>
    </row>
    <row r="31" spans="1:291" ht="84" customHeight="1">
      <c r="A31" s="78" t="s">
        <v>2394</v>
      </c>
      <c r="B31" s="83">
        <v>663</v>
      </c>
      <c r="C31" s="437" t="s">
        <v>2762</v>
      </c>
      <c r="D31" s="1144" t="s">
        <v>2763</v>
      </c>
      <c r="E31" s="1144" t="s">
        <v>2763</v>
      </c>
      <c r="F31" s="1144" t="s">
        <v>2763</v>
      </c>
      <c r="G31" s="1144" t="s">
        <v>2763</v>
      </c>
      <c r="H31" s="1144" t="s">
        <v>2764</v>
      </c>
      <c r="I31" s="1144" t="s">
        <v>2764</v>
      </c>
      <c r="J31" s="1144" t="s">
        <v>2764</v>
      </c>
      <c r="K31" s="1144" t="s">
        <v>2764</v>
      </c>
      <c r="L31" s="1144" t="s">
        <v>2764</v>
      </c>
      <c r="M31" s="1144" t="s">
        <v>2764</v>
      </c>
      <c r="N31" s="1144" t="s">
        <v>2764</v>
      </c>
      <c r="O31" s="1144" t="s">
        <v>2764</v>
      </c>
      <c r="P31" s="1144" t="s">
        <v>2764</v>
      </c>
      <c r="Q31" s="1144" t="s">
        <v>2764</v>
      </c>
      <c r="R31" s="1144" t="s">
        <v>2764</v>
      </c>
      <c r="S31" s="1144" t="s">
        <v>2764</v>
      </c>
      <c r="T31" s="1144" t="s">
        <v>2765</v>
      </c>
      <c r="U31" s="1144" t="s">
        <v>2766</v>
      </c>
      <c r="V31" s="1144" t="s">
        <v>2767</v>
      </c>
      <c r="W31" s="1144" t="s">
        <v>2767</v>
      </c>
      <c r="X31" s="1144" t="s">
        <v>2767</v>
      </c>
      <c r="Y31" s="1144" t="s">
        <v>2767</v>
      </c>
      <c r="Z31" s="1144" t="s">
        <v>2764</v>
      </c>
      <c r="AA31" s="1144" t="s">
        <v>2764</v>
      </c>
      <c r="AB31" s="1144" t="s">
        <v>2764</v>
      </c>
      <c r="AC31" s="1144" t="s">
        <v>2764</v>
      </c>
      <c r="AD31" s="1144" t="s">
        <v>2764</v>
      </c>
      <c r="AE31" s="1144" t="s">
        <v>2764</v>
      </c>
      <c r="AF31" s="1144" t="s">
        <v>2764</v>
      </c>
      <c r="AG31" s="1144" t="s">
        <v>2764</v>
      </c>
      <c r="AH31" s="1144" t="s">
        <v>2768</v>
      </c>
      <c r="AI31" s="1144" t="s">
        <v>2769</v>
      </c>
      <c r="AJ31" s="1144" t="s">
        <v>2770</v>
      </c>
      <c r="AK31" s="1144" t="s">
        <v>2771</v>
      </c>
      <c r="AL31" s="1144" t="s">
        <v>2764</v>
      </c>
      <c r="AM31" s="1144" t="s">
        <v>2764</v>
      </c>
      <c r="AN31" s="1144" t="s">
        <v>2764</v>
      </c>
      <c r="AO31" s="1144" t="s">
        <v>2764</v>
      </c>
      <c r="AP31" s="1144" t="s">
        <v>2764</v>
      </c>
      <c r="AQ31" s="1144" t="s">
        <v>2764</v>
      </c>
      <c r="AR31" s="1144" t="s">
        <v>2764</v>
      </c>
      <c r="AS31" s="1144" t="s">
        <v>2764</v>
      </c>
      <c r="AT31" s="1144" t="s">
        <v>2765</v>
      </c>
      <c r="AU31" s="1144" t="s">
        <v>2766</v>
      </c>
      <c r="AV31" s="1144" t="s">
        <v>2767</v>
      </c>
      <c r="AW31" s="1144" t="s">
        <v>2767</v>
      </c>
      <c r="AX31" s="1144" t="s">
        <v>2767</v>
      </c>
      <c r="AY31" s="1144" t="s">
        <v>2767</v>
      </c>
      <c r="AZ31" s="1144" t="s">
        <v>2767</v>
      </c>
      <c r="BA31" s="1144" t="s">
        <v>2767</v>
      </c>
      <c r="BB31" s="379" t="s">
        <v>2772</v>
      </c>
      <c r="BC31" s="379" t="s">
        <v>2773</v>
      </c>
      <c r="BD31" s="379" t="s">
        <v>2774</v>
      </c>
      <c r="BE31" s="379" t="s">
        <v>2775</v>
      </c>
      <c r="BF31" s="1158" t="s">
        <v>2765</v>
      </c>
      <c r="BG31" s="1158" t="s">
        <v>2766</v>
      </c>
      <c r="BH31" s="1144" t="s">
        <v>2767</v>
      </c>
      <c r="BI31" s="1144" t="s">
        <v>2767</v>
      </c>
      <c r="BJ31" s="1144" t="s">
        <v>2767</v>
      </c>
      <c r="BK31" s="1144" t="s">
        <v>2767</v>
      </c>
      <c r="BL31" s="1145" t="s">
        <v>2767</v>
      </c>
      <c r="BM31" s="1145" t="s">
        <v>2767</v>
      </c>
      <c r="BN31" s="1144" t="s">
        <v>2764</v>
      </c>
      <c r="BO31" s="1144" t="s">
        <v>2764</v>
      </c>
      <c r="BP31" s="1144" t="s">
        <v>2764</v>
      </c>
      <c r="BQ31" s="1144" t="s">
        <v>2764</v>
      </c>
      <c r="BR31" s="1144" t="s">
        <v>2764</v>
      </c>
      <c r="BS31" s="1144" t="s">
        <v>2764</v>
      </c>
      <c r="BT31" s="1144" t="s">
        <v>2764</v>
      </c>
      <c r="BU31" s="1144" t="s">
        <v>2764</v>
      </c>
      <c r="BV31" s="1144" t="s">
        <v>2765</v>
      </c>
      <c r="BW31" s="1144" t="s">
        <v>2766</v>
      </c>
      <c r="BX31" s="1144" t="s">
        <v>2776</v>
      </c>
      <c r="BY31" s="1144" t="s">
        <v>2777</v>
      </c>
      <c r="BZ31" s="1144" t="s">
        <v>2778</v>
      </c>
      <c r="CA31" s="1144" t="s">
        <v>2779</v>
      </c>
      <c r="CB31" s="1144" t="s">
        <v>2764</v>
      </c>
      <c r="CC31" s="1144" t="s">
        <v>2764</v>
      </c>
      <c r="CD31" s="1144" t="s">
        <v>2764</v>
      </c>
      <c r="CE31" s="1144" t="s">
        <v>2764</v>
      </c>
      <c r="CF31" s="1144" t="s">
        <v>2776</v>
      </c>
      <c r="CG31" s="1144" t="s">
        <v>2777</v>
      </c>
      <c r="CH31" s="1144" t="s">
        <v>2778</v>
      </c>
      <c r="CI31" s="1144" t="s">
        <v>2779</v>
      </c>
      <c r="CJ31" s="1144" t="s">
        <v>2765</v>
      </c>
      <c r="CK31" s="1144" t="s">
        <v>2766</v>
      </c>
      <c r="CL31" s="1144" t="s">
        <v>2765</v>
      </c>
      <c r="CM31" s="1144" t="s">
        <v>2766</v>
      </c>
      <c r="CN31" s="1144" t="s">
        <v>2764</v>
      </c>
      <c r="CO31" s="1144" t="s">
        <v>2764</v>
      </c>
      <c r="CP31" s="1144" t="s">
        <v>2764</v>
      </c>
      <c r="CQ31" s="1144" t="s">
        <v>2764</v>
      </c>
      <c r="CR31" s="1144" t="s">
        <v>2764</v>
      </c>
      <c r="CS31" s="1144" t="s">
        <v>2764</v>
      </c>
      <c r="CT31" s="1144" t="s">
        <v>2764</v>
      </c>
      <c r="CU31" s="1144" t="s">
        <v>2764</v>
      </c>
      <c r="CV31" s="1144" t="s">
        <v>2764</v>
      </c>
      <c r="CW31" s="1144" t="s">
        <v>2764</v>
      </c>
      <c r="CX31" s="1144" t="s">
        <v>2764</v>
      </c>
      <c r="CY31" s="1144" t="s">
        <v>2764</v>
      </c>
      <c r="CZ31" s="1144" t="s">
        <v>2764</v>
      </c>
      <c r="DA31" s="1144" t="s">
        <v>2764</v>
      </c>
      <c r="DB31" s="1144" t="s">
        <v>2764</v>
      </c>
      <c r="DC31" s="1144" t="s">
        <v>2764</v>
      </c>
      <c r="DD31" s="1144" t="s">
        <v>2767</v>
      </c>
      <c r="DE31" s="1144" t="s">
        <v>2767</v>
      </c>
      <c r="DF31" s="1144" t="s">
        <v>2767</v>
      </c>
      <c r="DG31" s="1144" t="s">
        <v>2767</v>
      </c>
      <c r="DH31" s="1144" t="s">
        <v>2767</v>
      </c>
      <c r="DI31" s="1144" t="s">
        <v>2767</v>
      </c>
      <c r="DJ31" s="1144" t="s">
        <v>2767</v>
      </c>
      <c r="DK31" s="1144" t="s">
        <v>2767</v>
      </c>
      <c r="DL31" s="1144" t="s">
        <v>2767</v>
      </c>
      <c r="DM31" s="1144" t="s">
        <v>2780</v>
      </c>
      <c r="DN31" s="1144" t="s">
        <v>2781</v>
      </c>
      <c r="DO31" s="1144" t="s">
        <v>2782</v>
      </c>
      <c r="DP31" s="1144" t="str">
        <f t="shared" si="3"/>
        <v>Production plant of DuPont in the United States.</v>
      </c>
      <c r="DQ31" s="1144" t="str">
        <f t="shared" si="3"/>
        <v>Production plant of DuPont in the United States.</v>
      </c>
      <c r="DR31" s="1144" t="str">
        <f t="shared" si="3"/>
        <v>Production plant of DuPont in the United States.</v>
      </c>
      <c r="DS31" s="1145" t="s">
        <v>2783</v>
      </c>
      <c r="DT31" s="1145" t="s">
        <v>2783</v>
      </c>
      <c r="DU31" s="1144" t="s">
        <v>2784</v>
      </c>
      <c r="DV31" s="1145" t="s">
        <v>2783</v>
      </c>
      <c r="DW31" s="1144" t="s">
        <v>2785</v>
      </c>
      <c r="DX31" s="1145" t="s">
        <v>2783</v>
      </c>
      <c r="DY31" s="1144" t="s">
        <v>2786</v>
      </c>
      <c r="DZ31" s="1144" t="s">
        <v>2786</v>
      </c>
      <c r="EA31" s="1145" t="s">
        <v>2783</v>
      </c>
      <c r="EB31" s="1144" t="s">
        <v>2787</v>
      </c>
      <c r="EC31" s="1144" t="str">
        <f t="shared" si="4"/>
        <v>Dat of production in Europe.</v>
      </c>
      <c r="ED31" s="1144" t="str">
        <f t="shared" si="4"/>
        <v>Dat of production in Europe.</v>
      </c>
      <c r="EE31" s="1144" t="s">
        <v>2788</v>
      </c>
      <c r="EF31" s="1144" t="str">
        <f>EE31</f>
        <v>Data from Würth Solar in Germany.</v>
      </c>
      <c r="EG31" s="1144" t="s">
        <v>2789</v>
      </c>
      <c r="EH31" s="1144" t="s">
        <v>2790</v>
      </c>
      <c r="EI31" s="1144" t="s">
        <v>2791</v>
      </c>
      <c r="EJ31" s="1144" t="s">
        <v>2792</v>
      </c>
      <c r="EK31" s="1144" t="s">
        <v>2793</v>
      </c>
      <c r="EL31" s="1144" t="s">
        <v>2794</v>
      </c>
      <c r="EM31" s="1144" t="s">
        <v>2795</v>
      </c>
      <c r="EN31" s="1144" t="s">
        <v>1368</v>
      </c>
      <c r="EO31" s="1144" t="s">
        <v>1368</v>
      </c>
      <c r="EP31" s="1144" t="s">
        <v>1368</v>
      </c>
      <c r="EQ31" s="1144" t="s">
        <v>1335</v>
      </c>
      <c r="ER31" s="1144" t="s">
        <v>1335</v>
      </c>
      <c r="ES31" s="1144" t="s">
        <v>1368</v>
      </c>
      <c r="ET31" s="1144" t="s">
        <v>1368</v>
      </c>
      <c r="EU31" s="1144" t="s">
        <v>1368</v>
      </c>
      <c r="EV31" s="1144" t="s">
        <v>1368</v>
      </c>
      <c r="EW31" s="1144" t="s">
        <v>1368</v>
      </c>
      <c r="EX31" s="1144" t="s">
        <v>1368</v>
      </c>
      <c r="EY31" s="1144" t="s">
        <v>1368</v>
      </c>
      <c r="EZ31" s="1144" t="s">
        <v>1368</v>
      </c>
      <c r="FA31" s="1144" t="s">
        <v>1368</v>
      </c>
      <c r="FB31" s="1144" t="s">
        <v>1368</v>
      </c>
      <c r="FC31" s="1144" t="str">
        <f t="shared" ref="FC31:FG32" si="6">FB31</f>
        <v>Europe</v>
      </c>
      <c r="FD31" s="1144" t="str">
        <f t="shared" si="6"/>
        <v>Europe</v>
      </c>
      <c r="FE31" s="1144" t="str">
        <f t="shared" si="6"/>
        <v>Europe</v>
      </c>
      <c r="FF31" s="1144" t="str">
        <f t="shared" si="6"/>
        <v>Europe</v>
      </c>
      <c r="FG31" s="1144" t="str">
        <f t="shared" si="6"/>
        <v>Europe</v>
      </c>
      <c r="FH31" s="1144" t="str">
        <f>FG31</f>
        <v>Europe</v>
      </c>
      <c r="FI31" s="1144" t="str">
        <f>FH31</f>
        <v>Europe</v>
      </c>
      <c r="FJ31" s="1144" t="s">
        <v>2796</v>
      </c>
      <c r="FK31" s="1144"/>
      <c r="FL31" s="1144"/>
      <c r="FM31" s="1144"/>
      <c r="FN31" s="1144"/>
      <c r="FO31" s="1144"/>
      <c r="FP31" s="1144"/>
      <c r="FQ31" s="1144"/>
      <c r="FR31" s="1144"/>
      <c r="FS31" s="1144"/>
      <c r="FT31" s="1145" t="s">
        <v>2797</v>
      </c>
      <c r="FU31" s="1145" t="s">
        <v>2798</v>
      </c>
      <c r="FV31" s="1145" t="s">
        <v>2798</v>
      </c>
      <c r="FW31" s="1144" t="s">
        <v>2799</v>
      </c>
      <c r="FX31" s="1144" t="s">
        <v>2799</v>
      </c>
      <c r="FY31" s="1144" t="s">
        <v>2800</v>
      </c>
      <c r="FZ31" s="1144" t="s">
        <v>2800</v>
      </c>
      <c r="GA31" s="1144" t="s">
        <v>2800</v>
      </c>
      <c r="GB31" s="1144" t="s">
        <v>2800</v>
      </c>
      <c r="GC31" s="1144" t="s">
        <v>2801</v>
      </c>
      <c r="GD31" s="1144" t="s">
        <v>2801</v>
      </c>
      <c r="GE31" s="1144" t="s">
        <v>2801</v>
      </c>
      <c r="GF31" s="1144" t="s">
        <v>2801</v>
      </c>
      <c r="GG31" s="1144" t="s">
        <v>2801</v>
      </c>
      <c r="GH31" s="1144" t="s">
        <v>2801</v>
      </c>
      <c r="GI31" s="1144" t="s">
        <v>2801</v>
      </c>
      <c r="GJ31" s="1144" t="s">
        <v>2801</v>
      </c>
      <c r="GK31" s="1144" t="s">
        <v>2801</v>
      </c>
      <c r="GL31" s="1144" t="s">
        <v>2801</v>
      </c>
      <c r="GM31" s="1144" t="s">
        <v>2801</v>
      </c>
      <c r="GN31" s="1144" t="s">
        <v>2801</v>
      </c>
      <c r="GO31" s="1144" t="s">
        <v>2802</v>
      </c>
      <c r="GP31" s="1144" t="s">
        <v>2802</v>
      </c>
      <c r="GQ31" s="1144" t="s">
        <v>2802</v>
      </c>
      <c r="GR31" s="1144" t="s">
        <v>2802</v>
      </c>
      <c r="GS31" s="1144" t="s">
        <v>2802</v>
      </c>
      <c r="GT31" s="1144" t="s">
        <v>2802</v>
      </c>
      <c r="GU31" s="1144" t="s">
        <v>2802</v>
      </c>
      <c r="GV31" s="1144" t="s">
        <v>2802</v>
      </c>
      <c r="GW31" s="1144" t="s">
        <v>2802</v>
      </c>
      <c r="GX31" s="1144" t="s">
        <v>2802</v>
      </c>
      <c r="GY31" s="1144" t="s">
        <v>2803</v>
      </c>
      <c r="GZ31" s="1144" t="s">
        <v>2803</v>
      </c>
      <c r="HA31" s="1144" t="s">
        <v>2803</v>
      </c>
      <c r="HB31" s="1144" t="s">
        <v>2804</v>
      </c>
      <c r="HC31" s="1144" t="s">
        <v>2804</v>
      </c>
      <c r="HD31" s="1144" t="s">
        <v>2804</v>
      </c>
      <c r="HE31" s="1144" t="s">
        <v>2804</v>
      </c>
      <c r="HF31" s="1144" t="s">
        <v>2804</v>
      </c>
      <c r="HG31" s="1144" t="s">
        <v>2804</v>
      </c>
      <c r="HH31" s="1144" t="s">
        <v>2804</v>
      </c>
      <c r="HI31" s="1144" t="s">
        <v>2804</v>
      </c>
      <c r="HJ31" s="1144" t="s">
        <v>2804</v>
      </c>
      <c r="HK31" s="1144" t="s">
        <v>2804</v>
      </c>
      <c r="HL31" s="1144" t="s">
        <v>2804</v>
      </c>
      <c r="HM31" s="1144" t="s">
        <v>2804</v>
      </c>
      <c r="HN31" s="1144" t="s">
        <v>2804</v>
      </c>
      <c r="HO31" s="1144"/>
      <c r="HP31" s="1144"/>
      <c r="HQ31" s="1144"/>
      <c r="HR31" s="1144"/>
      <c r="HS31" s="1144"/>
      <c r="HT31" s="1144"/>
      <c r="HU31" s="1144"/>
      <c r="HV31" s="1144"/>
      <c r="HW31" s="1144"/>
      <c r="HX31" s="1144"/>
      <c r="HY31" s="1144"/>
      <c r="HZ31" s="1144"/>
      <c r="IA31" s="1144"/>
      <c r="IB31" s="1144"/>
      <c r="IC31" s="1144"/>
      <c r="ID31" s="1144"/>
      <c r="IE31" s="1144"/>
      <c r="IF31" s="1144"/>
      <c r="IG31" s="1144"/>
      <c r="IH31" s="1144"/>
      <c r="II31" s="1144"/>
      <c r="IJ31" s="1144"/>
      <c r="IK31" s="1144"/>
      <c r="IL31" s="1144"/>
      <c r="IM31" s="1144"/>
      <c r="IN31" s="1144"/>
      <c r="IO31" s="1144"/>
      <c r="IP31" s="1144"/>
      <c r="IQ31" s="1144"/>
      <c r="IR31" s="1144"/>
      <c r="IS31" s="1144"/>
      <c r="IT31" s="1144"/>
      <c r="IU31" s="1144"/>
      <c r="IV31" s="1144" t="s">
        <v>1368</v>
      </c>
      <c r="IW31" s="1144" t="s">
        <v>1368</v>
      </c>
      <c r="IX31" s="1144" t="s">
        <v>1368</v>
      </c>
      <c r="IY31" s="1144" t="s">
        <v>1368</v>
      </c>
      <c r="IZ31" s="1144" t="s">
        <v>1368</v>
      </c>
      <c r="JA31" s="1144" t="s">
        <v>2805</v>
      </c>
      <c r="JB31" s="1144" t="s">
        <v>1368</v>
      </c>
      <c r="JC31" s="1144" t="s">
        <v>1335</v>
      </c>
      <c r="JD31" s="1146"/>
      <c r="JE31" s="1144" t="s">
        <v>2769</v>
      </c>
      <c r="JF31" s="1144" t="s">
        <v>2770</v>
      </c>
      <c r="JG31" s="1144" t="s">
        <v>2771</v>
      </c>
      <c r="JH31" s="1144" t="s">
        <v>2768</v>
      </c>
      <c r="JI31" s="1144" t="s">
        <v>2767</v>
      </c>
      <c r="JJ31" s="1144" t="s">
        <v>2767</v>
      </c>
      <c r="JK31" s="1144" t="s">
        <v>2767</v>
      </c>
      <c r="JL31" s="1144" t="s">
        <v>2772</v>
      </c>
      <c r="JM31" s="1144" t="s">
        <v>2773</v>
      </c>
      <c r="JN31" s="1144" t="s">
        <v>2806</v>
      </c>
      <c r="JO31" s="1561" t="s">
        <v>3248</v>
      </c>
      <c r="JP31" s="1144" t="s">
        <v>2767</v>
      </c>
      <c r="JQ31" s="1144" t="s">
        <v>2767</v>
      </c>
      <c r="JR31" s="1144" t="s">
        <v>2776</v>
      </c>
      <c r="JS31" s="1144" t="s">
        <v>2777</v>
      </c>
      <c r="JT31" s="1144" t="s">
        <v>2778</v>
      </c>
      <c r="JU31" s="1144" t="s">
        <v>2779</v>
      </c>
      <c r="JV31" s="1144" t="s">
        <v>2776</v>
      </c>
      <c r="JW31" s="1144" t="s">
        <v>2777</v>
      </c>
      <c r="JX31" s="1144" t="s">
        <v>2778</v>
      </c>
      <c r="JY31" s="1144" t="s">
        <v>2779</v>
      </c>
      <c r="JZ31" s="1144" t="s">
        <v>2764</v>
      </c>
      <c r="KA31" s="1144" t="s">
        <v>2767</v>
      </c>
      <c r="KB31" s="1144" t="s">
        <v>2767</v>
      </c>
      <c r="KC31" s="1144" t="s">
        <v>2767</v>
      </c>
      <c r="KD31" s="1144" t="s">
        <v>2767</v>
      </c>
      <c r="KE31" s="1144" t="s">
        <v>2767</v>
      </c>
    </row>
    <row r="32" spans="1:291" ht="128.25" customHeight="1">
      <c r="A32" s="78" t="s">
        <v>2807</v>
      </c>
      <c r="B32" s="83">
        <v>692</v>
      </c>
      <c r="C32" s="437" t="s">
        <v>2762</v>
      </c>
      <c r="D32" s="1144" t="s">
        <v>2808</v>
      </c>
      <c r="E32" s="1144" t="s">
        <v>2808</v>
      </c>
      <c r="F32" s="1144" t="s">
        <v>2808</v>
      </c>
      <c r="G32" s="1144" t="s">
        <v>2808</v>
      </c>
      <c r="H32" s="1144" t="s">
        <v>2809</v>
      </c>
      <c r="I32" s="1144" t="s">
        <v>2809</v>
      </c>
      <c r="J32" s="1144" t="s">
        <v>2809</v>
      </c>
      <c r="K32" s="1144" t="s">
        <v>2809</v>
      </c>
      <c r="L32" s="1144" t="s">
        <v>2810</v>
      </c>
      <c r="M32" s="1144" t="s">
        <v>2810</v>
      </c>
      <c r="N32" s="1144" t="s">
        <v>2810</v>
      </c>
      <c r="O32" s="1144" t="s">
        <v>2810</v>
      </c>
      <c r="P32" s="1144" t="s">
        <v>2811</v>
      </c>
      <c r="Q32" s="1144" t="s">
        <v>2811</v>
      </c>
      <c r="R32" s="1144" t="s">
        <v>2811</v>
      </c>
      <c r="S32" s="1144" t="s">
        <v>2811</v>
      </c>
      <c r="T32" s="1144" t="s">
        <v>2809</v>
      </c>
      <c r="U32" s="1144" t="s">
        <v>2809</v>
      </c>
      <c r="V32" s="1144" t="s">
        <v>2812</v>
      </c>
      <c r="W32" s="1144" t="s">
        <v>2812</v>
      </c>
      <c r="X32" s="1144" t="s">
        <v>2812</v>
      </c>
      <c r="Y32" s="1144" t="s">
        <v>2812</v>
      </c>
      <c r="Z32" s="1144" t="s">
        <v>2813</v>
      </c>
      <c r="AA32" s="1144" t="s">
        <v>2813</v>
      </c>
      <c r="AB32" s="1144" t="s">
        <v>2813</v>
      </c>
      <c r="AC32" s="1144" t="s">
        <v>2813</v>
      </c>
      <c r="AD32" s="1144" t="s">
        <v>2814</v>
      </c>
      <c r="AE32" s="1144" t="s">
        <v>2814</v>
      </c>
      <c r="AF32" s="1144" t="s">
        <v>2814</v>
      </c>
      <c r="AG32" s="1144" t="s">
        <v>2814</v>
      </c>
      <c r="AH32" s="1144" t="s">
        <v>2815</v>
      </c>
      <c r="AI32" s="1144" t="s">
        <v>2816</v>
      </c>
      <c r="AJ32" s="1144" t="s">
        <v>2816</v>
      </c>
      <c r="AK32" s="1144" t="s">
        <v>2816</v>
      </c>
      <c r="AL32" s="1144" t="s">
        <v>2817</v>
      </c>
      <c r="AM32" s="1144" t="s">
        <v>2817</v>
      </c>
      <c r="AN32" s="1144" t="s">
        <v>2817</v>
      </c>
      <c r="AO32" s="1144" t="s">
        <v>2817</v>
      </c>
      <c r="AP32" s="1144" t="s">
        <v>2817</v>
      </c>
      <c r="AQ32" s="1144" t="s">
        <v>2817</v>
      </c>
      <c r="AR32" s="1144" t="s">
        <v>2817</v>
      </c>
      <c r="AS32" s="1144" t="s">
        <v>2817</v>
      </c>
      <c r="AT32" s="1144" t="s">
        <v>2818</v>
      </c>
      <c r="AU32" s="1144" t="s">
        <v>2818</v>
      </c>
      <c r="AV32" s="1144" t="s">
        <v>2819</v>
      </c>
      <c r="AW32" s="1144" t="s">
        <v>2819</v>
      </c>
      <c r="AX32" s="1144" t="s">
        <v>2819</v>
      </c>
      <c r="AY32" s="1144" t="s">
        <v>2819</v>
      </c>
      <c r="AZ32" s="1144" t="s">
        <v>2819</v>
      </c>
      <c r="BA32" s="1144" t="s">
        <v>2819</v>
      </c>
      <c r="BB32" s="1144" t="s">
        <v>2820</v>
      </c>
      <c r="BC32" s="1144" t="s">
        <v>2820</v>
      </c>
      <c r="BD32" s="1144" t="s">
        <v>2820</v>
      </c>
      <c r="BE32" s="1144" t="s">
        <v>2820</v>
      </c>
      <c r="BF32" s="1144" t="s">
        <v>2821</v>
      </c>
      <c r="BG32" s="1144" t="s">
        <v>2821</v>
      </c>
      <c r="BH32" s="1144" t="s">
        <v>2819</v>
      </c>
      <c r="BI32" s="1144" t="s">
        <v>2819</v>
      </c>
      <c r="BJ32" s="1144" t="s">
        <v>2819</v>
      </c>
      <c r="BK32" s="1144" t="s">
        <v>2819</v>
      </c>
      <c r="BL32" s="1145" t="s">
        <v>2819</v>
      </c>
      <c r="BM32" s="1145" t="s">
        <v>2819</v>
      </c>
      <c r="BN32" s="1144" t="s">
        <v>2822</v>
      </c>
      <c r="BO32" s="1144" t="s">
        <v>2822</v>
      </c>
      <c r="BP32" s="1144" t="s">
        <v>2822</v>
      </c>
      <c r="BQ32" s="1144" t="s">
        <v>2822</v>
      </c>
      <c r="BR32" s="1144" t="s">
        <v>2823</v>
      </c>
      <c r="BS32" s="1144" t="s">
        <v>2823</v>
      </c>
      <c r="BT32" s="1144" t="s">
        <v>2823</v>
      </c>
      <c r="BU32" s="1144" t="s">
        <v>2823</v>
      </c>
      <c r="BV32" s="1144" t="s">
        <v>2820</v>
      </c>
      <c r="BW32" s="1144" t="s">
        <v>2820</v>
      </c>
      <c r="BX32" s="1144" t="s">
        <v>2824</v>
      </c>
      <c r="BY32" s="1144" t="s">
        <v>2824</v>
      </c>
      <c r="BZ32" s="1144" t="s">
        <v>2824</v>
      </c>
      <c r="CA32" s="1144" t="s">
        <v>2824</v>
      </c>
      <c r="CB32" s="1144" t="s">
        <v>2824</v>
      </c>
      <c r="CC32" s="1144" t="s">
        <v>2824</v>
      </c>
      <c r="CD32" s="1144" t="s">
        <v>2824</v>
      </c>
      <c r="CE32" s="1144" t="s">
        <v>2824</v>
      </c>
      <c r="CF32" s="1144" t="s">
        <v>2824</v>
      </c>
      <c r="CG32" s="1144" t="s">
        <v>2824</v>
      </c>
      <c r="CH32" s="1144" t="s">
        <v>2824</v>
      </c>
      <c r="CI32" s="1144" t="s">
        <v>2824</v>
      </c>
      <c r="CJ32" s="1144" t="s">
        <v>2821</v>
      </c>
      <c r="CK32" s="1144" t="s">
        <v>2821</v>
      </c>
      <c r="CL32" s="1144" t="s">
        <v>2821</v>
      </c>
      <c r="CM32" s="1144" t="s">
        <v>2821</v>
      </c>
      <c r="CN32" s="1144" t="s">
        <v>2824</v>
      </c>
      <c r="CO32" s="1144" t="s">
        <v>2824</v>
      </c>
      <c r="CP32" s="1144" t="s">
        <v>2824</v>
      </c>
      <c r="CQ32" s="1144" t="s">
        <v>2824</v>
      </c>
      <c r="CR32" s="1144" t="s">
        <v>2824</v>
      </c>
      <c r="CS32" s="1144" t="s">
        <v>2824</v>
      </c>
      <c r="CT32" s="1144" t="s">
        <v>2824</v>
      </c>
      <c r="CU32" s="1144" t="s">
        <v>2824</v>
      </c>
      <c r="CV32" s="1144" t="s">
        <v>2824</v>
      </c>
      <c r="CW32" s="1144" t="s">
        <v>2824</v>
      </c>
      <c r="CX32" s="1144" t="s">
        <v>2824</v>
      </c>
      <c r="CY32" s="1144" t="s">
        <v>2824</v>
      </c>
      <c r="CZ32" s="1144" t="s">
        <v>2824</v>
      </c>
      <c r="DA32" s="1144" t="s">
        <v>2824</v>
      </c>
      <c r="DB32" s="1144" t="s">
        <v>2824</v>
      </c>
      <c r="DC32" s="1144" t="s">
        <v>2824</v>
      </c>
      <c r="DD32" s="1144" t="s">
        <v>2819</v>
      </c>
      <c r="DE32" s="1144" t="s">
        <v>2819</v>
      </c>
      <c r="DF32" s="1144" t="s">
        <v>2819</v>
      </c>
      <c r="DG32" s="1144" t="s">
        <v>2819</v>
      </c>
      <c r="DH32" s="1144" t="s">
        <v>2819</v>
      </c>
      <c r="DI32" s="1144" t="s">
        <v>2819</v>
      </c>
      <c r="DJ32" s="1144" t="s">
        <v>2819</v>
      </c>
      <c r="DK32" s="1144" t="s">
        <v>2819</v>
      </c>
      <c r="DL32" s="1144" t="s">
        <v>2819</v>
      </c>
      <c r="DM32" s="1144" t="s">
        <v>2825</v>
      </c>
      <c r="DN32" s="1144" t="s">
        <v>2826</v>
      </c>
      <c r="DO32" s="1144" t="s">
        <v>2827</v>
      </c>
      <c r="DP32" s="1144" t="str">
        <f t="shared" si="3"/>
        <v>Fluoropolymer chemistry.</v>
      </c>
      <c r="DQ32" s="1144" t="str">
        <f t="shared" si="3"/>
        <v>Fluoropolymer chemistry.</v>
      </c>
      <c r="DR32" s="1144" t="str">
        <f t="shared" si="3"/>
        <v>Fluoropolymer chemistry.</v>
      </c>
      <c r="DS32" s="1145" t="s">
        <v>2828</v>
      </c>
      <c r="DT32" s="1145" t="s">
        <v>2829</v>
      </c>
      <c r="DU32" s="1144" t="s">
        <v>2830</v>
      </c>
      <c r="DV32" s="1145" t="s">
        <v>2830</v>
      </c>
      <c r="DW32" s="1144" t="s">
        <v>2831</v>
      </c>
      <c r="DX32" s="1145" t="s">
        <v>2832</v>
      </c>
      <c r="DY32" s="1144" t="s">
        <v>2833</v>
      </c>
      <c r="DZ32" s="1144" t="s">
        <v>2833</v>
      </c>
      <c r="EA32" s="1145" t="s">
        <v>2834</v>
      </c>
      <c r="EB32" s="1144" t="s">
        <v>2835</v>
      </c>
      <c r="EC32" s="1144" t="str">
        <f t="shared" si="4"/>
        <v>Assumption that production technology is similar as for solders.</v>
      </c>
      <c r="ED32" s="1144" t="str">
        <f t="shared" si="4"/>
        <v>Assumption that production technology is similar as for solders.</v>
      </c>
      <c r="EE32" s="1144" t="s">
        <v>2836</v>
      </c>
      <c r="EF32" s="1144" t="str">
        <f>EE32</f>
        <v>Production technology of thin film CIS cells with thermal vaporization in vacuum.</v>
      </c>
      <c r="EG32" s="1144" t="s">
        <v>2837</v>
      </c>
      <c r="EH32" s="1144" t="s">
        <v>2837</v>
      </c>
      <c r="EI32" s="1144" t="s">
        <v>2837</v>
      </c>
      <c r="EJ32" s="1144"/>
      <c r="EK32" s="1144"/>
      <c r="EL32" s="1144" t="s">
        <v>2819</v>
      </c>
      <c r="EM32" s="1144" t="s">
        <v>2819</v>
      </c>
      <c r="EN32" s="1144" t="s">
        <v>2838</v>
      </c>
      <c r="EO32" s="1144" t="s">
        <v>2839</v>
      </c>
      <c r="EP32" s="1144" t="s">
        <v>2839</v>
      </c>
      <c r="EQ32" s="1144" t="s">
        <v>2839</v>
      </c>
      <c r="ER32" s="1144" t="s">
        <v>2839</v>
      </c>
      <c r="ES32" s="1144" t="s">
        <v>2839</v>
      </c>
      <c r="ET32" s="1144" t="s">
        <v>2839</v>
      </c>
      <c r="EU32" s="1144" t="s">
        <v>2839</v>
      </c>
      <c r="EV32" s="1144" t="s">
        <v>2839</v>
      </c>
      <c r="EW32" s="1144" t="s">
        <v>2839</v>
      </c>
      <c r="EX32" s="1144" t="s">
        <v>2839</v>
      </c>
      <c r="EY32" s="1144" t="s">
        <v>2839</v>
      </c>
      <c r="EZ32" s="1144" t="s">
        <v>2839</v>
      </c>
      <c r="FA32" s="1144" t="s">
        <v>2839</v>
      </c>
      <c r="FB32" s="1144" t="s">
        <v>2840</v>
      </c>
      <c r="FC32" s="1144" t="str">
        <f t="shared" si="6"/>
        <v>Construction parts for a photovoltaic system.</v>
      </c>
      <c r="FD32" s="1144" t="str">
        <f t="shared" si="6"/>
        <v>Construction parts for a photovoltaic system.</v>
      </c>
      <c r="FE32" s="1144" t="str">
        <f t="shared" si="6"/>
        <v>Construction parts for a photovoltaic system.</v>
      </c>
      <c r="FF32" s="1144" t="str">
        <f t="shared" si="6"/>
        <v>Construction parts for a photovoltaic system.</v>
      </c>
      <c r="FG32" s="1144" t="str">
        <f t="shared" si="6"/>
        <v>Construction parts for a photovoltaic system.</v>
      </c>
      <c r="FH32" s="1144" t="str">
        <f>FG32</f>
        <v>Construction parts for a photovoltaic system.</v>
      </c>
      <c r="FI32" s="1144" t="str">
        <f>FH32</f>
        <v>Construction parts for a photovoltaic system.</v>
      </c>
      <c r="FJ32" s="1144" t="s">
        <v>2841</v>
      </c>
      <c r="FK32" s="1144" t="s">
        <v>2842</v>
      </c>
      <c r="FL32" s="1144" t="s">
        <v>2842</v>
      </c>
      <c r="FM32" s="1144" t="s">
        <v>2842</v>
      </c>
      <c r="FN32" s="1144" t="s">
        <v>2842</v>
      </c>
      <c r="FO32" s="1144" t="s">
        <v>2842</v>
      </c>
      <c r="FP32" s="1144" t="s">
        <v>2842</v>
      </c>
      <c r="FQ32" s="1144" t="s">
        <v>2842</v>
      </c>
      <c r="FR32" s="1144" t="s">
        <v>2842</v>
      </c>
      <c r="FS32" s="1144" t="s">
        <v>2842</v>
      </c>
      <c r="FT32" s="1144" t="s">
        <v>2843</v>
      </c>
      <c r="FU32" s="1145" t="s">
        <v>2844</v>
      </c>
      <c r="FV32" s="1145" t="s">
        <v>2845</v>
      </c>
      <c r="FW32" s="1144" t="s">
        <v>2846</v>
      </c>
      <c r="FX32" s="1144" t="s">
        <v>2847</v>
      </c>
      <c r="FY32" s="1144" t="s">
        <v>2848</v>
      </c>
      <c r="FZ32" s="1144" t="s">
        <v>2849</v>
      </c>
      <c r="GA32" s="1144" t="s">
        <v>2850</v>
      </c>
      <c r="GB32" s="1144" t="s">
        <v>2851</v>
      </c>
      <c r="GC32" s="1144" t="s">
        <v>2852</v>
      </c>
      <c r="GD32" s="1144" t="s">
        <v>2852</v>
      </c>
      <c r="GE32" s="1144" t="s">
        <v>2852</v>
      </c>
      <c r="GF32" s="1144" t="s">
        <v>2852</v>
      </c>
      <c r="GG32" s="1144" t="s">
        <v>2852</v>
      </c>
      <c r="GH32" s="1144" t="s">
        <v>2852</v>
      </c>
      <c r="GI32" s="1144" t="s">
        <v>2852</v>
      </c>
      <c r="GJ32" s="1144" t="s">
        <v>2852</v>
      </c>
      <c r="GK32" s="1144" t="s">
        <v>2852</v>
      </c>
      <c r="GL32" s="1144" t="s">
        <v>2852</v>
      </c>
      <c r="GM32" s="1144" t="s">
        <v>2852</v>
      </c>
      <c r="GN32" s="1144" t="s">
        <v>2852</v>
      </c>
      <c r="GO32" s="1144" t="s">
        <v>2852</v>
      </c>
      <c r="GP32" s="1144" t="s">
        <v>2852</v>
      </c>
      <c r="GQ32" s="1144" t="s">
        <v>2852</v>
      </c>
      <c r="GR32" s="1144" t="s">
        <v>2852</v>
      </c>
      <c r="GS32" s="1144" t="s">
        <v>2852</v>
      </c>
      <c r="GT32" s="1144" t="s">
        <v>2852</v>
      </c>
      <c r="GU32" s="1144" t="s">
        <v>2852</v>
      </c>
      <c r="GV32" s="1144" t="s">
        <v>2852</v>
      </c>
      <c r="GW32" s="1144" t="s">
        <v>2852</v>
      </c>
      <c r="GX32" s="1144" t="s">
        <v>2852</v>
      </c>
      <c r="GY32" s="1144" t="s">
        <v>2852</v>
      </c>
      <c r="GZ32" s="1144" t="s">
        <v>2852</v>
      </c>
      <c r="HA32" s="1144" t="s">
        <v>2852</v>
      </c>
      <c r="HB32" s="1144" t="s">
        <v>2853</v>
      </c>
      <c r="HC32" s="1144" t="s">
        <v>2853</v>
      </c>
      <c r="HD32" s="1144" t="s">
        <v>2853</v>
      </c>
      <c r="HE32" s="1144" t="s">
        <v>2853</v>
      </c>
      <c r="HF32" s="1144" t="s">
        <v>2853</v>
      </c>
      <c r="HG32" s="1144" t="s">
        <v>2853</v>
      </c>
      <c r="HH32" s="1144" t="s">
        <v>2853</v>
      </c>
      <c r="HI32" s="1144" t="s">
        <v>2853</v>
      </c>
      <c r="HJ32" s="1144" t="s">
        <v>2853</v>
      </c>
      <c r="HK32" s="1144" t="s">
        <v>2853</v>
      </c>
      <c r="HL32" s="1144" t="s">
        <v>2853</v>
      </c>
      <c r="HM32" s="1144" t="s">
        <v>2853</v>
      </c>
      <c r="HN32" s="1144" t="s">
        <v>2853</v>
      </c>
      <c r="HO32" s="1144" t="s">
        <v>2853</v>
      </c>
      <c r="HP32" s="1144" t="s">
        <v>2853</v>
      </c>
      <c r="HQ32" s="1144" t="s">
        <v>2853</v>
      </c>
      <c r="HR32" s="1144" t="s">
        <v>2853</v>
      </c>
      <c r="HS32" s="1144" t="s">
        <v>2853</v>
      </c>
      <c r="HT32" s="1144" t="s">
        <v>2853</v>
      </c>
      <c r="HU32" s="1144" t="s">
        <v>2853</v>
      </c>
      <c r="HV32" s="1144" t="s">
        <v>2853</v>
      </c>
      <c r="HW32" s="1144" t="s">
        <v>2853</v>
      </c>
      <c r="HX32" s="1144" t="s">
        <v>2853</v>
      </c>
      <c r="HY32" s="1144" t="s">
        <v>2853</v>
      </c>
      <c r="HZ32" s="1144" t="s">
        <v>2853</v>
      </c>
      <c r="IA32" s="1144" t="s">
        <v>2853</v>
      </c>
      <c r="IB32" s="1144" t="s">
        <v>2853</v>
      </c>
      <c r="IC32" s="1144" t="s">
        <v>2853</v>
      </c>
      <c r="ID32" s="1144" t="s">
        <v>2853</v>
      </c>
      <c r="IE32" s="1144" t="s">
        <v>2853</v>
      </c>
      <c r="IF32" s="1144" t="s">
        <v>2853</v>
      </c>
      <c r="IG32" s="1144" t="s">
        <v>2853</v>
      </c>
      <c r="IH32" s="1144" t="s">
        <v>2853</v>
      </c>
      <c r="II32" s="1144" t="s">
        <v>2853</v>
      </c>
      <c r="IJ32" s="1144" t="s">
        <v>2853</v>
      </c>
      <c r="IK32" s="1144" t="s">
        <v>2853</v>
      </c>
      <c r="IL32" s="1144" t="s">
        <v>2853</v>
      </c>
      <c r="IM32" s="1144" t="s">
        <v>2853</v>
      </c>
      <c r="IN32" s="1144" t="s">
        <v>2853</v>
      </c>
      <c r="IO32" s="1144" t="s">
        <v>2853</v>
      </c>
      <c r="IP32" s="1144" t="s">
        <v>2853</v>
      </c>
      <c r="IQ32" s="1144" t="s">
        <v>2853</v>
      </c>
      <c r="IR32" s="1144" t="s">
        <v>2853</v>
      </c>
      <c r="IS32" s="1144" t="s">
        <v>2853</v>
      </c>
      <c r="IT32" s="1144" t="s">
        <v>2853</v>
      </c>
      <c r="IU32" s="1144" t="s">
        <v>2853</v>
      </c>
      <c r="IV32" s="1144" t="s">
        <v>2854</v>
      </c>
      <c r="IW32" s="1144" t="s">
        <v>2855</v>
      </c>
      <c r="IX32" s="1144" t="s">
        <v>2856</v>
      </c>
      <c r="IY32" s="1144" t="s">
        <v>2857</v>
      </c>
      <c r="IZ32" s="1144" t="s">
        <v>2858</v>
      </c>
      <c r="JA32" s="1144" t="s">
        <v>2859</v>
      </c>
      <c r="JB32" s="1144" t="s">
        <v>2860</v>
      </c>
      <c r="JC32" s="1144" t="s">
        <v>2861</v>
      </c>
      <c r="JD32" s="1146"/>
      <c r="JE32" s="1144" t="s">
        <v>2817</v>
      </c>
      <c r="JF32" s="1144" t="s">
        <v>2817</v>
      </c>
      <c r="JG32" s="1144" t="s">
        <v>2817</v>
      </c>
      <c r="JH32" s="1144" t="s">
        <v>2817</v>
      </c>
      <c r="JI32" s="1144" t="s">
        <v>2819</v>
      </c>
      <c r="JJ32" s="1144" t="s">
        <v>2819</v>
      </c>
      <c r="JK32" s="1144" t="s">
        <v>2819</v>
      </c>
      <c r="JL32" s="1144" t="s">
        <v>2820</v>
      </c>
      <c r="JM32" s="1144" t="s">
        <v>2820</v>
      </c>
      <c r="JN32" s="1144" t="s">
        <v>2820</v>
      </c>
      <c r="JO32" s="1144" t="s">
        <v>2820</v>
      </c>
      <c r="JP32" s="1144" t="s">
        <v>2819</v>
      </c>
      <c r="JQ32" s="1144" t="s">
        <v>2819</v>
      </c>
      <c r="JR32" s="1144" t="s">
        <v>2824</v>
      </c>
      <c r="JS32" s="1144" t="s">
        <v>2824</v>
      </c>
      <c r="JT32" s="1144" t="s">
        <v>2824</v>
      </c>
      <c r="JU32" s="1144" t="s">
        <v>2824</v>
      </c>
      <c r="JV32" s="1144" t="s">
        <v>2824</v>
      </c>
      <c r="JW32" s="1144" t="s">
        <v>2824</v>
      </c>
      <c r="JX32" s="1144" t="s">
        <v>2824</v>
      </c>
      <c r="JY32" s="1144" t="s">
        <v>2824</v>
      </c>
      <c r="JZ32" s="1144" t="s">
        <v>2819</v>
      </c>
      <c r="KA32" s="1144" t="s">
        <v>2819</v>
      </c>
      <c r="KB32" s="1144" t="s">
        <v>2819</v>
      </c>
      <c r="KC32" s="1144" t="s">
        <v>2819</v>
      </c>
      <c r="KD32" s="1144" t="s">
        <v>2819</v>
      </c>
      <c r="KE32" s="1144" t="s">
        <v>2819</v>
      </c>
    </row>
    <row r="33" spans="1:291">
      <c r="A33" s="165" t="s">
        <v>2862</v>
      </c>
      <c r="B33" s="83">
        <v>722</v>
      </c>
      <c r="C33" s="437" t="s">
        <v>2863</v>
      </c>
      <c r="D33" s="1144">
        <v>0</v>
      </c>
      <c r="E33" s="1144">
        <v>0</v>
      </c>
      <c r="F33" s="1144">
        <v>0</v>
      </c>
      <c r="G33" s="1144">
        <v>0</v>
      </c>
      <c r="H33" s="1144">
        <v>0</v>
      </c>
      <c r="I33" s="1144">
        <v>0</v>
      </c>
      <c r="J33" s="1144">
        <v>0</v>
      </c>
      <c r="K33" s="1144">
        <v>0</v>
      </c>
      <c r="L33" s="1144">
        <v>0</v>
      </c>
      <c r="M33" s="1144">
        <v>0</v>
      </c>
      <c r="N33" s="1144">
        <v>0</v>
      </c>
      <c r="O33" s="1144">
        <v>0</v>
      </c>
      <c r="P33" s="1144">
        <v>0</v>
      </c>
      <c r="Q33" s="1144">
        <v>0</v>
      </c>
      <c r="R33" s="1144">
        <v>0</v>
      </c>
      <c r="S33" s="1144">
        <v>0</v>
      </c>
      <c r="T33" s="1144">
        <v>0</v>
      </c>
      <c r="U33" s="1144">
        <v>0</v>
      </c>
      <c r="V33" s="1144"/>
      <c r="W33" s="1144"/>
      <c r="X33" s="1144"/>
      <c r="Y33" s="1144"/>
      <c r="Z33" s="1144">
        <v>0</v>
      </c>
      <c r="AA33" s="1144">
        <v>0</v>
      </c>
      <c r="AB33" s="1144">
        <v>0</v>
      </c>
      <c r="AC33" s="1144">
        <v>0</v>
      </c>
      <c r="AD33" s="1144">
        <v>0</v>
      </c>
      <c r="AE33" s="1144">
        <v>0</v>
      </c>
      <c r="AF33" s="1144">
        <v>0</v>
      </c>
      <c r="AG33" s="1144">
        <v>0</v>
      </c>
      <c r="AH33" s="1144">
        <v>0</v>
      </c>
      <c r="AI33" s="1144">
        <v>0</v>
      </c>
      <c r="AJ33" s="1144">
        <v>0</v>
      </c>
      <c r="AK33" s="1144">
        <v>0</v>
      </c>
      <c r="AL33" s="1144">
        <v>0</v>
      </c>
      <c r="AM33" s="1144">
        <v>0</v>
      </c>
      <c r="AN33" s="1144">
        <v>0</v>
      </c>
      <c r="AO33" s="1144">
        <v>0</v>
      </c>
      <c r="AP33" s="1144">
        <v>0</v>
      </c>
      <c r="AQ33" s="1144">
        <v>0</v>
      </c>
      <c r="AR33" s="1144">
        <v>0</v>
      </c>
      <c r="AS33" s="1144">
        <v>0</v>
      </c>
      <c r="AT33" s="1144">
        <v>0</v>
      </c>
      <c r="AU33" s="1144">
        <v>0</v>
      </c>
      <c r="AV33" s="1144"/>
      <c r="AW33" s="1144"/>
      <c r="AX33" s="1144"/>
      <c r="AY33" s="1144"/>
      <c r="AZ33" s="1144"/>
      <c r="BA33" s="1144"/>
      <c r="BB33" s="1144">
        <v>0</v>
      </c>
      <c r="BC33" s="1144">
        <v>0</v>
      </c>
      <c r="BD33" s="1144">
        <v>0</v>
      </c>
      <c r="BE33" s="1144">
        <v>0</v>
      </c>
      <c r="BF33" s="1144">
        <v>0</v>
      </c>
      <c r="BG33" s="1144">
        <v>0</v>
      </c>
      <c r="BH33" s="1144"/>
      <c r="BI33" s="1144"/>
      <c r="BJ33" s="1144"/>
      <c r="BK33" s="1144"/>
      <c r="BL33" s="1145"/>
      <c r="BM33" s="1145"/>
      <c r="BN33" s="1144"/>
      <c r="BO33" s="1144"/>
      <c r="BP33" s="1144"/>
      <c r="BQ33" s="1144"/>
      <c r="BR33" s="1144"/>
      <c r="BS33" s="1144"/>
      <c r="BT33" s="1144"/>
      <c r="BU33" s="1144"/>
      <c r="BV33" s="1144"/>
      <c r="BW33" s="1144"/>
      <c r="BX33" s="1144">
        <v>0</v>
      </c>
      <c r="BY33" s="1144">
        <v>0</v>
      </c>
      <c r="BZ33" s="1144">
        <v>0</v>
      </c>
      <c r="CA33" s="1144">
        <v>0</v>
      </c>
      <c r="CB33" s="1144"/>
      <c r="CC33" s="1144"/>
      <c r="CD33" s="1144"/>
      <c r="CE33" s="1144"/>
      <c r="CF33" s="1144">
        <v>0</v>
      </c>
      <c r="CG33" s="1144">
        <v>0</v>
      </c>
      <c r="CH33" s="1144">
        <v>0</v>
      </c>
      <c r="CI33" s="1144">
        <v>0</v>
      </c>
      <c r="CJ33" s="1144">
        <v>0</v>
      </c>
      <c r="CK33" s="1144">
        <v>0</v>
      </c>
      <c r="CL33" s="1144">
        <v>0</v>
      </c>
      <c r="CM33" s="1144">
        <v>0</v>
      </c>
      <c r="CN33" s="1144"/>
      <c r="CO33" s="1144"/>
      <c r="CP33" s="1144"/>
      <c r="CQ33" s="1144"/>
      <c r="CR33" s="1144"/>
      <c r="CS33" s="1144"/>
      <c r="CT33" s="1144"/>
      <c r="CU33" s="1144"/>
      <c r="CV33" s="1144"/>
      <c r="CW33" s="1144"/>
      <c r="CX33" s="1144"/>
      <c r="CY33" s="1144"/>
      <c r="CZ33" s="1144"/>
      <c r="DA33" s="1144"/>
      <c r="DB33" s="1144"/>
      <c r="DC33" s="1144"/>
      <c r="DD33" s="1144"/>
      <c r="DE33" s="1144"/>
      <c r="DF33" s="1144"/>
      <c r="DG33" s="1144"/>
      <c r="DH33" s="1144"/>
      <c r="DI33" s="1144"/>
      <c r="DJ33" s="1144"/>
      <c r="DK33" s="1144"/>
      <c r="DL33" s="1144"/>
      <c r="DM33" s="1144">
        <v>10</v>
      </c>
      <c r="DN33" s="1144">
        <v>10</v>
      </c>
      <c r="DO33" s="1144">
        <v>50</v>
      </c>
      <c r="DP33" s="1144">
        <f t="shared" si="3"/>
        <v>50</v>
      </c>
      <c r="DQ33" s="1144">
        <f t="shared" si="3"/>
        <v>50</v>
      </c>
      <c r="DR33" s="1144">
        <f t="shared" si="3"/>
        <v>50</v>
      </c>
      <c r="DS33" s="1145">
        <v>0</v>
      </c>
      <c r="DT33" s="1145">
        <v>0</v>
      </c>
      <c r="DU33" s="1144">
        <v>0</v>
      </c>
      <c r="DV33" s="1145">
        <v>0</v>
      </c>
      <c r="DW33" s="1144">
        <v>0</v>
      </c>
      <c r="DX33" s="1145">
        <v>0</v>
      </c>
      <c r="DY33" s="1144">
        <v>0</v>
      </c>
      <c r="DZ33" s="1144">
        <v>0</v>
      </c>
      <c r="EA33" s="1145">
        <v>0</v>
      </c>
      <c r="EB33" s="1144">
        <v>0</v>
      </c>
      <c r="EC33" s="1144">
        <v>0</v>
      </c>
      <c r="ED33" s="1144">
        <v>0</v>
      </c>
      <c r="EE33" s="1144">
        <v>0</v>
      </c>
      <c r="EF33" s="1144">
        <v>0</v>
      </c>
      <c r="EG33" s="1144">
        <v>0</v>
      </c>
      <c r="EH33" s="1144">
        <v>0</v>
      </c>
      <c r="EI33" s="1144">
        <v>0</v>
      </c>
      <c r="EJ33" s="1144">
        <v>0</v>
      </c>
      <c r="EK33" s="1144">
        <v>0</v>
      </c>
      <c r="EL33" s="1144">
        <v>0</v>
      </c>
      <c r="EM33" s="1144">
        <v>0</v>
      </c>
      <c r="EN33" s="1144">
        <v>0</v>
      </c>
      <c r="EO33" s="1144"/>
      <c r="EP33" s="1144"/>
      <c r="EQ33" s="1144"/>
      <c r="ER33" s="1144"/>
      <c r="ES33" s="1144"/>
      <c r="ET33" s="1144"/>
      <c r="EU33" s="1144"/>
      <c r="EV33" s="1144"/>
      <c r="EW33" s="1144"/>
      <c r="EX33" s="1144"/>
      <c r="EY33" s="1144"/>
      <c r="EZ33" s="1144"/>
      <c r="FA33" s="1144"/>
      <c r="FB33" s="1144"/>
      <c r="FC33" s="1144"/>
      <c r="FD33" s="1144"/>
      <c r="FE33" s="1144"/>
      <c r="FF33" s="1144"/>
      <c r="FG33" s="1144"/>
      <c r="FH33" s="1144"/>
      <c r="FI33" s="1144"/>
      <c r="FJ33" s="1144"/>
      <c r="FK33" s="1144">
        <v>100</v>
      </c>
      <c r="FL33" s="1144">
        <v>100</v>
      </c>
      <c r="FM33" s="1144">
        <v>100</v>
      </c>
      <c r="FN33" s="1144">
        <v>100</v>
      </c>
      <c r="FO33" s="1144">
        <v>100</v>
      </c>
      <c r="FP33" s="1144">
        <v>100</v>
      </c>
      <c r="FQ33" s="1144">
        <v>100</v>
      </c>
      <c r="FR33" s="1144">
        <v>100</v>
      </c>
      <c r="FS33" s="1144">
        <v>100</v>
      </c>
      <c r="FT33" s="1145"/>
      <c r="FU33" s="1145"/>
      <c r="FV33" s="1145"/>
      <c r="FW33" s="1144"/>
      <c r="FX33" s="1144"/>
      <c r="FY33" s="1144"/>
      <c r="FZ33" s="1144"/>
      <c r="GA33" s="1144"/>
      <c r="GB33" s="1144"/>
      <c r="GC33" s="1144"/>
      <c r="GD33" s="1144"/>
      <c r="GE33" s="1144"/>
      <c r="GF33" s="1144"/>
      <c r="GG33" s="1144"/>
      <c r="GH33" s="1144"/>
      <c r="GI33" s="1144"/>
      <c r="GJ33" s="1144"/>
      <c r="GK33" s="1144"/>
      <c r="GL33" s="1144"/>
      <c r="GM33" s="1144"/>
      <c r="GN33" s="1144"/>
      <c r="GO33" s="1144"/>
      <c r="GP33" s="1144"/>
      <c r="GQ33" s="1144"/>
      <c r="GR33" s="1144"/>
      <c r="GS33" s="1144"/>
      <c r="GT33" s="1144"/>
      <c r="GU33" s="1144"/>
      <c r="GV33" s="1144"/>
      <c r="GW33" s="1144"/>
      <c r="GX33" s="1144"/>
      <c r="GY33" s="1144">
        <v>50</v>
      </c>
      <c r="GZ33" s="1144">
        <v>50</v>
      </c>
      <c r="HA33" s="1144">
        <v>50</v>
      </c>
      <c r="HB33" s="1144">
        <v>100</v>
      </c>
      <c r="HC33" s="1144">
        <v>100</v>
      </c>
      <c r="HD33" s="1144">
        <v>100</v>
      </c>
      <c r="HE33" s="1144">
        <v>100</v>
      </c>
      <c r="HF33" s="1144">
        <v>100</v>
      </c>
      <c r="HG33" s="1144">
        <v>100</v>
      </c>
      <c r="HH33" s="1144">
        <v>100</v>
      </c>
      <c r="HI33" s="1144">
        <v>100</v>
      </c>
      <c r="HJ33" s="1144">
        <v>100</v>
      </c>
      <c r="HK33" s="1144">
        <v>100</v>
      </c>
      <c r="HL33" s="1144">
        <v>100</v>
      </c>
      <c r="HM33" s="1144">
        <v>100</v>
      </c>
      <c r="HN33" s="1144">
        <v>100</v>
      </c>
      <c r="HO33" s="1144">
        <v>100</v>
      </c>
      <c r="HP33" s="1144">
        <v>100</v>
      </c>
      <c r="HQ33" s="1144">
        <v>100</v>
      </c>
      <c r="HR33" s="1144">
        <v>100</v>
      </c>
      <c r="HS33" s="1144">
        <v>100</v>
      </c>
      <c r="HT33" s="1144">
        <v>100</v>
      </c>
      <c r="HU33" s="1144">
        <v>100</v>
      </c>
      <c r="HV33" s="1144">
        <v>100</v>
      </c>
      <c r="HW33" s="1144">
        <v>100</v>
      </c>
      <c r="HX33" s="1144">
        <v>100</v>
      </c>
      <c r="HY33" s="1144">
        <v>100</v>
      </c>
      <c r="HZ33" s="1144">
        <v>100</v>
      </c>
      <c r="IA33" s="1144">
        <v>100</v>
      </c>
      <c r="IB33" s="1144">
        <v>100</v>
      </c>
      <c r="IC33" s="1144">
        <v>100</v>
      </c>
      <c r="ID33" s="1144">
        <v>100</v>
      </c>
      <c r="IE33" s="1144">
        <v>100</v>
      </c>
      <c r="IF33" s="1144">
        <v>100</v>
      </c>
      <c r="IG33" s="1144">
        <v>100</v>
      </c>
      <c r="IH33" s="1144">
        <v>100</v>
      </c>
      <c r="II33" s="1144">
        <v>100</v>
      </c>
      <c r="IJ33" s="1144">
        <v>100</v>
      </c>
      <c r="IK33" s="1144">
        <v>100</v>
      </c>
      <c r="IL33" s="1144">
        <v>100</v>
      </c>
      <c r="IM33" s="1144">
        <v>100</v>
      </c>
      <c r="IN33" s="1144">
        <v>100</v>
      </c>
      <c r="IO33" s="1144">
        <v>100</v>
      </c>
      <c r="IP33" s="1144">
        <v>100</v>
      </c>
      <c r="IQ33" s="1144">
        <v>100</v>
      </c>
      <c r="IR33" s="1144">
        <v>100</v>
      </c>
      <c r="IS33" s="1144">
        <v>100</v>
      </c>
      <c r="IT33" s="1144">
        <v>100</v>
      </c>
      <c r="IU33" s="1144">
        <v>100</v>
      </c>
      <c r="IV33" s="1144"/>
      <c r="IW33" s="1144"/>
      <c r="IX33" s="1144"/>
      <c r="IY33" s="1144"/>
      <c r="IZ33" s="1144"/>
      <c r="JA33" s="1144"/>
      <c r="JB33" s="1144"/>
      <c r="JC33" s="1144"/>
      <c r="JD33" s="1146"/>
      <c r="JE33" s="1144">
        <v>0</v>
      </c>
      <c r="JF33" s="1144">
        <v>0</v>
      </c>
      <c r="JG33" s="1144">
        <v>0</v>
      </c>
      <c r="JH33" s="1144">
        <v>0</v>
      </c>
      <c r="JI33" s="1144"/>
      <c r="JJ33" s="1144"/>
      <c r="JK33" s="1144"/>
      <c r="JL33" s="1144">
        <v>0</v>
      </c>
      <c r="JM33" s="1144">
        <v>0</v>
      </c>
      <c r="JN33" s="1144">
        <v>0</v>
      </c>
      <c r="JO33" s="1144">
        <v>0</v>
      </c>
      <c r="JP33" s="1144"/>
      <c r="JQ33" s="1144"/>
      <c r="JR33" s="1144">
        <v>0</v>
      </c>
      <c r="JS33" s="1144">
        <v>0</v>
      </c>
      <c r="JT33" s="1144">
        <v>0</v>
      </c>
      <c r="JU33" s="1144">
        <v>0</v>
      </c>
      <c r="JV33" s="1144">
        <v>0</v>
      </c>
      <c r="JW33" s="1144">
        <v>0</v>
      </c>
      <c r="JX33" s="1144">
        <v>0</v>
      </c>
      <c r="JY33" s="1144">
        <v>0</v>
      </c>
      <c r="JZ33" s="1144"/>
      <c r="KA33" s="1144"/>
      <c r="KB33" s="1144"/>
      <c r="KC33" s="1144"/>
      <c r="KD33" s="1144"/>
      <c r="KE33" s="1144"/>
    </row>
    <row r="34" spans="1:291" ht="96.6" customHeight="1">
      <c r="A34" s="165"/>
      <c r="B34" s="83">
        <v>724</v>
      </c>
      <c r="C34" s="437" t="s">
        <v>2864</v>
      </c>
      <c r="D34" s="1144" t="s">
        <v>2865</v>
      </c>
      <c r="E34" s="1144" t="s">
        <v>2865</v>
      </c>
      <c r="F34" s="1144" t="s">
        <v>2865</v>
      </c>
      <c r="G34" s="1144" t="s">
        <v>2866</v>
      </c>
      <c r="H34" s="1144" t="s">
        <v>2867</v>
      </c>
      <c r="I34" s="1144" t="s">
        <v>2867</v>
      </c>
      <c r="J34" s="1144" t="s">
        <v>2867</v>
      </c>
      <c r="K34" s="1144" t="s">
        <v>2867</v>
      </c>
      <c r="L34" s="1144" t="s">
        <v>2868</v>
      </c>
      <c r="M34" s="1144" t="s">
        <v>2868</v>
      </c>
      <c r="N34" s="1144" t="s">
        <v>2868</v>
      </c>
      <c r="O34" s="1144" t="s">
        <v>2868</v>
      </c>
      <c r="P34" s="1144" t="s">
        <v>2869</v>
      </c>
      <c r="Q34" s="1144" t="s">
        <v>2869</v>
      </c>
      <c r="R34" s="1144" t="s">
        <v>2869</v>
      </c>
      <c r="S34" s="1144" t="s">
        <v>2869</v>
      </c>
      <c r="T34" s="1144" t="s">
        <v>2870</v>
      </c>
      <c r="U34" s="1144" t="s">
        <v>2870</v>
      </c>
      <c r="V34" s="1144" t="s">
        <v>2871</v>
      </c>
      <c r="W34" s="1144" t="s">
        <v>2871</v>
      </c>
      <c r="X34" s="1144" t="s">
        <v>2871</v>
      </c>
      <c r="Y34" s="1144" t="s">
        <v>2871</v>
      </c>
      <c r="Z34" s="1144" t="s">
        <v>2872</v>
      </c>
      <c r="AA34" s="1144" t="s">
        <v>2872</v>
      </c>
      <c r="AB34" s="1144" t="s">
        <v>2872</v>
      </c>
      <c r="AC34" s="1144" t="s">
        <v>2872</v>
      </c>
      <c r="AD34" s="1144" t="s">
        <v>2869</v>
      </c>
      <c r="AE34" s="1144" t="s">
        <v>2869</v>
      </c>
      <c r="AF34" s="1144" t="s">
        <v>2869</v>
      </c>
      <c r="AG34" s="1144" t="s">
        <v>2869</v>
      </c>
      <c r="AH34" s="1144" t="s">
        <v>2873</v>
      </c>
      <c r="AI34" s="1144" t="s">
        <v>2873</v>
      </c>
      <c r="AJ34" s="1144" t="s">
        <v>2873</v>
      </c>
      <c r="AK34" s="1144" t="s">
        <v>2873</v>
      </c>
      <c r="AL34" s="1144" t="s">
        <v>2874</v>
      </c>
      <c r="AM34" s="1144" t="s">
        <v>2874</v>
      </c>
      <c r="AN34" s="1144" t="s">
        <v>2874</v>
      </c>
      <c r="AO34" s="1144" t="s">
        <v>2874</v>
      </c>
      <c r="AP34" s="1144" t="s">
        <v>2874</v>
      </c>
      <c r="AQ34" s="1144" t="s">
        <v>2874</v>
      </c>
      <c r="AR34" s="1144" t="s">
        <v>2874</v>
      </c>
      <c r="AS34" s="1144" t="s">
        <v>2874</v>
      </c>
      <c r="AT34" s="1144" t="s">
        <v>2870</v>
      </c>
      <c r="AU34" s="1144" t="s">
        <v>2870</v>
      </c>
      <c r="AV34" s="1144" t="s">
        <v>2875</v>
      </c>
      <c r="AW34" s="1144" t="s">
        <v>2875</v>
      </c>
      <c r="AX34" s="1144" t="s">
        <v>2875</v>
      </c>
      <c r="AY34" s="1144" t="s">
        <v>2875</v>
      </c>
      <c r="AZ34" s="1144" t="s">
        <v>2875</v>
      </c>
      <c r="BA34" s="1144" t="s">
        <v>2875</v>
      </c>
      <c r="BB34" s="1144" t="s">
        <v>2876</v>
      </c>
      <c r="BC34" s="1144" t="s">
        <v>2876</v>
      </c>
      <c r="BD34" s="1144" t="s">
        <v>2876</v>
      </c>
      <c r="BE34" s="1144" t="s">
        <v>2876</v>
      </c>
      <c r="BF34" s="1144" t="s">
        <v>2870</v>
      </c>
      <c r="BG34" s="1144" t="s">
        <v>2870</v>
      </c>
      <c r="BH34" s="1144" t="s">
        <v>2877</v>
      </c>
      <c r="BI34" s="1144" t="s">
        <v>2877</v>
      </c>
      <c r="BJ34" s="1144" t="s">
        <v>2877</v>
      </c>
      <c r="BK34" s="1144" t="s">
        <v>2877</v>
      </c>
      <c r="BL34" s="1145" t="s">
        <v>2877</v>
      </c>
      <c r="BM34" s="1145" t="s">
        <v>2877</v>
      </c>
      <c r="BN34" s="1144" t="s">
        <v>2878</v>
      </c>
      <c r="BO34" s="1144" t="s">
        <v>2878</v>
      </c>
      <c r="BP34" s="1144" t="s">
        <v>2878</v>
      </c>
      <c r="BQ34" s="1144" t="s">
        <v>2878</v>
      </c>
      <c r="BR34" s="1144" t="s">
        <v>2879</v>
      </c>
      <c r="BS34" s="1144" t="s">
        <v>2879</v>
      </c>
      <c r="BT34" s="1144" t="s">
        <v>2879</v>
      </c>
      <c r="BU34" s="1144" t="s">
        <v>2879</v>
      </c>
      <c r="BV34" s="1144" t="s">
        <v>2870</v>
      </c>
      <c r="BW34" s="1144" t="s">
        <v>2870</v>
      </c>
      <c r="BX34" s="1144" t="s">
        <v>2880</v>
      </c>
      <c r="BY34" s="1144" t="s">
        <v>2880</v>
      </c>
      <c r="BZ34" s="1144" t="s">
        <v>2880</v>
      </c>
      <c r="CA34" s="1144" t="s">
        <v>2880</v>
      </c>
      <c r="CB34" s="1144" t="s">
        <v>2881</v>
      </c>
      <c r="CC34" s="1144" t="s">
        <v>2881</v>
      </c>
      <c r="CD34" s="1144" t="s">
        <v>2881</v>
      </c>
      <c r="CE34" s="1144" t="s">
        <v>2881</v>
      </c>
      <c r="CF34" s="1144" t="s">
        <v>2880</v>
      </c>
      <c r="CG34" s="1144" t="s">
        <v>2880</v>
      </c>
      <c r="CH34" s="1144" t="s">
        <v>2880</v>
      </c>
      <c r="CI34" s="1144" t="s">
        <v>2880</v>
      </c>
      <c r="CJ34" s="1144" t="s">
        <v>2870</v>
      </c>
      <c r="CK34" s="1144" t="s">
        <v>2870</v>
      </c>
      <c r="CL34" s="1144" t="s">
        <v>2870</v>
      </c>
      <c r="CM34" s="1144" t="s">
        <v>2870</v>
      </c>
      <c r="CN34" s="1144" t="s">
        <v>2882</v>
      </c>
      <c r="CO34" s="1144" t="s">
        <v>2882</v>
      </c>
      <c r="CP34" s="1144" t="s">
        <v>2883</v>
      </c>
      <c r="CQ34" s="1144" t="s">
        <v>2883</v>
      </c>
      <c r="CR34" s="1144" t="s">
        <v>2882</v>
      </c>
      <c r="CS34" s="1144" t="s">
        <v>2882</v>
      </c>
      <c r="CT34" s="1144" t="s">
        <v>2883</v>
      </c>
      <c r="CU34" s="1144" t="s">
        <v>2883</v>
      </c>
      <c r="CV34" s="1144" t="s">
        <v>2882</v>
      </c>
      <c r="CW34" s="1144" t="s">
        <v>2882</v>
      </c>
      <c r="CX34" s="1144" t="s">
        <v>2883</v>
      </c>
      <c r="CY34" s="1144" t="s">
        <v>2883</v>
      </c>
      <c r="CZ34" s="1144" t="s">
        <v>2882</v>
      </c>
      <c r="DA34" s="1144" t="s">
        <v>2882</v>
      </c>
      <c r="DB34" s="1144" t="s">
        <v>2883</v>
      </c>
      <c r="DC34" s="1144" t="s">
        <v>2883</v>
      </c>
      <c r="DD34" s="1144" t="s">
        <v>2881</v>
      </c>
      <c r="DE34" s="1144" t="s">
        <v>2881</v>
      </c>
      <c r="DF34" s="1144" t="s">
        <v>2881</v>
      </c>
      <c r="DG34" s="1144" t="s">
        <v>2881</v>
      </c>
      <c r="DH34" s="1144" t="s">
        <v>2881</v>
      </c>
      <c r="DI34" s="1144" t="s">
        <v>2881</v>
      </c>
      <c r="DJ34" s="1144" t="s">
        <v>2881</v>
      </c>
      <c r="DK34" s="1144" t="s">
        <v>2881</v>
      </c>
      <c r="DL34" s="1144" t="s">
        <v>2881</v>
      </c>
      <c r="DM34" s="1144" t="s">
        <v>2884</v>
      </c>
      <c r="DN34" s="1144" t="s">
        <v>2885</v>
      </c>
      <c r="DO34" s="1144" t="s">
        <v>2886</v>
      </c>
      <c r="DP34" s="1144" t="str">
        <f t="shared" si="3"/>
        <v>Not known</v>
      </c>
      <c r="DQ34" s="1144" t="str">
        <f t="shared" si="3"/>
        <v>Not known</v>
      </c>
      <c r="DR34" s="1144" t="str">
        <f t="shared" si="3"/>
        <v>Not known</v>
      </c>
      <c r="DS34" s="1145" t="s">
        <v>2819</v>
      </c>
      <c r="DT34" s="1145" t="s">
        <v>2887</v>
      </c>
      <c r="DU34" s="1144" t="s">
        <v>2888</v>
      </c>
      <c r="DV34" s="1145" t="s">
        <v>2889</v>
      </c>
      <c r="DW34" s="1144" t="s">
        <v>2890</v>
      </c>
      <c r="DX34" s="1145" t="s">
        <v>2891</v>
      </c>
      <c r="DY34" s="1144" t="s">
        <v>2892</v>
      </c>
      <c r="DZ34" s="1144" t="s">
        <v>2892</v>
      </c>
      <c r="EA34" s="1145" t="s">
        <v>2893</v>
      </c>
      <c r="EB34" s="1144" t="s">
        <v>2894</v>
      </c>
      <c r="EC34" s="1144" t="str">
        <f t="shared" ref="EC34:ED36" si="7">EB34</f>
        <v>not known</v>
      </c>
      <c r="ED34" s="1144" t="str">
        <f t="shared" si="7"/>
        <v>not known</v>
      </c>
      <c r="EE34" s="1144" t="s">
        <v>2895</v>
      </c>
      <c r="EF34" s="1144" t="str">
        <f>EE34</f>
        <v>14.8 MW planned for 2007</v>
      </c>
      <c r="EG34" s="1144" t="s">
        <v>2896</v>
      </c>
      <c r="EH34" s="1144" t="s">
        <v>2896</v>
      </c>
      <c r="EI34" s="1144" t="s">
        <v>2896</v>
      </c>
      <c r="EJ34" s="1144" t="s">
        <v>2897</v>
      </c>
      <c r="EK34" s="1144" t="s">
        <v>2897</v>
      </c>
      <c r="EL34" s="1144" t="s">
        <v>2898</v>
      </c>
      <c r="EM34" s="1144" t="s">
        <v>2899</v>
      </c>
      <c r="EN34" s="1144" t="s">
        <v>2860</v>
      </c>
      <c r="EO34" s="1144"/>
      <c r="EP34" s="1144"/>
      <c r="EQ34" s="1144"/>
      <c r="ER34" s="1144"/>
      <c r="ES34" s="1144"/>
      <c r="ET34" s="1144"/>
      <c r="EU34" s="1144"/>
      <c r="EV34" s="1144"/>
      <c r="EW34" s="1144"/>
      <c r="EX34" s="1144"/>
      <c r="EY34" s="1144"/>
      <c r="EZ34" s="1144"/>
      <c r="FA34" s="1144"/>
      <c r="FB34" s="1144" t="s">
        <v>2900</v>
      </c>
      <c r="FC34" s="1144" t="str">
        <f t="shared" ref="FC34:FI34" si="8">FB34</f>
        <v>Not known.</v>
      </c>
      <c r="FD34" s="1144" t="str">
        <f t="shared" si="8"/>
        <v>Not known.</v>
      </c>
      <c r="FE34" s="1144" t="str">
        <f t="shared" si="8"/>
        <v>Not known.</v>
      </c>
      <c r="FF34" s="1144" t="str">
        <f t="shared" si="8"/>
        <v>Not known.</v>
      </c>
      <c r="FG34" s="1144" t="str">
        <f t="shared" si="8"/>
        <v>Not known.</v>
      </c>
      <c r="FH34" s="1144" t="str">
        <f t="shared" si="8"/>
        <v>Not known.</v>
      </c>
      <c r="FI34" s="1144" t="str">
        <f t="shared" si="8"/>
        <v>Not known.</v>
      </c>
      <c r="FJ34" s="1144" t="s">
        <v>2900</v>
      </c>
      <c r="FK34" s="1144"/>
      <c r="FL34" s="1144"/>
      <c r="FM34" s="1144"/>
      <c r="FN34" s="1144"/>
      <c r="FO34" s="1144"/>
      <c r="FP34" s="1144"/>
      <c r="FQ34" s="1144"/>
      <c r="FR34" s="1144"/>
      <c r="FS34" s="1144"/>
      <c r="FT34" s="1145" t="s">
        <v>2860</v>
      </c>
      <c r="FU34" s="1145" t="s">
        <v>2860</v>
      </c>
      <c r="FV34" s="1145" t="s">
        <v>2860</v>
      </c>
      <c r="FW34" s="1144" t="s">
        <v>2860</v>
      </c>
      <c r="FX34" s="1144" t="s">
        <v>2860</v>
      </c>
      <c r="FY34" s="1144" t="s">
        <v>2860</v>
      </c>
      <c r="FZ34" s="1144" t="s">
        <v>2860</v>
      </c>
      <c r="GA34" s="1144" t="s">
        <v>2860</v>
      </c>
      <c r="GB34" s="1144" t="s">
        <v>2860</v>
      </c>
      <c r="GC34" s="1144" t="s">
        <v>2901</v>
      </c>
      <c r="GD34" s="1144" t="s">
        <v>2901</v>
      </c>
      <c r="GE34" s="1144" t="s">
        <v>2901</v>
      </c>
      <c r="GF34" s="1144" t="s">
        <v>2901</v>
      </c>
      <c r="GG34" s="1144" t="s">
        <v>2901</v>
      </c>
      <c r="GH34" s="1144" t="s">
        <v>2901</v>
      </c>
      <c r="GI34" s="1144" t="s">
        <v>2901</v>
      </c>
      <c r="GJ34" s="1144" t="s">
        <v>2901</v>
      </c>
      <c r="GK34" s="1144" t="s">
        <v>2901</v>
      </c>
      <c r="GL34" s="1144" t="s">
        <v>2901</v>
      </c>
      <c r="GM34" s="1144" t="s">
        <v>2901</v>
      </c>
      <c r="GN34" s="1144" t="s">
        <v>2901</v>
      </c>
      <c r="GO34" s="1144" t="s">
        <v>2860</v>
      </c>
      <c r="GP34" s="1144" t="s">
        <v>2860</v>
      </c>
      <c r="GQ34" s="1144" t="s">
        <v>2860</v>
      </c>
      <c r="GR34" s="1144" t="s">
        <v>2860</v>
      </c>
      <c r="GS34" s="1144" t="s">
        <v>2860</v>
      </c>
      <c r="GT34" s="1144" t="s">
        <v>2860</v>
      </c>
      <c r="GU34" s="1144" t="s">
        <v>2860</v>
      </c>
      <c r="GV34" s="1144" t="s">
        <v>2860</v>
      </c>
      <c r="GW34" s="1144" t="s">
        <v>2860</v>
      </c>
      <c r="GX34" s="1144" t="s">
        <v>2860</v>
      </c>
      <c r="GY34" s="1144" t="s">
        <v>2902</v>
      </c>
      <c r="GZ34" s="1144" t="s">
        <v>2902</v>
      </c>
      <c r="HA34" s="1144" t="s">
        <v>2902</v>
      </c>
      <c r="HB34" s="1144" t="s">
        <v>2902</v>
      </c>
      <c r="HC34" s="1144" t="s">
        <v>2902</v>
      </c>
      <c r="HD34" s="1144" t="s">
        <v>2902</v>
      </c>
      <c r="HE34" s="1144" t="s">
        <v>2902</v>
      </c>
      <c r="HF34" s="1144" t="s">
        <v>2902</v>
      </c>
      <c r="HG34" s="1144" t="s">
        <v>2902</v>
      </c>
      <c r="HH34" s="1144" t="s">
        <v>2902</v>
      </c>
      <c r="HI34" s="1144" t="s">
        <v>2902</v>
      </c>
      <c r="HJ34" s="1144" t="s">
        <v>2902</v>
      </c>
      <c r="HK34" s="1144" t="s">
        <v>2902</v>
      </c>
      <c r="HL34" s="1144" t="s">
        <v>2902</v>
      </c>
      <c r="HM34" s="1144" t="s">
        <v>2902</v>
      </c>
      <c r="HN34" s="1144" t="s">
        <v>2902</v>
      </c>
      <c r="HO34" s="1144" t="s">
        <v>2902</v>
      </c>
      <c r="HP34" s="1144" t="s">
        <v>2903</v>
      </c>
      <c r="HQ34" s="1144" t="s">
        <v>2903</v>
      </c>
      <c r="HR34" s="1144" t="s">
        <v>2903</v>
      </c>
      <c r="HS34" s="1144" t="s">
        <v>2903</v>
      </c>
      <c r="HT34" s="1144" t="s">
        <v>2903</v>
      </c>
      <c r="HU34" s="1144" t="s">
        <v>2903</v>
      </c>
      <c r="HV34" s="1144" t="s">
        <v>2903</v>
      </c>
      <c r="HW34" s="1144" t="s">
        <v>2903</v>
      </c>
      <c r="HX34" s="1144" t="s">
        <v>2903</v>
      </c>
      <c r="HY34" s="1144" t="s">
        <v>2903</v>
      </c>
      <c r="HZ34" s="1144" t="s">
        <v>2903</v>
      </c>
      <c r="IA34" s="1144" t="s">
        <v>2903</v>
      </c>
      <c r="IB34" s="1144" t="s">
        <v>2903</v>
      </c>
      <c r="IC34" s="1144" t="s">
        <v>2903</v>
      </c>
      <c r="ID34" s="1144" t="s">
        <v>2903</v>
      </c>
      <c r="IE34" s="1144" t="s">
        <v>2903</v>
      </c>
      <c r="IF34" s="1144" t="s">
        <v>2903</v>
      </c>
      <c r="IG34" s="1144" t="s">
        <v>2903</v>
      </c>
      <c r="IH34" s="1144" t="s">
        <v>2903</v>
      </c>
      <c r="II34" s="1144" t="s">
        <v>2903</v>
      </c>
      <c r="IJ34" s="1144" t="s">
        <v>2903</v>
      </c>
      <c r="IK34" s="1144" t="s">
        <v>2903</v>
      </c>
      <c r="IL34" s="1144" t="s">
        <v>2903</v>
      </c>
      <c r="IM34" s="1144" t="s">
        <v>2903</v>
      </c>
      <c r="IN34" s="1144" t="s">
        <v>2903</v>
      </c>
      <c r="IO34" s="1144" t="s">
        <v>2903</v>
      </c>
      <c r="IP34" s="1144" t="s">
        <v>2903</v>
      </c>
      <c r="IQ34" s="1144" t="s">
        <v>2903</v>
      </c>
      <c r="IR34" s="1144" t="s">
        <v>2903</v>
      </c>
      <c r="IS34" s="1144" t="s">
        <v>2903</v>
      </c>
      <c r="IT34" s="1144" t="s">
        <v>2903</v>
      </c>
      <c r="IU34" s="1144" t="s">
        <v>2903</v>
      </c>
      <c r="IV34" s="1144" t="s">
        <v>2860</v>
      </c>
      <c r="IW34" s="1144" t="s">
        <v>2904</v>
      </c>
      <c r="IX34" s="1144" t="s">
        <v>2905</v>
      </c>
      <c r="IY34" s="1144" t="s">
        <v>2860</v>
      </c>
      <c r="IZ34" s="1144" t="s">
        <v>2906</v>
      </c>
      <c r="JA34" s="1144"/>
      <c r="JB34" s="1144" t="s">
        <v>2860</v>
      </c>
      <c r="JC34" s="1144" t="s">
        <v>2860</v>
      </c>
      <c r="JD34" s="1146"/>
      <c r="JE34" s="1144" t="s">
        <v>2873</v>
      </c>
      <c r="JF34" s="1144" t="s">
        <v>2873</v>
      </c>
      <c r="JG34" s="1144" t="s">
        <v>2873</v>
      </c>
      <c r="JH34" s="1144" t="s">
        <v>2873</v>
      </c>
      <c r="JI34" s="1144"/>
      <c r="JJ34" s="1144"/>
      <c r="JK34" s="1144"/>
      <c r="JL34" s="1144" t="s">
        <v>2873</v>
      </c>
      <c r="JM34" s="1144" t="s">
        <v>2873</v>
      </c>
      <c r="JN34" s="1144" t="s">
        <v>2873</v>
      </c>
      <c r="JO34" s="1144" t="s">
        <v>2873</v>
      </c>
      <c r="JP34" s="1144"/>
      <c r="JQ34" s="1144"/>
      <c r="JR34" s="1144" t="s">
        <v>2907</v>
      </c>
      <c r="JS34" s="1144" t="s">
        <v>2907</v>
      </c>
      <c r="JT34" s="1144" t="s">
        <v>2907</v>
      </c>
      <c r="JU34" s="1144" t="s">
        <v>2907</v>
      </c>
      <c r="JV34" s="1144" t="s">
        <v>2907</v>
      </c>
      <c r="JW34" s="1144" t="s">
        <v>2907</v>
      </c>
      <c r="JX34" s="1144" t="s">
        <v>2907</v>
      </c>
      <c r="JY34" s="1144" t="s">
        <v>2907</v>
      </c>
      <c r="JZ34" s="1144"/>
      <c r="KA34" s="1144"/>
      <c r="KB34" s="1144"/>
      <c r="KC34" s="1144"/>
      <c r="KD34" s="1144"/>
      <c r="KE34" s="1144"/>
    </row>
    <row r="35" spans="1:291" ht="132" customHeight="1">
      <c r="A35" s="165"/>
      <c r="B35" s="83">
        <v>725</v>
      </c>
      <c r="C35" s="437" t="s">
        <v>2908</v>
      </c>
      <c r="D35" s="1144" t="s">
        <v>2909</v>
      </c>
      <c r="E35" s="1144" t="s">
        <v>2909</v>
      </c>
      <c r="F35" s="1144" t="s">
        <v>2909</v>
      </c>
      <c r="G35" s="1144" t="s">
        <v>2909</v>
      </c>
      <c r="H35" s="1144" t="s">
        <v>2910</v>
      </c>
      <c r="I35" s="1144" t="s">
        <v>2910</v>
      </c>
      <c r="J35" s="1144" t="s">
        <v>2910</v>
      </c>
      <c r="K35" s="1144" t="s">
        <v>2910</v>
      </c>
      <c r="L35" s="1144" t="s">
        <v>2910</v>
      </c>
      <c r="M35" s="1144" t="s">
        <v>2910</v>
      </c>
      <c r="N35" s="1144" t="s">
        <v>2910</v>
      </c>
      <c r="O35" s="1144" t="s">
        <v>2910</v>
      </c>
      <c r="P35" s="1144" t="s">
        <v>2910</v>
      </c>
      <c r="Q35" s="1144" t="s">
        <v>2910</v>
      </c>
      <c r="R35" s="1144" t="s">
        <v>2910</v>
      </c>
      <c r="S35" s="1144" t="s">
        <v>2910</v>
      </c>
      <c r="T35" s="1144" t="s">
        <v>2911</v>
      </c>
      <c r="U35" s="1144" t="s">
        <v>2911</v>
      </c>
      <c r="V35" s="1144" t="s">
        <v>2912</v>
      </c>
      <c r="W35" s="1144" t="s">
        <v>2912</v>
      </c>
      <c r="X35" s="1144" t="s">
        <v>2912</v>
      </c>
      <c r="Y35" s="1144" t="s">
        <v>2912</v>
      </c>
      <c r="Z35" s="1144" t="s">
        <v>2910</v>
      </c>
      <c r="AA35" s="1144" t="s">
        <v>2910</v>
      </c>
      <c r="AB35" s="1144" t="s">
        <v>2910</v>
      </c>
      <c r="AC35" s="1144" t="s">
        <v>2910</v>
      </c>
      <c r="AD35" s="1144" t="s">
        <v>2910</v>
      </c>
      <c r="AE35" s="1144" t="s">
        <v>2910</v>
      </c>
      <c r="AF35" s="1144" t="s">
        <v>2910</v>
      </c>
      <c r="AG35" s="1144" t="s">
        <v>2910</v>
      </c>
      <c r="AH35" s="1144" t="s">
        <v>2913</v>
      </c>
      <c r="AI35" s="1144" t="s">
        <v>2913</v>
      </c>
      <c r="AJ35" s="1144" t="s">
        <v>2913</v>
      </c>
      <c r="AK35" s="1144" t="s">
        <v>2913</v>
      </c>
      <c r="AL35" s="1144" t="s">
        <v>2910</v>
      </c>
      <c r="AM35" s="1144" t="s">
        <v>2910</v>
      </c>
      <c r="AN35" s="1144" t="s">
        <v>2910</v>
      </c>
      <c r="AO35" s="1144" t="s">
        <v>2910</v>
      </c>
      <c r="AP35" s="1144" t="s">
        <v>2910</v>
      </c>
      <c r="AQ35" s="1144" t="s">
        <v>2910</v>
      </c>
      <c r="AR35" s="1144" t="s">
        <v>2910</v>
      </c>
      <c r="AS35" s="1144" t="s">
        <v>2910</v>
      </c>
      <c r="AT35" s="1144" t="s">
        <v>2911</v>
      </c>
      <c r="AU35" s="1144" t="s">
        <v>2911</v>
      </c>
      <c r="AV35" s="1144" t="s">
        <v>2912</v>
      </c>
      <c r="AW35" s="1144" t="s">
        <v>2912</v>
      </c>
      <c r="AX35" s="1144" t="s">
        <v>2912</v>
      </c>
      <c r="AY35" s="1144" t="s">
        <v>2912</v>
      </c>
      <c r="AZ35" s="1144" t="s">
        <v>2912</v>
      </c>
      <c r="BA35" s="1144" t="s">
        <v>2912</v>
      </c>
      <c r="BB35" s="1144" t="s">
        <v>2914</v>
      </c>
      <c r="BC35" s="1144" t="s">
        <v>2914</v>
      </c>
      <c r="BD35" s="1144" t="s">
        <v>2914</v>
      </c>
      <c r="BE35" s="1144" t="s">
        <v>2914</v>
      </c>
      <c r="BF35" s="1144" t="s">
        <v>2911</v>
      </c>
      <c r="BG35" s="1144" t="s">
        <v>2911</v>
      </c>
      <c r="BH35" s="1144" t="s">
        <v>2912</v>
      </c>
      <c r="BI35" s="1144" t="s">
        <v>2912</v>
      </c>
      <c r="BJ35" s="1144" t="s">
        <v>2912</v>
      </c>
      <c r="BK35" s="1144" t="s">
        <v>2912</v>
      </c>
      <c r="BL35" s="1145" t="s">
        <v>2912</v>
      </c>
      <c r="BM35" s="1145" t="s">
        <v>2912</v>
      </c>
      <c r="BN35" s="1144" t="s">
        <v>2910</v>
      </c>
      <c r="BO35" s="1144" t="s">
        <v>2910</v>
      </c>
      <c r="BP35" s="1144" t="s">
        <v>2910</v>
      </c>
      <c r="BQ35" s="1144" t="s">
        <v>2910</v>
      </c>
      <c r="BR35" s="1144" t="s">
        <v>2910</v>
      </c>
      <c r="BS35" s="1144" t="s">
        <v>2910</v>
      </c>
      <c r="BT35" s="1144" t="s">
        <v>2910</v>
      </c>
      <c r="BU35" s="1144" t="s">
        <v>2910</v>
      </c>
      <c r="BV35" s="1144" t="s">
        <v>2911</v>
      </c>
      <c r="BW35" s="1144" t="s">
        <v>2911</v>
      </c>
      <c r="BX35" s="1144" t="s">
        <v>2915</v>
      </c>
      <c r="BY35" s="1144" t="s">
        <v>2915</v>
      </c>
      <c r="BZ35" s="1144" t="s">
        <v>2915</v>
      </c>
      <c r="CA35" s="1144" t="s">
        <v>2915</v>
      </c>
      <c r="CB35" s="1144" t="s">
        <v>2910</v>
      </c>
      <c r="CC35" s="1144" t="s">
        <v>2910</v>
      </c>
      <c r="CD35" s="1144" t="s">
        <v>2910</v>
      </c>
      <c r="CE35" s="1144" t="s">
        <v>2910</v>
      </c>
      <c r="CF35" s="1144" t="s">
        <v>2915</v>
      </c>
      <c r="CG35" s="1144" t="s">
        <v>2915</v>
      </c>
      <c r="CH35" s="1144" t="s">
        <v>2915</v>
      </c>
      <c r="CI35" s="1144" t="str">
        <f>$CA35</f>
        <v>Environmental reports, direct contacts with factory representatives and publication of plant data.</v>
      </c>
      <c r="CJ35" s="1144" t="s">
        <v>2911</v>
      </c>
      <c r="CK35" s="1144" t="s">
        <v>2911</v>
      </c>
      <c r="CL35" s="1144" t="s">
        <v>2911</v>
      </c>
      <c r="CM35" s="1144" t="s">
        <v>2911</v>
      </c>
      <c r="CN35" s="1144" t="s">
        <v>2910</v>
      </c>
      <c r="CO35" s="1144" t="s">
        <v>2910</v>
      </c>
      <c r="CP35" s="1144" t="s">
        <v>2910</v>
      </c>
      <c r="CQ35" s="1144" t="s">
        <v>2910</v>
      </c>
      <c r="CR35" s="1144" t="s">
        <v>2910</v>
      </c>
      <c r="CS35" s="1144" t="s">
        <v>2910</v>
      </c>
      <c r="CT35" s="1144" t="s">
        <v>2910</v>
      </c>
      <c r="CU35" s="1144" t="s">
        <v>2910</v>
      </c>
      <c r="CV35" s="1144" t="s">
        <v>2910</v>
      </c>
      <c r="CW35" s="1144" t="s">
        <v>2910</v>
      </c>
      <c r="CX35" s="1144" t="s">
        <v>2910</v>
      </c>
      <c r="CY35" s="1144" t="s">
        <v>2910</v>
      </c>
      <c r="CZ35" s="1144" t="s">
        <v>2910</v>
      </c>
      <c r="DA35" s="1144" t="s">
        <v>2910</v>
      </c>
      <c r="DB35" s="1144" t="s">
        <v>2910</v>
      </c>
      <c r="DC35" s="1144" t="s">
        <v>2910</v>
      </c>
      <c r="DD35" s="1144" t="s">
        <v>2912</v>
      </c>
      <c r="DE35" s="1144" t="s">
        <v>2912</v>
      </c>
      <c r="DF35" s="1144" t="s">
        <v>2912</v>
      </c>
      <c r="DG35" s="1144" t="s">
        <v>2912</v>
      </c>
      <c r="DH35" s="1144" t="s">
        <v>2912</v>
      </c>
      <c r="DI35" s="1144" t="s">
        <v>2912</v>
      </c>
      <c r="DJ35" s="1144" t="s">
        <v>2912</v>
      </c>
      <c r="DK35" s="1144" t="s">
        <v>2912</v>
      </c>
      <c r="DL35" s="1144" t="s">
        <v>2912</v>
      </c>
      <c r="DM35" s="1144" t="s">
        <v>2916</v>
      </c>
      <c r="DN35" s="1144" t="s">
        <v>2917</v>
      </c>
      <c r="DO35" s="1144" t="s">
        <v>2918</v>
      </c>
      <c r="DP35" s="1144" t="str">
        <f t="shared" si="3"/>
        <v>Publication of cumulative data.</v>
      </c>
      <c r="DQ35" s="1144" t="str">
        <f t="shared" si="3"/>
        <v>Publication of cumulative data.</v>
      </c>
      <c r="DR35" s="1144" t="str">
        <f t="shared" si="3"/>
        <v>Publication of cumulative data.</v>
      </c>
      <c r="DS35" s="1144" t="s">
        <v>2919</v>
      </c>
      <c r="DT35" s="1144" t="s">
        <v>2919</v>
      </c>
      <c r="DU35" s="1144" t="s">
        <v>785</v>
      </c>
      <c r="DV35" s="1144" t="s">
        <v>2919</v>
      </c>
      <c r="DW35" s="1144" t="s">
        <v>2920</v>
      </c>
      <c r="DX35" s="1144" t="s">
        <v>2919</v>
      </c>
      <c r="DY35" s="1144" t="s">
        <v>2921</v>
      </c>
      <c r="DZ35" s="1144" t="s">
        <v>2921</v>
      </c>
      <c r="EA35" s="1144" t="s">
        <v>2919</v>
      </c>
      <c r="EB35" s="1144" t="s">
        <v>2922</v>
      </c>
      <c r="EC35" s="1144" t="str">
        <f t="shared" si="7"/>
        <v>Chemical composition of typical pastes taken from Material Safety Data Sheets.</v>
      </c>
      <c r="ED35" s="1144" t="str">
        <f t="shared" si="7"/>
        <v>Chemical composition of typical pastes taken from Material Safety Data Sheets.</v>
      </c>
      <c r="EE35" s="1144" t="s">
        <v>2923</v>
      </c>
      <c r="EF35" s="1144" t="str">
        <f>EE35</f>
        <v>Literature data based on producer information.</v>
      </c>
      <c r="EG35" s="1144" t="s">
        <v>2924</v>
      </c>
      <c r="EH35" s="1144" t="s">
        <v>2924</v>
      </c>
      <c r="EI35" s="1144" t="s">
        <v>2924</v>
      </c>
      <c r="EJ35" s="1144" t="s">
        <v>2924</v>
      </c>
      <c r="EK35" s="1144" t="s">
        <v>2924</v>
      </c>
      <c r="EL35" s="1144" t="s">
        <v>2924</v>
      </c>
      <c r="EM35" s="1144" t="s">
        <v>2924</v>
      </c>
      <c r="EN35" s="1144" t="s">
        <v>2860</v>
      </c>
      <c r="EO35" s="1144" t="s">
        <v>2925</v>
      </c>
      <c r="EP35" s="1144" t="s">
        <v>2925</v>
      </c>
      <c r="EQ35" s="1144" t="s">
        <v>2913</v>
      </c>
      <c r="ER35" s="1144" t="s">
        <v>2913</v>
      </c>
      <c r="ES35" s="1144" t="s">
        <v>2913</v>
      </c>
      <c r="ET35" s="1144" t="s">
        <v>2913</v>
      </c>
      <c r="EU35" s="1144" t="s">
        <v>2913</v>
      </c>
      <c r="EV35" s="1144" t="s">
        <v>2913</v>
      </c>
      <c r="EW35" s="1144" t="s">
        <v>2913</v>
      </c>
      <c r="EX35" s="1144" t="s">
        <v>2913</v>
      </c>
      <c r="EY35" s="1144" t="s">
        <v>2913</v>
      </c>
      <c r="EZ35" s="1144" t="s">
        <v>2913</v>
      </c>
      <c r="FA35" s="1144" t="s">
        <v>2913</v>
      </c>
      <c r="FB35" s="1144" t="s">
        <v>2926</v>
      </c>
      <c r="FC35" s="1144" t="str">
        <f t="shared" ref="FC35:FF36" si="9">FB35</f>
        <v>Detailed analysis of materials for one product in a diploma thesis.</v>
      </c>
      <c r="FD35" s="1144" t="str">
        <f t="shared" si="9"/>
        <v>Detailed analysis of materials for one product in a diploma thesis.</v>
      </c>
      <c r="FE35" s="1144" t="str">
        <f t="shared" si="9"/>
        <v>Detailed analysis of materials for one product in a diploma thesis.</v>
      </c>
      <c r="FF35" s="1144" t="str">
        <f t="shared" si="9"/>
        <v>Detailed analysis of materials for one product in a diploma thesis.</v>
      </c>
      <c r="FG35" s="1144" t="s">
        <v>2927</v>
      </c>
      <c r="FH35" s="1144" t="s">
        <v>2928</v>
      </c>
      <c r="FI35" s="1144" t="s">
        <v>2929</v>
      </c>
      <c r="FJ35" s="1144" t="s">
        <v>2926</v>
      </c>
      <c r="FK35" s="1144" t="s">
        <v>2860</v>
      </c>
      <c r="FL35" s="1144" t="s">
        <v>2860</v>
      </c>
      <c r="FM35" s="1144" t="s">
        <v>2860</v>
      </c>
      <c r="FN35" s="1144" t="s">
        <v>2860</v>
      </c>
      <c r="FO35" s="1144" t="s">
        <v>2860</v>
      </c>
      <c r="FP35" s="1144" t="s">
        <v>2860</v>
      </c>
      <c r="FQ35" s="1144" t="s">
        <v>2860</v>
      </c>
      <c r="FR35" s="1144" t="s">
        <v>2860</v>
      </c>
      <c r="FS35" s="1144" t="s">
        <v>2930</v>
      </c>
      <c r="FT35" s="1145" t="s">
        <v>2931</v>
      </c>
      <c r="FU35" s="1145" t="s">
        <v>2932</v>
      </c>
      <c r="FV35" s="1145" t="s">
        <v>2932</v>
      </c>
      <c r="FW35" s="1144" t="s">
        <v>2933</v>
      </c>
      <c r="FX35" s="1144" t="s">
        <v>2933</v>
      </c>
      <c r="FY35" s="1144" t="s">
        <v>2934</v>
      </c>
      <c r="FZ35" s="1144" t="s">
        <v>2934</v>
      </c>
      <c r="GA35" s="1144" t="s">
        <v>2934</v>
      </c>
      <c r="GB35" s="1144" t="s">
        <v>2934</v>
      </c>
      <c r="GC35" s="1144" t="s">
        <v>2935</v>
      </c>
      <c r="GD35" s="1144" t="s">
        <v>2935</v>
      </c>
      <c r="GE35" s="1144" t="s">
        <v>2935</v>
      </c>
      <c r="GF35" s="1144" t="s">
        <v>2935</v>
      </c>
      <c r="GG35" s="1144" t="s">
        <v>2935</v>
      </c>
      <c r="GH35" s="1144" t="s">
        <v>2935</v>
      </c>
      <c r="GI35" s="1144" t="s">
        <v>2935</v>
      </c>
      <c r="GJ35" s="1144" t="s">
        <v>2935</v>
      </c>
      <c r="GK35" s="1144" t="s">
        <v>2935</v>
      </c>
      <c r="GL35" s="1144" t="s">
        <v>2935</v>
      </c>
      <c r="GM35" s="1144" t="s">
        <v>2935</v>
      </c>
      <c r="GN35" s="1144" t="s">
        <v>2935</v>
      </c>
      <c r="GO35" s="1144" t="s">
        <v>2935</v>
      </c>
      <c r="GP35" s="1144" t="s">
        <v>2935</v>
      </c>
      <c r="GQ35" s="1144" t="s">
        <v>2935</v>
      </c>
      <c r="GR35" s="1144" t="s">
        <v>2935</v>
      </c>
      <c r="GS35" s="1144" t="s">
        <v>2935</v>
      </c>
      <c r="GT35" s="1144" t="s">
        <v>2935</v>
      </c>
      <c r="GU35" s="1144" t="s">
        <v>2935</v>
      </c>
      <c r="GV35" s="1144" t="s">
        <v>2935</v>
      </c>
      <c r="GW35" s="1144" t="s">
        <v>2935</v>
      </c>
      <c r="GX35" s="1144" t="s">
        <v>2935</v>
      </c>
      <c r="GY35" s="1144" t="s">
        <v>2935</v>
      </c>
      <c r="GZ35" s="1144" t="s">
        <v>2935</v>
      </c>
      <c r="HA35" s="1144" t="s">
        <v>2935</v>
      </c>
      <c r="HB35" s="1144" t="s">
        <v>2936</v>
      </c>
      <c r="HC35" s="1144" t="s">
        <v>2936</v>
      </c>
      <c r="HD35" s="1144" t="s">
        <v>2936</v>
      </c>
      <c r="HE35" s="1144" t="s">
        <v>2936</v>
      </c>
      <c r="HF35" s="1144" t="s">
        <v>2936</v>
      </c>
      <c r="HG35" s="1144" t="s">
        <v>2936</v>
      </c>
      <c r="HH35" s="1144" t="s">
        <v>2936</v>
      </c>
      <c r="HI35" s="1144" t="s">
        <v>2936</v>
      </c>
      <c r="HJ35" s="1144" t="s">
        <v>2936</v>
      </c>
      <c r="HK35" s="1144" t="s">
        <v>2936</v>
      </c>
      <c r="HL35" s="1144" t="s">
        <v>2936</v>
      </c>
      <c r="HM35" s="1144" t="s">
        <v>2936</v>
      </c>
      <c r="HN35" s="1144" t="s">
        <v>2936</v>
      </c>
      <c r="HO35" s="1144" t="s">
        <v>2936</v>
      </c>
      <c r="HP35" s="1144" t="s">
        <v>2937</v>
      </c>
      <c r="HQ35" s="1144" t="str">
        <f t="shared" ref="HQ35:IU35" si="10">HP35</f>
        <v>Statistical data and model calculations</v>
      </c>
      <c r="HR35" s="1144" t="str">
        <f t="shared" si="10"/>
        <v>Statistical data and model calculations</v>
      </c>
      <c r="HS35" s="1144" t="str">
        <f t="shared" si="10"/>
        <v>Statistical data and model calculations</v>
      </c>
      <c r="HT35" s="1144" t="str">
        <f t="shared" si="10"/>
        <v>Statistical data and model calculations</v>
      </c>
      <c r="HU35" s="1144" t="str">
        <f t="shared" si="10"/>
        <v>Statistical data and model calculations</v>
      </c>
      <c r="HV35" s="1144" t="str">
        <f t="shared" si="10"/>
        <v>Statistical data and model calculations</v>
      </c>
      <c r="HW35" s="1144" t="str">
        <f t="shared" si="10"/>
        <v>Statistical data and model calculations</v>
      </c>
      <c r="HX35" s="1144" t="str">
        <f t="shared" si="10"/>
        <v>Statistical data and model calculations</v>
      </c>
      <c r="HY35" s="1144" t="str">
        <f t="shared" si="10"/>
        <v>Statistical data and model calculations</v>
      </c>
      <c r="HZ35" s="1144" t="str">
        <f t="shared" si="10"/>
        <v>Statistical data and model calculations</v>
      </c>
      <c r="IA35" s="1144" t="str">
        <f t="shared" si="10"/>
        <v>Statistical data and model calculations</v>
      </c>
      <c r="IB35" s="1144" t="str">
        <f t="shared" si="10"/>
        <v>Statistical data and model calculations</v>
      </c>
      <c r="IC35" s="1144" t="str">
        <f t="shared" si="10"/>
        <v>Statistical data and model calculations</v>
      </c>
      <c r="ID35" s="1144" t="str">
        <f t="shared" si="10"/>
        <v>Statistical data and model calculations</v>
      </c>
      <c r="IE35" s="1144" t="str">
        <f t="shared" si="10"/>
        <v>Statistical data and model calculations</v>
      </c>
      <c r="IF35" s="1144" t="str">
        <f t="shared" si="10"/>
        <v>Statistical data and model calculations</v>
      </c>
      <c r="IG35" s="1144" t="str">
        <f t="shared" si="10"/>
        <v>Statistical data and model calculations</v>
      </c>
      <c r="IH35" s="1144" t="str">
        <f t="shared" si="10"/>
        <v>Statistical data and model calculations</v>
      </c>
      <c r="II35" s="1144" t="str">
        <f t="shared" si="10"/>
        <v>Statistical data and model calculations</v>
      </c>
      <c r="IJ35" s="1144" t="str">
        <f t="shared" si="10"/>
        <v>Statistical data and model calculations</v>
      </c>
      <c r="IK35" s="1144" t="str">
        <f t="shared" si="10"/>
        <v>Statistical data and model calculations</v>
      </c>
      <c r="IL35" s="1144" t="str">
        <f t="shared" si="10"/>
        <v>Statistical data and model calculations</v>
      </c>
      <c r="IM35" s="1144" t="str">
        <f t="shared" si="10"/>
        <v>Statistical data and model calculations</v>
      </c>
      <c r="IN35" s="1144" t="str">
        <f t="shared" si="10"/>
        <v>Statistical data and model calculations</v>
      </c>
      <c r="IO35" s="1144" t="str">
        <f t="shared" si="10"/>
        <v>Statistical data and model calculations</v>
      </c>
      <c r="IP35" s="1144" t="str">
        <f t="shared" si="10"/>
        <v>Statistical data and model calculations</v>
      </c>
      <c r="IQ35" s="1144" t="str">
        <f t="shared" si="10"/>
        <v>Statistical data and model calculations</v>
      </c>
      <c r="IR35" s="1144" t="str">
        <f t="shared" si="10"/>
        <v>Statistical data and model calculations</v>
      </c>
      <c r="IS35" s="1144" t="str">
        <f t="shared" si="10"/>
        <v>Statistical data and model calculations</v>
      </c>
      <c r="IT35" s="1144" t="str">
        <f t="shared" si="10"/>
        <v>Statistical data and model calculations</v>
      </c>
      <c r="IU35" s="1144" t="str">
        <f t="shared" si="10"/>
        <v>Statistical data and model calculations</v>
      </c>
      <c r="IV35" s="1144" t="s">
        <v>2938</v>
      </c>
      <c r="IW35" s="1144" t="s">
        <v>2938</v>
      </c>
      <c r="IX35" s="1144" t="s">
        <v>2938</v>
      </c>
      <c r="IY35" s="1144" t="s">
        <v>2913</v>
      </c>
      <c r="IZ35" s="1144" t="s">
        <v>2939</v>
      </c>
      <c r="JA35" s="1144"/>
      <c r="JB35" s="1144" t="s">
        <v>2938</v>
      </c>
      <c r="JC35" s="1144" t="s">
        <v>2861</v>
      </c>
      <c r="JD35" s="1146"/>
      <c r="JE35" s="1144" t="s">
        <v>2940</v>
      </c>
      <c r="JF35" s="1144" t="s">
        <v>2940</v>
      </c>
      <c r="JG35" s="1144" t="s">
        <v>2940</v>
      </c>
      <c r="JH35" s="1144" t="s">
        <v>2940</v>
      </c>
      <c r="JI35" s="1144" t="s">
        <v>2941</v>
      </c>
      <c r="JJ35" s="1144" t="s">
        <v>2941</v>
      </c>
      <c r="JK35" s="1144" t="s">
        <v>2941</v>
      </c>
      <c r="JL35" s="1144" t="s">
        <v>2942</v>
      </c>
      <c r="JM35" s="1144" t="s">
        <v>2942</v>
      </c>
      <c r="JN35" s="1144" t="s">
        <v>2942</v>
      </c>
      <c r="JO35" s="1144" t="s">
        <v>3249</v>
      </c>
      <c r="JP35" s="1144" t="s">
        <v>2941</v>
      </c>
      <c r="JQ35" s="1144" t="s">
        <v>2941</v>
      </c>
      <c r="JR35" s="1144" t="str">
        <f>$CA35</f>
        <v>Environmental reports, direct contacts with factory representatives and publication of plant data.</v>
      </c>
      <c r="JS35" s="1144" t="str">
        <f>$CA35</f>
        <v>Environmental reports, direct contacts with factory representatives and publication of plant data.</v>
      </c>
      <c r="JT35" s="1144" t="str">
        <f>$CA35</f>
        <v>Environmental reports, direct contacts with factory representatives and publication of plant data.</v>
      </c>
      <c r="JU35" s="1144" t="str">
        <f>$CA35</f>
        <v>Environmental reports, direct contacts with factory representatives and publication of plant data.</v>
      </c>
      <c r="JV35" s="1144" t="s">
        <v>2915</v>
      </c>
      <c r="JW35" s="1144" t="s">
        <v>2915</v>
      </c>
      <c r="JX35" s="1144" t="s">
        <v>2915</v>
      </c>
      <c r="JY35" s="1144" t="str">
        <f>$CA35</f>
        <v>Environmental reports, direct contacts with factory representatives and publication of plant data.</v>
      </c>
      <c r="JZ35" s="1144" t="s">
        <v>2941</v>
      </c>
      <c r="KA35" s="1144" t="s">
        <v>2941</v>
      </c>
      <c r="KB35" s="1144" t="s">
        <v>2941</v>
      </c>
      <c r="KC35" s="1144" t="s">
        <v>2941</v>
      </c>
      <c r="KD35" s="1144" t="s">
        <v>2941</v>
      </c>
      <c r="KE35" s="1144" t="s">
        <v>2941</v>
      </c>
    </row>
    <row r="36" spans="1:291" ht="120" customHeight="1">
      <c r="A36" s="165"/>
      <c r="B36" s="83">
        <v>726</v>
      </c>
      <c r="C36" s="437" t="s">
        <v>2943</v>
      </c>
      <c r="D36" s="1144" t="s">
        <v>2944</v>
      </c>
      <c r="E36" s="1144" t="s">
        <v>2945</v>
      </c>
      <c r="F36" s="1144" t="s">
        <v>2946</v>
      </c>
      <c r="G36" s="1144" t="s">
        <v>2947</v>
      </c>
      <c r="H36" s="1144" t="s">
        <v>2948</v>
      </c>
      <c r="I36" s="1144" t="s">
        <v>2948</v>
      </c>
      <c r="J36" s="1144" t="s">
        <v>2948</v>
      </c>
      <c r="K36" s="1144" t="s">
        <v>2948</v>
      </c>
      <c r="L36" s="1144"/>
      <c r="M36" s="1144"/>
      <c r="N36" s="1144"/>
      <c r="O36" s="1144"/>
      <c r="P36" s="1144"/>
      <c r="Q36" s="1144"/>
      <c r="R36" s="1144"/>
      <c r="S36" s="1144"/>
      <c r="T36" s="1145" t="s">
        <v>2948</v>
      </c>
      <c r="U36" s="1145" t="s">
        <v>2948</v>
      </c>
      <c r="V36" s="1144" t="s">
        <v>2819</v>
      </c>
      <c r="W36" s="1144" t="s">
        <v>2819</v>
      </c>
      <c r="X36" s="1144" t="s">
        <v>2819</v>
      </c>
      <c r="Y36" s="1144" t="s">
        <v>2819</v>
      </c>
      <c r="Z36" s="1144" t="s">
        <v>2819</v>
      </c>
      <c r="AA36" s="1144" t="s">
        <v>2819</v>
      </c>
      <c r="AB36" s="1144" t="s">
        <v>2819</v>
      </c>
      <c r="AC36" s="1144" t="s">
        <v>2819</v>
      </c>
      <c r="AD36" s="1144" t="s">
        <v>2819</v>
      </c>
      <c r="AE36" s="1144" t="s">
        <v>2819</v>
      </c>
      <c r="AF36" s="1144" t="s">
        <v>2819</v>
      </c>
      <c r="AG36" s="1144" t="s">
        <v>2819</v>
      </c>
      <c r="AH36" s="1144" t="s">
        <v>2819</v>
      </c>
      <c r="AI36" s="1144" t="s">
        <v>2949</v>
      </c>
      <c r="AJ36" s="1144" t="s">
        <v>2949</v>
      </c>
      <c r="AK36" s="1144" t="s">
        <v>2949</v>
      </c>
      <c r="AL36" s="1144" t="s">
        <v>2950</v>
      </c>
      <c r="AM36" s="1144" t="s">
        <v>2950</v>
      </c>
      <c r="AN36" s="1144" t="s">
        <v>2950</v>
      </c>
      <c r="AO36" s="1144" t="s">
        <v>2950</v>
      </c>
      <c r="AP36" s="1144" t="s">
        <v>2950</v>
      </c>
      <c r="AQ36" s="1144" t="s">
        <v>2950</v>
      </c>
      <c r="AR36" s="1144" t="s">
        <v>2950</v>
      </c>
      <c r="AS36" s="1144" t="s">
        <v>2950</v>
      </c>
      <c r="AT36" s="1144" t="s">
        <v>2819</v>
      </c>
      <c r="AU36" s="1144" t="s">
        <v>2951</v>
      </c>
      <c r="AV36" s="1144" t="s">
        <v>2819</v>
      </c>
      <c r="AW36" s="1144" t="s">
        <v>2819</v>
      </c>
      <c r="AX36" s="1144" t="s">
        <v>2819</v>
      </c>
      <c r="AY36" s="1144" t="s">
        <v>2819</v>
      </c>
      <c r="AZ36" s="1144" t="s">
        <v>2819</v>
      </c>
      <c r="BA36" s="1144" t="s">
        <v>2819</v>
      </c>
      <c r="BB36" s="1144" t="s">
        <v>2952</v>
      </c>
      <c r="BC36" s="1144" t="s">
        <v>2952</v>
      </c>
      <c r="BD36" s="1144" t="s">
        <v>2952</v>
      </c>
      <c r="BE36" s="1144" t="s">
        <v>2953</v>
      </c>
      <c r="BF36" s="1144" t="s">
        <v>2819</v>
      </c>
      <c r="BG36" s="1144" t="s">
        <v>2954</v>
      </c>
      <c r="BH36" s="1144" t="s">
        <v>2819</v>
      </c>
      <c r="BI36" s="1144" t="s">
        <v>2819</v>
      </c>
      <c r="BJ36" s="1144" t="s">
        <v>2819</v>
      </c>
      <c r="BK36" s="1144" t="s">
        <v>2819</v>
      </c>
      <c r="BL36" s="1145" t="s">
        <v>2819</v>
      </c>
      <c r="BM36" s="1145" t="s">
        <v>2819</v>
      </c>
      <c r="BN36" s="1144" t="s">
        <v>2819</v>
      </c>
      <c r="BO36" s="1144" t="s">
        <v>2819</v>
      </c>
      <c r="BP36" s="1144" t="s">
        <v>2819</v>
      </c>
      <c r="BQ36" s="1144" t="s">
        <v>2819</v>
      </c>
      <c r="BR36" s="1144" t="s">
        <v>2819</v>
      </c>
      <c r="BS36" s="1144" t="s">
        <v>2819</v>
      </c>
      <c r="BT36" s="1144" t="s">
        <v>2819</v>
      </c>
      <c r="BU36" s="1144" t="s">
        <v>2819</v>
      </c>
      <c r="BV36" s="1144" t="s">
        <v>2819</v>
      </c>
      <c r="BW36" s="1144" t="s">
        <v>2951</v>
      </c>
      <c r="BX36" s="1144" t="s">
        <v>2955</v>
      </c>
      <c r="BY36" s="1144" t="s">
        <v>2955</v>
      </c>
      <c r="BZ36" s="1144" t="s">
        <v>2955</v>
      </c>
      <c r="CA36" s="1144" t="s">
        <v>2956</v>
      </c>
      <c r="CB36" s="1144" t="s">
        <v>2957</v>
      </c>
      <c r="CC36" s="1144" t="s">
        <v>2957</v>
      </c>
      <c r="CD36" s="1144" t="s">
        <v>2957</v>
      </c>
      <c r="CE36" s="1144" t="s">
        <v>2957</v>
      </c>
      <c r="CF36" s="1144" t="s">
        <v>2958</v>
      </c>
      <c r="CG36" s="1144" t="s">
        <v>2958</v>
      </c>
      <c r="CH36" s="1144" t="s">
        <v>2958</v>
      </c>
      <c r="CI36" s="1144" t="s">
        <v>2819</v>
      </c>
      <c r="CJ36" s="1144" t="s">
        <v>2819</v>
      </c>
      <c r="CK36" s="1144" t="s">
        <v>2959</v>
      </c>
      <c r="CL36" s="1144" t="s">
        <v>2819</v>
      </c>
      <c r="CM36" s="1144" t="s">
        <v>2959</v>
      </c>
      <c r="CN36" s="1144" t="s">
        <v>2819</v>
      </c>
      <c r="CO36" s="1144" t="s">
        <v>2819</v>
      </c>
      <c r="CP36" s="1144" t="s">
        <v>2819</v>
      </c>
      <c r="CQ36" s="1144" t="s">
        <v>2819</v>
      </c>
      <c r="CR36" s="1144" t="s">
        <v>2819</v>
      </c>
      <c r="CS36" s="1144" t="s">
        <v>2819</v>
      </c>
      <c r="CT36" s="1144" t="s">
        <v>2819</v>
      </c>
      <c r="CU36" s="1144" t="s">
        <v>2819</v>
      </c>
      <c r="CV36" s="1144" t="s">
        <v>2819</v>
      </c>
      <c r="CW36" s="1144" t="s">
        <v>2819</v>
      </c>
      <c r="CX36" s="1144" t="s">
        <v>2819</v>
      </c>
      <c r="CY36" s="1144" t="s">
        <v>2819</v>
      </c>
      <c r="CZ36" s="1144" t="s">
        <v>2819</v>
      </c>
      <c r="DA36" s="1144" t="s">
        <v>2819</v>
      </c>
      <c r="DB36" s="1144" t="s">
        <v>2819</v>
      </c>
      <c r="DC36" s="1144" t="s">
        <v>2819</v>
      </c>
      <c r="DD36" s="1144" t="s">
        <v>2819</v>
      </c>
      <c r="DE36" s="1144" t="s">
        <v>2819</v>
      </c>
      <c r="DF36" s="1144" t="s">
        <v>2819</v>
      </c>
      <c r="DG36" s="1144" t="s">
        <v>2819</v>
      </c>
      <c r="DH36" s="1144" t="s">
        <v>2819</v>
      </c>
      <c r="DI36" s="1144" t="s">
        <v>2819</v>
      </c>
      <c r="DJ36" s="1144" t="s">
        <v>2819</v>
      </c>
      <c r="DK36" s="1144" t="s">
        <v>2819</v>
      </c>
      <c r="DL36" s="1144" t="s">
        <v>2819</v>
      </c>
      <c r="DM36" s="1144" t="s">
        <v>2950</v>
      </c>
      <c r="DN36" s="1144" t="s">
        <v>2960</v>
      </c>
      <c r="DO36" s="1144" t="s">
        <v>2961</v>
      </c>
      <c r="DP36" s="1144" t="str">
        <f t="shared" si="3"/>
        <v>Desaggregation of published cumulative results for global warming potential and cumulative energy demand.</v>
      </c>
      <c r="DQ36" s="1144" t="str">
        <f t="shared" si="3"/>
        <v>Desaggregation of published cumulative results for global warming potential and cumulative energy demand.</v>
      </c>
      <c r="DR36" s="1144" t="str">
        <f t="shared" si="3"/>
        <v>Desaggregation of published cumulative results for global warming potential and cumulative energy demand.</v>
      </c>
      <c r="DS36" s="1145" t="s">
        <v>2950</v>
      </c>
      <c r="DT36" s="1145" t="s">
        <v>2950</v>
      </c>
      <c r="DU36" s="1144" t="s">
        <v>2962</v>
      </c>
      <c r="DV36" s="1145" t="s">
        <v>2950</v>
      </c>
      <c r="DW36" s="1144" t="s">
        <v>2950</v>
      </c>
      <c r="DX36" s="1145" t="s">
        <v>2950</v>
      </c>
      <c r="DY36" s="1144" t="s">
        <v>2950</v>
      </c>
      <c r="DZ36" s="1144" t="s">
        <v>2950</v>
      </c>
      <c r="EA36" s="1145" t="s">
        <v>2950</v>
      </c>
      <c r="EB36" s="1144" t="s">
        <v>2963</v>
      </c>
      <c r="EC36" s="1144" t="str">
        <f t="shared" si="7"/>
        <v>Other data investigated with information from solder production.</v>
      </c>
      <c r="ED36" s="1144" t="str">
        <f t="shared" si="7"/>
        <v>Other data investigated with information from solder production.</v>
      </c>
      <c r="EE36" s="1144" t="s">
        <v>2964</v>
      </c>
      <c r="EF36" s="1144" t="s">
        <v>2950</v>
      </c>
      <c r="EG36" s="1144" t="s">
        <v>2819</v>
      </c>
      <c r="EH36" s="1144" t="s">
        <v>2819</v>
      </c>
      <c r="EI36" s="1144" t="s">
        <v>2819</v>
      </c>
      <c r="EJ36" s="1144" t="s">
        <v>2819</v>
      </c>
      <c r="EK36" s="1144" t="s">
        <v>2819</v>
      </c>
      <c r="EL36" s="1144" t="s">
        <v>2819</v>
      </c>
      <c r="EM36" s="1144" t="s">
        <v>2819</v>
      </c>
      <c r="EN36" s="1144" t="s">
        <v>2950</v>
      </c>
      <c r="EO36" s="1144" t="s">
        <v>2965</v>
      </c>
      <c r="EP36" s="1144" t="s">
        <v>2965</v>
      </c>
      <c r="EQ36" s="1144" t="s">
        <v>2965</v>
      </c>
      <c r="ER36" s="1144" t="s">
        <v>2965</v>
      </c>
      <c r="ES36" s="1144" t="s">
        <v>2965</v>
      </c>
      <c r="ET36" s="1144" t="s">
        <v>2965</v>
      </c>
      <c r="EU36" s="1144" t="s">
        <v>2965</v>
      </c>
      <c r="EV36" s="1144" t="s">
        <v>2965</v>
      </c>
      <c r="EW36" s="1144" t="s">
        <v>2965</v>
      </c>
      <c r="EX36" s="1144" t="s">
        <v>2965</v>
      </c>
      <c r="EY36" s="1144" t="s">
        <v>2965</v>
      </c>
      <c r="EZ36" s="1144" t="s">
        <v>2965</v>
      </c>
      <c r="FA36" s="1144" t="s">
        <v>2965</v>
      </c>
      <c r="FB36" s="1144" t="s">
        <v>2966</v>
      </c>
      <c r="FC36" s="1144" t="str">
        <f t="shared" si="9"/>
        <v>From one product to the whole market. Correction factor applied to correct for today average weight per m2.</v>
      </c>
      <c r="FD36" s="1144" t="str">
        <f t="shared" si="9"/>
        <v>From one product to the whole market. Correction factor applied to correct for today average weight per m2.</v>
      </c>
      <c r="FE36" s="1144" t="str">
        <f t="shared" si="9"/>
        <v>From one product to the whole market. Correction factor applied to correct for today average weight per m2.</v>
      </c>
      <c r="FF36" s="1144" t="str">
        <f t="shared" si="9"/>
        <v>From one product to the whole market. Correction factor applied to correct for today average weight per m2.</v>
      </c>
      <c r="FG36" s="1144" t="s">
        <v>2967</v>
      </c>
      <c r="FH36" s="1144" t="s">
        <v>2950</v>
      </c>
      <c r="FI36" s="1144" t="s">
        <v>2950</v>
      </c>
      <c r="FJ36" s="1144" t="s">
        <v>2950</v>
      </c>
      <c r="FK36" s="1144" t="s">
        <v>2968</v>
      </c>
      <c r="FL36" s="1144" t="str">
        <f t="shared" ref="FL36:FR36" si="11">$D36</f>
        <v>Air emissions of different pollutants are extrapolated from environmental reports. Extrapolation of European LCI inventory data by changing the consumed electricity mix to the Chinese electricity mix.</v>
      </c>
      <c r="FM36" s="1144" t="str">
        <f t="shared" si="11"/>
        <v>Air emissions of different pollutants are extrapolated from environmental reports. Extrapolation of European LCI inventory data by changing the consumed electricity mix to the Chinese electricity mix.</v>
      </c>
      <c r="FN36" s="1144" t="str">
        <f t="shared" si="11"/>
        <v>Air emissions of different pollutants are extrapolated from environmental reports. Extrapolation of European LCI inventory data by changing the consumed electricity mix to the Chinese electricity mix.</v>
      </c>
      <c r="FO36" s="1144" t="str">
        <f t="shared" si="11"/>
        <v>Air emissions of different pollutants are extrapolated from environmental reports. Extrapolation of European LCI inventory data by changing the consumed electricity mix to the Chinese electricity mix.</v>
      </c>
      <c r="FP36" s="1144" t="str">
        <f t="shared" si="11"/>
        <v>Air emissions of different pollutants are extrapolated from environmental reports. Extrapolation of European LCI inventory data by changing the consumed electricity mix to the Chinese electricity mix.</v>
      </c>
      <c r="FQ36" s="1144" t="str">
        <f t="shared" si="11"/>
        <v>Air emissions of different pollutants are extrapolated from environmental reports. Extrapolation of European LCI inventory data by changing the consumed electricity mix to the Chinese electricity mix.</v>
      </c>
      <c r="FR36" s="1144" t="str">
        <f t="shared" si="11"/>
        <v>Air emissions of different pollutants are extrapolated from environmental reports. Extrapolation of European LCI inventory data by changing the consumed electricity mix to the Chinese electricity mix.</v>
      </c>
      <c r="FS36" s="1144" t="s">
        <v>2950</v>
      </c>
      <c r="FT36" s="1145" t="s">
        <v>2969</v>
      </c>
      <c r="FU36" s="1145" t="s">
        <v>2970</v>
      </c>
      <c r="FV36" s="1145" t="s">
        <v>2970</v>
      </c>
      <c r="FW36" s="1144" t="s">
        <v>2950</v>
      </c>
      <c r="FX36" s="1144" t="s">
        <v>2950</v>
      </c>
      <c r="FY36" s="1144" t="s">
        <v>2971</v>
      </c>
      <c r="FZ36" s="1144" t="s">
        <v>2972</v>
      </c>
      <c r="GA36" s="1144" t="s">
        <v>2973</v>
      </c>
      <c r="GB36" s="1144" t="s">
        <v>2974</v>
      </c>
      <c r="GC36" s="1144" t="s">
        <v>2975</v>
      </c>
      <c r="GD36" s="1144" t="s">
        <v>2975</v>
      </c>
      <c r="GE36" s="1144" t="s">
        <v>2975</v>
      </c>
      <c r="GF36" s="1144" t="s">
        <v>2975</v>
      </c>
      <c r="GG36" s="1144" t="s">
        <v>2975</v>
      </c>
      <c r="GH36" s="1144" t="s">
        <v>2975</v>
      </c>
      <c r="GI36" s="1144" t="s">
        <v>2975</v>
      </c>
      <c r="GJ36" s="1144" t="s">
        <v>2975</v>
      </c>
      <c r="GK36" s="1144" t="s">
        <v>2975</v>
      </c>
      <c r="GL36" s="1144" t="s">
        <v>2975</v>
      </c>
      <c r="GM36" s="1144" t="s">
        <v>2975</v>
      </c>
      <c r="GN36" s="1144" t="s">
        <v>2975</v>
      </c>
      <c r="GO36" s="1144" t="s">
        <v>2975</v>
      </c>
      <c r="GP36" s="1144" t="s">
        <v>2975</v>
      </c>
      <c r="GQ36" s="1144" t="s">
        <v>2975</v>
      </c>
      <c r="GR36" s="1144" t="s">
        <v>2975</v>
      </c>
      <c r="GS36" s="1144" t="s">
        <v>2975</v>
      </c>
      <c r="GT36" s="1144" t="s">
        <v>2975</v>
      </c>
      <c r="GU36" s="1144" t="s">
        <v>2975</v>
      </c>
      <c r="GV36" s="1144" t="s">
        <v>2975</v>
      </c>
      <c r="GW36" s="1144" t="s">
        <v>2975</v>
      </c>
      <c r="GX36" s="1144" t="s">
        <v>2975</v>
      </c>
      <c r="GY36" s="1144" t="s">
        <v>2975</v>
      </c>
      <c r="GZ36" s="1144" t="s">
        <v>2975</v>
      </c>
      <c r="HA36" s="1144" t="s">
        <v>2975</v>
      </c>
      <c r="HB36" s="1144" t="s">
        <v>2976</v>
      </c>
      <c r="HC36" s="1144" t="s">
        <v>2976</v>
      </c>
      <c r="HD36" s="1144" t="s">
        <v>2976</v>
      </c>
      <c r="HE36" s="1144" t="s">
        <v>2976</v>
      </c>
      <c r="HF36" s="1144" t="s">
        <v>2976</v>
      </c>
      <c r="HG36" s="1144" t="s">
        <v>2976</v>
      </c>
      <c r="HH36" s="1144" t="s">
        <v>2976</v>
      </c>
      <c r="HI36" s="1144" t="s">
        <v>2976</v>
      </c>
      <c r="HJ36" s="1144" t="s">
        <v>2976</v>
      </c>
      <c r="HK36" s="1144" t="s">
        <v>2976</v>
      </c>
      <c r="HL36" s="1144" t="s">
        <v>2976</v>
      </c>
      <c r="HM36" s="1144" t="s">
        <v>2976</v>
      </c>
      <c r="HN36" s="1144" t="s">
        <v>2976</v>
      </c>
      <c r="HO36" s="1144" t="s">
        <v>2976</v>
      </c>
      <c r="HP36" s="1144" t="s">
        <v>2977</v>
      </c>
      <c r="HQ36" s="1144" t="str">
        <f t="shared" ref="HQ36:IU36" si="12">HP36</f>
        <v>Use of PV technology data investigated for other countries (Switzerland). Correction of average yield with Swiss data.</v>
      </c>
      <c r="HR36" s="1144" t="str">
        <f t="shared" si="12"/>
        <v>Use of PV technology data investigated for other countries (Switzerland). Correction of average yield with Swiss data.</v>
      </c>
      <c r="HS36" s="1144" t="str">
        <f t="shared" si="12"/>
        <v>Use of PV technology data investigated for other countries (Switzerland). Correction of average yield with Swiss data.</v>
      </c>
      <c r="HT36" s="1144" t="str">
        <f t="shared" si="12"/>
        <v>Use of PV technology data investigated for other countries (Switzerland). Correction of average yield with Swiss data.</v>
      </c>
      <c r="HU36" s="1144" t="str">
        <f t="shared" si="12"/>
        <v>Use of PV technology data investigated for other countries (Switzerland). Correction of average yield with Swiss data.</v>
      </c>
      <c r="HV36" s="1144" t="str">
        <f t="shared" si="12"/>
        <v>Use of PV technology data investigated for other countries (Switzerland). Correction of average yield with Swiss data.</v>
      </c>
      <c r="HW36" s="1144" t="str">
        <f t="shared" si="12"/>
        <v>Use of PV technology data investigated for other countries (Switzerland). Correction of average yield with Swiss data.</v>
      </c>
      <c r="HX36" s="1144" t="str">
        <f t="shared" si="12"/>
        <v>Use of PV technology data investigated for other countries (Switzerland). Correction of average yield with Swiss data.</v>
      </c>
      <c r="HY36" s="1144" t="str">
        <f t="shared" si="12"/>
        <v>Use of PV technology data investigated for other countries (Switzerland). Correction of average yield with Swiss data.</v>
      </c>
      <c r="HZ36" s="1144" t="str">
        <f t="shared" si="12"/>
        <v>Use of PV technology data investigated for other countries (Switzerland). Correction of average yield with Swiss data.</v>
      </c>
      <c r="IA36" s="1144" t="str">
        <f t="shared" si="12"/>
        <v>Use of PV technology data investigated for other countries (Switzerland). Correction of average yield with Swiss data.</v>
      </c>
      <c r="IB36" s="1144" t="str">
        <f t="shared" si="12"/>
        <v>Use of PV technology data investigated for other countries (Switzerland). Correction of average yield with Swiss data.</v>
      </c>
      <c r="IC36" s="1144" t="str">
        <f t="shared" si="12"/>
        <v>Use of PV technology data investigated for other countries (Switzerland). Correction of average yield with Swiss data.</v>
      </c>
      <c r="ID36" s="1144" t="str">
        <f t="shared" si="12"/>
        <v>Use of PV technology data investigated for other countries (Switzerland). Correction of average yield with Swiss data.</v>
      </c>
      <c r="IE36" s="1144" t="str">
        <f t="shared" si="12"/>
        <v>Use of PV technology data investigated for other countries (Switzerland). Correction of average yield with Swiss data.</v>
      </c>
      <c r="IF36" s="1144" t="str">
        <f t="shared" si="12"/>
        <v>Use of PV technology data investigated for other countries (Switzerland). Correction of average yield with Swiss data.</v>
      </c>
      <c r="IG36" s="1144" t="str">
        <f t="shared" si="12"/>
        <v>Use of PV technology data investigated for other countries (Switzerland). Correction of average yield with Swiss data.</v>
      </c>
      <c r="IH36" s="1144" t="str">
        <f t="shared" si="12"/>
        <v>Use of PV technology data investigated for other countries (Switzerland). Correction of average yield with Swiss data.</v>
      </c>
      <c r="II36" s="1144" t="str">
        <f t="shared" si="12"/>
        <v>Use of PV technology data investigated for other countries (Switzerland). Correction of average yield with Swiss data.</v>
      </c>
      <c r="IJ36" s="1144" t="str">
        <f t="shared" si="12"/>
        <v>Use of PV technology data investigated for other countries (Switzerland). Correction of average yield with Swiss data.</v>
      </c>
      <c r="IK36" s="1144" t="str">
        <f t="shared" si="12"/>
        <v>Use of PV technology data investigated for other countries (Switzerland). Correction of average yield with Swiss data.</v>
      </c>
      <c r="IL36" s="1144" t="str">
        <f t="shared" si="12"/>
        <v>Use of PV technology data investigated for other countries (Switzerland). Correction of average yield with Swiss data.</v>
      </c>
      <c r="IM36" s="1144" t="str">
        <f t="shared" si="12"/>
        <v>Use of PV technology data investigated for other countries (Switzerland). Correction of average yield with Swiss data.</v>
      </c>
      <c r="IN36" s="1144" t="str">
        <f t="shared" si="12"/>
        <v>Use of PV technology data investigated for other countries (Switzerland). Correction of average yield with Swiss data.</v>
      </c>
      <c r="IO36" s="1144" t="str">
        <f t="shared" si="12"/>
        <v>Use of PV technology data investigated for other countries (Switzerland). Correction of average yield with Swiss data.</v>
      </c>
      <c r="IP36" s="1144" t="str">
        <f t="shared" si="12"/>
        <v>Use of PV technology data investigated for other countries (Switzerland). Correction of average yield with Swiss data.</v>
      </c>
      <c r="IQ36" s="1144" t="str">
        <f t="shared" si="12"/>
        <v>Use of PV technology data investigated for other countries (Switzerland). Correction of average yield with Swiss data.</v>
      </c>
      <c r="IR36" s="1144" t="str">
        <f t="shared" si="12"/>
        <v>Use of PV technology data investigated for other countries (Switzerland). Correction of average yield with Swiss data.</v>
      </c>
      <c r="IS36" s="1144" t="str">
        <f t="shared" si="12"/>
        <v>Use of PV technology data investigated for other countries (Switzerland). Correction of average yield with Swiss data.</v>
      </c>
      <c r="IT36" s="1144" t="str">
        <f t="shared" si="12"/>
        <v>Use of PV technology data investigated for other countries (Switzerland). Correction of average yield with Swiss data.</v>
      </c>
      <c r="IU36" s="1144" t="str">
        <f t="shared" si="12"/>
        <v>Use of PV technology data investigated for other countries (Switzerland). Correction of average yield with Swiss data.</v>
      </c>
      <c r="IV36" s="1144" t="s">
        <v>2950</v>
      </c>
      <c r="IW36" s="1144" t="s">
        <v>2978</v>
      </c>
      <c r="IX36" s="1144" t="s">
        <v>2979</v>
      </c>
      <c r="IY36" s="1144" t="s">
        <v>2950</v>
      </c>
      <c r="IZ36" s="1144" t="s">
        <v>2950</v>
      </c>
      <c r="JA36" s="1144" t="s">
        <v>2980</v>
      </c>
      <c r="JB36" s="1144" t="s">
        <v>2950</v>
      </c>
      <c r="JC36" s="1144" t="s">
        <v>2819</v>
      </c>
      <c r="JD36" s="1146"/>
      <c r="JE36" s="1144" t="s">
        <v>2949</v>
      </c>
      <c r="JF36" s="1144" t="s">
        <v>2949</v>
      </c>
      <c r="JG36" s="1144" t="s">
        <v>2949</v>
      </c>
      <c r="JH36" s="1144" t="s">
        <v>2819</v>
      </c>
      <c r="JI36" s="1144" t="s">
        <v>2819</v>
      </c>
      <c r="JJ36" s="1144" t="s">
        <v>2819</v>
      </c>
      <c r="JK36" s="1144" t="s">
        <v>2819</v>
      </c>
      <c r="JL36" s="1144" t="s">
        <v>2952</v>
      </c>
      <c r="JM36" s="1144" t="s">
        <v>2952</v>
      </c>
      <c r="JN36" s="1144" t="s">
        <v>2952</v>
      </c>
      <c r="JO36" s="1144" t="str">
        <f>JN36</f>
        <v>Data 2005 calculated from data 2004 by multiplying amounts of materials by solar cell area factor of 156*156/(125*125) = 1.56; energy scaled linearly with cell side length. Extrapolation of European LCI inventory data by adjusting the electricity mix.</v>
      </c>
      <c r="JP36" s="1144" t="s">
        <v>2819</v>
      </c>
      <c r="JQ36" s="1144" t="s">
        <v>2819</v>
      </c>
      <c r="JR36" s="1144" t="s">
        <v>2955</v>
      </c>
      <c r="JS36" s="1144" t="s">
        <v>2955</v>
      </c>
      <c r="JT36" s="1144" t="s">
        <v>2955</v>
      </c>
      <c r="JU36" s="1144" t="str">
        <f>$CA36</f>
        <v xml:space="preserve">Assumption for laminate production with data for panels. Materials for frames neglected. </v>
      </c>
      <c r="JV36" s="1144" t="s">
        <v>2981</v>
      </c>
      <c r="JW36" s="1144" t="s">
        <v>2981</v>
      </c>
      <c r="JX36" s="1144" t="s">
        <v>2981</v>
      </c>
      <c r="JY36" s="1144" t="str">
        <f>JX36</f>
        <v>Rough assumption for the use of heat in the process. Extrapolation of European LCI inventory data by adjusting the electricity mix.</v>
      </c>
      <c r="JZ36" s="1144" t="s">
        <v>2819</v>
      </c>
      <c r="KA36" s="1144" t="s">
        <v>2819</v>
      </c>
      <c r="KB36" s="1144" t="s">
        <v>2819</v>
      </c>
      <c r="KC36" s="1144" t="s">
        <v>2819</v>
      </c>
      <c r="KD36" s="1144" t="s">
        <v>2819</v>
      </c>
      <c r="KE36" s="1144" t="s">
        <v>2819</v>
      </c>
    </row>
    <row r="37" spans="1:291">
      <c r="A37" s="165"/>
      <c r="B37" s="83">
        <v>727</v>
      </c>
      <c r="C37" s="437" t="s">
        <v>2982</v>
      </c>
      <c r="D37" s="1144" t="s">
        <v>2819</v>
      </c>
      <c r="E37" s="1144" t="s">
        <v>2819</v>
      </c>
      <c r="F37" s="1144" t="s">
        <v>2819</v>
      </c>
      <c r="G37" s="1144" t="s">
        <v>2819</v>
      </c>
      <c r="H37" s="1144" t="s">
        <v>2819</v>
      </c>
      <c r="I37" s="1144" t="s">
        <v>2819</v>
      </c>
      <c r="J37" s="1144" t="s">
        <v>2819</v>
      </c>
      <c r="K37" s="1144" t="s">
        <v>2819</v>
      </c>
      <c r="L37" s="1144" t="s">
        <v>2819</v>
      </c>
      <c r="M37" s="1144" t="s">
        <v>2819</v>
      </c>
      <c r="N37" s="1144" t="s">
        <v>2819</v>
      </c>
      <c r="O37" s="1144" t="s">
        <v>2819</v>
      </c>
      <c r="P37" s="1144" t="s">
        <v>2819</v>
      </c>
      <c r="Q37" s="1144" t="s">
        <v>2819</v>
      </c>
      <c r="R37" s="1144" t="s">
        <v>2819</v>
      </c>
      <c r="S37" s="1144" t="s">
        <v>2819</v>
      </c>
      <c r="T37" s="1144" t="s">
        <v>2819</v>
      </c>
      <c r="U37" s="1144" t="s">
        <v>2819</v>
      </c>
      <c r="V37" s="1144" t="s">
        <v>2819</v>
      </c>
      <c r="W37" s="1144" t="s">
        <v>2819</v>
      </c>
      <c r="X37" s="1144" t="s">
        <v>2819</v>
      </c>
      <c r="Y37" s="1144" t="s">
        <v>2819</v>
      </c>
      <c r="Z37" s="1144" t="s">
        <v>2819</v>
      </c>
      <c r="AA37" s="1144" t="s">
        <v>2819</v>
      </c>
      <c r="AB37" s="1144" t="s">
        <v>2819</v>
      </c>
      <c r="AC37" s="1144" t="s">
        <v>2819</v>
      </c>
      <c r="AD37" s="1144" t="s">
        <v>2819</v>
      </c>
      <c r="AE37" s="1144" t="s">
        <v>2819</v>
      </c>
      <c r="AF37" s="1144" t="s">
        <v>2819</v>
      </c>
      <c r="AG37" s="1144" t="s">
        <v>2819</v>
      </c>
      <c r="AH37" s="1144" t="s">
        <v>2819</v>
      </c>
      <c r="AI37" s="1144" t="s">
        <v>2819</v>
      </c>
      <c r="AJ37" s="1144" t="s">
        <v>2819</v>
      </c>
      <c r="AK37" s="1144" t="s">
        <v>2819</v>
      </c>
      <c r="AL37" s="1144" t="s">
        <v>2819</v>
      </c>
      <c r="AM37" s="1144" t="s">
        <v>2819</v>
      </c>
      <c r="AN37" s="1144" t="s">
        <v>2819</v>
      </c>
      <c r="AO37" s="1144" t="s">
        <v>2819</v>
      </c>
      <c r="AP37" s="1144" t="s">
        <v>2819</v>
      </c>
      <c r="AQ37" s="1144" t="s">
        <v>2819</v>
      </c>
      <c r="AR37" s="1144" t="s">
        <v>2819</v>
      </c>
      <c r="AS37" s="1144" t="s">
        <v>2819</v>
      </c>
      <c r="AT37" s="1144" t="s">
        <v>2819</v>
      </c>
      <c r="AU37" s="1144" t="s">
        <v>2819</v>
      </c>
      <c r="AV37" s="1144" t="s">
        <v>2819</v>
      </c>
      <c r="AW37" s="1144" t="s">
        <v>2819</v>
      </c>
      <c r="AX37" s="1144" t="s">
        <v>2819</v>
      </c>
      <c r="AY37" s="1144" t="s">
        <v>2819</v>
      </c>
      <c r="AZ37" s="1144" t="s">
        <v>2819</v>
      </c>
      <c r="BA37" s="1144" t="s">
        <v>2819</v>
      </c>
      <c r="BB37" s="1144" t="s">
        <v>2819</v>
      </c>
      <c r="BC37" s="1144" t="s">
        <v>2819</v>
      </c>
      <c r="BD37" s="1144" t="s">
        <v>2819</v>
      </c>
      <c r="BE37" s="1144" t="s">
        <v>2819</v>
      </c>
      <c r="BF37" s="1144" t="s">
        <v>2819</v>
      </c>
      <c r="BG37" s="1144" t="s">
        <v>2819</v>
      </c>
      <c r="BH37" s="1144" t="s">
        <v>2819</v>
      </c>
      <c r="BI37" s="1144" t="s">
        <v>2819</v>
      </c>
      <c r="BJ37" s="1144" t="s">
        <v>2819</v>
      </c>
      <c r="BK37" s="1144" t="s">
        <v>2819</v>
      </c>
      <c r="BL37" s="1145" t="s">
        <v>2819</v>
      </c>
      <c r="BM37" s="1145" t="s">
        <v>2819</v>
      </c>
      <c r="BN37" s="1144" t="s">
        <v>2819</v>
      </c>
      <c r="BO37" s="1144" t="s">
        <v>2819</v>
      </c>
      <c r="BP37" s="1144" t="s">
        <v>2819</v>
      </c>
      <c r="BQ37" s="1144" t="s">
        <v>2819</v>
      </c>
      <c r="BR37" s="1144" t="s">
        <v>2819</v>
      </c>
      <c r="BS37" s="1144" t="s">
        <v>2819</v>
      </c>
      <c r="BT37" s="1144" t="s">
        <v>2819</v>
      </c>
      <c r="BU37" s="1144" t="s">
        <v>2819</v>
      </c>
      <c r="BV37" s="1144" t="s">
        <v>2819</v>
      </c>
      <c r="BW37" s="1144" t="s">
        <v>2819</v>
      </c>
      <c r="BX37" s="1144" t="s">
        <v>2819</v>
      </c>
      <c r="BY37" s="1144" t="s">
        <v>2819</v>
      </c>
      <c r="BZ37" s="1144" t="s">
        <v>2819</v>
      </c>
      <c r="CA37" s="1144" t="s">
        <v>2819</v>
      </c>
      <c r="CB37" s="1144" t="s">
        <v>2819</v>
      </c>
      <c r="CC37" s="1144" t="s">
        <v>2819</v>
      </c>
      <c r="CD37" s="1144" t="s">
        <v>2819</v>
      </c>
      <c r="CE37" s="1144" t="s">
        <v>2819</v>
      </c>
      <c r="CF37" s="1144" t="s">
        <v>2819</v>
      </c>
      <c r="CG37" s="1144" t="s">
        <v>2819</v>
      </c>
      <c r="CH37" s="1144" t="s">
        <v>2819</v>
      </c>
      <c r="CI37" s="1144" t="s">
        <v>2819</v>
      </c>
      <c r="CJ37" s="1144" t="s">
        <v>2819</v>
      </c>
      <c r="CK37" s="1144" t="s">
        <v>2819</v>
      </c>
      <c r="CL37" s="1144" t="s">
        <v>2819</v>
      </c>
      <c r="CM37" s="1144" t="s">
        <v>2819</v>
      </c>
      <c r="CN37" s="1144" t="s">
        <v>2819</v>
      </c>
      <c r="CO37" s="1144" t="s">
        <v>2819</v>
      </c>
      <c r="CP37" s="1144" t="s">
        <v>2819</v>
      </c>
      <c r="CQ37" s="1144" t="s">
        <v>2819</v>
      </c>
      <c r="CR37" s="1144" t="s">
        <v>2819</v>
      </c>
      <c r="CS37" s="1144" t="s">
        <v>2819</v>
      </c>
      <c r="CT37" s="1144" t="s">
        <v>2819</v>
      </c>
      <c r="CU37" s="1144" t="s">
        <v>2819</v>
      </c>
      <c r="CV37" s="1144" t="s">
        <v>2819</v>
      </c>
      <c r="CW37" s="1144" t="s">
        <v>2819</v>
      </c>
      <c r="CX37" s="1144" t="s">
        <v>2819</v>
      </c>
      <c r="CY37" s="1144" t="s">
        <v>2819</v>
      </c>
      <c r="CZ37" s="1144" t="s">
        <v>2819</v>
      </c>
      <c r="DA37" s="1144" t="s">
        <v>2819</v>
      </c>
      <c r="DB37" s="1144" t="s">
        <v>2819</v>
      </c>
      <c r="DC37" s="1144" t="s">
        <v>2819</v>
      </c>
      <c r="DD37" s="1144" t="s">
        <v>2819</v>
      </c>
      <c r="DE37" s="1144" t="s">
        <v>2819</v>
      </c>
      <c r="DF37" s="1144" t="s">
        <v>2819</v>
      </c>
      <c r="DG37" s="1144" t="s">
        <v>2819</v>
      </c>
      <c r="DH37" s="1144" t="s">
        <v>2819</v>
      </c>
      <c r="DI37" s="1144" t="s">
        <v>2819</v>
      </c>
      <c r="DJ37" s="1144" t="s">
        <v>2819</v>
      </c>
      <c r="DK37" s="1144" t="s">
        <v>2819</v>
      </c>
      <c r="DL37" s="1144" t="s">
        <v>2819</v>
      </c>
      <c r="DM37" s="1144" t="s">
        <v>2819</v>
      </c>
      <c r="DN37" s="1144" t="s">
        <v>2819</v>
      </c>
      <c r="DO37" s="1144" t="s">
        <v>2819</v>
      </c>
      <c r="DP37" s="1144" t="s">
        <v>2819</v>
      </c>
      <c r="DQ37" s="1144" t="s">
        <v>2819</v>
      </c>
      <c r="DR37" s="1144" t="s">
        <v>2819</v>
      </c>
      <c r="DS37" s="1145" t="s">
        <v>2819</v>
      </c>
      <c r="DT37" s="1145" t="s">
        <v>2819</v>
      </c>
      <c r="DU37" s="1144" t="s">
        <v>2819</v>
      </c>
      <c r="DV37" s="1145" t="s">
        <v>2819</v>
      </c>
      <c r="DW37" s="1144" t="s">
        <v>2819</v>
      </c>
      <c r="DX37" s="1145" t="s">
        <v>2819</v>
      </c>
      <c r="DY37" s="1144" t="s">
        <v>2819</v>
      </c>
      <c r="DZ37" s="1144" t="s">
        <v>2819</v>
      </c>
      <c r="EA37" s="1145" t="s">
        <v>2819</v>
      </c>
      <c r="EB37" s="1144" t="s">
        <v>2819</v>
      </c>
      <c r="EC37" s="1144" t="s">
        <v>2819</v>
      </c>
      <c r="ED37" s="1144" t="s">
        <v>2819</v>
      </c>
      <c r="EE37" s="1144" t="s">
        <v>2819</v>
      </c>
      <c r="EF37" s="1144" t="s">
        <v>2819</v>
      </c>
      <c r="EG37" s="1144" t="s">
        <v>2819</v>
      </c>
      <c r="EH37" s="1144" t="s">
        <v>2819</v>
      </c>
      <c r="EI37" s="1144" t="s">
        <v>2819</v>
      </c>
      <c r="EJ37" s="1144" t="s">
        <v>2819</v>
      </c>
      <c r="EK37" s="1144" t="s">
        <v>2819</v>
      </c>
      <c r="EL37" s="1144" t="s">
        <v>2819</v>
      </c>
      <c r="EM37" s="1144" t="s">
        <v>2819</v>
      </c>
      <c r="EN37" s="1144" t="s">
        <v>2819</v>
      </c>
      <c r="EO37" s="1144" t="s">
        <v>2950</v>
      </c>
      <c r="EP37" s="1144" t="s">
        <v>2950</v>
      </c>
      <c r="EQ37" s="1144" t="s">
        <v>2950</v>
      </c>
      <c r="ER37" s="1144" t="s">
        <v>2950</v>
      </c>
      <c r="ES37" s="1144" t="s">
        <v>2950</v>
      </c>
      <c r="ET37" s="1144" t="s">
        <v>2950</v>
      </c>
      <c r="EU37" s="1144" t="s">
        <v>2950</v>
      </c>
      <c r="EV37" s="1144" t="s">
        <v>2950</v>
      </c>
      <c r="EW37" s="1144" t="s">
        <v>2950</v>
      </c>
      <c r="EX37" s="1144" t="s">
        <v>2950</v>
      </c>
      <c r="EY37" s="1144" t="s">
        <v>2950</v>
      </c>
      <c r="EZ37" s="1144" t="s">
        <v>2950</v>
      </c>
      <c r="FA37" s="1144" t="s">
        <v>2950</v>
      </c>
      <c r="FB37" s="1144" t="s">
        <v>2819</v>
      </c>
      <c r="FC37" s="1144" t="s">
        <v>2819</v>
      </c>
      <c r="FD37" s="1144" t="s">
        <v>2819</v>
      </c>
      <c r="FE37" s="1144" t="s">
        <v>2819</v>
      </c>
      <c r="FF37" s="1144" t="s">
        <v>2819</v>
      </c>
      <c r="FG37" s="1144" t="s">
        <v>2819</v>
      </c>
      <c r="FH37" s="1144" t="s">
        <v>2819</v>
      </c>
      <c r="FI37" s="1144" t="s">
        <v>2819</v>
      </c>
      <c r="FJ37" s="1144" t="s">
        <v>2819</v>
      </c>
      <c r="FK37" s="1144" t="s">
        <v>2950</v>
      </c>
      <c r="FL37" s="1144" t="s">
        <v>2950</v>
      </c>
      <c r="FM37" s="1144" t="s">
        <v>2950</v>
      </c>
      <c r="FN37" s="1144" t="s">
        <v>2950</v>
      </c>
      <c r="FO37" s="1144" t="s">
        <v>2950</v>
      </c>
      <c r="FP37" s="1144" t="s">
        <v>2950</v>
      </c>
      <c r="FQ37" s="1144" t="s">
        <v>2950</v>
      </c>
      <c r="FR37" s="1144" t="s">
        <v>2950</v>
      </c>
      <c r="FS37" s="1144" t="s">
        <v>2950</v>
      </c>
      <c r="FT37" s="1145" t="s">
        <v>2819</v>
      </c>
      <c r="FU37" s="1145" t="s">
        <v>2819</v>
      </c>
      <c r="FV37" s="1145" t="s">
        <v>2819</v>
      </c>
      <c r="FW37" s="1144" t="s">
        <v>2819</v>
      </c>
      <c r="FX37" s="1144" t="s">
        <v>2819</v>
      </c>
      <c r="FY37" s="1144" t="s">
        <v>2819</v>
      </c>
      <c r="FZ37" s="1144" t="s">
        <v>2819</v>
      </c>
      <c r="GA37" s="1144" t="s">
        <v>2819</v>
      </c>
      <c r="GB37" s="1144" t="s">
        <v>2819</v>
      </c>
      <c r="GC37" s="1144" t="s">
        <v>2819</v>
      </c>
      <c r="GD37" s="1144" t="s">
        <v>2819</v>
      </c>
      <c r="GE37" s="1144" t="s">
        <v>2819</v>
      </c>
      <c r="GF37" s="1144" t="s">
        <v>2819</v>
      </c>
      <c r="GG37" s="1144" t="s">
        <v>2819</v>
      </c>
      <c r="GH37" s="1144" t="s">
        <v>2819</v>
      </c>
      <c r="GI37" s="1144" t="s">
        <v>2819</v>
      </c>
      <c r="GJ37" s="1144" t="s">
        <v>2819</v>
      </c>
      <c r="GK37" s="1144" t="s">
        <v>2819</v>
      </c>
      <c r="GL37" s="1144" t="s">
        <v>2819</v>
      </c>
      <c r="GM37" s="1144" t="s">
        <v>2819</v>
      </c>
      <c r="GN37" s="1144" t="s">
        <v>2819</v>
      </c>
      <c r="GO37" s="1144" t="s">
        <v>2819</v>
      </c>
      <c r="GP37" s="1144" t="s">
        <v>2819</v>
      </c>
      <c r="GQ37" s="1144" t="s">
        <v>2819</v>
      </c>
      <c r="GR37" s="1144" t="s">
        <v>2819</v>
      </c>
      <c r="GS37" s="1144" t="s">
        <v>2819</v>
      </c>
      <c r="GT37" s="1144" t="s">
        <v>2819</v>
      </c>
      <c r="GU37" s="1144" t="s">
        <v>2819</v>
      </c>
      <c r="GV37" s="1144" t="s">
        <v>2819</v>
      </c>
      <c r="GW37" s="1144" t="s">
        <v>2819</v>
      </c>
      <c r="GX37" s="1144" t="s">
        <v>2819</v>
      </c>
      <c r="GY37" s="1144" t="s">
        <v>2819</v>
      </c>
      <c r="GZ37" s="1144" t="s">
        <v>2819</v>
      </c>
      <c r="HA37" s="1144" t="s">
        <v>2819</v>
      </c>
      <c r="HB37" s="1144" t="s">
        <v>2819</v>
      </c>
      <c r="HC37" s="1144" t="s">
        <v>2819</v>
      </c>
      <c r="HD37" s="1144" t="s">
        <v>2819</v>
      </c>
      <c r="HE37" s="1144" t="s">
        <v>2819</v>
      </c>
      <c r="HF37" s="1144" t="s">
        <v>2819</v>
      </c>
      <c r="HG37" s="1144" t="s">
        <v>2819</v>
      </c>
      <c r="HH37" s="1144" t="s">
        <v>2819</v>
      </c>
      <c r="HI37" s="1144" t="s">
        <v>2819</v>
      </c>
      <c r="HJ37" s="1144" t="s">
        <v>2819</v>
      </c>
      <c r="HK37" s="1144" t="s">
        <v>2819</v>
      </c>
      <c r="HL37" s="1144" t="s">
        <v>2819</v>
      </c>
      <c r="HM37" s="1144" t="s">
        <v>2819</v>
      </c>
      <c r="HN37" s="1144" t="s">
        <v>2819</v>
      </c>
      <c r="HO37" s="1144" t="s">
        <v>2819</v>
      </c>
      <c r="HP37" s="1144" t="s">
        <v>2819</v>
      </c>
      <c r="HQ37" s="1144" t="s">
        <v>2819</v>
      </c>
      <c r="HR37" s="1144" t="s">
        <v>2819</v>
      </c>
      <c r="HS37" s="1144" t="s">
        <v>2819</v>
      </c>
      <c r="HT37" s="1144" t="s">
        <v>2819</v>
      </c>
      <c r="HU37" s="1144" t="s">
        <v>2819</v>
      </c>
      <c r="HV37" s="1144" t="s">
        <v>2819</v>
      </c>
      <c r="HW37" s="1144" t="s">
        <v>2819</v>
      </c>
      <c r="HX37" s="1144" t="s">
        <v>2819</v>
      </c>
      <c r="HY37" s="1144" t="s">
        <v>2819</v>
      </c>
      <c r="HZ37" s="1144" t="s">
        <v>2819</v>
      </c>
      <c r="IA37" s="1144" t="s">
        <v>2819</v>
      </c>
      <c r="IB37" s="1144" t="s">
        <v>2819</v>
      </c>
      <c r="IC37" s="1144" t="s">
        <v>2819</v>
      </c>
      <c r="ID37" s="1144" t="s">
        <v>2819</v>
      </c>
      <c r="IE37" s="1144" t="s">
        <v>2819</v>
      </c>
      <c r="IF37" s="1144" t="s">
        <v>2819</v>
      </c>
      <c r="IG37" s="1144" t="s">
        <v>2819</v>
      </c>
      <c r="IH37" s="1144" t="s">
        <v>2819</v>
      </c>
      <c r="II37" s="1144" t="s">
        <v>2819</v>
      </c>
      <c r="IJ37" s="1144" t="s">
        <v>2819</v>
      </c>
      <c r="IK37" s="1144" t="s">
        <v>2819</v>
      </c>
      <c r="IL37" s="1144" t="s">
        <v>2819</v>
      </c>
      <c r="IM37" s="1144" t="s">
        <v>2819</v>
      </c>
      <c r="IN37" s="1144" t="s">
        <v>2819</v>
      </c>
      <c r="IO37" s="1144" t="s">
        <v>2819</v>
      </c>
      <c r="IP37" s="1144" t="s">
        <v>2819</v>
      </c>
      <c r="IQ37" s="1144" t="s">
        <v>2819</v>
      </c>
      <c r="IR37" s="1144" t="s">
        <v>2819</v>
      </c>
      <c r="IS37" s="1144" t="s">
        <v>2819</v>
      </c>
      <c r="IT37" s="1144" t="s">
        <v>2819</v>
      </c>
      <c r="IU37" s="1144" t="s">
        <v>2819</v>
      </c>
      <c r="IV37" s="1144" t="s">
        <v>2819</v>
      </c>
      <c r="IW37" s="1144" t="s">
        <v>2819</v>
      </c>
      <c r="IX37" s="1144" t="s">
        <v>2819</v>
      </c>
      <c r="IY37" s="1144" t="s">
        <v>2819</v>
      </c>
      <c r="IZ37" s="1144" t="s">
        <v>2819</v>
      </c>
      <c r="JA37" s="1144" t="s">
        <v>2819</v>
      </c>
      <c r="JB37" s="1144" t="s">
        <v>2819</v>
      </c>
      <c r="JC37" s="1144" t="s">
        <v>2819</v>
      </c>
      <c r="JD37" s="1146"/>
      <c r="JE37" s="1144" t="s">
        <v>2819</v>
      </c>
      <c r="JF37" s="1144" t="s">
        <v>2819</v>
      </c>
      <c r="JG37" s="1144" t="s">
        <v>2819</v>
      </c>
      <c r="JH37" s="1144" t="s">
        <v>2819</v>
      </c>
      <c r="JI37" s="1144" t="s">
        <v>2819</v>
      </c>
      <c r="JJ37" s="1144" t="s">
        <v>2819</v>
      </c>
      <c r="JK37" s="1144" t="s">
        <v>2819</v>
      </c>
      <c r="JL37" s="1144" t="s">
        <v>2819</v>
      </c>
      <c r="JM37" s="1144" t="s">
        <v>2819</v>
      </c>
      <c r="JN37" s="1144" t="s">
        <v>2819</v>
      </c>
      <c r="JO37" s="1144" t="s">
        <v>2819</v>
      </c>
      <c r="JP37" s="1144" t="s">
        <v>2819</v>
      </c>
      <c r="JQ37" s="1144" t="s">
        <v>2819</v>
      </c>
      <c r="JR37" s="1144" t="s">
        <v>2819</v>
      </c>
      <c r="JS37" s="1144" t="s">
        <v>2819</v>
      </c>
      <c r="JT37" s="1144" t="s">
        <v>2819</v>
      </c>
      <c r="JU37" s="1144" t="s">
        <v>2819</v>
      </c>
      <c r="JV37" s="1144" t="s">
        <v>2819</v>
      </c>
      <c r="JW37" s="1144" t="s">
        <v>2819</v>
      </c>
      <c r="JX37" s="1144" t="s">
        <v>2819</v>
      </c>
      <c r="JY37" s="1144" t="s">
        <v>2819</v>
      </c>
      <c r="JZ37" s="1144" t="s">
        <v>2819</v>
      </c>
      <c r="KA37" s="1144" t="s">
        <v>2819</v>
      </c>
      <c r="KB37" s="1144" t="s">
        <v>2819</v>
      </c>
      <c r="KC37" s="1144" t="s">
        <v>2819</v>
      </c>
      <c r="KD37" s="1144" t="s">
        <v>2819</v>
      </c>
      <c r="KE37" s="1144" t="s">
        <v>2819</v>
      </c>
    </row>
    <row r="38" spans="1:291" outlineLevel="1">
      <c r="A38" s="78" t="s">
        <v>2983</v>
      </c>
      <c r="B38" s="83">
        <v>751</v>
      </c>
      <c r="C38" s="437" t="s">
        <v>2405</v>
      </c>
      <c r="D38" s="1150">
        <v>42</v>
      </c>
      <c r="E38" s="1150">
        <v>42</v>
      </c>
      <c r="F38" s="1150">
        <v>42</v>
      </c>
      <c r="G38" s="1150">
        <v>42</v>
      </c>
      <c r="H38" s="1150">
        <v>44</v>
      </c>
      <c r="I38" s="1150">
        <v>44</v>
      </c>
      <c r="J38" s="1150">
        <v>44</v>
      </c>
      <c r="K38" s="1150">
        <v>44</v>
      </c>
      <c r="L38" s="1150">
        <v>44</v>
      </c>
      <c r="M38" s="1150">
        <v>44</v>
      </c>
      <c r="N38" s="1150">
        <v>44</v>
      </c>
      <c r="O38" s="1150">
        <v>44</v>
      </c>
      <c r="P38" s="1150">
        <v>44</v>
      </c>
      <c r="Q38" s="1150">
        <v>44</v>
      </c>
      <c r="R38" s="1150">
        <v>44</v>
      </c>
      <c r="S38" s="1150">
        <v>44</v>
      </c>
      <c r="T38" s="1150">
        <v>44</v>
      </c>
      <c r="U38" s="1150">
        <v>44</v>
      </c>
      <c r="V38" s="1150">
        <v>44</v>
      </c>
      <c r="W38" s="1150">
        <v>44</v>
      </c>
      <c r="X38" s="1150">
        <v>44</v>
      </c>
      <c r="Y38" s="1150">
        <v>44</v>
      </c>
      <c r="Z38" s="1150">
        <v>44</v>
      </c>
      <c r="AA38" s="1150">
        <v>44</v>
      </c>
      <c r="AB38" s="1150">
        <v>44</v>
      </c>
      <c r="AC38" s="1150">
        <v>44</v>
      </c>
      <c r="AD38" s="1150">
        <v>44</v>
      </c>
      <c r="AE38" s="1150">
        <v>44</v>
      </c>
      <c r="AF38" s="1150">
        <v>44</v>
      </c>
      <c r="AG38" s="1150">
        <v>44</v>
      </c>
      <c r="AH38" s="1150">
        <v>42</v>
      </c>
      <c r="AI38" s="1150">
        <v>42</v>
      </c>
      <c r="AJ38" s="1150">
        <v>42</v>
      </c>
      <c r="AK38" s="1150">
        <v>42</v>
      </c>
      <c r="AL38" s="1150">
        <v>44</v>
      </c>
      <c r="AM38" s="1150">
        <v>44</v>
      </c>
      <c r="AN38" s="1150">
        <v>44</v>
      </c>
      <c r="AO38" s="1150">
        <v>44</v>
      </c>
      <c r="AP38" s="1150">
        <v>44</v>
      </c>
      <c r="AQ38" s="1150">
        <v>44</v>
      </c>
      <c r="AR38" s="1150">
        <v>44</v>
      </c>
      <c r="AS38" s="1150">
        <v>44</v>
      </c>
      <c r="AT38" s="1150">
        <v>44</v>
      </c>
      <c r="AU38" s="1150">
        <v>44</v>
      </c>
      <c r="AV38" s="1150">
        <v>44</v>
      </c>
      <c r="AW38" s="1150">
        <v>44</v>
      </c>
      <c r="AX38" s="1150">
        <v>44</v>
      </c>
      <c r="AY38" s="1150">
        <v>44</v>
      </c>
      <c r="AZ38" s="1150">
        <v>44</v>
      </c>
      <c r="BA38" s="1150">
        <v>44</v>
      </c>
      <c r="BB38" s="1150">
        <v>44</v>
      </c>
      <c r="BC38" s="1150">
        <v>44</v>
      </c>
      <c r="BD38" s="1150">
        <v>44</v>
      </c>
      <c r="BE38" s="1150">
        <v>44</v>
      </c>
      <c r="BF38" s="1150">
        <v>44</v>
      </c>
      <c r="BG38" s="1150">
        <v>44</v>
      </c>
      <c r="BH38" s="1150">
        <v>44</v>
      </c>
      <c r="BI38" s="1150">
        <v>44</v>
      </c>
      <c r="BJ38" s="1150">
        <v>44</v>
      </c>
      <c r="BK38" s="1150">
        <v>44</v>
      </c>
      <c r="BL38" s="1151">
        <v>44</v>
      </c>
      <c r="BM38" s="1151">
        <v>44</v>
      </c>
      <c r="BN38" s="1150">
        <v>44</v>
      </c>
      <c r="BO38" s="1150">
        <v>44</v>
      </c>
      <c r="BP38" s="1150">
        <v>44</v>
      </c>
      <c r="BQ38" s="1150">
        <v>44</v>
      </c>
      <c r="BR38" s="1150">
        <v>44</v>
      </c>
      <c r="BS38" s="1150">
        <v>44</v>
      </c>
      <c r="BT38" s="1150">
        <v>44</v>
      </c>
      <c r="BU38" s="1150">
        <v>44</v>
      </c>
      <c r="BV38" s="1150">
        <v>44</v>
      </c>
      <c r="BW38" s="1150">
        <v>44</v>
      </c>
      <c r="BX38" s="1150">
        <v>44</v>
      </c>
      <c r="BY38" s="1150">
        <v>44</v>
      </c>
      <c r="BZ38" s="1150">
        <v>44</v>
      </c>
      <c r="CA38" s="1150">
        <v>44</v>
      </c>
      <c r="CB38" s="1150">
        <v>44</v>
      </c>
      <c r="CC38" s="1150">
        <v>44</v>
      </c>
      <c r="CD38" s="1150">
        <v>44</v>
      </c>
      <c r="CE38" s="1150">
        <v>44</v>
      </c>
      <c r="CF38" s="1150">
        <v>44</v>
      </c>
      <c r="CG38" s="1150">
        <v>44</v>
      </c>
      <c r="CH38" s="1150">
        <v>44</v>
      </c>
      <c r="CI38" s="1150">
        <v>44</v>
      </c>
      <c r="CJ38" s="1150">
        <v>44</v>
      </c>
      <c r="CK38" s="1150">
        <v>44</v>
      </c>
      <c r="CL38" s="1150">
        <v>44</v>
      </c>
      <c r="CM38" s="1150">
        <v>44</v>
      </c>
      <c r="CN38" s="1150">
        <v>44</v>
      </c>
      <c r="CO38" s="1150">
        <v>44</v>
      </c>
      <c r="CP38" s="1150">
        <v>44</v>
      </c>
      <c r="CQ38" s="1150">
        <v>44</v>
      </c>
      <c r="CR38" s="1150">
        <v>44</v>
      </c>
      <c r="CS38" s="1150">
        <v>44</v>
      </c>
      <c r="CT38" s="1150">
        <v>44</v>
      </c>
      <c r="CU38" s="1150">
        <v>44</v>
      </c>
      <c r="CV38" s="1150">
        <v>44</v>
      </c>
      <c r="CW38" s="1150">
        <v>44</v>
      </c>
      <c r="CX38" s="1150">
        <v>44</v>
      </c>
      <c r="CY38" s="1150">
        <v>44</v>
      </c>
      <c r="CZ38" s="1150">
        <v>44</v>
      </c>
      <c r="DA38" s="1150">
        <v>44</v>
      </c>
      <c r="DB38" s="1150">
        <v>44</v>
      </c>
      <c r="DC38" s="1150">
        <v>44</v>
      </c>
      <c r="DD38" s="1150">
        <v>44</v>
      </c>
      <c r="DE38" s="1150">
        <v>44</v>
      </c>
      <c r="DF38" s="1150">
        <v>44</v>
      </c>
      <c r="DG38" s="1150">
        <v>44</v>
      </c>
      <c r="DH38" s="1150">
        <v>44</v>
      </c>
      <c r="DI38" s="1150">
        <v>44</v>
      </c>
      <c r="DJ38" s="1150">
        <v>44</v>
      </c>
      <c r="DK38" s="1150">
        <v>44</v>
      </c>
      <c r="DL38" s="1150">
        <v>44</v>
      </c>
      <c r="DM38" s="1150">
        <v>42</v>
      </c>
      <c r="DN38" s="1150">
        <v>42</v>
      </c>
      <c r="DO38" s="1150">
        <v>42</v>
      </c>
      <c r="DP38" s="1150">
        <v>42</v>
      </c>
      <c r="DQ38" s="1150">
        <v>42</v>
      </c>
      <c r="DR38" s="1150">
        <v>42</v>
      </c>
      <c r="DS38" s="1151">
        <v>44</v>
      </c>
      <c r="DT38" s="1151">
        <v>44</v>
      </c>
      <c r="DU38" s="1150">
        <v>42</v>
      </c>
      <c r="DV38" s="1151">
        <v>44</v>
      </c>
      <c r="DW38" s="1150">
        <v>42</v>
      </c>
      <c r="DX38" s="1151">
        <v>44</v>
      </c>
      <c r="DY38" s="1150">
        <v>42</v>
      </c>
      <c r="DZ38" s="1150">
        <v>42</v>
      </c>
      <c r="EA38" s="1151">
        <v>44</v>
      </c>
      <c r="EB38" s="1150">
        <v>42</v>
      </c>
      <c r="EC38" s="1150">
        <v>42</v>
      </c>
      <c r="ED38" s="1150">
        <v>42</v>
      </c>
      <c r="EE38" s="1150">
        <v>42</v>
      </c>
      <c r="EF38" s="1150">
        <v>42</v>
      </c>
      <c r="EG38" s="1150">
        <v>44</v>
      </c>
      <c r="EH38" s="1150">
        <v>44</v>
      </c>
      <c r="EI38" s="1150">
        <v>44</v>
      </c>
      <c r="EJ38" s="1150">
        <v>44</v>
      </c>
      <c r="EK38" s="1150">
        <v>44</v>
      </c>
      <c r="EL38" s="1150">
        <v>44</v>
      </c>
      <c r="EM38" s="1150">
        <v>44</v>
      </c>
      <c r="EN38" s="1150">
        <v>42</v>
      </c>
      <c r="EO38" s="1150">
        <v>42</v>
      </c>
      <c r="EP38" s="1150">
        <v>42</v>
      </c>
      <c r="EQ38" s="1150">
        <v>42</v>
      </c>
      <c r="ER38" s="1150">
        <v>42</v>
      </c>
      <c r="ES38" s="1150">
        <v>42</v>
      </c>
      <c r="ET38" s="1150">
        <v>42</v>
      </c>
      <c r="EU38" s="1150">
        <v>42</v>
      </c>
      <c r="EV38" s="1150">
        <v>42</v>
      </c>
      <c r="EW38" s="1150">
        <v>42</v>
      </c>
      <c r="EX38" s="1150">
        <v>42</v>
      </c>
      <c r="EY38" s="1150">
        <v>42</v>
      </c>
      <c r="EZ38" s="1150">
        <v>42</v>
      </c>
      <c r="FA38" s="1150">
        <v>42</v>
      </c>
      <c r="FB38" s="1150">
        <v>42</v>
      </c>
      <c r="FC38" s="1150">
        <v>42</v>
      </c>
      <c r="FD38" s="1150">
        <v>42</v>
      </c>
      <c r="FE38" s="1150">
        <v>42</v>
      </c>
      <c r="FF38" s="1150">
        <v>42</v>
      </c>
      <c r="FG38" s="1150">
        <v>42</v>
      </c>
      <c r="FH38" s="1150">
        <v>202</v>
      </c>
      <c r="FI38" s="1150">
        <v>202</v>
      </c>
      <c r="FJ38" s="1150">
        <v>42</v>
      </c>
      <c r="FK38" s="1150">
        <v>42</v>
      </c>
      <c r="FL38" s="1150">
        <v>42</v>
      </c>
      <c r="FM38" s="1150">
        <v>42</v>
      </c>
      <c r="FN38" s="1150">
        <v>42</v>
      </c>
      <c r="FO38" s="1150">
        <v>42</v>
      </c>
      <c r="FP38" s="1150">
        <v>42</v>
      </c>
      <c r="FQ38" s="1150">
        <v>42</v>
      </c>
      <c r="FR38" s="1150">
        <v>42</v>
      </c>
      <c r="FS38" s="1150">
        <v>202</v>
      </c>
      <c r="FT38" s="1151">
        <v>202</v>
      </c>
      <c r="FU38" s="1151">
        <v>44</v>
      </c>
      <c r="FV38" s="1151">
        <v>44</v>
      </c>
      <c r="FW38" s="1150">
        <v>44</v>
      </c>
      <c r="FX38" s="1150">
        <v>44</v>
      </c>
      <c r="FY38" s="1150">
        <v>42</v>
      </c>
      <c r="FZ38" s="1150">
        <v>42</v>
      </c>
      <c r="GA38" s="1150">
        <v>42</v>
      </c>
      <c r="GB38" s="1150">
        <v>42</v>
      </c>
      <c r="GC38" s="1150">
        <v>44</v>
      </c>
      <c r="GD38" s="1150">
        <v>44</v>
      </c>
      <c r="GE38" s="1150">
        <v>44</v>
      </c>
      <c r="GF38" s="1150">
        <v>44</v>
      </c>
      <c r="GG38" s="1150">
        <v>44</v>
      </c>
      <c r="GH38" s="1150">
        <v>44</v>
      </c>
      <c r="GI38" s="1150">
        <v>44</v>
      </c>
      <c r="GJ38" s="1150">
        <v>44</v>
      </c>
      <c r="GK38" s="1150">
        <v>44</v>
      </c>
      <c r="GL38" s="1150">
        <v>44</v>
      </c>
      <c r="GM38" s="1150">
        <v>44</v>
      </c>
      <c r="GN38" s="1150">
        <v>44</v>
      </c>
      <c r="GO38" s="1150">
        <v>202</v>
      </c>
      <c r="GP38" s="1150">
        <v>202</v>
      </c>
      <c r="GQ38" s="1150">
        <v>202</v>
      </c>
      <c r="GR38" s="1150">
        <v>202</v>
      </c>
      <c r="GS38" s="1150">
        <v>202</v>
      </c>
      <c r="GT38" s="1150">
        <v>202</v>
      </c>
      <c r="GU38" s="1150">
        <v>202</v>
      </c>
      <c r="GV38" s="1150">
        <v>202</v>
      </c>
      <c r="GW38" s="1150">
        <v>202</v>
      </c>
      <c r="GX38" s="1150">
        <v>202</v>
      </c>
      <c r="GY38" s="1150">
        <v>44</v>
      </c>
      <c r="GZ38" s="1150">
        <v>44</v>
      </c>
      <c r="HA38" s="1150">
        <v>44</v>
      </c>
      <c r="HB38" s="1150">
        <v>44</v>
      </c>
      <c r="HC38" s="1150">
        <v>44</v>
      </c>
      <c r="HD38" s="1150">
        <v>44</v>
      </c>
      <c r="HE38" s="1150">
        <v>44</v>
      </c>
      <c r="HF38" s="1150">
        <v>44</v>
      </c>
      <c r="HG38" s="1150">
        <v>44</v>
      </c>
      <c r="HH38" s="1150">
        <v>44</v>
      </c>
      <c r="HI38" s="1150">
        <v>44</v>
      </c>
      <c r="HJ38" s="1150">
        <v>44</v>
      </c>
      <c r="HK38" s="1150">
        <v>42</v>
      </c>
      <c r="HL38" s="1150">
        <v>44</v>
      </c>
      <c r="HM38" s="1150">
        <v>42</v>
      </c>
      <c r="HN38" s="1150">
        <v>44</v>
      </c>
      <c r="HO38" s="1150">
        <v>44</v>
      </c>
      <c r="HP38" s="1150">
        <v>42</v>
      </c>
      <c r="HQ38" s="1150">
        <v>42</v>
      </c>
      <c r="HR38" s="1150">
        <v>42</v>
      </c>
      <c r="HS38" s="1150">
        <v>42</v>
      </c>
      <c r="HT38" s="1150">
        <v>42</v>
      </c>
      <c r="HU38" s="1150">
        <v>42</v>
      </c>
      <c r="HV38" s="1150">
        <v>42</v>
      </c>
      <c r="HW38" s="1150">
        <v>42</v>
      </c>
      <c r="HX38" s="1150">
        <v>42</v>
      </c>
      <c r="HY38" s="1150">
        <v>42</v>
      </c>
      <c r="HZ38" s="1150">
        <v>42</v>
      </c>
      <c r="IA38" s="1150">
        <v>42</v>
      </c>
      <c r="IB38" s="1150">
        <v>42</v>
      </c>
      <c r="IC38" s="1150">
        <v>42</v>
      </c>
      <c r="ID38" s="1150">
        <v>42</v>
      </c>
      <c r="IE38" s="1150">
        <v>42</v>
      </c>
      <c r="IF38" s="1150">
        <v>42</v>
      </c>
      <c r="IG38" s="1150">
        <v>42</v>
      </c>
      <c r="IH38" s="1150">
        <v>42</v>
      </c>
      <c r="II38" s="1150">
        <v>42</v>
      </c>
      <c r="IJ38" s="1150">
        <v>42</v>
      </c>
      <c r="IK38" s="1150">
        <v>42</v>
      </c>
      <c r="IL38" s="1150">
        <v>42</v>
      </c>
      <c r="IM38" s="1150">
        <v>42</v>
      </c>
      <c r="IN38" s="1150">
        <v>42</v>
      </c>
      <c r="IO38" s="1150">
        <v>42</v>
      </c>
      <c r="IP38" s="1150">
        <v>42</v>
      </c>
      <c r="IQ38" s="1150">
        <v>42</v>
      </c>
      <c r="IR38" s="1150">
        <v>42</v>
      </c>
      <c r="IS38" s="1150">
        <v>42</v>
      </c>
      <c r="IT38" s="1150">
        <v>42</v>
      </c>
      <c r="IU38" s="1150">
        <v>42</v>
      </c>
      <c r="IV38" s="1150">
        <v>42</v>
      </c>
      <c r="IW38" s="1150">
        <v>42</v>
      </c>
      <c r="IX38" s="1150">
        <v>42</v>
      </c>
      <c r="IY38" s="1150">
        <v>42</v>
      </c>
      <c r="IZ38" s="1150">
        <v>42</v>
      </c>
      <c r="JA38" s="1150">
        <v>42</v>
      </c>
      <c r="JB38" s="1150">
        <v>42</v>
      </c>
      <c r="JC38" s="1150">
        <v>42</v>
      </c>
      <c r="JD38" s="1152"/>
      <c r="JE38" s="1150">
        <v>42</v>
      </c>
      <c r="JF38" s="1150">
        <v>42</v>
      </c>
      <c r="JG38" s="1150">
        <v>42</v>
      </c>
      <c r="JH38" s="1150">
        <v>42</v>
      </c>
      <c r="JI38" s="1150">
        <v>42</v>
      </c>
      <c r="JJ38" s="1150">
        <v>42</v>
      </c>
      <c r="JK38" s="1150">
        <v>42</v>
      </c>
      <c r="JL38" s="1150">
        <v>42</v>
      </c>
      <c r="JM38" s="1150">
        <v>42</v>
      </c>
      <c r="JN38" s="1150">
        <v>42</v>
      </c>
      <c r="JO38" s="1150">
        <v>42</v>
      </c>
      <c r="JP38" s="1150">
        <v>42</v>
      </c>
      <c r="JQ38" s="1150">
        <v>42</v>
      </c>
      <c r="JR38" s="1150">
        <v>42</v>
      </c>
      <c r="JS38" s="1150">
        <v>42</v>
      </c>
      <c r="JT38" s="1150">
        <v>42</v>
      </c>
      <c r="JU38" s="1150">
        <v>42</v>
      </c>
      <c r="JV38" s="1150">
        <v>42</v>
      </c>
      <c r="JW38" s="1150">
        <v>42</v>
      </c>
      <c r="JX38" s="1150">
        <v>42</v>
      </c>
      <c r="JY38" s="1150">
        <v>42</v>
      </c>
      <c r="JZ38" s="1150">
        <v>42</v>
      </c>
      <c r="KA38" s="1150">
        <v>42</v>
      </c>
      <c r="KB38" s="1150">
        <v>42</v>
      </c>
      <c r="KC38" s="1150">
        <v>42</v>
      </c>
      <c r="KD38" s="1150">
        <v>42</v>
      </c>
      <c r="KE38" s="1150">
        <v>42</v>
      </c>
    </row>
    <row r="39" spans="1:291" outlineLevel="1">
      <c r="A39" s="78" t="s">
        <v>2984</v>
      </c>
      <c r="B39" s="83">
        <v>756</v>
      </c>
      <c r="C39" s="437" t="s">
        <v>2985</v>
      </c>
      <c r="D39" s="1144">
        <v>2</v>
      </c>
      <c r="E39" s="1144">
        <v>2</v>
      </c>
      <c r="F39" s="1144">
        <v>2</v>
      </c>
      <c r="G39" s="1144">
        <v>2</v>
      </c>
      <c r="H39" s="1144">
        <v>2</v>
      </c>
      <c r="I39" s="1144">
        <v>2</v>
      </c>
      <c r="J39" s="1144">
        <v>2</v>
      </c>
      <c r="K39" s="1144">
        <v>2</v>
      </c>
      <c r="L39" s="1144">
        <v>2</v>
      </c>
      <c r="M39" s="1144">
        <v>2</v>
      </c>
      <c r="N39" s="1144">
        <v>2</v>
      </c>
      <c r="O39" s="1144">
        <v>2</v>
      </c>
      <c r="P39" s="1144">
        <v>2</v>
      </c>
      <c r="Q39" s="1144">
        <v>2</v>
      </c>
      <c r="R39" s="1144">
        <v>2</v>
      </c>
      <c r="S39" s="1144">
        <v>2</v>
      </c>
      <c r="T39" s="1144">
        <v>2</v>
      </c>
      <c r="U39" s="1144">
        <v>2</v>
      </c>
      <c r="V39" s="1144">
        <v>2</v>
      </c>
      <c r="W39" s="1144">
        <v>2</v>
      </c>
      <c r="X39" s="1144">
        <v>2</v>
      </c>
      <c r="Y39" s="1144">
        <v>2</v>
      </c>
      <c r="Z39" s="1144">
        <v>2</v>
      </c>
      <c r="AA39" s="1144">
        <v>2</v>
      </c>
      <c r="AB39" s="1144">
        <v>2</v>
      </c>
      <c r="AC39" s="1144">
        <v>2</v>
      </c>
      <c r="AD39" s="1144">
        <v>2</v>
      </c>
      <c r="AE39" s="1144">
        <v>2</v>
      </c>
      <c r="AF39" s="1144">
        <v>2</v>
      </c>
      <c r="AG39" s="1144">
        <v>2</v>
      </c>
      <c r="AH39" s="1144">
        <v>2</v>
      </c>
      <c r="AI39" s="1144">
        <v>2</v>
      </c>
      <c r="AJ39" s="1144">
        <v>2</v>
      </c>
      <c r="AK39" s="1144">
        <v>2</v>
      </c>
      <c r="AL39" s="1144">
        <v>2</v>
      </c>
      <c r="AM39" s="1144">
        <v>2</v>
      </c>
      <c r="AN39" s="1144">
        <v>2</v>
      </c>
      <c r="AO39" s="1144">
        <v>2</v>
      </c>
      <c r="AP39" s="1144">
        <v>2</v>
      </c>
      <c r="AQ39" s="1144">
        <v>2</v>
      </c>
      <c r="AR39" s="1144">
        <v>2</v>
      </c>
      <c r="AS39" s="1144">
        <v>2</v>
      </c>
      <c r="AT39" s="1144">
        <v>2</v>
      </c>
      <c r="AU39" s="1144">
        <v>2</v>
      </c>
      <c r="AV39" s="1144">
        <v>2</v>
      </c>
      <c r="AW39" s="1144">
        <v>2</v>
      </c>
      <c r="AX39" s="1144">
        <v>2</v>
      </c>
      <c r="AY39" s="1144">
        <v>2</v>
      </c>
      <c r="AZ39" s="1144">
        <v>2</v>
      </c>
      <c r="BA39" s="1144">
        <v>2</v>
      </c>
      <c r="BB39" s="1144">
        <v>2</v>
      </c>
      <c r="BC39" s="1144">
        <v>2</v>
      </c>
      <c r="BD39" s="1144">
        <v>2</v>
      </c>
      <c r="BE39" s="1144">
        <v>2</v>
      </c>
      <c r="BF39" s="1144">
        <v>2</v>
      </c>
      <c r="BG39" s="1144">
        <v>2</v>
      </c>
      <c r="BH39" s="1144">
        <v>2</v>
      </c>
      <c r="BI39" s="1144">
        <v>2</v>
      </c>
      <c r="BJ39" s="1144">
        <v>2</v>
      </c>
      <c r="BK39" s="1144">
        <v>2</v>
      </c>
      <c r="BL39" s="1145">
        <v>2</v>
      </c>
      <c r="BM39" s="1145">
        <v>2</v>
      </c>
      <c r="BN39" s="1144">
        <v>2</v>
      </c>
      <c r="BO39" s="1144">
        <v>2</v>
      </c>
      <c r="BP39" s="1144">
        <v>2</v>
      </c>
      <c r="BQ39" s="1144">
        <v>2</v>
      </c>
      <c r="BR39" s="1144">
        <v>2</v>
      </c>
      <c r="BS39" s="1144">
        <v>2</v>
      </c>
      <c r="BT39" s="1144">
        <v>2</v>
      </c>
      <c r="BU39" s="1144">
        <v>2</v>
      </c>
      <c r="BV39" s="1144">
        <v>2</v>
      </c>
      <c r="BW39" s="1144">
        <v>2</v>
      </c>
      <c r="BX39" s="1144">
        <v>2</v>
      </c>
      <c r="BY39" s="1144">
        <v>2</v>
      </c>
      <c r="BZ39" s="1144">
        <v>2</v>
      </c>
      <c r="CA39" s="1144">
        <v>2</v>
      </c>
      <c r="CB39" s="1144">
        <v>2</v>
      </c>
      <c r="CC39" s="1144">
        <v>2</v>
      </c>
      <c r="CD39" s="1144">
        <v>2</v>
      </c>
      <c r="CE39" s="1144">
        <v>2</v>
      </c>
      <c r="CF39" s="1144">
        <v>2</v>
      </c>
      <c r="CG39" s="1144">
        <v>2</v>
      </c>
      <c r="CH39" s="1144">
        <v>2</v>
      </c>
      <c r="CI39" s="1144">
        <v>2</v>
      </c>
      <c r="CJ39" s="1144">
        <v>2</v>
      </c>
      <c r="CK39" s="1144">
        <v>2</v>
      </c>
      <c r="CL39" s="1144">
        <v>2</v>
      </c>
      <c r="CM39" s="1144">
        <v>2</v>
      </c>
      <c r="CN39" s="1144">
        <v>2</v>
      </c>
      <c r="CO39" s="1144">
        <v>2</v>
      </c>
      <c r="CP39" s="1144">
        <v>2</v>
      </c>
      <c r="CQ39" s="1144">
        <v>2</v>
      </c>
      <c r="CR39" s="1144">
        <v>2</v>
      </c>
      <c r="CS39" s="1144">
        <v>2</v>
      </c>
      <c r="CT39" s="1144">
        <v>2</v>
      </c>
      <c r="CU39" s="1144">
        <v>2</v>
      </c>
      <c r="CV39" s="1144">
        <v>2</v>
      </c>
      <c r="CW39" s="1144">
        <v>2</v>
      </c>
      <c r="CX39" s="1144">
        <v>2</v>
      </c>
      <c r="CY39" s="1144">
        <v>2</v>
      </c>
      <c r="CZ39" s="1144">
        <v>2</v>
      </c>
      <c r="DA39" s="1144">
        <v>2</v>
      </c>
      <c r="DB39" s="1144">
        <v>2</v>
      </c>
      <c r="DC39" s="1144">
        <v>2</v>
      </c>
      <c r="DD39" s="1144">
        <v>2</v>
      </c>
      <c r="DE39" s="1144">
        <v>2</v>
      </c>
      <c r="DF39" s="1144">
        <v>2</v>
      </c>
      <c r="DG39" s="1144">
        <v>2</v>
      </c>
      <c r="DH39" s="1144">
        <v>2</v>
      </c>
      <c r="DI39" s="1144">
        <v>2</v>
      </c>
      <c r="DJ39" s="1144">
        <v>2</v>
      </c>
      <c r="DK39" s="1144">
        <v>2</v>
      </c>
      <c r="DL39" s="1144">
        <v>2</v>
      </c>
      <c r="DM39" s="1144">
        <v>2</v>
      </c>
      <c r="DN39" s="1144">
        <v>2</v>
      </c>
      <c r="DO39" s="1144">
        <v>2</v>
      </c>
      <c r="DP39" s="1144">
        <v>2</v>
      </c>
      <c r="DQ39" s="1144">
        <v>2</v>
      </c>
      <c r="DR39" s="1144">
        <v>2</v>
      </c>
      <c r="DS39" s="1145">
        <v>2</v>
      </c>
      <c r="DT39" s="1145">
        <v>2</v>
      </c>
      <c r="DU39" s="1144">
        <v>2</v>
      </c>
      <c r="DV39" s="1145">
        <v>2</v>
      </c>
      <c r="DW39" s="1144">
        <v>2</v>
      </c>
      <c r="DX39" s="1145">
        <v>2</v>
      </c>
      <c r="DY39" s="1144">
        <v>2</v>
      </c>
      <c r="DZ39" s="1144">
        <v>2</v>
      </c>
      <c r="EA39" s="1145">
        <v>2</v>
      </c>
      <c r="EB39" s="1144">
        <v>2</v>
      </c>
      <c r="EC39" s="1144">
        <v>2</v>
      </c>
      <c r="ED39" s="1144">
        <v>2</v>
      </c>
      <c r="EE39" s="1144">
        <v>2</v>
      </c>
      <c r="EF39" s="1144">
        <v>2</v>
      </c>
      <c r="EG39" s="1144">
        <v>2</v>
      </c>
      <c r="EH39" s="1144">
        <v>2</v>
      </c>
      <c r="EI39" s="1144">
        <v>2</v>
      </c>
      <c r="EJ39" s="1144">
        <v>2</v>
      </c>
      <c r="EK39" s="1144">
        <v>2</v>
      </c>
      <c r="EL39" s="1144">
        <v>2</v>
      </c>
      <c r="EM39" s="1144">
        <v>2</v>
      </c>
      <c r="EN39" s="1144">
        <v>2</v>
      </c>
      <c r="EO39" s="1144">
        <v>1</v>
      </c>
      <c r="EP39" s="1144">
        <v>1</v>
      </c>
      <c r="EQ39" s="1144">
        <v>1</v>
      </c>
      <c r="ER39" s="1144">
        <v>1</v>
      </c>
      <c r="ES39" s="1144">
        <v>1</v>
      </c>
      <c r="ET39" s="1144">
        <v>1</v>
      </c>
      <c r="EU39" s="1144">
        <v>1</v>
      </c>
      <c r="EV39" s="1144">
        <v>1</v>
      </c>
      <c r="EW39" s="1144">
        <v>1</v>
      </c>
      <c r="EX39" s="1144">
        <v>1</v>
      </c>
      <c r="EY39" s="1144">
        <v>1</v>
      </c>
      <c r="EZ39" s="1144">
        <v>1</v>
      </c>
      <c r="FA39" s="1144">
        <v>1</v>
      </c>
      <c r="FB39" s="1144">
        <v>2</v>
      </c>
      <c r="FC39" s="1144">
        <v>2</v>
      </c>
      <c r="FD39" s="1144">
        <v>2</v>
      </c>
      <c r="FE39" s="1144">
        <v>2</v>
      </c>
      <c r="FF39" s="1144">
        <v>2</v>
      </c>
      <c r="FG39" s="1144">
        <v>2</v>
      </c>
      <c r="FH39" s="1144">
        <v>2</v>
      </c>
      <c r="FI39" s="1144">
        <v>2</v>
      </c>
      <c r="FJ39" s="1144">
        <v>2</v>
      </c>
      <c r="FK39" s="1144">
        <v>2</v>
      </c>
      <c r="FL39" s="1144">
        <v>2</v>
      </c>
      <c r="FM39" s="1144">
        <v>2</v>
      </c>
      <c r="FN39" s="1144">
        <v>2</v>
      </c>
      <c r="FO39" s="1144">
        <v>2</v>
      </c>
      <c r="FP39" s="1144">
        <v>2</v>
      </c>
      <c r="FQ39" s="1144">
        <v>2</v>
      </c>
      <c r="FR39" s="1144">
        <v>2</v>
      </c>
      <c r="FS39" s="1144">
        <v>2</v>
      </c>
      <c r="FT39" s="1145">
        <v>2</v>
      </c>
      <c r="FU39" s="1145">
        <v>2</v>
      </c>
      <c r="FV39" s="1145">
        <v>2</v>
      </c>
      <c r="FW39" s="1144">
        <v>2</v>
      </c>
      <c r="FX39" s="1144">
        <v>2</v>
      </c>
      <c r="FY39" s="1144">
        <v>2</v>
      </c>
      <c r="FZ39" s="1144">
        <v>2</v>
      </c>
      <c r="GA39" s="1144">
        <v>2</v>
      </c>
      <c r="GB39" s="1144">
        <v>2</v>
      </c>
      <c r="GC39" s="1144">
        <v>2</v>
      </c>
      <c r="GD39" s="1144">
        <v>2</v>
      </c>
      <c r="GE39" s="1144">
        <v>2</v>
      </c>
      <c r="GF39" s="1144">
        <v>2</v>
      </c>
      <c r="GG39" s="1144">
        <v>2</v>
      </c>
      <c r="GH39" s="1144">
        <v>2</v>
      </c>
      <c r="GI39" s="1144">
        <v>2</v>
      </c>
      <c r="GJ39" s="1144">
        <v>2</v>
      </c>
      <c r="GK39" s="1144">
        <v>2</v>
      </c>
      <c r="GL39" s="1144">
        <v>2</v>
      </c>
      <c r="GM39" s="1144">
        <v>2</v>
      </c>
      <c r="GN39" s="1144">
        <v>2</v>
      </c>
      <c r="GO39" s="1144">
        <v>2</v>
      </c>
      <c r="GP39" s="1144">
        <v>2</v>
      </c>
      <c r="GQ39" s="1144">
        <v>2</v>
      </c>
      <c r="GR39" s="1144">
        <v>2</v>
      </c>
      <c r="GS39" s="1144">
        <v>2</v>
      </c>
      <c r="GT39" s="1144">
        <v>2</v>
      </c>
      <c r="GU39" s="1144">
        <v>2</v>
      </c>
      <c r="GV39" s="1144">
        <v>2</v>
      </c>
      <c r="GW39" s="1144">
        <v>2</v>
      </c>
      <c r="GX39" s="1144">
        <v>2</v>
      </c>
      <c r="GY39" s="1144">
        <v>2</v>
      </c>
      <c r="GZ39" s="1144">
        <v>2</v>
      </c>
      <c r="HA39" s="1144">
        <v>2</v>
      </c>
      <c r="HB39" s="1144">
        <v>2</v>
      </c>
      <c r="HC39" s="1144">
        <v>2</v>
      </c>
      <c r="HD39" s="1144">
        <v>2</v>
      </c>
      <c r="HE39" s="1144">
        <v>2</v>
      </c>
      <c r="HF39" s="1144">
        <v>2</v>
      </c>
      <c r="HG39" s="1144">
        <v>2</v>
      </c>
      <c r="HH39" s="1144">
        <v>2</v>
      </c>
      <c r="HI39" s="1144">
        <v>2</v>
      </c>
      <c r="HJ39" s="1144">
        <v>2</v>
      </c>
      <c r="HK39" s="1144">
        <v>2</v>
      </c>
      <c r="HL39" s="1144">
        <v>2</v>
      </c>
      <c r="HM39" s="1144">
        <v>2</v>
      </c>
      <c r="HN39" s="1144">
        <v>2</v>
      </c>
      <c r="HO39" s="1144">
        <v>2</v>
      </c>
      <c r="HP39" s="1144">
        <v>2</v>
      </c>
      <c r="HQ39" s="1144">
        <v>2</v>
      </c>
      <c r="HR39" s="1144">
        <v>2</v>
      </c>
      <c r="HS39" s="1144">
        <v>2</v>
      </c>
      <c r="HT39" s="1144">
        <v>2</v>
      </c>
      <c r="HU39" s="1144">
        <v>2</v>
      </c>
      <c r="HV39" s="1144">
        <v>2</v>
      </c>
      <c r="HW39" s="1144">
        <v>2</v>
      </c>
      <c r="HX39" s="1144">
        <v>2</v>
      </c>
      <c r="HY39" s="1144">
        <v>2</v>
      </c>
      <c r="HZ39" s="1144">
        <v>2</v>
      </c>
      <c r="IA39" s="1144">
        <v>2</v>
      </c>
      <c r="IB39" s="1144">
        <v>2</v>
      </c>
      <c r="IC39" s="1144">
        <v>2</v>
      </c>
      <c r="ID39" s="1144">
        <v>2</v>
      </c>
      <c r="IE39" s="1144">
        <v>2</v>
      </c>
      <c r="IF39" s="1144">
        <v>2</v>
      </c>
      <c r="IG39" s="1144">
        <v>2</v>
      </c>
      <c r="IH39" s="1144">
        <v>2</v>
      </c>
      <c r="II39" s="1144">
        <v>2</v>
      </c>
      <c r="IJ39" s="1144">
        <v>2</v>
      </c>
      <c r="IK39" s="1144">
        <v>2</v>
      </c>
      <c r="IL39" s="1144">
        <v>2</v>
      </c>
      <c r="IM39" s="1144">
        <v>2</v>
      </c>
      <c r="IN39" s="1144">
        <v>2</v>
      </c>
      <c r="IO39" s="1144">
        <v>2</v>
      </c>
      <c r="IP39" s="1144">
        <v>2</v>
      </c>
      <c r="IQ39" s="1144">
        <v>2</v>
      </c>
      <c r="IR39" s="1144">
        <v>2</v>
      </c>
      <c r="IS39" s="1144">
        <v>2</v>
      </c>
      <c r="IT39" s="1144">
        <v>2</v>
      </c>
      <c r="IU39" s="1144">
        <v>2</v>
      </c>
      <c r="IV39" s="1144">
        <v>2</v>
      </c>
      <c r="IW39" s="1144">
        <v>2</v>
      </c>
      <c r="IX39" s="1144">
        <v>2</v>
      </c>
      <c r="IY39" s="1144">
        <v>2</v>
      </c>
      <c r="IZ39" s="1144">
        <v>2</v>
      </c>
      <c r="JA39" s="1144">
        <v>2</v>
      </c>
      <c r="JB39" s="1144">
        <v>2</v>
      </c>
      <c r="JC39" s="1144">
        <v>2</v>
      </c>
      <c r="JD39" s="1146"/>
      <c r="JE39" s="1144">
        <v>2</v>
      </c>
      <c r="JF39" s="1144">
        <v>2</v>
      </c>
      <c r="JG39" s="1144">
        <v>2</v>
      </c>
      <c r="JH39" s="1144">
        <v>2</v>
      </c>
      <c r="JI39" s="1144">
        <v>2</v>
      </c>
      <c r="JJ39" s="1144">
        <v>2</v>
      </c>
      <c r="JK39" s="1144">
        <v>2</v>
      </c>
      <c r="JL39" s="1144">
        <v>2</v>
      </c>
      <c r="JM39" s="1144">
        <v>2</v>
      </c>
      <c r="JN39" s="1144">
        <v>2</v>
      </c>
      <c r="JO39" s="1144">
        <v>2</v>
      </c>
      <c r="JP39" s="1144">
        <v>2</v>
      </c>
      <c r="JQ39" s="1144">
        <v>2</v>
      </c>
      <c r="JR39" s="1144">
        <v>2</v>
      </c>
      <c r="JS39" s="1144">
        <v>2</v>
      </c>
      <c r="JT39" s="1144">
        <v>2</v>
      </c>
      <c r="JU39" s="1144">
        <v>2</v>
      </c>
      <c r="JV39" s="1144">
        <v>2</v>
      </c>
      <c r="JW39" s="1144">
        <v>2</v>
      </c>
      <c r="JX39" s="1144">
        <v>2</v>
      </c>
      <c r="JY39" s="1144">
        <v>2</v>
      </c>
      <c r="JZ39" s="1144">
        <v>2</v>
      </c>
      <c r="KA39" s="1144">
        <v>2</v>
      </c>
      <c r="KB39" s="1144">
        <v>2</v>
      </c>
      <c r="KC39" s="1144">
        <v>2</v>
      </c>
      <c r="KD39" s="1144">
        <v>2</v>
      </c>
      <c r="KE39" s="1144">
        <v>2</v>
      </c>
    </row>
    <row r="40" spans="1:291" ht="24" customHeight="1" outlineLevel="1">
      <c r="A40" s="78"/>
      <c r="B40" s="83">
        <v>757</v>
      </c>
      <c r="C40" s="437" t="s">
        <v>2986</v>
      </c>
      <c r="D40" s="1144">
        <v>54</v>
      </c>
      <c r="E40" s="1144">
        <v>54</v>
      </c>
      <c r="F40" s="1144">
        <v>54</v>
      </c>
      <c r="G40" s="1144">
        <v>54</v>
      </c>
      <c r="H40" s="1144">
        <v>54</v>
      </c>
      <c r="I40" s="1144">
        <v>54</v>
      </c>
      <c r="J40" s="1144">
        <v>54</v>
      </c>
      <c r="K40" s="1144">
        <v>54</v>
      </c>
      <c r="L40" s="1144">
        <v>54</v>
      </c>
      <c r="M40" s="1144">
        <v>54</v>
      </c>
      <c r="N40" s="1144">
        <v>54</v>
      </c>
      <c r="O40" s="1144">
        <v>54</v>
      </c>
      <c r="P40" s="1144">
        <v>54</v>
      </c>
      <c r="Q40" s="1144">
        <v>54</v>
      </c>
      <c r="R40" s="1144">
        <v>54</v>
      </c>
      <c r="S40" s="1144">
        <v>54</v>
      </c>
      <c r="T40" s="1144">
        <v>54</v>
      </c>
      <c r="U40" s="1144">
        <v>54</v>
      </c>
      <c r="V40" s="1144">
        <v>54</v>
      </c>
      <c r="W40" s="1144">
        <v>54</v>
      </c>
      <c r="X40" s="1144">
        <v>54</v>
      </c>
      <c r="Y40" s="1144">
        <v>54</v>
      </c>
      <c r="Z40" s="1144">
        <v>54</v>
      </c>
      <c r="AA40" s="1144">
        <v>54</v>
      </c>
      <c r="AB40" s="1144">
        <v>54</v>
      </c>
      <c r="AC40" s="1144">
        <v>54</v>
      </c>
      <c r="AD40" s="1144">
        <v>54</v>
      </c>
      <c r="AE40" s="1144">
        <v>54</v>
      </c>
      <c r="AF40" s="1144">
        <v>54</v>
      </c>
      <c r="AG40" s="1144">
        <v>54</v>
      </c>
      <c r="AH40" s="1144">
        <v>50</v>
      </c>
      <c r="AI40" s="1144">
        <v>50</v>
      </c>
      <c r="AJ40" s="1144">
        <v>50</v>
      </c>
      <c r="AK40" s="1144">
        <v>50</v>
      </c>
      <c r="AL40" s="1144">
        <v>54</v>
      </c>
      <c r="AM40" s="1144">
        <v>54</v>
      </c>
      <c r="AN40" s="1144">
        <v>54</v>
      </c>
      <c r="AO40" s="1144">
        <v>54</v>
      </c>
      <c r="AP40" s="1144">
        <v>54</v>
      </c>
      <c r="AQ40" s="1144">
        <v>54</v>
      </c>
      <c r="AR40" s="1144">
        <v>54</v>
      </c>
      <c r="AS40" s="1144">
        <v>54</v>
      </c>
      <c r="AT40" s="1144">
        <v>54</v>
      </c>
      <c r="AU40" s="1144">
        <v>54</v>
      </c>
      <c r="AV40" s="1144">
        <v>54</v>
      </c>
      <c r="AW40" s="1144">
        <v>54</v>
      </c>
      <c r="AX40" s="1144">
        <v>54</v>
      </c>
      <c r="AY40" s="1144">
        <v>54</v>
      </c>
      <c r="AZ40" s="1144">
        <v>54</v>
      </c>
      <c r="BA40" s="1144">
        <v>54</v>
      </c>
      <c r="BB40" s="1144">
        <v>54</v>
      </c>
      <c r="BC40" s="1144">
        <v>54</v>
      </c>
      <c r="BD40" s="1144">
        <v>54</v>
      </c>
      <c r="BE40" s="1144">
        <v>54</v>
      </c>
      <c r="BF40" s="1144">
        <v>54</v>
      </c>
      <c r="BG40" s="1144">
        <v>54</v>
      </c>
      <c r="BH40" s="1144">
        <v>54</v>
      </c>
      <c r="BI40" s="1144">
        <v>54</v>
      </c>
      <c r="BJ40" s="1144">
        <v>54</v>
      </c>
      <c r="BK40" s="1144">
        <v>54</v>
      </c>
      <c r="BL40" s="1145">
        <v>54</v>
      </c>
      <c r="BM40" s="1145">
        <v>54</v>
      </c>
      <c r="BN40" s="1144">
        <v>54</v>
      </c>
      <c r="BO40" s="1144">
        <v>54</v>
      </c>
      <c r="BP40" s="1144">
        <v>54</v>
      </c>
      <c r="BQ40" s="1144">
        <v>54</v>
      </c>
      <c r="BR40" s="1144">
        <v>54</v>
      </c>
      <c r="BS40" s="1144">
        <v>54</v>
      </c>
      <c r="BT40" s="1144">
        <v>54</v>
      </c>
      <c r="BU40" s="1144">
        <v>54</v>
      </c>
      <c r="BV40" s="1144">
        <v>54</v>
      </c>
      <c r="BW40" s="1144">
        <v>54</v>
      </c>
      <c r="BX40" s="1144">
        <v>54</v>
      </c>
      <c r="BY40" s="1144">
        <v>54</v>
      </c>
      <c r="BZ40" s="1144">
        <v>54</v>
      </c>
      <c r="CA40" s="1144">
        <v>54</v>
      </c>
      <c r="CB40" s="1144">
        <v>54</v>
      </c>
      <c r="CC40" s="1144">
        <v>54</v>
      </c>
      <c r="CD40" s="1144">
        <v>54</v>
      </c>
      <c r="CE40" s="1144">
        <v>54</v>
      </c>
      <c r="CF40" s="1144">
        <v>54</v>
      </c>
      <c r="CG40" s="1144">
        <v>54</v>
      </c>
      <c r="CH40" s="1144">
        <v>54</v>
      </c>
      <c r="CI40" s="1144">
        <v>54</v>
      </c>
      <c r="CJ40" s="1144">
        <v>54</v>
      </c>
      <c r="CK40" s="1144">
        <v>54</v>
      </c>
      <c r="CL40" s="1144">
        <v>54</v>
      </c>
      <c r="CM40" s="1144">
        <v>54</v>
      </c>
      <c r="CN40" s="1144">
        <v>50</v>
      </c>
      <c r="CO40" s="1144">
        <v>54</v>
      </c>
      <c r="CP40" s="1144">
        <v>54</v>
      </c>
      <c r="CQ40" s="1144">
        <v>54</v>
      </c>
      <c r="CR40" s="1144">
        <v>54</v>
      </c>
      <c r="CS40" s="1144">
        <v>54</v>
      </c>
      <c r="CT40" s="1144">
        <v>54</v>
      </c>
      <c r="CU40" s="1144">
        <v>54</v>
      </c>
      <c r="CV40" s="1144">
        <v>54</v>
      </c>
      <c r="CW40" s="1144">
        <v>54</v>
      </c>
      <c r="CX40" s="1144">
        <v>54</v>
      </c>
      <c r="CY40" s="1144">
        <v>54</v>
      </c>
      <c r="CZ40" s="1144">
        <v>54</v>
      </c>
      <c r="DA40" s="1144">
        <v>54</v>
      </c>
      <c r="DB40" s="1144">
        <v>54</v>
      </c>
      <c r="DC40" s="1144">
        <v>54</v>
      </c>
      <c r="DD40" s="1144">
        <v>54</v>
      </c>
      <c r="DE40" s="1144">
        <v>54</v>
      </c>
      <c r="DF40" s="1144">
        <v>54</v>
      </c>
      <c r="DG40" s="1144">
        <v>54</v>
      </c>
      <c r="DH40" s="1144">
        <v>54</v>
      </c>
      <c r="DI40" s="1144">
        <v>54</v>
      </c>
      <c r="DJ40" s="1144">
        <v>54</v>
      </c>
      <c r="DK40" s="1144">
        <v>54</v>
      </c>
      <c r="DL40" s="1144">
        <v>54</v>
      </c>
      <c r="DM40" s="1144">
        <v>50</v>
      </c>
      <c r="DN40" s="1144">
        <v>50</v>
      </c>
      <c r="DO40" s="1144">
        <v>50</v>
      </c>
      <c r="DP40" s="1144">
        <v>50</v>
      </c>
      <c r="DQ40" s="1144">
        <v>50</v>
      </c>
      <c r="DR40" s="1144">
        <v>50</v>
      </c>
      <c r="DS40" s="1145">
        <v>54</v>
      </c>
      <c r="DT40" s="1145">
        <v>54</v>
      </c>
      <c r="DU40" s="1144">
        <v>50</v>
      </c>
      <c r="DV40" s="1145">
        <v>54</v>
      </c>
      <c r="DW40" s="1144">
        <v>50</v>
      </c>
      <c r="DX40" s="1145">
        <v>54</v>
      </c>
      <c r="DY40" s="1144">
        <v>50</v>
      </c>
      <c r="DZ40" s="1144">
        <v>50</v>
      </c>
      <c r="EA40" s="1145">
        <v>54</v>
      </c>
      <c r="EB40" s="1144">
        <v>50</v>
      </c>
      <c r="EC40" s="1144">
        <v>50</v>
      </c>
      <c r="ED40" s="1144">
        <v>50</v>
      </c>
      <c r="EE40" s="1144">
        <v>50</v>
      </c>
      <c r="EF40" s="1144">
        <v>50</v>
      </c>
      <c r="EG40" s="1144">
        <v>54</v>
      </c>
      <c r="EH40" s="1144">
        <v>54</v>
      </c>
      <c r="EI40" s="1144">
        <v>54</v>
      </c>
      <c r="EJ40" s="1144">
        <v>54</v>
      </c>
      <c r="EK40" s="1144">
        <v>54</v>
      </c>
      <c r="EL40" s="1144">
        <v>54</v>
      </c>
      <c r="EM40" s="1144">
        <v>54</v>
      </c>
      <c r="EN40" s="1144">
        <v>50</v>
      </c>
      <c r="EO40" s="1144">
        <v>50</v>
      </c>
      <c r="EP40" s="1144">
        <v>50</v>
      </c>
      <c r="EQ40" s="1144">
        <v>50</v>
      </c>
      <c r="ER40" s="1144">
        <v>50</v>
      </c>
      <c r="ES40" s="1144">
        <v>50</v>
      </c>
      <c r="ET40" s="1144">
        <v>50</v>
      </c>
      <c r="EU40" s="1144">
        <v>50</v>
      </c>
      <c r="EV40" s="1144">
        <v>50</v>
      </c>
      <c r="EW40" s="1144">
        <v>50</v>
      </c>
      <c r="EX40" s="1144">
        <v>50</v>
      </c>
      <c r="EY40" s="1144">
        <v>50</v>
      </c>
      <c r="EZ40" s="1144">
        <v>50</v>
      </c>
      <c r="FA40" s="1144">
        <v>50</v>
      </c>
      <c r="FB40" s="1144">
        <v>50</v>
      </c>
      <c r="FC40" s="1144">
        <v>50</v>
      </c>
      <c r="FD40" s="1144">
        <v>50</v>
      </c>
      <c r="FE40" s="1144">
        <v>50</v>
      </c>
      <c r="FF40" s="1144">
        <v>50</v>
      </c>
      <c r="FG40" s="1144">
        <v>50</v>
      </c>
      <c r="FH40" s="1144">
        <v>54</v>
      </c>
      <c r="FI40" s="1144">
        <v>54</v>
      </c>
      <c r="FJ40" s="1144">
        <v>50</v>
      </c>
      <c r="FK40" s="1144">
        <v>50</v>
      </c>
      <c r="FL40" s="1144">
        <v>50</v>
      </c>
      <c r="FM40" s="1144">
        <v>50</v>
      </c>
      <c r="FN40" s="1144">
        <v>50</v>
      </c>
      <c r="FO40" s="1144">
        <v>50</v>
      </c>
      <c r="FP40" s="1144">
        <v>50</v>
      </c>
      <c r="FQ40" s="1144">
        <v>50</v>
      </c>
      <c r="FR40" s="1144">
        <v>50</v>
      </c>
      <c r="FS40" s="1144">
        <v>54</v>
      </c>
      <c r="FT40" s="1145">
        <v>54</v>
      </c>
      <c r="FU40" s="1145">
        <v>54</v>
      </c>
      <c r="FV40" s="1145">
        <v>54</v>
      </c>
      <c r="FW40" s="1144">
        <v>54</v>
      </c>
      <c r="FX40" s="1144">
        <v>54</v>
      </c>
      <c r="FY40" s="1144">
        <v>50</v>
      </c>
      <c r="FZ40" s="1144">
        <v>50</v>
      </c>
      <c r="GA40" s="1144">
        <v>50</v>
      </c>
      <c r="GB40" s="1144">
        <v>50</v>
      </c>
      <c r="GC40" s="1144">
        <v>54</v>
      </c>
      <c r="GD40" s="1144">
        <v>54</v>
      </c>
      <c r="GE40" s="1144">
        <v>54</v>
      </c>
      <c r="GF40" s="1144">
        <v>54</v>
      </c>
      <c r="GG40" s="1144">
        <v>54</v>
      </c>
      <c r="GH40" s="1144">
        <v>54</v>
      </c>
      <c r="GI40" s="1144">
        <v>54</v>
      </c>
      <c r="GJ40" s="1144">
        <v>54</v>
      </c>
      <c r="GK40" s="1144">
        <v>54</v>
      </c>
      <c r="GL40" s="1144">
        <v>54</v>
      </c>
      <c r="GM40" s="1144">
        <v>54</v>
      </c>
      <c r="GN40" s="1144">
        <v>54</v>
      </c>
      <c r="GO40" s="1144">
        <v>54</v>
      </c>
      <c r="GP40" s="1144">
        <v>54</v>
      </c>
      <c r="GQ40" s="1144">
        <v>54</v>
      </c>
      <c r="GR40" s="1144">
        <v>54</v>
      </c>
      <c r="GS40" s="1144">
        <v>54</v>
      </c>
      <c r="GT40" s="1144">
        <v>54</v>
      </c>
      <c r="GU40" s="1144">
        <v>54</v>
      </c>
      <c r="GV40" s="1144">
        <v>54</v>
      </c>
      <c r="GW40" s="1144">
        <v>54</v>
      </c>
      <c r="GX40" s="1144">
        <v>54</v>
      </c>
      <c r="GY40" s="1144">
        <v>54</v>
      </c>
      <c r="GZ40" s="1144">
        <v>54</v>
      </c>
      <c r="HA40" s="1144">
        <v>54</v>
      </c>
      <c r="HB40" s="1144">
        <v>54</v>
      </c>
      <c r="HC40" s="1144">
        <v>54</v>
      </c>
      <c r="HD40" s="1144">
        <v>54</v>
      </c>
      <c r="HE40" s="1144">
        <v>54</v>
      </c>
      <c r="HF40" s="1144">
        <v>54</v>
      </c>
      <c r="HG40" s="1144">
        <v>54</v>
      </c>
      <c r="HH40" s="1144">
        <v>54</v>
      </c>
      <c r="HI40" s="1144">
        <v>54</v>
      </c>
      <c r="HJ40" s="1144">
        <v>54</v>
      </c>
      <c r="HK40" s="1144">
        <v>54</v>
      </c>
      <c r="HL40" s="1144">
        <v>54</v>
      </c>
      <c r="HM40" s="1144">
        <v>54</v>
      </c>
      <c r="HN40" s="1144">
        <v>54</v>
      </c>
      <c r="HO40" s="1144">
        <v>54</v>
      </c>
      <c r="HP40" s="1144">
        <v>50</v>
      </c>
      <c r="HQ40" s="1144">
        <v>50</v>
      </c>
      <c r="HR40" s="1144">
        <v>50</v>
      </c>
      <c r="HS40" s="1144">
        <v>50</v>
      </c>
      <c r="HT40" s="1144">
        <v>50</v>
      </c>
      <c r="HU40" s="1144">
        <v>50</v>
      </c>
      <c r="HV40" s="1144">
        <v>50</v>
      </c>
      <c r="HW40" s="1144">
        <v>50</v>
      </c>
      <c r="HX40" s="1144">
        <v>50</v>
      </c>
      <c r="HY40" s="1144">
        <v>50</v>
      </c>
      <c r="HZ40" s="1144">
        <v>50</v>
      </c>
      <c r="IA40" s="1144">
        <v>50</v>
      </c>
      <c r="IB40" s="1144">
        <v>50</v>
      </c>
      <c r="IC40" s="1144">
        <v>50</v>
      </c>
      <c r="ID40" s="1144">
        <v>50</v>
      </c>
      <c r="IE40" s="1144">
        <v>50</v>
      </c>
      <c r="IF40" s="1144">
        <v>50</v>
      </c>
      <c r="IG40" s="1144">
        <v>50</v>
      </c>
      <c r="IH40" s="1144">
        <v>50</v>
      </c>
      <c r="II40" s="1144">
        <v>50</v>
      </c>
      <c r="IJ40" s="1144">
        <v>50</v>
      </c>
      <c r="IK40" s="1144">
        <v>50</v>
      </c>
      <c r="IL40" s="1144">
        <v>50</v>
      </c>
      <c r="IM40" s="1144">
        <v>50</v>
      </c>
      <c r="IN40" s="1144">
        <v>50</v>
      </c>
      <c r="IO40" s="1144">
        <v>50</v>
      </c>
      <c r="IP40" s="1144">
        <v>50</v>
      </c>
      <c r="IQ40" s="1144">
        <v>50</v>
      </c>
      <c r="IR40" s="1144">
        <v>50</v>
      </c>
      <c r="IS40" s="1144">
        <v>50</v>
      </c>
      <c r="IT40" s="1144">
        <v>50</v>
      </c>
      <c r="IU40" s="1144">
        <v>50</v>
      </c>
      <c r="IV40" s="1144">
        <v>50</v>
      </c>
      <c r="IW40" s="1144">
        <v>50</v>
      </c>
      <c r="IX40" s="1144">
        <v>50</v>
      </c>
      <c r="IY40" s="1144">
        <v>50</v>
      </c>
      <c r="IZ40" s="1144">
        <v>50</v>
      </c>
      <c r="JA40" s="1144">
        <v>50</v>
      </c>
      <c r="JB40" s="1144">
        <v>50</v>
      </c>
      <c r="JC40" s="1144">
        <v>50</v>
      </c>
      <c r="JD40" s="1146"/>
      <c r="JE40" s="1144">
        <v>50</v>
      </c>
      <c r="JF40" s="1144">
        <v>50</v>
      </c>
      <c r="JG40" s="1144">
        <v>50</v>
      </c>
      <c r="JH40" s="1144">
        <v>50</v>
      </c>
      <c r="JI40" s="1144">
        <v>50</v>
      </c>
      <c r="JJ40" s="1144">
        <v>50</v>
      </c>
      <c r="JK40" s="1144">
        <v>50</v>
      </c>
      <c r="JL40" s="1144">
        <v>50</v>
      </c>
      <c r="JM40" s="1144">
        <v>50</v>
      </c>
      <c r="JN40" s="1144">
        <v>50</v>
      </c>
      <c r="JO40" s="1144">
        <v>50</v>
      </c>
      <c r="JP40" s="1144">
        <v>50</v>
      </c>
      <c r="JQ40" s="1144">
        <v>50</v>
      </c>
      <c r="JR40" s="1144">
        <v>50</v>
      </c>
      <c r="JS40" s="1144">
        <v>50</v>
      </c>
      <c r="JT40" s="1144">
        <v>50</v>
      </c>
      <c r="JU40" s="1144">
        <v>50</v>
      </c>
      <c r="JV40" s="1144">
        <v>50</v>
      </c>
      <c r="JW40" s="1144">
        <v>50</v>
      </c>
      <c r="JX40" s="1144">
        <v>50</v>
      </c>
      <c r="JY40" s="1144">
        <v>50</v>
      </c>
      <c r="JZ40" s="1144">
        <v>50</v>
      </c>
      <c r="KA40" s="1144">
        <v>50</v>
      </c>
      <c r="KB40" s="1144">
        <v>50</v>
      </c>
      <c r="KC40" s="1144">
        <v>50</v>
      </c>
      <c r="KD40" s="1144">
        <v>50</v>
      </c>
      <c r="KE40" s="1144">
        <v>50</v>
      </c>
    </row>
    <row r="41" spans="1:291" outlineLevel="1">
      <c r="A41" s="78"/>
      <c r="B41" s="83">
        <v>758</v>
      </c>
      <c r="C41" s="437" t="s">
        <v>2987</v>
      </c>
      <c r="D41" s="1144">
        <v>1</v>
      </c>
      <c r="E41" s="1144">
        <v>1</v>
      </c>
      <c r="F41" s="1144">
        <v>1</v>
      </c>
      <c r="G41" s="1144">
        <v>1</v>
      </c>
      <c r="H41" s="1144">
        <v>1</v>
      </c>
      <c r="I41" s="1144">
        <v>1</v>
      </c>
      <c r="J41" s="1144">
        <v>1</v>
      </c>
      <c r="K41" s="1144">
        <v>1</v>
      </c>
      <c r="L41" s="1144">
        <v>1</v>
      </c>
      <c r="M41" s="1144">
        <v>1</v>
      </c>
      <c r="N41" s="1144">
        <v>1</v>
      </c>
      <c r="O41" s="1144">
        <v>1</v>
      </c>
      <c r="P41" s="1144">
        <v>1</v>
      </c>
      <c r="Q41" s="1144">
        <v>1</v>
      </c>
      <c r="R41" s="1144">
        <v>1</v>
      </c>
      <c r="S41" s="1144">
        <v>1</v>
      </c>
      <c r="T41" s="1144">
        <v>1</v>
      </c>
      <c r="U41" s="1144">
        <v>1</v>
      </c>
      <c r="V41" s="1144">
        <v>1</v>
      </c>
      <c r="W41" s="1144">
        <v>1</v>
      </c>
      <c r="X41" s="1144">
        <v>1</v>
      </c>
      <c r="Y41" s="1144">
        <v>1</v>
      </c>
      <c r="Z41" s="1144">
        <v>1</v>
      </c>
      <c r="AA41" s="1144">
        <v>1</v>
      </c>
      <c r="AB41" s="1144">
        <v>1</v>
      </c>
      <c r="AC41" s="1144">
        <v>1</v>
      </c>
      <c r="AD41" s="1144">
        <v>1</v>
      </c>
      <c r="AE41" s="1144">
        <v>1</v>
      </c>
      <c r="AF41" s="1144">
        <v>1</v>
      </c>
      <c r="AG41" s="1144">
        <v>1</v>
      </c>
      <c r="AH41" s="1144">
        <v>1</v>
      </c>
      <c r="AI41" s="1144">
        <v>1</v>
      </c>
      <c r="AJ41" s="1144">
        <v>1</v>
      </c>
      <c r="AK41" s="1144">
        <v>1</v>
      </c>
      <c r="AL41" s="1144">
        <v>1</v>
      </c>
      <c r="AM41" s="1144">
        <v>1</v>
      </c>
      <c r="AN41" s="1144">
        <v>1</v>
      </c>
      <c r="AO41" s="1144">
        <v>1</v>
      </c>
      <c r="AP41" s="1144">
        <v>1</v>
      </c>
      <c r="AQ41" s="1144">
        <v>1</v>
      </c>
      <c r="AR41" s="1144">
        <v>1</v>
      </c>
      <c r="AS41" s="1144">
        <v>1</v>
      </c>
      <c r="AT41" s="1144">
        <v>1</v>
      </c>
      <c r="AU41" s="1144">
        <v>1</v>
      </c>
      <c r="AV41" s="1144">
        <v>1</v>
      </c>
      <c r="AW41" s="1144">
        <v>1</v>
      </c>
      <c r="AX41" s="1144">
        <v>1</v>
      </c>
      <c r="AY41" s="1144">
        <v>1</v>
      </c>
      <c r="AZ41" s="1144">
        <v>1</v>
      </c>
      <c r="BA41" s="1144">
        <v>1</v>
      </c>
      <c r="BB41" s="1144">
        <v>1</v>
      </c>
      <c r="BC41" s="1144">
        <v>1</v>
      </c>
      <c r="BD41" s="1144">
        <v>1</v>
      </c>
      <c r="BE41" s="1144">
        <v>1</v>
      </c>
      <c r="BF41" s="1144">
        <v>1</v>
      </c>
      <c r="BG41" s="1144">
        <v>1</v>
      </c>
      <c r="BH41" s="1144">
        <v>1</v>
      </c>
      <c r="BI41" s="1144">
        <v>1</v>
      </c>
      <c r="BJ41" s="1144">
        <v>1</v>
      </c>
      <c r="BK41" s="1144">
        <v>1</v>
      </c>
      <c r="BL41" s="1145">
        <v>1</v>
      </c>
      <c r="BM41" s="1145">
        <v>1</v>
      </c>
      <c r="BN41" s="1144">
        <v>1</v>
      </c>
      <c r="BO41" s="1144">
        <v>1</v>
      </c>
      <c r="BP41" s="1144">
        <v>1</v>
      </c>
      <c r="BQ41" s="1144">
        <v>1</v>
      </c>
      <c r="BR41" s="1144">
        <v>1</v>
      </c>
      <c r="BS41" s="1144">
        <v>1</v>
      </c>
      <c r="BT41" s="1144">
        <v>1</v>
      </c>
      <c r="BU41" s="1144">
        <v>1</v>
      </c>
      <c r="BV41" s="1144">
        <v>1</v>
      </c>
      <c r="BW41" s="1144">
        <v>1</v>
      </c>
      <c r="BX41" s="1144">
        <v>1</v>
      </c>
      <c r="BY41" s="1144">
        <v>1</v>
      </c>
      <c r="BZ41" s="1144">
        <v>1</v>
      </c>
      <c r="CA41" s="1144">
        <v>1</v>
      </c>
      <c r="CB41" s="1144">
        <v>1</v>
      </c>
      <c r="CC41" s="1144">
        <v>1</v>
      </c>
      <c r="CD41" s="1144">
        <v>1</v>
      </c>
      <c r="CE41" s="1144">
        <v>1</v>
      </c>
      <c r="CF41" s="1144">
        <v>1</v>
      </c>
      <c r="CG41" s="1144">
        <v>1</v>
      </c>
      <c r="CH41" s="1144">
        <v>1</v>
      </c>
      <c r="CI41" s="1144">
        <v>1</v>
      </c>
      <c r="CJ41" s="1144">
        <v>1</v>
      </c>
      <c r="CK41" s="1144">
        <v>1</v>
      </c>
      <c r="CL41" s="1144">
        <v>1</v>
      </c>
      <c r="CM41" s="1144">
        <v>1</v>
      </c>
      <c r="CN41" s="1144">
        <v>1</v>
      </c>
      <c r="CO41" s="1144">
        <v>1</v>
      </c>
      <c r="CP41" s="1144">
        <v>1</v>
      </c>
      <c r="CQ41" s="1144">
        <v>1</v>
      </c>
      <c r="CR41" s="1144">
        <v>1</v>
      </c>
      <c r="CS41" s="1144">
        <v>1</v>
      </c>
      <c r="CT41" s="1144">
        <v>1</v>
      </c>
      <c r="CU41" s="1144">
        <v>1</v>
      </c>
      <c r="CV41" s="1144">
        <v>1</v>
      </c>
      <c r="CW41" s="1144">
        <v>1</v>
      </c>
      <c r="CX41" s="1144">
        <v>1</v>
      </c>
      <c r="CY41" s="1144">
        <v>1</v>
      </c>
      <c r="CZ41" s="1144">
        <v>1</v>
      </c>
      <c r="DA41" s="1144">
        <v>1</v>
      </c>
      <c r="DB41" s="1144">
        <v>1</v>
      </c>
      <c r="DC41" s="1144">
        <v>1</v>
      </c>
      <c r="DD41" s="1144">
        <v>1</v>
      </c>
      <c r="DE41" s="1144">
        <v>1</v>
      </c>
      <c r="DF41" s="1144">
        <v>1</v>
      </c>
      <c r="DG41" s="1144">
        <v>1</v>
      </c>
      <c r="DH41" s="1144">
        <v>1</v>
      </c>
      <c r="DI41" s="1144">
        <v>1</v>
      </c>
      <c r="DJ41" s="1144">
        <v>1</v>
      </c>
      <c r="DK41" s="1144">
        <v>1</v>
      </c>
      <c r="DL41" s="1144">
        <v>1</v>
      </c>
      <c r="DM41" s="1144">
        <v>1</v>
      </c>
      <c r="DN41" s="1144">
        <v>1</v>
      </c>
      <c r="DO41" s="1144">
        <v>1</v>
      </c>
      <c r="DP41" s="1144">
        <v>1</v>
      </c>
      <c r="DQ41" s="1144">
        <v>1</v>
      </c>
      <c r="DR41" s="1144">
        <v>1</v>
      </c>
      <c r="DS41" s="1145">
        <v>1</v>
      </c>
      <c r="DT41" s="1145">
        <v>1</v>
      </c>
      <c r="DU41" s="1144">
        <v>1</v>
      </c>
      <c r="DV41" s="1145">
        <v>1</v>
      </c>
      <c r="DW41" s="1144">
        <v>1</v>
      </c>
      <c r="DX41" s="1145">
        <v>1</v>
      </c>
      <c r="DY41" s="1144">
        <v>1</v>
      </c>
      <c r="DZ41" s="1144">
        <v>1</v>
      </c>
      <c r="EA41" s="1145">
        <v>1</v>
      </c>
      <c r="EB41" s="1144">
        <v>1</v>
      </c>
      <c r="EC41" s="1144">
        <v>1</v>
      </c>
      <c r="ED41" s="1144">
        <v>1</v>
      </c>
      <c r="EE41" s="1144">
        <v>1</v>
      </c>
      <c r="EF41" s="1144">
        <v>1</v>
      </c>
      <c r="EG41" s="1144">
        <v>1</v>
      </c>
      <c r="EH41" s="1144">
        <v>1</v>
      </c>
      <c r="EI41" s="1144">
        <v>1</v>
      </c>
      <c r="EJ41" s="1144">
        <v>1</v>
      </c>
      <c r="EK41" s="1144">
        <v>1</v>
      </c>
      <c r="EL41" s="1144">
        <v>1</v>
      </c>
      <c r="EM41" s="1144">
        <v>1</v>
      </c>
      <c r="EN41" s="1144">
        <v>1</v>
      </c>
      <c r="EO41" s="1144">
        <v>1</v>
      </c>
      <c r="EP41" s="1144">
        <v>1</v>
      </c>
      <c r="EQ41" s="1144">
        <v>1</v>
      </c>
      <c r="ER41" s="1144">
        <v>1</v>
      </c>
      <c r="ES41" s="1144">
        <v>1</v>
      </c>
      <c r="ET41" s="1144">
        <v>1</v>
      </c>
      <c r="EU41" s="1144">
        <v>1</v>
      </c>
      <c r="EV41" s="1144">
        <v>1</v>
      </c>
      <c r="EW41" s="1144">
        <v>1</v>
      </c>
      <c r="EX41" s="1144">
        <v>1</v>
      </c>
      <c r="EY41" s="1144">
        <v>1</v>
      </c>
      <c r="EZ41" s="1144">
        <v>1</v>
      </c>
      <c r="FA41" s="1144">
        <v>1</v>
      </c>
      <c r="FB41" s="1144">
        <v>1</v>
      </c>
      <c r="FC41" s="1144">
        <v>1</v>
      </c>
      <c r="FD41" s="1144">
        <v>1</v>
      </c>
      <c r="FE41" s="1144">
        <v>1</v>
      </c>
      <c r="FF41" s="1144">
        <v>1</v>
      </c>
      <c r="FG41" s="1144">
        <v>1</v>
      </c>
      <c r="FH41" s="1144">
        <v>1</v>
      </c>
      <c r="FI41" s="1144">
        <v>1</v>
      </c>
      <c r="FJ41" s="1144">
        <v>1</v>
      </c>
      <c r="FK41" s="1144">
        <v>1</v>
      </c>
      <c r="FL41" s="1144">
        <v>1</v>
      </c>
      <c r="FM41" s="1144">
        <v>1</v>
      </c>
      <c r="FN41" s="1144">
        <v>1</v>
      </c>
      <c r="FO41" s="1144">
        <v>1</v>
      </c>
      <c r="FP41" s="1144">
        <v>1</v>
      </c>
      <c r="FQ41" s="1144">
        <v>1</v>
      </c>
      <c r="FR41" s="1144">
        <v>1</v>
      </c>
      <c r="FS41" s="1144">
        <v>1</v>
      </c>
      <c r="FT41" s="1145">
        <v>1</v>
      </c>
      <c r="FU41" s="1145">
        <v>1</v>
      </c>
      <c r="FV41" s="1145">
        <v>1</v>
      </c>
      <c r="FW41" s="1144">
        <v>1</v>
      </c>
      <c r="FX41" s="1144">
        <v>1</v>
      </c>
      <c r="FY41" s="1144">
        <v>1</v>
      </c>
      <c r="FZ41" s="1144">
        <v>1</v>
      </c>
      <c r="GA41" s="1144">
        <v>1</v>
      </c>
      <c r="GB41" s="1144">
        <v>1</v>
      </c>
      <c r="GC41" s="1144">
        <v>1</v>
      </c>
      <c r="GD41" s="1144">
        <v>1</v>
      </c>
      <c r="GE41" s="1144">
        <v>1</v>
      </c>
      <c r="GF41" s="1144">
        <v>1</v>
      </c>
      <c r="GG41" s="1144">
        <v>1</v>
      </c>
      <c r="GH41" s="1144">
        <v>1</v>
      </c>
      <c r="GI41" s="1144">
        <v>1</v>
      </c>
      <c r="GJ41" s="1144">
        <v>1</v>
      </c>
      <c r="GK41" s="1144">
        <v>1</v>
      </c>
      <c r="GL41" s="1144">
        <v>1</v>
      </c>
      <c r="GM41" s="1144">
        <v>1</v>
      </c>
      <c r="GN41" s="1144">
        <v>1</v>
      </c>
      <c r="GO41" s="1144">
        <v>1</v>
      </c>
      <c r="GP41" s="1144">
        <v>1</v>
      </c>
      <c r="GQ41" s="1144">
        <v>1</v>
      </c>
      <c r="GR41" s="1144">
        <v>1</v>
      </c>
      <c r="GS41" s="1144">
        <v>1</v>
      </c>
      <c r="GT41" s="1144">
        <v>1</v>
      </c>
      <c r="GU41" s="1144">
        <v>1</v>
      </c>
      <c r="GV41" s="1144">
        <v>1</v>
      </c>
      <c r="GW41" s="1144">
        <v>1</v>
      </c>
      <c r="GX41" s="1144">
        <v>1</v>
      </c>
      <c r="GY41" s="1144">
        <v>1</v>
      </c>
      <c r="GZ41" s="1144">
        <v>1</v>
      </c>
      <c r="HA41" s="1144">
        <v>1</v>
      </c>
      <c r="HB41" s="1144">
        <v>1</v>
      </c>
      <c r="HC41" s="1144">
        <v>1</v>
      </c>
      <c r="HD41" s="1144">
        <v>1</v>
      </c>
      <c r="HE41" s="1144">
        <v>1</v>
      </c>
      <c r="HF41" s="1144">
        <v>1</v>
      </c>
      <c r="HG41" s="1144">
        <v>1</v>
      </c>
      <c r="HH41" s="1144">
        <v>1</v>
      </c>
      <c r="HI41" s="1144">
        <v>1</v>
      </c>
      <c r="HJ41" s="1144">
        <v>1</v>
      </c>
      <c r="HK41" s="1144">
        <v>1</v>
      </c>
      <c r="HL41" s="1144">
        <v>1</v>
      </c>
      <c r="HM41" s="1144">
        <v>1</v>
      </c>
      <c r="HN41" s="1144">
        <v>1</v>
      </c>
      <c r="HO41" s="1144">
        <v>1</v>
      </c>
      <c r="HP41" s="1144">
        <v>1</v>
      </c>
      <c r="HQ41" s="1144">
        <v>1</v>
      </c>
      <c r="HR41" s="1144">
        <v>1</v>
      </c>
      <c r="HS41" s="1144">
        <v>1</v>
      </c>
      <c r="HT41" s="1144">
        <v>1</v>
      </c>
      <c r="HU41" s="1144">
        <v>1</v>
      </c>
      <c r="HV41" s="1144">
        <v>1</v>
      </c>
      <c r="HW41" s="1144">
        <v>1</v>
      </c>
      <c r="HX41" s="1144">
        <v>1</v>
      </c>
      <c r="HY41" s="1144">
        <v>1</v>
      </c>
      <c r="HZ41" s="1144">
        <v>1</v>
      </c>
      <c r="IA41" s="1144">
        <v>1</v>
      </c>
      <c r="IB41" s="1144">
        <v>1</v>
      </c>
      <c r="IC41" s="1144">
        <v>1</v>
      </c>
      <c r="ID41" s="1144">
        <v>1</v>
      </c>
      <c r="IE41" s="1144">
        <v>1</v>
      </c>
      <c r="IF41" s="1144">
        <v>1</v>
      </c>
      <c r="IG41" s="1144">
        <v>1</v>
      </c>
      <c r="IH41" s="1144">
        <v>1</v>
      </c>
      <c r="II41" s="1144">
        <v>1</v>
      </c>
      <c r="IJ41" s="1144">
        <v>1</v>
      </c>
      <c r="IK41" s="1144">
        <v>1</v>
      </c>
      <c r="IL41" s="1144">
        <v>1</v>
      </c>
      <c r="IM41" s="1144">
        <v>1</v>
      </c>
      <c r="IN41" s="1144">
        <v>1</v>
      </c>
      <c r="IO41" s="1144">
        <v>1</v>
      </c>
      <c r="IP41" s="1144">
        <v>1</v>
      </c>
      <c r="IQ41" s="1144">
        <v>1</v>
      </c>
      <c r="IR41" s="1144">
        <v>1</v>
      </c>
      <c r="IS41" s="1144">
        <v>1</v>
      </c>
      <c r="IT41" s="1144">
        <v>1</v>
      </c>
      <c r="IU41" s="1144">
        <v>1</v>
      </c>
      <c r="IV41" s="1144">
        <v>1</v>
      </c>
      <c r="IW41" s="1144">
        <v>1</v>
      </c>
      <c r="IX41" s="1144">
        <v>1</v>
      </c>
      <c r="IY41" s="1144">
        <v>1</v>
      </c>
      <c r="IZ41" s="1144">
        <v>1</v>
      </c>
      <c r="JA41" s="1144">
        <v>1</v>
      </c>
      <c r="JB41" s="1144">
        <v>1</v>
      </c>
      <c r="JC41" s="1144">
        <v>1</v>
      </c>
      <c r="JD41" s="1146"/>
      <c r="JE41" s="1144">
        <v>1</v>
      </c>
      <c r="JF41" s="1144">
        <v>1</v>
      </c>
      <c r="JG41" s="1144">
        <v>1</v>
      </c>
      <c r="JH41" s="1144">
        <v>1</v>
      </c>
      <c r="JI41" s="1144">
        <v>1</v>
      </c>
      <c r="JJ41" s="1144">
        <v>1</v>
      </c>
      <c r="JK41" s="1144">
        <v>1</v>
      </c>
      <c r="JL41" s="1144">
        <v>1</v>
      </c>
      <c r="JM41" s="1144">
        <v>1</v>
      </c>
      <c r="JN41" s="1144">
        <v>1</v>
      </c>
      <c r="JO41" s="1144">
        <v>1</v>
      </c>
      <c r="JP41" s="1144">
        <v>1</v>
      </c>
      <c r="JQ41" s="1144">
        <v>1</v>
      </c>
      <c r="JR41" s="1144">
        <v>1</v>
      </c>
      <c r="JS41" s="1144">
        <v>1</v>
      </c>
      <c r="JT41" s="1144">
        <v>1</v>
      </c>
      <c r="JU41" s="1144">
        <v>1</v>
      </c>
      <c r="JV41" s="1144">
        <v>1</v>
      </c>
      <c r="JW41" s="1144">
        <v>1</v>
      </c>
      <c r="JX41" s="1144">
        <v>1</v>
      </c>
      <c r="JY41" s="1144">
        <v>1</v>
      </c>
      <c r="JZ41" s="1144">
        <v>1</v>
      </c>
      <c r="KA41" s="1144">
        <v>1</v>
      </c>
      <c r="KB41" s="1144">
        <v>1</v>
      </c>
      <c r="KC41" s="1144">
        <v>1</v>
      </c>
      <c r="KD41" s="1144">
        <v>1</v>
      </c>
      <c r="KE41" s="1144">
        <v>1</v>
      </c>
    </row>
    <row r="42" spans="1:291" outlineLevel="1">
      <c r="A42" s="78"/>
      <c r="B42" s="83">
        <v>759</v>
      </c>
      <c r="C42" s="437" t="s">
        <v>2988</v>
      </c>
      <c r="D42" s="1144">
        <v>0</v>
      </c>
      <c r="E42" s="1144">
        <v>0</v>
      </c>
      <c r="F42" s="1144">
        <v>0</v>
      </c>
      <c r="G42" s="1144">
        <v>0</v>
      </c>
      <c r="H42" s="1144">
        <v>0</v>
      </c>
      <c r="I42" s="1144">
        <v>0</v>
      </c>
      <c r="J42" s="1144">
        <v>0</v>
      </c>
      <c r="K42" s="1144">
        <v>0</v>
      </c>
      <c r="L42" s="1144">
        <v>0</v>
      </c>
      <c r="M42" s="1144">
        <v>0</v>
      </c>
      <c r="N42" s="1144">
        <v>0</v>
      </c>
      <c r="O42" s="1144">
        <v>0</v>
      </c>
      <c r="P42" s="1144">
        <v>0</v>
      </c>
      <c r="Q42" s="1144">
        <v>0</v>
      </c>
      <c r="R42" s="1144">
        <v>0</v>
      </c>
      <c r="S42" s="1144">
        <v>0</v>
      </c>
      <c r="T42" s="1144">
        <v>0</v>
      </c>
      <c r="U42" s="1144">
        <v>0</v>
      </c>
      <c r="V42" s="1144">
        <v>0</v>
      </c>
      <c r="W42" s="1144">
        <v>0</v>
      </c>
      <c r="X42" s="1144">
        <v>0</v>
      </c>
      <c r="Y42" s="1144">
        <v>0</v>
      </c>
      <c r="Z42" s="1144">
        <v>0</v>
      </c>
      <c r="AA42" s="1144">
        <v>0</v>
      </c>
      <c r="AB42" s="1144">
        <v>0</v>
      </c>
      <c r="AC42" s="1144">
        <v>0</v>
      </c>
      <c r="AD42" s="1144">
        <v>0</v>
      </c>
      <c r="AE42" s="1144">
        <v>0</v>
      </c>
      <c r="AF42" s="1144">
        <v>0</v>
      </c>
      <c r="AG42" s="1144">
        <v>0</v>
      </c>
      <c r="AH42" s="1144">
        <v>0</v>
      </c>
      <c r="AI42" s="1144">
        <v>0</v>
      </c>
      <c r="AJ42" s="1144">
        <v>0</v>
      </c>
      <c r="AK42" s="1144">
        <v>0</v>
      </c>
      <c r="AL42" s="1144">
        <v>0</v>
      </c>
      <c r="AM42" s="1144">
        <v>0</v>
      </c>
      <c r="AN42" s="1144">
        <v>0</v>
      </c>
      <c r="AO42" s="1144">
        <v>0</v>
      </c>
      <c r="AP42" s="1144">
        <v>0</v>
      </c>
      <c r="AQ42" s="1144">
        <v>0</v>
      </c>
      <c r="AR42" s="1144">
        <v>0</v>
      </c>
      <c r="AS42" s="1144">
        <v>0</v>
      </c>
      <c r="AT42" s="1144">
        <v>0</v>
      </c>
      <c r="AU42" s="1144">
        <v>0</v>
      </c>
      <c r="AV42" s="1144">
        <v>0</v>
      </c>
      <c r="AW42" s="1144">
        <v>0</v>
      </c>
      <c r="AX42" s="1144">
        <v>0</v>
      </c>
      <c r="AY42" s="1144">
        <v>0</v>
      </c>
      <c r="AZ42" s="1144">
        <v>0</v>
      </c>
      <c r="BA42" s="1144">
        <v>0</v>
      </c>
      <c r="BB42" s="1144">
        <v>0</v>
      </c>
      <c r="BC42" s="1144">
        <v>0</v>
      </c>
      <c r="BD42" s="1144">
        <v>0</v>
      </c>
      <c r="BE42" s="1144">
        <v>0</v>
      </c>
      <c r="BF42" s="1144">
        <v>0</v>
      </c>
      <c r="BG42" s="1144">
        <v>0</v>
      </c>
      <c r="BH42" s="1144">
        <v>0</v>
      </c>
      <c r="BI42" s="1144">
        <v>0</v>
      </c>
      <c r="BJ42" s="1144">
        <v>0</v>
      </c>
      <c r="BK42" s="1144">
        <v>0</v>
      </c>
      <c r="BL42" s="1145">
        <v>0</v>
      </c>
      <c r="BM42" s="1145">
        <v>0</v>
      </c>
      <c r="BN42" s="1144">
        <v>0</v>
      </c>
      <c r="BO42" s="1144">
        <v>0</v>
      </c>
      <c r="BP42" s="1144">
        <v>0</v>
      </c>
      <c r="BQ42" s="1144">
        <v>0</v>
      </c>
      <c r="BR42" s="1144">
        <v>0</v>
      </c>
      <c r="BS42" s="1144">
        <v>0</v>
      </c>
      <c r="BT42" s="1144">
        <v>0</v>
      </c>
      <c r="BU42" s="1144">
        <v>0</v>
      </c>
      <c r="BV42" s="1144">
        <v>0</v>
      </c>
      <c r="BW42" s="1144">
        <v>0</v>
      </c>
      <c r="BX42" s="1144">
        <v>0</v>
      </c>
      <c r="BY42" s="1144">
        <v>0</v>
      </c>
      <c r="BZ42" s="1144">
        <v>0</v>
      </c>
      <c r="CA42" s="1144">
        <v>0</v>
      </c>
      <c r="CB42" s="1144">
        <v>0</v>
      </c>
      <c r="CC42" s="1144">
        <v>0</v>
      </c>
      <c r="CD42" s="1144">
        <v>0</v>
      </c>
      <c r="CE42" s="1144">
        <v>0</v>
      </c>
      <c r="CF42" s="1144">
        <v>0</v>
      </c>
      <c r="CG42" s="1144">
        <v>0</v>
      </c>
      <c r="CH42" s="1144">
        <v>0</v>
      </c>
      <c r="CI42" s="1144">
        <v>0</v>
      </c>
      <c r="CJ42" s="1144">
        <v>0</v>
      </c>
      <c r="CK42" s="1144">
        <v>0</v>
      </c>
      <c r="CL42" s="1144">
        <v>0</v>
      </c>
      <c r="CM42" s="1144">
        <v>0</v>
      </c>
      <c r="CN42" s="1144">
        <v>0</v>
      </c>
      <c r="CO42" s="1144">
        <v>0</v>
      </c>
      <c r="CP42" s="1144">
        <v>0</v>
      </c>
      <c r="CQ42" s="1144">
        <v>0</v>
      </c>
      <c r="CR42" s="1144">
        <v>0</v>
      </c>
      <c r="CS42" s="1144">
        <v>0</v>
      </c>
      <c r="CT42" s="1144">
        <v>0</v>
      </c>
      <c r="CU42" s="1144">
        <v>0</v>
      </c>
      <c r="CV42" s="1144">
        <v>0</v>
      </c>
      <c r="CW42" s="1144">
        <v>0</v>
      </c>
      <c r="CX42" s="1144">
        <v>0</v>
      </c>
      <c r="CY42" s="1144">
        <v>0</v>
      </c>
      <c r="CZ42" s="1144">
        <v>0</v>
      </c>
      <c r="DA42" s="1144">
        <v>0</v>
      </c>
      <c r="DB42" s="1144">
        <v>0</v>
      </c>
      <c r="DC42" s="1144">
        <v>0</v>
      </c>
      <c r="DD42" s="1144">
        <v>0</v>
      </c>
      <c r="DE42" s="1144">
        <v>0</v>
      </c>
      <c r="DF42" s="1144">
        <v>0</v>
      </c>
      <c r="DG42" s="1144">
        <v>0</v>
      </c>
      <c r="DH42" s="1144">
        <v>0</v>
      </c>
      <c r="DI42" s="1144">
        <v>0</v>
      </c>
      <c r="DJ42" s="1144">
        <v>0</v>
      </c>
      <c r="DK42" s="1144">
        <v>0</v>
      </c>
      <c r="DL42" s="1144">
        <v>0</v>
      </c>
      <c r="DM42" s="1144">
        <v>0</v>
      </c>
      <c r="DN42" s="1144">
        <v>0</v>
      </c>
      <c r="DO42" s="1144">
        <v>0</v>
      </c>
      <c r="DP42" s="1144">
        <v>0</v>
      </c>
      <c r="DQ42" s="1144">
        <v>0</v>
      </c>
      <c r="DR42" s="1144">
        <v>0</v>
      </c>
      <c r="DS42" s="1145">
        <v>0</v>
      </c>
      <c r="DT42" s="1145">
        <v>0</v>
      </c>
      <c r="DU42" s="1144">
        <v>0</v>
      </c>
      <c r="DV42" s="1145">
        <v>0</v>
      </c>
      <c r="DW42" s="1144">
        <v>0</v>
      </c>
      <c r="DX42" s="1145">
        <v>0</v>
      </c>
      <c r="DY42" s="1144">
        <v>0</v>
      </c>
      <c r="DZ42" s="1144">
        <v>0</v>
      </c>
      <c r="EA42" s="1145">
        <v>0</v>
      </c>
      <c r="EB42" s="1144">
        <v>0</v>
      </c>
      <c r="EC42" s="1144">
        <v>0</v>
      </c>
      <c r="ED42" s="1144">
        <v>0</v>
      </c>
      <c r="EE42" s="1144">
        <v>0</v>
      </c>
      <c r="EF42" s="1144">
        <v>0</v>
      </c>
      <c r="EG42" s="1144">
        <v>0</v>
      </c>
      <c r="EH42" s="1144">
        <v>0</v>
      </c>
      <c r="EI42" s="1144">
        <v>0</v>
      </c>
      <c r="EJ42" s="1144">
        <v>0</v>
      </c>
      <c r="EK42" s="1144">
        <v>0</v>
      </c>
      <c r="EL42" s="1144">
        <v>0</v>
      </c>
      <c r="EM42" s="1144">
        <v>0</v>
      </c>
      <c r="EN42" s="1144">
        <v>0</v>
      </c>
      <c r="EO42" s="1144">
        <v>0</v>
      </c>
      <c r="EP42" s="1144">
        <v>0</v>
      </c>
      <c r="EQ42" s="1144">
        <v>0</v>
      </c>
      <c r="ER42" s="1144">
        <v>0</v>
      </c>
      <c r="ES42" s="1144">
        <v>0</v>
      </c>
      <c r="ET42" s="1144">
        <v>0</v>
      </c>
      <c r="EU42" s="1144">
        <v>0</v>
      </c>
      <c r="EV42" s="1144">
        <v>0</v>
      </c>
      <c r="EW42" s="1144">
        <v>0</v>
      </c>
      <c r="EX42" s="1144">
        <v>0</v>
      </c>
      <c r="EY42" s="1144">
        <v>0</v>
      </c>
      <c r="EZ42" s="1144">
        <v>0</v>
      </c>
      <c r="FA42" s="1144">
        <v>0</v>
      </c>
      <c r="FB42" s="1144">
        <v>0</v>
      </c>
      <c r="FC42" s="1144">
        <v>0</v>
      </c>
      <c r="FD42" s="1144">
        <v>0</v>
      </c>
      <c r="FE42" s="1144">
        <v>0</v>
      </c>
      <c r="FF42" s="1144">
        <v>0</v>
      </c>
      <c r="FG42" s="1144">
        <v>0</v>
      </c>
      <c r="FH42" s="1144">
        <v>0</v>
      </c>
      <c r="FI42" s="1144">
        <v>0</v>
      </c>
      <c r="FJ42" s="1144">
        <v>0</v>
      </c>
      <c r="FK42" s="1144">
        <v>0</v>
      </c>
      <c r="FL42" s="1144">
        <v>0</v>
      </c>
      <c r="FM42" s="1144">
        <v>0</v>
      </c>
      <c r="FN42" s="1144">
        <v>0</v>
      </c>
      <c r="FO42" s="1144">
        <v>0</v>
      </c>
      <c r="FP42" s="1144">
        <v>0</v>
      </c>
      <c r="FQ42" s="1144">
        <v>0</v>
      </c>
      <c r="FR42" s="1144">
        <v>0</v>
      </c>
      <c r="FS42" s="1144">
        <v>0</v>
      </c>
      <c r="FT42" s="1145">
        <v>0</v>
      </c>
      <c r="FU42" s="1145">
        <v>0</v>
      </c>
      <c r="FV42" s="1145">
        <v>0</v>
      </c>
      <c r="FW42" s="1144">
        <v>0</v>
      </c>
      <c r="FX42" s="1144">
        <v>0</v>
      </c>
      <c r="FY42" s="1144">
        <v>0</v>
      </c>
      <c r="FZ42" s="1144">
        <v>0</v>
      </c>
      <c r="GA42" s="1144">
        <v>0</v>
      </c>
      <c r="GB42" s="1144">
        <v>0</v>
      </c>
      <c r="GC42" s="1144">
        <v>0</v>
      </c>
      <c r="GD42" s="1144">
        <v>0</v>
      </c>
      <c r="GE42" s="1144">
        <v>0</v>
      </c>
      <c r="GF42" s="1144">
        <v>0</v>
      </c>
      <c r="GG42" s="1144">
        <v>0</v>
      </c>
      <c r="GH42" s="1144">
        <v>0</v>
      </c>
      <c r="GI42" s="1144">
        <v>0</v>
      </c>
      <c r="GJ42" s="1144">
        <v>0</v>
      </c>
      <c r="GK42" s="1144">
        <v>0</v>
      </c>
      <c r="GL42" s="1144">
        <v>0</v>
      </c>
      <c r="GM42" s="1144">
        <v>0</v>
      </c>
      <c r="GN42" s="1144">
        <v>0</v>
      </c>
      <c r="GO42" s="1144">
        <v>0</v>
      </c>
      <c r="GP42" s="1144">
        <v>0</v>
      </c>
      <c r="GQ42" s="1144">
        <v>0</v>
      </c>
      <c r="GR42" s="1144">
        <v>0</v>
      </c>
      <c r="GS42" s="1144">
        <v>0</v>
      </c>
      <c r="GT42" s="1144">
        <v>0</v>
      </c>
      <c r="GU42" s="1144">
        <v>0</v>
      </c>
      <c r="GV42" s="1144">
        <v>0</v>
      </c>
      <c r="GW42" s="1144">
        <v>0</v>
      </c>
      <c r="GX42" s="1144">
        <v>0</v>
      </c>
      <c r="GY42" s="1144">
        <v>0</v>
      </c>
      <c r="GZ42" s="1144">
        <v>0</v>
      </c>
      <c r="HA42" s="1144">
        <v>0</v>
      </c>
      <c r="HB42" s="1144">
        <v>0</v>
      </c>
      <c r="HC42" s="1144">
        <v>0</v>
      </c>
      <c r="HD42" s="1144">
        <v>0</v>
      </c>
      <c r="HE42" s="1144">
        <v>0</v>
      </c>
      <c r="HF42" s="1144">
        <v>0</v>
      </c>
      <c r="HG42" s="1144">
        <v>0</v>
      </c>
      <c r="HH42" s="1144">
        <v>0</v>
      </c>
      <c r="HI42" s="1144">
        <v>0</v>
      </c>
      <c r="HJ42" s="1144">
        <v>0</v>
      </c>
      <c r="HK42" s="1144">
        <v>0</v>
      </c>
      <c r="HL42" s="1144">
        <v>0</v>
      </c>
      <c r="HM42" s="1144">
        <v>0</v>
      </c>
      <c r="HN42" s="1144">
        <v>0</v>
      </c>
      <c r="HO42" s="1144">
        <v>0</v>
      </c>
      <c r="HP42" s="1144">
        <v>0</v>
      </c>
      <c r="HQ42" s="1144">
        <v>0</v>
      </c>
      <c r="HR42" s="1144">
        <v>0</v>
      </c>
      <c r="HS42" s="1144">
        <v>0</v>
      </c>
      <c r="HT42" s="1144">
        <v>0</v>
      </c>
      <c r="HU42" s="1144">
        <v>0</v>
      </c>
      <c r="HV42" s="1144">
        <v>0</v>
      </c>
      <c r="HW42" s="1144">
        <v>0</v>
      </c>
      <c r="HX42" s="1144">
        <v>0</v>
      </c>
      <c r="HY42" s="1144">
        <v>0</v>
      </c>
      <c r="HZ42" s="1144">
        <v>0</v>
      </c>
      <c r="IA42" s="1144">
        <v>0</v>
      </c>
      <c r="IB42" s="1144">
        <v>0</v>
      </c>
      <c r="IC42" s="1144">
        <v>0</v>
      </c>
      <c r="ID42" s="1144">
        <v>0</v>
      </c>
      <c r="IE42" s="1144">
        <v>0</v>
      </c>
      <c r="IF42" s="1144">
        <v>0</v>
      </c>
      <c r="IG42" s="1144">
        <v>0</v>
      </c>
      <c r="IH42" s="1144">
        <v>0</v>
      </c>
      <c r="II42" s="1144">
        <v>0</v>
      </c>
      <c r="IJ42" s="1144">
        <v>0</v>
      </c>
      <c r="IK42" s="1144">
        <v>0</v>
      </c>
      <c r="IL42" s="1144">
        <v>0</v>
      </c>
      <c r="IM42" s="1144">
        <v>0</v>
      </c>
      <c r="IN42" s="1144">
        <v>0</v>
      </c>
      <c r="IO42" s="1144">
        <v>0</v>
      </c>
      <c r="IP42" s="1144">
        <v>0</v>
      </c>
      <c r="IQ42" s="1144">
        <v>0</v>
      </c>
      <c r="IR42" s="1144">
        <v>0</v>
      </c>
      <c r="IS42" s="1144">
        <v>0</v>
      </c>
      <c r="IT42" s="1144">
        <v>0</v>
      </c>
      <c r="IU42" s="1144">
        <v>0</v>
      </c>
      <c r="IV42" s="1144">
        <v>0</v>
      </c>
      <c r="IW42" s="1144">
        <v>0</v>
      </c>
      <c r="IX42" s="1144">
        <v>0</v>
      </c>
      <c r="IY42" s="1144">
        <v>0</v>
      </c>
      <c r="IZ42" s="1144">
        <v>0</v>
      </c>
      <c r="JA42" s="1144">
        <v>0</v>
      </c>
      <c r="JB42" s="1144">
        <v>0</v>
      </c>
      <c r="JC42" s="1144">
        <v>0</v>
      </c>
      <c r="JD42" s="1146"/>
      <c r="JE42" s="1144">
        <v>0</v>
      </c>
      <c r="JF42" s="1144">
        <v>0</v>
      </c>
      <c r="JG42" s="1144">
        <v>0</v>
      </c>
      <c r="JH42" s="1144">
        <v>0</v>
      </c>
      <c r="JI42" s="1144">
        <v>0</v>
      </c>
      <c r="JJ42" s="1144">
        <v>0</v>
      </c>
      <c r="JK42" s="1144">
        <v>0</v>
      </c>
      <c r="JL42" s="1144">
        <v>0</v>
      </c>
      <c r="JM42" s="1144">
        <v>0</v>
      </c>
      <c r="JN42" s="1144">
        <v>0</v>
      </c>
      <c r="JO42" s="1144">
        <v>0</v>
      </c>
      <c r="JP42" s="1144">
        <v>0</v>
      </c>
      <c r="JQ42" s="1144">
        <v>0</v>
      </c>
      <c r="JR42" s="1144">
        <v>0</v>
      </c>
      <c r="JS42" s="1144">
        <v>0</v>
      </c>
      <c r="JT42" s="1144">
        <v>0</v>
      </c>
      <c r="JU42" s="1144">
        <v>0</v>
      </c>
      <c r="JV42" s="1144">
        <v>0</v>
      </c>
      <c r="JW42" s="1144">
        <v>0</v>
      </c>
      <c r="JX42" s="1144">
        <v>0</v>
      </c>
      <c r="JY42" s="1144">
        <v>0</v>
      </c>
      <c r="JZ42" s="1144">
        <v>0</v>
      </c>
      <c r="KA42" s="1144">
        <v>0</v>
      </c>
      <c r="KB42" s="1144">
        <v>0</v>
      </c>
      <c r="KC42" s="1144">
        <v>0</v>
      </c>
      <c r="KD42" s="1144">
        <v>0</v>
      </c>
      <c r="KE42" s="1144">
        <v>0</v>
      </c>
    </row>
    <row r="43" spans="1:291" outlineLevel="1">
      <c r="A43" s="78"/>
      <c r="B43" s="83">
        <v>760</v>
      </c>
      <c r="C43" s="437" t="s">
        <v>2989</v>
      </c>
      <c r="D43" s="1144"/>
      <c r="E43" s="1144"/>
      <c r="F43" s="1144"/>
      <c r="G43" s="1144"/>
      <c r="H43" s="1144"/>
      <c r="I43" s="1144"/>
      <c r="J43" s="1144"/>
      <c r="K43" s="1144"/>
      <c r="L43" s="1144"/>
      <c r="M43" s="1144"/>
      <c r="N43" s="1144"/>
      <c r="O43" s="1144"/>
      <c r="P43" s="1144"/>
      <c r="Q43" s="1144"/>
      <c r="R43" s="1144"/>
      <c r="S43" s="1144"/>
      <c r="T43" s="1144"/>
      <c r="U43" s="1144"/>
      <c r="V43" s="1144"/>
      <c r="W43" s="1144"/>
      <c r="X43" s="1144"/>
      <c r="Y43" s="1144"/>
      <c r="Z43" s="1144"/>
      <c r="AA43" s="1144"/>
      <c r="AB43" s="1144"/>
      <c r="AC43" s="1144"/>
      <c r="AD43" s="1144"/>
      <c r="AE43" s="1144"/>
      <c r="AF43" s="1144"/>
      <c r="AG43" s="1144"/>
      <c r="AH43" s="1144"/>
      <c r="AI43" s="1144"/>
      <c r="AJ43" s="1144"/>
      <c r="AK43" s="1144"/>
      <c r="AL43" s="1144"/>
      <c r="AM43" s="1144"/>
      <c r="AN43" s="1144"/>
      <c r="AO43" s="1144"/>
      <c r="AP43" s="1144"/>
      <c r="AQ43" s="1144"/>
      <c r="AR43" s="1144"/>
      <c r="AS43" s="1144"/>
      <c r="AT43" s="1144"/>
      <c r="AU43" s="1144"/>
      <c r="AV43" s="1144"/>
      <c r="AW43" s="1144"/>
      <c r="AX43" s="1144"/>
      <c r="AY43" s="1144"/>
      <c r="AZ43" s="1144"/>
      <c r="BA43" s="1144"/>
      <c r="BB43" s="1144"/>
      <c r="BC43" s="1144"/>
      <c r="BD43" s="1144"/>
      <c r="BE43" s="1144"/>
      <c r="BF43" s="1144"/>
      <c r="BG43" s="1144"/>
      <c r="BH43" s="1144"/>
      <c r="BI43" s="1144"/>
      <c r="BJ43" s="1144"/>
      <c r="BK43" s="1144"/>
      <c r="BL43" s="1145"/>
      <c r="BM43" s="1145"/>
      <c r="BN43" s="1144"/>
      <c r="BO43" s="1144"/>
      <c r="BP43" s="1144"/>
      <c r="BQ43" s="1144"/>
      <c r="BR43" s="1144"/>
      <c r="BS43" s="1144"/>
      <c r="BT43" s="1144"/>
      <c r="BU43" s="1144"/>
      <c r="BV43" s="1144"/>
      <c r="BW43" s="1144"/>
      <c r="BX43" s="1144"/>
      <c r="BY43" s="1144"/>
      <c r="BZ43" s="1144"/>
      <c r="CA43" s="1144"/>
      <c r="CB43" s="1144"/>
      <c r="CC43" s="1144"/>
      <c r="CD43" s="1144"/>
      <c r="CE43" s="1144"/>
      <c r="CF43" s="1144"/>
      <c r="CG43" s="1144"/>
      <c r="CH43" s="1144"/>
      <c r="CI43" s="1144"/>
      <c r="CJ43" s="1144"/>
      <c r="CK43" s="1144"/>
      <c r="CL43" s="1144"/>
      <c r="CM43" s="1144"/>
      <c r="CN43" s="1144"/>
      <c r="CO43" s="1144"/>
      <c r="CP43" s="1144"/>
      <c r="CQ43" s="1144"/>
      <c r="CR43" s="1144"/>
      <c r="CS43" s="1144"/>
      <c r="CT43" s="1144"/>
      <c r="CU43" s="1144"/>
      <c r="CV43" s="1144"/>
      <c r="CW43" s="1144"/>
      <c r="CX43" s="1144"/>
      <c r="CY43" s="1144"/>
      <c r="CZ43" s="1144"/>
      <c r="DA43" s="1144"/>
      <c r="DB43" s="1144"/>
      <c r="DC43" s="1144"/>
      <c r="DD43" s="1144"/>
      <c r="DE43" s="1144"/>
      <c r="DF43" s="1144"/>
      <c r="DG43" s="1144"/>
      <c r="DH43" s="1144"/>
      <c r="DI43" s="1144"/>
      <c r="DJ43" s="1144"/>
      <c r="DK43" s="1144"/>
      <c r="DL43" s="1144"/>
      <c r="DM43" s="1144"/>
      <c r="DN43" s="1144"/>
      <c r="DO43" s="1144"/>
      <c r="DP43" s="1144"/>
      <c r="DQ43" s="1144"/>
      <c r="DR43" s="1144"/>
      <c r="DS43" s="1145"/>
      <c r="DT43" s="1145"/>
      <c r="DU43" s="1144"/>
      <c r="DV43" s="1145"/>
      <c r="DW43" s="1144"/>
      <c r="DX43" s="1145"/>
      <c r="DY43" s="1144"/>
      <c r="DZ43" s="1144"/>
      <c r="EA43" s="1145"/>
      <c r="EB43" s="1144"/>
      <c r="EC43" s="1144"/>
      <c r="ED43" s="1144"/>
      <c r="EE43" s="1144"/>
      <c r="EF43" s="1144"/>
      <c r="EG43" s="1144"/>
      <c r="EH43" s="1144"/>
      <c r="EI43" s="1144"/>
      <c r="EJ43" s="1144"/>
      <c r="EK43" s="1144"/>
      <c r="EL43" s="1144"/>
      <c r="EM43" s="1144"/>
      <c r="EN43" s="1144"/>
      <c r="EO43" s="1144"/>
      <c r="EP43" s="1144"/>
      <c r="EQ43" s="1144"/>
      <c r="ER43" s="1144"/>
      <c r="ES43" s="1144"/>
      <c r="ET43" s="1144"/>
      <c r="EU43" s="1144"/>
      <c r="EV43" s="1144"/>
      <c r="EW43" s="1144"/>
      <c r="EX43" s="1144"/>
      <c r="EY43" s="1144"/>
      <c r="EZ43" s="1144"/>
      <c r="FA43" s="1144"/>
      <c r="FB43" s="1144"/>
      <c r="FC43" s="1144"/>
      <c r="FD43" s="1144"/>
      <c r="FE43" s="1144"/>
      <c r="FF43" s="1144"/>
      <c r="FG43" s="1144"/>
      <c r="FH43" s="1144"/>
      <c r="FI43" s="1144"/>
      <c r="FJ43" s="1144"/>
      <c r="FK43" s="1144"/>
      <c r="FL43" s="1144"/>
      <c r="FM43" s="1144"/>
      <c r="FN43" s="1144"/>
      <c r="FO43" s="1144"/>
      <c r="FP43" s="1144"/>
      <c r="FQ43" s="1144"/>
      <c r="FR43" s="1144"/>
      <c r="FS43" s="1144"/>
      <c r="FT43" s="1145"/>
      <c r="FU43" s="1145"/>
      <c r="FV43" s="1145"/>
      <c r="FW43" s="1144"/>
      <c r="FX43" s="1144"/>
      <c r="FY43" s="1144"/>
      <c r="FZ43" s="1144"/>
      <c r="GA43" s="1144"/>
      <c r="GB43" s="1144"/>
      <c r="GC43" s="1144"/>
      <c r="GD43" s="1144"/>
      <c r="GE43" s="1144"/>
      <c r="GF43" s="1144"/>
      <c r="GG43" s="1144"/>
      <c r="GH43" s="1144"/>
      <c r="GI43" s="1144"/>
      <c r="GJ43" s="1144"/>
      <c r="GK43" s="1144"/>
      <c r="GL43" s="1144"/>
      <c r="GM43" s="1144"/>
      <c r="GN43" s="1144"/>
      <c r="GO43" s="1144"/>
      <c r="GP43" s="1144"/>
      <c r="GQ43" s="1144"/>
      <c r="GR43" s="1144"/>
      <c r="GS43" s="1144"/>
      <c r="GT43" s="1144"/>
      <c r="GU43" s="1144"/>
      <c r="GV43" s="1144"/>
      <c r="GW43" s="1144"/>
      <c r="GX43" s="1144"/>
      <c r="GY43" s="1144"/>
      <c r="GZ43" s="1144"/>
      <c r="HA43" s="1144"/>
      <c r="HB43" s="1144"/>
      <c r="HC43" s="1144"/>
      <c r="HD43" s="1144"/>
      <c r="HE43" s="1144"/>
      <c r="HF43" s="1144"/>
      <c r="HG43" s="1144"/>
      <c r="HH43" s="1144"/>
      <c r="HI43" s="1144"/>
      <c r="HJ43" s="1144"/>
      <c r="HK43" s="1144"/>
      <c r="HL43" s="1144"/>
      <c r="HM43" s="1144"/>
      <c r="HN43" s="1144"/>
      <c r="HO43" s="1144"/>
      <c r="HP43" s="1144"/>
      <c r="HQ43" s="1144"/>
      <c r="HR43" s="1144"/>
      <c r="HS43" s="1144"/>
      <c r="HT43" s="1144"/>
      <c r="HU43" s="1144"/>
      <c r="HV43" s="1144"/>
      <c r="HW43" s="1144"/>
      <c r="HX43" s="1144"/>
      <c r="HY43" s="1144"/>
      <c r="HZ43" s="1144"/>
      <c r="IA43" s="1144"/>
      <c r="IB43" s="1144"/>
      <c r="IC43" s="1144"/>
      <c r="ID43" s="1144"/>
      <c r="IE43" s="1144"/>
      <c r="IF43" s="1144"/>
      <c r="IG43" s="1144"/>
      <c r="IH43" s="1144"/>
      <c r="II43" s="1144"/>
      <c r="IJ43" s="1144"/>
      <c r="IK43" s="1144"/>
      <c r="IL43" s="1144"/>
      <c r="IM43" s="1144"/>
      <c r="IN43" s="1144"/>
      <c r="IO43" s="1144"/>
      <c r="IP43" s="1144"/>
      <c r="IQ43" s="1144"/>
      <c r="IR43" s="1144"/>
      <c r="IS43" s="1144"/>
      <c r="IT43" s="1144"/>
      <c r="IU43" s="1144"/>
      <c r="IV43" s="1144"/>
      <c r="IW43" s="1144"/>
      <c r="IX43" s="1144"/>
      <c r="IY43" s="1144"/>
      <c r="IZ43" s="1144"/>
      <c r="JA43" s="1144"/>
      <c r="JB43" s="1144"/>
      <c r="JC43" s="1144"/>
      <c r="JD43" s="1146"/>
      <c r="JE43" s="1144"/>
      <c r="JF43" s="1144"/>
      <c r="JG43" s="1144"/>
      <c r="JH43" s="1144"/>
      <c r="JI43" s="1144"/>
      <c r="JJ43" s="1144"/>
      <c r="JK43" s="1144"/>
      <c r="JL43" s="1144"/>
      <c r="JM43" s="1144"/>
      <c r="JN43" s="1144"/>
      <c r="JO43" s="1144"/>
      <c r="JP43" s="1144"/>
      <c r="JQ43" s="1144"/>
      <c r="JR43" s="1144"/>
      <c r="JS43" s="1144"/>
      <c r="JT43" s="1144"/>
      <c r="JU43" s="1144"/>
      <c r="JV43" s="1144"/>
      <c r="JW43" s="1144"/>
      <c r="JX43" s="1144"/>
      <c r="JY43" s="1144"/>
      <c r="JZ43" s="1144"/>
      <c r="KA43" s="1144"/>
      <c r="KB43" s="1144"/>
      <c r="KC43" s="1144"/>
      <c r="KD43" s="1144"/>
      <c r="KE43" s="1144"/>
    </row>
    <row r="44" spans="1:291" outlineLevel="1">
      <c r="A44" s="78"/>
      <c r="B44" s="83">
        <v>761</v>
      </c>
      <c r="C44" s="437" t="s">
        <v>2990</v>
      </c>
      <c r="D44" s="1144"/>
      <c r="E44" s="1144"/>
      <c r="F44" s="1144"/>
      <c r="G44" s="1144"/>
      <c r="H44" s="1144"/>
      <c r="I44" s="1144"/>
      <c r="J44" s="1144"/>
      <c r="K44" s="1144"/>
      <c r="L44" s="1144"/>
      <c r="M44" s="1144"/>
      <c r="N44" s="1144"/>
      <c r="O44" s="1144"/>
      <c r="P44" s="1144"/>
      <c r="Q44" s="1144"/>
      <c r="R44" s="1144"/>
      <c r="S44" s="1144"/>
      <c r="T44" s="1144"/>
      <c r="U44" s="1144"/>
      <c r="V44" s="1144"/>
      <c r="W44" s="1144"/>
      <c r="X44" s="1144"/>
      <c r="Y44" s="1144"/>
      <c r="Z44" s="1144"/>
      <c r="AA44" s="1144"/>
      <c r="AB44" s="1144"/>
      <c r="AC44" s="1144"/>
      <c r="AD44" s="1144"/>
      <c r="AE44" s="1144"/>
      <c r="AF44" s="1144"/>
      <c r="AG44" s="1144"/>
      <c r="AH44" s="1144"/>
      <c r="AI44" s="1144"/>
      <c r="AJ44" s="1144"/>
      <c r="AK44" s="1144"/>
      <c r="AL44" s="1144"/>
      <c r="AM44" s="1144"/>
      <c r="AN44" s="1144"/>
      <c r="AO44" s="1144"/>
      <c r="AP44" s="1144"/>
      <c r="AQ44" s="1144"/>
      <c r="AR44" s="1144"/>
      <c r="AS44" s="1144"/>
      <c r="AT44" s="1144"/>
      <c r="AU44" s="1144"/>
      <c r="AV44" s="1144"/>
      <c r="AW44" s="1144"/>
      <c r="AX44" s="1144"/>
      <c r="AY44" s="1144"/>
      <c r="AZ44" s="1144"/>
      <c r="BA44" s="1144"/>
      <c r="BB44" s="1144"/>
      <c r="BC44" s="1144"/>
      <c r="BD44" s="1144"/>
      <c r="BE44" s="1144"/>
      <c r="BF44" s="1144"/>
      <c r="BG44" s="1144"/>
      <c r="BH44" s="1144" t="str">
        <f t="shared" ref="BH44:CA44" si="13">IF(BH42=0,"","CH")</f>
        <v/>
      </c>
      <c r="BI44" s="1144" t="str">
        <f t="shared" si="13"/>
        <v/>
      </c>
      <c r="BJ44" s="1144" t="str">
        <f t="shared" si="13"/>
        <v/>
      </c>
      <c r="BK44" s="1144" t="str">
        <f t="shared" si="13"/>
        <v/>
      </c>
      <c r="BL44" s="1145" t="str">
        <f t="shared" si="13"/>
        <v/>
      </c>
      <c r="BM44" s="1145" t="str">
        <f t="shared" si="13"/>
        <v/>
      </c>
      <c r="BN44" s="1144" t="str">
        <f t="shared" si="13"/>
        <v/>
      </c>
      <c r="BO44" s="1144" t="str">
        <f t="shared" si="13"/>
        <v/>
      </c>
      <c r="BP44" s="1144" t="str">
        <f t="shared" si="13"/>
        <v/>
      </c>
      <c r="BQ44" s="1144" t="str">
        <f t="shared" si="13"/>
        <v/>
      </c>
      <c r="BR44" s="1144" t="str">
        <f t="shared" si="13"/>
        <v/>
      </c>
      <c r="BS44" s="1144" t="str">
        <f t="shared" si="13"/>
        <v/>
      </c>
      <c r="BT44" s="1144" t="str">
        <f t="shared" si="13"/>
        <v/>
      </c>
      <c r="BU44" s="1144" t="str">
        <f t="shared" si="13"/>
        <v/>
      </c>
      <c r="BV44" s="1144" t="str">
        <f t="shared" si="13"/>
        <v/>
      </c>
      <c r="BW44" s="1144" t="str">
        <f t="shared" si="13"/>
        <v/>
      </c>
      <c r="BX44" s="1144" t="str">
        <f t="shared" si="13"/>
        <v/>
      </c>
      <c r="BY44" s="1144" t="str">
        <f t="shared" si="13"/>
        <v/>
      </c>
      <c r="BZ44" s="1144" t="str">
        <f t="shared" si="13"/>
        <v/>
      </c>
      <c r="CA44" s="1144" t="str">
        <f t="shared" si="13"/>
        <v/>
      </c>
      <c r="CB44" s="1144"/>
      <c r="CC44" s="1144"/>
      <c r="CD44" s="1144"/>
      <c r="CE44" s="1144"/>
      <c r="CF44" s="1144" t="str">
        <f>IF(CF42=0,"","CH")</f>
        <v/>
      </c>
      <c r="CG44" s="1144" t="str">
        <f>IF(CG42=0,"","CH")</f>
        <v/>
      </c>
      <c r="CH44" s="1144" t="str">
        <f>IF(CH42=0,"","CH")</f>
        <v/>
      </c>
      <c r="CI44" s="1144" t="str">
        <f>IF(CI42=0,"","CH")</f>
        <v/>
      </c>
      <c r="CJ44" s="1144"/>
      <c r="CK44" s="1144"/>
      <c r="CL44" s="1144"/>
      <c r="CM44" s="1144"/>
      <c r="CN44" s="1144" t="str">
        <f t="shared" ref="CN44:DC44" si="14">IF(CN42=0,"","CH")</f>
        <v/>
      </c>
      <c r="CO44" s="1144" t="str">
        <f t="shared" si="14"/>
        <v/>
      </c>
      <c r="CP44" s="1144" t="str">
        <f t="shared" si="14"/>
        <v/>
      </c>
      <c r="CQ44" s="1144" t="str">
        <f t="shared" si="14"/>
        <v/>
      </c>
      <c r="CR44" s="1144" t="str">
        <f t="shared" si="14"/>
        <v/>
      </c>
      <c r="CS44" s="1144" t="str">
        <f t="shared" si="14"/>
        <v/>
      </c>
      <c r="CT44" s="1144" t="str">
        <f t="shared" si="14"/>
        <v/>
      </c>
      <c r="CU44" s="1144" t="str">
        <f t="shared" si="14"/>
        <v/>
      </c>
      <c r="CV44" s="1144" t="str">
        <f t="shared" si="14"/>
        <v/>
      </c>
      <c r="CW44" s="1144" t="str">
        <f t="shared" si="14"/>
        <v/>
      </c>
      <c r="CX44" s="1144" t="str">
        <f t="shared" si="14"/>
        <v/>
      </c>
      <c r="CY44" s="1144" t="str">
        <f t="shared" si="14"/>
        <v/>
      </c>
      <c r="CZ44" s="1144" t="str">
        <f t="shared" si="14"/>
        <v/>
      </c>
      <c r="DA44" s="1144" t="str">
        <f t="shared" si="14"/>
        <v/>
      </c>
      <c r="DB44" s="1144" t="str">
        <f t="shared" si="14"/>
        <v/>
      </c>
      <c r="DC44" s="1144" t="str">
        <f t="shared" si="14"/>
        <v/>
      </c>
      <c r="DD44" s="1144"/>
      <c r="DE44" s="1144"/>
      <c r="DF44" s="1144"/>
      <c r="DG44" s="1144"/>
      <c r="DH44" s="1144"/>
      <c r="DI44" s="1144"/>
      <c r="DJ44" s="1144"/>
      <c r="DK44" s="1144"/>
      <c r="DL44" s="1144"/>
      <c r="DM44" s="1144"/>
      <c r="DN44" s="1144"/>
      <c r="DO44" s="1144"/>
      <c r="DP44" s="1144"/>
      <c r="DQ44" s="1144"/>
      <c r="DR44" s="1144"/>
      <c r="DS44" s="1145"/>
      <c r="DT44" s="1145"/>
      <c r="DU44" s="1144"/>
      <c r="DV44" s="1145"/>
      <c r="DW44" s="1144"/>
      <c r="DX44" s="1145"/>
      <c r="DY44" s="1144"/>
      <c r="DZ44" s="1144"/>
      <c r="EA44" s="1145"/>
      <c r="EB44" s="1144"/>
      <c r="EC44" s="1144"/>
      <c r="ED44" s="1144"/>
      <c r="EE44" s="1144"/>
      <c r="EF44" s="1144"/>
      <c r="EG44" s="1144"/>
      <c r="EH44" s="1144"/>
      <c r="EI44" s="1144"/>
      <c r="EJ44" s="1144"/>
      <c r="EK44" s="1144"/>
      <c r="EL44" s="1144"/>
      <c r="EM44" s="1144"/>
      <c r="EN44" s="1144"/>
      <c r="EO44" s="1144" t="str">
        <f t="shared" ref="EO44:FA44" si="15">IF(EO42=0,"","CH")</f>
        <v/>
      </c>
      <c r="EP44" s="1144" t="str">
        <f t="shared" si="15"/>
        <v/>
      </c>
      <c r="EQ44" s="1144" t="str">
        <f t="shared" si="15"/>
        <v/>
      </c>
      <c r="ER44" s="1144" t="str">
        <f t="shared" si="15"/>
        <v/>
      </c>
      <c r="ES44" s="1144" t="str">
        <f t="shared" si="15"/>
        <v/>
      </c>
      <c r="ET44" s="1144" t="str">
        <f t="shared" si="15"/>
        <v/>
      </c>
      <c r="EU44" s="1144" t="str">
        <f t="shared" si="15"/>
        <v/>
      </c>
      <c r="EV44" s="1144" t="str">
        <f t="shared" si="15"/>
        <v/>
      </c>
      <c r="EW44" s="1144" t="str">
        <f t="shared" si="15"/>
        <v/>
      </c>
      <c r="EX44" s="1144" t="str">
        <f t="shared" si="15"/>
        <v/>
      </c>
      <c r="EY44" s="1144" t="str">
        <f t="shared" si="15"/>
        <v/>
      </c>
      <c r="EZ44" s="1144" t="str">
        <f t="shared" si="15"/>
        <v/>
      </c>
      <c r="FA44" s="1144" t="str">
        <f t="shared" si="15"/>
        <v/>
      </c>
      <c r="FB44" s="1144"/>
      <c r="FC44" s="1144"/>
      <c r="FD44" s="1144"/>
      <c r="FE44" s="1144"/>
      <c r="FF44" s="1144"/>
      <c r="FG44" s="1144"/>
      <c r="FH44" s="1144"/>
      <c r="FI44" s="1144"/>
      <c r="FJ44" s="1144"/>
      <c r="FK44" s="1144" t="str">
        <f t="shared" ref="FK44:GB44" si="16">IF(FK42=0,"","CH")</f>
        <v/>
      </c>
      <c r="FL44" s="1144" t="str">
        <f t="shared" si="16"/>
        <v/>
      </c>
      <c r="FM44" s="1144" t="str">
        <f t="shared" si="16"/>
        <v/>
      </c>
      <c r="FN44" s="1144" t="str">
        <f t="shared" si="16"/>
        <v/>
      </c>
      <c r="FO44" s="1144" t="str">
        <f t="shared" si="16"/>
        <v/>
      </c>
      <c r="FP44" s="1144" t="str">
        <f t="shared" si="16"/>
        <v/>
      </c>
      <c r="FQ44" s="1144" t="str">
        <f t="shared" si="16"/>
        <v/>
      </c>
      <c r="FR44" s="1144" t="str">
        <f t="shared" si="16"/>
        <v/>
      </c>
      <c r="FS44" s="1144" t="str">
        <f t="shared" si="16"/>
        <v/>
      </c>
      <c r="FT44" s="1145" t="str">
        <f t="shared" si="16"/>
        <v/>
      </c>
      <c r="FU44" s="1145" t="str">
        <f t="shared" si="16"/>
        <v/>
      </c>
      <c r="FV44" s="1145" t="str">
        <f t="shared" si="16"/>
        <v/>
      </c>
      <c r="FW44" s="1144" t="str">
        <f t="shared" si="16"/>
        <v/>
      </c>
      <c r="FX44" s="1144" t="str">
        <f t="shared" si="16"/>
        <v/>
      </c>
      <c r="FY44" s="1144" t="str">
        <f t="shared" si="16"/>
        <v/>
      </c>
      <c r="FZ44" s="1144" t="str">
        <f t="shared" si="16"/>
        <v/>
      </c>
      <c r="GA44" s="1144" t="str">
        <f t="shared" si="16"/>
        <v/>
      </c>
      <c r="GB44" s="1144" t="str">
        <f t="shared" si="16"/>
        <v/>
      </c>
      <c r="GC44" s="1144"/>
      <c r="GD44" s="1144"/>
      <c r="GE44" s="1144"/>
      <c r="GF44" s="1144"/>
      <c r="GG44" s="1144"/>
      <c r="GH44" s="1144"/>
      <c r="GI44" s="1144"/>
      <c r="GJ44" s="1144"/>
      <c r="GK44" s="1144"/>
      <c r="GL44" s="1144"/>
      <c r="GM44" s="1144"/>
      <c r="GN44" s="1144"/>
      <c r="GO44" s="1144"/>
      <c r="GP44" s="1144"/>
      <c r="GQ44" s="1144"/>
      <c r="GR44" s="1144"/>
      <c r="GS44" s="1144"/>
      <c r="GT44" s="1144"/>
      <c r="GU44" s="1144"/>
      <c r="GV44" s="1144"/>
      <c r="GW44" s="1144"/>
      <c r="GX44" s="1144"/>
      <c r="GY44" s="1144"/>
      <c r="GZ44" s="1144"/>
      <c r="HA44" s="1144"/>
      <c r="HB44" s="1144"/>
      <c r="HC44" s="1144"/>
      <c r="HD44" s="1144"/>
      <c r="HE44" s="1144"/>
      <c r="HF44" s="1144"/>
      <c r="HG44" s="1144"/>
      <c r="HH44" s="1144"/>
      <c r="HI44" s="1144"/>
      <c r="HJ44" s="1144"/>
      <c r="HK44" s="1144"/>
      <c r="HL44" s="1144"/>
      <c r="HM44" s="1144"/>
      <c r="HN44" s="1144"/>
      <c r="HO44" s="1144"/>
      <c r="HP44" s="1144"/>
      <c r="HQ44" s="1144"/>
      <c r="HR44" s="1144"/>
      <c r="HS44" s="1144"/>
      <c r="HT44" s="1144"/>
      <c r="HU44" s="1144"/>
      <c r="HV44" s="1144"/>
      <c r="HW44" s="1144"/>
      <c r="HX44" s="1144"/>
      <c r="HY44" s="1144"/>
      <c r="HZ44" s="1144"/>
      <c r="IA44" s="1144"/>
      <c r="IB44" s="1144"/>
      <c r="IC44" s="1144"/>
      <c r="ID44" s="1144"/>
      <c r="IE44" s="1144"/>
      <c r="IF44" s="1144"/>
      <c r="IG44" s="1144"/>
      <c r="IH44" s="1144"/>
      <c r="II44" s="1144"/>
      <c r="IJ44" s="1144"/>
      <c r="IK44" s="1144"/>
      <c r="IL44" s="1144"/>
      <c r="IM44" s="1144"/>
      <c r="IN44" s="1144"/>
      <c r="IO44" s="1144"/>
      <c r="IP44" s="1144"/>
      <c r="IQ44" s="1144"/>
      <c r="IR44" s="1144"/>
      <c r="IS44" s="1144"/>
      <c r="IT44" s="1144"/>
      <c r="IU44" s="1144"/>
      <c r="IV44" s="1144"/>
      <c r="IW44" s="1144"/>
      <c r="IX44" s="1144"/>
      <c r="IY44" s="1144"/>
      <c r="IZ44" s="1144"/>
      <c r="JA44" s="1144"/>
      <c r="JB44" s="1144"/>
      <c r="JC44" s="1144" t="str">
        <f>IF(JC42=0,"","CH")</f>
        <v/>
      </c>
      <c r="JD44" s="1146"/>
      <c r="JE44" s="1144"/>
      <c r="JF44" s="1144"/>
      <c r="JG44" s="1144"/>
      <c r="JH44" s="1144"/>
      <c r="JI44" s="1144"/>
      <c r="JJ44" s="1144"/>
      <c r="JK44" s="1144"/>
      <c r="JL44" s="1144"/>
      <c r="JM44" s="1144"/>
      <c r="JN44" s="1144"/>
      <c r="JO44" s="1144"/>
      <c r="JP44" s="1144" t="str">
        <f t="shared" ref="JP44:JY44" si="17">IF(JP42=0,"","CH")</f>
        <v/>
      </c>
      <c r="JQ44" s="1144" t="str">
        <f t="shared" si="17"/>
        <v/>
      </c>
      <c r="JR44" s="1144" t="str">
        <f t="shared" si="17"/>
        <v/>
      </c>
      <c r="JS44" s="1144" t="str">
        <f t="shared" si="17"/>
        <v/>
      </c>
      <c r="JT44" s="1144" t="str">
        <f t="shared" si="17"/>
        <v/>
      </c>
      <c r="JU44" s="1144" t="str">
        <f t="shared" si="17"/>
        <v/>
      </c>
      <c r="JV44" s="1144" t="str">
        <f t="shared" si="17"/>
        <v/>
      </c>
      <c r="JW44" s="1144" t="str">
        <f t="shared" si="17"/>
        <v/>
      </c>
      <c r="JX44" s="1144" t="str">
        <f t="shared" si="17"/>
        <v/>
      </c>
      <c r="JY44" s="1144" t="str">
        <f t="shared" si="17"/>
        <v/>
      </c>
      <c r="JZ44" s="1144"/>
      <c r="KA44" s="1144"/>
      <c r="KB44" s="1144"/>
      <c r="KC44" s="1144"/>
      <c r="KD44" s="1144"/>
      <c r="KE44" s="1144"/>
    </row>
    <row r="45" spans="1:291">
      <c r="A45" s="78"/>
      <c r="B45" s="83">
        <v>762</v>
      </c>
      <c r="C45" s="437" t="s">
        <v>2991</v>
      </c>
      <c r="D45" s="1144"/>
      <c r="E45" s="1144"/>
      <c r="F45" s="1144"/>
      <c r="G45" s="1144"/>
      <c r="H45" s="1144"/>
      <c r="I45" s="1144"/>
      <c r="J45" s="1144"/>
      <c r="K45" s="1144"/>
      <c r="L45" s="1144"/>
      <c r="M45" s="1144"/>
      <c r="N45" s="1144"/>
      <c r="O45" s="1144"/>
      <c r="P45" s="1144"/>
      <c r="Q45" s="1144"/>
      <c r="R45" s="1144"/>
      <c r="S45" s="1144"/>
      <c r="T45" s="1144"/>
      <c r="U45" s="1144"/>
      <c r="V45" s="1144"/>
      <c r="W45" s="1144"/>
      <c r="X45" s="1144"/>
      <c r="Y45" s="1144"/>
      <c r="Z45" s="1144"/>
      <c r="AA45" s="1144"/>
      <c r="AB45" s="1144"/>
      <c r="AC45" s="1144"/>
      <c r="AD45" s="1144"/>
      <c r="AE45" s="1144"/>
      <c r="AF45" s="1144"/>
      <c r="AG45" s="1144"/>
      <c r="AH45" s="1144"/>
      <c r="AI45" s="1144"/>
      <c r="AJ45" s="1144"/>
      <c r="AK45" s="1144"/>
      <c r="AL45" s="1144"/>
      <c r="AM45" s="1144"/>
      <c r="AN45" s="1144"/>
      <c r="AO45" s="1144"/>
      <c r="AP45" s="1144"/>
      <c r="AQ45" s="1144"/>
      <c r="AR45" s="1144"/>
      <c r="AS45" s="1144"/>
      <c r="AT45" s="1144"/>
      <c r="AU45" s="1144"/>
      <c r="AV45" s="1144"/>
      <c r="AW45" s="1144"/>
      <c r="AX45" s="1144"/>
      <c r="AY45" s="1144"/>
      <c r="AZ45" s="1144"/>
      <c r="BA45" s="1144"/>
      <c r="BB45" s="1144"/>
      <c r="BC45" s="1144"/>
      <c r="BD45" s="1144"/>
      <c r="BE45" s="1144"/>
      <c r="BF45" s="1144"/>
      <c r="BG45" s="1144"/>
      <c r="BH45" s="1144"/>
      <c r="BI45" s="1144"/>
      <c r="BJ45" s="1144"/>
      <c r="BK45" s="1144"/>
      <c r="BL45" s="1145"/>
      <c r="BM45" s="1145"/>
      <c r="BN45" s="1144"/>
      <c r="BO45" s="1144"/>
      <c r="BP45" s="1144"/>
      <c r="BQ45" s="1144"/>
      <c r="BR45" s="1144"/>
      <c r="BS45" s="1144"/>
      <c r="BT45" s="1144"/>
      <c r="BU45" s="1144"/>
      <c r="BV45" s="1144"/>
      <c r="BW45" s="1144"/>
      <c r="BX45" s="1144"/>
      <c r="BY45" s="1144"/>
      <c r="BZ45" s="1144"/>
      <c r="CA45" s="1144"/>
      <c r="CB45" s="1144"/>
      <c r="CC45" s="1144"/>
      <c r="CD45" s="1144"/>
      <c r="CE45" s="1144"/>
      <c r="CF45" s="1144"/>
      <c r="CG45" s="1144"/>
      <c r="CH45" s="1144"/>
      <c r="CI45" s="1144"/>
      <c r="CJ45" s="1144"/>
      <c r="CK45" s="1144"/>
      <c r="CL45" s="1144"/>
      <c r="CM45" s="1144"/>
      <c r="CN45" s="1144"/>
      <c r="CO45" s="1144"/>
      <c r="CP45" s="1144"/>
      <c r="CQ45" s="1144"/>
      <c r="CR45" s="1144"/>
      <c r="CS45" s="1144"/>
      <c r="CT45" s="1144"/>
      <c r="CU45" s="1144"/>
      <c r="CV45" s="1144"/>
      <c r="CW45" s="1144"/>
      <c r="CX45" s="1144"/>
      <c r="CY45" s="1144"/>
      <c r="CZ45" s="1144"/>
      <c r="DA45" s="1144"/>
      <c r="DB45" s="1144"/>
      <c r="DC45" s="1144"/>
      <c r="DD45" s="1144"/>
      <c r="DE45" s="1144"/>
      <c r="DF45" s="1144"/>
      <c r="DG45" s="1144"/>
      <c r="DH45" s="1144"/>
      <c r="DI45" s="1144"/>
      <c r="DJ45" s="1144"/>
      <c r="DK45" s="1144"/>
      <c r="DL45" s="1144"/>
      <c r="DM45" s="1144"/>
      <c r="DN45" s="1144"/>
      <c r="DO45" s="1144"/>
      <c r="DP45" s="1144"/>
      <c r="DQ45" s="1144"/>
      <c r="DR45" s="1144"/>
      <c r="DS45" s="1145"/>
      <c r="DT45" s="1145"/>
      <c r="DU45" s="1144"/>
      <c r="DV45" s="1145"/>
      <c r="DW45" s="1144"/>
      <c r="DX45" s="1145"/>
      <c r="DY45" s="1144"/>
      <c r="DZ45" s="1144"/>
      <c r="EA45" s="1145"/>
      <c r="EB45" s="1144"/>
      <c r="EC45" s="1144"/>
      <c r="ED45" s="1144"/>
      <c r="EE45" s="1144"/>
      <c r="EF45" s="1144"/>
      <c r="EG45" s="1144"/>
      <c r="EH45" s="1144"/>
      <c r="EI45" s="1144"/>
      <c r="EJ45" s="1144"/>
      <c r="EK45" s="1144"/>
      <c r="EL45" s="1144"/>
      <c r="EM45" s="1144"/>
      <c r="EN45" s="1144"/>
      <c r="EO45" s="1144"/>
      <c r="EP45" s="1144"/>
      <c r="EQ45" s="1144"/>
      <c r="ER45" s="1144"/>
      <c r="ES45" s="1144"/>
      <c r="ET45" s="1144"/>
      <c r="EU45" s="1144"/>
      <c r="EV45" s="1144"/>
      <c r="EW45" s="1144"/>
      <c r="EX45" s="1144"/>
      <c r="EY45" s="1144"/>
      <c r="EZ45" s="1144"/>
      <c r="FA45" s="1144"/>
      <c r="FB45" s="1144"/>
      <c r="FC45" s="1144"/>
      <c r="FD45" s="1144"/>
      <c r="FE45" s="1144"/>
      <c r="FF45" s="1144"/>
      <c r="FG45" s="1144"/>
      <c r="FH45" s="1144"/>
      <c r="FI45" s="1144"/>
      <c r="FJ45" s="1144"/>
      <c r="FK45" s="1144"/>
      <c r="FL45" s="1144"/>
      <c r="FM45" s="1144"/>
      <c r="FN45" s="1144"/>
      <c r="FO45" s="1144"/>
      <c r="FP45" s="1144"/>
      <c r="FQ45" s="1144"/>
      <c r="FR45" s="1144"/>
      <c r="FS45" s="1144"/>
      <c r="FT45" s="1145"/>
      <c r="FU45" s="1145"/>
      <c r="FV45" s="1145"/>
      <c r="FW45" s="1144"/>
      <c r="FX45" s="1144"/>
      <c r="FY45" s="1144"/>
      <c r="FZ45" s="1144"/>
      <c r="GA45" s="1144"/>
      <c r="GB45" s="1144"/>
      <c r="GC45" s="1144"/>
      <c r="GD45" s="1144"/>
      <c r="GE45" s="1144"/>
      <c r="GF45" s="1144"/>
      <c r="GG45" s="1144"/>
      <c r="GH45" s="1144"/>
      <c r="GI45" s="1144"/>
      <c r="GJ45" s="1144"/>
      <c r="GK45" s="1144"/>
      <c r="GL45" s="1144"/>
      <c r="GM45" s="1144"/>
      <c r="GN45" s="1144"/>
      <c r="GO45" s="1144"/>
      <c r="GP45" s="1144"/>
      <c r="GQ45" s="1144"/>
      <c r="GR45" s="1144"/>
      <c r="GS45" s="1144"/>
      <c r="GT45" s="1144"/>
      <c r="GU45" s="1144"/>
      <c r="GV45" s="1144"/>
      <c r="GW45" s="1144"/>
      <c r="GX45" s="1144"/>
      <c r="GY45" s="1144"/>
      <c r="GZ45" s="1144"/>
      <c r="HA45" s="1144"/>
      <c r="HB45" s="1144"/>
      <c r="HC45" s="1144"/>
      <c r="HD45" s="1144"/>
      <c r="HE45" s="1144"/>
      <c r="HF45" s="1144"/>
      <c r="HG45" s="1144"/>
      <c r="HH45" s="1144"/>
      <c r="HI45" s="1144"/>
      <c r="HJ45" s="1144"/>
      <c r="HK45" s="1144"/>
      <c r="HL45" s="1144"/>
      <c r="HM45" s="1144"/>
      <c r="HN45" s="1144"/>
      <c r="HO45" s="1144"/>
      <c r="HP45" s="1144"/>
      <c r="HQ45" s="1144"/>
      <c r="HR45" s="1144"/>
      <c r="HS45" s="1144"/>
      <c r="HT45" s="1144"/>
      <c r="HU45" s="1144"/>
      <c r="HV45" s="1144"/>
      <c r="HW45" s="1144"/>
      <c r="HX45" s="1144"/>
      <c r="HY45" s="1144"/>
      <c r="HZ45" s="1144"/>
      <c r="IA45" s="1144"/>
      <c r="IB45" s="1144"/>
      <c r="IC45" s="1144"/>
      <c r="ID45" s="1144"/>
      <c r="IE45" s="1144"/>
      <c r="IF45" s="1144"/>
      <c r="IG45" s="1144"/>
      <c r="IH45" s="1144"/>
      <c r="II45" s="1144"/>
      <c r="IJ45" s="1144"/>
      <c r="IK45" s="1144"/>
      <c r="IL45" s="1144"/>
      <c r="IM45" s="1144"/>
      <c r="IN45" s="1144"/>
      <c r="IO45" s="1144"/>
      <c r="IP45" s="1144"/>
      <c r="IQ45" s="1144"/>
      <c r="IR45" s="1144"/>
      <c r="IS45" s="1144"/>
      <c r="IT45" s="1144"/>
      <c r="IU45" s="1144"/>
      <c r="IV45" s="1144"/>
      <c r="IW45" s="1144"/>
      <c r="IX45" s="1144"/>
      <c r="IY45" s="1144"/>
      <c r="IZ45" s="1144"/>
      <c r="JA45" s="1144"/>
      <c r="JB45" s="1144"/>
      <c r="JC45" s="1144"/>
      <c r="JD45" s="1146"/>
      <c r="JE45" s="1144"/>
      <c r="JF45" s="1144"/>
      <c r="JG45" s="1144"/>
      <c r="JH45" s="1144"/>
      <c r="JI45" s="1144"/>
      <c r="JJ45" s="1144"/>
      <c r="JK45" s="1144"/>
      <c r="JL45" s="1144"/>
      <c r="JM45" s="1144"/>
      <c r="JN45" s="1144"/>
      <c r="JO45" s="1144"/>
      <c r="JP45" s="1144"/>
      <c r="JQ45" s="1144"/>
      <c r="JR45" s="1144"/>
      <c r="JS45" s="1144"/>
      <c r="JT45" s="1144"/>
      <c r="JU45" s="1144"/>
      <c r="JV45" s="1144"/>
      <c r="JW45" s="1144"/>
      <c r="JX45" s="1144"/>
      <c r="JY45" s="1144"/>
      <c r="JZ45" s="1144"/>
      <c r="KA45" s="1144"/>
      <c r="KB45" s="1144"/>
      <c r="KC45" s="1144"/>
      <c r="KD45" s="1144"/>
      <c r="KE45" s="1144"/>
    </row>
    <row r="46" spans="1:291" outlineLevel="1">
      <c r="A46" s="78" t="s">
        <v>2992</v>
      </c>
      <c r="B46" s="166">
        <v>5616</v>
      </c>
      <c r="C46" s="437" t="s">
        <v>2993</v>
      </c>
      <c r="D46" s="1150">
        <v>42</v>
      </c>
      <c r="E46" s="1150">
        <v>42</v>
      </c>
      <c r="F46" s="1150">
        <v>42</v>
      </c>
      <c r="G46" s="1150">
        <v>42</v>
      </c>
      <c r="H46" s="1150">
        <v>42</v>
      </c>
      <c r="I46" s="1150">
        <v>42</v>
      </c>
      <c r="J46" s="1150">
        <v>42</v>
      </c>
      <c r="K46" s="1150">
        <v>42</v>
      </c>
      <c r="L46" s="1150">
        <v>42</v>
      </c>
      <c r="M46" s="1150">
        <v>42</v>
      </c>
      <c r="N46" s="1150">
        <v>42</v>
      </c>
      <c r="O46" s="1150">
        <v>42</v>
      </c>
      <c r="P46" s="1150">
        <v>42</v>
      </c>
      <c r="Q46" s="1150">
        <v>42</v>
      </c>
      <c r="R46" s="1150">
        <v>42</v>
      </c>
      <c r="S46" s="1150">
        <v>42</v>
      </c>
      <c r="T46" s="1150">
        <v>42</v>
      </c>
      <c r="U46" s="1150">
        <v>42</v>
      </c>
      <c r="V46" s="1150">
        <v>42</v>
      </c>
      <c r="W46" s="1150">
        <v>42</v>
      </c>
      <c r="X46" s="1150">
        <v>42</v>
      </c>
      <c r="Y46" s="1150">
        <v>42</v>
      </c>
      <c r="Z46" s="1150">
        <v>42</v>
      </c>
      <c r="AA46" s="1150">
        <v>42</v>
      </c>
      <c r="AB46" s="1150">
        <v>42</v>
      </c>
      <c r="AC46" s="1150">
        <v>42</v>
      </c>
      <c r="AD46" s="1150">
        <v>42</v>
      </c>
      <c r="AE46" s="1150">
        <v>42</v>
      </c>
      <c r="AF46" s="1150">
        <v>42</v>
      </c>
      <c r="AG46" s="1150">
        <v>42</v>
      </c>
      <c r="AH46" s="1150">
        <v>42</v>
      </c>
      <c r="AI46" s="1150">
        <v>42</v>
      </c>
      <c r="AJ46" s="1150">
        <v>42</v>
      </c>
      <c r="AK46" s="1150">
        <v>42</v>
      </c>
      <c r="AL46" s="1150">
        <v>42</v>
      </c>
      <c r="AM46" s="1150">
        <v>42</v>
      </c>
      <c r="AN46" s="1150">
        <v>42</v>
      </c>
      <c r="AO46" s="1150">
        <v>42</v>
      </c>
      <c r="AP46" s="1150">
        <v>42</v>
      </c>
      <c r="AQ46" s="1150">
        <v>42</v>
      </c>
      <c r="AR46" s="1150">
        <v>42</v>
      </c>
      <c r="AS46" s="1150">
        <v>42</v>
      </c>
      <c r="AT46" s="1144">
        <v>42</v>
      </c>
      <c r="AU46" s="1144">
        <v>42</v>
      </c>
      <c r="AV46" s="1150">
        <v>42</v>
      </c>
      <c r="AW46" s="1150">
        <v>42</v>
      </c>
      <c r="AX46" s="1150">
        <v>42</v>
      </c>
      <c r="AY46" s="1150">
        <v>42</v>
      </c>
      <c r="AZ46" s="1150">
        <v>42</v>
      </c>
      <c r="BA46" s="1150">
        <v>42</v>
      </c>
      <c r="BB46" s="1150">
        <v>42</v>
      </c>
      <c r="BC46" s="1150">
        <v>42</v>
      </c>
      <c r="BD46" s="1150">
        <v>42</v>
      </c>
      <c r="BE46" s="1150">
        <v>42</v>
      </c>
      <c r="BF46" s="1150">
        <v>42</v>
      </c>
      <c r="BG46" s="1150">
        <v>42</v>
      </c>
      <c r="BH46" s="1150">
        <v>42</v>
      </c>
      <c r="BI46" s="1150">
        <v>42</v>
      </c>
      <c r="BJ46" s="1150">
        <v>42</v>
      </c>
      <c r="BK46" s="1150">
        <v>42</v>
      </c>
      <c r="BL46" s="1151">
        <v>42</v>
      </c>
      <c r="BM46" s="1151">
        <v>42</v>
      </c>
      <c r="BN46" s="1150">
        <v>42</v>
      </c>
      <c r="BO46" s="1150">
        <v>42</v>
      </c>
      <c r="BP46" s="1150">
        <v>42</v>
      </c>
      <c r="BQ46" s="1150">
        <v>42</v>
      </c>
      <c r="BR46" s="1150">
        <v>42</v>
      </c>
      <c r="BS46" s="1150">
        <v>42</v>
      </c>
      <c r="BT46" s="1150">
        <v>42</v>
      </c>
      <c r="BU46" s="1150">
        <v>42</v>
      </c>
      <c r="BV46" s="1150">
        <v>42</v>
      </c>
      <c r="BW46" s="1150">
        <v>42</v>
      </c>
      <c r="BX46" s="1150">
        <v>42</v>
      </c>
      <c r="BY46" s="1150">
        <v>42</v>
      </c>
      <c r="BZ46" s="1150">
        <v>42</v>
      </c>
      <c r="CA46" s="1150">
        <v>42</v>
      </c>
      <c r="CB46" s="1150">
        <v>42</v>
      </c>
      <c r="CC46" s="1150">
        <v>42</v>
      </c>
      <c r="CD46" s="1150">
        <v>42</v>
      </c>
      <c r="CE46" s="1150">
        <v>42</v>
      </c>
      <c r="CF46" s="1150">
        <v>42</v>
      </c>
      <c r="CG46" s="1150">
        <v>42</v>
      </c>
      <c r="CH46" s="1150">
        <v>42</v>
      </c>
      <c r="CI46" s="1150">
        <v>42</v>
      </c>
      <c r="CJ46" s="1150">
        <v>42</v>
      </c>
      <c r="CK46" s="1150">
        <v>42</v>
      </c>
      <c r="CL46" s="1150">
        <v>42</v>
      </c>
      <c r="CM46" s="1150">
        <v>42</v>
      </c>
      <c r="CN46" s="1150">
        <v>42</v>
      </c>
      <c r="CO46" s="1150">
        <v>42</v>
      </c>
      <c r="CP46" s="1150">
        <v>42</v>
      </c>
      <c r="CQ46" s="1150">
        <v>42</v>
      </c>
      <c r="CR46" s="1150">
        <v>42</v>
      </c>
      <c r="CS46" s="1150">
        <v>42</v>
      </c>
      <c r="CT46" s="1150">
        <v>42</v>
      </c>
      <c r="CU46" s="1150">
        <v>42</v>
      </c>
      <c r="CV46" s="1150">
        <v>42</v>
      </c>
      <c r="CW46" s="1150">
        <v>42</v>
      </c>
      <c r="CX46" s="1150">
        <v>42</v>
      </c>
      <c r="CY46" s="1150">
        <v>42</v>
      </c>
      <c r="CZ46" s="1150">
        <v>42</v>
      </c>
      <c r="DA46" s="1150">
        <v>42</v>
      </c>
      <c r="DB46" s="1150">
        <v>42</v>
      </c>
      <c r="DC46" s="1150">
        <v>42</v>
      </c>
      <c r="DD46" s="1150">
        <v>42</v>
      </c>
      <c r="DE46" s="1150">
        <v>42</v>
      </c>
      <c r="DF46" s="1150">
        <v>42</v>
      </c>
      <c r="DG46" s="1150">
        <v>42</v>
      </c>
      <c r="DH46" s="1150">
        <v>42</v>
      </c>
      <c r="DI46" s="1150">
        <v>42</v>
      </c>
      <c r="DJ46" s="1150">
        <v>42</v>
      </c>
      <c r="DK46" s="1150">
        <v>42</v>
      </c>
      <c r="DL46" s="1150">
        <v>42</v>
      </c>
      <c r="DM46" s="1150">
        <v>42</v>
      </c>
      <c r="DN46" s="1150">
        <v>42</v>
      </c>
      <c r="DO46" s="1150">
        <v>42</v>
      </c>
      <c r="DP46" s="1150">
        <v>42</v>
      </c>
      <c r="DQ46" s="1150">
        <v>42</v>
      </c>
      <c r="DR46" s="1150">
        <v>42</v>
      </c>
      <c r="DS46" s="1151">
        <v>42</v>
      </c>
      <c r="DT46" s="1151">
        <v>42</v>
      </c>
      <c r="DU46" s="1150">
        <v>42</v>
      </c>
      <c r="DV46" s="1151">
        <v>42</v>
      </c>
      <c r="DW46" s="1150">
        <v>42</v>
      </c>
      <c r="DX46" s="1151">
        <v>42</v>
      </c>
      <c r="DY46" s="1150">
        <v>42</v>
      </c>
      <c r="DZ46" s="1150">
        <v>42</v>
      </c>
      <c r="EA46" s="1151">
        <v>42</v>
      </c>
      <c r="EB46" s="1150">
        <v>42</v>
      </c>
      <c r="EC46" s="1150">
        <v>42</v>
      </c>
      <c r="ED46" s="1150">
        <v>42</v>
      </c>
      <c r="EE46" s="1150">
        <v>42</v>
      </c>
      <c r="EF46" s="1150">
        <v>42</v>
      </c>
      <c r="EG46" s="1150">
        <v>42</v>
      </c>
      <c r="EH46" s="1150">
        <v>42</v>
      </c>
      <c r="EI46" s="1150">
        <v>42</v>
      </c>
      <c r="EJ46" s="1150">
        <v>42</v>
      </c>
      <c r="EK46" s="1150">
        <v>42</v>
      </c>
      <c r="EL46" s="1150">
        <v>42</v>
      </c>
      <c r="EM46" s="1150">
        <v>42</v>
      </c>
      <c r="EN46" s="1150">
        <v>42</v>
      </c>
      <c r="EO46" s="1150">
        <v>42</v>
      </c>
      <c r="EP46" s="1150">
        <v>42</v>
      </c>
      <c r="EQ46" s="1150">
        <v>42</v>
      </c>
      <c r="ER46" s="1150">
        <v>42</v>
      </c>
      <c r="ES46" s="1150">
        <v>42</v>
      </c>
      <c r="ET46" s="1150">
        <v>42</v>
      </c>
      <c r="EU46" s="1150">
        <v>42</v>
      </c>
      <c r="EV46" s="1150">
        <v>42</v>
      </c>
      <c r="EW46" s="1150">
        <v>42</v>
      </c>
      <c r="EX46" s="1150">
        <v>42</v>
      </c>
      <c r="EY46" s="1150">
        <v>42</v>
      </c>
      <c r="EZ46" s="1150">
        <v>42</v>
      </c>
      <c r="FA46" s="1150">
        <v>42</v>
      </c>
      <c r="FB46" s="1150">
        <v>42</v>
      </c>
      <c r="FC46" s="1150">
        <v>42</v>
      </c>
      <c r="FD46" s="1150">
        <v>42</v>
      </c>
      <c r="FE46" s="1150">
        <v>42</v>
      </c>
      <c r="FF46" s="1150">
        <v>42</v>
      </c>
      <c r="FG46" s="1150">
        <v>42</v>
      </c>
      <c r="FH46" s="1150">
        <v>202</v>
      </c>
      <c r="FI46" s="1150">
        <v>202</v>
      </c>
      <c r="FJ46" s="1150">
        <v>42</v>
      </c>
      <c r="FK46" s="1150">
        <v>42</v>
      </c>
      <c r="FL46" s="1150">
        <v>42</v>
      </c>
      <c r="FM46" s="1150">
        <v>42</v>
      </c>
      <c r="FN46" s="1150">
        <v>42</v>
      </c>
      <c r="FO46" s="1150">
        <v>42</v>
      </c>
      <c r="FP46" s="1150">
        <v>42</v>
      </c>
      <c r="FQ46" s="1150">
        <v>42</v>
      </c>
      <c r="FR46" s="1150">
        <v>42</v>
      </c>
      <c r="FS46" s="1150">
        <v>202</v>
      </c>
      <c r="FT46" s="1151">
        <v>202</v>
      </c>
      <c r="FU46" s="1151">
        <v>42</v>
      </c>
      <c r="FV46" s="1151">
        <v>42</v>
      </c>
      <c r="FW46" s="1150">
        <v>42</v>
      </c>
      <c r="FX46" s="1150">
        <v>42</v>
      </c>
      <c r="FY46" s="1150">
        <v>42</v>
      </c>
      <c r="FZ46" s="1150">
        <v>42</v>
      </c>
      <c r="GA46" s="1150">
        <v>42</v>
      </c>
      <c r="GB46" s="1150">
        <v>42</v>
      </c>
      <c r="GC46" s="1150">
        <v>42</v>
      </c>
      <c r="GD46" s="1150">
        <v>42</v>
      </c>
      <c r="GE46" s="1150">
        <v>42</v>
      </c>
      <c r="GF46" s="1150">
        <v>42</v>
      </c>
      <c r="GG46" s="1150">
        <v>42</v>
      </c>
      <c r="GH46" s="1150">
        <v>42</v>
      </c>
      <c r="GI46" s="1150">
        <v>42</v>
      </c>
      <c r="GJ46" s="1150">
        <v>42</v>
      </c>
      <c r="GK46" s="1150">
        <v>42</v>
      </c>
      <c r="GL46" s="1150">
        <v>42</v>
      </c>
      <c r="GM46" s="1150">
        <v>42</v>
      </c>
      <c r="GN46" s="1150">
        <v>42</v>
      </c>
      <c r="GO46" s="1150">
        <v>42</v>
      </c>
      <c r="GP46" s="1150">
        <v>42</v>
      </c>
      <c r="GQ46" s="1150">
        <v>42</v>
      </c>
      <c r="GR46" s="1150">
        <v>42</v>
      </c>
      <c r="GS46" s="1150">
        <v>42</v>
      </c>
      <c r="GT46" s="1150">
        <v>42</v>
      </c>
      <c r="GU46" s="1150">
        <v>42</v>
      </c>
      <c r="GV46" s="1150">
        <v>42</v>
      </c>
      <c r="GW46" s="1150">
        <v>42</v>
      </c>
      <c r="GX46" s="1150">
        <v>42</v>
      </c>
      <c r="GY46" s="1150">
        <v>42</v>
      </c>
      <c r="GZ46" s="1150">
        <v>42</v>
      </c>
      <c r="HA46" s="1150">
        <v>42</v>
      </c>
      <c r="HB46" s="1150">
        <v>42</v>
      </c>
      <c r="HC46" s="1150">
        <v>42</v>
      </c>
      <c r="HD46" s="1150">
        <v>42</v>
      </c>
      <c r="HE46" s="1150">
        <v>42</v>
      </c>
      <c r="HF46" s="1150">
        <v>42</v>
      </c>
      <c r="HG46" s="1150">
        <v>42</v>
      </c>
      <c r="HH46" s="1150">
        <v>42</v>
      </c>
      <c r="HI46" s="1150">
        <v>42</v>
      </c>
      <c r="HJ46" s="1150">
        <v>42</v>
      </c>
      <c r="HK46" s="1150">
        <v>42</v>
      </c>
      <c r="HL46" s="1150">
        <v>42</v>
      </c>
      <c r="HM46" s="1150">
        <v>42</v>
      </c>
      <c r="HN46" s="1150">
        <v>42</v>
      </c>
      <c r="HO46" s="1150">
        <v>42</v>
      </c>
      <c r="HP46" s="1150">
        <v>42</v>
      </c>
      <c r="HQ46" s="1150">
        <v>42</v>
      </c>
      <c r="HR46" s="1150">
        <v>42</v>
      </c>
      <c r="HS46" s="1150">
        <v>42</v>
      </c>
      <c r="HT46" s="1150">
        <v>42</v>
      </c>
      <c r="HU46" s="1150">
        <v>42</v>
      </c>
      <c r="HV46" s="1150">
        <v>42</v>
      </c>
      <c r="HW46" s="1150">
        <v>42</v>
      </c>
      <c r="HX46" s="1150">
        <v>42</v>
      </c>
      <c r="HY46" s="1150">
        <v>42</v>
      </c>
      <c r="HZ46" s="1150">
        <v>42</v>
      </c>
      <c r="IA46" s="1150">
        <v>42</v>
      </c>
      <c r="IB46" s="1150">
        <v>42</v>
      </c>
      <c r="IC46" s="1150">
        <v>42</v>
      </c>
      <c r="ID46" s="1150">
        <v>42</v>
      </c>
      <c r="IE46" s="1150">
        <v>42</v>
      </c>
      <c r="IF46" s="1150">
        <v>42</v>
      </c>
      <c r="IG46" s="1150">
        <v>42</v>
      </c>
      <c r="IH46" s="1150">
        <v>42</v>
      </c>
      <c r="II46" s="1150">
        <v>42</v>
      </c>
      <c r="IJ46" s="1150">
        <v>42</v>
      </c>
      <c r="IK46" s="1150">
        <v>42</v>
      </c>
      <c r="IL46" s="1150">
        <v>42</v>
      </c>
      <c r="IM46" s="1150">
        <v>42</v>
      </c>
      <c r="IN46" s="1150">
        <v>42</v>
      </c>
      <c r="IO46" s="1150">
        <v>42</v>
      </c>
      <c r="IP46" s="1150">
        <v>42</v>
      </c>
      <c r="IQ46" s="1150">
        <v>42</v>
      </c>
      <c r="IR46" s="1150">
        <v>42</v>
      </c>
      <c r="IS46" s="1150">
        <v>42</v>
      </c>
      <c r="IT46" s="1150">
        <v>42</v>
      </c>
      <c r="IU46" s="1150">
        <v>42</v>
      </c>
      <c r="IV46" s="1150">
        <v>42</v>
      </c>
      <c r="IW46" s="1150">
        <v>42</v>
      </c>
      <c r="IX46" s="1150">
        <v>42</v>
      </c>
      <c r="IY46" s="1150">
        <v>42</v>
      </c>
      <c r="IZ46" s="1150">
        <v>42</v>
      </c>
      <c r="JA46" s="1150">
        <v>42</v>
      </c>
      <c r="JB46" s="1150">
        <v>42</v>
      </c>
      <c r="JC46" s="1150">
        <v>42</v>
      </c>
      <c r="JD46" s="1152"/>
      <c r="JE46" s="1150">
        <v>42</v>
      </c>
      <c r="JF46" s="1150">
        <v>42</v>
      </c>
      <c r="JG46" s="1150">
        <v>42</v>
      </c>
      <c r="JH46" s="1150">
        <v>42</v>
      </c>
      <c r="JI46" s="1150">
        <v>42</v>
      </c>
      <c r="JJ46" s="1150">
        <v>42</v>
      </c>
      <c r="JK46" s="1150">
        <v>42</v>
      </c>
      <c r="JL46" s="1150">
        <v>42</v>
      </c>
      <c r="JM46" s="1150">
        <v>42</v>
      </c>
      <c r="JN46" s="1150">
        <v>42</v>
      </c>
      <c r="JO46" s="1150">
        <v>42</v>
      </c>
      <c r="JP46" s="1150">
        <v>42</v>
      </c>
      <c r="JQ46" s="1150">
        <v>42</v>
      </c>
      <c r="JR46" s="1150">
        <v>42</v>
      </c>
      <c r="JS46" s="1150">
        <v>42</v>
      </c>
      <c r="JT46" s="1150">
        <v>42</v>
      </c>
      <c r="JU46" s="1150">
        <v>42</v>
      </c>
      <c r="JV46" s="1150">
        <v>42</v>
      </c>
      <c r="JW46" s="1150">
        <v>42</v>
      </c>
      <c r="JX46" s="1150">
        <v>42</v>
      </c>
      <c r="JY46" s="1150">
        <v>42</v>
      </c>
      <c r="JZ46" s="1150">
        <v>42</v>
      </c>
      <c r="KA46" s="1150">
        <v>42</v>
      </c>
      <c r="KB46" s="1150">
        <v>42</v>
      </c>
      <c r="KC46" s="1150">
        <v>42</v>
      </c>
      <c r="KD46" s="1150">
        <v>42</v>
      </c>
      <c r="KE46" s="1150">
        <v>42</v>
      </c>
    </row>
    <row r="47" spans="1:291" outlineLevel="1">
      <c r="A47" s="78"/>
      <c r="B47" s="166">
        <v>5615</v>
      </c>
      <c r="C47" s="437" t="s">
        <v>2994</v>
      </c>
      <c r="D47" s="1159">
        <f t="shared" ref="D47:BO47" ca="1" si="18">TODAY()</f>
        <v>46212</v>
      </c>
      <c r="E47" s="1159">
        <f t="shared" ca="1" si="18"/>
        <v>46212</v>
      </c>
      <c r="F47" s="1159">
        <f t="shared" ca="1" si="18"/>
        <v>46212</v>
      </c>
      <c r="G47" s="1159">
        <f t="shared" ca="1" si="18"/>
        <v>46212</v>
      </c>
      <c r="H47" s="1159">
        <f t="shared" ca="1" si="18"/>
        <v>46212</v>
      </c>
      <c r="I47" s="1159">
        <f t="shared" ca="1" si="18"/>
        <v>46212</v>
      </c>
      <c r="J47" s="1159">
        <f t="shared" ca="1" si="18"/>
        <v>46212</v>
      </c>
      <c r="K47" s="1159">
        <f t="shared" ca="1" si="18"/>
        <v>46212</v>
      </c>
      <c r="L47" s="1159">
        <f t="shared" ca="1" si="18"/>
        <v>46212</v>
      </c>
      <c r="M47" s="1159">
        <f t="shared" ca="1" si="18"/>
        <v>46212</v>
      </c>
      <c r="N47" s="1159">
        <f t="shared" ca="1" si="18"/>
        <v>46212</v>
      </c>
      <c r="O47" s="1159">
        <f t="shared" ca="1" si="18"/>
        <v>46212</v>
      </c>
      <c r="P47" s="1159">
        <f t="shared" ca="1" si="18"/>
        <v>46212</v>
      </c>
      <c r="Q47" s="1159">
        <f t="shared" ca="1" si="18"/>
        <v>46212</v>
      </c>
      <c r="R47" s="1159">
        <f t="shared" ca="1" si="18"/>
        <v>46212</v>
      </c>
      <c r="S47" s="1159">
        <f t="shared" ca="1" si="18"/>
        <v>46212</v>
      </c>
      <c r="T47" s="1159">
        <f t="shared" ca="1" si="18"/>
        <v>46212</v>
      </c>
      <c r="U47" s="1159">
        <f t="shared" ca="1" si="18"/>
        <v>46212</v>
      </c>
      <c r="V47" s="1159">
        <f t="shared" ca="1" si="18"/>
        <v>46212</v>
      </c>
      <c r="W47" s="1159">
        <f t="shared" ca="1" si="18"/>
        <v>46212</v>
      </c>
      <c r="X47" s="1159">
        <f t="shared" ca="1" si="18"/>
        <v>46212</v>
      </c>
      <c r="Y47" s="1159">
        <f t="shared" ca="1" si="18"/>
        <v>46212</v>
      </c>
      <c r="Z47" s="1159">
        <f t="shared" ca="1" si="18"/>
        <v>46212</v>
      </c>
      <c r="AA47" s="1159">
        <f t="shared" ca="1" si="18"/>
        <v>46212</v>
      </c>
      <c r="AB47" s="1159">
        <f t="shared" ca="1" si="18"/>
        <v>46212</v>
      </c>
      <c r="AC47" s="1159">
        <f t="shared" ca="1" si="18"/>
        <v>46212</v>
      </c>
      <c r="AD47" s="1159">
        <f t="shared" ca="1" si="18"/>
        <v>46212</v>
      </c>
      <c r="AE47" s="1159">
        <f t="shared" ca="1" si="18"/>
        <v>46212</v>
      </c>
      <c r="AF47" s="1159">
        <f t="shared" ca="1" si="18"/>
        <v>46212</v>
      </c>
      <c r="AG47" s="1159">
        <f t="shared" ca="1" si="18"/>
        <v>46212</v>
      </c>
      <c r="AH47" s="1159">
        <f t="shared" ca="1" si="18"/>
        <v>46212</v>
      </c>
      <c r="AI47" s="1159">
        <f t="shared" ca="1" si="18"/>
        <v>46212</v>
      </c>
      <c r="AJ47" s="1159">
        <f t="shared" ca="1" si="18"/>
        <v>46212</v>
      </c>
      <c r="AK47" s="1159">
        <f t="shared" ca="1" si="18"/>
        <v>46212</v>
      </c>
      <c r="AL47" s="1159">
        <f t="shared" ca="1" si="18"/>
        <v>46212</v>
      </c>
      <c r="AM47" s="1159">
        <f t="shared" ca="1" si="18"/>
        <v>46212</v>
      </c>
      <c r="AN47" s="1159">
        <f t="shared" ca="1" si="18"/>
        <v>46212</v>
      </c>
      <c r="AO47" s="1159">
        <f t="shared" ca="1" si="18"/>
        <v>46212</v>
      </c>
      <c r="AP47" s="1159">
        <f t="shared" ca="1" si="18"/>
        <v>46212</v>
      </c>
      <c r="AQ47" s="1159">
        <f t="shared" ca="1" si="18"/>
        <v>46212</v>
      </c>
      <c r="AR47" s="1159">
        <f t="shared" ca="1" si="18"/>
        <v>46212</v>
      </c>
      <c r="AS47" s="1159">
        <f t="shared" ca="1" si="18"/>
        <v>46212</v>
      </c>
      <c r="AT47" s="1159">
        <f t="shared" ca="1" si="18"/>
        <v>46212</v>
      </c>
      <c r="AU47" s="1159">
        <f t="shared" ca="1" si="18"/>
        <v>46212</v>
      </c>
      <c r="AV47" s="1159">
        <f t="shared" ca="1" si="18"/>
        <v>46212</v>
      </c>
      <c r="AW47" s="1159">
        <f t="shared" ca="1" si="18"/>
        <v>46212</v>
      </c>
      <c r="AX47" s="1159">
        <f t="shared" ca="1" si="18"/>
        <v>46212</v>
      </c>
      <c r="AY47" s="1159">
        <f t="shared" ca="1" si="18"/>
        <v>46212</v>
      </c>
      <c r="AZ47" s="1159">
        <f t="shared" ca="1" si="18"/>
        <v>46212</v>
      </c>
      <c r="BA47" s="1159">
        <f t="shared" ca="1" si="18"/>
        <v>46212</v>
      </c>
      <c r="BB47" s="1159">
        <f t="shared" ca="1" si="18"/>
        <v>46212</v>
      </c>
      <c r="BC47" s="1159">
        <f t="shared" ca="1" si="18"/>
        <v>46212</v>
      </c>
      <c r="BD47" s="1159">
        <f t="shared" ca="1" si="18"/>
        <v>46212</v>
      </c>
      <c r="BE47" s="1159">
        <f t="shared" ca="1" si="18"/>
        <v>46212</v>
      </c>
      <c r="BF47" s="1159">
        <f t="shared" ca="1" si="18"/>
        <v>46212</v>
      </c>
      <c r="BG47" s="1159">
        <f t="shared" ca="1" si="18"/>
        <v>46212</v>
      </c>
      <c r="BH47" s="1159">
        <f t="shared" ca="1" si="18"/>
        <v>46212</v>
      </c>
      <c r="BI47" s="1159">
        <f t="shared" ca="1" si="18"/>
        <v>46212</v>
      </c>
      <c r="BJ47" s="1159">
        <f t="shared" ca="1" si="18"/>
        <v>46212</v>
      </c>
      <c r="BK47" s="1159">
        <f t="shared" ca="1" si="18"/>
        <v>46212</v>
      </c>
      <c r="BL47" s="1160">
        <f t="shared" ca="1" si="18"/>
        <v>46212</v>
      </c>
      <c r="BM47" s="1160">
        <f t="shared" ca="1" si="18"/>
        <v>46212</v>
      </c>
      <c r="BN47" s="1159">
        <f t="shared" ca="1" si="18"/>
        <v>46212</v>
      </c>
      <c r="BO47" s="1159">
        <f t="shared" ca="1" si="18"/>
        <v>46212</v>
      </c>
      <c r="BP47" s="1159">
        <f t="shared" ref="BP47:EA47" ca="1" si="19">TODAY()</f>
        <v>46212</v>
      </c>
      <c r="BQ47" s="1159">
        <f t="shared" ca="1" si="19"/>
        <v>46212</v>
      </c>
      <c r="BR47" s="1159">
        <f t="shared" ca="1" si="19"/>
        <v>46212</v>
      </c>
      <c r="BS47" s="1159">
        <f t="shared" ca="1" si="19"/>
        <v>46212</v>
      </c>
      <c r="BT47" s="1159">
        <f t="shared" ca="1" si="19"/>
        <v>46212</v>
      </c>
      <c r="BU47" s="1159">
        <f t="shared" ca="1" si="19"/>
        <v>46212</v>
      </c>
      <c r="BV47" s="1159">
        <f t="shared" ca="1" si="19"/>
        <v>46212</v>
      </c>
      <c r="BW47" s="1159">
        <f t="shared" ca="1" si="19"/>
        <v>46212</v>
      </c>
      <c r="BX47" s="1159">
        <f t="shared" ca="1" si="19"/>
        <v>46212</v>
      </c>
      <c r="BY47" s="1159">
        <f t="shared" ca="1" si="19"/>
        <v>46212</v>
      </c>
      <c r="BZ47" s="1159">
        <f t="shared" ca="1" si="19"/>
        <v>46212</v>
      </c>
      <c r="CA47" s="1159">
        <f t="shared" ca="1" si="19"/>
        <v>46212</v>
      </c>
      <c r="CB47" s="1159">
        <f t="shared" ca="1" si="19"/>
        <v>46212</v>
      </c>
      <c r="CC47" s="1159">
        <f t="shared" ca="1" si="19"/>
        <v>46212</v>
      </c>
      <c r="CD47" s="1159">
        <f t="shared" ca="1" si="19"/>
        <v>46212</v>
      </c>
      <c r="CE47" s="1159">
        <f t="shared" ca="1" si="19"/>
        <v>46212</v>
      </c>
      <c r="CF47" s="1159">
        <f t="shared" ca="1" si="19"/>
        <v>46212</v>
      </c>
      <c r="CG47" s="1159">
        <f t="shared" ca="1" si="19"/>
        <v>46212</v>
      </c>
      <c r="CH47" s="1159">
        <f t="shared" ca="1" si="19"/>
        <v>46212</v>
      </c>
      <c r="CI47" s="1159">
        <f t="shared" ca="1" si="19"/>
        <v>46212</v>
      </c>
      <c r="CJ47" s="1159">
        <f t="shared" ca="1" si="19"/>
        <v>46212</v>
      </c>
      <c r="CK47" s="1159">
        <f t="shared" ca="1" si="19"/>
        <v>46212</v>
      </c>
      <c r="CL47" s="1159">
        <f t="shared" ca="1" si="19"/>
        <v>46212</v>
      </c>
      <c r="CM47" s="1159">
        <f t="shared" ca="1" si="19"/>
        <v>46212</v>
      </c>
      <c r="CN47" s="1159">
        <f t="shared" ca="1" si="19"/>
        <v>46212</v>
      </c>
      <c r="CO47" s="1159">
        <f t="shared" ca="1" si="19"/>
        <v>46212</v>
      </c>
      <c r="CP47" s="1159">
        <f t="shared" ca="1" si="19"/>
        <v>46212</v>
      </c>
      <c r="CQ47" s="1159">
        <f t="shared" ca="1" si="19"/>
        <v>46212</v>
      </c>
      <c r="CR47" s="1159">
        <f t="shared" ca="1" si="19"/>
        <v>46212</v>
      </c>
      <c r="CS47" s="1159">
        <f t="shared" ca="1" si="19"/>
        <v>46212</v>
      </c>
      <c r="CT47" s="1159">
        <f t="shared" ca="1" si="19"/>
        <v>46212</v>
      </c>
      <c r="CU47" s="1159">
        <f t="shared" ca="1" si="19"/>
        <v>46212</v>
      </c>
      <c r="CV47" s="1159">
        <f t="shared" ca="1" si="19"/>
        <v>46212</v>
      </c>
      <c r="CW47" s="1159">
        <f t="shared" ca="1" si="19"/>
        <v>46212</v>
      </c>
      <c r="CX47" s="1159">
        <f t="shared" ca="1" si="19"/>
        <v>46212</v>
      </c>
      <c r="CY47" s="1159">
        <f t="shared" ca="1" si="19"/>
        <v>46212</v>
      </c>
      <c r="CZ47" s="1159">
        <f t="shared" ca="1" si="19"/>
        <v>46212</v>
      </c>
      <c r="DA47" s="1159">
        <f t="shared" ca="1" si="19"/>
        <v>46212</v>
      </c>
      <c r="DB47" s="1159">
        <f t="shared" ca="1" si="19"/>
        <v>46212</v>
      </c>
      <c r="DC47" s="1159">
        <f t="shared" ca="1" si="19"/>
        <v>46212</v>
      </c>
      <c r="DD47" s="1159">
        <f t="shared" ca="1" si="19"/>
        <v>46212</v>
      </c>
      <c r="DE47" s="1159">
        <f t="shared" ca="1" si="19"/>
        <v>46212</v>
      </c>
      <c r="DF47" s="1159">
        <f t="shared" ca="1" si="19"/>
        <v>46212</v>
      </c>
      <c r="DG47" s="1159">
        <f t="shared" ca="1" si="19"/>
        <v>46212</v>
      </c>
      <c r="DH47" s="1159">
        <f t="shared" ca="1" si="19"/>
        <v>46212</v>
      </c>
      <c r="DI47" s="1159">
        <f t="shared" ca="1" si="19"/>
        <v>46212</v>
      </c>
      <c r="DJ47" s="1159">
        <f t="shared" ca="1" si="19"/>
        <v>46212</v>
      </c>
      <c r="DK47" s="1159">
        <f t="shared" ca="1" si="19"/>
        <v>46212</v>
      </c>
      <c r="DL47" s="1159">
        <f t="shared" ca="1" si="19"/>
        <v>46212</v>
      </c>
      <c r="DM47" s="1159">
        <f t="shared" ca="1" si="19"/>
        <v>46212</v>
      </c>
      <c r="DN47" s="1159">
        <f t="shared" ca="1" si="19"/>
        <v>46212</v>
      </c>
      <c r="DO47" s="1159">
        <f t="shared" ca="1" si="19"/>
        <v>46212</v>
      </c>
      <c r="DP47" s="1159">
        <f t="shared" ca="1" si="19"/>
        <v>46212</v>
      </c>
      <c r="DQ47" s="1159">
        <f t="shared" ca="1" si="19"/>
        <v>46212</v>
      </c>
      <c r="DR47" s="1159">
        <f t="shared" ca="1" si="19"/>
        <v>46212</v>
      </c>
      <c r="DS47" s="1160">
        <f t="shared" ca="1" si="19"/>
        <v>46212</v>
      </c>
      <c r="DT47" s="1160">
        <f t="shared" ca="1" si="19"/>
        <v>46212</v>
      </c>
      <c r="DU47" s="1159">
        <f t="shared" ca="1" si="19"/>
        <v>46212</v>
      </c>
      <c r="DV47" s="1160">
        <f t="shared" ca="1" si="19"/>
        <v>46212</v>
      </c>
      <c r="DW47" s="1159">
        <f t="shared" ca="1" si="19"/>
        <v>46212</v>
      </c>
      <c r="DX47" s="1160">
        <f t="shared" ca="1" si="19"/>
        <v>46212</v>
      </c>
      <c r="DY47" s="1159">
        <f t="shared" ca="1" si="19"/>
        <v>46212</v>
      </c>
      <c r="DZ47" s="1159">
        <f t="shared" ca="1" si="19"/>
        <v>46212</v>
      </c>
      <c r="EA47" s="1160">
        <f t="shared" ca="1" si="19"/>
        <v>46212</v>
      </c>
      <c r="EB47" s="1159">
        <f t="shared" ref="EB47:GM47" ca="1" si="20">TODAY()</f>
        <v>46212</v>
      </c>
      <c r="EC47" s="1159">
        <f t="shared" ca="1" si="20"/>
        <v>46212</v>
      </c>
      <c r="ED47" s="1159">
        <f t="shared" ca="1" si="20"/>
        <v>46212</v>
      </c>
      <c r="EE47" s="1159">
        <f t="shared" ca="1" si="20"/>
        <v>46212</v>
      </c>
      <c r="EF47" s="1159">
        <f t="shared" ca="1" si="20"/>
        <v>46212</v>
      </c>
      <c r="EG47" s="1159">
        <f t="shared" ca="1" si="20"/>
        <v>46212</v>
      </c>
      <c r="EH47" s="1159">
        <f t="shared" ca="1" si="20"/>
        <v>46212</v>
      </c>
      <c r="EI47" s="1159">
        <f t="shared" ca="1" si="20"/>
        <v>46212</v>
      </c>
      <c r="EJ47" s="1159">
        <f t="shared" ca="1" si="20"/>
        <v>46212</v>
      </c>
      <c r="EK47" s="1159">
        <f t="shared" ca="1" si="20"/>
        <v>46212</v>
      </c>
      <c r="EL47" s="1159">
        <f t="shared" ca="1" si="20"/>
        <v>46212</v>
      </c>
      <c r="EM47" s="1159">
        <f t="shared" ca="1" si="20"/>
        <v>46212</v>
      </c>
      <c r="EN47" s="1159">
        <f t="shared" ca="1" si="20"/>
        <v>46212</v>
      </c>
      <c r="EO47" s="1159">
        <f t="shared" ca="1" si="20"/>
        <v>46212</v>
      </c>
      <c r="EP47" s="1159">
        <f t="shared" ca="1" si="20"/>
        <v>46212</v>
      </c>
      <c r="EQ47" s="1159">
        <f t="shared" ca="1" si="20"/>
        <v>46212</v>
      </c>
      <c r="ER47" s="1159">
        <f t="shared" ca="1" si="20"/>
        <v>46212</v>
      </c>
      <c r="ES47" s="1159">
        <f t="shared" ca="1" si="20"/>
        <v>46212</v>
      </c>
      <c r="ET47" s="1159">
        <f t="shared" ca="1" si="20"/>
        <v>46212</v>
      </c>
      <c r="EU47" s="1159">
        <f t="shared" ca="1" si="20"/>
        <v>46212</v>
      </c>
      <c r="EV47" s="1159">
        <f t="shared" ca="1" si="20"/>
        <v>46212</v>
      </c>
      <c r="EW47" s="1159">
        <f t="shared" ca="1" si="20"/>
        <v>46212</v>
      </c>
      <c r="EX47" s="1159">
        <f t="shared" ca="1" si="20"/>
        <v>46212</v>
      </c>
      <c r="EY47" s="1159">
        <f t="shared" ca="1" si="20"/>
        <v>46212</v>
      </c>
      <c r="EZ47" s="1159">
        <f t="shared" ca="1" si="20"/>
        <v>46212</v>
      </c>
      <c r="FA47" s="1159">
        <f t="shared" ca="1" si="20"/>
        <v>46212</v>
      </c>
      <c r="FB47" s="1159">
        <f t="shared" ca="1" si="20"/>
        <v>46212</v>
      </c>
      <c r="FC47" s="1159">
        <f t="shared" ca="1" si="20"/>
        <v>46212</v>
      </c>
      <c r="FD47" s="1159">
        <f t="shared" ca="1" si="20"/>
        <v>46212</v>
      </c>
      <c r="FE47" s="1159">
        <f t="shared" ca="1" si="20"/>
        <v>46212</v>
      </c>
      <c r="FF47" s="1159">
        <f t="shared" ca="1" si="20"/>
        <v>46212</v>
      </c>
      <c r="FG47" s="1159">
        <f t="shared" ca="1" si="20"/>
        <v>46212</v>
      </c>
      <c r="FH47" s="1159">
        <f t="shared" ca="1" si="20"/>
        <v>46212</v>
      </c>
      <c r="FI47" s="1159">
        <f t="shared" ca="1" si="20"/>
        <v>46212</v>
      </c>
      <c r="FJ47" s="1159">
        <f t="shared" ca="1" si="20"/>
        <v>46212</v>
      </c>
      <c r="FK47" s="1159">
        <f t="shared" ca="1" si="20"/>
        <v>46212</v>
      </c>
      <c r="FL47" s="1159">
        <f t="shared" ca="1" si="20"/>
        <v>46212</v>
      </c>
      <c r="FM47" s="1159">
        <f t="shared" ca="1" si="20"/>
        <v>46212</v>
      </c>
      <c r="FN47" s="1159">
        <f t="shared" ca="1" si="20"/>
        <v>46212</v>
      </c>
      <c r="FO47" s="1159">
        <f t="shared" ca="1" si="20"/>
        <v>46212</v>
      </c>
      <c r="FP47" s="1159">
        <f t="shared" ca="1" si="20"/>
        <v>46212</v>
      </c>
      <c r="FQ47" s="1159">
        <f t="shared" ca="1" si="20"/>
        <v>46212</v>
      </c>
      <c r="FR47" s="1159">
        <f t="shared" ca="1" si="20"/>
        <v>46212</v>
      </c>
      <c r="FS47" s="1159">
        <f t="shared" ca="1" si="20"/>
        <v>46212</v>
      </c>
      <c r="FT47" s="1160">
        <f t="shared" ca="1" si="20"/>
        <v>46212</v>
      </c>
      <c r="FU47" s="1160">
        <f t="shared" ca="1" si="20"/>
        <v>46212</v>
      </c>
      <c r="FV47" s="1160">
        <f t="shared" ca="1" si="20"/>
        <v>46212</v>
      </c>
      <c r="FW47" s="1159">
        <f t="shared" ca="1" si="20"/>
        <v>46212</v>
      </c>
      <c r="FX47" s="1159">
        <f t="shared" ca="1" si="20"/>
        <v>46212</v>
      </c>
      <c r="FY47" s="1159">
        <f t="shared" ca="1" si="20"/>
        <v>46212</v>
      </c>
      <c r="FZ47" s="1159">
        <f t="shared" ca="1" si="20"/>
        <v>46212</v>
      </c>
      <c r="GA47" s="1159">
        <f t="shared" ca="1" si="20"/>
        <v>46212</v>
      </c>
      <c r="GB47" s="1159">
        <f t="shared" ca="1" si="20"/>
        <v>46212</v>
      </c>
      <c r="GC47" s="1159">
        <f t="shared" ca="1" si="20"/>
        <v>46212</v>
      </c>
      <c r="GD47" s="1159">
        <f t="shared" ca="1" si="20"/>
        <v>46212</v>
      </c>
      <c r="GE47" s="1159">
        <f t="shared" ca="1" si="20"/>
        <v>46212</v>
      </c>
      <c r="GF47" s="1159">
        <f t="shared" ca="1" si="20"/>
        <v>46212</v>
      </c>
      <c r="GG47" s="1159">
        <f t="shared" ca="1" si="20"/>
        <v>46212</v>
      </c>
      <c r="GH47" s="1159">
        <f t="shared" ca="1" si="20"/>
        <v>46212</v>
      </c>
      <c r="GI47" s="1159">
        <f t="shared" ca="1" si="20"/>
        <v>46212</v>
      </c>
      <c r="GJ47" s="1159">
        <f t="shared" ca="1" si="20"/>
        <v>46212</v>
      </c>
      <c r="GK47" s="1159">
        <f t="shared" ca="1" si="20"/>
        <v>46212</v>
      </c>
      <c r="GL47" s="1159">
        <f t="shared" ca="1" si="20"/>
        <v>46212</v>
      </c>
      <c r="GM47" s="1159">
        <f t="shared" ca="1" si="20"/>
        <v>46212</v>
      </c>
      <c r="GN47" s="1159">
        <f t="shared" ref="GN47:JC47" ca="1" si="21">TODAY()</f>
        <v>46212</v>
      </c>
      <c r="GO47" s="1159">
        <f t="shared" ca="1" si="21"/>
        <v>46212</v>
      </c>
      <c r="GP47" s="1159">
        <f t="shared" ca="1" si="21"/>
        <v>46212</v>
      </c>
      <c r="GQ47" s="1159">
        <f t="shared" ca="1" si="21"/>
        <v>46212</v>
      </c>
      <c r="GR47" s="1159">
        <f t="shared" ca="1" si="21"/>
        <v>46212</v>
      </c>
      <c r="GS47" s="1159">
        <f t="shared" ca="1" si="21"/>
        <v>46212</v>
      </c>
      <c r="GT47" s="1159">
        <f t="shared" ca="1" si="21"/>
        <v>46212</v>
      </c>
      <c r="GU47" s="1159">
        <f t="shared" ca="1" si="21"/>
        <v>46212</v>
      </c>
      <c r="GV47" s="1159">
        <f t="shared" ca="1" si="21"/>
        <v>46212</v>
      </c>
      <c r="GW47" s="1159">
        <f t="shared" ca="1" si="21"/>
        <v>46212</v>
      </c>
      <c r="GX47" s="1159">
        <f t="shared" ca="1" si="21"/>
        <v>46212</v>
      </c>
      <c r="GY47" s="1159">
        <f t="shared" ca="1" si="21"/>
        <v>46212</v>
      </c>
      <c r="GZ47" s="1159">
        <f t="shared" ca="1" si="21"/>
        <v>46212</v>
      </c>
      <c r="HA47" s="1159">
        <f t="shared" ca="1" si="21"/>
        <v>46212</v>
      </c>
      <c r="HB47" s="1159">
        <f t="shared" ca="1" si="21"/>
        <v>46212</v>
      </c>
      <c r="HC47" s="1159">
        <f t="shared" ca="1" si="21"/>
        <v>46212</v>
      </c>
      <c r="HD47" s="1159">
        <f t="shared" ca="1" si="21"/>
        <v>46212</v>
      </c>
      <c r="HE47" s="1159">
        <f t="shared" ca="1" si="21"/>
        <v>46212</v>
      </c>
      <c r="HF47" s="1159">
        <f t="shared" ca="1" si="21"/>
        <v>46212</v>
      </c>
      <c r="HG47" s="1159">
        <f t="shared" ca="1" si="21"/>
        <v>46212</v>
      </c>
      <c r="HH47" s="1159">
        <f t="shared" ca="1" si="21"/>
        <v>46212</v>
      </c>
      <c r="HI47" s="1159">
        <f t="shared" ca="1" si="21"/>
        <v>46212</v>
      </c>
      <c r="HJ47" s="1159">
        <f t="shared" ca="1" si="21"/>
        <v>46212</v>
      </c>
      <c r="HK47" s="1159">
        <f t="shared" ca="1" si="21"/>
        <v>46212</v>
      </c>
      <c r="HL47" s="1159">
        <f t="shared" ca="1" si="21"/>
        <v>46212</v>
      </c>
      <c r="HM47" s="1159">
        <f t="shared" ca="1" si="21"/>
        <v>46212</v>
      </c>
      <c r="HN47" s="1159">
        <f t="shared" ca="1" si="21"/>
        <v>46212</v>
      </c>
      <c r="HO47" s="1159">
        <f t="shared" ca="1" si="21"/>
        <v>46212</v>
      </c>
      <c r="HP47" s="1159">
        <f t="shared" ca="1" si="21"/>
        <v>46212</v>
      </c>
      <c r="HQ47" s="1159">
        <f t="shared" ca="1" si="21"/>
        <v>46212</v>
      </c>
      <c r="HR47" s="1159">
        <f t="shared" ca="1" si="21"/>
        <v>46212</v>
      </c>
      <c r="HS47" s="1159">
        <f t="shared" ca="1" si="21"/>
        <v>46212</v>
      </c>
      <c r="HT47" s="1159">
        <f t="shared" ca="1" si="21"/>
        <v>46212</v>
      </c>
      <c r="HU47" s="1159">
        <f t="shared" ca="1" si="21"/>
        <v>46212</v>
      </c>
      <c r="HV47" s="1159">
        <f t="shared" ca="1" si="21"/>
        <v>46212</v>
      </c>
      <c r="HW47" s="1159">
        <f t="shared" ca="1" si="21"/>
        <v>46212</v>
      </c>
      <c r="HX47" s="1159">
        <f t="shared" ca="1" si="21"/>
        <v>46212</v>
      </c>
      <c r="HY47" s="1159">
        <f t="shared" ca="1" si="21"/>
        <v>46212</v>
      </c>
      <c r="HZ47" s="1159">
        <f t="shared" ca="1" si="21"/>
        <v>46212</v>
      </c>
      <c r="IA47" s="1159">
        <f t="shared" ca="1" si="21"/>
        <v>46212</v>
      </c>
      <c r="IB47" s="1159">
        <f t="shared" ca="1" si="21"/>
        <v>46212</v>
      </c>
      <c r="IC47" s="1159">
        <f t="shared" ca="1" si="21"/>
        <v>46212</v>
      </c>
      <c r="ID47" s="1159">
        <f t="shared" ca="1" si="21"/>
        <v>46212</v>
      </c>
      <c r="IE47" s="1159">
        <f t="shared" ca="1" si="21"/>
        <v>46212</v>
      </c>
      <c r="IF47" s="1159">
        <f t="shared" ca="1" si="21"/>
        <v>46212</v>
      </c>
      <c r="IG47" s="1159">
        <f t="shared" ca="1" si="21"/>
        <v>46212</v>
      </c>
      <c r="IH47" s="1159">
        <f t="shared" ca="1" si="21"/>
        <v>46212</v>
      </c>
      <c r="II47" s="1159">
        <f t="shared" ca="1" si="21"/>
        <v>46212</v>
      </c>
      <c r="IJ47" s="1159">
        <f t="shared" ca="1" si="21"/>
        <v>46212</v>
      </c>
      <c r="IK47" s="1159">
        <f t="shared" ca="1" si="21"/>
        <v>46212</v>
      </c>
      <c r="IL47" s="1159">
        <f t="shared" ca="1" si="21"/>
        <v>46212</v>
      </c>
      <c r="IM47" s="1159">
        <f t="shared" ca="1" si="21"/>
        <v>46212</v>
      </c>
      <c r="IN47" s="1159">
        <f t="shared" ca="1" si="21"/>
        <v>46212</v>
      </c>
      <c r="IO47" s="1159">
        <f t="shared" ca="1" si="21"/>
        <v>46212</v>
      </c>
      <c r="IP47" s="1159">
        <f t="shared" ca="1" si="21"/>
        <v>46212</v>
      </c>
      <c r="IQ47" s="1159">
        <f t="shared" ca="1" si="21"/>
        <v>46212</v>
      </c>
      <c r="IR47" s="1159">
        <f t="shared" ca="1" si="21"/>
        <v>46212</v>
      </c>
      <c r="IS47" s="1159">
        <f t="shared" ca="1" si="21"/>
        <v>46212</v>
      </c>
      <c r="IT47" s="1159">
        <f t="shared" ca="1" si="21"/>
        <v>46212</v>
      </c>
      <c r="IU47" s="1159">
        <f t="shared" ca="1" si="21"/>
        <v>46212</v>
      </c>
      <c r="IV47" s="1159">
        <f t="shared" ca="1" si="21"/>
        <v>46212</v>
      </c>
      <c r="IW47" s="1159">
        <f t="shared" ca="1" si="21"/>
        <v>46212</v>
      </c>
      <c r="IX47" s="1159">
        <f t="shared" ca="1" si="21"/>
        <v>46212</v>
      </c>
      <c r="IY47" s="1159">
        <f t="shared" ca="1" si="21"/>
        <v>46212</v>
      </c>
      <c r="IZ47" s="1159">
        <f t="shared" ca="1" si="21"/>
        <v>46212</v>
      </c>
      <c r="JA47" s="1159">
        <f t="shared" ca="1" si="21"/>
        <v>46212</v>
      </c>
      <c r="JB47" s="1159">
        <f t="shared" ca="1" si="21"/>
        <v>46212</v>
      </c>
      <c r="JC47" s="1159">
        <f t="shared" ca="1" si="21"/>
        <v>46212</v>
      </c>
      <c r="JD47" s="1161"/>
      <c r="JE47" s="1159">
        <f t="shared" ref="JE47:KE47" ca="1" si="22">TODAY()</f>
        <v>46212</v>
      </c>
      <c r="JF47" s="1159">
        <f t="shared" ca="1" si="22"/>
        <v>46212</v>
      </c>
      <c r="JG47" s="1159">
        <f t="shared" ca="1" si="22"/>
        <v>46212</v>
      </c>
      <c r="JH47" s="1159">
        <f t="shared" ca="1" si="22"/>
        <v>46212</v>
      </c>
      <c r="JI47" s="1159">
        <f t="shared" ca="1" si="22"/>
        <v>46212</v>
      </c>
      <c r="JJ47" s="1159">
        <f t="shared" ca="1" si="22"/>
        <v>46212</v>
      </c>
      <c r="JK47" s="1159">
        <f t="shared" ca="1" si="22"/>
        <v>46212</v>
      </c>
      <c r="JL47" s="1159">
        <f t="shared" ca="1" si="22"/>
        <v>46212</v>
      </c>
      <c r="JM47" s="1159">
        <f t="shared" ca="1" si="22"/>
        <v>46212</v>
      </c>
      <c r="JN47" s="1159">
        <f t="shared" ca="1" si="22"/>
        <v>46212</v>
      </c>
      <c r="JO47" s="1159">
        <f t="shared" ca="1" si="22"/>
        <v>46212</v>
      </c>
      <c r="JP47" s="1159">
        <f t="shared" ca="1" si="22"/>
        <v>46212</v>
      </c>
      <c r="JQ47" s="1159">
        <f t="shared" ca="1" si="22"/>
        <v>46212</v>
      </c>
      <c r="JR47" s="1159">
        <f t="shared" ca="1" si="22"/>
        <v>46212</v>
      </c>
      <c r="JS47" s="1159">
        <f t="shared" ca="1" si="22"/>
        <v>46212</v>
      </c>
      <c r="JT47" s="1159">
        <f t="shared" ca="1" si="22"/>
        <v>46212</v>
      </c>
      <c r="JU47" s="1159">
        <f t="shared" ca="1" si="22"/>
        <v>46212</v>
      </c>
      <c r="JV47" s="1159">
        <f t="shared" ca="1" si="22"/>
        <v>46212</v>
      </c>
      <c r="JW47" s="1159">
        <f t="shared" ca="1" si="22"/>
        <v>46212</v>
      </c>
      <c r="JX47" s="1159">
        <f t="shared" ca="1" si="22"/>
        <v>46212</v>
      </c>
      <c r="JY47" s="1159">
        <f t="shared" ca="1" si="22"/>
        <v>46212</v>
      </c>
      <c r="JZ47" s="1159">
        <f t="shared" ca="1" si="22"/>
        <v>46212</v>
      </c>
      <c r="KA47" s="1159">
        <f t="shared" ca="1" si="22"/>
        <v>46212</v>
      </c>
      <c r="KB47" s="1159">
        <f t="shared" ca="1" si="22"/>
        <v>46212</v>
      </c>
      <c r="KC47" s="1159">
        <f t="shared" ca="1" si="22"/>
        <v>46212</v>
      </c>
      <c r="KD47" s="1159">
        <f t="shared" ca="1" si="22"/>
        <v>46212</v>
      </c>
      <c r="KE47" s="1159">
        <f t="shared" ca="1" si="22"/>
        <v>46212</v>
      </c>
    </row>
    <row r="48" spans="1:291" ht="108" customHeight="1" outlineLevel="1">
      <c r="A48" s="78"/>
      <c r="B48" s="166">
        <v>5619</v>
      </c>
      <c r="C48" s="437" t="s">
        <v>2995</v>
      </c>
      <c r="D48" s="160" t="str">
        <f t="shared" ref="D48:BO48" ca="1" si="23">CELL("filename",D54)</f>
        <v>https://zhaw-my.sharepoint.com/personal/stck_zhaw_ch/Documents/IEA PVPS Task 12/IEA_PVPS_T12_LCI_online/[PVPS-Task12_2026_EcoSpold_LCI-PV-supplyChains-CC-BY-NC-SA-4.0.xlsx]X-Process</v>
      </c>
      <c r="E48" s="160" t="str">
        <f t="shared" ca="1" si="23"/>
        <v>https://zhaw-my.sharepoint.com/personal/stck_zhaw_ch/Documents/IEA PVPS Task 12/IEA_PVPS_T12_LCI_online/[PVPS-Task12_2026_EcoSpold_LCI-PV-supplyChains-CC-BY-NC-SA-4.0.xlsx]X-Process</v>
      </c>
      <c r="F48" s="160" t="str">
        <f t="shared" ca="1" si="23"/>
        <v>https://zhaw-my.sharepoint.com/personal/stck_zhaw_ch/Documents/IEA PVPS Task 12/IEA_PVPS_T12_LCI_online/[PVPS-Task12_2026_EcoSpold_LCI-PV-supplyChains-CC-BY-NC-SA-4.0.xlsx]X-Process</v>
      </c>
      <c r="G48" s="160" t="str">
        <f t="shared" ca="1" si="23"/>
        <v>https://zhaw-my.sharepoint.com/personal/stck_zhaw_ch/Documents/IEA PVPS Task 12/IEA_PVPS_T12_LCI_online/[PVPS-Task12_2026_EcoSpold_LCI-PV-supplyChains-CC-BY-NC-SA-4.0.xlsx]X-Process</v>
      </c>
      <c r="H48" s="160" t="str">
        <f t="shared" ca="1" si="23"/>
        <v>https://zhaw-my.sharepoint.com/personal/stck_zhaw_ch/Documents/IEA PVPS Task 12/IEA_PVPS_T12_LCI_online/[PVPS-Task12_2026_EcoSpold_LCI-PV-supplyChains-CC-BY-NC-SA-4.0.xlsx]X-Process</v>
      </c>
      <c r="I48" s="160" t="str">
        <f t="shared" ca="1" si="23"/>
        <v>https://zhaw-my.sharepoint.com/personal/stck_zhaw_ch/Documents/IEA PVPS Task 12/IEA_PVPS_T12_LCI_online/[PVPS-Task12_2026_EcoSpold_LCI-PV-supplyChains-CC-BY-NC-SA-4.0.xlsx]X-Process</v>
      </c>
      <c r="J48" s="160" t="str">
        <f t="shared" ca="1" si="23"/>
        <v>https://zhaw-my.sharepoint.com/personal/stck_zhaw_ch/Documents/IEA PVPS Task 12/IEA_PVPS_T12_LCI_online/[PVPS-Task12_2026_EcoSpold_LCI-PV-supplyChains-CC-BY-NC-SA-4.0.xlsx]X-Process</v>
      </c>
      <c r="K48" s="160" t="str">
        <f t="shared" ca="1" si="23"/>
        <v>https://zhaw-my.sharepoint.com/personal/stck_zhaw_ch/Documents/IEA PVPS Task 12/IEA_PVPS_T12_LCI_online/[PVPS-Task12_2026_EcoSpold_LCI-PV-supplyChains-CC-BY-NC-SA-4.0.xlsx]X-Process</v>
      </c>
      <c r="L48" s="160" t="str">
        <f t="shared" ca="1" si="23"/>
        <v>https://zhaw-my.sharepoint.com/personal/stck_zhaw_ch/Documents/IEA PVPS Task 12/IEA_PVPS_T12_LCI_online/[PVPS-Task12_2026_EcoSpold_LCI-PV-supplyChains-CC-BY-NC-SA-4.0.xlsx]X-Process</v>
      </c>
      <c r="M48" s="160" t="str">
        <f t="shared" ca="1" si="23"/>
        <v>https://zhaw-my.sharepoint.com/personal/stck_zhaw_ch/Documents/IEA PVPS Task 12/IEA_PVPS_T12_LCI_online/[PVPS-Task12_2026_EcoSpold_LCI-PV-supplyChains-CC-BY-NC-SA-4.0.xlsx]X-Process</v>
      </c>
      <c r="N48" s="160" t="str">
        <f t="shared" ca="1" si="23"/>
        <v>https://zhaw-my.sharepoint.com/personal/stck_zhaw_ch/Documents/IEA PVPS Task 12/IEA_PVPS_T12_LCI_online/[PVPS-Task12_2026_EcoSpold_LCI-PV-supplyChains-CC-BY-NC-SA-4.0.xlsx]X-Process</v>
      </c>
      <c r="O48" s="160" t="str">
        <f t="shared" ca="1" si="23"/>
        <v>https://zhaw-my.sharepoint.com/personal/stck_zhaw_ch/Documents/IEA PVPS Task 12/IEA_PVPS_T12_LCI_online/[PVPS-Task12_2026_EcoSpold_LCI-PV-supplyChains-CC-BY-NC-SA-4.0.xlsx]X-Process</v>
      </c>
      <c r="P48" s="160" t="str">
        <f t="shared" ca="1" si="23"/>
        <v>https://zhaw-my.sharepoint.com/personal/stck_zhaw_ch/Documents/IEA PVPS Task 12/IEA_PVPS_T12_LCI_online/[PVPS-Task12_2026_EcoSpold_LCI-PV-supplyChains-CC-BY-NC-SA-4.0.xlsx]X-Process</v>
      </c>
      <c r="Q48" s="160" t="str">
        <f t="shared" ca="1" si="23"/>
        <v>https://zhaw-my.sharepoint.com/personal/stck_zhaw_ch/Documents/IEA PVPS Task 12/IEA_PVPS_T12_LCI_online/[PVPS-Task12_2026_EcoSpold_LCI-PV-supplyChains-CC-BY-NC-SA-4.0.xlsx]X-Process</v>
      </c>
      <c r="R48" s="160" t="str">
        <f t="shared" ca="1" si="23"/>
        <v>https://zhaw-my.sharepoint.com/personal/stck_zhaw_ch/Documents/IEA PVPS Task 12/IEA_PVPS_T12_LCI_online/[PVPS-Task12_2026_EcoSpold_LCI-PV-supplyChains-CC-BY-NC-SA-4.0.xlsx]X-Process</v>
      </c>
      <c r="S48" s="160" t="str">
        <f t="shared" ca="1" si="23"/>
        <v>https://zhaw-my.sharepoint.com/personal/stck_zhaw_ch/Documents/IEA PVPS Task 12/IEA_PVPS_T12_LCI_online/[PVPS-Task12_2026_EcoSpold_LCI-PV-supplyChains-CC-BY-NC-SA-4.0.xlsx]X-Process</v>
      </c>
      <c r="T48" s="160" t="str">
        <f t="shared" ca="1" si="23"/>
        <v>https://zhaw-my.sharepoint.com/personal/stck_zhaw_ch/Documents/IEA PVPS Task 12/IEA_PVPS_T12_LCI_online/[PVPS-Task12_2026_EcoSpold_LCI-PV-supplyChains-CC-BY-NC-SA-4.0.xlsx]X-Process</v>
      </c>
      <c r="U48" s="160" t="str">
        <f t="shared" ca="1" si="23"/>
        <v>https://zhaw-my.sharepoint.com/personal/stck_zhaw_ch/Documents/IEA PVPS Task 12/IEA_PVPS_T12_LCI_online/[PVPS-Task12_2026_EcoSpold_LCI-PV-supplyChains-CC-BY-NC-SA-4.0.xlsx]X-Process</v>
      </c>
      <c r="V48" s="160" t="str">
        <f t="shared" ca="1" si="23"/>
        <v>https://zhaw-my.sharepoint.com/personal/stck_zhaw_ch/Documents/IEA PVPS Task 12/IEA_PVPS_T12_LCI_online/[PVPS-Task12_2026_EcoSpold_LCI-PV-supplyChains-CC-BY-NC-SA-4.0.xlsx]X-Process</v>
      </c>
      <c r="W48" s="160" t="str">
        <f t="shared" ca="1" si="23"/>
        <v>https://zhaw-my.sharepoint.com/personal/stck_zhaw_ch/Documents/IEA PVPS Task 12/IEA_PVPS_T12_LCI_online/[PVPS-Task12_2026_EcoSpold_LCI-PV-supplyChains-CC-BY-NC-SA-4.0.xlsx]X-Process</v>
      </c>
      <c r="X48" s="160" t="str">
        <f t="shared" ca="1" si="23"/>
        <v>https://zhaw-my.sharepoint.com/personal/stck_zhaw_ch/Documents/IEA PVPS Task 12/IEA_PVPS_T12_LCI_online/[PVPS-Task12_2026_EcoSpold_LCI-PV-supplyChains-CC-BY-NC-SA-4.0.xlsx]X-Process</v>
      </c>
      <c r="Y48" s="160" t="str">
        <f t="shared" ca="1" si="23"/>
        <v>https://zhaw-my.sharepoint.com/personal/stck_zhaw_ch/Documents/IEA PVPS Task 12/IEA_PVPS_T12_LCI_online/[PVPS-Task12_2026_EcoSpold_LCI-PV-supplyChains-CC-BY-NC-SA-4.0.xlsx]X-Process</v>
      </c>
      <c r="Z48" s="160" t="str">
        <f t="shared" ca="1" si="23"/>
        <v>https://zhaw-my.sharepoint.com/personal/stck_zhaw_ch/Documents/IEA PVPS Task 12/IEA_PVPS_T12_LCI_online/[PVPS-Task12_2026_EcoSpold_LCI-PV-supplyChains-CC-BY-NC-SA-4.0.xlsx]X-Process</v>
      </c>
      <c r="AA48" s="160" t="str">
        <f t="shared" ca="1" si="23"/>
        <v>https://zhaw-my.sharepoint.com/personal/stck_zhaw_ch/Documents/IEA PVPS Task 12/IEA_PVPS_T12_LCI_online/[PVPS-Task12_2026_EcoSpold_LCI-PV-supplyChains-CC-BY-NC-SA-4.0.xlsx]X-Process</v>
      </c>
      <c r="AB48" s="160" t="str">
        <f t="shared" ca="1" si="23"/>
        <v>https://zhaw-my.sharepoint.com/personal/stck_zhaw_ch/Documents/IEA PVPS Task 12/IEA_PVPS_T12_LCI_online/[PVPS-Task12_2026_EcoSpold_LCI-PV-supplyChains-CC-BY-NC-SA-4.0.xlsx]X-Process</v>
      </c>
      <c r="AC48" s="160" t="str">
        <f t="shared" ca="1" si="23"/>
        <v>https://zhaw-my.sharepoint.com/personal/stck_zhaw_ch/Documents/IEA PVPS Task 12/IEA_PVPS_T12_LCI_online/[PVPS-Task12_2026_EcoSpold_LCI-PV-supplyChains-CC-BY-NC-SA-4.0.xlsx]X-Process</v>
      </c>
      <c r="AD48" s="160" t="str">
        <f t="shared" ca="1" si="23"/>
        <v>https://zhaw-my.sharepoint.com/personal/stck_zhaw_ch/Documents/IEA PVPS Task 12/IEA_PVPS_T12_LCI_online/[PVPS-Task12_2026_EcoSpold_LCI-PV-supplyChains-CC-BY-NC-SA-4.0.xlsx]X-Process</v>
      </c>
      <c r="AE48" s="160" t="str">
        <f t="shared" ca="1" si="23"/>
        <v>https://zhaw-my.sharepoint.com/personal/stck_zhaw_ch/Documents/IEA PVPS Task 12/IEA_PVPS_T12_LCI_online/[PVPS-Task12_2026_EcoSpold_LCI-PV-supplyChains-CC-BY-NC-SA-4.0.xlsx]X-Process</v>
      </c>
      <c r="AF48" s="160" t="str">
        <f t="shared" ca="1" si="23"/>
        <v>https://zhaw-my.sharepoint.com/personal/stck_zhaw_ch/Documents/IEA PVPS Task 12/IEA_PVPS_T12_LCI_online/[PVPS-Task12_2026_EcoSpold_LCI-PV-supplyChains-CC-BY-NC-SA-4.0.xlsx]X-Process</v>
      </c>
      <c r="AG48" s="160" t="str">
        <f t="shared" ca="1" si="23"/>
        <v>https://zhaw-my.sharepoint.com/personal/stck_zhaw_ch/Documents/IEA PVPS Task 12/IEA_PVPS_T12_LCI_online/[PVPS-Task12_2026_EcoSpold_LCI-PV-supplyChains-CC-BY-NC-SA-4.0.xlsx]X-Process</v>
      </c>
      <c r="AH48" s="160" t="str">
        <f t="shared" ca="1" si="23"/>
        <v>https://zhaw-my.sharepoint.com/personal/stck_zhaw_ch/Documents/IEA PVPS Task 12/IEA_PVPS_T12_LCI_online/[PVPS-Task12_2026_EcoSpold_LCI-PV-supplyChains-CC-BY-NC-SA-4.0.xlsx]X-Process</v>
      </c>
      <c r="AI48" s="160" t="str">
        <f t="shared" ca="1" si="23"/>
        <v>https://zhaw-my.sharepoint.com/personal/stck_zhaw_ch/Documents/IEA PVPS Task 12/IEA_PVPS_T12_LCI_online/[PVPS-Task12_2026_EcoSpold_LCI-PV-supplyChains-CC-BY-NC-SA-4.0.xlsx]X-Process</v>
      </c>
      <c r="AJ48" s="160" t="str">
        <f t="shared" ca="1" si="23"/>
        <v>https://zhaw-my.sharepoint.com/personal/stck_zhaw_ch/Documents/IEA PVPS Task 12/IEA_PVPS_T12_LCI_online/[PVPS-Task12_2026_EcoSpold_LCI-PV-supplyChains-CC-BY-NC-SA-4.0.xlsx]X-Process</v>
      </c>
      <c r="AK48" s="160" t="str">
        <f t="shared" ca="1" si="23"/>
        <v>https://zhaw-my.sharepoint.com/personal/stck_zhaw_ch/Documents/IEA PVPS Task 12/IEA_PVPS_T12_LCI_online/[PVPS-Task12_2026_EcoSpold_LCI-PV-supplyChains-CC-BY-NC-SA-4.0.xlsx]X-Process</v>
      </c>
      <c r="AL48" s="160" t="str">
        <f t="shared" ca="1" si="23"/>
        <v>https://zhaw-my.sharepoint.com/personal/stck_zhaw_ch/Documents/IEA PVPS Task 12/IEA_PVPS_T12_LCI_online/[PVPS-Task12_2026_EcoSpold_LCI-PV-supplyChains-CC-BY-NC-SA-4.0.xlsx]X-Process</v>
      </c>
      <c r="AM48" s="160" t="str">
        <f t="shared" ca="1" si="23"/>
        <v>https://zhaw-my.sharepoint.com/personal/stck_zhaw_ch/Documents/IEA PVPS Task 12/IEA_PVPS_T12_LCI_online/[PVPS-Task12_2026_EcoSpold_LCI-PV-supplyChains-CC-BY-NC-SA-4.0.xlsx]X-Process</v>
      </c>
      <c r="AN48" s="160" t="str">
        <f t="shared" ca="1" si="23"/>
        <v>https://zhaw-my.sharepoint.com/personal/stck_zhaw_ch/Documents/IEA PVPS Task 12/IEA_PVPS_T12_LCI_online/[PVPS-Task12_2026_EcoSpold_LCI-PV-supplyChains-CC-BY-NC-SA-4.0.xlsx]X-Process</v>
      </c>
      <c r="AO48" s="160" t="str">
        <f t="shared" ca="1" si="23"/>
        <v>https://zhaw-my.sharepoint.com/personal/stck_zhaw_ch/Documents/IEA PVPS Task 12/IEA_PVPS_T12_LCI_online/[PVPS-Task12_2026_EcoSpold_LCI-PV-supplyChains-CC-BY-NC-SA-4.0.xlsx]X-Process</v>
      </c>
      <c r="AP48" s="160" t="str">
        <f t="shared" ca="1" si="23"/>
        <v>https://zhaw-my.sharepoint.com/personal/stck_zhaw_ch/Documents/IEA PVPS Task 12/IEA_PVPS_T12_LCI_online/[PVPS-Task12_2026_EcoSpold_LCI-PV-supplyChains-CC-BY-NC-SA-4.0.xlsx]X-Process</v>
      </c>
      <c r="AQ48" s="160" t="str">
        <f t="shared" ca="1" si="23"/>
        <v>https://zhaw-my.sharepoint.com/personal/stck_zhaw_ch/Documents/IEA PVPS Task 12/IEA_PVPS_T12_LCI_online/[PVPS-Task12_2026_EcoSpold_LCI-PV-supplyChains-CC-BY-NC-SA-4.0.xlsx]X-Process</v>
      </c>
      <c r="AR48" s="160" t="str">
        <f t="shared" ca="1" si="23"/>
        <v>https://zhaw-my.sharepoint.com/personal/stck_zhaw_ch/Documents/IEA PVPS Task 12/IEA_PVPS_T12_LCI_online/[PVPS-Task12_2026_EcoSpold_LCI-PV-supplyChains-CC-BY-NC-SA-4.0.xlsx]X-Process</v>
      </c>
      <c r="AS48" s="160" t="str">
        <f t="shared" ca="1" si="23"/>
        <v>https://zhaw-my.sharepoint.com/personal/stck_zhaw_ch/Documents/IEA PVPS Task 12/IEA_PVPS_T12_LCI_online/[PVPS-Task12_2026_EcoSpold_LCI-PV-supplyChains-CC-BY-NC-SA-4.0.xlsx]X-Process</v>
      </c>
      <c r="AT48" s="160" t="str">
        <f t="shared" ca="1" si="23"/>
        <v>https://zhaw-my.sharepoint.com/personal/stck_zhaw_ch/Documents/IEA PVPS Task 12/IEA_PVPS_T12_LCI_online/[PVPS-Task12_2026_EcoSpold_LCI-PV-supplyChains-CC-BY-NC-SA-4.0.xlsx]X-Process</v>
      </c>
      <c r="AU48" s="160" t="str">
        <f t="shared" ca="1" si="23"/>
        <v>https://zhaw-my.sharepoint.com/personal/stck_zhaw_ch/Documents/IEA PVPS Task 12/IEA_PVPS_T12_LCI_online/[PVPS-Task12_2026_EcoSpold_LCI-PV-supplyChains-CC-BY-NC-SA-4.0.xlsx]X-Process</v>
      </c>
      <c r="AV48" s="160" t="str">
        <f t="shared" ca="1" si="23"/>
        <v>https://zhaw-my.sharepoint.com/personal/stck_zhaw_ch/Documents/IEA PVPS Task 12/IEA_PVPS_T12_LCI_online/[PVPS-Task12_2026_EcoSpold_LCI-PV-supplyChains-CC-BY-NC-SA-4.0.xlsx]X-Process</v>
      </c>
      <c r="AW48" s="160" t="str">
        <f t="shared" ca="1" si="23"/>
        <v>https://zhaw-my.sharepoint.com/personal/stck_zhaw_ch/Documents/IEA PVPS Task 12/IEA_PVPS_T12_LCI_online/[PVPS-Task12_2026_EcoSpold_LCI-PV-supplyChains-CC-BY-NC-SA-4.0.xlsx]X-Process</v>
      </c>
      <c r="AX48" s="160" t="str">
        <f t="shared" ca="1" si="23"/>
        <v>https://zhaw-my.sharepoint.com/personal/stck_zhaw_ch/Documents/IEA PVPS Task 12/IEA_PVPS_T12_LCI_online/[PVPS-Task12_2026_EcoSpold_LCI-PV-supplyChains-CC-BY-NC-SA-4.0.xlsx]X-Process</v>
      </c>
      <c r="AY48" s="160" t="str">
        <f t="shared" ca="1" si="23"/>
        <v>https://zhaw-my.sharepoint.com/personal/stck_zhaw_ch/Documents/IEA PVPS Task 12/IEA_PVPS_T12_LCI_online/[PVPS-Task12_2026_EcoSpold_LCI-PV-supplyChains-CC-BY-NC-SA-4.0.xlsx]X-Process</v>
      </c>
      <c r="AZ48" s="160" t="str">
        <f t="shared" ca="1" si="23"/>
        <v>https://zhaw-my.sharepoint.com/personal/stck_zhaw_ch/Documents/IEA PVPS Task 12/IEA_PVPS_T12_LCI_online/[PVPS-Task12_2026_EcoSpold_LCI-PV-supplyChains-CC-BY-NC-SA-4.0.xlsx]X-Process</v>
      </c>
      <c r="BA48" s="160" t="str">
        <f t="shared" ca="1" si="23"/>
        <v>https://zhaw-my.sharepoint.com/personal/stck_zhaw_ch/Documents/IEA PVPS Task 12/IEA_PVPS_T12_LCI_online/[PVPS-Task12_2026_EcoSpold_LCI-PV-supplyChains-CC-BY-NC-SA-4.0.xlsx]X-Process</v>
      </c>
      <c r="BB48" s="160" t="str">
        <f t="shared" ca="1" si="23"/>
        <v>https://zhaw-my.sharepoint.com/personal/stck_zhaw_ch/Documents/IEA PVPS Task 12/IEA_PVPS_T12_LCI_online/[PVPS-Task12_2026_EcoSpold_LCI-PV-supplyChains-CC-BY-NC-SA-4.0.xlsx]X-Process</v>
      </c>
      <c r="BC48" s="160" t="str">
        <f t="shared" ca="1" si="23"/>
        <v>https://zhaw-my.sharepoint.com/personal/stck_zhaw_ch/Documents/IEA PVPS Task 12/IEA_PVPS_T12_LCI_online/[PVPS-Task12_2026_EcoSpold_LCI-PV-supplyChains-CC-BY-NC-SA-4.0.xlsx]X-Process</v>
      </c>
      <c r="BD48" s="160" t="str">
        <f t="shared" ca="1" si="23"/>
        <v>https://zhaw-my.sharepoint.com/personal/stck_zhaw_ch/Documents/IEA PVPS Task 12/IEA_PVPS_T12_LCI_online/[PVPS-Task12_2026_EcoSpold_LCI-PV-supplyChains-CC-BY-NC-SA-4.0.xlsx]X-Process</v>
      </c>
      <c r="BE48" s="160" t="str">
        <f t="shared" ca="1" si="23"/>
        <v>https://zhaw-my.sharepoint.com/personal/stck_zhaw_ch/Documents/IEA PVPS Task 12/IEA_PVPS_T12_LCI_online/[PVPS-Task12_2026_EcoSpold_LCI-PV-supplyChains-CC-BY-NC-SA-4.0.xlsx]X-Process</v>
      </c>
      <c r="BF48" s="160" t="str">
        <f t="shared" ca="1" si="23"/>
        <v>https://zhaw-my.sharepoint.com/personal/stck_zhaw_ch/Documents/IEA PVPS Task 12/IEA_PVPS_T12_LCI_online/[PVPS-Task12_2026_EcoSpold_LCI-PV-supplyChains-CC-BY-NC-SA-4.0.xlsx]X-Process</v>
      </c>
      <c r="BG48" s="160" t="str">
        <f t="shared" ca="1" si="23"/>
        <v>https://zhaw-my.sharepoint.com/personal/stck_zhaw_ch/Documents/IEA PVPS Task 12/IEA_PVPS_T12_LCI_online/[PVPS-Task12_2026_EcoSpold_LCI-PV-supplyChains-CC-BY-NC-SA-4.0.xlsx]X-Process</v>
      </c>
      <c r="BH48" s="160" t="str">
        <f t="shared" ca="1" si="23"/>
        <v>https://zhaw-my.sharepoint.com/personal/stck_zhaw_ch/Documents/IEA PVPS Task 12/IEA_PVPS_T12_LCI_online/[PVPS-Task12_2026_EcoSpold_LCI-PV-supplyChains-CC-BY-NC-SA-4.0.xlsx]X-Process</v>
      </c>
      <c r="BI48" s="160" t="str">
        <f t="shared" ca="1" si="23"/>
        <v>https://zhaw-my.sharepoint.com/personal/stck_zhaw_ch/Documents/IEA PVPS Task 12/IEA_PVPS_T12_LCI_online/[PVPS-Task12_2026_EcoSpold_LCI-PV-supplyChains-CC-BY-NC-SA-4.0.xlsx]X-Process</v>
      </c>
      <c r="BJ48" s="160" t="str">
        <f t="shared" ca="1" si="23"/>
        <v>https://zhaw-my.sharepoint.com/personal/stck_zhaw_ch/Documents/IEA PVPS Task 12/IEA_PVPS_T12_LCI_online/[PVPS-Task12_2026_EcoSpold_LCI-PV-supplyChains-CC-BY-NC-SA-4.0.xlsx]X-Process</v>
      </c>
      <c r="BK48" s="160" t="str">
        <f t="shared" ca="1" si="23"/>
        <v>https://zhaw-my.sharepoint.com/personal/stck_zhaw_ch/Documents/IEA PVPS Task 12/IEA_PVPS_T12_LCI_online/[PVPS-Task12_2026_EcoSpold_LCI-PV-supplyChains-CC-BY-NC-SA-4.0.xlsx]X-Process</v>
      </c>
      <c r="BL48" s="160" t="str">
        <f t="shared" ca="1" si="23"/>
        <v>https://zhaw-my.sharepoint.com/personal/stck_zhaw_ch/Documents/IEA PVPS Task 12/IEA_PVPS_T12_LCI_online/[PVPS-Task12_2026_EcoSpold_LCI-PV-supplyChains-CC-BY-NC-SA-4.0.xlsx]X-Process</v>
      </c>
      <c r="BM48" s="160" t="str">
        <f t="shared" ca="1" si="23"/>
        <v>https://zhaw-my.sharepoint.com/personal/stck_zhaw_ch/Documents/IEA PVPS Task 12/IEA_PVPS_T12_LCI_online/[PVPS-Task12_2026_EcoSpold_LCI-PV-supplyChains-CC-BY-NC-SA-4.0.xlsx]X-Process</v>
      </c>
      <c r="BN48" s="160" t="str">
        <f t="shared" ca="1" si="23"/>
        <v>https://zhaw-my.sharepoint.com/personal/stck_zhaw_ch/Documents/IEA PVPS Task 12/IEA_PVPS_T12_LCI_online/[PVPS-Task12_2026_EcoSpold_LCI-PV-supplyChains-CC-BY-NC-SA-4.0.xlsx]X-Process</v>
      </c>
      <c r="BO48" s="160" t="str">
        <f t="shared" ca="1" si="23"/>
        <v>https://zhaw-my.sharepoint.com/personal/stck_zhaw_ch/Documents/IEA PVPS Task 12/IEA_PVPS_T12_LCI_online/[PVPS-Task12_2026_EcoSpold_LCI-PV-supplyChains-CC-BY-NC-SA-4.0.xlsx]X-Process</v>
      </c>
      <c r="BP48" s="160" t="str">
        <f t="shared" ref="BP48:EA48" ca="1" si="24">CELL("filename",BP54)</f>
        <v>https://zhaw-my.sharepoint.com/personal/stck_zhaw_ch/Documents/IEA PVPS Task 12/IEA_PVPS_T12_LCI_online/[PVPS-Task12_2026_EcoSpold_LCI-PV-supplyChains-CC-BY-NC-SA-4.0.xlsx]X-Process</v>
      </c>
      <c r="BQ48" s="160" t="str">
        <f t="shared" ca="1" si="24"/>
        <v>https://zhaw-my.sharepoint.com/personal/stck_zhaw_ch/Documents/IEA PVPS Task 12/IEA_PVPS_T12_LCI_online/[PVPS-Task12_2026_EcoSpold_LCI-PV-supplyChains-CC-BY-NC-SA-4.0.xlsx]X-Process</v>
      </c>
      <c r="BR48" s="160" t="str">
        <f t="shared" ca="1" si="24"/>
        <v>https://zhaw-my.sharepoint.com/personal/stck_zhaw_ch/Documents/IEA PVPS Task 12/IEA_PVPS_T12_LCI_online/[PVPS-Task12_2026_EcoSpold_LCI-PV-supplyChains-CC-BY-NC-SA-4.0.xlsx]X-Process</v>
      </c>
      <c r="BS48" s="160" t="str">
        <f t="shared" ca="1" si="24"/>
        <v>https://zhaw-my.sharepoint.com/personal/stck_zhaw_ch/Documents/IEA PVPS Task 12/IEA_PVPS_T12_LCI_online/[PVPS-Task12_2026_EcoSpold_LCI-PV-supplyChains-CC-BY-NC-SA-4.0.xlsx]X-Process</v>
      </c>
      <c r="BT48" s="160" t="str">
        <f t="shared" ca="1" si="24"/>
        <v>https://zhaw-my.sharepoint.com/personal/stck_zhaw_ch/Documents/IEA PVPS Task 12/IEA_PVPS_T12_LCI_online/[PVPS-Task12_2026_EcoSpold_LCI-PV-supplyChains-CC-BY-NC-SA-4.0.xlsx]X-Process</v>
      </c>
      <c r="BU48" s="160" t="str">
        <f t="shared" ca="1" si="24"/>
        <v>https://zhaw-my.sharepoint.com/personal/stck_zhaw_ch/Documents/IEA PVPS Task 12/IEA_PVPS_T12_LCI_online/[PVPS-Task12_2026_EcoSpold_LCI-PV-supplyChains-CC-BY-NC-SA-4.0.xlsx]X-Process</v>
      </c>
      <c r="BV48" s="160" t="str">
        <f t="shared" ca="1" si="24"/>
        <v>https://zhaw-my.sharepoint.com/personal/stck_zhaw_ch/Documents/IEA PVPS Task 12/IEA_PVPS_T12_LCI_online/[PVPS-Task12_2026_EcoSpold_LCI-PV-supplyChains-CC-BY-NC-SA-4.0.xlsx]X-Process</v>
      </c>
      <c r="BW48" s="160" t="str">
        <f t="shared" ca="1" si="24"/>
        <v>https://zhaw-my.sharepoint.com/personal/stck_zhaw_ch/Documents/IEA PVPS Task 12/IEA_PVPS_T12_LCI_online/[PVPS-Task12_2026_EcoSpold_LCI-PV-supplyChains-CC-BY-NC-SA-4.0.xlsx]X-Process</v>
      </c>
      <c r="BX48" s="160" t="str">
        <f t="shared" ca="1" si="24"/>
        <v>https://zhaw-my.sharepoint.com/personal/stck_zhaw_ch/Documents/IEA PVPS Task 12/IEA_PVPS_T12_LCI_online/[PVPS-Task12_2026_EcoSpold_LCI-PV-supplyChains-CC-BY-NC-SA-4.0.xlsx]X-Process</v>
      </c>
      <c r="BY48" s="160" t="str">
        <f t="shared" ca="1" si="24"/>
        <v>https://zhaw-my.sharepoint.com/personal/stck_zhaw_ch/Documents/IEA PVPS Task 12/IEA_PVPS_T12_LCI_online/[PVPS-Task12_2026_EcoSpold_LCI-PV-supplyChains-CC-BY-NC-SA-4.0.xlsx]X-Process</v>
      </c>
      <c r="BZ48" s="160" t="str">
        <f t="shared" ca="1" si="24"/>
        <v>https://zhaw-my.sharepoint.com/personal/stck_zhaw_ch/Documents/IEA PVPS Task 12/IEA_PVPS_T12_LCI_online/[PVPS-Task12_2026_EcoSpold_LCI-PV-supplyChains-CC-BY-NC-SA-4.0.xlsx]X-Process</v>
      </c>
      <c r="CA48" s="160" t="str">
        <f t="shared" ca="1" si="24"/>
        <v>https://zhaw-my.sharepoint.com/personal/stck_zhaw_ch/Documents/IEA PVPS Task 12/IEA_PVPS_T12_LCI_online/[PVPS-Task12_2026_EcoSpold_LCI-PV-supplyChains-CC-BY-NC-SA-4.0.xlsx]X-Process</v>
      </c>
      <c r="CB48" s="160" t="str">
        <f t="shared" ca="1" si="24"/>
        <v>https://zhaw-my.sharepoint.com/personal/stck_zhaw_ch/Documents/IEA PVPS Task 12/IEA_PVPS_T12_LCI_online/[PVPS-Task12_2026_EcoSpold_LCI-PV-supplyChains-CC-BY-NC-SA-4.0.xlsx]X-Process</v>
      </c>
      <c r="CC48" s="160" t="str">
        <f t="shared" ca="1" si="24"/>
        <v>https://zhaw-my.sharepoint.com/personal/stck_zhaw_ch/Documents/IEA PVPS Task 12/IEA_PVPS_T12_LCI_online/[PVPS-Task12_2026_EcoSpold_LCI-PV-supplyChains-CC-BY-NC-SA-4.0.xlsx]X-Process</v>
      </c>
      <c r="CD48" s="160" t="str">
        <f t="shared" ca="1" si="24"/>
        <v>https://zhaw-my.sharepoint.com/personal/stck_zhaw_ch/Documents/IEA PVPS Task 12/IEA_PVPS_T12_LCI_online/[PVPS-Task12_2026_EcoSpold_LCI-PV-supplyChains-CC-BY-NC-SA-4.0.xlsx]X-Process</v>
      </c>
      <c r="CE48" s="160" t="str">
        <f t="shared" ca="1" si="24"/>
        <v>https://zhaw-my.sharepoint.com/personal/stck_zhaw_ch/Documents/IEA PVPS Task 12/IEA_PVPS_T12_LCI_online/[PVPS-Task12_2026_EcoSpold_LCI-PV-supplyChains-CC-BY-NC-SA-4.0.xlsx]X-Process</v>
      </c>
      <c r="CF48" s="160" t="str">
        <f t="shared" ca="1" si="24"/>
        <v>https://zhaw-my.sharepoint.com/personal/stck_zhaw_ch/Documents/IEA PVPS Task 12/IEA_PVPS_T12_LCI_online/[PVPS-Task12_2026_EcoSpold_LCI-PV-supplyChains-CC-BY-NC-SA-4.0.xlsx]X-Process</v>
      </c>
      <c r="CG48" s="160" t="str">
        <f t="shared" ca="1" si="24"/>
        <v>https://zhaw-my.sharepoint.com/personal/stck_zhaw_ch/Documents/IEA PVPS Task 12/IEA_PVPS_T12_LCI_online/[PVPS-Task12_2026_EcoSpold_LCI-PV-supplyChains-CC-BY-NC-SA-4.0.xlsx]X-Process</v>
      </c>
      <c r="CH48" s="160" t="str">
        <f t="shared" ca="1" si="24"/>
        <v>https://zhaw-my.sharepoint.com/personal/stck_zhaw_ch/Documents/IEA PVPS Task 12/IEA_PVPS_T12_LCI_online/[PVPS-Task12_2026_EcoSpold_LCI-PV-supplyChains-CC-BY-NC-SA-4.0.xlsx]X-Process</v>
      </c>
      <c r="CI48" s="160" t="str">
        <f t="shared" ca="1" si="24"/>
        <v>https://zhaw-my.sharepoint.com/personal/stck_zhaw_ch/Documents/IEA PVPS Task 12/IEA_PVPS_T12_LCI_online/[PVPS-Task12_2026_EcoSpold_LCI-PV-supplyChains-CC-BY-NC-SA-4.0.xlsx]X-Process</v>
      </c>
      <c r="CJ48" s="160" t="str">
        <f t="shared" ca="1" si="24"/>
        <v>https://zhaw-my.sharepoint.com/personal/stck_zhaw_ch/Documents/IEA PVPS Task 12/IEA_PVPS_T12_LCI_online/[PVPS-Task12_2026_EcoSpold_LCI-PV-supplyChains-CC-BY-NC-SA-4.0.xlsx]X-Process</v>
      </c>
      <c r="CK48" s="160" t="str">
        <f t="shared" ca="1" si="24"/>
        <v>https://zhaw-my.sharepoint.com/personal/stck_zhaw_ch/Documents/IEA PVPS Task 12/IEA_PVPS_T12_LCI_online/[PVPS-Task12_2026_EcoSpold_LCI-PV-supplyChains-CC-BY-NC-SA-4.0.xlsx]X-Process</v>
      </c>
      <c r="CL48" s="160" t="str">
        <f t="shared" ca="1" si="24"/>
        <v>https://zhaw-my.sharepoint.com/personal/stck_zhaw_ch/Documents/IEA PVPS Task 12/IEA_PVPS_T12_LCI_online/[PVPS-Task12_2026_EcoSpold_LCI-PV-supplyChains-CC-BY-NC-SA-4.0.xlsx]X-Process</v>
      </c>
      <c r="CM48" s="160" t="str">
        <f t="shared" ca="1" si="24"/>
        <v>https://zhaw-my.sharepoint.com/personal/stck_zhaw_ch/Documents/IEA PVPS Task 12/IEA_PVPS_T12_LCI_online/[PVPS-Task12_2026_EcoSpold_LCI-PV-supplyChains-CC-BY-NC-SA-4.0.xlsx]X-Process</v>
      </c>
      <c r="CN48" s="160" t="str">
        <f t="shared" ca="1" si="24"/>
        <v>https://zhaw-my.sharepoint.com/personal/stck_zhaw_ch/Documents/IEA PVPS Task 12/IEA_PVPS_T12_LCI_online/[PVPS-Task12_2026_EcoSpold_LCI-PV-supplyChains-CC-BY-NC-SA-4.0.xlsx]X-Process</v>
      </c>
      <c r="CO48" s="160" t="str">
        <f t="shared" ca="1" si="24"/>
        <v>https://zhaw-my.sharepoint.com/personal/stck_zhaw_ch/Documents/IEA PVPS Task 12/IEA_PVPS_T12_LCI_online/[PVPS-Task12_2026_EcoSpold_LCI-PV-supplyChains-CC-BY-NC-SA-4.0.xlsx]X-Process</v>
      </c>
      <c r="CP48" s="160" t="str">
        <f t="shared" ca="1" si="24"/>
        <v>https://zhaw-my.sharepoint.com/personal/stck_zhaw_ch/Documents/IEA PVPS Task 12/IEA_PVPS_T12_LCI_online/[PVPS-Task12_2026_EcoSpold_LCI-PV-supplyChains-CC-BY-NC-SA-4.0.xlsx]X-Process</v>
      </c>
      <c r="CQ48" s="160" t="str">
        <f t="shared" ca="1" si="24"/>
        <v>https://zhaw-my.sharepoint.com/personal/stck_zhaw_ch/Documents/IEA PVPS Task 12/IEA_PVPS_T12_LCI_online/[PVPS-Task12_2026_EcoSpold_LCI-PV-supplyChains-CC-BY-NC-SA-4.0.xlsx]X-Process</v>
      </c>
      <c r="CR48" s="160" t="str">
        <f t="shared" ca="1" si="24"/>
        <v>https://zhaw-my.sharepoint.com/personal/stck_zhaw_ch/Documents/IEA PVPS Task 12/IEA_PVPS_T12_LCI_online/[PVPS-Task12_2026_EcoSpold_LCI-PV-supplyChains-CC-BY-NC-SA-4.0.xlsx]X-Process</v>
      </c>
      <c r="CS48" s="160" t="str">
        <f t="shared" ca="1" si="24"/>
        <v>https://zhaw-my.sharepoint.com/personal/stck_zhaw_ch/Documents/IEA PVPS Task 12/IEA_PVPS_T12_LCI_online/[PVPS-Task12_2026_EcoSpold_LCI-PV-supplyChains-CC-BY-NC-SA-4.0.xlsx]X-Process</v>
      </c>
      <c r="CT48" s="160" t="str">
        <f t="shared" ca="1" si="24"/>
        <v>https://zhaw-my.sharepoint.com/personal/stck_zhaw_ch/Documents/IEA PVPS Task 12/IEA_PVPS_T12_LCI_online/[PVPS-Task12_2026_EcoSpold_LCI-PV-supplyChains-CC-BY-NC-SA-4.0.xlsx]X-Process</v>
      </c>
      <c r="CU48" s="160" t="str">
        <f t="shared" ca="1" si="24"/>
        <v>https://zhaw-my.sharepoint.com/personal/stck_zhaw_ch/Documents/IEA PVPS Task 12/IEA_PVPS_T12_LCI_online/[PVPS-Task12_2026_EcoSpold_LCI-PV-supplyChains-CC-BY-NC-SA-4.0.xlsx]X-Process</v>
      </c>
      <c r="CV48" s="160" t="str">
        <f t="shared" ca="1" si="24"/>
        <v>https://zhaw-my.sharepoint.com/personal/stck_zhaw_ch/Documents/IEA PVPS Task 12/IEA_PVPS_T12_LCI_online/[PVPS-Task12_2026_EcoSpold_LCI-PV-supplyChains-CC-BY-NC-SA-4.0.xlsx]X-Process</v>
      </c>
      <c r="CW48" s="160" t="str">
        <f t="shared" ca="1" si="24"/>
        <v>https://zhaw-my.sharepoint.com/personal/stck_zhaw_ch/Documents/IEA PVPS Task 12/IEA_PVPS_T12_LCI_online/[PVPS-Task12_2026_EcoSpold_LCI-PV-supplyChains-CC-BY-NC-SA-4.0.xlsx]X-Process</v>
      </c>
      <c r="CX48" s="160" t="str">
        <f t="shared" ca="1" si="24"/>
        <v>https://zhaw-my.sharepoint.com/personal/stck_zhaw_ch/Documents/IEA PVPS Task 12/IEA_PVPS_T12_LCI_online/[PVPS-Task12_2026_EcoSpold_LCI-PV-supplyChains-CC-BY-NC-SA-4.0.xlsx]X-Process</v>
      </c>
      <c r="CY48" s="160" t="str">
        <f t="shared" ca="1" si="24"/>
        <v>https://zhaw-my.sharepoint.com/personal/stck_zhaw_ch/Documents/IEA PVPS Task 12/IEA_PVPS_T12_LCI_online/[PVPS-Task12_2026_EcoSpold_LCI-PV-supplyChains-CC-BY-NC-SA-4.0.xlsx]X-Process</v>
      </c>
      <c r="CZ48" s="160" t="str">
        <f t="shared" ca="1" si="24"/>
        <v>https://zhaw-my.sharepoint.com/personal/stck_zhaw_ch/Documents/IEA PVPS Task 12/IEA_PVPS_T12_LCI_online/[PVPS-Task12_2026_EcoSpold_LCI-PV-supplyChains-CC-BY-NC-SA-4.0.xlsx]X-Process</v>
      </c>
      <c r="DA48" s="160" t="str">
        <f t="shared" ca="1" si="24"/>
        <v>https://zhaw-my.sharepoint.com/personal/stck_zhaw_ch/Documents/IEA PVPS Task 12/IEA_PVPS_T12_LCI_online/[PVPS-Task12_2026_EcoSpold_LCI-PV-supplyChains-CC-BY-NC-SA-4.0.xlsx]X-Process</v>
      </c>
      <c r="DB48" s="160" t="str">
        <f t="shared" ca="1" si="24"/>
        <v>https://zhaw-my.sharepoint.com/personal/stck_zhaw_ch/Documents/IEA PVPS Task 12/IEA_PVPS_T12_LCI_online/[PVPS-Task12_2026_EcoSpold_LCI-PV-supplyChains-CC-BY-NC-SA-4.0.xlsx]X-Process</v>
      </c>
      <c r="DC48" s="160" t="str">
        <f t="shared" ca="1" si="24"/>
        <v>https://zhaw-my.sharepoint.com/personal/stck_zhaw_ch/Documents/IEA PVPS Task 12/IEA_PVPS_T12_LCI_online/[PVPS-Task12_2026_EcoSpold_LCI-PV-supplyChains-CC-BY-NC-SA-4.0.xlsx]X-Process</v>
      </c>
      <c r="DD48" s="160" t="str">
        <f t="shared" ca="1" si="24"/>
        <v>https://zhaw-my.sharepoint.com/personal/stck_zhaw_ch/Documents/IEA PVPS Task 12/IEA_PVPS_T12_LCI_online/[PVPS-Task12_2026_EcoSpold_LCI-PV-supplyChains-CC-BY-NC-SA-4.0.xlsx]X-Process</v>
      </c>
      <c r="DE48" s="160" t="str">
        <f t="shared" ca="1" si="24"/>
        <v>https://zhaw-my.sharepoint.com/personal/stck_zhaw_ch/Documents/IEA PVPS Task 12/IEA_PVPS_T12_LCI_online/[PVPS-Task12_2026_EcoSpold_LCI-PV-supplyChains-CC-BY-NC-SA-4.0.xlsx]X-Process</v>
      </c>
      <c r="DF48" s="160" t="str">
        <f t="shared" ca="1" si="24"/>
        <v>https://zhaw-my.sharepoint.com/personal/stck_zhaw_ch/Documents/IEA PVPS Task 12/IEA_PVPS_T12_LCI_online/[PVPS-Task12_2026_EcoSpold_LCI-PV-supplyChains-CC-BY-NC-SA-4.0.xlsx]X-Process</v>
      </c>
      <c r="DG48" s="160" t="str">
        <f t="shared" ca="1" si="24"/>
        <v>https://zhaw-my.sharepoint.com/personal/stck_zhaw_ch/Documents/IEA PVPS Task 12/IEA_PVPS_T12_LCI_online/[PVPS-Task12_2026_EcoSpold_LCI-PV-supplyChains-CC-BY-NC-SA-4.0.xlsx]X-Process</v>
      </c>
      <c r="DH48" s="160" t="str">
        <f t="shared" ca="1" si="24"/>
        <v>https://zhaw-my.sharepoint.com/personal/stck_zhaw_ch/Documents/IEA PVPS Task 12/IEA_PVPS_T12_LCI_online/[PVPS-Task12_2026_EcoSpold_LCI-PV-supplyChains-CC-BY-NC-SA-4.0.xlsx]X-Process</v>
      </c>
      <c r="DI48" s="160" t="str">
        <f t="shared" ca="1" si="24"/>
        <v>https://zhaw-my.sharepoint.com/personal/stck_zhaw_ch/Documents/IEA PVPS Task 12/IEA_PVPS_T12_LCI_online/[PVPS-Task12_2026_EcoSpold_LCI-PV-supplyChains-CC-BY-NC-SA-4.0.xlsx]X-Process</v>
      </c>
      <c r="DJ48" s="160" t="str">
        <f t="shared" ca="1" si="24"/>
        <v>https://zhaw-my.sharepoint.com/personal/stck_zhaw_ch/Documents/IEA PVPS Task 12/IEA_PVPS_T12_LCI_online/[PVPS-Task12_2026_EcoSpold_LCI-PV-supplyChains-CC-BY-NC-SA-4.0.xlsx]X-Process</v>
      </c>
      <c r="DK48" s="160" t="str">
        <f t="shared" ca="1" si="24"/>
        <v>https://zhaw-my.sharepoint.com/personal/stck_zhaw_ch/Documents/IEA PVPS Task 12/IEA_PVPS_T12_LCI_online/[PVPS-Task12_2026_EcoSpold_LCI-PV-supplyChains-CC-BY-NC-SA-4.0.xlsx]X-Process</v>
      </c>
      <c r="DL48" s="160" t="str">
        <f t="shared" ca="1" si="24"/>
        <v>https://zhaw-my.sharepoint.com/personal/stck_zhaw_ch/Documents/IEA PVPS Task 12/IEA_PVPS_T12_LCI_online/[PVPS-Task12_2026_EcoSpold_LCI-PV-supplyChains-CC-BY-NC-SA-4.0.xlsx]X-Process</v>
      </c>
      <c r="DM48" s="160" t="str">
        <f t="shared" ca="1" si="24"/>
        <v>https://zhaw-my.sharepoint.com/personal/stck_zhaw_ch/Documents/IEA PVPS Task 12/IEA_PVPS_T12_LCI_online/[PVPS-Task12_2026_EcoSpold_LCI-PV-supplyChains-CC-BY-NC-SA-4.0.xlsx]X-Process</v>
      </c>
      <c r="DN48" s="160" t="str">
        <f t="shared" ca="1" si="24"/>
        <v>https://zhaw-my.sharepoint.com/personal/stck_zhaw_ch/Documents/IEA PVPS Task 12/IEA_PVPS_T12_LCI_online/[PVPS-Task12_2026_EcoSpold_LCI-PV-supplyChains-CC-BY-NC-SA-4.0.xlsx]X-Process</v>
      </c>
      <c r="DO48" s="160" t="str">
        <f t="shared" ca="1" si="24"/>
        <v>https://zhaw-my.sharepoint.com/personal/stck_zhaw_ch/Documents/IEA PVPS Task 12/IEA_PVPS_T12_LCI_online/[PVPS-Task12_2026_EcoSpold_LCI-PV-supplyChains-CC-BY-NC-SA-4.0.xlsx]X-Process</v>
      </c>
      <c r="DP48" s="160" t="str">
        <f t="shared" ca="1" si="24"/>
        <v>https://zhaw-my.sharepoint.com/personal/stck_zhaw_ch/Documents/IEA PVPS Task 12/IEA_PVPS_T12_LCI_online/[PVPS-Task12_2026_EcoSpold_LCI-PV-supplyChains-CC-BY-NC-SA-4.0.xlsx]X-Process</v>
      </c>
      <c r="DQ48" s="160" t="str">
        <f t="shared" ca="1" si="24"/>
        <v>https://zhaw-my.sharepoint.com/personal/stck_zhaw_ch/Documents/IEA PVPS Task 12/IEA_PVPS_T12_LCI_online/[PVPS-Task12_2026_EcoSpold_LCI-PV-supplyChains-CC-BY-NC-SA-4.0.xlsx]X-Process</v>
      </c>
      <c r="DR48" s="160" t="str">
        <f t="shared" ca="1" si="24"/>
        <v>https://zhaw-my.sharepoint.com/personal/stck_zhaw_ch/Documents/IEA PVPS Task 12/IEA_PVPS_T12_LCI_online/[PVPS-Task12_2026_EcoSpold_LCI-PV-supplyChains-CC-BY-NC-SA-4.0.xlsx]X-Process</v>
      </c>
      <c r="DS48" s="160" t="str">
        <f t="shared" ca="1" si="24"/>
        <v>https://zhaw-my.sharepoint.com/personal/stck_zhaw_ch/Documents/IEA PVPS Task 12/IEA_PVPS_T12_LCI_online/[PVPS-Task12_2026_EcoSpold_LCI-PV-supplyChains-CC-BY-NC-SA-4.0.xlsx]X-Process</v>
      </c>
      <c r="DT48" s="160" t="str">
        <f t="shared" ca="1" si="24"/>
        <v>https://zhaw-my.sharepoint.com/personal/stck_zhaw_ch/Documents/IEA PVPS Task 12/IEA_PVPS_T12_LCI_online/[PVPS-Task12_2026_EcoSpold_LCI-PV-supplyChains-CC-BY-NC-SA-4.0.xlsx]X-Process</v>
      </c>
      <c r="DU48" s="160" t="str">
        <f t="shared" ca="1" si="24"/>
        <v>https://zhaw-my.sharepoint.com/personal/stck_zhaw_ch/Documents/IEA PVPS Task 12/IEA_PVPS_T12_LCI_online/[PVPS-Task12_2026_EcoSpold_LCI-PV-supplyChains-CC-BY-NC-SA-4.0.xlsx]X-Process</v>
      </c>
      <c r="DV48" s="160" t="str">
        <f t="shared" ca="1" si="24"/>
        <v>https://zhaw-my.sharepoint.com/personal/stck_zhaw_ch/Documents/IEA PVPS Task 12/IEA_PVPS_T12_LCI_online/[PVPS-Task12_2026_EcoSpold_LCI-PV-supplyChains-CC-BY-NC-SA-4.0.xlsx]X-Process</v>
      </c>
      <c r="DW48" s="160" t="str">
        <f t="shared" ca="1" si="24"/>
        <v>https://zhaw-my.sharepoint.com/personal/stck_zhaw_ch/Documents/IEA PVPS Task 12/IEA_PVPS_T12_LCI_online/[PVPS-Task12_2026_EcoSpold_LCI-PV-supplyChains-CC-BY-NC-SA-4.0.xlsx]X-Process</v>
      </c>
      <c r="DX48" s="160" t="str">
        <f t="shared" ca="1" si="24"/>
        <v>https://zhaw-my.sharepoint.com/personal/stck_zhaw_ch/Documents/IEA PVPS Task 12/IEA_PVPS_T12_LCI_online/[PVPS-Task12_2026_EcoSpold_LCI-PV-supplyChains-CC-BY-NC-SA-4.0.xlsx]X-Process</v>
      </c>
      <c r="DY48" s="160" t="str">
        <f t="shared" ca="1" si="24"/>
        <v>https://zhaw-my.sharepoint.com/personal/stck_zhaw_ch/Documents/IEA PVPS Task 12/IEA_PVPS_T12_LCI_online/[PVPS-Task12_2026_EcoSpold_LCI-PV-supplyChains-CC-BY-NC-SA-4.0.xlsx]X-Process</v>
      </c>
      <c r="DZ48" s="160" t="str">
        <f t="shared" ca="1" si="24"/>
        <v>https://zhaw-my.sharepoint.com/personal/stck_zhaw_ch/Documents/IEA PVPS Task 12/IEA_PVPS_T12_LCI_online/[PVPS-Task12_2026_EcoSpold_LCI-PV-supplyChains-CC-BY-NC-SA-4.0.xlsx]X-Process</v>
      </c>
      <c r="EA48" s="160" t="str">
        <f t="shared" ca="1" si="24"/>
        <v>https://zhaw-my.sharepoint.com/personal/stck_zhaw_ch/Documents/IEA PVPS Task 12/IEA_PVPS_T12_LCI_online/[PVPS-Task12_2026_EcoSpold_LCI-PV-supplyChains-CC-BY-NC-SA-4.0.xlsx]X-Process</v>
      </c>
      <c r="EB48" s="160" t="str">
        <f t="shared" ref="EB48:GM48" ca="1" si="25">CELL("filename",EB54)</f>
        <v>https://zhaw-my.sharepoint.com/personal/stck_zhaw_ch/Documents/IEA PVPS Task 12/IEA_PVPS_T12_LCI_online/[PVPS-Task12_2026_EcoSpold_LCI-PV-supplyChains-CC-BY-NC-SA-4.0.xlsx]X-Process</v>
      </c>
      <c r="EC48" s="160" t="str">
        <f t="shared" ca="1" si="25"/>
        <v>https://zhaw-my.sharepoint.com/personal/stck_zhaw_ch/Documents/IEA PVPS Task 12/IEA_PVPS_T12_LCI_online/[PVPS-Task12_2026_EcoSpold_LCI-PV-supplyChains-CC-BY-NC-SA-4.0.xlsx]X-Process</v>
      </c>
      <c r="ED48" s="160" t="str">
        <f t="shared" ca="1" si="25"/>
        <v>https://zhaw-my.sharepoint.com/personal/stck_zhaw_ch/Documents/IEA PVPS Task 12/IEA_PVPS_T12_LCI_online/[PVPS-Task12_2026_EcoSpold_LCI-PV-supplyChains-CC-BY-NC-SA-4.0.xlsx]X-Process</v>
      </c>
      <c r="EE48" s="160" t="str">
        <f t="shared" ca="1" si="25"/>
        <v>https://zhaw-my.sharepoint.com/personal/stck_zhaw_ch/Documents/IEA PVPS Task 12/IEA_PVPS_T12_LCI_online/[PVPS-Task12_2026_EcoSpold_LCI-PV-supplyChains-CC-BY-NC-SA-4.0.xlsx]X-Process</v>
      </c>
      <c r="EF48" s="160" t="str">
        <f t="shared" ca="1" si="25"/>
        <v>https://zhaw-my.sharepoint.com/personal/stck_zhaw_ch/Documents/IEA PVPS Task 12/IEA_PVPS_T12_LCI_online/[PVPS-Task12_2026_EcoSpold_LCI-PV-supplyChains-CC-BY-NC-SA-4.0.xlsx]X-Process</v>
      </c>
      <c r="EG48" s="160" t="str">
        <f t="shared" ca="1" si="25"/>
        <v>https://zhaw-my.sharepoint.com/personal/stck_zhaw_ch/Documents/IEA PVPS Task 12/IEA_PVPS_T12_LCI_online/[PVPS-Task12_2026_EcoSpold_LCI-PV-supplyChains-CC-BY-NC-SA-4.0.xlsx]X-Process</v>
      </c>
      <c r="EH48" s="160" t="str">
        <f t="shared" ca="1" si="25"/>
        <v>https://zhaw-my.sharepoint.com/personal/stck_zhaw_ch/Documents/IEA PVPS Task 12/IEA_PVPS_T12_LCI_online/[PVPS-Task12_2026_EcoSpold_LCI-PV-supplyChains-CC-BY-NC-SA-4.0.xlsx]X-Process</v>
      </c>
      <c r="EI48" s="160" t="str">
        <f t="shared" ca="1" si="25"/>
        <v>https://zhaw-my.sharepoint.com/personal/stck_zhaw_ch/Documents/IEA PVPS Task 12/IEA_PVPS_T12_LCI_online/[PVPS-Task12_2026_EcoSpold_LCI-PV-supplyChains-CC-BY-NC-SA-4.0.xlsx]X-Process</v>
      </c>
      <c r="EJ48" s="160" t="str">
        <f t="shared" ca="1" si="25"/>
        <v>https://zhaw-my.sharepoint.com/personal/stck_zhaw_ch/Documents/IEA PVPS Task 12/IEA_PVPS_T12_LCI_online/[PVPS-Task12_2026_EcoSpold_LCI-PV-supplyChains-CC-BY-NC-SA-4.0.xlsx]X-Process</v>
      </c>
      <c r="EK48" s="160" t="str">
        <f t="shared" ca="1" si="25"/>
        <v>https://zhaw-my.sharepoint.com/personal/stck_zhaw_ch/Documents/IEA PVPS Task 12/IEA_PVPS_T12_LCI_online/[PVPS-Task12_2026_EcoSpold_LCI-PV-supplyChains-CC-BY-NC-SA-4.0.xlsx]X-Process</v>
      </c>
      <c r="EL48" s="160" t="str">
        <f t="shared" ca="1" si="25"/>
        <v>https://zhaw-my.sharepoint.com/personal/stck_zhaw_ch/Documents/IEA PVPS Task 12/IEA_PVPS_T12_LCI_online/[PVPS-Task12_2026_EcoSpold_LCI-PV-supplyChains-CC-BY-NC-SA-4.0.xlsx]X-Process</v>
      </c>
      <c r="EM48" s="160" t="str">
        <f t="shared" ca="1" si="25"/>
        <v>https://zhaw-my.sharepoint.com/personal/stck_zhaw_ch/Documents/IEA PVPS Task 12/IEA_PVPS_T12_LCI_online/[PVPS-Task12_2026_EcoSpold_LCI-PV-supplyChains-CC-BY-NC-SA-4.0.xlsx]X-Process</v>
      </c>
      <c r="EN48" s="160" t="str">
        <f t="shared" ca="1" si="25"/>
        <v>https://zhaw-my.sharepoint.com/personal/stck_zhaw_ch/Documents/IEA PVPS Task 12/IEA_PVPS_T12_LCI_online/[PVPS-Task12_2026_EcoSpold_LCI-PV-supplyChains-CC-BY-NC-SA-4.0.xlsx]X-Process</v>
      </c>
      <c r="EO48" s="160" t="str">
        <f t="shared" ca="1" si="25"/>
        <v>https://zhaw-my.sharepoint.com/personal/stck_zhaw_ch/Documents/IEA PVPS Task 12/IEA_PVPS_T12_LCI_online/[PVPS-Task12_2026_EcoSpold_LCI-PV-supplyChains-CC-BY-NC-SA-4.0.xlsx]X-Process</v>
      </c>
      <c r="EP48" s="160" t="str">
        <f t="shared" ca="1" si="25"/>
        <v>https://zhaw-my.sharepoint.com/personal/stck_zhaw_ch/Documents/IEA PVPS Task 12/IEA_PVPS_T12_LCI_online/[PVPS-Task12_2026_EcoSpold_LCI-PV-supplyChains-CC-BY-NC-SA-4.0.xlsx]X-Process</v>
      </c>
      <c r="EQ48" s="160" t="str">
        <f t="shared" ca="1" si="25"/>
        <v>https://zhaw-my.sharepoint.com/personal/stck_zhaw_ch/Documents/IEA PVPS Task 12/IEA_PVPS_T12_LCI_online/[PVPS-Task12_2026_EcoSpold_LCI-PV-supplyChains-CC-BY-NC-SA-4.0.xlsx]X-Process</v>
      </c>
      <c r="ER48" s="160" t="str">
        <f t="shared" ca="1" si="25"/>
        <v>https://zhaw-my.sharepoint.com/personal/stck_zhaw_ch/Documents/IEA PVPS Task 12/IEA_PVPS_T12_LCI_online/[PVPS-Task12_2026_EcoSpold_LCI-PV-supplyChains-CC-BY-NC-SA-4.0.xlsx]X-Process</v>
      </c>
      <c r="ES48" s="160" t="str">
        <f t="shared" ca="1" si="25"/>
        <v>https://zhaw-my.sharepoint.com/personal/stck_zhaw_ch/Documents/IEA PVPS Task 12/IEA_PVPS_T12_LCI_online/[PVPS-Task12_2026_EcoSpold_LCI-PV-supplyChains-CC-BY-NC-SA-4.0.xlsx]X-Process</v>
      </c>
      <c r="ET48" s="160" t="str">
        <f t="shared" ca="1" si="25"/>
        <v>https://zhaw-my.sharepoint.com/personal/stck_zhaw_ch/Documents/IEA PVPS Task 12/IEA_PVPS_T12_LCI_online/[PVPS-Task12_2026_EcoSpold_LCI-PV-supplyChains-CC-BY-NC-SA-4.0.xlsx]X-Process</v>
      </c>
      <c r="EU48" s="160" t="str">
        <f t="shared" ca="1" si="25"/>
        <v>https://zhaw-my.sharepoint.com/personal/stck_zhaw_ch/Documents/IEA PVPS Task 12/IEA_PVPS_T12_LCI_online/[PVPS-Task12_2026_EcoSpold_LCI-PV-supplyChains-CC-BY-NC-SA-4.0.xlsx]X-Process</v>
      </c>
      <c r="EV48" s="160" t="str">
        <f t="shared" ca="1" si="25"/>
        <v>https://zhaw-my.sharepoint.com/personal/stck_zhaw_ch/Documents/IEA PVPS Task 12/IEA_PVPS_T12_LCI_online/[PVPS-Task12_2026_EcoSpold_LCI-PV-supplyChains-CC-BY-NC-SA-4.0.xlsx]X-Process</v>
      </c>
      <c r="EW48" s="160" t="str">
        <f t="shared" ca="1" si="25"/>
        <v>https://zhaw-my.sharepoint.com/personal/stck_zhaw_ch/Documents/IEA PVPS Task 12/IEA_PVPS_T12_LCI_online/[PVPS-Task12_2026_EcoSpold_LCI-PV-supplyChains-CC-BY-NC-SA-4.0.xlsx]X-Process</v>
      </c>
      <c r="EX48" s="160" t="str">
        <f t="shared" ca="1" si="25"/>
        <v>https://zhaw-my.sharepoint.com/personal/stck_zhaw_ch/Documents/IEA PVPS Task 12/IEA_PVPS_T12_LCI_online/[PVPS-Task12_2026_EcoSpold_LCI-PV-supplyChains-CC-BY-NC-SA-4.0.xlsx]X-Process</v>
      </c>
      <c r="EY48" s="160" t="str">
        <f t="shared" ca="1" si="25"/>
        <v>https://zhaw-my.sharepoint.com/personal/stck_zhaw_ch/Documents/IEA PVPS Task 12/IEA_PVPS_T12_LCI_online/[PVPS-Task12_2026_EcoSpold_LCI-PV-supplyChains-CC-BY-NC-SA-4.0.xlsx]X-Process</v>
      </c>
      <c r="EZ48" s="160" t="str">
        <f t="shared" ca="1" si="25"/>
        <v>https://zhaw-my.sharepoint.com/personal/stck_zhaw_ch/Documents/IEA PVPS Task 12/IEA_PVPS_T12_LCI_online/[PVPS-Task12_2026_EcoSpold_LCI-PV-supplyChains-CC-BY-NC-SA-4.0.xlsx]X-Process</v>
      </c>
      <c r="FA48" s="160" t="str">
        <f t="shared" ca="1" si="25"/>
        <v>https://zhaw-my.sharepoint.com/personal/stck_zhaw_ch/Documents/IEA PVPS Task 12/IEA_PVPS_T12_LCI_online/[PVPS-Task12_2026_EcoSpold_LCI-PV-supplyChains-CC-BY-NC-SA-4.0.xlsx]X-Process</v>
      </c>
      <c r="FB48" s="160" t="str">
        <f t="shared" ca="1" si="25"/>
        <v>https://zhaw-my.sharepoint.com/personal/stck_zhaw_ch/Documents/IEA PVPS Task 12/IEA_PVPS_T12_LCI_online/[PVPS-Task12_2026_EcoSpold_LCI-PV-supplyChains-CC-BY-NC-SA-4.0.xlsx]X-Process</v>
      </c>
      <c r="FC48" s="160" t="str">
        <f t="shared" ca="1" si="25"/>
        <v>https://zhaw-my.sharepoint.com/personal/stck_zhaw_ch/Documents/IEA PVPS Task 12/IEA_PVPS_T12_LCI_online/[PVPS-Task12_2026_EcoSpold_LCI-PV-supplyChains-CC-BY-NC-SA-4.0.xlsx]X-Process</v>
      </c>
      <c r="FD48" s="160" t="str">
        <f t="shared" ca="1" si="25"/>
        <v>https://zhaw-my.sharepoint.com/personal/stck_zhaw_ch/Documents/IEA PVPS Task 12/IEA_PVPS_T12_LCI_online/[PVPS-Task12_2026_EcoSpold_LCI-PV-supplyChains-CC-BY-NC-SA-4.0.xlsx]X-Process</v>
      </c>
      <c r="FE48" s="160" t="str">
        <f t="shared" ca="1" si="25"/>
        <v>https://zhaw-my.sharepoint.com/personal/stck_zhaw_ch/Documents/IEA PVPS Task 12/IEA_PVPS_T12_LCI_online/[PVPS-Task12_2026_EcoSpold_LCI-PV-supplyChains-CC-BY-NC-SA-4.0.xlsx]X-Process</v>
      </c>
      <c r="FF48" s="160" t="str">
        <f t="shared" ca="1" si="25"/>
        <v>https://zhaw-my.sharepoint.com/personal/stck_zhaw_ch/Documents/IEA PVPS Task 12/IEA_PVPS_T12_LCI_online/[PVPS-Task12_2026_EcoSpold_LCI-PV-supplyChains-CC-BY-NC-SA-4.0.xlsx]X-Process</v>
      </c>
      <c r="FG48" s="160" t="str">
        <f t="shared" ca="1" si="25"/>
        <v>https://zhaw-my.sharepoint.com/personal/stck_zhaw_ch/Documents/IEA PVPS Task 12/IEA_PVPS_T12_LCI_online/[PVPS-Task12_2026_EcoSpold_LCI-PV-supplyChains-CC-BY-NC-SA-4.0.xlsx]X-Process</v>
      </c>
      <c r="FH48" s="160" t="str">
        <f t="shared" ca="1" si="25"/>
        <v>https://zhaw-my.sharepoint.com/personal/stck_zhaw_ch/Documents/IEA PVPS Task 12/IEA_PVPS_T12_LCI_online/[PVPS-Task12_2026_EcoSpold_LCI-PV-supplyChains-CC-BY-NC-SA-4.0.xlsx]X-Process</v>
      </c>
      <c r="FI48" s="160" t="str">
        <f t="shared" ca="1" si="25"/>
        <v>https://zhaw-my.sharepoint.com/personal/stck_zhaw_ch/Documents/IEA PVPS Task 12/IEA_PVPS_T12_LCI_online/[PVPS-Task12_2026_EcoSpold_LCI-PV-supplyChains-CC-BY-NC-SA-4.0.xlsx]X-Process</v>
      </c>
      <c r="FJ48" s="160" t="str">
        <f t="shared" ca="1" si="25"/>
        <v>https://zhaw-my.sharepoint.com/personal/stck_zhaw_ch/Documents/IEA PVPS Task 12/IEA_PVPS_T12_LCI_online/[PVPS-Task12_2026_EcoSpold_LCI-PV-supplyChains-CC-BY-NC-SA-4.0.xlsx]X-Process</v>
      </c>
      <c r="FK48" s="160" t="str">
        <f t="shared" ca="1" si="25"/>
        <v>https://zhaw-my.sharepoint.com/personal/stck_zhaw_ch/Documents/IEA PVPS Task 12/IEA_PVPS_T12_LCI_online/[PVPS-Task12_2026_EcoSpold_LCI-PV-supplyChains-CC-BY-NC-SA-4.0.xlsx]X-Process</v>
      </c>
      <c r="FL48" s="160" t="str">
        <f t="shared" ca="1" si="25"/>
        <v>https://zhaw-my.sharepoint.com/personal/stck_zhaw_ch/Documents/IEA PVPS Task 12/IEA_PVPS_T12_LCI_online/[PVPS-Task12_2026_EcoSpold_LCI-PV-supplyChains-CC-BY-NC-SA-4.0.xlsx]X-Process</v>
      </c>
      <c r="FM48" s="160" t="str">
        <f t="shared" ca="1" si="25"/>
        <v>https://zhaw-my.sharepoint.com/personal/stck_zhaw_ch/Documents/IEA PVPS Task 12/IEA_PVPS_T12_LCI_online/[PVPS-Task12_2026_EcoSpold_LCI-PV-supplyChains-CC-BY-NC-SA-4.0.xlsx]X-Process</v>
      </c>
      <c r="FN48" s="160" t="str">
        <f t="shared" ca="1" si="25"/>
        <v>https://zhaw-my.sharepoint.com/personal/stck_zhaw_ch/Documents/IEA PVPS Task 12/IEA_PVPS_T12_LCI_online/[PVPS-Task12_2026_EcoSpold_LCI-PV-supplyChains-CC-BY-NC-SA-4.0.xlsx]X-Process</v>
      </c>
      <c r="FO48" s="160" t="str">
        <f t="shared" ca="1" si="25"/>
        <v>https://zhaw-my.sharepoint.com/personal/stck_zhaw_ch/Documents/IEA PVPS Task 12/IEA_PVPS_T12_LCI_online/[PVPS-Task12_2026_EcoSpold_LCI-PV-supplyChains-CC-BY-NC-SA-4.0.xlsx]X-Process</v>
      </c>
      <c r="FP48" s="160" t="str">
        <f t="shared" ca="1" si="25"/>
        <v>https://zhaw-my.sharepoint.com/personal/stck_zhaw_ch/Documents/IEA PVPS Task 12/IEA_PVPS_T12_LCI_online/[PVPS-Task12_2026_EcoSpold_LCI-PV-supplyChains-CC-BY-NC-SA-4.0.xlsx]X-Process</v>
      </c>
      <c r="FQ48" s="160" t="str">
        <f t="shared" ca="1" si="25"/>
        <v>https://zhaw-my.sharepoint.com/personal/stck_zhaw_ch/Documents/IEA PVPS Task 12/IEA_PVPS_T12_LCI_online/[PVPS-Task12_2026_EcoSpold_LCI-PV-supplyChains-CC-BY-NC-SA-4.0.xlsx]X-Process</v>
      </c>
      <c r="FR48" s="160" t="str">
        <f t="shared" ca="1" si="25"/>
        <v>https://zhaw-my.sharepoint.com/personal/stck_zhaw_ch/Documents/IEA PVPS Task 12/IEA_PVPS_T12_LCI_online/[PVPS-Task12_2026_EcoSpold_LCI-PV-supplyChains-CC-BY-NC-SA-4.0.xlsx]X-Process</v>
      </c>
      <c r="FS48" s="160" t="str">
        <f t="shared" ca="1" si="25"/>
        <v>https://zhaw-my.sharepoint.com/personal/stck_zhaw_ch/Documents/IEA PVPS Task 12/IEA_PVPS_T12_LCI_online/[PVPS-Task12_2026_EcoSpold_LCI-PV-supplyChains-CC-BY-NC-SA-4.0.xlsx]X-Process</v>
      </c>
      <c r="FT48" s="160" t="str">
        <f t="shared" ca="1" si="25"/>
        <v>https://zhaw-my.sharepoint.com/personal/stck_zhaw_ch/Documents/IEA PVPS Task 12/IEA_PVPS_T12_LCI_online/[PVPS-Task12_2026_EcoSpold_LCI-PV-supplyChains-CC-BY-NC-SA-4.0.xlsx]X-Process</v>
      </c>
      <c r="FU48" s="160" t="str">
        <f t="shared" ca="1" si="25"/>
        <v>https://zhaw-my.sharepoint.com/personal/stck_zhaw_ch/Documents/IEA PVPS Task 12/IEA_PVPS_T12_LCI_online/[PVPS-Task12_2026_EcoSpold_LCI-PV-supplyChains-CC-BY-NC-SA-4.0.xlsx]X-Process</v>
      </c>
      <c r="FV48" s="160" t="str">
        <f t="shared" ca="1" si="25"/>
        <v>https://zhaw-my.sharepoint.com/personal/stck_zhaw_ch/Documents/IEA PVPS Task 12/IEA_PVPS_T12_LCI_online/[PVPS-Task12_2026_EcoSpold_LCI-PV-supplyChains-CC-BY-NC-SA-4.0.xlsx]X-Process</v>
      </c>
      <c r="FW48" s="160" t="str">
        <f t="shared" ca="1" si="25"/>
        <v>https://zhaw-my.sharepoint.com/personal/stck_zhaw_ch/Documents/IEA PVPS Task 12/IEA_PVPS_T12_LCI_online/[PVPS-Task12_2026_EcoSpold_LCI-PV-supplyChains-CC-BY-NC-SA-4.0.xlsx]X-Process</v>
      </c>
      <c r="FX48" s="160" t="str">
        <f t="shared" ca="1" si="25"/>
        <v>https://zhaw-my.sharepoint.com/personal/stck_zhaw_ch/Documents/IEA PVPS Task 12/IEA_PVPS_T12_LCI_online/[PVPS-Task12_2026_EcoSpold_LCI-PV-supplyChains-CC-BY-NC-SA-4.0.xlsx]X-Process</v>
      </c>
      <c r="FY48" s="160" t="str">
        <f t="shared" ca="1" si="25"/>
        <v>https://zhaw-my.sharepoint.com/personal/stck_zhaw_ch/Documents/IEA PVPS Task 12/IEA_PVPS_T12_LCI_online/[PVPS-Task12_2026_EcoSpold_LCI-PV-supplyChains-CC-BY-NC-SA-4.0.xlsx]X-Process</v>
      </c>
      <c r="FZ48" s="160" t="str">
        <f t="shared" ca="1" si="25"/>
        <v>https://zhaw-my.sharepoint.com/personal/stck_zhaw_ch/Documents/IEA PVPS Task 12/IEA_PVPS_T12_LCI_online/[PVPS-Task12_2026_EcoSpold_LCI-PV-supplyChains-CC-BY-NC-SA-4.0.xlsx]X-Process</v>
      </c>
      <c r="GA48" s="160" t="str">
        <f t="shared" ca="1" si="25"/>
        <v>https://zhaw-my.sharepoint.com/personal/stck_zhaw_ch/Documents/IEA PVPS Task 12/IEA_PVPS_T12_LCI_online/[PVPS-Task12_2026_EcoSpold_LCI-PV-supplyChains-CC-BY-NC-SA-4.0.xlsx]X-Process</v>
      </c>
      <c r="GB48" s="160" t="str">
        <f t="shared" ca="1" si="25"/>
        <v>https://zhaw-my.sharepoint.com/personal/stck_zhaw_ch/Documents/IEA PVPS Task 12/IEA_PVPS_T12_LCI_online/[PVPS-Task12_2026_EcoSpold_LCI-PV-supplyChains-CC-BY-NC-SA-4.0.xlsx]X-Process</v>
      </c>
      <c r="GC48" s="160" t="str">
        <f t="shared" ca="1" si="25"/>
        <v>https://zhaw-my.sharepoint.com/personal/stck_zhaw_ch/Documents/IEA PVPS Task 12/IEA_PVPS_T12_LCI_online/[PVPS-Task12_2026_EcoSpold_LCI-PV-supplyChains-CC-BY-NC-SA-4.0.xlsx]X-Process</v>
      </c>
      <c r="GD48" s="160" t="str">
        <f t="shared" ca="1" si="25"/>
        <v>https://zhaw-my.sharepoint.com/personal/stck_zhaw_ch/Documents/IEA PVPS Task 12/IEA_PVPS_T12_LCI_online/[PVPS-Task12_2026_EcoSpold_LCI-PV-supplyChains-CC-BY-NC-SA-4.0.xlsx]X-Process</v>
      </c>
      <c r="GE48" s="160" t="str">
        <f t="shared" ca="1" si="25"/>
        <v>https://zhaw-my.sharepoint.com/personal/stck_zhaw_ch/Documents/IEA PVPS Task 12/IEA_PVPS_T12_LCI_online/[PVPS-Task12_2026_EcoSpold_LCI-PV-supplyChains-CC-BY-NC-SA-4.0.xlsx]X-Process</v>
      </c>
      <c r="GF48" s="160" t="str">
        <f t="shared" ca="1" si="25"/>
        <v>https://zhaw-my.sharepoint.com/personal/stck_zhaw_ch/Documents/IEA PVPS Task 12/IEA_PVPS_T12_LCI_online/[PVPS-Task12_2026_EcoSpold_LCI-PV-supplyChains-CC-BY-NC-SA-4.0.xlsx]X-Process</v>
      </c>
      <c r="GG48" s="160" t="str">
        <f t="shared" ca="1" si="25"/>
        <v>https://zhaw-my.sharepoint.com/personal/stck_zhaw_ch/Documents/IEA PVPS Task 12/IEA_PVPS_T12_LCI_online/[PVPS-Task12_2026_EcoSpold_LCI-PV-supplyChains-CC-BY-NC-SA-4.0.xlsx]X-Process</v>
      </c>
      <c r="GH48" s="160" t="str">
        <f t="shared" ca="1" si="25"/>
        <v>https://zhaw-my.sharepoint.com/personal/stck_zhaw_ch/Documents/IEA PVPS Task 12/IEA_PVPS_T12_LCI_online/[PVPS-Task12_2026_EcoSpold_LCI-PV-supplyChains-CC-BY-NC-SA-4.0.xlsx]X-Process</v>
      </c>
      <c r="GI48" s="160" t="str">
        <f t="shared" ca="1" si="25"/>
        <v>https://zhaw-my.sharepoint.com/personal/stck_zhaw_ch/Documents/IEA PVPS Task 12/IEA_PVPS_T12_LCI_online/[PVPS-Task12_2026_EcoSpold_LCI-PV-supplyChains-CC-BY-NC-SA-4.0.xlsx]X-Process</v>
      </c>
      <c r="GJ48" s="160" t="str">
        <f t="shared" ca="1" si="25"/>
        <v>https://zhaw-my.sharepoint.com/personal/stck_zhaw_ch/Documents/IEA PVPS Task 12/IEA_PVPS_T12_LCI_online/[PVPS-Task12_2026_EcoSpold_LCI-PV-supplyChains-CC-BY-NC-SA-4.0.xlsx]X-Process</v>
      </c>
      <c r="GK48" s="160" t="str">
        <f t="shared" ca="1" si="25"/>
        <v>https://zhaw-my.sharepoint.com/personal/stck_zhaw_ch/Documents/IEA PVPS Task 12/IEA_PVPS_T12_LCI_online/[PVPS-Task12_2026_EcoSpold_LCI-PV-supplyChains-CC-BY-NC-SA-4.0.xlsx]X-Process</v>
      </c>
      <c r="GL48" s="160" t="str">
        <f t="shared" ca="1" si="25"/>
        <v>https://zhaw-my.sharepoint.com/personal/stck_zhaw_ch/Documents/IEA PVPS Task 12/IEA_PVPS_T12_LCI_online/[PVPS-Task12_2026_EcoSpold_LCI-PV-supplyChains-CC-BY-NC-SA-4.0.xlsx]X-Process</v>
      </c>
      <c r="GM48" s="160" t="str">
        <f t="shared" ca="1" si="25"/>
        <v>https://zhaw-my.sharepoint.com/personal/stck_zhaw_ch/Documents/IEA PVPS Task 12/IEA_PVPS_T12_LCI_online/[PVPS-Task12_2026_EcoSpold_LCI-PV-supplyChains-CC-BY-NC-SA-4.0.xlsx]X-Process</v>
      </c>
      <c r="GN48" s="160" t="str">
        <f t="shared" ref="GN48:JB48" ca="1" si="26">CELL("filename",GN54)</f>
        <v>https://zhaw-my.sharepoint.com/personal/stck_zhaw_ch/Documents/IEA PVPS Task 12/IEA_PVPS_T12_LCI_online/[PVPS-Task12_2026_EcoSpold_LCI-PV-supplyChains-CC-BY-NC-SA-4.0.xlsx]X-Process</v>
      </c>
      <c r="GO48" s="160" t="str">
        <f t="shared" ca="1" si="26"/>
        <v>https://zhaw-my.sharepoint.com/personal/stck_zhaw_ch/Documents/IEA PVPS Task 12/IEA_PVPS_T12_LCI_online/[PVPS-Task12_2026_EcoSpold_LCI-PV-supplyChains-CC-BY-NC-SA-4.0.xlsx]X-Process</v>
      </c>
      <c r="GP48" s="160" t="str">
        <f t="shared" ca="1" si="26"/>
        <v>https://zhaw-my.sharepoint.com/personal/stck_zhaw_ch/Documents/IEA PVPS Task 12/IEA_PVPS_T12_LCI_online/[PVPS-Task12_2026_EcoSpold_LCI-PV-supplyChains-CC-BY-NC-SA-4.0.xlsx]X-Process</v>
      </c>
      <c r="GQ48" s="160" t="str">
        <f t="shared" ca="1" si="26"/>
        <v>https://zhaw-my.sharepoint.com/personal/stck_zhaw_ch/Documents/IEA PVPS Task 12/IEA_PVPS_T12_LCI_online/[PVPS-Task12_2026_EcoSpold_LCI-PV-supplyChains-CC-BY-NC-SA-4.0.xlsx]X-Process</v>
      </c>
      <c r="GR48" s="160" t="str">
        <f t="shared" ca="1" si="26"/>
        <v>https://zhaw-my.sharepoint.com/personal/stck_zhaw_ch/Documents/IEA PVPS Task 12/IEA_PVPS_T12_LCI_online/[PVPS-Task12_2026_EcoSpold_LCI-PV-supplyChains-CC-BY-NC-SA-4.0.xlsx]X-Process</v>
      </c>
      <c r="GS48" s="160" t="str">
        <f t="shared" ca="1" si="26"/>
        <v>https://zhaw-my.sharepoint.com/personal/stck_zhaw_ch/Documents/IEA PVPS Task 12/IEA_PVPS_T12_LCI_online/[PVPS-Task12_2026_EcoSpold_LCI-PV-supplyChains-CC-BY-NC-SA-4.0.xlsx]X-Process</v>
      </c>
      <c r="GT48" s="160" t="str">
        <f t="shared" ca="1" si="26"/>
        <v>https://zhaw-my.sharepoint.com/personal/stck_zhaw_ch/Documents/IEA PVPS Task 12/IEA_PVPS_T12_LCI_online/[PVPS-Task12_2026_EcoSpold_LCI-PV-supplyChains-CC-BY-NC-SA-4.0.xlsx]X-Process</v>
      </c>
      <c r="GU48" s="160" t="str">
        <f t="shared" ca="1" si="26"/>
        <v>https://zhaw-my.sharepoint.com/personal/stck_zhaw_ch/Documents/IEA PVPS Task 12/IEA_PVPS_T12_LCI_online/[PVPS-Task12_2026_EcoSpold_LCI-PV-supplyChains-CC-BY-NC-SA-4.0.xlsx]X-Process</v>
      </c>
      <c r="GV48" s="160" t="str">
        <f t="shared" ca="1" si="26"/>
        <v>https://zhaw-my.sharepoint.com/personal/stck_zhaw_ch/Documents/IEA PVPS Task 12/IEA_PVPS_T12_LCI_online/[PVPS-Task12_2026_EcoSpold_LCI-PV-supplyChains-CC-BY-NC-SA-4.0.xlsx]X-Process</v>
      </c>
      <c r="GW48" s="160" t="str">
        <f t="shared" ca="1" si="26"/>
        <v>https://zhaw-my.sharepoint.com/personal/stck_zhaw_ch/Documents/IEA PVPS Task 12/IEA_PVPS_T12_LCI_online/[PVPS-Task12_2026_EcoSpold_LCI-PV-supplyChains-CC-BY-NC-SA-4.0.xlsx]X-Process</v>
      </c>
      <c r="GX48" s="160" t="str">
        <f t="shared" ca="1" si="26"/>
        <v>https://zhaw-my.sharepoint.com/personal/stck_zhaw_ch/Documents/IEA PVPS Task 12/IEA_PVPS_T12_LCI_online/[PVPS-Task12_2026_EcoSpold_LCI-PV-supplyChains-CC-BY-NC-SA-4.0.xlsx]X-Process</v>
      </c>
      <c r="GY48" s="160" t="str">
        <f t="shared" ca="1" si="26"/>
        <v>https://zhaw-my.sharepoint.com/personal/stck_zhaw_ch/Documents/IEA PVPS Task 12/IEA_PVPS_T12_LCI_online/[PVPS-Task12_2026_EcoSpold_LCI-PV-supplyChains-CC-BY-NC-SA-4.0.xlsx]X-Process</v>
      </c>
      <c r="GZ48" s="160" t="str">
        <f t="shared" ca="1" si="26"/>
        <v>https://zhaw-my.sharepoint.com/personal/stck_zhaw_ch/Documents/IEA PVPS Task 12/IEA_PVPS_T12_LCI_online/[PVPS-Task12_2026_EcoSpold_LCI-PV-supplyChains-CC-BY-NC-SA-4.0.xlsx]X-Process</v>
      </c>
      <c r="HA48" s="160" t="str">
        <f t="shared" ca="1" si="26"/>
        <v>https://zhaw-my.sharepoint.com/personal/stck_zhaw_ch/Documents/IEA PVPS Task 12/IEA_PVPS_T12_LCI_online/[PVPS-Task12_2026_EcoSpold_LCI-PV-supplyChains-CC-BY-NC-SA-4.0.xlsx]X-Process</v>
      </c>
      <c r="HB48" s="160" t="str">
        <f t="shared" ca="1" si="26"/>
        <v>https://zhaw-my.sharepoint.com/personal/stck_zhaw_ch/Documents/IEA PVPS Task 12/IEA_PVPS_T12_LCI_online/[PVPS-Task12_2026_EcoSpold_LCI-PV-supplyChains-CC-BY-NC-SA-4.0.xlsx]X-Process</v>
      </c>
      <c r="HC48" s="160" t="str">
        <f t="shared" ca="1" si="26"/>
        <v>https://zhaw-my.sharepoint.com/personal/stck_zhaw_ch/Documents/IEA PVPS Task 12/IEA_PVPS_T12_LCI_online/[PVPS-Task12_2026_EcoSpold_LCI-PV-supplyChains-CC-BY-NC-SA-4.0.xlsx]X-Process</v>
      </c>
      <c r="HD48" s="160" t="str">
        <f t="shared" ca="1" si="26"/>
        <v>https://zhaw-my.sharepoint.com/personal/stck_zhaw_ch/Documents/IEA PVPS Task 12/IEA_PVPS_T12_LCI_online/[PVPS-Task12_2026_EcoSpold_LCI-PV-supplyChains-CC-BY-NC-SA-4.0.xlsx]X-Process</v>
      </c>
      <c r="HE48" s="160" t="str">
        <f t="shared" ca="1" si="26"/>
        <v>https://zhaw-my.sharepoint.com/personal/stck_zhaw_ch/Documents/IEA PVPS Task 12/IEA_PVPS_T12_LCI_online/[PVPS-Task12_2026_EcoSpold_LCI-PV-supplyChains-CC-BY-NC-SA-4.0.xlsx]X-Process</v>
      </c>
      <c r="HF48" s="160" t="str">
        <f t="shared" ca="1" si="26"/>
        <v>https://zhaw-my.sharepoint.com/personal/stck_zhaw_ch/Documents/IEA PVPS Task 12/IEA_PVPS_T12_LCI_online/[PVPS-Task12_2026_EcoSpold_LCI-PV-supplyChains-CC-BY-NC-SA-4.0.xlsx]X-Process</v>
      </c>
      <c r="HG48" s="160" t="str">
        <f t="shared" ca="1" si="26"/>
        <v>https://zhaw-my.sharepoint.com/personal/stck_zhaw_ch/Documents/IEA PVPS Task 12/IEA_PVPS_T12_LCI_online/[PVPS-Task12_2026_EcoSpold_LCI-PV-supplyChains-CC-BY-NC-SA-4.0.xlsx]X-Process</v>
      </c>
      <c r="HH48" s="160" t="str">
        <f t="shared" ca="1" si="26"/>
        <v>https://zhaw-my.sharepoint.com/personal/stck_zhaw_ch/Documents/IEA PVPS Task 12/IEA_PVPS_T12_LCI_online/[PVPS-Task12_2026_EcoSpold_LCI-PV-supplyChains-CC-BY-NC-SA-4.0.xlsx]X-Process</v>
      </c>
      <c r="HI48" s="160" t="str">
        <f t="shared" ca="1" si="26"/>
        <v>https://zhaw-my.sharepoint.com/personal/stck_zhaw_ch/Documents/IEA PVPS Task 12/IEA_PVPS_T12_LCI_online/[PVPS-Task12_2026_EcoSpold_LCI-PV-supplyChains-CC-BY-NC-SA-4.0.xlsx]X-Process</v>
      </c>
      <c r="HJ48" s="160" t="str">
        <f t="shared" ca="1" si="26"/>
        <v>https://zhaw-my.sharepoint.com/personal/stck_zhaw_ch/Documents/IEA PVPS Task 12/IEA_PVPS_T12_LCI_online/[PVPS-Task12_2026_EcoSpold_LCI-PV-supplyChains-CC-BY-NC-SA-4.0.xlsx]X-Process</v>
      </c>
      <c r="HK48" s="160" t="str">
        <f t="shared" ca="1" si="26"/>
        <v>https://zhaw-my.sharepoint.com/personal/stck_zhaw_ch/Documents/IEA PVPS Task 12/IEA_PVPS_T12_LCI_online/[PVPS-Task12_2026_EcoSpold_LCI-PV-supplyChains-CC-BY-NC-SA-4.0.xlsx]X-Process</v>
      </c>
      <c r="HL48" s="160" t="str">
        <f t="shared" ca="1" si="26"/>
        <v>https://zhaw-my.sharepoint.com/personal/stck_zhaw_ch/Documents/IEA PVPS Task 12/IEA_PVPS_T12_LCI_online/[PVPS-Task12_2026_EcoSpold_LCI-PV-supplyChains-CC-BY-NC-SA-4.0.xlsx]X-Process</v>
      </c>
      <c r="HM48" s="160" t="str">
        <f t="shared" ca="1" si="26"/>
        <v>https://zhaw-my.sharepoint.com/personal/stck_zhaw_ch/Documents/IEA PVPS Task 12/IEA_PVPS_T12_LCI_online/[PVPS-Task12_2026_EcoSpold_LCI-PV-supplyChains-CC-BY-NC-SA-4.0.xlsx]X-Process</v>
      </c>
      <c r="HN48" s="160" t="str">
        <f t="shared" ca="1" si="26"/>
        <v>https://zhaw-my.sharepoint.com/personal/stck_zhaw_ch/Documents/IEA PVPS Task 12/IEA_PVPS_T12_LCI_online/[PVPS-Task12_2026_EcoSpold_LCI-PV-supplyChains-CC-BY-NC-SA-4.0.xlsx]X-Process</v>
      </c>
      <c r="HO48" s="160" t="str">
        <f t="shared" ca="1" si="26"/>
        <v>https://zhaw-my.sharepoint.com/personal/stck_zhaw_ch/Documents/IEA PVPS Task 12/IEA_PVPS_T12_LCI_online/[PVPS-Task12_2026_EcoSpold_LCI-PV-supplyChains-CC-BY-NC-SA-4.0.xlsx]X-Process</v>
      </c>
      <c r="HP48" s="160" t="str">
        <f t="shared" ca="1" si="26"/>
        <v>https://zhaw-my.sharepoint.com/personal/stck_zhaw_ch/Documents/IEA PVPS Task 12/IEA_PVPS_T12_LCI_online/[PVPS-Task12_2026_EcoSpold_LCI-PV-supplyChains-CC-BY-NC-SA-4.0.xlsx]X-Process</v>
      </c>
      <c r="HQ48" s="160" t="str">
        <f t="shared" ca="1" si="26"/>
        <v>https://zhaw-my.sharepoint.com/personal/stck_zhaw_ch/Documents/IEA PVPS Task 12/IEA_PVPS_T12_LCI_online/[PVPS-Task12_2026_EcoSpold_LCI-PV-supplyChains-CC-BY-NC-SA-4.0.xlsx]X-Process</v>
      </c>
      <c r="HR48" s="160" t="str">
        <f t="shared" ca="1" si="26"/>
        <v>https://zhaw-my.sharepoint.com/personal/stck_zhaw_ch/Documents/IEA PVPS Task 12/IEA_PVPS_T12_LCI_online/[PVPS-Task12_2026_EcoSpold_LCI-PV-supplyChains-CC-BY-NC-SA-4.0.xlsx]X-Process</v>
      </c>
      <c r="HS48" s="160" t="str">
        <f t="shared" ca="1" si="26"/>
        <v>https://zhaw-my.sharepoint.com/personal/stck_zhaw_ch/Documents/IEA PVPS Task 12/IEA_PVPS_T12_LCI_online/[PVPS-Task12_2026_EcoSpold_LCI-PV-supplyChains-CC-BY-NC-SA-4.0.xlsx]X-Process</v>
      </c>
      <c r="HT48" s="160" t="str">
        <f t="shared" ca="1" si="26"/>
        <v>https://zhaw-my.sharepoint.com/personal/stck_zhaw_ch/Documents/IEA PVPS Task 12/IEA_PVPS_T12_LCI_online/[PVPS-Task12_2026_EcoSpold_LCI-PV-supplyChains-CC-BY-NC-SA-4.0.xlsx]X-Process</v>
      </c>
      <c r="HU48" s="160" t="str">
        <f t="shared" ca="1" si="26"/>
        <v>https://zhaw-my.sharepoint.com/personal/stck_zhaw_ch/Documents/IEA PVPS Task 12/IEA_PVPS_T12_LCI_online/[PVPS-Task12_2026_EcoSpold_LCI-PV-supplyChains-CC-BY-NC-SA-4.0.xlsx]X-Process</v>
      </c>
      <c r="HV48" s="160" t="str">
        <f t="shared" ca="1" si="26"/>
        <v>https://zhaw-my.sharepoint.com/personal/stck_zhaw_ch/Documents/IEA PVPS Task 12/IEA_PVPS_T12_LCI_online/[PVPS-Task12_2026_EcoSpold_LCI-PV-supplyChains-CC-BY-NC-SA-4.0.xlsx]X-Process</v>
      </c>
      <c r="HW48" s="160" t="str">
        <f t="shared" ca="1" si="26"/>
        <v>https://zhaw-my.sharepoint.com/personal/stck_zhaw_ch/Documents/IEA PVPS Task 12/IEA_PVPS_T12_LCI_online/[PVPS-Task12_2026_EcoSpold_LCI-PV-supplyChains-CC-BY-NC-SA-4.0.xlsx]X-Process</v>
      </c>
      <c r="HX48" s="160" t="str">
        <f t="shared" ca="1" si="26"/>
        <v>https://zhaw-my.sharepoint.com/personal/stck_zhaw_ch/Documents/IEA PVPS Task 12/IEA_PVPS_T12_LCI_online/[PVPS-Task12_2026_EcoSpold_LCI-PV-supplyChains-CC-BY-NC-SA-4.0.xlsx]X-Process</v>
      </c>
      <c r="HY48" s="160" t="str">
        <f t="shared" ca="1" si="26"/>
        <v>https://zhaw-my.sharepoint.com/personal/stck_zhaw_ch/Documents/IEA PVPS Task 12/IEA_PVPS_T12_LCI_online/[PVPS-Task12_2026_EcoSpold_LCI-PV-supplyChains-CC-BY-NC-SA-4.0.xlsx]X-Process</v>
      </c>
      <c r="HZ48" s="160" t="str">
        <f t="shared" ca="1" si="26"/>
        <v>https://zhaw-my.sharepoint.com/personal/stck_zhaw_ch/Documents/IEA PVPS Task 12/IEA_PVPS_T12_LCI_online/[PVPS-Task12_2026_EcoSpold_LCI-PV-supplyChains-CC-BY-NC-SA-4.0.xlsx]X-Process</v>
      </c>
      <c r="IA48" s="160" t="str">
        <f t="shared" ca="1" si="26"/>
        <v>https://zhaw-my.sharepoint.com/personal/stck_zhaw_ch/Documents/IEA PVPS Task 12/IEA_PVPS_T12_LCI_online/[PVPS-Task12_2026_EcoSpold_LCI-PV-supplyChains-CC-BY-NC-SA-4.0.xlsx]X-Process</v>
      </c>
      <c r="IB48" s="160" t="str">
        <f t="shared" ca="1" si="26"/>
        <v>https://zhaw-my.sharepoint.com/personal/stck_zhaw_ch/Documents/IEA PVPS Task 12/IEA_PVPS_T12_LCI_online/[PVPS-Task12_2026_EcoSpold_LCI-PV-supplyChains-CC-BY-NC-SA-4.0.xlsx]X-Process</v>
      </c>
      <c r="IC48" s="160" t="str">
        <f t="shared" ca="1" si="26"/>
        <v>https://zhaw-my.sharepoint.com/personal/stck_zhaw_ch/Documents/IEA PVPS Task 12/IEA_PVPS_T12_LCI_online/[PVPS-Task12_2026_EcoSpold_LCI-PV-supplyChains-CC-BY-NC-SA-4.0.xlsx]X-Process</v>
      </c>
      <c r="ID48" s="160" t="str">
        <f t="shared" ca="1" si="26"/>
        <v>https://zhaw-my.sharepoint.com/personal/stck_zhaw_ch/Documents/IEA PVPS Task 12/IEA_PVPS_T12_LCI_online/[PVPS-Task12_2026_EcoSpold_LCI-PV-supplyChains-CC-BY-NC-SA-4.0.xlsx]X-Process</v>
      </c>
      <c r="IE48" s="160" t="str">
        <f t="shared" ca="1" si="26"/>
        <v>https://zhaw-my.sharepoint.com/personal/stck_zhaw_ch/Documents/IEA PVPS Task 12/IEA_PVPS_T12_LCI_online/[PVPS-Task12_2026_EcoSpold_LCI-PV-supplyChains-CC-BY-NC-SA-4.0.xlsx]X-Process</v>
      </c>
      <c r="IF48" s="160" t="str">
        <f t="shared" ca="1" si="26"/>
        <v>https://zhaw-my.sharepoint.com/personal/stck_zhaw_ch/Documents/IEA PVPS Task 12/IEA_PVPS_T12_LCI_online/[PVPS-Task12_2026_EcoSpold_LCI-PV-supplyChains-CC-BY-NC-SA-4.0.xlsx]X-Process</v>
      </c>
      <c r="IG48" s="160" t="str">
        <f t="shared" ca="1" si="26"/>
        <v>https://zhaw-my.sharepoint.com/personal/stck_zhaw_ch/Documents/IEA PVPS Task 12/IEA_PVPS_T12_LCI_online/[PVPS-Task12_2026_EcoSpold_LCI-PV-supplyChains-CC-BY-NC-SA-4.0.xlsx]X-Process</v>
      </c>
      <c r="IH48" s="160" t="str">
        <f t="shared" ca="1" si="26"/>
        <v>https://zhaw-my.sharepoint.com/personal/stck_zhaw_ch/Documents/IEA PVPS Task 12/IEA_PVPS_T12_LCI_online/[PVPS-Task12_2026_EcoSpold_LCI-PV-supplyChains-CC-BY-NC-SA-4.0.xlsx]X-Process</v>
      </c>
      <c r="II48" s="160" t="str">
        <f t="shared" ca="1" si="26"/>
        <v>https://zhaw-my.sharepoint.com/personal/stck_zhaw_ch/Documents/IEA PVPS Task 12/IEA_PVPS_T12_LCI_online/[PVPS-Task12_2026_EcoSpold_LCI-PV-supplyChains-CC-BY-NC-SA-4.0.xlsx]X-Process</v>
      </c>
      <c r="IJ48" s="160" t="str">
        <f t="shared" ca="1" si="26"/>
        <v>https://zhaw-my.sharepoint.com/personal/stck_zhaw_ch/Documents/IEA PVPS Task 12/IEA_PVPS_T12_LCI_online/[PVPS-Task12_2026_EcoSpold_LCI-PV-supplyChains-CC-BY-NC-SA-4.0.xlsx]X-Process</v>
      </c>
      <c r="IK48" s="160" t="str">
        <f t="shared" ca="1" si="26"/>
        <v>https://zhaw-my.sharepoint.com/personal/stck_zhaw_ch/Documents/IEA PVPS Task 12/IEA_PVPS_T12_LCI_online/[PVPS-Task12_2026_EcoSpold_LCI-PV-supplyChains-CC-BY-NC-SA-4.0.xlsx]X-Process</v>
      </c>
      <c r="IL48" s="160" t="str">
        <f t="shared" ca="1" si="26"/>
        <v>https://zhaw-my.sharepoint.com/personal/stck_zhaw_ch/Documents/IEA PVPS Task 12/IEA_PVPS_T12_LCI_online/[PVPS-Task12_2026_EcoSpold_LCI-PV-supplyChains-CC-BY-NC-SA-4.0.xlsx]X-Process</v>
      </c>
      <c r="IM48" s="160" t="str">
        <f t="shared" ca="1" si="26"/>
        <v>https://zhaw-my.sharepoint.com/personal/stck_zhaw_ch/Documents/IEA PVPS Task 12/IEA_PVPS_T12_LCI_online/[PVPS-Task12_2026_EcoSpold_LCI-PV-supplyChains-CC-BY-NC-SA-4.0.xlsx]X-Process</v>
      </c>
      <c r="IN48" s="160" t="str">
        <f t="shared" ca="1" si="26"/>
        <v>https://zhaw-my.sharepoint.com/personal/stck_zhaw_ch/Documents/IEA PVPS Task 12/IEA_PVPS_T12_LCI_online/[PVPS-Task12_2026_EcoSpold_LCI-PV-supplyChains-CC-BY-NC-SA-4.0.xlsx]X-Process</v>
      </c>
      <c r="IO48" s="160" t="str">
        <f t="shared" ca="1" si="26"/>
        <v>https://zhaw-my.sharepoint.com/personal/stck_zhaw_ch/Documents/IEA PVPS Task 12/IEA_PVPS_T12_LCI_online/[PVPS-Task12_2026_EcoSpold_LCI-PV-supplyChains-CC-BY-NC-SA-4.0.xlsx]X-Process</v>
      </c>
      <c r="IP48" s="160" t="str">
        <f t="shared" ca="1" si="26"/>
        <v>https://zhaw-my.sharepoint.com/personal/stck_zhaw_ch/Documents/IEA PVPS Task 12/IEA_PVPS_T12_LCI_online/[PVPS-Task12_2026_EcoSpold_LCI-PV-supplyChains-CC-BY-NC-SA-4.0.xlsx]X-Process</v>
      </c>
      <c r="IQ48" s="160" t="str">
        <f t="shared" ca="1" si="26"/>
        <v>https://zhaw-my.sharepoint.com/personal/stck_zhaw_ch/Documents/IEA PVPS Task 12/IEA_PVPS_T12_LCI_online/[PVPS-Task12_2026_EcoSpold_LCI-PV-supplyChains-CC-BY-NC-SA-4.0.xlsx]X-Process</v>
      </c>
      <c r="IR48" s="160" t="str">
        <f t="shared" ca="1" si="26"/>
        <v>https://zhaw-my.sharepoint.com/personal/stck_zhaw_ch/Documents/IEA PVPS Task 12/IEA_PVPS_T12_LCI_online/[PVPS-Task12_2026_EcoSpold_LCI-PV-supplyChains-CC-BY-NC-SA-4.0.xlsx]X-Process</v>
      </c>
      <c r="IS48" s="160" t="str">
        <f t="shared" ca="1" si="26"/>
        <v>https://zhaw-my.sharepoint.com/personal/stck_zhaw_ch/Documents/IEA PVPS Task 12/IEA_PVPS_T12_LCI_online/[PVPS-Task12_2026_EcoSpold_LCI-PV-supplyChains-CC-BY-NC-SA-4.0.xlsx]X-Process</v>
      </c>
      <c r="IT48" s="160" t="str">
        <f t="shared" ca="1" si="26"/>
        <v>https://zhaw-my.sharepoint.com/personal/stck_zhaw_ch/Documents/IEA PVPS Task 12/IEA_PVPS_T12_LCI_online/[PVPS-Task12_2026_EcoSpold_LCI-PV-supplyChains-CC-BY-NC-SA-4.0.xlsx]X-Process</v>
      </c>
      <c r="IU48" s="160" t="str">
        <f t="shared" ca="1" si="26"/>
        <v>https://zhaw-my.sharepoint.com/personal/stck_zhaw_ch/Documents/IEA PVPS Task 12/IEA_PVPS_T12_LCI_online/[PVPS-Task12_2026_EcoSpold_LCI-PV-supplyChains-CC-BY-NC-SA-4.0.xlsx]X-Process</v>
      </c>
      <c r="IV48" s="160" t="str">
        <f t="shared" ca="1" si="26"/>
        <v>https://zhaw-my.sharepoint.com/personal/stck_zhaw_ch/Documents/IEA PVPS Task 12/IEA_PVPS_T12_LCI_online/[PVPS-Task12_2026_EcoSpold_LCI-PV-supplyChains-CC-BY-NC-SA-4.0.xlsx]X-Process</v>
      </c>
      <c r="IW48" s="160" t="str">
        <f t="shared" ca="1" si="26"/>
        <v>https://zhaw-my.sharepoint.com/personal/stck_zhaw_ch/Documents/IEA PVPS Task 12/IEA_PVPS_T12_LCI_online/[PVPS-Task12_2026_EcoSpold_LCI-PV-supplyChains-CC-BY-NC-SA-4.0.xlsx]X-Process</v>
      </c>
      <c r="IX48" s="160" t="str">
        <f t="shared" ca="1" si="26"/>
        <v>https://zhaw-my.sharepoint.com/personal/stck_zhaw_ch/Documents/IEA PVPS Task 12/IEA_PVPS_T12_LCI_online/[PVPS-Task12_2026_EcoSpold_LCI-PV-supplyChains-CC-BY-NC-SA-4.0.xlsx]X-Process</v>
      </c>
      <c r="IY48" s="160" t="str">
        <f t="shared" ca="1" si="26"/>
        <v>https://zhaw-my.sharepoint.com/personal/stck_zhaw_ch/Documents/IEA PVPS Task 12/IEA_PVPS_T12_LCI_online/[PVPS-Task12_2026_EcoSpold_LCI-PV-supplyChains-CC-BY-NC-SA-4.0.xlsx]X-Process</v>
      </c>
      <c r="IZ48" s="160" t="str">
        <f t="shared" ca="1" si="26"/>
        <v>https://zhaw-my.sharepoint.com/personal/stck_zhaw_ch/Documents/IEA PVPS Task 12/IEA_PVPS_T12_LCI_online/[PVPS-Task12_2026_EcoSpold_LCI-PV-supplyChains-CC-BY-NC-SA-4.0.xlsx]X-Process</v>
      </c>
      <c r="JA48" s="160" t="str">
        <f t="shared" ca="1" si="26"/>
        <v>https://zhaw-my.sharepoint.com/personal/stck_zhaw_ch/Documents/IEA PVPS Task 12/IEA_PVPS_T12_LCI_online/[PVPS-Task12_2026_EcoSpold_LCI-PV-supplyChains-CC-BY-NC-SA-4.0.xlsx]X-Process</v>
      </c>
      <c r="JB48" s="160" t="str">
        <f t="shared" ca="1" si="26"/>
        <v>https://zhaw-my.sharepoint.com/personal/stck_zhaw_ch/Documents/IEA PVPS Task 12/IEA_PVPS_T12_LCI_online/[PVPS-Task12_2026_EcoSpold_LCI-PV-supplyChains-CC-BY-NC-SA-4.0.xlsx]X-Process</v>
      </c>
      <c r="JC48" s="160" t="str">
        <f ca="1">CELL("filename",JC53)</f>
        <v>https://zhaw-my.sharepoint.com/personal/stck_zhaw_ch/Documents/IEA PVPS Task 12/IEA_PVPS_T12_LCI_online/[PVPS-Task12_2026_EcoSpold_LCI-PV-supplyChains-CC-BY-NC-SA-4.0.xlsx]X-Process</v>
      </c>
      <c r="JD48" s="544"/>
      <c r="JE48" s="160" t="str">
        <f t="shared" ref="JE48:KE48" ca="1" si="27">CELL("filename",JE54)</f>
        <v>https://zhaw-my.sharepoint.com/personal/stck_zhaw_ch/Documents/IEA PVPS Task 12/IEA_PVPS_T12_LCI_online/[PVPS-Task12_2026_EcoSpold_LCI-PV-supplyChains-CC-BY-NC-SA-4.0.xlsx]X-Process</v>
      </c>
      <c r="JF48" s="160" t="str">
        <f t="shared" ca="1" si="27"/>
        <v>https://zhaw-my.sharepoint.com/personal/stck_zhaw_ch/Documents/IEA PVPS Task 12/IEA_PVPS_T12_LCI_online/[PVPS-Task12_2026_EcoSpold_LCI-PV-supplyChains-CC-BY-NC-SA-4.0.xlsx]X-Process</v>
      </c>
      <c r="JG48" s="160" t="str">
        <f t="shared" ca="1" si="27"/>
        <v>https://zhaw-my.sharepoint.com/personal/stck_zhaw_ch/Documents/IEA PVPS Task 12/IEA_PVPS_T12_LCI_online/[PVPS-Task12_2026_EcoSpold_LCI-PV-supplyChains-CC-BY-NC-SA-4.0.xlsx]X-Process</v>
      </c>
      <c r="JH48" s="160" t="str">
        <f t="shared" ca="1" si="27"/>
        <v>https://zhaw-my.sharepoint.com/personal/stck_zhaw_ch/Documents/IEA PVPS Task 12/IEA_PVPS_T12_LCI_online/[PVPS-Task12_2026_EcoSpold_LCI-PV-supplyChains-CC-BY-NC-SA-4.0.xlsx]X-Process</v>
      </c>
      <c r="JI48" s="160" t="str">
        <f t="shared" ca="1" si="27"/>
        <v>https://zhaw-my.sharepoint.com/personal/stck_zhaw_ch/Documents/IEA PVPS Task 12/IEA_PVPS_T12_LCI_online/[PVPS-Task12_2026_EcoSpold_LCI-PV-supplyChains-CC-BY-NC-SA-4.0.xlsx]X-Process</v>
      </c>
      <c r="JJ48" s="160" t="str">
        <f t="shared" ca="1" si="27"/>
        <v>https://zhaw-my.sharepoint.com/personal/stck_zhaw_ch/Documents/IEA PVPS Task 12/IEA_PVPS_T12_LCI_online/[PVPS-Task12_2026_EcoSpold_LCI-PV-supplyChains-CC-BY-NC-SA-4.0.xlsx]X-Process</v>
      </c>
      <c r="JK48" s="160" t="str">
        <f t="shared" ca="1" si="27"/>
        <v>https://zhaw-my.sharepoint.com/personal/stck_zhaw_ch/Documents/IEA PVPS Task 12/IEA_PVPS_T12_LCI_online/[PVPS-Task12_2026_EcoSpold_LCI-PV-supplyChains-CC-BY-NC-SA-4.0.xlsx]X-Process</v>
      </c>
      <c r="JL48" s="160" t="str">
        <f t="shared" ca="1" si="27"/>
        <v>https://zhaw-my.sharepoint.com/personal/stck_zhaw_ch/Documents/IEA PVPS Task 12/IEA_PVPS_T12_LCI_online/[PVPS-Task12_2026_EcoSpold_LCI-PV-supplyChains-CC-BY-NC-SA-4.0.xlsx]X-Process</v>
      </c>
      <c r="JM48" s="160" t="str">
        <f t="shared" ca="1" si="27"/>
        <v>https://zhaw-my.sharepoint.com/personal/stck_zhaw_ch/Documents/IEA PVPS Task 12/IEA_PVPS_T12_LCI_online/[PVPS-Task12_2026_EcoSpold_LCI-PV-supplyChains-CC-BY-NC-SA-4.0.xlsx]X-Process</v>
      </c>
      <c r="JN48" s="160" t="str">
        <f t="shared" ca="1" si="27"/>
        <v>https://zhaw-my.sharepoint.com/personal/stck_zhaw_ch/Documents/IEA PVPS Task 12/IEA_PVPS_T12_LCI_online/[PVPS-Task12_2026_EcoSpold_LCI-PV-supplyChains-CC-BY-NC-SA-4.0.xlsx]X-Process</v>
      </c>
      <c r="JO48" s="160" t="str">
        <f t="shared" ca="1" si="27"/>
        <v>https://zhaw-my.sharepoint.com/personal/stck_zhaw_ch/Documents/IEA PVPS Task 12/IEA_PVPS_T12_LCI_online/[PVPS-Task12_2026_EcoSpold_LCI-PV-supplyChains-CC-BY-NC-SA-4.0.xlsx]X-Process</v>
      </c>
      <c r="JP48" s="160" t="str">
        <f t="shared" ca="1" si="27"/>
        <v>https://zhaw-my.sharepoint.com/personal/stck_zhaw_ch/Documents/IEA PVPS Task 12/IEA_PVPS_T12_LCI_online/[PVPS-Task12_2026_EcoSpold_LCI-PV-supplyChains-CC-BY-NC-SA-4.0.xlsx]X-Process</v>
      </c>
      <c r="JQ48" s="160" t="str">
        <f t="shared" ca="1" si="27"/>
        <v>https://zhaw-my.sharepoint.com/personal/stck_zhaw_ch/Documents/IEA PVPS Task 12/IEA_PVPS_T12_LCI_online/[PVPS-Task12_2026_EcoSpold_LCI-PV-supplyChains-CC-BY-NC-SA-4.0.xlsx]X-Process</v>
      </c>
      <c r="JR48" s="160" t="str">
        <f t="shared" ca="1" si="27"/>
        <v>https://zhaw-my.sharepoint.com/personal/stck_zhaw_ch/Documents/IEA PVPS Task 12/IEA_PVPS_T12_LCI_online/[PVPS-Task12_2026_EcoSpold_LCI-PV-supplyChains-CC-BY-NC-SA-4.0.xlsx]X-Process</v>
      </c>
      <c r="JS48" s="160" t="str">
        <f t="shared" ca="1" si="27"/>
        <v>https://zhaw-my.sharepoint.com/personal/stck_zhaw_ch/Documents/IEA PVPS Task 12/IEA_PVPS_T12_LCI_online/[PVPS-Task12_2026_EcoSpold_LCI-PV-supplyChains-CC-BY-NC-SA-4.0.xlsx]X-Process</v>
      </c>
      <c r="JT48" s="160" t="str">
        <f t="shared" ca="1" si="27"/>
        <v>https://zhaw-my.sharepoint.com/personal/stck_zhaw_ch/Documents/IEA PVPS Task 12/IEA_PVPS_T12_LCI_online/[PVPS-Task12_2026_EcoSpold_LCI-PV-supplyChains-CC-BY-NC-SA-4.0.xlsx]X-Process</v>
      </c>
      <c r="JU48" s="160" t="str">
        <f t="shared" ca="1" si="27"/>
        <v>https://zhaw-my.sharepoint.com/personal/stck_zhaw_ch/Documents/IEA PVPS Task 12/IEA_PVPS_T12_LCI_online/[PVPS-Task12_2026_EcoSpold_LCI-PV-supplyChains-CC-BY-NC-SA-4.0.xlsx]X-Process</v>
      </c>
      <c r="JV48" s="160" t="str">
        <f t="shared" ca="1" si="27"/>
        <v>https://zhaw-my.sharepoint.com/personal/stck_zhaw_ch/Documents/IEA PVPS Task 12/IEA_PVPS_T12_LCI_online/[PVPS-Task12_2026_EcoSpold_LCI-PV-supplyChains-CC-BY-NC-SA-4.0.xlsx]X-Process</v>
      </c>
      <c r="JW48" s="160" t="str">
        <f t="shared" ca="1" si="27"/>
        <v>https://zhaw-my.sharepoint.com/personal/stck_zhaw_ch/Documents/IEA PVPS Task 12/IEA_PVPS_T12_LCI_online/[PVPS-Task12_2026_EcoSpold_LCI-PV-supplyChains-CC-BY-NC-SA-4.0.xlsx]X-Process</v>
      </c>
      <c r="JX48" s="160" t="str">
        <f t="shared" ca="1" si="27"/>
        <v>https://zhaw-my.sharepoint.com/personal/stck_zhaw_ch/Documents/IEA PVPS Task 12/IEA_PVPS_T12_LCI_online/[PVPS-Task12_2026_EcoSpold_LCI-PV-supplyChains-CC-BY-NC-SA-4.0.xlsx]X-Process</v>
      </c>
      <c r="JY48" s="160" t="str">
        <f t="shared" ca="1" si="27"/>
        <v>https://zhaw-my.sharepoint.com/personal/stck_zhaw_ch/Documents/IEA PVPS Task 12/IEA_PVPS_T12_LCI_online/[PVPS-Task12_2026_EcoSpold_LCI-PV-supplyChains-CC-BY-NC-SA-4.0.xlsx]X-Process</v>
      </c>
      <c r="JZ48" s="160" t="str">
        <f t="shared" ca="1" si="27"/>
        <v>https://zhaw-my.sharepoint.com/personal/stck_zhaw_ch/Documents/IEA PVPS Task 12/IEA_PVPS_T12_LCI_online/[PVPS-Task12_2026_EcoSpold_LCI-PV-supplyChains-CC-BY-NC-SA-4.0.xlsx]X-Process</v>
      </c>
      <c r="KA48" s="160" t="str">
        <f t="shared" ca="1" si="27"/>
        <v>https://zhaw-my.sharepoint.com/personal/stck_zhaw_ch/Documents/IEA PVPS Task 12/IEA_PVPS_T12_LCI_online/[PVPS-Task12_2026_EcoSpold_LCI-PV-supplyChains-CC-BY-NC-SA-4.0.xlsx]X-Process</v>
      </c>
      <c r="KB48" s="160" t="str">
        <f t="shared" ca="1" si="27"/>
        <v>https://zhaw-my.sharepoint.com/personal/stck_zhaw_ch/Documents/IEA PVPS Task 12/IEA_PVPS_T12_LCI_online/[PVPS-Task12_2026_EcoSpold_LCI-PV-supplyChains-CC-BY-NC-SA-4.0.xlsx]X-Process</v>
      </c>
      <c r="KC48" s="160" t="str">
        <f t="shared" ca="1" si="27"/>
        <v>https://zhaw-my.sharepoint.com/personal/stck_zhaw_ch/Documents/IEA PVPS Task 12/IEA_PVPS_T12_LCI_online/[PVPS-Task12_2026_EcoSpold_LCI-PV-supplyChains-CC-BY-NC-SA-4.0.xlsx]X-Process</v>
      </c>
      <c r="KD48" s="160" t="str">
        <f t="shared" ca="1" si="27"/>
        <v>https://zhaw-my.sharepoint.com/personal/stck_zhaw_ch/Documents/IEA PVPS Task 12/IEA_PVPS_T12_LCI_online/[PVPS-Task12_2026_EcoSpold_LCI-PV-supplyChains-CC-BY-NC-SA-4.0.xlsx]X-Process</v>
      </c>
      <c r="KE48" s="160" t="str">
        <f t="shared" ca="1" si="27"/>
        <v>https://zhaw-my.sharepoint.com/personal/stck_zhaw_ch/Documents/IEA PVPS Task 12/IEA_PVPS_T12_LCI_online/[PVPS-Task12_2026_EcoSpold_LCI-PV-supplyChains-CC-BY-NC-SA-4.0.xlsx]X-Process</v>
      </c>
    </row>
    <row r="49" spans="3:291">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row>
    <row r="50" spans="3:291">
      <c r="FK50" s="378" t="str">
        <f t="shared" ref="FK50:FR50" si="28">IF(LEN(FK34)&gt;79,79-LEN(FK34),"OK")</f>
        <v>OK</v>
      </c>
      <c r="FL50" s="378" t="str">
        <f t="shared" si="28"/>
        <v>OK</v>
      </c>
      <c r="FM50" s="378" t="str">
        <f t="shared" si="28"/>
        <v>OK</v>
      </c>
      <c r="FN50" s="378" t="str">
        <f t="shared" si="28"/>
        <v>OK</v>
      </c>
      <c r="FO50" s="378" t="str">
        <f t="shared" si="28"/>
        <v>OK</v>
      </c>
      <c r="FP50" s="378" t="str">
        <f t="shared" si="28"/>
        <v>OK</v>
      </c>
      <c r="FQ50" s="378" t="str">
        <f t="shared" si="28"/>
        <v>OK</v>
      </c>
      <c r="FR50" s="378" t="str">
        <f t="shared" si="28"/>
        <v>OK</v>
      </c>
      <c r="GO50" s="531"/>
      <c r="GP50" s="531"/>
      <c r="GQ50" s="531"/>
      <c r="GR50" s="531"/>
      <c r="GS50" s="531"/>
      <c r="GT50" s="531"/>
      <c r="GU50" s="531"/>
      <c r="GV50" s="531"/>
      <c r="GW50" s="531"/>
      <c r="GX50" s="531"/>
      <c r="JE50" s="378"/>
      <c r="JF50" s="378"/>
      <c r="JG50" s="378"/>
      <c r="JH50" s="378"/>
      <c r="JI50" s="378"/>
      <c r="JJ50" s="378"/>
      <c r="JK50" s="378"/>
      <c r="JL50" s="378"/>
      <c r="JM50" s="378"/>
      <c r="JN50" s="378"/>
      <c r="JO50" s="378"/>
      <c r="JP50" s="378"/>
      <c r="JQ50" s="378"/>
      <c r="JR50" s="378"/>
      <c r="JS50" s="378"/>
      <c r="JT50" s="378"/>
      <c r="JU50" s="378"/>
      <c r="JV50" s="378"/>
      <c r="JW50" s="378"/>
      <c r="JX50" s="378"/>
      <c r="JY50" s="378"/>
      <c r="JZ50" s="378"/>
      <c r="KA50" s="378"/>
      <c r="KB50" s="378"/>
      <c r="KC50" s="378"/>
      <c r="KD50" s="378"/>
      <c r="KE50" s="378"/>
    </row>
    <row r="51" spans="3:291">
      <c r="C51" s="378" t="s">
        <v>2996</v>
      </c>
      <c r="HB51" s="378">
        <v>1300</v>
      </c>
      <c r="HC51" s="201">
        <v>1000</v>
      </c>
      <c r="HD51" s="378">
        <v>1300</v>
      </c>
      <c r="HE51" s="378">
        <v>1300</v>
      </c>
      <c r="HF51" s="378">
        <v>1300</v>
      </c>
      <c r="HG51" s="201">
        <v>1000</v>
      </c>
      <c r="HH51" s="201">
        <v>1000</v>
      </c>
      <c r="HI51" s="201">
        <v>1000</v>
      </c>
      <c r="HJ51" s="378">
        <v>1252</v>
      </c>
      <c r="HK51" s="378">
        <v>1300</v>
      </c>
      <c r="HL51" s="201">
        <v>1000</v>
      </c>
      <c r="HM51" s="378">
        <v>1300</v>
      </c>
      <c r="HN51" s="201">
        <v>1000</v>
      </c>
      <c r="HO51" s="378">
        <v>924</v>
      </c>
      <c r="HP51" s="378">
        <v>1044</v>
      </c>
      <c r="HQ51" s="378">
        <v>1240</v>
      </c>
      <c r="HR51" s="378">
        <v>857</v>
      </c>
      <c r="HS51" s="378">
        <v>1460</v>
      </c>
      <c r="HT51" s="378">
        <v>1107</v>
      </c>
      <c r="HU51" s="378">
        <v>944</v>
      </c>
      <c r="HV51" s="378">
        <v>922</v>
      </c>
      <c r="HW51" s="378">
        <v>957</v>
      </c>
      <c r="HX51" s="378">
        <v>1433</v>
      </c>
      <c r="HY51" s="378">
        <v>850</v>
      </c>
      <c r="HZ51" s="378">
        <v>1076</v>
      </c>
      <c r="IA51" s="378">
        <v>884</v>
      </c>
      <c r="IB51" s="378">
        <v>1323</v>
      </c>
      <c r="IC51" s="378">
        <v>1090</v>
      </c>
      <c r="ID51" s="378">
        <v>796</v>
      </c>
      <c r="IE51" s="378">
        <v>1051</v>
      </c>
      <c r="IF51" s="378">
        <v>1078</v>
      </c>
      <c r="IG51" s="378">
        <v>857</v>
      </c>
      <c r="IH51" s="378">
        <v>848</v>
      </c>
      <c r="II51" s="378">
        <v>764</v>
      </c>
      <c r="IJ51" s="378">
        <v>1444</v>
      </c>
      <c r="IK51" s="378">
        <v>1369</v>
      </c>
      <c r="IL51" s="378">
        <v>850</v>
      </c>
      <c r="IM51" s="378">
        <v>1200</v>
      </c>
      <c r="IN51" s="378">
        <v>1453</v>
      </c>
      <c r="IO51" s="378">
        <v>1612</v>
      </c>
      <c r="IP51" s="378">
        <v>1603</v>
      </c>
      <c r="IQ51" s="378">
        <v>907</v>
      </c>
      <c r="IR51" s="378">
        <v>1627</v>
      </c>
      <c r="IS51" s="378">
        <v>1266</v>
      </c>
      <c r="IT51" s="378">
        <v>1706</v>
      </c>
      <c r="IU51" s="378">
        <v>1464</v>
      </c>
      <c r="JE51" s="378"/>
      <c r="JF51" s="378"/>
      <c r="JG51" s="378"/>
      <c r="JH51" s="378"/>
      <c r="JI51" s="378"/>
      <c r="JJ51" s="378"/>
      <c r="JK51" s="378"/>
      <c r="JL51" s="378"/>
      <c r="JM51" s="378"/>
      <c r="JN51" s="378"/>
      <c r="JO51" s="378"/>
      <c r="JP51" s="378"/>
      <c r="JQ51" s="378"/>
      <c r="JR51" s="378"/>
      <c r="JS51" s="378"/>
      <c r="JT51" s="378"/>
      <c r="JU51" s="378"/>
      <c r="JV51" s="378"/>
      <c r="JW51" s="378"/>
      <c r="JX51" s="378"/>
      <c r="JY51" s="378"/>
      <c r="JZ51" s="378"/>
      <c r="KA51" s="378"/>
      <c r="KB51" s="378"/>
      <c r="KC51" s="378"/>
      <c r="KD51" s="378"/>
      <c r="KE51" s="378"/>
    </row>
    <row r="52" spans="3:291">
      <c r="C52" s="378" t="s">
        <v>2997</v>
      </c>
      <c r="HB52" s="378" t="s">
        <v>55</v>
      </c>
      <c r="HC52" s="378" t="s">
        <v>55</v>
      </c>
      <c r="HD52" s="378" t="s">
        <v>55</v>
      </c>
      <c r="HE52" s="378" t="s">
        <v>55</v>
      </c>
      <c r="HF52" s="378" t="s">
        <v>55</v>
      </c>
      <c r="HG52" s="378" t="s">
        <v>55</v>
      </c>
      <c r="HH52" s="378" t="s">
        <v>55</v>
      </c>
      <c r="HI52" s="378" t="s">
        <v>55</v>
      </c>
      <c r="HJ52" s="378">
        <v>876</v>
      </c>
      <c r="HK52" s="378" t="s">
        <v>55</v>
      </c>
      <c r="HL52" s="378" t="s">
        <v>55</v>
      </c>
      <c r="HM52" s="378" t="s">
        <v>55</v>
      </c>
      <c r="HN52" s="378" t="s">
        <v>55</v>
      </c>
      <c r="HO52" s="378">
        <v>647</v>
      </c>
      <c r="HP52" s="378">
        <v>731</v>
      </c>
      <c r="HQ52" s="378">
        <v>868</v>
      </c>
      <c r="HR52" s="378">
        <v>600</v>
      </c>
      <c r="HS52" s="378">
        <v>1022</v>
      </c>
      <c r="HT52" s="378">
        <v>775</v>
      </c>
      <c r="HU52" s="378">
        <v>661</v>
      </c>
      <c r="HV52" s="378">
        <v>645</v>
      </c>
      <c r="HW52" s="378">
        <v>670</v>
      </c>
      <c r="HX52" s="378">
        <v>1003</v>
      </c>
      <c r="HY52" s="378">
        <v>595</v>
      </c>
      <c r="HZ52" s="378">
        <v>753</v>
      </c>
      <c r="IA52" s="378">
        <v>619</v>
      </c>
      <c r="IB52" s="378">
        <v>926</v>
      </c>
      <c r="IC52" s="378">
        <v>763</v>
      </c>
      <c r="ID52" s="378">
        <v>557</v>
      </c>
      <c r="IE52" s="378">
        <v>735</v>
      </c>
      <c r="IF52" s="378">
        <v>754</v>
      </c>
      <c r="IG52" s="378">
        <v>600</v>
      </c>
      <c r="IH52" s="378">
        <v>593</v>
      </c>
      <c r="II52" s="378">
        <v>535</v>
      </c>
      <c r="IJ52" s="378">
        <v>1011</v>
      </c>
      <c r="IK52" s="378">
        <v>958</v>
      </c>
      <c r="IL52" s="378">
        <v>595</v>
      </c>
      <c r="IM52" s="378">
        <v>840</v>
      </c>
      <c r="IN52" s="378">
        <v>1017</v>
      </c>
      <c r="IO52" s="378">
        <v>1128</v>
      </c>
      <c r="IP52" s="378">
        <v>1122</v>
      </c>
      <c r="IQ52" s="378">
        <v>635</v>
      </c>
      <c r="IR52" s="378">
        <v>1139</v>
      </c>
      <c r="IS52" s="378">
        <v>886</v>
      </c>
      <c r="IT52" s="378">
        <v>1194</v>
      </c>
      <c r="IU52" s="378">
        <v>1025</v>
      </c>
      <c r="JE52" s="378"/>
      <c r="JF52" s="378"/>
      <c r="JG52" s="378"/>
      <c r="JH52" s="378"/>
      <c r="JI52" s="378"/>
      <c r="JJ52" s="378"/>
      <c r="JK52" s="378"/>
      <c r="JL52" s="378"/>
      <c r="JM52" s="378"/>
      <c r="JN52" s="378"/>
      <c r="JO52" s="378"/>
      <c r="JP52" s="378"/>
      <c r="JQ52" s="378"/>
      <c r="JR52" s="378"/>
      <c r="JS52" s="378"/>
      <c r="JT52" s="378"/>
      <c r="JU52" s="378"/>
      <c r="JV52" s="378"/>
      <c r="JW52" s="378"/>
      <c r="JX52" s="378"/>
      <c r="JY52" s="378"/>
      <c r="JZ52" s="378"/>
      <c r="KA52" s="378"/>
      <c r="KB52" s="378"/>
      <c r="KC52" s="378"/>
      <c r="KD52" s="378"/>
      <c r="KE52" s="378"/>
    </row>
    <row r="53" spans="3:291">
      <c r="C53" s="378" t="s">
        <v>2998</v>
      </c>
      <c r="HB53" s="201">
        <v>1300</v>
      </c>
      <c r="HC53" s="201">
        <v>1000</v>
      </c>
      <c r="HD53" s="201">
        <v>1300</v>
      </c>
      <c r="HE53" s="201">
        <v>1300</v>
      </c>
      <c r="HF53" s="201">
        <v>1300</v>
      </c>
      <c r="HG53" s="201">
        <v>1000</v>
      </c>
      <c r="HH53" s="201">
        <v>1000</v>
      </c>
      <c r="HI53" s="201">
        <v>1000</v>
      </c>
      <c r="HJ53" s="378">
        <v>1335</v>
      </c>
      <c r="HK53" s="201">
        <v>1300</v>
      </c>
      <c r="HL53" s="201">
        <v>1000</v>
      </c>
      <c r="HM53" s="201">
        <v>1300</v>
      </c>
      <c r="HN53" s="201">
        <v>1000</v>
      </c>
      <c r="HO53" s="378">
        <v>980</v>
      </c>
      <c r="HP53" s="378">
        <v>1111</v>
      </c>
      <c r="HQ53" s="378">
        <v>1315</v>
      </c>
      <c r="HR53" s="378">
        <v>908</v>
      </c>
      <c r="HS53" s="378">
        <v>1548</v>
      </c>
      <c r="HT53" s="378">
        <v>1173</v>
      </c>
      <c r="HU53" s="378">
        <v>1001</v>
      </c>
      <c r="HV53" s="378">
        <v>978</v>
      </c>
      <c r="HW53" s="378">
        <v>1014</v>
      </c>
      <c r="HX53" s="378">
        <v>1519</v>
      </c>
      <c r="HY53" s="378">
        <v>902</v>
      </c>
      <c r="HZ53" s="378">
        <v>1140</v>
      </c>
      <c r="IA53" s="378">
        <v>937</v>
      </c>
      <c r="IB53" s="378">
        <v>1402</v>
      </c>
      <c r="IC53" s="378">
        <v>1156</v>
      </c>
      <c r="ID53" s="378">
        <v>844</v>
      </c>
      <c r="IE53" s="378">
        <v>1114</v>
      </c>
      <c r="IF53" s="378">
        <v>1143</v>
      </c>
      <c r="IG53" s="378">
        <v>908</v>
      </c>
      <c r="IH53" s="378">
        <v>899</v>
      </c>
      <c r="II53" s="378">
        <v>810</v>
      </c>
      <c r="IJ53" s="378">
        <v>1461</v>
      </c>
      <c r="IK53" s="378">
        <v>1451</v>
      </c>
      <c r="IL53" s="378">
        <v>902</v>
      </c>
      <c r="IM53" s="378">
        <v>1272</v>
      </c>
      <c r="IN53" s="378">
        <v>1541</v>
      </c>
      <c r="IO53" s="378">
        <v>1709</v>
      </c>
      <c r="IP53" s="378">
        <v>1699</v>
      </c>
      <c r="IQ53" s="378">
        <v>961</v>
      </c>
      <c r="IR53" s="378">
        <v>1725</v>
      </c>
      <c r="IS53" s="378">
        <v>1342</v>
      </c>
      <c r="IT53" s="378">
        <v>1808</v>
      </c>
      <c r="IU53" s="378">
        <v>1552</v>
      </c>
      <c r="JE53" s="378"/>
      <c r="JF53" s="378"/>
      <c r="JG53" s="378"/>
      <c r="JH53" s="378"/>
      <c r="JI53" s="378"/>
      <c r="JJ53" s="378"/>
      <c r="JK53" s="378"/>
      <c r="JL53" s="378"/>
      <c r="JM53" s="378"/>
      <c r="JN53" s="378"/>
      <c r="JO53" s="378"/>
      <c r="JP53" s="378"/>
      <c r="JQ53" s="378"/>
      <c r="JR53" s="378"/>
      <c r="JS53" s="378"/>
      <c r="JT53" s="378"/>
      <c r="JU53" s="378"/>
      <c r="JV53" s="378"/>
      <c r="JW53" s="378"/>
      <c r="JX53" s="378"/>
      <c r="JY53" s="378"/>
      <c r="JZ53" s="378"/>
      <c r="KA53" s="378"/>
      <c r="KB53" s="378"/>
      <c r="KC53" s="378"/>
      <c r="KD53" s="378"/>
      <c r="KE53" s="378"/>
    </row>
  </sheetData>
  <phoneticPr fontId="31" type="noConversion"/>
  <conditionalFormatting sqref="C6:C48">
    <cfRule type="expression" dxfId="35" priority="1905">
      <formula>MOD(ROW(),2)=0</formula>
    </cfRule>
    <cfRule type="expression" dxfId="34" priority="1904">
      <formula>MOD(ROW(),2)-1=0</formula>
    </cfRule>
  </conditionalFormatting>
  <conditionalFormatting sqref="Z18:BE18">
    <cfRule type="expression" dxfId="33" priority="1854">
      <formula>MOD(ROW(),2)=0</formula>
    </cfRule>
  </conditionalFormatting>
  <conditionalFormatting sqref="AH27:AS28 AK39:AS40">
    <cfRule type="expression" dxfId="32" priority="1898">
      <formula>MOD(ROW(),2)=0</formula>
    </cfRule>
  </conditionalFormatting>
  <conditionalFormatting sqref="AH19:AT26 AH31:AS31 AH32:AK35">
    <cfRule type="expression" dxfId="31" priority="1899">
      <formula>MOD(ROW(),2)=0</formula>
    </cfRule>
  </conditionalFormatting>
  <conditionalFormatting sqref="AH36:AU48">
    <cfRule type="expression" dxfId="30" priority="1863">
      <formula>MOD(ROW(),2)=0</formula>
    </cfRule>
  </conditionalFormatting>
  <conditionalFormatting sqref="AL32:AS34 AL35:AU35">
    <cfRule type="expression" dxfId="29" priority="1897">
      <formula>MOD(ROW(),2)=0</formula>
    </cfRule>
  </conditionalFormatting>
  <conditionalFormatting sqref="AT19:AU29 AT31:AU34">
    <cfRule type="expression" dxfId="28" priority="1901">
      <formula>MOD(ROW(),2)=0</formula>
    </cfRule>
  </conditionalFormatting>
  <conditionalFormatting sqref="BF15:BG48">
    <cfRule type="expression" dxfId="27" priority="1852">
      <formula>MOD(ROW(),2)=0</formula>
    </cfRule>
  </conditionalFormatting>
  <conditionalFormatting sqref="BH6:CI14 D6:BG17 DM6:EA27 BH15:CM17 BH18:BW29 D18:Y37 CJ19:CM26 DD19:DL27 Z19:AG28 AV19:BE28 DD28:EF29 Z29:AT29 AV29:BG29 CJ29:CM34 BH30:BU32 Z31:AG36 AV31:BE48 BV32:BY32 BY32:CI34 BH33:BX33 BX34:BY34 BH34:BW36 BX35:CA35 CF35:DC35 BX36:BY36 BY36:CI37 CJ36:DL48 BH37:BY37 Y37:AG48 D38:X48 BH38:CI48">
    <cfRule type="expression" dxfId="26" priority="1862">
      <formula>MOD(ROW(),2)=0</formula>
    </cfRule>
  </conditionalFormatting>
  <conditionalFormatting sqref="BV30:CE31">
    <cfRule type="expression" dxfId="25" priority="1">
      <formula>MOD(ROW(),2)=0</formula>
    </cfRule>
  </conditionalFormatting>
  <conditionalFormatting sqref="BX18:CA18">
    <cfRule type="expression" dxfId="24" priority="2">
      <formula>MOD(ROW(),2)=0</formula>
    </cfRule>
  </conditionalFormatting>
  <conditionalFormatting sqref="BX19:DC29">
    <cfRule type="expression" dxfId="23" priority="1844">
      <formula>MOD(ROW(),2)=0</formula>
    </cfRule>
  </conditionalFormatting>
  <conditionalFormatting sqref="CB6:CE18">
    <cfRule type="expression" dxfId="22" priority="1841">
      <formula>MOD(ROW(),2)=0</formula>
    </cfRule>
  </conditionalFormatting>
  <conditionalFormatting sqref="CB35:CE48">
    <cfRule type="expression" dxfId="21" priority="1838">
      <formula>MOD(ROW(),2)=0</formula>
    </cfRule>
  </conditionalFormatting>
  <conditionalFormatting sqref="CF18:CI26">
    <cfRule type="expression" dxfId="20" priority="3">
      <formula>MOD(ROW(),2)=0</formula>
    </cfRule>
  </conditionalFormatting>
  <conditionalFormatting sqref="CF29:CI31">
    <cfRule type="expression" dxfId="19" priority="4">
      <formula>MOD(ROW(),2)=0</formula>
    </cfRule>
  </conditionalFormatting>
  <conditionalFormatting sqref="CJ6:DL18">
    <cfRule type="expression" dxfId="18" priority="1820">
      <formula>MOD(ROW(),2)=0</formula>
    </cfRule>
  </conditionalFormatting>
  <conditionalFormatting sqref="CN30:DL34">
    <cfRule type="expression" dxfId="17" priority="1819">
      <formula>MOD(ROW(),2)=0</formula>
    </cfRule>
  </conditionalFormatting>
  <conditionalFormatting sqref="DD34:DL35">
    <cfRule type="expression" dxfId="16" priority="1821">
      <formula>MOD(ROW(),2)=0</formula>
    </cfRule>
  </conditionalFormatting>
  <conditionalFormatting sqref="DK39:DL40">
    <cfRule type="expression" dxfId="15" priority="1867">
      <formula>MOD(ROW(),2)=0</formula>
    </cfRule>
  </conditionalFormatting>
  <conditionalFormatting sqref="EB18:EF27">
    <cfRule type="expression" dxfId="14" priority="1907">
      <formula>MOD(ROW(),2)=0</formula>
    </cfRule>
  </conditionalFormatting>
  <conditionalFormatting sqref="EB6:EM17">
    <cfRule type="expression" dxfId="13" priority="1900">
      <formula>MOD(ROW(),2)=0</formula>
    </cfRule>
  </conditionalFormatting>
  <conditionalFormatting sqref="EN6:GM11 GN6:HA17 HB6:JC48 JE6:KE48 EN12:GB37 GF18:HA18 EG18:EM29 GC19:HA29 Z30:BE30 GF30:HA30 DM30:EM48 GN31:HA48 EN38:GM48">
    <cfRule type="expression" dxfId="12" priority="1853">
      <formula>MOD(ROW(),2)=0</formula>
    </cfRule>
  </conditionalFormatting>
  <conditionalFormatting sqref="FK50:FX50">
    <cfRule type="cellIs" dxfId="11" priority="1873" stopIfTrue="1" operator="notEqual">
      <formula>"OK"</formula>
    </cfRule>
  </conditionalFormatting>
  <conditionalFormatting sqref="FY1:HJ1">
    <cfRule type="cellIs" dxfId="10" priority="1874" stopIfTrue="1" operator="equal">
      <formula>#REF!</formula>
    </cfRule>
  </conditionalFormatting>
  <conditionalFormatting sqref="GC12:GM17 GC31:GM37">
    <cfRule type="expression" dxfId="9" priority="1864">
      <formula>MOD(ROW(),2)=0</formula>
    </cfRule>
  </conditionalFormatting>
  <conditionalFormatting sqref="HL1">
    <cfRule type="cellIs" dxfId="8" priority="1818" stopIfTrue="1" operator="equal">
      <formula>#REF!</formula>
    </cfRule>
  </conditionalFormatting>
  <conditionalFormatting sqref="HN1:JC1">
    <cfRule type="cellIs" dxfId="7" priority="1817" stopIfTrue="1" operator="equal">
      <formula>#REF!</formula>
    </cfRule>
  </conditionalFormatting>
  <conditionalFormatting sqref="HO34:HO36">
    <cfRule type="expression" dxfId="6" priority="1881">
      <formula>MOD(ROW(),2)=0</formula>
    </cfRule>
  </conditionalFormatting>
  <conditionalFormatting sqref="JB39:JB40">
    <cfRule type="expression" dxfId="5" priority="1894">
      <formula>MOD(ROW(),2)=0</formula>
    </cfRule>
  </conditionalFormatting>
  <conditionalFormatting sqref="JC12:JC37">
    <cfRule type="expression" dxfId="4" priority="1879">
      <formula>MOD(ROW(),2)=0</formula>
    </cfRule>
  </conditionalFormatting>
  <conditionalFormatting sqref="JC39:JC45 JC47:JC48">
    <cfRule type="expression" dxfId="3" priority="1880">
      <formula>MOD(ROW(),2)=0</formula>
    </cfRule>
  </conditionalFormatting>
  <dataValidations xWindow="1303" yWindow="360" count="37">
    <dataValidation allowBlank="1" showInputMessage="1" showErrorMessage="1" promptTitle="Validator" prompt="Indicates the person who carried out the review. ID number must correspond to an ID number of a person listed in the respective dataset (X-Person)._x000a__x000a_DEFAULT value is empty_x000a__x000a_If no review is conducted, this value has to be identical to DataGenerator." sqref="IZ983081:JA983081 IV65577:IX65577 IV131113:IX131113 IV196649:IX196649 IV262185:IX262185 IV327721:IX327721 IV393257:IX393257 IV458793:IX458793 IV524329:IX524329 IV589865:IX589865 IV655401:IX655401 IV720937:IX720937 IV786473:IX786473 IV852009:IX852009 IV917545:IX917545 IV983081:IX983081 IZ65577:JA65577 IZ131113:JA131113 IZ196649:JA196649 IZ262185:JA262185 IZ327721:JA327721 IZ393257:JA393257 IZ458793:JA458793 IZ524329:JA524329 IZ589865:JA589865 IZ655401:JA655401 IZ720937:JA720937 IZ786473:JA786473 IZ852009:JA852009 IZ917545:JA917545 A46:KE46" xr:uid="{FE329548-6888-49C4-8288-4AF283B194F2}"/>
    <dataValidation allowBlank="1" showInputMessage="1" showErrorMessage="1" promptTitle="OtherProofReadingDetails" prompt="Contains further information from the review process, especially comments received from third parties once the dataset has been published." sqref="A48:C48 IV65578:IX65578 IV131114:IX131114 IV196650:IX196650 IV262186:IX262186 IV327722:IX327722 IV393258:IX393258 IV458794:IX458794 IV524330:IX524330 IV589866:IX589866 IV655402:IX655402 IV720938:IX720938 IV786474:IX786474 IV852010:IX852010 IV917546:IX917546 IV983082:IX983082 IZ65578:JA65578 IZ131114:JA131114 IZ196650:JA196650 IZ262186:JA262186 IZ327722:JA327722 IZ393258:JA393258 IZ458794:JA458794 IZ524330:JA524330 IZ589866:JA589866 IZ655402:JA655402 IZ720938:JA720938 IZ786474:JA786474 IZ852010:JA852010 IZ917546:JA917546 IZ983082:JA983082 D47:KE47" xr:uid="{C72B6EEF-FBB1-40AE-A58D-99463363FCF7}"/>
    <dataValidation allowBlank="1" showInputMessage="1" showErrorMessage="1" promptTitle="ProofReadingDetails" prompt="Contains the comment of the reviewer of the dataset._x000a__x000a_Often &quot;passed.&quot; is used, when the review comments are in a separate document._x000a__x000a_If there was no full review, the type of review process (e.g. internal, not reviewed,...) shall be mentioned here. " sqref="A47:C47 KF47:XFD47" xr:uid="{546DCC57-75F7-49E2-84BA-803BF2EC8A4E}"/>
    <dataValidation allowBlank="1" showInputMessage="1" showErrorMessage="1" promptTitle="Percent" prompt="Indicates the share in market supply in the geographical area of the production data considered for this assessment." sqref="D33 CB33:CE33 V33:Y33 FT33:GB33 IV33:IY33 IV65564:IX65564 IV131100:IX131100 IV196636:IX196636 IV262172:IX262172 IV327708:IX327708 IV393244:IX393244 IV458780:IX458780 IV524316:IX524316 IV589852:IX589852 IV655388:IX655388 IV720924:IX720924 IV786460:IX786460 IV851996:IX851996 IV917532:IX917532 IV983068:IX983068 JI33:JK33 JP33:JQ33 CJ33:DL33 BF33:BW33 AT33:BA33 JB33:JD33 EN33:FJ33 JZ33:KE33" xr:uid="{9DF191F4-A239-444C-85F1-860C48F4AC8E}"/>
    <dataValidation allowBlank="1" showInputMessage="1" showErrorMessage="1" prompt="This cell is automatically updated from the names List according to the index number in L1. It needs to be identical to the output product." sqref="CN3:DC5 IZ983037:JA983040 BH3:BW5 IV65533:IX65536 IV131069:IX131072 IV196605:IX196608 IV262141:IX262144 IV327677:IX327680 IV393213:IX393216 IV458749:IX458752 IV524285:IX524288 IV589821:IX589824 IV655357:IX655360 IV720893:IX720896 IV786429:IX786432 IV851965:IX851968 IV917501:IX917504 IV983037:IX983040 IZ65533:JA65536 IZ131069:JA131072 IZ196605:JA196608 IZ262141:JA262144 IZ327677:JA327680 IZ393213:JA393216 IZ458749:JA458752 IZ524285:JA524288 IZ589821:JA589824 IZ655357:JA655360 IZ720893:JA720896 IZ786429:JA786432 IZ851965:JA851968 IZ917501:JA917504 FT3:FW5 FX2:GB5 JP3:JQ5 IV2:JD5 EO2:FS5" xr:uid="{EC1325E2-5D72-4927-88F8-124C7CF45985}"/>
    <dataValidation allowBlank="1" showInputMessage="1" showErrorMessage="1" promptTitle="Version" prompt="The digits after the decimal point (e.g., 1.01, 1.02, etc.) are used for minor updates (corrected errors) within the period of two major updates (increase of the first digit from e.g. 1.xx to 2.00). The version number is placed manually." sqref="CN7:DC7 IZ983042:JA983042 BH7:BW7 IV65538:IX65538 IV131074:IX131074 IV196610:IX196610 IV262146:IX262146 IV327682:IX327682 IV393218:IX393218 IV458754:IX458754 IV524290:IX524290 IV589826:IX589826 IV655362:IX655362 IV720898:IX720898 IV786434:IX786434 IV851970:IX851970 IV917506:IX917506 IV983042:IX983042 IZ65538:JA65538 IZ131074:JA131074 IZ196610:JA196610 IZ262146:JA262146 IZ327682:JA327682 IZ393218:JA393218 IZ458754:JA458754 IZ524290:JA524290 IZ589826:JA589826 IZ655362:JA655362 IZ720898:JA720898 IZ786434:JA786434 IZ851970:JA851970 IZ917506:JA917506 JP7:JQ7 IV7:JD7 EN7:GB7" xr:uid="{CF4D4E0B-487C-4CA2-A259-45CCD34D29B3}"/>
    <dataValidation allowBlank="1" showInputMessage="1" showErrorMessage="1" promptTitle="UncertaintyAdjustments" prompt="For datasets where the additional uncertainty from lacking representativeness has been included in the quantified uncertainty values ('minValue' and 'maxValue'), this field reports the original representativeness as well as the calculation procedure." sqref="IZ983072:JA983072 IV65568:IX65568 IV131104:IX131104 IV196640:IX196640 IV262176:IX262176 IV327712:IX327712 IV393248:IX393248 IV458784:IX458784 IV524320:IX524320 IV589856:IX589856 IV655392:IX655392 IV720928:IX720928 IV786464:IX786464 IV852000:IX852000 IV917536:IX917536 IV983072:IX983072 IZ65568:JA65568 IZ131104:JA131104 IZ196640:JA196640 IZ262176:JA262176 IZ327712:JA327712 IZ393248:JA393248 IZ458784:JA458784 IZ524320:JA524320 IZ589856:JA589856 IZ655392:JA655392 IZ720928:JA720928 IZ786464:JA786464 IZ852000:JA852000 IZ917536:JA917536 D37:KE37" xr:uid="{F2CC706D-5705-4074-A41F-0ED52FED781D}"/>
    <dataValidation allowBlank="1" showInputMessage="1" showErrorMessage="1" promptTitle="CountryCode" prompt="Only required when AccessRestrictedTo=3,_x000a_otherwise it MUST be EMPTY._x000a__x000a_2 letter ISO-country codes are used to indicate the country where organisations/institutes are located which co-operate within one of the database quality networks" sqref="AT44:AU44 IZ983079:JA983079 BF44:DC44 IV65575:IX65575 IV131111:IX131111 IV196647:IX196647 IV262183:IX262183 IV327719:IX327719 IV393255:IX393255 IV458791:IX458791 IV524327:IX524327 IV589863:IX589863 IV655399:IX655399 IV720935:IX720935 IV786471:IX786471 IV852007:IX852007 IV917543:IX917543 IV983079:IX983079 IZ65575:JA65575 IZ131111:JA131111 IZ196647:JA196647 IZ262183:JA262183 IZ327719:JA327719 IZ393255:JA393255 IZ458791:JA458791 IZ524327:JA524327 IZ589863:JA589863 IZ655399:JA655399 IZ720935:JA720935 IZ786471:JA786471 IZ852007:JA852007 IZ917543:JA917543 IV44:JD44 EN44:GB44 JP44:JY44" xr:uid="{47E5FFA5-1236-4C3F-AB7A-327EA7811A59}"/>
    <dataValidation allowBlank="1" showInputMessage="1" showErrorMessage="1" promptTitle="CompanyCode" prompt="Only required when AccessRestrictedTo=3,_x000a_otherwise it MUST be EMPTY._x000a__x000a_7 letter code with which organisations/institutes that co-operate within one of the database quality networks are characterised and identified. 'countryCode' is required additionally._x000a_" sqref="AT43:AU43 IZ983078:JA983078 BF43:DC43 IV65574:IX65574 IV131110:IX131110 IV196646:IX196646 IV262182:IX262182 IV327718:IX327718 IV393254:IX393254 IV458790:IX458790 IV524326:IX524326 IV589862:IX589862 IV655398:IX655398 IV720934:IX720934 IV786470:IX786470 IV852006:IX852006 IV917542:IX917542 IV983078:IX983078 IZ65574:JA65574 IZ131110:JA131110 IZ196646:JA196646 IZ262182:JA262182 IZ327718:JA327718 IZ393254:JA393254 IZ458790:JA458790 IZ524326:JA524326 IZ589862:JA589862 IZ655398:JA655398 IZ720934:JA720934 IZ786470:JA786470 IZ852006:JA852006 IZ917542:JA917542 IV43:JD43 EN43:GB43 JP43:JY43" xr:uid="{306B64F9-ED11-457A-89F4-C889DFD41CC9}"/>
    <dataValidation allowBlank="1" showInputMessage="1" showErrorMessage="1" promptTitle="AccessRestrictedTo" prompt="Indicates possible access restrictions for the dataset. _x000a_0=Public (Default)_x000a_1=ETH Domain_x000a_2=ecoinvent 2000_x000a_3=Institute_x000a_If access is restricted to a particular institute, 'companyCode' and 'countryCode' indicates the institute that has access to the data." sqref="AT42:AU42 EO42:FA42 BF42:DC42 IV65573:IX65573 IV131109:IX131109 IV196645:IX196645 IV262181:IX262181 IV327717:IX327717 IV393253:IX393253 IV458789:IX458789 IV524325:IX524325 IV589861:IX589861 IV655397:IX655397 IV720933:IX720933 IV786469:IX786469 IV852005:IX852005 IV917541:IX917541 IV983077:IX983077 IZ65573:JA65573 IZ131109:JA131109 IZ196645:JA196645 IZ262181:JA262181 IZ327717:JA327717 IZ393253:JA393253 IZ458789:JA458789 IZ524325:JA524325 IZ589861:JA589861 IZ655397:JA655397 IZ720933:JA720933 IZ786469:JA786469 IZ852005:JA852005 IZ917541:JA917541 IZ983077:JA983077 FK42:GB42 JC42:JD42 JP42:JY42" xr:uid="{AE7329BE-0071-4B7A-9530-1D98D938517F}"/>
    <dataValidation allowBlank="1" showInputMessage="1" showErrorMessage="1" promptTitle="Formula" prompt="The field is normally updated automatically from the names list. You can enter the formula manually - if necessary. But it is recommended to update the names list._x000a__x000a_The chemical formula if the process is a chemical substance" sqref="CN24:DC24 CN26:DC26 IZ983061:JA983061 BH24:BW24 IV65555:IX65555 IV65557:IX65557 IV131091:IX131091 IV131093:IX131093 IV196627:IX196627 IV196629:IX196629 IV262163:IX262163 IV262165:IX262165 IV327699:IX327699 IV327701:IX327701 IV393235:IX393235 IV393237:IX393237 IV458771:IX458771 IV458773:IX458773 IV524307:IX524307 IV524309:IX524309 IV589843:IX589843 IV589845:IX589845 IV655379:IX655379 IV655381:IX655381 IV720915:IX720915 IV720917:IX720917 IV786451:IX786451 IV786453:IX786453 IV851987:IX851987 IV851989:IX851989 IV917523:IX917523 IV917525:IX917525 IV983059:IX983059 IV983061:IX983061 IZ65555:JA65555 IZ65557:JA65557 IZ131091:JA131091 IZ131093:JA131093 IZ196627:JA196627 IZ196629:JA196629 IZ262163:JA262163 IZ262165:JA262165 IZ327699:JA327699 IZ327701:JA327701 IZ393235:JA393235 IZ393237:JA393237 IZ458771:JA458771 IZ458773:JA458773 IZ524307:JA524307 IZ524309:JA524309 IZ589843:JA589843 IZ589845:JA589845 IZ655379:JA655379 IZ655381:JA655381 IZ720915:JA720915 IZ720917:JA720917 IZ786451:JA786451 IZ786453:JA786453 IZ851987:JA851987 IZ851989:JA851989 IZ917523:JA917523 IZ917525:JA917525 IZ983059:JA983059 JP26:JQ26 JP24:JQ24 BH26:BW26 IV24:JD24 IV26:JD26 EN24:GB24 EN26:GB26" xr:uid="{87E79CCA-FA35-4301-AE77-36D37A764661}"/>
    <dataValidation allowBlank="1" showInputMessage="1" showErrorMessage="1" promptTitle="Extrapolations" prompt="Describes extrapolations of data from another time period, another geographical area or another technology and the way these extrapolations have been carried out." sqref="CK36 V36:Y36 IV36:IZ36 IV65567:IX65567 IV131103:IX131103 IV196639:IX196639 IV262175:IX262175 IV327711:IX327711 IV393247:IX393247 IV458783:IX458783 IV524319:IX524319 IV589855:IX589855 IV655391:IX655391 IV720927:IX720927 IV786463:IX786463 IV851999:IX851999 IV917535:IX917535 IV983071:IX983071 IZ65567 IZ131103 IZ196639 IZ262175 IZ327711 IZ393247 IZ458783 IZ524319 IZ589855 IZ655391 IZ720927 IZ786463 IZ851999 IZ917535 IZ983071 JI36:JK36 JP36:JQ36 CM36:DL36 BG36:BW36 AT36:BA36 JB36:JD36 EN36:GB36 JZ36:KE36" xr:uid="{21C0EA79-DDBA-4D20-BB2B-261041858E5D}"/>
    <dataValidation allowBlank="1" showInputMessage="1" showErrorMessage="1" promptTitle="Sampling Procedure" prompt="Indicates the sampling procedure applied for quantifying the exchanges. It should be reported whether the sampling procedure for particular elementary and intermediate product flows differ from the general procedure." sqref="BF36 CJ36 CL36 IZ983070:JA983070 V35:Y35 IV65566:IX65566 IV131102:IX131102 IV196638:IX196638 IV262174:IX262174 IV327710:IX327710 IV393246:IX393246 IV458782:IX458782 IV524318:IX524318 IV589854:IX589854 IV655390:IX655390 IV720926:IX720926 IV786462:IX786462 IV851998:IX851998 IV917534:IX917534 IV983070:IX983070 IZ65566:JA65566 IZ131102:JA131102 IZ196638:JA196638 IZ262174:JA262174 IZ327710:JA327710 IZ393246:JA393246 IZ458782:JA458782 IZ524318:JA524318 IZ589854:JA589854 IZ655390:JA655390 IZ720926:JA720926 IZ786462:JA786462 IZ851998:JA851998 IZ917534:JA917534 FK33:FS33 JI35:JK35 JP35:JQ35 DD35:DL35 BH35:BM35 AV35:BA35 IV35:JD35 EN35:GB35 JZ35:KE35" xr:uid="{9FB2389D-4DAB-4863-B77F-ECBB2926AD47}"/>
    <dataValidation allowBlank="1" showInputMessage="1" showErrorMessage="1" promptTitle="StatisticalClassification" prompt="not used" sqref="CN25:DC25 IZ983060:JA983060 BH25:BW25 IV65556:IX65556 IV131092:IX131092 IV196628:IX196628 IV262164:IX262164 IV327700:IX327700 IV393236:IX393236 IV458772:IX458772 IV524308:IX524308 IV589844:IX589844 IV655380:IX655380 IV720916:IX720916 IV786452:IX786452 IV851988:IX851988 IV917524:IX917524 IV983060:IX983060 IZ65556:JA65556 IZ131092:JA131092 IZ196628:JA196628 IZ262164:JA262164 IZ327700:JA327700 IZ393236:JA393236 IZ458772:JA458772 IZ524308:JA524308 IZ589844:JA589844 IZ655380:JA655380 IZ720916:JA720916 IZ786452:JA786452 IZ851988:JA851988 IZ917524:JA917524 JP25:JQ25 IV25:JD25 EN25:GB25" xr:uid="{22C27875-88D7-4757-AAA5-950A2D19130E}"/>
    <dataValidation allowBlank="1" showInputMessage="1" showErrorMessage="1" promptTitle="InfrastructureIncluded" prompt="Should always be 1._x000a__x000a_I.e. the dataset has to consider the infrastructure._x000a_" sqref="IZ983054:JA983054 IV65550:IX65550 IV131086:IX131086 IV196622:IX196622 IV262158:IX262158 IV327694:IX327694 IV393230:IX393230 IV458766:IX458766 IV524302:IX524302 IV589838:IX589838 IV655374:IX655374 IV720910:IX720910 IV786446:IX786446 IV851982:IX851982 IV917518:IX917518 IV983054:IX983054 IZ65550:JA65550 IZ131086:JA131086 IZ196622:JA196622 IZ262158:JA262158 IZ327694:JA327694 IZ393230:JA393230 IZ458766:JA458766 IZ524302:JA524302 IZ589838:JA589838 IZ655374:JA655374 IZ720910:JA720910 IZ786446:JA786446 IZ851982:JA851982 IZ917518:JA917518 FK19:GB19" xr:uid="{A46C134D-BDD7-44CD-8A69-276227F9B406}"/>
    <dataValidation allowBlank="1" showInputMessage="1" showErrorMessage="1" promptTitle="PageNumbers" prompt="Indicates the page numbers in the publication where the table with the unit process raw data, and the characterisation, damage or weighting factors of the impact category are documented._x000a__x000a_If the page is not known, indicate the Chapter or Header instead." sqref="AT45:AU45 IZ983080:JA983080 BF45:DC45 IV65576:IX65576 IV131112:IX131112 IV196648:IX196648 IV262184:IX262184 IV327720:IX327720 IV393256:IX393256 IV458792:IX458792 IV524328:IX524328 IV589864:IX589864 IV655400:IX655400 IV720936:IX720936 IV786472:IX786472 IV852008:IX852008 IV917544:IX917544 IV983080:IX983080 IZ65576:JA65576 IZ131112:JA131112 IZ196648:JA196648 IZ262184:JA262184 IZ327720:JA327720 IZ393256:JA393256 IZ458792:JA458792 IZ524328:JA524328 IZ589864:JA589864 IZ655400:JA655400 IZ720936:JA720936 IZ786472:JA786472 IZ852008:JA852008 IZ917544:JA917544 IV45:JD45 EN45:GB45 JP45:JY45" xr:uid="{6B575D3D-34A9-4994-80CD-95B9F0807D86}"/>
    <dataValidation allowBlank="1" showInputMessage="1" showErrorMessage="1" promptTitle="GeneralComment" prompt="Free text for general information about the dataset. It may contain information about:_x000a_- the intended application of the dataset_x000a_- modelling choices (inclusions/exclusions, lifetime, capacity)_x000a_- information sources used_x000a_- data selection principles_x000a_" sqref="CB18:CE18 V18:Y18 IV18:IX18 IV65549:IX65549 IV131085:IX131085 IV196621:IX196621 IV262157:IX262157 IV327693:IX327693 IV393229:IX393229 IV458765:IX458765 IV524301:IX524301 IV589837:IX589837 IV655373:IX655373 IV720909:IX720909 IV786445:IX786445 IV851981:IX851981 IV917517:IX917517 IV983053:IX983053 IZ18 IZ65549 IZ131085 IZ196621 IZ262157 IZ327693 IZ393229 IZ458765 IZ524301 IZ589837 IZ655373 IZ720909 IZ786445 IZ851981 IZ917517 IZ983053 JI18:JK18 JP18:JQ18 CN18:DL18 BF18:BU18 AV18:BA18 JB18:JD18 GY18:HA18 FB18:FJ18 EN18 JZ18:KE18" xr:uid="{02AE836A-7983-49F2-96D2-CF5DA9FA40A3}"/>
    <dataValidation allowBlank="1" showInputMessage="1" showErrorMessage="1" promptTitle="Amount" prompt="Indicates the amount of reference flow (product/service, elementary flow, impact category). _x000a__x000a_Always 1." sqref="CN15:DC15 CN19:DC19 CN29:DC29 EO19:FA19 EO29:FA29 FZ15:GB15 IV65546:IX65546 IV131082:IX131082 IV196618:IX196618 IV262154:IX262154 IV327690:IX327690 IV393226:IX393226 IV458762:IX458762 IV524298:IX524298 IV589834:IX589834 IV655370:IX655370 IV720906:IX720906 IV786442:IX786442 IV851978:IX851978 IV917514:IX917514 IV983050:IX983050 IZ65546:JA65546 IZ131082:JA131082 IZ196618:JA196618 IZ262154:JA262154 IZ327690:JA327690 IZ393226:JA393226 IZ458762:JA458762 IZ524298:JA524298 IZ589834:JA589834 IZ655370:JA655370 IZ720906:JA720906 IZ786442:JA786442 IZ851978:JA851978 IZ917514:JA917514 IZ983050:JA983050 BH19:BW19 FX15 JP29:JQ29 JP15:JQ15 JP19:JQ19 BH29:BW29 BH15:BW15 JC19:JD19 IV15:JD15 JC29:JD29 EN15:FS15" xr:uid="{A30B167D-B7AA-4B51-AC14-0AFCD89F383F}"/>
    <dataValidation allowBlank="1" showInputMessage="1" showErrorMessage="1" promptTitle="IncludedProcesses" prompt="Contains a description of the (sub-)processes which are combined to form one unit process. As far as possible and feasible, data should be reported on the level of detail it has been received. " sqref="EG14:EK14 V14:Y14 EO18:FA18 IV14:IZ14 IV65545:IX65545 IV131081:IX131081 IV196617:IX196617 IV262153:IX262153 IV327689:IX327689 IV393225:IX393225 IV458761:IX458761 IV524297:IX524297 IV589833:IX589833 IV655369:IX655369 IV720905:IX720905 IV786441:IX786441 IV851977:IX851977 IV917513:IX917513 IV983049:IX983049 IZ65545 IZ131081 IZ196617 IZ262153 IZ327689 IZ393225 IZ458761 IZ524297 IZ589833 IZ655369 IZ720905 IZ786441 IZ851977 IZ917513 IZ983049 JI14:JK14 JP14:JQ14 CJ14:DL14 BH14:BW14 AV14:BA14 JB14:JD14 EN14:FJ14 JZ14:KE14" xr:uid="{3497ACC6-83AC-4590-8623-0DC9325593AF}"/>
    <dataValidation allowBlank="1" showInputMessage="1" showErrorMessage="1" promptTitle="DataSetRelatesToProduct" prompt="Indicates whether the dataset relates to a process/service or not._x000a_1=Yes" sqref="CN13:DC13 IZ983048:JA983048 BH13:BW13 IV65544:IX65544 IV131080:IX131080 IV196616:IX196616 IV262152:IX262152 IV327688:IX327688 IV393224:IX393224 IV458760:IX458760 IV524296:IX524296 IV589832:IX589832 IV655368:IX655368 IV720904:IX720904 IV786440:IX786440 IV851976:IX851976 IV917512:IX917512 IV983048:IX983048 IZ65544:JA65544 IZ131080:JA131080 IZ196616:JA196616 IZ262152:JA262152 IZ327688:JA327688 IZ393224:JA393224 IZ458760:JA458760 IZ524296:JA524296 IZ589832:JA589832 IZ655368:JA655368 IZ720904:JA720904 IZ786440:JA786440 IZ851976:JA851976 IZ917512:JA917512 JP13:JQ13 IV13:JD13 EN13:GB13" xr:uid="{7BE18B24-AA38-4887-BCF8-48D3F3A77C53}"/>
    <dataValidation allowBlank="1" showInputMessage="1" showErrorMessage="1" promptTitle="Person" prompt="ID number of the person who prepared the dataset and entered the dataset into the database. It must correspond to an ID number of a person listed in the sheet X-Person." sqref="IV65542:IX65542 IV131078:IX131078 IV196614:IX196614 IV262150:IX262150 IV327686:IX327686 IV393222:IX393222 IV458758:IX458758 IV524294:IX524294 IV589830:IX589830 IV655366:IX655366 IV720902:IX720902 IV786438:IX786438 IV851974:IX851974 IV917510:IX917510 IV983046:IX983046 IZ65542:JA65542 IZ131078:JA131078 IZ196614:JA196614 IZ262150:JA262150 IZ327686:JA327686 IZ393222:JA393222 IZ458758:JA458758 IZ524294:JA524294 IZ589830:JA589830 IZ655366:JA655366 IZ720902:JA720902 IZ786438:JA786438 IZ851974:JA851974 IZ917510:JA917510 IZ983046:JA983046" xr:uid="{89EF1195-C7F1-4718-80D6-EB9A9CFD0D0D}"/>
    <dataValidation allowBlank="1" showInputMessage="1" showErrorMessage="1" promptTitle="LocalLanguageCode" prompt="2 letter ISO language codes are used. Default localLanguage is German. Lower case letters are used." sqref="CN10:DC10 IZ983045:JA983045 BH10:BW10 IV65541:IX65541 IV131077:IX131077 IV196613:IX196613 IV262149:IX262149 IV327685:IX327685 IV393221:IX393221 IV458757:IX458757 IV524293:IX524293 IV589829:IX589829 IV655365:IX655365 IV720901:IX720901 IV786437:IX786437 IV851973:IX851973 IV917509:IX917509 IV983045:IX983045 IZ65541:JA65541 IZ131077:JA131077 IZ196613:JA196613 IZ262149:JA262149 IZ327685:JA327685 IZ393221:JA393221 IZ458757:JA458757 IZ524293:JA524293 IZ589829:JA589829 IZ655365:JA655365 IZ720901:JA720901 IZ786437:JA786437 IZ851973:JA851973 IZ917509:JA917509 JP10:JQ10 IV10:JD10 EN10:GB10" xr:uid="{DB25CDF6-59B7-4610-9AF2-64E74F4593EA}"/>
    <dataValidation allowBlank="1" showInputMessage="1" showErrorMessage="1" promptTitle="LanguageCode" prompt="2 letter ISO language codes are used. Default language is English. Lower case letters are used." sqref="CN9:DC9 IZ983044:JA983044 BH9:BW9 IV65540:IX65540 IV131076:IX131076 IV196612:IX196612 IV262148:IX262148 IV327684:IX327684 IV393220:IX393220 IV458756:IX458756 IV524292:IX524292 IV589828:IX589828 IV655364:IX655364 IV720900:IX720900 IV786436:IX786436 IV851972:IX851972 IV917508:IX917508 IV983044:IX983044 IZ65540:JA65540 IZ131076:JA131076 IZ196612:JA196612 IZ262148:JA262148 IZ327684:JA327684 IZ393220:JA393220 IZ458756:JA458756 IZ524292:JA524292 IZ589828:JA589828 IZ655364:JA655364 IZ720900:JA720900 IZ786436:JA786436 IZ851972:JA851972 IZ917508:JA917508 JP9:JQ9 IV9:JD9 EN9:GB9" xr:uid="{C8A49D1B-EBAD-4522-A967-60E3C415EE18}"/>
    <dataValidation allowBlank="1" showInputMessage="1" showErrorMessage="1" promptTitle="energyValues" prompt="not used" sqref="CN8:DC8 IZ983043:JA983043 BH8:BW8 IV65539:IX65539 IV131075:IX131075 IV196611:IX196611 IV262147:IX262147 IV327683:IX327683 IV393219:IX393219 IV458755:IX458755 IV524291:IX524291 IV589827:IX589827 IV655363:IX655363 IV720899:IX720899 IV786435:IX786435 IV851971:IX851971 IV917507:IX917507 IV983043:IX983043 IZ65539:JA65539 IZ131075:JA131075 IZ196611:JA196611 IZ262147:JA262147 IZ327683:JA327683 IZ393219:JA393219 IZ458755:JA458755 IZ524291:JA524291 IZ589827:JA589827 IZ655363:JA655363 IZ720899:JA720899 IZ786435:JA786435 IZ851971:JA851971 IZ917507:JA917507 JP8:JQ8 IV8:JD8 EN8:GB8" xr:uid="{033EFF23-9C66-46E7-A997-60566E11380E}"/>
    <dataValidation allowBlank="1" showInputMessage="1" showErrorMessage="1" promptTitle="Type" prompt="do not change._x000a__x000a_updated automaticaly from the names list._x000a__x000a_Indicates the kind of data that is represented by this dataset. The code is: _x000a_1=Unit process_x000a_5=Multioutput process." sqref="CN6:DC6 IZ983041:JA983041 BH6:BW6 IV65537:IX65537 IV131073:IX131073 IV196609:IX196609 IV262145:IX262145 IV327681:IX327681 IV393217:IX393217 IV458753:IX458753 IV524289:IX524289 IV589825:IX589825 IV655361:IX655361 IV720897:IX720897 IV786433:IX786433 IV851969:IX851969 IV917505:IX917505 IV983041:IX983041 IZ65537:JA65537 IZ131073:JA131073 IZ196609:JA196609 IZ262145:JA262145 IZ327681:JA327681 IZ393217:JA393217 IZ458753:JA458753 IZ524289:JA524289 IZ589825:JA589825 IZ655361:JA655361 IZ720897:JA720897 IZ786433:JA786433 IZ851969:JA851969 IZ917505:JA917505 JP6:JQ6 IV6:JD6 EN6:GB6" xr:uid="{84CB1803-40B0-47F0-A8E4-9355638FED3E}"/>
    <dataValidation allowBlank="1" showInputMessage="1" showErrorMessage="1" promptTitle="OtherPeriodText" prompt="Additional explanations concerning the temporal validity of the flow data reported. It may comprise information about:_x000a_- how strong the temporal correlation is for the unit process at issue _x000a_- why data is not valid for the entire period_x000a_- ..._x000a_" sqref="BV30:BW30 CJ30:CM30 DS30:DT30 DV30 DX30 EA30 IZ983065:JA983065 T30:Y30 IV65561:IX65561 IV131097:IX131097 IV196633:IX196633 IV262169:IX262169 IV327705:IX327705 IV393241:IX393241 IV458777:IX458777 IV524313:IX524313 IV589849:IX589849 IV655385:IX655385 IV720921:IX720921 IV786457:IX786457 IV851993:IX851993 IV917529:IX917529 IV983065:IX983065 IZ65561:JA65561 IZ131097:JA131097 IZ196633:JA196633 IZ262169:JA262169 IZ327705:JA327705 IZ393241:JA393241 IZ458777:JA458777 IZ524313:JA524313 IZ589849:JA589849 IZ655385:JA655385 IZ720921:JA720921 IZ786457:JA786457 IZ851993:JA851993 IZ917529:JA917529 JI30:JK30 JP30:JQ30 DD30:DL30 BF30:BM30 AT30:BA30 IV30:JD30 EN30:GB30 JZ30:KE30" xr:uid="{14B0B09E-1972-4797-8510-5079C086A7FF}"/>
    <dataValidation allowBlank="1" showInputMessage="1" showErrorMessage="1" promptTitle="Technology Text" prompt="Describes the technological properties of the unit process. If the process comprises several subprocesses, the corresponding technologies should be reported as well. Professional nomenclature should be used for the description. " sqref="CJ32:CM32 EO32:FA32 V32:Y32 IV32:IZ32 IV65563:IX65563 IV131099:IX131099 IV196635:IX196635 IV262171:IX262171 IV327707:IX327707 IV393243:IX393243 IV458779:IX458779 IV524315:IX524315 IV589851:IX589851 IV655387:IX655387 IV720923:IX720923 IV786459:IX786459 IV851995:IX851995 IV917531:IX917531 IV983067:IX983067 IZ65563 IZ131099 IZ196635 IZ262171 IZ327707 IZ393243 IZ458779 IZ524315 IZ589851 IZ655387 IZ720923 IZ786459 IZ851995 IZ917531 IZ983067 FK32:FT32 JI32:JK32 JP32:JQ32 DD32:DL32 BF32:BM32 AT32:BA32 JB32:JD32 JZ32:KE32" xr:uid="{ADF0077A-7A19-4C05-B55E-D4C36D12471A}"/>
    <dataValidation allowBlank="1" showInputMessage="1" showErrorMessage="1" promptTitle="Geography text" prompt="Text comprises additional aspects of the location, namely whether:_x000a_- certain areas are exempted from the location indicated_x000a_- data are only valid for certain regions within the location indicated_x000a_- some exchanges are extrapolated from other geog. areas" sqref="BV31:BW31 CJ31:CM31 T31:Y31 IV31:IZ31 IV65562:IX65562 IV131098:IX131098 IV196634:IX196634 IV262170:IX262170 IV327706:IX327706 IV393242:IX393242 IV458778:IX458778 IV524314:IX524314 IV589850:IX589850 IV655386:IX655386 IV720922:IX720922 IV786458:IX786458 IV851994:IX851994 IV917530:IX917530 IV983066:IX983066 IZ65562 IZ131098 IZ196634 IZ262170 IZ327706 IZ393242 IZ458778 IZ524314 IZ589850 IZ655386 IZ720922 IZ786458 IZ851994 IZ917530 IZ983066 JI31:JK31 JP31:JQ31 DD31:DL31 BF31:BM31 AT31:BA31 JB31:JD31 EN31:FS31 KA31:KE31" xr:uid="{017DB6FD-969F-40C6-96B1-D8BEE65A65B2}"/>
    <dataValidation allowBlank="1" showInputMessage="1" showErrorMessage="1" promptTitle="ReferenceToPublishedSource" prompt="ID number for the report in which the dataset is documented. It must correspond to an ID number of a source listed in X-Source." sqref="IZ983075:JA983075 IV65571:IX65571 IV131107:IX131107 IV196643:IX196643 IV262179:IX262179 IV327715:IX327715 IV393251:IX393251 IV458787:IX458787 IV524323:IX524323 IV589859:IX589859 IV655395:IX655395 IV720931:IX720931 IV786467:IX786467 IV852003:IX852003 IV917539:IX917539 IV983075:IX983075 IZ65571:JA65571 IZ131107:JA131107 IZ196643:JA196643 IZ262179:JA262179 IZ327715:JA327715 IZ393251:JA393251 IZ458787:JA458787 IZ524323:JA524323 IZ589859:JA589859 IZ655395:JA655395 IZ720931:JA720931 IZ786467:JA786467 IZ852003:JA852003 IZ917539:JA917539 BF40:DC40 JP40:JY40" xr:uid="{0200ECB2-CC02-4C7A-BF6A-F18AF10015C2}"/>
    <dataValidation allowBlank="1" showInputMessage="1" showErrorMessage="1" promptTitle="DataPublishedIN" prompt="Indicates whether and where the dataset has been published._x000a_The codes are:_x000a__x000a_0=Data as such not published (default)_x000a_1=The data of some unit processes or subsystems are published_x000a_2=Data has been published entirely in 'referenceToPublishedSource'._x000a_" sqref="AT39:AU39 IZ983074:JA983074 EO39:FA39 IV65570:IX65570 IV131106:IX131106 IV196642:IX196642 IV262178:IX262178 IV327714:IX327714 IV393250:IX393250 IV458786:IX458786 IV524322:IX524322 IV589858:IX589858 IV655394:IX655394 IV720930:IX720930 IV786466:IX786466 IV852002:IX852002 IV917538:IX917538 IV983074:IX983074 IZ65570:JA65570 IZ131106:JA131106 IZ196642:JA196642 IZ262178:JA262178 IZ327714:JA327714 IZ393250:JA393250 IZ458786:JA458786 IZ524322:JA524322 IZ589858:JA589858 IZ655394:JA655394 IZ720930:JA720930 IZ786466:JA786466 IZ852002:JA852002 IZ917538:JA917538 BF39:DC39 JP39:JY39" xr:uid="{6F90D843-E7AD-4A6A-9A9D-A9D237F6C255}"/>
    <dataValidation allowBlank="1" showInputMessage="1" showErrorMessage="1" promptTitle="Person" prompt="ID number of the person who generated the dataset. It must correspond to an ID number of a person listed in the sheet X-Person." sqref="IV65569:IX65569 IV131105:IX131105 IV196641:IX196641 IV262177:IX262177 IV327713:IX327713 IV393249:IX393249 IV458785:IX458785 IV524321:IX524321 IV589857:IX589857 IV655393:IX655393 IV720929:IX720929 IV786465:IX786465 IV852001:IX852001 IV917537:IX917537 IV983073:IX983073 IZ65569:JA65569 IZ131105:JA131105 IZ196641:JA196641 IZ262177:JA262177 IZ327713:JA327713 IZ393249:JA393249 IZ458785:JA458785 IZ524321:JA524321 IZ589857:JA589857 IZ655393:JA655393 IZ720929:JA720929 IZ786465:JA786465 IZ852001:JA852001 IZ917537:JA917537 IZ983073:JA983073" xr:uid="{FAA8A403-F30B-4FEA-9E38-441DE6150239}"/>
    <dataValidation allowBlank="1" showInputMessage="1" showErrorMessage="1" promptTitle="Copyright" prompt="Indicates whether or not a copyright exists._x000a_ '1' (Yes) or '0' (No) should be entered correspondingly." sqref="AT41:AU41 EO41:FA41 BF41:DC41 IV65572:IX65572 IV131108:IX131108 IV196644:IX196644 IV262180:IX262180 IV327716:IX327716 IV393252:IX393252 IV458788:IX458788 IV524324:IX524324 IV589860:IX589860 IV655396:IX655396 IV720932:IX720932 IV786468:IX786468 IV852004:IX852004 IV917540:IX917540 IV983076:IX983076 IZ65572:JA65572 IZ131108:JA131108 IZ196644:JA196644 IZ262180:JA262180 IZ327716:JA327716 IZ393252:JA393252 IZ458788:JA458788 IZ524324:JA524324 IZ589860:JA589860 IZ655396:JA655396 IZ720932:JA720932 IZ786468:JA786468 IZ852004:JA852004 IZ917540:JA917540 IZ983076:JA983076 FK41:GB41 JC41:JD41 JP41:JY41" xr:uid="{E9756078-239B-4A16-96AA-EC2A86122606}"/>
    <dataValidation allowBlank="1" showInputMessage="1" showErrorMessage="1" promptTitle="IndexNumber" prompt="Index Number from the names list (sheet &quot;names&quot;). _x000a__x000a_For every newly defined process a description is needed. You can copy/paste the columns to duplicate the template and change the Indexnumber and description (no empty columns are allowed in between)._x000a_" sqref="IV1:JA1 IV65532:IX65532 IV131068:IX131068 IV196604:IX196604 IV262140:IX262140 IV327676:IX327676 IV393212:IX393212 IV458748:IX458748 IV524284:IX524284 IV589820:IX589820 IV655356:IX655356 IV720892:IX720892 IV786428:IX786428 IV851964:IX851964 IV917500:IX917500 IV983036:IX983036 IZ65532:JA65532 IZ131068:JA131068 IZ196604:JA196604 IZ262140:JA262140 IZ327676:JA327676 IZ393212:JA393212 IZ458748:JA458748 IZ524284:JA524284 IZ589820:JA589820 IZ655356:JA655356 IZ720892:JA720892 IZ786428:JA786428 IZ851964:JA851964 IZ917500:JA917500 IZ983036:JA983036 FB1:FJ1 EN1" xr:uid="{8CB02C40-73A8-4557-9B52-2246DEC95E80}"/>
    <dataValidation allowBlank="1" showInputMessage="1" showErrorMessage="1" promptTitle="ProductionVolume" prompt="Indicates the market area consumption volume (NOT necessarily identical with the production volume) in the geographical area indicated of the product/service at issue. _x000a__x000a_The market volume should be given in absolute terms per year and in common units. " sqref="AT34:AU35 BF34:BG35 BV35:BW35 CJ34:CM35 DS35:DT35 DV35 DX35 EA35 H34:AS34 FT34:GB34 IV34:IY34 IV65565:IX65565 IV131101:IX131101 IV196637:IX196637 IV262173:IX262173 IV327709:IX327709 IV393245:IX393245 IV458781:IX458781 IV524317:IX524317 IV589853:IX589853 IV655389:IX655389 IV720925:IX720925 IV786461:IX786461 IV851997:IX851997 IV917533:IX917533 IV983069:IX983069 IZ33:JA34 IZ65564:JA65565 IZ131100:JA131101 IZ196636:JA196637 IZ262172:JA262173 IZ327708:JA327709 IZ393244:JA393245 IZ458780:JA458781 IZ524316:JA524317 IZ589852:JA589853 IZ655388:JA655389 IZ720924:JA720925 IZ786460:JA786461 IZ851996:JA851997 IZ917532:JA917533 IZ983068:JA983069 CN34:DL34 BH34:CI34 AV34:BE34 EN34:FJ34 JB34:KE34" xr:uid="{36316623-0715-4710-9D57-7D0DE2653037}"/>
    <dataValidation allowBlank="1" showInputMessage="1" showErrorMessage="1" promptTitle="DataValidForEntirePeriod" prompt="Indicates whether or not the process data (elementary and intermediate product flows reported under flow data) are valid for the entire time period stated. If not, explanations may be given under 'OtherPeriodText'._x000a_1=Yes_x000a_2=No" sqref="IZ983064:JA983064 IV29:JB29 IV65560:IX65560 IV131096:IX131096 IV196632:IX196632 IV262168:IX262168 IV327704:IX327704 IV393240:IX393240 IV458776:IX458776 IV524312:IX524312 IV589848:IX589848 IV655384:IX655384 IV720920:IX720920 IV786456:IX786456 IV851992:IX851992 IV917528:IX917528 IV983064:IX983064 IZ65560:JA65560 IZ131096:JA131096 IZ196632:JA196632 IZ262168:JA262168 IZ327704:JA327704 IZ393240:JA393240 IZ458776:JA458776 IZ524312:JA524312 IZ589848:JA589848 IZ655384:JA655384 IZ720920:JA720920 IZ786456:JA786456 IZ851992:JA851992 IZ917528:JA917528 FB29:GB29 EN29" xr:uid="{A0D75DAC-B81E-40CD-B031-2E1A2C0A5AA9}"/>
    <dataValidation allowBlank="1" showInputMessage="1" showErrorMessage="1" promptTitle="LocalName" prompt="do not change._x000a__x000a_The field is updated from the names list." sqref="GN28 CN16:DC17 CN20:DC23 CN27:DC28 FY17 IZ983062:JA983063 FZ16:GB17 GC28:GE28 GY28:HA28 BH20:BW23 IV65547:IX65548 IV65551:IX65554 IV65558:IX65559 IV131083:IX131084 IV131087:IX131090 IV131094:IX131095 IV196619:IX196620 IV196623:IX196626 IV196630:IX196631 IV262155:IX262156 IV262159:IX262162 IV262166:IX262167 IV327691:IX327692 IV327695:IX327698 IV327702:IX327703 IV393227:IX393228 IV393231:IX393234 IV393238:IX393239 IV458763:IX458764 IV458767:IX458770 IV458774:IX458775 IV524299:IX524300 IV524303:IX524306 IV524310:IX524311 IV589835:IX589836 IV589839:IX589842 IV589846:IX589847 IV655371:IX655372 IV655375:IX655378 IV655382:IX655383 IV720907:IX720908 IV720911:IX720914 IV720918:IX720919 IV786443:IX786444 IV786447:IX786450 IV786454:IX786455 IV851979:IX851980 IV851983:IX851986 IV851990:IX851991 IV917515:IX917516 IV917519:IX917522 IV917526:IX917527 IV983051:IX983052 IV983055:IX983058 IV983062:IX983063 IZ65547 IZ65548:JA65548 IZ65551:IZ65554 IZ65558:JA65559 IZ131083 IZ131084:JA131084 IZ131087:IZ131090 IZ131094:JA131095 IZ196619 IZ196620:JA196620 IZ196623:IZ196626 IZ196630:JA196631 IZ262155 IZ262156:JA262156 IZ262159:IZ262162 IZ262166:JA262167 IZ327691 IZ327692:JA327692 IZ327695:IZ327698 IZ327702:JA327703 IZ393227 IZ393228:JA393228 IZ393231:IZ393234 IZ393238:JA393239 IZ458763 IZ458764:JA458764 IZ458767:IZ458770 IZ458774:JA458775 IZ524299 IZ524300:JA524300 IZ524303:IZ524306 IZ524310:JA524311 IZ589835 IZ589836:JA589836 IZ589839:IZ589842 IZ589846:JA589847 IZ655371 IZ655372:JA655372 IZ655375:IZ655378 IZ655382:JA655383 IZ720907 IZ720908:JA720908 IZ720911:IZ720914 IZ720918:JA720919 IZ786443 IZ786444:JA786444 IZ786447:IZ786450 IZ786454:JA786455 IZ851979 IZ851980:JA851980 IZ851983:IZ851986 IZ851990:JA851991 IZ917515 IZ917516:JA917516 IZ917519:IZ917522 IZ917526:JA917527 IZ983051 IZ983052:JA983052 IZ983055:IZ983058 JP27:JQ28 JP16:JQ17 JP20:JQ23 BX28:CI28 BH27:BW28 BH16:BW17 IV27:JD28 IV16:JD17 IV20:JD23 EO16:FX17 EN20:GB23 EN27:GB28 JR28:JX28" xr:uid="{037D30D5-C285-4B0F-B054-B73164B991C7}"/>
    <dataValidation allowBlank="1" showInputMessage="1" showErrorMessage="1" promptTitle="Multioutput-Process Index Number" prompt="This cell contains the index number of the multioutput process according to the names-list. The name below is updated accordingly." sqref="FY1:GB1" xr:uid="{6B59C6E1-4F8A-496B-8ED2-7E67CA8EE2E0}"/>
  </dataValidations>
  <printOptions gridLines="1"/>
  <pageMargins left="0.78740157480314965" right="0.55118110236220474" top="0.72" bottom="0.77" header="0.51181102362204722" footer="0.51181102362204722"/>
  <pageSetup paperSize="9" scale="27" fitToWidth="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Tabelle11">
    <tabColor rgb="FF9CD9F0"/>
    <pageSetUpPr fitToPage="1"/>
  </sheetPr>
  <dimension ref="A1:I16"/>
  <sheetViews>
    <sheetView workbookViewId="0">
      <selection activeCell="H23" sqref="H23"/>
    </sheetView>
  </sheetViews>
  <sheetFormatPr baseColWidth="10" defaultColWidth="8.85546875" defaultRowHeight="12" outlineLevelCol="1"/>
  <cols>
    <col min="1" max="2" width="12.7109375" style="154" customWidth="1"/>
    <col min="3" max="3" width="24.5703125" style="155" customWidth="1" outlineLevel="1"/>
    <col min="4" max="4" width="46.140625" style="155" customWidth="1" outlineLevel="1"/>
    <col min="5" max="5" width="33.42578125" style="156" customWidth="1"/>
    <col min="6" max="6" width="33.42578125" style="161" customWidth="1"/>
    <col min="7" max="8" width="33.42578125" style="158" customWidth="1"/>
    <col min="9" max="9" width="32.140625" style="158" customWidth="1"/>
    <col min="10" max="11" width="8.85546875" style="158" customWidth="1"/>
    <col min="12" max="16384" width="8.85546875" style="158"/>
  </cols>
  <sheetData>
    <row r="1" spans="1:9" s="157" customFormat="1">
      <c r="A1" s="263" t="s">
        <v>2352</v>
      </c>
      <c r="B1" s="271" t="s">
        <v>67</v>
      </c>
      <c r="C1" s="264" t="s">
        <v>2999</v>
      </c>
      <c r="D1" s="264"/>
      <c r="E1" s="264"/>
      <c r="F1" s="264"/>
      <c r="G1" s="264"/>
      <c r="H1" s="264"/>
    </row>
    <row r="2" spans="1:9">
      <c r="A2" s="263" t="s">
        <v>3000</v>
      </c>
      <c r="B2" s="272">
        <v>801</v>
      </c>
      <c r="C2" s="265" t="s">
        <v>3001</v>
      </c>
      <c r="D2" s="266">
        <v>50</v>
      </c>
      <c r="E2" s="266">
        <v>41</v>
      </c>
      <c r="F2" s="266">
        <v>24</v>
      </c>
      <c r="G2" s="266">
        <v>42</v>
      </c>
      <c r="H2" s="266">
        <v>43</v>
      </c>
      <c r="I2" s="266">
        <v>54</v>
      </c>
    </row>
    <row r="3" spans="1:9">
      <c r="A3" s="263" t="s">
        <v>3000</v>
      </c>
      <c r="B3" s="272">
        <v>802</v>
      </c>
      <c r="C3" s="267" t="s">
        <v>3002</v>
      </c>
      <c r="D3" s="268">
        <v>3</v>
      </c>
      <c r="E3" s="268">
        <v>3</v>
      </c>
      <c r="F3" s="268">
        <v>3</v>
      </c>
      <c r="G3" s="268">
        <v>3</v>
      </c>
      <c r="H3" s="268">
        <v>3</v>
      </c>
      <c r="I3" s="268">
        <v>3</v>
      </c>
    </row>
    <row r="4" spans="1:9">
      <c r="A4" s="263" t="s">
        <v>3000</v>
      </c>
      <c r="B4" s="272">
        <v>803</v>
      </c>
      <c r="C4" s="269" t="s">
        <v>2762</v>
      </c>
      <c r="D4" s="267" t="s">
        <v>3003</v>
      </c>
      <c r="E4" s="267" t="s">
        <v>3003</v>
      </c>
      <c r="F4" s="267" t="s">
        <v>3004</v>
      </c>
      <c r="G4" s="267" t="s">
        <v>3003</v>
      </c>
      <c r="H4" s="267" t="s">
        <v>3003</v>
      </c>
      <c r="I4" s="267" t="s">
        <v>3003</v>
      </c>
    </row>
    <row r="5" spans="1:9">
      <c r="A5" s="263" t="s">
        <v>3000</v>
      </c>
      <c r="B5" s="272">
        <v>1002</v>
      </c>
      <c r="C5" s="267" t="s">
        <v>3005</v>
      </c>
      <c r="D5" s="268" t="s">
        <v>3006</v>
      </c>
      <c r="E5" s="268" t="s">
        <v>3007</v>
      </c>
      <c r="F5" s="268" t="s">
        <v>3008</v>
      </c>
      <c r="G5" s="268" t="s">
        <v>3009</v>
      </c>
      <c r="H5" s="268" t="s">
        <v>3010</v>
      </c>
      <c r="I5" s="268" t="s">
        <v>3011</v>
      </c>
    </row>
    <row r="6" spans="1:9" ht="48">
      <c r="A6" s="263" t="s">
        <v>3000</v>
      </c>
      <c r="B6" s="272">
        <v>1003</v>
      </c>
      <c r="C6" s="269" t="s">
        <v>3012</v>
      </c>
      <c r="D6" s="267" t="s">
        <v>3013</v>
      </c>
      <c r="E6" s="267" t="s">
        <v>3006</v>
      </c>
      <c r="F6" s="267" t="s">
        <v>3014</v>
      </c>
      <c r="G6" s="267" t="s">
        <v>3015</v>
      </c>
      <c r="H6" s="267" t="s">
        <v>3016</v>
      </c>
      <c r="I6" s="267" t="s">
        <v>3017</v>
      </c>
    </row>
    <row r="7" spans="1:9">
      <c r="A7" s="263" t="s">
        <v>3000</v>
      </c>
      <c r="B7" s="272">
        <v>1004</v>
      </c>
      <c r="C7" s="267" t="s">
        <v>3018</v>
      </c>
      <c r="D7" s="268">
        <v>2020</v>
      </c>
      <c r="E7" s="268">
        <v>2013</v>
      </c>
      <c r="F7" s="268">
        <v>2012</v>
      </c>
      <c r="G7" s="268">
        <v>2016</v>
      </c>
      <c r="H7" s="268">
        <v>2018</v>
      </c>
      <c r="I7" s="268">
        <v>2026</v>
      </c>
    </row>
    <row r="8" spans="1:9" ht="48" customHeight="1">
      <c r="A8" s="263" t="s">
        <v>3000</v>
      </c>
      <c r="B8" s="272">
        <v>1005</v>
      </c>
      <c r="C8" s="269" t="s">
        <v>3019</v>
      </c>
      <c r="D8" s="267" t="s">
        <v>3020</v>
      </c>
      <c r="E8" s="267" t="s">
        <v>3021</v>
      </c>
      <c r="F8" s="267" t="s">
        <v>3022</v>
      </c>
      <c r="G8" s="267" t="s">
        <v>3023</v>
      </c>
      <c r="H8" s="267" t="s">
        <v>3024</v>
      </c>
      <c r="I8" s="267" t="s">
        <v>3025</v>
      </c>
    </row>
    <row r="9" spans="1:9">
      <c r="A9" s="263"/>
      <c r="B9" s="272">
        <v>1006</v>
      </c>
      <c r="C9" s="267" t="s">
        <v>2991</v>
      </c>
      <c r="D9" s="268"/>
      <c r="E9" s="268"/>
      <c r="F9" s="268"/>
      <c r="G9" s="268"/>
      <c r="H9" s="268"/>
      <c r="I9" s="268"/>
    </row>
    <row r="10" spans="1:9">
      <c r="A10" s="263" t="s">
        <v>3000</v>
      </c>
      <c r="B10" s="272">
        <v>1007</v>
      </c>
      <c r="C10" s="269" t="s">
        <v>3026</v>
      </c>
      <c r="D10" s="267"/>
      <c r="E10" s="267"/>
      <c r="F10" s="267" t="s">
        <v>3027</v>
      </c>
      <c r="G10" s="267"/>
      <c r="H10" s="267"/>
      <c r="I10" s="267" t="s">
        <v>3028</v>
      </c>
    </row>
    <row r="11" spans="1:9">
      <c r="A11" s="263" t="s">
        <v>3000</v>
      </c>
      <c r="B11" s="272">
        <v>1008</v>
      </c>
      <c r="C11" s="267" t="s">
        <v>3029</v>
      </c>
      <c r="D11" s="268" t="s">
        <v>3030</v>
      </c>
      <c r="E11" s="268" t="s">
        <v>3030</v>
      </c>
      <c r="F11" s="268">
        <v>0</v>
      </c>
      <c r="G11" s="268" t="s">
        <v>3030</v>
      </c>
      <c r="H11" s="268" t="s">
        <v>3030</v>
      </c>
      <c r="I11" s="268" t="s">
        <v>3031</v>
      </c>
    </row>
    <row r="12" spans="1:9">
      <c r="A12" s="263" t="s">
        <v>3000</v>
      </c>
      <c r="B12" s="272">
        <v>1009</v>
      </c>
      <c r="C12" s="269" t="s">
        <v>3032</v>
      </c>
      <c r="D12" s="267" t="s">
        <v>3033</v>
      </c>
      <c r="E12" s="267" t="s">
        <v>3034</v>
      </c>
      <c r="F12" s="267" t="s">
        <v>3034</v>
      </c>
      <c r="G12" s="267" t="s">
        <v>3034</v>
      </c>
      <c r="H12" s="267" t="s">
        <v>3034</v>
      </c>
      <c r="I12" s="267" t="s">
        <v>3033</v>
      </c>
    </row>
    <row r="13" spans="1:9" ht="24" customHeight="1">
      <c r="A13" s="263" t="s">
        <v>3000</v>
      </c>
      <c r="B13" s="272">
        <v>1010</v>
      </c>
      <c r="C13" s="267" t="s">
        <v>3035</v>
      </c>
      <c r="D13" s="268" t="s">
        <v>3036</v>
      </c>
      <c r="E13" s="268" t="s">
        <v>3037</v>
      </c>
      <c r="F13" s="268" t="s">
        <v>3038</v>
      </c>
      <c r="G13" s="268" t="s">
        <v>3037</v>
      </c>
      <c r="H13" s="268" t="s">
        <v>3037</v>
      </c>
      <c r="I13" s="268" t="s">
        <v>3039</v>
      </c>
    </row>
    <row r="14" spans="1:9">
      <c r="A14" s="263" t="s">
        <v>3000</v>
      </c>
      <c r="B14" s="272">
        <v>1011</v>
      </c>
      <c r="C14" s="269" t="s">
        <v>3040</v>
      </c>
      <c r="D14" s="267" t="s">
        <v>98</v>
      </c>
      <c r="E14" s="267" t="s">
        <v>98</v>
      </c>
      <c r="F14" s="267" t="s">
        <v>98</v>
      </c>
      <c r="G14" s="267" t="s">
        <v>98</v>
      </c>
      <c r="H14" s="267" t="s">
        <v>98</v>
      </c>
      <c r="I14" s="267" t="s">
        <v>98</v>
      </c>
    </row>
    <row r="15" spans="1:9">
      <c r="A15" s="263" t="s">
        <v>3000</v>
      </c>
      <c r="B15" s="272">
        <v>1012</v>
      </c>
      <c r="C15" s="267" t="s">
        <v>3041</v>
      </c>
      <c r="D15" s="268">
        <v>174</v>
      </c>
      <c r="E15" s="268">
        <v>174</v>
      </c>
      <c r="F15" s="268">
        <v>407</v>
      </c>
      <c r="G15" s="268">
        <v>174</v>
      </c>
      <c r="H15" s="268">
        <v>174</v>
      </c>
      <c r="I15" s="268" t="s">
        <v>98</v>
      </c>
    </row>
    <row r="16" spans="1:9">
      <c r="A16" s="263" t="s">
        <v>3000</v>
      </c>
      <c r="B16" s="272">
        <v>1013</v>
      </c>
      <c r="C16" s="269" t="s">
        <v>3042</v>
      </c>
      <c r="D16" s="267" t="s">
        <v>98</v>
      </c>
      <c r="E16" s="267" t="s">
        <v>98</v>
      </c>
      <c r="F16" s="267" t="s">
        <v>98</v>
      </c>
      <c r="G16" s="267" t="s">
        <v>98</v>
      </c>
      <c r="H16" s="267" t="s">
        <v>98</v>
      </c>
      <c r="I16" s="267" t="s">
        <v>98</v>
      </c>
    </row>
  </sheetData>
  <pageMargins left="0.78740157480314965" right="0.55118110236220474" top="0.59055118110236227" bottom="0.59055118110236227" header="0.51181102362204722" footer="0.51181102362204722"/>
  <pageSetup scale="41"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Tabelle12">
    <tabColor rgb="FF9CD9F0"/>
    <pageSetUpPr fitToPage="1"/>
  </sheetPr>
  <dimension ref="A1:H9"/>
  <sheetViews>
    <sheetView topLeftCell="E1" workbookViewId="0">
      <selection activeCell="J1" sqref="I1:J1048576"/>
    </sheetView>
  </sheetViews>
  <sheetFormatPr baseColWidth="10" defaultColWidth="8.85546875" defaultRowHeight="12"/>
  <cols>
    <col min="1" max="1" width="7.42578125" style="154" customWidth="1"/>
    <col min="2" max="2" width="5.7109375" style="155" customWidth="1"/>
    <col min="3" max="3" width="13.28515625" style="156" customWidth="1"/>
    <col min="4" max="4" width="26" style="156" customWidth="1"/>
    <col min="5" max="5" width="26.140625" style="158" customWidth="1"/>
    <col min="6" max="8" width="23.5703125" style="158" customWidth="1"/>
    <col min="9" max="10" width="8.85546875" style="158" customWidth="1"/>
    <col min="11" max="16384" width="8.85546875" style="158"/>
  </cols>
  <sheetData>
    <row r="1" spans="1:8" s="157" customFormat="1">
      <c r="A1" s="145" t="s">
        <v>2352</v>
      </c>
      <c r="B1" s="146" t="s">
        <v>67</v>
      </c>
      <c r="C1" s="147" t="s">
        <v>2999</v>
      </c>
      <c r="D1" s="148"/>
      <c r="E1" s="148"/>
    </row>
    <row r="2" spans="1:8">
      <c r="A2" s="145" t="s">
        <v>3043</v>
      </c>
      <c r="B2" s="149">
        <v>5800</v>
      </c>
      <c r="C2" s="150" t="s">
        <v>3001</v>
      </c>
      <c r="D2" s="151">
        <v>42</v>
      </c>
      <c r="E2" s="151">
        <v>48</v>
      </c>
      <c r="F2" s="151">
        <v>201</v>
      </c>
      <c r="G2" s="151">
        <v>44</v>
      </c>
      <c r="H2" s="151">
        <v>202</v>
      </c>
    </row>
    <row r="3" spans="1:8">
      <c r="A3" s="145" t="s">
        <v>3043</v>
      </c>
      <c r="B3" s="149">
        <v>5802</v>
      </c>
      <c r="C3" s="437" t="s">
        <v>71</v>
      </c>
      <c r="D3" s="152" t="s">
        <v>3044</v>
      </c>
      <c r="E3" s="260" t="s">
        <v>3045</v>
      </c>
      <c r="F3" s="152" t="s">
        <v>3046</v>
      </c>
      <c r="G3" s="152" t="s">
        <v>3047</v>
      </c>
      <c r="H3" s="152" t="s">
        <v>3048</v>
      </c>
    </row>
    <row r="4" spans="1:8" ht="48" customHeight="1">
      <c r="A4" s="145" t="s">
        <v>3043</v>
      </c>
      <c r="B4" s="149">
        <v>5803</v>
      </c>
      <c r="C4" s="437" t="s">
        <v>3049</v>
      </c>
      <c r="D4" s="152" t="s">
        <v>3050</v>
      </c>
      <c r="E4" s="261" t="s">
        <v>3050</v>
      </c>
      <c r="F4" s="305" t="s">
        <v>3051</v>
      </c>
      <c r="G4" s="305" t="s">
        <v>3051</v>
      </c>
      <c r="H4" s="305" t="s">
        <v>3051</v>
      </c>
    </row>
    <row r="5" spans="1:8">
      <c r="A5" s="145" t="s">
        <v>3043</v>
      </c>
      <c r="B5" s="149">
        <v>5804</v>
      </c>
      <c r="C5" s="437" t="s">
        <v>3052</v>
      </c>
      <c r="D5" s="152" t="s">
        <v>3053</v>
      </c>
      <c r="E5" s="260" t="s">
        <v>3054</v>
      </c>
      <c r="F5" s="152" t="s">
        <v>3055</v>
      </c>
      <c r="G5" s="152" t="s">
        <v>3056</v>
      </c>
      <c r="H5" s="152" t="s">
        <v>3057</v>
      </c>
    </row>
    <row r="6" spans="1:8">
      <c r="A6" s="145" t="s">
        <v>3043</v>
      </c>
      <c r="B6" s="149">
        <v>5805</v>
      </c>
      <c r="C6" s="437" t="s">
        <v>3058</v>
      </c>
      <c r="D6" s="152" t="s">
        <v>3059</v>
      </c>
      <c r="E6" s="261" t="s">
        <v>3059</v>
      </c>
      <c r="F6" s="152" t="s">
        <v>3055</v>
      </c>
      <c r="G6" s="152" t="s">
        <v>3056</v>
      </c>
      <c r="H6" s="152" t="s">
        <v>3057</v>
      </c>
    </row>
    <row r="7" spans="1:8" ht="25.5" customHeight="1">
      <c r="A7" s="145" t="s">
        <v>3043</v>
      </c>
      <c r="B7" s="149">
        <v>5806</v>
      </c>
      <c r="C7" s="437" t="s">
        <v>3060</v>
      </c>
      <c r="D7" s="153" t="s">
        <v>3061</v>
      </c>
      <c r="E7" s="262" t="s">
        <v>3062</v>
      </c>
      <c r="F7" s="153" t="s">
        <v>3063</v>
      </c>
      <c r="G7" s="306" t="s">
        <v>3064</v>
      </c>
      <c r="H7" s="153" t="s">
        <v>3065</v>
      </c>
    </row>
    <row r="8" spans="1:8">
      <c r="A8" s="145" t="s">
        <v>3043</v>
      </c>
      <c r="B8" s="149">
        <v>5807</v>
      </c>
      <c r="C8" s="437" t="s">
        <v>3066</v>
      </c>
      <c r="D8" s="152" t="s">
        <v>3067</v>
      </c>
      <c r="E8" s="261" t="s">
        <v>3068</v>
      </c>
      <c r="F8" s="152" t="s">
        <v>3069</v>
      </c>
      <c r="G8" s="152" t="s">
        <v>3069</v>
      </c>
      <c r="H8" s="152" t="s">
        <v>3069</v>
      </c>
    </row>
    <row r="9" spans="1:8">
      <c r="A9" s="145" t="s">
        <v>3043</v>
      </c>
      <c r="B9" s="149">
        <v>5808</v>
      </c>
      <c r="C9" s="437" t="s">
        <v>2990</v>
      </c>
      <c r="D9" s="152" t="s">
        <v>103</v>
      </c>
      <c r="E9" s="260" t="s">
        <v>103</v>
      </c>
      <c r="F9" s="152" t="s">
        <v>103</v>
      </c>
      <c r="G9" s="152" t="s">
        <v>103</v>
      </c>
      <c r="H9" s="152" t="s">
        <v>103</v>
      </c>
    </row>
  </sheetData>
  <conditionalFormatting sqref="C3:C9">
    <cfRule type="expression" dxfId="2" priority="8">
      <formula>MOD(ROW(),2)-1=0</formula>
    </cfRule>
    <cfRule type="expression" dxfId="1" priority="9">
      <formula>MOD(ROW(),2)=0</formula>
    </cfRule>
  </conditionalFormatting>
  <conditionalFormatting sqref="D3:D9 F3:H9">
    <cfRule type="expression" dxfId="0" priority="10">
      <formula>MOD(ROW(),2)=0</formula>
    </cfRule>
  </conditionalFormatting>
  <hyperlinks>
    <hyperlink ref="D7" r:id="rId1" xr:uid="{00000000-0004-0000-5F00-000000000000}"/>
    <hyperlink ref="E7" r:id="rId2" display="mailto:stolz@treeze.ch" xr:uid="{00000000-0004-0000-5F00-000001000000}"/>
    <hyperlink ref="F7" r:id="rId3" xr:uid="{00000000-0004-0000-5F00-000005000000}"/>
    <hyperlink ref="H7" r:id="rId4" xr:uid="{00000000-0004-0000-5F00-000006000000}"/>
  </hyperlinks>
  <pageMargins left="0.78740157480314965" right="0.55118110236220474" top="0.59055118110236227" bottom="0.59055118110236227" header="0.51181102362204722" footer="0.51181102362204722"/>
  <pageSetup scale="38"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1">
    <tabColor rgb="FF9CD9F0"/>
    <pageSetUpPr fitToPage="1"/>
  </sheetPr>
  <dimension ref="A1:AI27"/>
  <sheetViews>
    <sheetView showGridLines="0" workbookViewId="0">
      <selection activeCell="L15" sqref="L15"/>
    </sheetView>
  </sheetViews>
  <sheetFormatPr baseColWidth="10" defaultColWidth="11.42578125" defaultRowHeight="12" outlineLevelCol="1"/>
  <cols>
    <col min="1" max="1" width="10.7109375" style="45" customWidth="1"/>
    <col min="2" max="2" width="16" style="47" customWidth="1"/>
    <col min="3" max="3" width="3.7109375" style="48" hidden="1" customWidth="1" outlineLevel="1"/>
    <col min="4" max="4" width="4.140625" style="45" hidden="1" customWidth="1" outlineLevel="1"/>
    <col min="5" max="5" width="4" style="45" hidden="1" customWidth="1" outlineLevel="1"/>
    <col min="6" max="6" width="56.85546875" style="45" customWidth="1" collapsed="1"/>
    <col min="7" max="7" width="6" style="45" customWidth="1"/>
    <col min="8" max="8" width="8.28515625" style="45" hidden="1" customWidth="1" outlineLevel="1"/>
    <col min="9" max="9" width="19.5703125" style="45" hidden="1" customWidth="1" outlineLevel="1"/>
    <col min="10" max="10" width="2.7109375" style="45" customWidth="1" collapsed="1"/>
    <col min="11" max="11" width="5.140625" style="45" customWidth="1"/>
    <col min="12" max="12" width="14" style="45" customWidth="1"/>
    <col min="13" max="13" width="3.5703125" style="37" hidden="1" customWidth="1" outlineLevel="1"/>
    <col min="14" max="14" width="6.5703125" style="37" hidden="1" customWidth="1" outlineLevel="1"/>
    <col min="15" max="15" width="36.5703125" style="37" hidden="1" customWidth="1" outlineLevel="1"/>
    <col min="16" max="16" width="2.7109375" style="37" hidden="1" customWidth="1" outlineLevel="1"/>
    <col min="17" max="17" width="57.85546875" style="391" customWidth="1" collapsed="1"/>
    <col min="18" max="18" width="4.140625" style="391" customWidth="1"/>
    <col min="19" max="19" width="4.42578125" style="391" customWidth="1"/>
    <col min="20" max="20" width="4.28515625" style="391" customWidth="1"/>
    <col min="21" max="21" width="4" style="391" customWidth="1"/>
    <col min="22" max="22" width="3.7109375" style="391" customWidth="1"/>
    <col min="23" max="23" width="4.28515625" style="391" customWidth="1"/>
    <col min="24" max="24" width="3.42578125" style="391" hidden="1" customWidth="1" outlineLevel="1"/>
    <col min="25" max="25" width="4.7109375" style="45" hidden="1" customWidth="1" outlineLevel="1"/>
    <col min="26" max="27" width="5.42578125" style="45" hidden="1" customWidth="1" outlineLevel="1"/>
    <col min="28" max="28" width="10.28515625" style="45" hidden="1" customWidth="1" outlineLevel="1"/>
    <col min="29" max="29" width="4.42578125" style="45" hidden="1" customWidth="1" outlineLevel="1"/>
    <col min="30" max="30" width="4.28515625" style="45" hidden="1" customWidth="1" outlineLevel="1"/>
    <col min="31" max="31" width="4" style="45" hidden="1" customWidth="1" outlineLevel="1"/>
    <col min="32" max="32" width="4.42578125" style="45" hidden="1" customWidth="1" outlineLevel="1"/>
    <col min="33" max="33" width="3.85546875" style="45" hidden="1" customWidth="1" outlineLevel="1"/>
    <col min="34" max="34" width="4.28515625" style="45" hidden="1" customWidth="1" outlineLevel="1"/>
    <col min="35" max="35" width="11.42578125" style="45" customWidth="1" collapsed="1"/>
    <col min="36" max="257" width="11.42578125" style="45" customWidth="1"/>
    <col min="258" max="258" width="10.7109375" style="45" customWidth="1"/>
    <col min="259" max="259" width="16" style="45" customWidth="1"/>
    <col min="260" max="260" width="3.7109375" style="45" customWidth="1"/>
    <col min="261" max="261" width="4.140625" style="45" customWidth="1"/>
    <col min="262" max="262" width="4" style="45" customWidth="1"/>
    <col min="263" max="263" width="56.85546875" style="45" customWidth="1"/>
    <col min="264" max="264" width="6" style="45" customWidth="1"/>
    <col min="265" max="265" width="8.28515625" style="45" customWidth="1"/>
    <col min="266" max="266" width="19.5703125" style="45" customWidth="1"/>
    <col min="267" max="267" width="2.7109375" style="45" customWidth="1"/>
    <col min="268" max="268" width="5.140625" style="45" customWidth="1"/>
    <col min="269" max="269" width="14" style="45" customWidth="1"/>
    <col min="270" max="270" width="3.5703125" style="45" customWidth="1"/>
    <col min="271" max="271" width="6.5703125" style="45" customWidth="1"/>
    <col min="272" max="272" width="36.5703125" style="45" customWidth="1"/>
    <col min="273" max="273" width="57.85546875" style="45" customWidth="1"/>
    <col min="274" max="274" width="4.140625" style="45" customWidth="1"/>
    <col min="275" max="275" width="4.42578125" style="45" customWidth="1"/>
    <col min="276" max="276" width="4.28515625" style="45" customWidth="1"/>
    <col min="277" max="277" width="4" style="45" customWidth="1"/>
    <col min="278" max="278" width="3.7109375" style="45" customWidth="1"/>
    <col min="279" max="279" width="4.28515625" style="45" customWidth="1"/>
    <col min="280" max="280" width="3.42578125" style="45" customWidth="1"/>
    <col min="281" max="281" width="4.7109375" style="45" customWidth="1"/>
    <col min="282" max="283" width="5.42578125" style="45" customWidth="1"/>
    <col min="284" max="284" width="10.28515625" style="45" customWidth="1"/>
    <col min="285" max="285" width="4.42578125" style="45" customWidth="1"/>
    <col min="286" max="286" width="4.28515625" style="45" customWidth="1"/>
    <col min="287" max="287" width="4" style="45" customWidth="1"/>
    <col min="288" max="288" width="4.42578125" style="45" customWidth="1"/>
    <col min="289" max="289" width="3.85546875" style="45" customWidth="1"/>
    <col min="290" max="290" width="4.28515625" style="45" customWidth="1"/>
    <col min="291" max="513" width="11.42578125" style="45" customWidth="1"/>
    <col min="514" max="514" width="10.7109375" style="45" customWidth="1"/>
    <col min="515" max="515" width="16" style="45" customWidth="1"/>
    <col min="516" max="516" width="3.7109375" style="45" customWidth="1"/>
    <col min="517" max="517" width="4.140625" style="45" customWidth="1"/>
    <col min="518" max="518" width="4" style="45" customWidth="1"/>
    <col min="519" max="519" width="56.85546875" style="45" customWidth="1"/>
    <col min="520" max="520" width="6" style="45" customWidth="1"/>
    <col min="521" max="521" width="8.28515625" style="45" customWidth="1"/>
    <col min="522" max="522" width="19.5703125" style="45" customWidth="1"/>
    <col min="523" max="523" width="2.7109375" style="45" customWidth="1"/>
    <col min="524" max="524" width="5.140625" style="45" customWidth="1"/>
    <col min="525" max="525" width="14" style="45" customWidth="1"/>
    <col min="526" max="526" width="3.5703125" style="45" customWidth="1"/>
    <col min="527" max="527" width="6.5703125" style="45" customWidth="1"/>
    <col min="528" max="528" width="36.5703125" style="45" customWidth="1"/>
    <col min="529" max="529" width="57.85546875" style="45" customWidth="1"/>
    <col min="530" max="530" width="4.140625" style="45" customWidth="1"/>
    <col min="531" max="531" width="4.42578125" style="45" customWidth="1"/>
    <col min="532" max="532" width="4.28515625" style="45" customWidth="1"/>
    <col min="533" max="533" width="4" style="45" customWidth="1"/>
    <col min="534" max="534" width="3.7109375" style="45" customWidth="1"/>
    <col min="535" max="535" width="4.28515625" style="45" customWidth="1"/>
    <col min="536" max="536" width="3.42578125" style="45" customWidth="1"/>
    <col min="537" max="537" width="4.7109375" style="45" customWidth="1"/>
    <col min="538" max="539" width="5.42578125" style="45" customWidth="1"/>
    <col min="540" max="540" width="10.28515625" style="45" customWidth="1"/>
    <col min="541" max="541" width="4.42578125" style="45" customWidth="1"/>
    <col min="542" max="542" width="4.28515625" style="45" customWidth="1"/>
    <col min="543" max="543" width="4" style="45" customWidth="1"/>
    <col min="544" max="544" width="4.42578125" style="45" customWidth="1"/>
    <col min="545" max="545" width="3.85546875" style="45" customWidth="1"/>
    <col min="546" max="546" width="4.28515625" style="45" customWidth="1"/>
    <col min="547" max="769" width="11.42578125" style="45" customWidth="1"/>
    <col min="770" max="770" width="10.7109375" style="45" customWidth="1"/>
    <col min="771" max="771" width="16" style="45" customWidth="1"/>
    <col min="772" max="772" width="3.7109375" style="45" customWidth="1"/>
    <col min="773" max="773" width="4.140625" style="45" customWidth="1"/>
    <col min="774" max="774" width="4" style="45" customWidth="1"/>
    <col min="775" max="775" width="56.85546875" style="45" customWidth="1"/>
    <col min="776" max="776" width="6" style="45" customWidth="1"/>
    <col min="777" max="777" width="8.28515625" style="45" customWidth="1"/>
    <col min="778" max="778" width="19.5703125" style="45" customWidth="1"/>
    <col min="779" max="779" width="2.7109375" style="45" customWidth="1"/>
    <col min="780" max="780" width="5.140625" style="45" customWidth="1"/>
    <col min="781" max="781" width="14" style="45" customWidth="1"/>
    <col min="782" max="782" width="3.5703125" style="45" customWidth="1"/>
    <col min="783" max="783" width="6.5703125" style="45" customWidth="1"/>
    <col min="784" max="784" width="36.5703125" style="45" customWidth="1"/>
    <col min="785" max="785" width="57.85546875" style="45" customWidth="1"/>
    <col min="786" max="786" width="4.140625" style="45" customWidth="1"/>
    <col min="787" max="787" width="4.42578125" style="45" customWidth="1"/>
    <col min="788" max="788" width="4.28515625" style="45" customWidth="1"/>
    <col min="789" max="789" width="4" style="45" customWidth="1"/>
    <col min="790" max="790" width="3.7109375" style="45" customWidth="1"/>
    <col min="791" max="791" width="4.28515625" style="45" customWidth="1"/>
    <col min="792" max="792" width="3.42578125" style="45" customWidth="1"/>
    <col min="793" max="793" width="4.7109375" style="45" customWidth="1"/>
    <col min="794" max="795" width="5.42578125" style="45" customWidth="1"/>
    <col min="796" max="796" width="10.28515625" style="45" customWidth="1"/>
    <col min="797" max="797" width="4.42578125" style="45" customWidth="1"/>
    <col min="798" max="798" width="4.28515625" style="45" customWidth="1"/>
    <col min="799" max="799" width="4" style="45" customWidth="1"/>
    <col min="800" max="800" width="4.42578125" style="45" customWidth="1"/>
    <col min="801" max="801" width="3.85546875" style="45" customWidth="1"/>
    <col min="802" max="802" width="4.28515625" style="45" customWidth="1"/>
    <col min="803" max="1025" width="11.42578125" style="45" customWidth="1"/>
    <col min="1026" max="1026" width="10.7109375" style="45" customWidth="1"/>
    <col min="1027" max="1027" width="16" style="45" customWidth="1"/>
    <col min="1028" max="1028" width="3.7109375" style="45" customWidth="1"/>
    <col min="1029" max="1029" width="4.140625" style="45" customWidth="1"/>
    <col min="1030" max="1030" width="4" style="45" customWidth="1"/>
    <col min="1031" max="1031" width="56.85546875" style="45" customWidth="1"/>
    <col min="1032" max="1032" width="6" style="45" customWidth="1"/>
    <col min="1033" max="1033" width="8.28515625" style="45" customWidth="1"/>
    <col min="1034" max="1034" width="19.5703125" style="45" customWidth="1"/>
    <col min="1035" max="1035" width="2.7109375" style="45" customWidth="1"/>
    <col min="1036" max="1036" width="5.140625" style="45" customWidth="1"/>
    <col min="1037" max="1037" width="14" style="45" customWidth="1"/>
    <col min="1038" max="1038" width="3.5703125" style="45" customWidth="1"/>
    <col min="1039" max="1039" width="6.5703125" style="45" customWidth="1"/>
    <col min="1040" max="1040" width="36.5703125" style="45" customWidth="1"/>
    <col min="1041" max="1041" width="57.85546875" style="45" customWidth="1"/>
    <col min="1042" max="1042" width="4.140625" style="45" customWidth="1"/>
    <col min="1043" max="1043" width="4.42578125" style="45" customWidth="1"/>
    <col min="1044" max="1044" width="4.28515625" style="45" customWidth="1"/>
    <col min="1045" max="1045" width="4" style="45" customWidth="1"/>
    <col min="1046" max="1046" width="3.7109375" style="45" customWidth="1"/>
    <col min="1047" max="1047" width="4.28515625" style="45" customWidth="1"/>
    <col min="1048" max="1048" width="3.42578125" style="45" customWidth="1"/>
    <col min="1049" max="1049" width="4.7109375" style="45" customWidth="1"/>
    <col min="1050" max="1051" width="5.42578125" style="45" customWidth="1"/>
    <col min="1052" max="1052" width="10.28515625" style="45" customWidth="1"/>
    <col min="1053" max="1053" width="4.42578125" style="45" customWidth="1"/>
    <col min="1054" max="1054" width="4.28515625" style="45" customWidth="1"/>
    <col min="1055" max="1055" width="4" style="45" customWidth="1"/>
    <col min="1056" max="1056" width="4.42578125" style="45" customWidth="1"/>
    <col min="1057" max="1057" width="3.85546875" style="45" customWidth="1"/>
    <col min="1058" max="1058" width="4.28515625" style="45" customWidth="1"/>
    <col min="1059" max="1281" width="11.42578125" style="45" customWidth="1"/>
    <col min="1282" max="1282" width="10.7109375" style="45" customWidth="1"/>
    <col min="1283" max="1283" width="16" style="45" customWidth="1"/>
    <col min="1284" max="1284" width="3.7109375" style="45" customWidth="1"/>
    <col min="1285" max="1285" width="4.140625" style="45" customWidth="1"/>
    <col min="1286" max="1286" width="4" style="45" customWidth="1"/>
    <col min="1287" max="1287" width="56.85546875" style="45" customWidth="1"/>
    <col min="1288" max="1288" width="6" style="45" customWidth="1"/>
    <col min="1289" max="1289" width="8.28515625" style="45" customWidth="1"/>
    <col min="1290" max="1290" width="19.5703125" style="45" customWidth="1"/>
    <col min="1291" max="1291" width="2.7109375" style="45" customWidth="1"/>
    <col min="1292" max="1292" width="5.140625" style="45" customWidth="1"/>
    <col min="1293" max="1293" width="14" style="45" customWidth="1"/>
    <col min="1294" max="1294" width="3.5703125" style="45" customWidth="1"/>
    <col min="1295" max="1295" width="6.5703125" style="45" customWidth="1"/>
    <col min="1296" max="1296" width="36.5703125" style="45" customWidth="1"/>
    <col min="1297" max="1297" width="57.85546875" style="45" customWidth="1"/>
    <col min="1298" max="1298" width="4.140625" style="45" customWidth="1"/>
    <col min="1299" max="1299" width="4.42578125" style="45" customWidth="1"/>
    <col min="1300" max="1300" width="4.28515625" style="45" customWidth="1"/>
    <col min="1301" max="1301" width="4" style="45" customWidth="1"/>
    <col min="1302" max="1302" width="3.7109375" style="45" customWidth="1"/>
    <col min="1303" max="1303" width="4.28515625" style="45" customWidth="1"/>
    <col min="1304" max="1304" width="3.42578125" style="45" customWidth="1"/>
    <col min="1305" max="1305" width="4.7109375" style="45" customWidth="1"/>
    <col min="1306" max="1307" width="5.42578125" style="45" customWidth="1"/>
    <col min="1308" max="1308" width="10.28515625" style="45" customWidth="1"/>
    <col min="1309" max="1309" width="4.42578125" style="45" customWidth="1"/>
    <col min="1310" max="1310" width="4.28515625" style="45" customWidth="1"/>
    <col min="1311" max="1311" width="4" style="45" customWidth="1"/>
    <col min="1312" max="1312" width="4.42578125" style="45" customWidth="1"/>
    <col min="1313" max="1313" width="3.85546875" style="45" customWidth="1"/>
    <col min="1314" max="1314" width="4.28515625" style="45" customWidth="1"/>
    <col min="1315" max="1537" width="11.42578125" style="45" customWidth="1"/>
    <col min="1538" max="1538" width="10.7109375" style="45" customWidth="1"/>
    <col min="1539" max="1539" width="16" style="45" customWidth="1"/>
    <col min="1540" max="1540" width="3.7109375" style="45" customWidth="1"/>
    <col min="1541" max="1541" width="4.140625" style="45" customWidth="1"/>
    <col min="1542" max="1542" width="4" style="45" customWidth="1"/>
    <col min="1543" max="1543" width="56.85546875" style="45" customWidth="1"/>
    <col min="1544" max="1544" width="6" style="45" customWidth="1"/>
    <col min="1545" max="1545" width="8.28515625" style="45" customWidth="1"/>
    <col min="1546" max="1546" width="19.5703125" style="45" customWidth="1"/>
    <col min="1547" max="1547" width="2.7109375" style="45" customWidth="1"/>
    <col min="1548" max="1548" width="5.140625" style="45" customWidth="1"/>
    <col min="1549" max="1549" width="14" style="45" customWidth="1"/>
    <col min="1550" max="1550" width="3.5703125" style="45" customWidth="1"/>
    <col min="1551" max="1551" width="6.5703125" style="45" customWidth="1"/>
    <col min="1552" max="1552" width="36.5703125" style="45" customWidth="1"/>
    <col min="1553" max="1553" width="57.85546875" style="45" customWidth="1"/>
    <col min="1554" max="1554" width="4.140625" style="45" customWidth="1"/>
    <col min="1555" max="1555" width="4.42578125" style="45" customWidth="1"/>
    <col min="1556" max="1556" width="4.28515625" style="45" customWidth="1"/>
    <col min="1557" max="1557" width="4" style="45" customWidth="1"/>
    <col min="1558" max="1558" width="3.7109375" style="45" customWidth="1"/>
    <col min="1559" max="1559" width="4.28515625" style="45" customWidth="1"/>
    <col min="1560" max="1560" width="3.42578125" style="45" customWidth="1"/>
    <col min="1561" max="1561" width="4.7109375" style="45" customWidth="1"/>
    <col min="1562" max="1563" width="5.42578125" style="45" customWidth="1"/>
    <col min="1564" max="1564" width="10.28515625" style="45" customWidth="1"/>
    <col min="1565" max="1565" width="4.42578125" style="45" customWidth="1"/>
    <col min="1566" max="1566" width="4.28515625" style="45" customWidth="1"/>
    <col min="1567" max="1567" width="4" style="45" customWidth="1"/>
    <col min="1568" max="1568" width="4.42578125" style="45" customWidth="1"/>
    <col min="1569" max="1569" width="3.85546875" style="45" customWidth="1"/>
    <col min="1570" max="1570" width="4.28515625" style="45" customWidth="1"/>
    <col min="1571" max="1793" width="11.42578125" style="45" customWidth="1"/>
    <col min="1794" max="1794" width="10.7109375" style="45" customWidth="1"/>
    <col min="1795" max="1795" width="16" style="45" customWidth="1"/>
    <col min="1796" max="1796" width="3.7109375" style="45" customWidth="1"/>
    <col min="1797" max="1797" width="4.140625" style="45" customWidth="1"/>
    <col min="1798" max="1798" width="4" style="45" customWidth="1"/>
    <col min="1799" max="1799" width="56.85546875" style="45" customWidth="1"/>
    <col min="1800" max="1800" width="6" style="45" customWidth="1"/>
    <col min="1801" max="1801" width="8.28515625" style="45" customWidth="1"/>
    <col min="1802" max="1802" width="19.5703125" style="45" customWidth="1"/>
    <col min="1803" max="1803" width="2.7109375" style="45" customWidth="1"/>
    <col min="1804" max="1804" width="5.140625" style="45" customWidth="1"/>
    <col min="1805" max="1805" width="14" style="45" customWidth="1"/>
    <col min="1806" max="1806" width="3.5703125" style="45" customWidth="1"/>
    <col min="1807" max="1807" width="6.5703125" style="45" customWidth="1"/>
    <col min="1808" max="1808" width="36.5703125" style="45" customWidth="1"/>
    <col min="1809" max="1809" width="57.85546875" style="45" customWidth="1"/>
    <col min="1810" max="1810" width="4.140625" style="45" customWidth="1"/>
    <col min="1811" max="1811" width="4.42578125" style="45" customWidth="1"/>
    <col min="1812" max="1812" width="4.28515625" style="45" customWidth="1"/>
    <col min="1813" max="1813" width="4" style="45" customWidth="1"/>
    <col min="1814" max="1814" width="3.7109375" style="45" customWidth="1"/>
    <col min="1815" max="1815" width="4.28515625" style="45" customWidth="1"/>
    <col min="1816" max="1816" width="3.42578125" style="45" customWidth="1"/>
    <col min="1817" max="1817" width="4.7109375" style="45" customWidth="1"/>
    <col min="1818" max="1819" width="5.42578125" style="45" customWidth="1"/>
    <col min="1820" max="1820" width="10.28515625" style="45" customWidth="1"/>
    <col min="1821" max="1821" width="4.42578125" style="45" customWidth="1"/>
    <col min="1822" max="1822" width="4.28515625" style="45" customWidth="1"/>
    <col min="1823" max="1823" width="4" style="45" customWidth="1"/>
    <col min="1824" max="1824" width="4.42578125" style="45" customWidth="1"/>
    <col min="1825" max="1825" width="3.85546875" style="45" customWidth="1"/>
    <col min="1826" max="1826" width="4.28515625" style="45" customWidth="1"/>
    <col min="1827" max="2049" width="11.42578125" style="45" customWidth="1"/>
    <col min="2050" max="2050" width="10.7109375" style="45" customWidth="1"/>
    <col min="2051" max="2051" width="16" style="45" customWidth="1"/>
    <col min="2052" max="2052" width="3.7109375" style="45" customWidth="1"/>
    <col min="2053" max="2053" width="4.140625" style="45" customWidth="1"/>
    <col min="2054" max="2054" width="4" style="45" customWidth="1"/>
    <col min="2055" max="2055" width="56.85546875" style="45" customWidth="1"/>
    <col min="2056" max="2056" width="6" style="45" customWidth="1"/>
    <col min="2057" max="2057" width="8.28515625" style="45" customWidth="1"/>
    <col min="2058" max="2058" width="19.5703125" style="45" customWidth="1"/>
    <col min="2059" max="2059" width="2.7109375" style="45" customWidth="1"/>
    <col min="2060" max="2060" width="5.140625" style="45" customWidth="1"/>
    <col min="2061" max="2061" width="14" style="45" customWidth="1"/>
    <col min="2062" max="2062" width="3.5703125" style="45" customWidth="1"/>
    <col min="2063" max="2063" width="6.5703125" style="45" customWidth="1"/>
    <col min="2064" max="2064" width="36.5703125" style="45" customWidth="1"/>
    <col min="2065" max="2065" width="57.85546875" style="45" customWidth="1"/>
    <col min="2066" max="2066" width="4.140625" style="45" customWidth="1"/>
    <col min="2067" max="2067" width="4.42578125" style="45" customWidth="1"/>
    <col min="2068" max="2068" width="4.28515625" style="45" customWidth="1"/>
    <col min="2069" max="2069" width="4" style="45" customWidth="1"/>
    <col min="2070" max="2070" width="3.7109375" style="45" customWidth="1"/>
    <col min="2071" max="2071" width="4.28515625" style="45" customWidth="1"/>
    <col min="2072" max="2072" width="3.42578125" style="45" customWidth="1"/>
    <col min="2073" max="2073" width="4.7109375" style="45" customWidth="1"/>
    <col min="2074" max="2075" width="5.42578125" style="45" customWidth="1"/>
    <col min="2076" max="2076" width="10.28515625" style="45" customWidth="1"/>
    <col min="2077" max="2077" width="4.42578125" style="45" customWidth="1"/>
    <col min="2078" max="2078" width="4.28515625" style="45" customWidth="1"/>
    <col min="2079" max="2079" width="4" style="45" customWidth="1"/>
    <col min="2080" max="2080" width="4.42578125" style="45" customWidth="1"/>
    <col min="2081" max="2081" width="3.85546875" style="45" customWidth="1"/>
    <col min="2082" max="2082" width="4.28515625" style="45" customWidth="1"/>
    <col min="2083" max="2305" width="11.42578125" style="45" customWidth="1"/>
    <col min="2306" max="2306" width="10.7109375" style="45" customWidth="1"/>
    <col min="2307" max="2307" width="16" style="45" customWidth="1"/>
    <col min="2308" max="2308" width="3.7109375" style="45" customWidth="1"/>
    <col min="2309" max="2309" width="4.140625" style="45" customWidth="1"/>
    <col min="2310" max="2310" width="4" style="45" customWidth="1"/>
    <col min="2311" max="2311" width="56.85546875" style="45" customWidth="1"/>
    <col min="2312" max="2312" width="6" style="45" customWidth="1"/>
    <col min="2313" max="2313" width="8.28515625" style="45" customWidth="1"/>
    <col min="2314" max="2314" width="19.5703125" style="45" customWidth="1"/>
    <col min="2315" max="2315" width="2.7109375" style="45" customWidth="1"/>
    <col min="2316" max="2316" width="5.140625" style="45" customWidth="1"/>
    <col min="2317" max="2317" width="14" style="45" customWidth="1"/>
    <col min="2318" max="2318" width="3.5703125" style="45" customWidth="1"/>
    <col min="2319" max="2319" width="6.5703125" style="45" customWidth="1"/>
    <col min="2320" max="2320" width="36.5703125" style="45" customWidth="1"/>
    <col min="2321" max="2321" width="57.85546875" style="45" customWidth="1"/>
    <col min="2322" max="2322" width="4.140625" style="45" customWidth="1"/>
    <col min="2323" max="2323" width="4.42578125" style="45" customWidth="1"/>
    <col min="2324" max="2324" width="4.28515625" style="45" customWidth="1"/>
    <col min="2325" max="2325" width="4" style="45" customWidth="1"/>
    <col min="2326" max="2326" width="3.7109375" style="45" customWidth="1"/>
    <col min="2327" max="2327" width="4.28515625" style="45" customWidth="1"/>
    <col min="2328" max="2328" width="3.42578125" style="45" customWidth="1"/>
    <col min="2329" max="2329" width="4.7109375" style="45" customWidth="1"/>
    <col min="2330" max="2331" width="5.42578125" style="45" customWidth="1"/>
    <col min="2332" max="2332" width="10.28515625" style="45" customWidth="1"/>
    <col min="2333" max="2333" width="4.42578125" style="45" customWidth="1"/>
    <col min="2334" max="2334" width="4.28515625" style="45" customWidth="1"/>
    <col min="2335" max="2335" width="4" style="45" customWidth="1"/>
    <col min="2336" max="2336" width="4.42578125" style="45" customWidth="1"/>
    <col min="2337" max="2337" width="3.85546875" style="45" customWidth="1"/>
    <col min="2338" max="2338" width="4.28515625" style="45" customWidth="1"/>
    <col min="2339" max="2561" width="11.42578125" style="45" customWidth="1"/>
    <col min="2562" max="2562" width="10.7109375" style="45" customWidth="1"/>
    <col min="2563" max="2563" width="16" style="45" customWidth="1"/>
    <col min="2564" max="2564" width="3.7109375" style="45" customWidth="1"/>
    <col min="2565" max="2565" width="4.140625" style="45" customWidth="1"/>
    <col min="2566" max="2566" width="4" style="45" customWidth="1"/>
    <col min="2567" max="2567" width="56.85546875" style="45" customWidth="1"/>
    <col min="2568" max="2568" width="6" style="45" customWidth="1"/>
    <col min="2569" max="2569" width="8.28515625" style="45" customWidth="1"/>
    <col min="2570" max="2570" width="19.5703125" style="45" customWidth="1"/>
    <col min="2571" max="2571" width="2.7109375" style="45" customWidth="1"/>
    <col min="2572" max="2572" width="5.140625" style="45" customWidth="1"/>
    <col min="2573" max="2573" width="14" style="45" customWidth="1"/>
    <col min="2574" max="2574" width="3.5703125" style="45" customWidth="1"/>
    <col min="2575" max="2575" width="6.5703125" style="45" customWidth="1"/>
    <col min="2576" max="2576" width="36.5703125" style="45" customWidth="1"/>
    <col min="2577" max="2577" width="57.85546875" style="45" customWidth="1"/>
    <col min="2578" max="2578" width="4.140625" style="45" customWidth="1"/>
    <col min="2579" max="2579" width="4.42578125" style="45" customWidth="1"/>
    <col min="2580" max="2580" width="4.28515625" style="45" customWidth="1"/>
    <col min="2581" max="2581" width="4" style="45" customWidth="1"/>
    <col min="2582" max="2582" width="3.7109375" style="45" customWidth="1"/>
    <col min="2583" max="2583" width="4.28515625" style="45" customWidth="1"/>
    <col min="2584" max="2584" width="3.42578125" style="45" customWidth="1"/>
    <col min="2585" max="2585" width="4.7109375" style="45" customWidth="1"/>
    <col min="2586" max="2587" width="5.42578125" style="45" customWidth="1"/>
    <col min="2588" max="2588" width="10.28515625" style="45" customWidth="1"/>
    <col min="2589" max="2589" width="4.42578125" style="45" customWidth="1"/>
    <col min="2590" max="2590" width="4.28515625" style="45" customWidth="1"/>
    <col min="2591" max="2591" width="4" style="45" customWidth="1"/>
    <col min="2592" max="2592" width="4.42578125" style="45" customWidth="1"/>
    <col min="2593" max="2593" width="3.85546875" style="45" customWidth="1"/>
    <col min="2594" max="2594" width="4.28515625" style="45" customWidth="1"/>
    <col min="2595" max="2817" width="11.42578125" style="45" customWidth="1"/>
    <col min="2818" max="2818" width="10.7109375" style="45" customWidth="1"/>
    <col min="2819" max="2819" width="16" style="45" customWidth="1"/>
    <col min="2820" max="2820" width="3.7109375" style="45" customWidth="1"/>
    <col min="2821" max="2821" width="4.140625" style="45" customWidth="1"/>
    <col min="2822" max="2822" width="4" style="45" customWidth="1"/>
    <col min="2823" max="2823" width="56.85546875" style="45" customWidth="1"/>
    <col min="2824" max="2824" width="6" style="45" customWidth="1"/>
    <col min="2825" max="2825" width="8.28515625" style="45" customWidth="1"/>
    <col min="2826" max="2826" width="19.5703125" style="45" customWidth="1"/>
    <col min="2827" max="2827" width="2.7109375" style="45" customWidth="1"/>
    <col min="2828" max="2828" width="5.140625" style="45" customWidth="1"/>
    <col min="2829" max="2829" width="14" style="45" customWidth="1"/>
    <col min="2830" max="2830" width="3.5703125" style="45" customWidth="1"/>
    <col min="2831" max="2831" width="6.5703125" style="45" customWidth="1"/>
    <col min="2832" max="2832" width="36.5703125" style="45" customWidth="1"/>
    <col min="2833" max="2833" width="57.85546875" style="45" customWidth="1"/>
    <col min="2834" max="2834" width="4.140625" style="45" customWidth="1"/>
    <col min="2835" max="2835" width="4.42578125" style="45" customWidth="1"/>
    <col min="2836" max="2836" width="4.28515625" style="45" customWidth="1"/>
    <col min="2837" max="2837" width="4" style="45" customWidth="1"/>
    <col min="2838" max="2838" width="3.7109375" style="45" customWidth="1"/>
    <col min="2839" max="2839" width="4.28515625" style="45" customWidth="1"/>
    <col min="2840" max="2840" width="3.42578125" style="45" customWidth="1"/>
    <col min="2841" max="2841" width="4.7109375" style="45" customWidth="1"/>
    <col min="2842" max="2843" width="5.42578125" style="45" customWidth="1"/>
    <col min="2844" max="2844" width="10.28515625" style="45" customWidth="1"/>
    <col min="2845" max="2845" width="4.42578125" style="45" customWidth="1"/>
    <col min="2846" max="2846" width="4.28515625" style="45" customWidth="1"/>
    <col min="2847" max="2847" width="4" style="45" customWidth="1"/>
    <col min="2848" max="2848" width="4.42578125" style="45" customWidth="1"/>
    <col min="2849" max="2849" width="3.85546875" style="45" customWidth="1"/>
    <col min="2850" max="2850" width="4.28515625" style="45" customWidth="1"/>
    <col min="2851" max="3073" width="11.42578125" style="45" customWidth="1"/>
    <col min="3074" max="3074" width="10.7109375" style="45" customWidth="1"/>
    <col min="3075" max="3075" width="16" style="45" customWidth="1"/>
    <col min="3076" max="3076" width="3.7109375" style="45" customWidth="1"/>
    <col min="3077" max="3077" width="4.140625" style="45" customWidth="1"/>
    <col min="3078" max="3078" width="4" style="45" customWidth="1"/>
    <col min="3079" max="3079" width="56.85546875" style="45" customWidth="1"/>
    <col min="3080" max="3080" width="6" style="45" customWidth="1"/>
    <col min="3081" max="3081" width="8.28515625" style="45" customWidth="1"/>
    <col min="3082" max="3082" width="19.5703125" style="45" customWidth="1"/>
    <col min="3083" max="3083" width="2.7109375" style="45" customWidth="1"/>
    <col min="3084" max="3084" width="5.140625" style="45" customWidth="1"/>
    <col min="3085" max="3085" width="14" style="45" customWidth="1"/>
    <col min="3086" max="3086" width="3.5703125" style="45" customWidth="1"/>
    <col min="3087" max="3087" width="6.5703125" style="45" customWidth="1"/>
    <col min="3088" max="3088" width="36.5703125" style="45" customWidth="1"/>
    <col min="3089" max="3089" width="57.85546875" style="45" customWidth="1"/>
    <col min="3090" max="3090" width="4.140625" style="45" customWidth="1"/>
    <col min="3091" max="3091" width="4.42578125" style="45" customWidth="1"/>
    <col min="3092" max="3092" width="4.28515625" style="45" customWidth="1"/>
    <col min="3093" max="3093" width="4" style="45" customWidth="1"/>
    <col min="3094" max="3094" width="3.7109375" style="45" customWidth="1"/>
    <col min="3095" max="3095" width="4.28515625" style="45" customWidth="1"/>
    <col min="3096" max="3096" width="3.42578125" style="45" customWidth="1"/>
    <col min="3097" max="3097" width="4.7109375" style="45" customWidth="1"/>
    <col min="3098" max="3099" width="5.42578125" style="45" customWidth="1"/>
    <col min="3100" max="3100" width="10.28515625" style="45" customWidth="1"/>
    <col min="3101" max="3101" width="4.42578125" style="45" customWidth="1"/>
    <col min="3102" max="3102" width="4.28515625" style="45" customWidth="1"/>
    <col min="3103" max="3103" width="4" style="45" customWidth="1"/>
    <col min="3104" max="3104" width="4.42578125" style="45" customWidth="1"/>
    <col min="3105" max="3105" width="3.85546875" style="45" customWidth="1"/>
    <col min="3106" max="3106" width="4.28515625" style="45" customWidth="1"/>
    <col min="3107" max="3329" width="11.42578125" style="45" customWidth="1"/>
    <col min="3330" max="3330" width="10.7109375" style="45" customWidth="1"/>
    <col min="3331" max="3331" width="16" style="45" customWidth="1"/>
    <col min="3332" max="3332" width="3.7109375" style="45" customWidth="1"/>
    <col min="3333" max="3333" width="4.140625" style="45" customWidth="1"/>
    <col min="3334" max="3334" width="4" style="45" customWidth="1"/>
    <col min="3335" max="3335" width="56.85546875" style="45" customWidth="1"/>
    <col min="3336" max="3336" width="6" style="45" customWidth="1"/>
    <col min="3337" max="3337" width="8.28515625" style="45" customWidth="1"/>
    <col min="3338" max="3338" width="19.5703125" style="45" customWidth="1"/>
    <col min="3339" max="3339" width="2.7109375" style="45" customWidth="1"/>
    <col min="3340" max="3340" width="5.140625" style="45" customWidth="1"/>
    <col min="3341" max="3341" width="14" style="45" customWidth="1"/>
    <col min="3342" max="3342" width="3.5703125" style="45" customWidth="1"/>
    <col min="3343" max="3343" width="6.5703125" style="45" customWidth="1"/>
    <col min="3344" max="3344" width="36.5703125" style="45" customWidth="1"/>
    <col min="3345" max="3345" width="57.85546875" style="45" customWidth="1"/>
    <col min="3346" max="3346" width="4.140625" style="45" customWidth="1"/>
    <col min="3347" max="3347" width="4.42578125" style="45" customWidth="1"/>
    <col min="3348" max="3348" width="4.28515625" style="45" customWidth="1"/>
    <col min="3349" max="3349" width="4" style="45" customWidth="1"/>
    <col min="3350" max="3350" width="3.7109375" style="45" customWidth="1"/>
    <col min="3351" max="3351" width="4.28515625" style="45" customWidth="1"/>
    <col min="3352" max="3352" width="3.42578125" style="45" customWidth="1"/>
    <col min="3353" max="3353" width="4.7109375" style="45" customWidth="1"/>
    <col min="3354" max="3355" width="5.42578125" style="45" customWidth="1"/>
    <col min="3356" max="3356" width="10.28515625" style="45" customWidth="1"/>
    <col min="3357" max="3357" width="4.42578125" style="45" customWidth="1"/>
    <col min="3358" max="3358" width="4.28515625" style="45" customWidth="1"/>
    <col min="3359" max="3359" width="4" style="45" customWidth="1"/>
    <col min="3360" max="3360" width="4.42578125" style="45" customWidth="1"/>
    <col min="3361" max="3361" width="3.85546875" style="45" customWidth="1"/>
    <col min="3362" max="3362" width="4.28515625" style="45" customWidth="1"/>
    <col min="3363" max="3585" width="11.42578125" style="45" customWidth="1"/>
    <col min="3586" max="3586" width="10.7109375" style="45" customWidth="1"/>
    <col min="3587" max="3587" width="16" style="45" customWidth="1"/>
    <col min="3588" max="3588" width="3.7109375" style="45" customWidth="1"/>
    <col min="3589" max="3589" width="4.140625" style="45" customWidth="1"/>
    <col min="3590" max="3590" width="4" style="45" customWidth="1"/>
    <col min="3591" max="3591" width="56.85546875" style="45" customWidth="1"/>
    <col min="3592" max="3592" width="6" style="45" customWidth="1"/>
    <col min="3593" max="3593" width="8.28515625" style="45" customWidth="1"/>
    <col min="3594" max="3594" width="19.5703125" style="45" customWidth="1"/>
    <col min="3595" max="3595" width="2.7109375" style="45" customWidth="1"/>
    <col min="3596" max="3596" width="5.140625" style="45" customWidth="1"/>
    <col min="3597" max="3597" width="14" style="45" customWidth="1"/>
    <col min="3598" max="3598" width="3.5703125" style="45" customWidth="1"/>
    <col min="3599" max="3599" width="6.5703125" style="45" customWidth="1"/>
    <col min="3600" max="3600" width="36.5703125" style="45" customWidth="1"/>
    <col min="3601" max="3601" width="57.85546875" style="45" customWidth="1"/>
    <col min="3602" max="3602" width="4.140625" style="45" customWidth="1"/>
    <col min="3603" max="3603" width="4.42578125" style="45" customWidth="1"/>
    <col min="3604" max="3604" width="4.28515625" style="45" customWidth="1"/>
    <col min="3605" max="3605" width="4" style="45" customWidth="1"/>
    <col min="3606" max="3606" width="3.7109375" style="45" customWidth="1"/>
    <col min="3607" max="3607" width="4.28515625" style="45" customWidth="1"/>
    <col min="3608" max="3608" width="3.42578125" style="45" customWidth="1"/>
    <col min="3609" max="3609" width="4.7109375" style="45" customWidth="1"/>
    <col min="3610" max="3611" width="5.42578125" style="45" customWidth="1"/>
    <col min="3612" max="3612" width="10.28515625" style="45" customWidth="1"/>
    <col min="3613" max="3613" width="4.42578125" style="45" customWidth="1"/>
    <col min="3614" max="3614" width="4.28515625" style="45" customWidth="1"/>
    <col min="3615" max="3615" width="4" style="45" customWidth="1"/>
    <col min="3616" max="3616" width="4.42578125" style="45" customWidth="1"/>
    <col min="3617" max="3617" width="3.85546875" style="45" customWidth="1"/>
    <col min="3618" max="3618" width="4.28515625" style="45" customWidth="1"/>
    <col min="3619" max="3841" width="11.42578125" style="45" customWidth="1"/>
    <col min="3842" max="3842" width="10.7109375" style="45" customWidth="1"/>
    <col min="3843" max="3843" width="16" style="45" customWidth="1"/>
    <col min="3844" max="3844" width="3.7109375" style="45" customWidth="1"/>
    <col min="3845" max="3845" width="4.140625" style="45" customWidth="1"/>
    <col min="3846" max="3846" width="4" style="45" customWidth="1"/>
    <col min="3847" max="3847" width="56.85546875" style="45" customWidth="1"/>
    <col min="3848" max="3848" width="6" style="45" customWidth="1"/>
    <col min="3849" max="3849" width="8.28515625" style="45" customWidth="1"/>
    <col min="3850" max="3850" width="19.5703125" style="45" customWidth="1"/>
    <col min="3851" max="3851" width="2.7109375" style="45" customWidth="1"/>
    <col min="3852" max="3852" width="5.140625" style="45" customWidth="1"/>
    <col min="3853" max="3853" width="14" style="45" customWidth="1"/>
    <col min="3854" max="3854" width="3.5703125" style="45" customWidth="1"/>
    <col min="3855" max="3855" width="6.5703125" style="45" customWidth="1"/>
    <col min="3856" max="3856" width="36.5703125" style="45" customWidth="1"/>
    <col min="3857" max="3857" width="57.85546875" style="45" customWidth="1"/>
    <col min="3858" max="3858" width="4.140625" style="45" customWidth="1"/>
    <col min="3859" max="3859" width="4.42578125" style="45" customWidth="1"/>
    <col min="3860" max="3860" width="4.28515625" style="45" customWidth="1"/>
    <col min="3861" max="3861" width="4" style="45" customWidth="1"/>
    <col min="3862" max="3862" width="3.7109375" style="45" customWidth="1"/>
    <col min="3863" max="3863" width="4.28515625" style="45" customWidth="1"/>
    <col min="3864" max="3864" width="3.42578125" style="45" customWidth="1"/>
    <col min="3865" max="3865" width="4.7109375" style="45" customWidth="1"/>
    <col min="3866" max="3867" width="5.42578125" style="45" customWidth="1"/>
    <col min="3868" max="3868" width="10.28515625" style="45" customWidth="1"/>
    <col min="3869" max="3869" width="4.42578125" style="45" customWidth="1"/>
    <col min="3870" max="3870" width="4.28515625" style="45" customWidth="1"/>
    <col min="3871" max="3871" width="4" style="45" customWidth="1"/>
    <col min="3872" max="3872" width="4.42578125" style="45" customWidth="1"/>
    <col min="3873" max="3873" width="3.85546875" style="45" customWidth="1"/>
    <col min="3874" max="3874" width="4.28515625" style="45" customWidth="1"/>
    <col min="3875" max="4097" width="11.42578125" style="45" customWidth="1"/>
    <col min="4098" max="4098" width="10.7109375" style="45" customWidth="1"/>
    <col min="4099" max="4099" width="16" style="45" customWidth="1"/>
    <col min="4100" max="4100" width="3.7109375" style="45" customWidth="1"/>
    <col min="4101" max="4101" width="4.140625" style="45" customWidth="1"/>
    <col min="4102" max="4102" width="4" style="45" customWidth="1"/>
    <col min="4103" max="4103" width="56.85546875" style="45" customWidth="1"/>
    <col min="4104" max="4104" width="6" style="45" customWidth="1"/>
    <col min="4105" max="4105" width="8.28515625" style="45" customWidth="1"/>
    <col min="4106" max="4106" width="19.5703125" style="45" customWidth="1"/>
    <col min="4107" max="4107" width="2.7109375" style="45" customWidth="1"/>
    <col min="4108" max="4108" width="5.140625" style="45" customWidth="1"/>
    <col min="4109" max="4109" width="14" style="45" customWidth="1"/>
    <col min="4110" max="4110" width="3.5703125" style="45" customWidth="1"/>
    <col min="4111" max="4111" width="6.5703125" style="45" customWidth="1"/>
    <col min="4112" max="4112" width="36.5703125" style="45" customWidth="1"/>
    <col min="4113" max="4113" width="57.85546875" style="45" customWidth="1"/>
    <col min="4114" max="4114" width="4.140625" style="45" customWidth="1"/>
    <col min="4115" max="4115" width="4.42578125" style="45" customWidth="1"/>
    <col min="4116" max="4116" width="4.28515625" style="45" customWidth="1"/>
    <col min="4117" max="4117" width="4" style="45" customWidth="1"/>
    <col min="4118" max="4118" width="3.7109375" style="45" customWidth="1"/>
    <col min="4119" max="4119" width="4.28515625" style="45" customWidth="1"/>
    <col min="4120" max="4120" width="3.42578125" style="45" customWidth="1"/>
    <col min="4121" max="4121" width="4.7109375" style="45" customWidth="1"/>
    <col min="4122" max="4123" width="5.42578125" style="45" customWidth="1"/>
    <col min="4124" max="4124" width="10.28515625" style="45" customWidth="1"/>
    <col min="4125" max="4125" width="4.42578125" style="45" customWidth="1"/>
    <col min="4126" max="4126" width="4.28515625" style="45" customWidth="1"/>
    <col min="4127" max="4127" width="4" style="45" customWidth="1"/>
    <col min="4128" max="4128" width="4.42578125" style="45" customWidth="1"/>
    <col min="4129" max="4129" width="3.85546875" style="45" customWidth="1"/>
    <col min="4130" max="4130" width="4.28515625" style="45" customWidth="1"/>
    <col min="4131" max="4353" width="11.42578125" style="45" customWidth="1"/>
    <col min="4354" max="4354" width="10.7109375" style="45" customWidth="1"/>
    <col min="4355" max="4355" width="16" style="45" customWidth="1"/>
    <col min="4356" max="4356" width="3.7109375" style="45" customWidth="1"/>
    <col min="4357" max="4357" width="4.140625" style="45" customWidth="1"/>
    <col min="4358" max="4358" width="4" style="45" customWidth="1"/>
    <col min="4359" max="4359" width="56.85546875" style="45" customWidth="1"/>
    <col min="4360" max="4360" width="6" style="45" customWidth="1"/>
    <col min="4361" max="4361" width="8.28515625" style="45" customWidth="1"/>
    <col min="4362" max="4362" width="19.5703125" style="45" customWidth="1"/>
    <col min="4363" max="4363" width="2.7109375" style="45" customWidth="1"/>
    <col min="4364" max="4364" width="5.140625" style="45" customWidth="1"/>
    <col min="4365" max="4365" width="14" style="45" customWidth="1"/>
    <col min="4366" max="4366" width="3.5703125" style="45" customWidth="1"/>
    <col min="4367" max="4367" width="6.5703125" style="45" customWidth="1"/>
    <col min="4368" max="4368" width="36.5703125" style="45" customWidth="1"/>
    <col min="4369" max="4369" width="57.85546875" style="45" customWidth="1"/>
    <col min="4370" max="4370" width="4.140625" style="45" customWidth="1"/>
    <col min="4371" max="4371" width="4.42578125" style="45" customWidth="1"/>
    <col min="4372" max="4372" width="4.28515625" style="45" customWidth="1"/>
    <col min="4373" max="4373" width="4" style="45" customWidth="1"/>
    <col min="4374" max="4374" width="3.7109375" style="45" customWidth="1"/>
    <col min="4375" max="4375" width="4.28515625" style="45" customWidth="1"/>
    <col min="4376" max="4376" width="3.42578125" style="45" customWidth="1"/>
    <col min="4377" max="4377" width="4.7109375" style="45" customWidth="1"/>
    <col min="4378" max="4379" width="5.42578125" style="45" customWidth="1"/>
    <col min="4380" max="4380" width="10.28515625" style="45" customWidth="1"/>
    <col min="4381" max="4381" width="4.42578125" style="45" customWidth="1"/>
    <col min="4382" max="4382" width="4.28515625" style="45" customWidth="1"/>
    <col min="4383" max="4383" width="4" style="45" customWidth="1"/>
    <col min="4384" max="4384" width="4.42578125" style="45" customWidth="1"/>
    <col min="4385" max="4385" width="3.85546875" style="45" customWidth="1"/>
    <col min="4386" max="4386" width="4.28515625" style="45" customWidth="1"/>
    <col min="4387" max="4609" width="11.42578125" style="45" customWidth="1"/>
    <col min="4610" max="4610" width="10.7109375" style="45" customWidth="1"/>
    <col min="4611" max="4611" width="16" style="45" customWidth="1"/>
    <col min="4612" max="4612" width="3.7109375" style="45" customWidth="1"/>
    <col min="4613" max="4613" width="4.140625" style="45" customWidth="1"/>
    <col min="4614" max="4614" width="4" style="45" customWidth="1"/>
    <col min="4615" max="4615" width="56.85546875" style="45" customWidth="1"/>
    <col min="4616" max="4616" width="6" style="45" customWidth="1"/>
    <col min="4617" max="4617" width="8.28515625" style="45" customWidth="1"/>
    <col min="4618" max="4618" width="19.5703125" style="45" customWidth="1"/>
    <col min="4619" max="4619" width="2.7109375" style="45" customWidth="1"/>
    <col min="4620" max="4620" width="5.140625" style="45" customWidth="1"/>
    <col min="4621" max="4621" width="14" style="45" customWidth="1"/>
    <col min="4622" max="4622" width="3.5703125" style="45" customWidth="1"/>
    <col min="4623" max="4623" width="6.5703125" style="45" customWidth="1"/>
    <col min="4624" max="4624" width="36.5703125" style="45" customWidth="1"/>
    <col min="4625" max="4625" width="57.85546875" style="45" customWidth="1"/>
    <col min="4626" max="4626" width="4.140625" style="45" customWidth="1"/>
    <col min="4627" max="4627" width="4.42578125" style="45" customWidth="1"/>
    <col min="4628" max="4628" width="4.28515625" style="45" customWidth="1"/>
    <col min="4629" max="4629" width="4" style="45" customWidth="1"/>
    <col min="4630" max="4630" width="3.7109375" style="45" customWidth="1"/>
    <col min="4631" max="4631" width="4.28515625" style="45" customWidth="1"/>
    <col min="4632" max="4632" width="3.42578125" style="45" customWidth="1"/>
    <col min="4633" max="4633" width="4.7109375" style="45" customWidth="1"/>
    <col min="4634" max="4635" width="5.42578125" style="45" customWidth="1"/>
    <col min="4636" max="4636" width="10.28515625" style="45" customWidth="1"/>
    <col min="4637" max="4637" width="4.42578125" style="45" customWidth="1"/>
    <col min="4638" max="4638" width="4.28515625" style="45" customWidth="1"/>
    <col min="4639" max="4639" width="4" style="45" customWidth="1"/>
    <col min="4640" max="4640" width="4.42578125" style="45" customWidth="1"/>
    <col min="4641" max="4641" width="3.85546875" style="45" customWidth="1"/>
    <col min="4642" max="4642" width="4.28515625" style="45" customWidth="1"/>
    <col min="4643" max="4865" width="11.42578125" style="45" customWidth="1"/>
    <col min="4866" max="4866" width="10.7109375" style="45" customWidth="1"/>
    <col min="4867" max="4867" width="16" style="45" customWidth="1"/>
    <col min="4868" max="4868" width="3.7109375" style="45" customWidth="1"/>
    <col min="4869" max="4869" width="4.140625" style="45" customWidth="1"/>
    <col min="4870" max="4870" width="4" style="45" customWidth="1"/>
    <col min="4871" max="4871" width="56.85546875" style="45" customWidth="1"/>
    <col min="4872" max="4872" width="6" style="45" customWidth="1"/>
    <col min="4873" max="4873" width="8.28515625" style="45" customWidth="1"/>
    <col min="4874" max="4874" width="19.5703125" style="45" customWidth="1"/>
    <col min="4875" max="4875" width="2.7109375" style="45" customWidth="1"/>
    <col min="4876" max="4876" width="5.140625" style="45" customWidth="1"/>
    <col min="4877" max="4877" width="14" style="45" customWidth="1"/>
    <col min="4878" max="4878" width="3.5703125" style="45" customWidth="1"/>
    <col min="4879" max="4879" width="6.5703125" style="45" customWidth="1"/>
    <col min="4880" max="4880" width="36.5703125" style="45" customWidth="1"/>
    <col min="4881" max="4881" width="57.85546875" style="45" customWidth="1"/>
    <col min="4882" max="4882" width="4.140625" style="45" customWidth="1"/>
    <col min="4883" max="4883" width="4.42578125" style="45" customWidth="1"/>
    <col min="4884" max="4884" width="4.28515625" style="45" customWidth="1"/>
    <col min="4885" max="4885" width="4" style="45" customWidth="1"/>
    <col min="4886" max="4886" width="3.7109375" style="45" customWidth="1"/>
    <col min="4887" max="4887" width="4.28515625" style="45" customWidth="1"/>
    <col min="4888" max="4888" width="3.42578125" style="45" customWidth="1"/>
    <col min="4889" max="4889" width="4.7109375" style="45" customWidth="1"/>
    <col min="4890" max="4891" width="5.42578125" style="45" customWidth="1"/>
    <col min="4892" max="4892" width="10.28515625" style="45" customWidth="1"/>
    <col min="4893" max="4893" width="4.42578125" style="45" customWidth="1"/>
    <col min="4894" max="4894" width="4.28515625" style="45" customWidth="1"/>
    <col min="4895" max="4895" width="4" style="45" customWidth="1"/>
    <col min="4896" max="4896" width="4.42578125" style="45" customWidth="1"/>
    <col min="4897" max="4897" width="3.85546875" style="45" customWidth="1"/>
    <col min="4898" max="4898" width="4.28515625" style="45" customWidth="1"/>
    <col min="4899" max="5121" width="11.42578125" style="45" customWidth="1"/>
    <col min="5122" max="5122" width="10.7109375" style="45" customWidth="1"/>
    <col min="5123" max="5123" width="16" style="45" customWidth="1"/>
    <col min="5124" max="5124" width="3.7109375" style="45" customWidth="1"/>
    <col min="5125" max="5125" width="4.140625" style="45" customWidth="1"/>
    <col min="5126" max="5126" width="4" style="45" customWidth="1"/>
    <col min="5127" max="5127" width="56.85546875" style="45" customWidth="1"/>
    <col min="5128" max="5128" width="6" style="45" customWidth="1"/>
    <col min="5129" max="5129" width="8.28515625" style="45" customWidth="1"/>
    <col min="5130" max="5130" width="19.5703125" style="45" customWidth="1"/>
    <col min="5131" max="5131" width="2.7109375" style="45" customWidth="1"/>
    <col min="5132" max="5132" width="5.140625" style="45" customWidth="1"/>
    <col min="5133" max="5133" width="14" style="45" customWidth="1"/>
    <col min="5134" max="5134" width="3.5703125" style="45" customWidth="1"/>
    <col min="5135" max="5135" width="6.5703125" style="45" customWidth="1"/>
    <col min="5136" max="5136" width="36.5703125" style="45" customWidth="1"/>
    <col min="5137" max="5137" width="57.85546875" style="45" customWidth="1"/>
    <col min="5138" max="5138" width="4.140625" style="45" customWidth="1"/>
    <col min="5139" max="5139" width="4.42578125" style="45" customWidth="1"/>
    <col min="5140" max="5140" width="4.28515625" style="45" customWidth="1"/>
    <col min="5141" max="5141" width="4" style="45" customWidth="1"/>
    <col min="5142" max="5142" width="3.7109375" style="45" customWidth="1"/>
    <col min="5143" max="5143" width="4.28515625" style="45" customWidth="1"/>
    <col min="5144" max="5144" width="3.42578125" style="45" customWidth="1"/>
    <col min="5145" max="5145" width="4.7109375" style="45" customWidth="1"/>
    <col min="5146" max="5147" width="5.42578125" style="45" customWidth="1"/>
    <col min="5148" max="5148" width="10.28515625" style="45" customWidth="1"/>
    <col min="5149" max="5149" width="4.42578125" style="45" customWidth="1"/>
    <col min="5150" max="5150" width="4.28515625" style="45" customWidth="1"/>
    <col min="5151" max="5151" width="4" style="45" customWidth="1"/>
    <col min="5152" max="5152" width="4.42578125" style="45" customWidth="1"/>
    <col min="5153" max="5153" width="3.85546875" style="45" customWidth="1"/>
    <col min="5154" max="5154" width="4.28515625" style="45" customWidth="1"/>
    <col min="5155" max="5377" width="11.42578125" style="45" customWidth="1"/>
    <col min="5378" max="5378" width="10.7109375" style="45" customWidth="1"/>
    <col min="5379" max="5379" width="16" style="45" customWidth="1"/>
    <col min="5380" max="5380" width="3.7109375" style="45" customWidth="1"/>
    <col min="5381" max="5381" width="4.140625" style="45" customWidth="1"/>
    <col min="5382" max="5382" width="4" style="45" customWidth="1"/>
    <col min="5383" max="5383" width="56.85546875" style="45" customWidth="1"/>
    <col min="5384" max="5384" width="6" style="45" customWidth="1"/>
    <col min="5385" max="5385" width="8.28515625" style="45" customWidth="1"/>
    <col min="5386" max="5386" width="19.5703125" style="45" customWidth="1"/>
    <col min="5387" max="5387" width="2.7109375" style="45" customWidth="1"/>
    <col min="5388" max="5388" width="5.140625" style="45" customWidth="1"/>
    <col min="5389" max="5389" width="14" style="45" customWidth="1"/>
    <col min="5390" max="5390" width="3.5703125" style="45" customWidth="1"/>
    <col min="5391" max="5391" width="6.5703125" style="45" customWidth="1"/>
    <col min="5392" max="5392" width="36.5703125" style="45" customWidth="1"/>
    <col min="5393" max="5393" width="57.85546875" style="45" customWidth="1"/>
    <col min="5394" max="5394" width="4.140625" style="45" customWidth="1"/>
    <col min="5395" max="5395" width="4.42578125" style="45" customWidth="1"/>
    <col min="5396" max="5396" width="4.28515625" style="45" customWidth="1"/>
    <col min="5397" max="5397" width="4" style="45" customWidth="1"/>
    <col min="5398" max="5398" width="3.7109375" style="45" customWidth="1"/>
    <col min="5399" max="5399" width="4.28515625" style="45" customWidth="1"/>
    <col min="5400" max="5400" width="3.42578125" style="45" customWidth="1"/>
    <col min="5401" max="5401" width="4.7109375" style="45" customWidth="1"/>
    <col min="5402" max="5403" width="5.42578125" style="45" customWidth="1"/>
    <col min="5404" max="5404" width="10.28515625" style="45" customWidth="1"/>
    <col min="5405" max="5405" width="4.42578125" style="45" customWidth="1"/>
    <col min="5406" max="5406" width="4.28515625" style="45" customWidth="1"/>
    <col min="5407" max="5407" width="4" style="45" customWidth="1"/>
    <col min="5408" max="5408" width="4.42578125" style="45" customWidth="1"/>
    <col min="5409" max="5409" width="3.85546875" style="45" customWidth="1"/>
    <col min="5410" max="5410" width="4.28515625" style="45" customWidth="1"/>
    <col min="5411" max="5633" width="11.42578125" style="45" customWidth="1"/>
    <col min="5634" max="5634" width="10.7109375" style="45" customWidth="1"/>
    <col min="5635" max="5635" width="16" style="45" customWidth="1"/>
    <col min="5636" max="5636" width="3.7109375" style="45" customWidth="1"/>
    <col min="5637" max="5637" width="4.140625" style="45" customWidth="1"/>
    <col min="5638" max="5638" width="4" style="45" customWidth="1"/>
    <col min="5639" max="5639" width="56.85546875" style="45" customWidth="1"/>
    <col min="5640" max="5640" width="6" style="45" customWidth="1"/>
    <col min="5641" max="5641" width="8.28515625" style="45" customWidth="1"/>
    <col min="5642" max="5642" width="19.5703125" style="45" customWidth="1"/>
    <col min="5643" max="5643" width="2.7109375" style="45" customWidth="1"/>
    <col min="5644" max="5644" width="5.140625" style="45" customWidth="1"/>
    <col min="5645" max="5645" width="14" style="45" customWidth="1"/>
    <col min="5646" max="5646" width="3.5703125" style="45" customWidth="1"/>
    <col min="5647" max="5647" width="6.5703125" style="45" customWidth="1"/>
    <col min="5648" max="5648" width="36.5703125" style="45" customWidth="1"/>
    <col min="5649" max="5649" width="57.85546875" style="45" customWidth="1"/>
    <col min="5650" max="5650" width="4.140625" style="45" customWidth="1"/>
    <col min="5651" max="5651" width="4.42578125" style="45" customWidth="1"/>
    <col min="5652" max="5652" width="4.28515625" style="45" customWidth="1"/>
    <col min="5653" max="5653" width="4" style="45" customWidth="1"/>
    <col min="5654" max="5654" width="3.7109375" style="45" customWidth="1"/>
    <col min="5655" max="5655" width="4.28515625" style="45" customWidth="1"/>
    <col min="5656" max="5656" width="3.42578125" style="45" customWidth="1"/>
    <col min="5657" max="5657" width="4.7109375" style="45" customWidth="1"/>
    <col min="5658" max="5659" width="5.42578125" style="45" customWidth="1"/>
    <col min="5660" max="5660" width="10.28515625" style="45" customWidth="1"/>
    <col min="5661" max="5661" width="4.42578125" style="45" customWidth="1"/>
    <col min="5662" max="5662" width="4.28515625" style="45" customWidth="1"/>
    <col min="5663" max="5663" width="4" style="45" customWidth="1"/>
    <col min="5664" max="5664" width="4.42578125" style="45" customWidth="1"/>
    <col min="5665" max="5665" width="3.85546875" style="45" customWidth="1"/>
    <col min="5666" max="5666" width="4.28515625" style="45" customWidth="1"/>
    <col min="5667" max="5889" width="11.42578125" style="45" customWidth="1"/>
    <col min="5890" max="5890" width="10.7109375" style="45" customWidth="1"/>
    <col min="5891" max="5891" width="16" style="45" customWidth="1"/>
    <col min="5892" max="5892" width="3.7109375" style="45" customWidth="1"/>
    <col min="5893" max="5893" width="4.140625" style="45" customWidth="1"/>
    <col min="5894" max="5894" width="4" style="45" customWidth="1"/>
    <col min="5895" max="5895" width="56.85546875" style="45" customWidth="1"/>
    <col min="5896" max="5896" width="6" style="45" customWidth="1"/>
    <col min="5897" max="5897" width="8.28515625" style="45" customWidth="1"/>
    <col min="5898" max="5898" width="19.5703125" style="45" customWidth="1"/>
    <col min="5899" max="5899" width="2.7109375" style="45" customWidth="1"/>
    <col min="5900" max="5900" width="5.140625" style="45" customWidth="1"/>
    <col min="5901" max="5901" width="14" style="45" customWidth="1"/>
    <col min="5902" max="5902" width="3.5703125" style="45" customWidth="1"/>
    <col min="5903" max="5903" width="6.5703125" style="45" customWidth="1"/>
    <col min="5904" max="5904" width="36.5703125" style="45" customWidth="1"/>
    <col min="5905" max="5905" width="57.85546875" style="45" customWidth="1"/>
    <col min="5906" max="5906" width="4.140625" style="45" customWidth="1"/>
    <col min="5907" max="5907" width="4.42578125" style="45" customWidth="1"/>
    <col min="5908" max="5908" width="4.28515625" style="45" customWidth="1"/>
    <col min="5909" max="5909" width="4" style="45" customWidth="1"/>
    <col min="5910" max="5910" width="3.7109375" style="45" customWidth="1"/>
    <col min="5911" max="5911" width="4.28515625" style="45" customWidth="1"/>
    <col min="5912" max="5912" width="3.42578125" style="45" customWidth="1"/>
    <col min="5913" max="5913" width="4.7109375" style="45" customWidth="1"/>
    <col min="5914" max="5915" width="5.42578125" style="45" customWidth="1"/>
    <col min="5916" max="5916" width="10.28515625" style="45" customWidth="1"/>
    <col min="5917" max="5917" width="4.42578125" style="45" customWidth="1"/>
    <col min="5918" max="5918" width="4.28515625" style="45" customWidth="1"/>
    <col min="5919" max="5919" width="4" style="45" customWidth="1"/>
    <col min="5920" max="5920" width="4.42578125" style="45" customWidth="1"/>
    <col min="5921" max="5921" width="3.85546875" style="45" customWidth="1"/>
    <col min="5922" max="5922" width="4.28515625" style="45" customWidth="1"/>
    <col min="5923" max="6145" width="11.42578125" style="45" customWidth="1"/>
    <col min="6146" max="6146" width="10.7109375" style="45" customWidth="1"/>
    <col min="6147" max="6147" width="16" style="45" customWidth="1"/>
    <col min="6148" max="6148" width="3.7109375" style="45" customWidth="1"/>
    <col min="6149" max="6149" width="4.140625" style="45" customWidth="1"/>
    <col min="6150" max="6150" width="4" style="45" customWidth="1"/>
    <col min="6151" max="6151" width="56.85546875" style="45" customWidth="1"/>
    <col min="6152" max="6152" width="6" style="45" customWidth="1"/>
    <col min="6153" max="6153" width="8.28515625" style="45" customWidth="1"/>
    <col min="6154" max="6154" width="19.5703125" style="45" customWidth="1"/>
    <col min="6155" max="6155" width="2.7109375" style="45" customWidth="1"/>
    <col min="6156" max="6156" width="5.140625" style="45" customWidth="1"/>
    <col min="6157" max="6157" width="14" style="45" customWidth="1"/>
    <col min="6158" max="6158" width="3.5703125" style="45" customWidth="1"/>
    <col min="6159" max="6159" width="6.5703125" style="45" customWidth="1"/>
    <col min="6160" max="6160" width="36.5703125" style="45" customWidth="1"/>
    <col min="6161" max="6161" width="57.85546875" style="45" customWidth="1"/>
    <col min="6162" max="6162" width="4.140625" style="45" customWidth="1"/>
    <col min="6163" max="6163" width="4.42578125" style="45" customWidth="1"/>
    <col min="6164" max="6164" width="4.28515625" style="45" customWidth="1"/>
    <col min="6165" max="6165" width="4" style="45" customWidth="1"/>
    <col min="6166" max="6166" width="3.7109375" style="45" customWidth="1"/>
    <col min="6167" max="6167" width="4.28515625" style="45" customWidth="1"/>
    <col min="6168" max="6168" width="3.42578125" style="45" customWidth="1"/>
    <col min="6169" max="6169" width="4.7109375" style="45" customWidth="1"/>
    <col min="6170" max="6171" width="5.42578125" style="45" customWidth="1"/>
    <col min="6172" max="6172" width="10.28515625" style="45" customWidth="1"/>
    <col min="6173" max="6173" width="4.42578125" style="45" customWidth="1"/>
    <col min="6174" max="6174" width="4.28515625" style="45" customWidth="1"/>
    <col min="6175" max="6175" width="4" style="45" customWidth="1"/>
    <col min="6176" max="6176" width="4.42578125" style="45" customWidth="1"/>
    <col min="6177" max="6177" width="3.85546875" style="45" customWidth="1"/>
    <col min="6178" max="6178" width="4.28515625" style="45" customWidth="1"/>
    <col min="6179" max="6401" width="11.42578125" style="45" customWidth="1"/>
    <col min="6402" max="6402" width="10.7109375" style="45" customWidth="1"/>
    <col min="6403" max="6403" width="16" style="45" customWidth="1"/>
    <col min="6404" max="6404" width="3.7109375" style="45" customWidth="1"/>
    <col min="6405" max="6405" width="4.140625" style="45" customWidth="1"/>
    <col min="6406" max="6406" width="4" style="45" customWidth="1"/>
    <col min="6407" max="6407" width="56.85546875" style="45" customWidth="1"/>
    <col min="6408" max="6408" width="6" style="45" customWidth="1"/>
    <col min="6409" max="6409" width="8.28515625" style="45" customWidth="1"/>
    <col min="6410" max="6410" width="19.5703125" style="45" customWidth="1"/>
    <col min="6411" max="6411" width="2.7109375" style="45" customWidth="1"/>
    <col min="6412" max="6412" width="5.140625" style="45" customWidth="1"/>
    <col min="6413" max="6413" width="14" style="45" customWidth="1"/>
    <col min="6414" max="6414" width="3.5703125" style="45" customWidth="1"/>
    <col min="6415" max="6415" width="6.5703125" style="45" customWidth="1"/>
    <col min="6416" max="6416" width="36.5703125" style="45" customWidth="1"/>
    <col min="6417" max="6417" width="57.85546875" style="45" customWidth="1"/>
    <col min="6418" max="6418" width="4.140625" style="45" customWidth="1"/>
    <col min="6419" max="6419" width="4.42578125" style="45" customWidth="1"/>
    <col min="6420" max="6420" width="4.28515625" style="45" customWidth="1"/>
    <col min="6421" max="6421" width="4" style="45" customWidth="1"/>
    <col min="6422" max="6422" width="3.7109375" style="45" customWidth="1"/>
    <col min="6423" max="6423" width="4.28515625" style="45" customWidth="1"/>
    <col min="6424" max="6424" width="3.42578125" style="45" customWidth="1"/>
    <col min="6425" max="6425" width="4.7109375" style="45" customWidth="1"/>
    <col min="6426" max="6427" width="5.42578125" style="45" customWidth="1"/>
    <col min="6428" max="6428" width="10.28515625" style="45" customWidth="1"/>
    <col min="6429" max="6429" width="4.42578125" style="45" customWidth="1"/>
    <col min="6430" max="6430" width="4.28515625" style="45" customWidth="1"/>
    <col min="6431" max="6431" width="4" style="45" customWidth="1"/>
    <col min="6432" max="6432" width="4.42578125" style="45" customWidth="1"/>
    <col min="6433" max="6433" width="3.85546875" style="45" customWidth="1"/>
    <col min="6434" max="6434" width="4.28515625" style="45" customWidth="1"/>
    <col min="6435" max="6657" width="11.42578125" style="45" customWidth="1"/>
    <col min="6658" max="6658" width="10.7109375" style="45" customWidth="1"/>
    <col min="6659" max="6659" width="16" style="45" customWidth="1"/>
    <col min="6660" max="6660" width="3.7109375" style="45" customWidth="1"/>
    <col min="6661" max="6661" width="4.140625" style="45" customWidth="1"/>
    <col min="6662" max="6662" width="4" style="45" customWidth="1"/>
    <col min="6663" max="6663" width="56.85546875" style="45" customWidth="1"/>
    <col min="6664" max="6664" width="6" style="45" customWidth="1"/>
    <col min="6665" max="6665" width="8.28515625" style="45" customWidth="1"/>
    <col min="6666" max="6666" width="19.5703125" style="45" customWidth="1"/>
    <col min="6667" max="6667" width="2.7109375" style="45" customWidth="1"/>
    <col min="6668" max="6668" width="5.140625" style="45" customWidth="1"/>
    <col min="6669" max="6669" width="14" style="45" customWidth="1"/>
    <col min="6670" max="6670" width="3.5703125" style="45" customWidth="1"/>
    <col min="6671" max="6671" width="6.5703125" style="45" customWidth="1"/>
    <col min="6672" max="6672" width="36.5703125" style="45" customWidth="1"/>
    <col min="6673" max="6673" width="57.85546875" style="45" customWidth="1"/>
    <col min="6674" max="6674" width="4.140625" style="45" customWidth="1"/>
    <col min="6675" max="6675" width="4.42578125" style="45" customWidth="1"/>
    <col min="6676" max="6676" width="4.28515625" style="45" customWidth="1"/>
    <col min="6677" max="6677" width="4" style="45" customWidth="1"/>
    <col min="6678" max="6678" width="3.7109375" style="45" customWidth="1"/>
    <col min="6679" max="6679" width="4.28515625" style="45" customWidth="1"/>
    <col min="6680" max="6680" width="3.42578125" style="45" customWidth="1"/>
    <col min="6681" max="6681" width="4.7109375" style="45" customWidth="1"/>
    <col min="6682" max="6683" width="5.42578125" style="45" customWidth="1"/>
    <col min="6684" max="6684" width="10.28515625" style="45" customWidth="1"/>
    <col min="6685" max="6685" width="4.42578125" style="45" customWidth="1"/>
    <col min="6686" max="6686" width="4.28515625" style="45" customWidth="1"/>
    <col min="6687" max="6687" width="4" style="45" customWidth="1"/>
    <col min="6688" max="6688" width="4.42578125" style="45" customWidth="1"/>
    <col min="6689" max="6689" width="3.85546875" style="45" customWidth="1"/>
    <col min="6690" max="6690" width="4.28515625" style="45" customWidth="1"/>
    <col min="6691" max="6913" width="11.42578125" style="45" customWidth="1"/>
    <col min="6914" max="6914" width="10.7109375" style="45" customWidth="1"/>
    <col min="6915" max="6915" width="16" style="45" customWidth="1"/>
    <col min="6916" max="6916" width="3.7109375" style="45" customWidth="1"/>
    <col min="6917" max="6917" width="4.140625" style="45" customWidth="1"/>
    <col min="6918" max="6918" width="4" style="45" customWidth="1"/>
    <col min="6919" max="6919" width="56.85546875" style="45" customWidth="1"/>
    <col min="6920" max="6920" width="6" style="45" customWidth="1"/>
    <col min="6921" max="6921" width="8.28515625" style="45" customWidth="1"/>
    <col min="6922" max="6922" width="19.5703125" style="45" customWidth="1"/>
    <col min="6923" max="6923" width="2.7109375" style="45" customWidth="1"/>
    <col min="6924" max="6924" width="5.140625" style="45" customWidth="1"/>
    <col min="6925" max="6925" width="14" style="45" customWidth="1"/>
    <col min="6926" max="6926" width="3.5703125" style="45" customWidth="1"/>
    <col min="6927" max="6927" width="6.5703125" style="45" customWidth="1"/>
    <col min="6928" max="6928" width="36.5703125" style="45" customWidth="1"/>
    <col min="6929" max="6929" width="57.85546875" style="45" customWidth="1"/>
    <col min="6930" max="6930" width="4.140625" style="45" customWidth="1"/>
    <col min="6931" max="6931" width="4.42578125" style="45" customWidth="1"/>
    <col min="6932" max="6932" width="4.28515625" style="45" customWidth="1"/>
    <col min="6933" max="6933" width="4" style="45" customWidth="1"/>
    <col min="6934" max="6934" width="3.7109375" style="45" customWidth="1"/>
    <col min="6935" max="6935" width="4.28515625" style="45" customWidth="1"/>
    <col min="6936" max="6936" width="3.42578125" style="45" customWidth="1"/>
    <col min="6937" max="6937" width="4.7109375" style="45" customWidth="1"/>
    <col min="6938" max="6939" width="5.42578125" style="45" customWidth="1"/>
    <col min="6940" max="6940" width="10.28515625" style="45" customWidth="1"/>
    <col min="6941" max="6941" width="4.42578125" style="45" customWidth="1"/>
    <col min="6942" max="6942" width="4.28515625" style="45" customWidth="1"/>
    <col min="6943" max="6943" width="4" style="45" customWidth="1"/>
    <col min="6944" max="6944" width="4.42578125" style="45" customWidth="1"/>
    <col min="6945" max="6945" width="3.85546875" style="45" customWidth="1"/>
    <col min="6946" max="6946" width="4.28515625" style="45" customWidth="1"/>
    <col min="6947" max="7169" width="11.42578125" style="45" customWidth="1"/>
    <col min="7170" max="7170" width="10.7109375" style="45" customWidth="1"/>
    <col min="7171" max="7171" width="16" style="45" customWidth="1"/>
    <col min="7172" max="7172" width="3.7109375" style="45" customWidth="1"/>
    <col min="7173" max="7173" width="4.140625" style="45" customWidth="1"/>
    <col min="7174" max="7174" width="4" style="45" customWidth="1"/>
    <col min="7175" max="7175" width="56.85546875" style="45" customWidth="1"/>
    <col min="7176" max="7176" width="6" style="45" customWidth="1"/>
    <col min="7177" max="7177" width="8.28515625" style="45" customWidth="1"/>
    <col min="7178" max="7178" width="19.5703125" style="45" customWidth="1"/>
    <col min="7179" max="7179" width="2.7109375" style="45" customWidth="1"/>
    <col min="7180" max="7180" width="5.140625" style="45" customWidth="1"/>
    <col min="7181" max="7181" width="14" style="45" customWidth="1"/>
    <col min="7182" max="7182" width="3.5703125" style="45" customWidth="1"/>
    <col min="7183" max="7183" width="6.5703125" style="45" customWidth="1"/>
    <col min="7184" max="7184" width="36.5703125" style="45" customWidth="1"/>
    <col min="7185" max="7185" width="57.85546875" style="45" customWidth="1"/>
    <col min="7186" max="7186" width="4.140625" style="45" customWidth="1"/>
    <col min="7187" max="7187" width="4.42578125" style="45" customWidth="1"/>
    <col min="7188" max="7188" width="4.28515625" style="45" customWidth="1"/>
    <col min="7189" max="7189" width="4" style="45" customWidth="1"/>
    <col min="7190" max="7190" width="3.7109375" style="45" customWidth="1"/>
    <col min="7191" max="7191" width="4.28515625" style="45" customWidth="1"/>
    <col min="7192" max="7192" width="3.42578125" style="45" customWidth="1"/>
    <col min="7193" max="7193" width="4.7109375" style="45" customWidth="1"/>
    <col min="7194" max="7195" width="5.42578125" style="45" customWidth="1"/>
    <col min="7196" max="7196" width="10.28515625" style="45" customWidth="1"/>
    <col min="7197" max="7197" width="4.42578125" style="45" customWidth="1"/>
    <col min="7198" max="7198" width="4.28515625" style="45" customWidth="1"/>
    <col min="7199" max="7199" width="4" style="45" customWidth="1"/>
    <col min="7200" max="7200" width="4.42578125" style="45" customWidth="1"/>
    <col min="7201" max="7201" width="3.85546875" style="45" customWidth="1"/>
    <col min="7202" max="7202" width="4.28515625" style="45" customWidth="1"/>
    <col min="7203" max="7425" width="11.42578125" style="45" customWidth="1"/>
    <col min="7426" max="7426" width="10.7109375" style="45" customWidth="1"/>
    <col min="7427" max="7427" width="16" style="45" customWidth="1"/>
    <col min="7428" max="7428" width="3.7109375" style="45" customWidth="1"/>
    <col min="7429" max="7429" width="4.140625" style="45" customWidth="1"/>
    <col min="7430" max="7430" width="4" style="45" customWidth="1"/>
    <col min="7431" max="7431" width="56.85546875" style="45" customWidth="1"/>
    <col min="7432" max="7432" width="6" style="45" customWidth="1"/>
    <col min="7433" max="7433" width="8.28515625" style="45" customWidth="1"/>
    <col min="7434" max="7434" width="19.5703125" style="45" customWidth="1"/>
    <col min="7435" max="7435" width="2.7109375" style="45" customWidth="1"/>
    <col min="7436" max="7436" width="5.140625" style="45" customWidth="1"/>
    <col min="7437" max="7437" width="14" style="45" customWidth="1"/>
    <col min="7438" max="7438" width="3.5703125" style="45" customWidth="1"/>
    <col min="7439" max="7439" width="6.5703125" style="45" customWidth="1"/>
    <col min="7440" max="7440" width="36.5703125" style="45" customWidth="1"/>
    <col min="7441" max="7441" width="57.85546875" style="45" customWidth="1"/>
    <col min="7442" max="7442" width="4.140625" style="45" customWidth="1"/>
    <col min="7443" max="7443" width="4.42578125" style="45" customWidth="1"/>
    <col min="7444" max="7444" width="4.28515625" style="45" customWidth="1"/>
    <col min="7445" max="7445" width="4" style="45" customWidth="1"/>
    <col min="7446" max="7446" width="3.7109375" style="45" customWidth="1"/>
    <col min="7447" max="7447" width="4.28515625" style="45" customWidth="1"/>
    <col min="7448" max="7448" width="3.42578125" style="45" customWidth="1"/>
    <col min="7449" max="7449" width="4.7109375" style="45" customWidth="1"/>
    <col min="7450" max="7451" width="5.42578125" style="45" customWidth="1"/>
    <col min="7452" max="7452" width="10.28515625" style="45" customWidth="1"/>
    <col min="7453" max="7453" width="4.42578125" style="45" customWidth="1"/>
    <col min="7454" max="7454" width="4.28515625" style="45" customWidth="1"/>
    <col min="7455" max="7455" width="4" style="45" customWidth="1"/>
    <col min="7456" max="7456" width="4.42578125" style="45" customWidth="1"/>
    <col min="7457" max="7457" width="3.85546875" style="45" customWidth="1"/>
    <col min="7458" max="7458" width="4.28515625" style="45" customWidth="1"/>
    <col min="7459" max="7681" width="11.42578125" style="45" customWidth="1"/>
    <col min="7682" max="7682" width="10.7109375" style="45" customWidth="1"/>
    <col min="7683" max="7683" width="16" style="45" customWidth="1"/>
    <col min="7684" max="7684" width="3.7109375" style="45" customWidth="1"/>
    <col min="7685" max="7685" width="4.140625" style="45" customWidth="1"/>
    <col min="7686" max="7686" width="4" style="45" customWidth="1"/>
    <col min="7687" max="7687" width="56.85546875" style="45" customWidth="1"/>
    <col min="7688" max="7688" width="6" style="45" customWidth="1"/>
    <col min="7689" max="7689" width="8.28515625" style="45" customWidth="1"/>
    <col min="7690" max="7690" width="19.5703125" style="45" customWidth="1"/>
    <col min="7691" max="7691" width="2.7109375" style="45" customWidth="1"/>
    <col min="7692" max="7692" width="5.140625" style="45" customWidth="1"/>
    <col min="7693" max="7693" width="14" style="45" customWidth="1"/>
    <col min="7694" max="7694" width="3.5703125" style="45" customWidth="1"/>
    <col min="7695" max="7695" width="6.5703125" style="45" customWidth="1"/>
    <col min="7696" max="7696" width="36.5703125" style="45" customWidth="1"/>
    <col min="7697" max="7697" width="57.85546875" style="45" customWidth="1"/>
    <col min="7698" max="7698" width="4.140625" style="45" customWidth="1"/>
    <col min="7699" max="7699" width="4.42578125" style="45" customWidth="1"/>
    <col min="7700" max="7700" width="4.28515625" style="45" customWidth="1"/>
    <col min="7701" max="7701" width="4" style="45" customWidth="1"/>
    <col min="7702" max="7702" width="3.7109375" style="45" customWidth="1"/>
    <col min="7703" max="7703" width="4.28515625" style="45" customWidth="1"/>
    <col min="7704" max="7704" width="3.42578125" style="45" customWidth="1"/>
    <col min="7705" max="7705" width="4.7109375" style="45" customWidth="1"/>
    <col min="7706" max="7707" width="5.42578125" style="45" customWidth="1"/>
    <col min="7708" max="7708" width="10.28515625" style="45" customWidth="1"/>
    <col min="7709" max="7709" width="4.42578125" style="45" customWidth="1"/>
    <col min="7710" max="7710" width="4.28515625" style="45" customWidth="1"/>
    <col min="7711" max="7711" width="4" style="45" customWidth="1"/>
    <col min="7712" max="7712" width="4.42578125" style="45" customWidth="1"/>
    <col min="7713" max="7713" width="3.85546875" style="45" customWidth="1"/>
    <col min="7714" max="7714" width="4.28515625" style="45" customWidth="1"/>
    <col min="7715" max="7937" width="11.42578125" style="45" customWidth="1"/>
    <col min="7938" max="7938" width="10.7109375" style="45" customWidth="1"/>
    <col min="7939" max="7939" width="16" style="45" customWidth="1"/>
    <col min="7940" max="7940" width="3.7109375" style="45" customWidth="1"/>
    <col min="7941" max="7941" width="4.140625" style="45" customWidth="1"/>
    <col min="7942" max="7942" width="4" style="45" customWidth="1"/>
    <col min="7943" max="7943" width="56.85546875" style="45" customWidth="1"/>
    <col min="7944" max="7944" width="6" style="45" customWidth="1"/>
    <col min="7945" max="7945" width="8.28515625" style="45" customWidth="1"/>
    <col min="7946" max="7946" width="19.5703125" style="45" customWidth="1"/>
    <col min="7947" max="7947" width="2.7109375" style="45" customWidth="1"/>
    <col min="7948" max="7948" width="5.140625" style="45" customWidth="1"/>
    <col min="7949" max="7949" width="14" style="45" customWidth="1"/>
    <col min="7950" max="7950" width="3.5703125" style="45" customWidth="1"/>
    <col min="7951" max="7951" width="6.5703125" style="45" customWidth="1"/>
    <col min="7952" max="7952" width="36.5703125" style="45" customWidth="1"/>
    <col min="7953" max="7953" width="57.85546875" style="45" customWidth="1"/>
    <col min="7954" max="7954" width="4.140625" style="45" customWidth="1"/>
    <col min="7955" max="7955" width="4.42578125" style="45" customWidth="1"/>
    <col min="7956" max="7956" width="4.28515625" style="45" customWidth="1"/>
    <col min="7957" max="7957" width="4" style="45" customWidth="1"/>
    <col min="7958" max="7958" width="3.7109375" style="45" customWidth="1"/>
    <col min="7959" max="7959" width="4.28515625" style="45" customWidth="1"/>
    <col min="7960" max="7960" width="3.42578125" style="45" customWidth="1"/>
    <col min="7961" max="7961" width="4.7109375" style="45" customWidth="1"/>
    <col min="7962" max="7963" width="5.42578125" style="45" customWidth="1"/>
    <col min="7964" max="7964" width="10.28515625" style="45" customWidth="1"/>
    <col min="7965" max="7965" width="4.42578125" style="45" customWidth="1"/>
    <col min="7966" max="7966" width="4.28515625" style="45" customWidth="1"/>
    <col min="7967" max="7967" width="4" style="45" customWidth="1"/>
    <col min="7968" max="7968" width="4.42578125" style="45" customWidth="1"/>
    <col min="7969" max="7969" width="3.85546875" style="45" customWidth="1"/>
    <col min="7970" max="7970" width="4.28515625" style="45" customWidth="1"/>
    <col min="7971" max="8193" width="11.42578125" style="45" customWidth="1"/>
    <col min="8194" max="8194" width="10.7109375" style="45" customWidth="1"/>
    <col min="8195" max="8195" width="16" style="45" customWidth="1"/>
    <col min="8196" max="8196" width="3.7109375" style="45" customWidth="1"/>
    <col min="8197" max="8197" width="4.140625" style="45" customWidth="1"/>
    <col min="8198" max="8198" width="4" style="45" customWidth="1"/>
    <col min="8199" max="8199" width="56.85546875" style="45" customWidth="1"/>
    <col min="8200" max="8200" width="6" style="45" customWidth="1"/>
    <col min="8201" max="8201" width="8.28515625" style="45" customWidth="1"/>
    <col min="8202" max="8202" width="19.5703125" style="45" customWidth="1"/>
    <col min="8203" max="8203" width="2.7109375" style="45" customWidth="1"/>
    <col min="8204" max="8204" width="5.140625" style="45" customWidth="1"/>
    <col min="8205" max="8205" width="14" style="45" customWidth="1"/>
    <col min="8206" max="8206" width="3.5703125" style="45" customWidth="1"/>
    <col min="8207" max="8207" width="6.5703125" style="45" customWidth="1"/>
    <col min="8208" max="8208" width="36.5703125" style="45" customWidth="1"/>
    <col min="8209" max="8209" width="57.85546875" style="45" customWidth="1"/>
    <col min="8210" max="8210" width="4.140625" style="45" customWidth="1"/>
    <col min="8211" max="8211" width="4.42578125" style="45" customWidth="1"/>
    <col min="8212" max="8212" width="4.28515625" style="45" customWidth="1"/>
    <col min="8213" max="8213" width="4" style="45" customWidth="1"/>
    <col min="8214" max="8214" width="3.7109375" style="45" customWidth="1"/>
    <col min="8215" max="8215" width="4.28515625" style="45" customWidth="1"/>
    <col min="8216" max="8216" width="3.42578125" style="45" customWidth="1"/>
    <col min="8217" max="8217" width="4.7109375" style="45" customWidth="1"/>
    <col min="8218" max="8219" width="5.42578125" style="45" customWidth="1"/>
    <col min="8220" max="8220" width="10.28515625" style="45" customWidth="1"/>
    <col min="8221" max="8221" width="4.42578125" style="45" customWidth="1"/>
    <col min="8222" max="8222" width="4.28515625" style="45" customWidth="1"/>
    <col min="8223" max="8223" width="4" style="45" customWidth="1"/>
    <col min="8224" max="8224" width="4.42578125" style="45" customWidth="1"/>
    <col min="8225" max="8225" width="3.85546875" style="45" customWidth="1"/>
    <col min="8226" max="8226" width="4.28515625" style="45" customWidth="1"/>
    <col min="8227" max="8449" width="11.42578125" style="45" customWidth="1"/>
    <col min="8450" max="8450" width="10.7109375" style="45" customWidth="1"/>
    <col min="8451" max="8451" width="16" style="45" customWidth="1"/>
    <col min="8452" max="8452" width="3.7109375" style="45" customWidth="1"/>
    <col min="8453" max="8453" width="4.140625" style="45" customWidth="1"/>
    <col min="8454" max="8454" width="4" style="45" customWidth="1"/>
    <col min="8455" max="8455" width="56.85546875" style="45" customWidth="1"/>
    <col min="8456" max="8456" width="6" style="45" customWidth="1"/>
    <col min="8457" max="8457" width="8.28515625" style="45" customWidth="1"/>
    <col min="8458" max="8458" width="19.5703125" style="45" customWidth="1"/>
    <col min="8459" max="8459" width="2.7109375" style="45" customWidth="1"/>
    <col min="8460" max="8460" width="5.140625" style="45" customWidth="1"/>
    <col min="8461" max="8461" width="14" style="45" customWidth="1"/>
    <col min="8462" max="8462" width="3.5703125" style="45" customWidth="1"/>
    <col min="8463" max="8463" width="6.5703125" style="45" customWidth="1"/>
    <col min="8464" max="8464" width="36.5703125" style="45" customWidth="1"/>
    <col min="8465" max="8465" width="57.85546875" style="45" customWidth="1"/>
    <col min="8466" max="8466" width="4.140625" style="45" customWidth="1"/>
    <col min="8467" max="8467" width="4.42578125" style="45" customWidth="1"/>
    <col min="8468" max="8468" width="4.28515625" style="45" customWidth="1"/>
    <col min="8469" max="8469" width="4" style="45" customWidth="1"/>
    <col min="8470" max="8470" width="3.7109375" style="45" customWidth="1"/>
    <col min="8471" max="8471" width="4.28515625" style="45" customWidth="1"/>
    <col min="8472" max="8472" width="3.42578125" style="45" customWidth="1"/>
    <col min="8473" max="8473" width="4.7109375" style="45" customWidth="1"/>
    <col min="8474" max="8475" width="5.42578125" style="45" customWidth="1"/>
    <col min="8476" max="8476" width="10.28515625" style="45" customWidth="1"/>
    <col min="8477" max="8477" width="4.42578125" style="45" customWidth="1"/>
    <col min="8478" max="8478" width="4.28515625" style="45" customWidth="1"/>
    <col min="8479" max="8479" width="4" style="45" customWidth="1"/>
    <col min="8480" max="8480" width="4.42578125" style="45" customWidth="1"/>
    <col min="8481" max="8481" width="3.85546875" style="45" customWidth="1"/>
    <col min="8482" max="8482" width="4.28515625" style="45" customWidth="1"/>
    <col min="8483" max="8705" width="11.42578125" style="45" customWidth="1"/>
    <col min="8706" max="8706" width="10.7109375" style="45" customWidth="1"/>
    <col min="8707" max="8707" width="16" style="45" customWidth="1"/>
    <col min="8708" max="8708" width="3.7109375" style="45" customWidth="1"/>
    <col min="8709" max="8709" width="4.140625" style="45" customWidth="1"/>
    <col min="8710" max="8710" width="4" style="45" customWidth="1"/>
    <col min="8711" max="8711" width="56.85546875" style="45" customWidth="1"/>
    <col min="8712" max="8712" width="6" style="45" customWidth="1"/>
    <col min="8713" max="8713" width="8.28515625" style="45" customWidth="1"/>
    <col min="8714" max="8714" width="19.5703125" style="45" customWidth="1"/>
    <col min="8715" max="8715" width="2.7109375" style="45" customWidth="1"/>
    <col min="8716" max="8716" width="5.140625" style="45" customWidth="1"/>
    <col min="8717" max="8717" width="14" style="45" customWidth="1"/>
    <col min="8718" max="8718" width="3.5703125" style="45" customWidth="1"/>
    <col min="8719" max="8719" width="6.5703125" style="45" customWidth="1"/>
    <col min="8720" max="8720" width="36.5703125" style="45" customWidth="1"/>
    <col min="8721" max="8721" width="57.85546875" style="45" customWidth="1"/>
    <col min="8722" max="8722" width="4.140625" style="45" customWidth="1"/>
    <col min="8723" max="8723" width="4.42578125" style="45" customWidth="1"/>
    <col min="8724" max="8724" width="4.28515625" style="45" customWidth="1"/>
    <col min="8725" max="8725" width="4" style="45" customWidth="1"/>
    <col min="8726" max="8726" width="3.7109375" style="45" customWidth="1"/>
    <col min="8727" max="8727" width="4.28515625" style="45" customWidth="1"/>
    <col min="8728" max="8728" width="3.42578125" style="45" customWidth="1"/>
    <col min="8729" max="8729" width="4.7109375" style="45" customWidth="1"/>
    <col min="8730" max="8731" width="5.42578125" style="45" customWidth="1"/>
    <col min="8732" max="8732" width="10.28515625" style="45" customWidth="1"/>
    <col min="8733" max="8733" width="4.42578125" style="45" customWidth="1"/>
    <col min="8734" max="8734" width="4.28515625" style="45" customWidth="1"/>
    <col min="8735" max="8735" width="4" style="45" customWidth="1"/>
    <col min="8736" max="8736" width="4.42578125" style="45" customWidth="1"/>
    <col min="8737" max="8737" width="3.85546875" style="45" customWidth="1"/>
    <col min="8738" max="8738" width="4.28515625" style="45" customWidth="1"/>
    <col min="8739" max="8961" width="11.42578125" style="45" customWidth="1"/>
    <col min="8962" max="8962" width="10.7109375" style="45" customWidth="1"/>
    <col min="8963" max="8963" width="16" style="45" customWidth="1"/>
    <col min="8964" max="8964" width="3.7109375" style="45" customWidth="1"/>
    <col min="8965" max="8965" width="4.140625" style="45" customWidth="1"/>
    <col min="8966" max="8966" width="4" style="45" customWidth="1"/>
    <col min="8967" max="8967" width="56.85546875" style="45" customWidth="1"/>
    <col min="8968" max="8968" width="6" style="45" customWidth="1"/>
    <col min="8969" max="8969" width="8.28515625" style="45" customWidth="1"/>
    <col min="8970" max="8970" width="19.5703125" style="45" customWidth="1"/>
    <col min="8971" max="8971" width="2.7109375" style="45" customWidth="1"/>
    <col min="8972" max="8972" width="5.140625" style="45" customWidth="1"/>
    <col min="8973" max="8973" width="14" style="45" customWidth="1"/>
    <col min="8974" max="8974" width="3.5703125" style="45" customWidth="1"/>
    <col min="8975" max="8975" width="6.5703125" style="45" customWidth="1"/>
    <col min="8976" max="8976" width="36.5703125" style="45" customWidth="1"/>
    <col min="8977" max="8977" width="57.85546875" style="45" customWidth="1"/>
    <col min="8978" max="8978" width="4.140625" style="45" customWidth="1"/>
    <col min="8979" max="8979" width="4.42578125" style="45" customWidth="1"/>
    <col min="8980" max="8980" width="4.28515625" style="45" customWidth="1"/>
    <col min="8981" max="8981" width="4" style="45" customWidth="1"/>
    <col min="8982" max="8982" width="3.7109375" style="45" customWidth="1"/>
    <col min="8983" max="8983" width="4.28515625" style="45" customWidth="1"/>
    <col min="8984" max="8984" width="3.42578125" style="45" customWidth="1"/>
    <col min="8985" max="8985" width="4.7109375" style="45" customWidth="1"/>
    <col min="8986" max="8987" width="5.42578125" style="45" customWidth="1"/>
    <col min="8988" max="8988" width="10.28515625" style="45" customWidth="1"/>
    <col min="8989" max="8989" width="4.42578125" style="45" customWidth="1"/>
    <col min="8990" max="8990" width="4.28515625" style="45" customWidth="1"/>
    <col min="8991" max="8991" width="4" style="45" customWidth="1"/>
    <col min="8992" max="8992" width="4.42578125" style="45" customWidth="1"/>
    <col min="8993" max="8993" width="3.85546875" style="45" customWidth="1"/>
    <col min="8994" max="8994" width="4.28515625" style="45" customWidth="1"/>
    <col min="8995" max="9217" width="11.42578125" style="45" customWidth="1"/>
    <col min="9218" max="9218" width="10.7109375" style="45" customWidth="1"/>
    <col min="9219" max="9219" width="16" style="45" customWidth="1"/>
    <col min="9220" max="9220" width="3.7109375" style="45" customWidth="1"/>
    <col min="9221" max="9221" width="4.140625" style="45" customWidth="1"/>
    <col min="9222" max="9222" width="4" style="45" customWidth="1"/>
    <col min="9223" max="9223" width="56.85546875" style="45" customWidth="1"/>
    <col min="9224" max="9224" width="6" style="45" customWidth="1"/>
    <col min="9225" max="9225" width="8.28515625" style="45" customWidth="1"/>
    <col min="9226" max="9226" width="19.5703125" style="45" customWidth="1"/>
    <col min="9227" max="9227" width="2.7109375" style="45" customWidth="1"/>
    <col min="9228" max="9228" width="5.140625" style="45" customWidth="1"/>
    <col min="9229" max="9229" width="14" style="45" customWidth="1"/>
    <col min="9230" max="9230" width="3.5703125" style="45" customWidth="1"/>
    <col min="9231" max="9231" width="6.5703125" style="45" customWidth="1"/>
    <col min="9232" max="9232" width="36.5703125" style="45" customWidth="1"/>
    <col min="9233" max="9233" width="57.85546875" style="45" customWidth="1"/>
    <col min="9234" max="9234" width="4.140625" style="45" customWidth="1"/>
    <col min="9235" max="9235" width="4.42578125" style="45" customWidth="1"/>
    <col min="9236" max="9236" width="4.28515625" style="45" customWidth="1"/>
    <col min="9237" max="9237" width="4" style="45" customWidth="1"/>
    <col min="9238" max="9238" width="3.7109375" style="45" customWidth="1"/>
    <col min="9239" max="9239" width="4.28515625" style="45" customWidth="1"/>
    <col min="9240" max="9240" width="3.42578125" style="45" customWidth="1"/>
    <col min="9241" max="9241" width="4.7109375" style="45" customWidth="1"/>
    <col min="9242" max="9243" width="5.42578125" style="45" customWidth="1"/>
    <col min="9244" max="9244" width="10.28515625" style="45" customWidth="1"/>
    <col min="9245" max="9245" width="4.42578125" style="45" customWidth="1"/>
    <col min="9246" max="9246" width="4.28515625" style="45" customWidth="1"/>
    <col min="9247" max="9247" width="4" style="45" customWidth="1"/>
    <col min="9248" max="9248" width="4.42578125" style="45" customWidth="1"/>
    <col min="9249" max="9249" width="3.85546875" style="45" customWidth="1"/>
    <col min="9250" max="9250" width="4.28515625" style="45" customWidth="1"/>
    <col min="9251" max="9473" width="11.42578125" style="45" customWidth="1"/>
    <col min="9474" max="9474" width="10.7109375" style="45" customWidth="1"/>
    <col min="9475" max="9475" width="16" style="45" customWidth="1"/>
    <col min="9476" max="9476" width="3.7109375" style="45" customWidth="1"/>
    <col min="9477" max="9477" width="4.140625" style="45" customWidth="1"/>
    <col min="9478" max="9478" width="4" style="45" customWidth="1"/>
    <col min="9479" max="9479" width="56.85546875" style="45" customWidth="1"/>
    <col min="9480" max="9480" width="6" style="45" customWidth="1"/>
    <col min="9481" max="9481" width="8.28515625" style="45" customWidth="1"/>
    <col min="9482" max="9482" width="19.5703125" style="45" customWidth="1"/>
    <col min="9483" max="9483" width="2.7109375" style="45" customWidth="1"/>
    <col min="9484" max="9484" width="5.140625" style="45" customWidth="1"/>
    <col min="9485" max="9485" width="14" style="45" customWidth="1"/>
    <col min="9486" max="9486" width="3.5703125" style="45" customWidth="1"/>
    <col min="9487" max="9487" width="6.5703125" style="45" customWidth="1"/>
    <col min="9488" max="9488" width="36.5703125" style="45" customWidth="1"/>
    <col min="9489" max="9489" width="57.85546875" style="45" customWidth="1"/>
    <col min="9490" max="9490" width="4.140625" style="45" customWidth="1"/>
    <col min="9491" max="9491" width="4.42578125" style="45" customWidth="1"/>
    <col min="9492" max="9492" width="4.28515625" style="45" customWidth="1"/>
    <col min="9493" max="9493" width="4" style="45" customWidth="1"/>
    <col min="9494" max="9494" width="3.7109375" style="45" customWidth="1"/>
    <col min="9495" max="9495" width="4.28515625" style="45" customWidth="1"/>
    <col min="9496" max="9496" width="3.42578125" style="45" customWidth="1"/>
    <col min="9497" max="9497" width="4.7109375" style="45" customWidth="1"/>
    <col min="9498" max="9499" width="5.42578125" style="45" customWidth="1"/>
    <col min="9500" max="9500" width="10.28515625" style="45" customWidth="1"/>
    <col min="9501" max="9501" width="4.42578125" style="45" customWidth="1"/>
    <col min="9502" max="9502" width="4.28515625" style="45" customWidth="1"/>
    <col min="9503" max="9503" width="4" style="45" customWidth="1"/>
    <col min="9504" max="9504" width="4.42578125" style="45" customWidth="1"/>
    <col min="9505" max="9505" width="3.85546875" style="45" customWidth="1"/>
    <col min="9506" max="9506" width="4.28515625" style="45" customWidth="1"/>
    <col min="9507" max="9729" width="11.42578125" style="45" customWidth="1"/>
    <col min="9730" max="9730" width="10.7109375" style="45" customWidth="1"/>
    <col min="9731" max="9731" width="16" style="45" customWidth="1"/>
    <col min="9732" max="9732" width="3.7109375" style="45" customWidth="1"/>
    <col min="9733" max="9733" width="4.140625" style="45" customWidth="1"/>
    <col min="9734" max="9734" width="4" style="45" customWidth="1"/>
    <col min="9735" max="9735" width="56.85546875" style="45" customWidth="1"/>
    <col min="9736" max="9736" width="6" style="45" customWidth="1"/>
    <col min="9737" max="9737" width="8.28515625" style="45" customWidth="1"/>
    <col min="9738" max="9738" width="19.5703125" style="45" customWidth="1"/>
    <col min="9739" max="9739" width="2.7109375" style="45" customWidth="1"/>
    <col min="9740" max="9740" width="5.140625" style="45" customWidth="1"/>
    <col min="9741" max="9741" width="14" style="45" customWidth="1"/>
    <col min="9742" max="9742" width="3.5703125" style="45" customWidth="1"/>
    <col min="9743" max="9743" width="6.5703125" style="45" customWidth="1"/>
    <col min="9744" max="9744" width="36.5703125" style="45" customWidth="1"/>
    <col min="9745" max="9745" width="57.85546875" style="45" customWidth="1"/>
    <col min="9746" max="9746" width="4.140625" style="45" customWidth="1"/>
    <col min="9747" max="9747" width="4.42578125" style="45" customWidth="1"/>
    <col min="9748" max="9748" width="4.28515625" style="45" customWidth="1"/>
    <col min="9749" max="9749" width="4" style="45" customWidth="1"/>
    <col min="9750" max="9750" width="3.7109375" style="45" customWidth="1"/>
    <col min="9751" max="9751" width="4.28515625" style="45" customWidth="1"/>
    <col min="9752" max="9752" width="3.42578125" style="45" customWidth="1"/>
    <col min="9753" max="9753" width="4.7109375" style="45" customWidth="1"/>
    <col min="9754" max="9755" width="5.42578125" style="45" customWidth="1"/>
    <col min="9756" max="9756" width="10.28515625" style="45" customWidth="1"/>
    <col min="9757" max="9757" width="4.42578125" style="45" customWidth="1"/>
    <col min="9758" max="9758" width="4.28515625" style="45" customWidth="1"/>
    <col min="9759" max="9759" width="4" style="45" customWidth="1"/>
    <col min="9760" max="9760" width="4.42578125" style="45" customWidth="1"/>
    <col min="9761" max="9761" width="3.85546875" style="45" customWidth="1"/>
    <col min="9762" max="9762" width="4.28515625" style="45" customWidth="1"/>
    <col min="9763" max="9985" width="11.42578125" style="45" customWidth="1"/>
    <col min="9986" max="9986" width="10.7109375" style="45" customWidth="1"/>
    <col min="9987" max="9987" width="16" style="45" customWidth="1"/>
    <col min="9988" max="9988" width="3.7109375" style="45" customWidth="1"/>
    <col min="9989" max="9989" width="4.140625" style="45" customWidth="1"/>
    <col min="9990" max="9990" width="4" style="45" customWidth="1"/>
    <col min="9991" max="9991" width="56.85546875" style="45" customWidth="1"/>
    <col min="9992" max="9992" width="6" style="45" customWidth="1"/>
    <col min="9993" max="9993" width="8.28515625" style="45" customWidth="1"/>
    <col min="9994" max="9994" width="19.5703125" style="45" customWidth="1"/>
    <col min="9995" max="9995" width="2.7109375" style="45" customWidth="1"/>
    <col min="9996" max="9996" width="5.140625" style="45" customWidth="1"/>
    <col min="9997" max="9997" width="14" style="45" customWidth="1"/>
    <col min="9998" max="9998" width="3.5703125" style="45" customWidth="1"/>
    <col min="9999" max="9999" width="6.5703125" style="45" customWidth="1"/>
    <col min="10000" max="10000" width="36.5703125" style="45" customWidth="1"/>
    <col min="10001" max="10001" width="57.85546875" style="45" customWidth="1"/>
    <col min="10002" max="10002" width="4.140625" style="45" customWidth="1"/>
    <col min="10003" max="10003" width="4.42578125" style="45" customWidth="1"/>
    <col min="10004" max="10004" width="4.28515625" style="45" customWidth="1"/>
    <col min="10005" max="10005" width="4" style="45" customWidth="1"/>
    <col min="10006" max="10006" width="3.7109375" style="45" customWidth="1"/>
    <col min="10007" max="10007" width="4.28515625" style="45" customWidth="1"/>
    <col min="10008" max="10008" width="3.42578125" style="45" customWidth="1"/>
    <col min="10009" max="10009" width="4.7109375" style="45" customWidth="1"/>
    <col min="10010" max="10011" width="5.42578125" style="45" customWidth="1"/>
    <col min="10012" max="10012" width="10.28515625" style="45" customWidth="1"/>
    <col min="10013" max="10013" width="4.42578125" style="45" customWidth="1"/>
    <col min="10014" max="10014" width="4.28515625" style="45" customWidth="1"/>
    <col min="10015" max="10015" width="4" style="45" customWidth="1"/>
    <col min="10016" max="10016" width="4.42578125" style="45" customWidth="1"/>
    <col min="10017" max="10017" width="3.85546875" style="45" customWidth="1"/>
    <col min="10018" max="10018" width="4.28515625" style="45" customWidth="1"/>
    <col min="10019" max="10241" width="11.42578125" style="45" customWidth="1"/>
    <col min="10242" max="10242" width="10.7109375" style="45" customWidth="1"/>
    <col min="10243" max="10243" width="16" style="45" customWidth="1"/>
    <col min="10244" max="10244" width="3.7109375" style="45" customWidth="1"/>
    <col min="10245" max="10245" width="4.140625" style="45" customWidth="1"/>
    <col min="10246" max="10246" width="4" style="45" customWidth="1"/>
    <col min="10247" max="10247" width="56.85546875" style="45" customWidth="1"/>
    <col min="10248" max="10248" width="6" style="45" customWidth="1"/>
    <col min="10249" max="10249" width="8.28515625" style="45" customWidth="1"/>
    <col min="10250" max="10250" width="19.5703125" style="45" customWidth="1"/>
    <col min="10251" max="10251" width="2.7109375" style="45" customWidth="1"/>
    <col min="10252" max="10252" width="5.140625" style="45" customWidth="1"/>
    <col min="10253" max="10253" width="14" style="45" customWidth="1"/>
    <col min="10254" max="10254" width="3.5703125" style="45" customWidth="1"/>
    <col min="10255" max="10255" width="6.5703125" style="45" customWidth="1"/>
    <col min="10256" max="10256" width="36.5703125" style="45" customWidth="1"/>
    <col min="10257" max="10257" width="57.85546875" style="45" customWidth="1"/>
    <col min="10258" max="10258" width="4.140625" style="45" customWidth="1"/>
    <col min="10259" max="10259" width="4.42578125" style="45" customWidth="1"/>
    <col min="10260" max="10260" width="4.28515625" style="45" customWidth="1"/>
    <col min="10261" max="10261" width="4" style="45" customWidth="1"/>
    <col min="10262" max="10262" width="3.7109375" style="45" customWidth="1"/>
    <col min="10263" max="10263" width="4.28515625" style="45" customWidth="1"/>
    <col min="10264" max="10264" width="3.42578125" style="45" customWidth="1"/>
    <col min="10265" max="10265" width="4.7109375" style="45" customWidth="1"/>
    <col min="10266" max="10267" width="5.42578125" style="45" customWidth="1"/>
    <col min="10268" max="10268" width="10.28515625" style="45" customWidth="1"/>
    <col min="10269" max="10269" width="4.42578125" style="45" customWidth="1"/>
    <col min="10270" max="10270" width="4.28515625" style="45" customWidth="1"/>
    <col min="10271" max="10271" width="4" style="45" customWidth="1"/>
    <col min="10272" max="10272" width="4.42578125" style="45" customWidth="1"/>
    <col min="10273" max="10273" width="3.85546875" style="45" customWidth="1"/>
    <col min="10274" max="10274" width="4.28515625" style="45" customWidth="1"/>
    <col min="10275" max="10497" width="11.42578125" style="45" customWidth="1"/>
    <col min="10498" max="10498" width="10.7109375" style="45" customWidth="1"/>
    <col min="10499" max="10499" width="16" style="45" customWidth="1"/>
    <col min="10500" max="10500" width="3.7109375" style="45" customWidth="1"/>
    <col min="10501" max="10501" width="4.140625" style="45" customWidth="1"/>
    <col min="10502" max="10502" width="4" style="45" customWidth="1"/>
    <col min="10503" max="10503" width="56.85546875" style="45" customWidth="1"/>
    <col min="10504" max="10504" width="6" style="45" customWidth="1"/>
    <col min="10505" max="10505" width="8.28515625" style="45" customWidth="1"/>
    <col min="10506" max="10506" width="19.5703125" style="45" customWidth="1"/>
    <col min="10507" max="10507" width="2.7109375" style="45" customWidth="1"/>
    <col min="10508" max="10508" width="5.140625" style="45" customWidth="1"/>
    <col min="10509" max="10509" width="14" style="45" customWidth="1"/>
    <col min="10510" max="10510" width="3.5703125" style="45" customWidth="1"/>
    <col min="10511" max="10511" width="6.5703125" style="45" customWidth="1"/>
    <col min="10512" max="10512" width="36.5703125" style="45" customWidth="1"/>
    <col min="10513" max="10513" width="57.85546875" style="45" customWidth="1"/>
    <col min="10514" max="10514" width="4.140625" style="45" customWidth="1"/>
    <col min="10515" max="10515" width="4.42578125" style="45" customWidth="1"/>
    <col min="10516" max="10516" width="4.28515625" style="45" customWidth="1"/>
    <col min="10517" max="10517" width="4" style="45" customWidth="1"/>
    <col min="10518" max="10518" width="3.7109375" style="45" customWidth="1"/>
    <col min="10519" max="10519" width="4.28515625" style="45" customWidth="1"/>
    <col min="10520" max="10520" width="3.42578125" style="45" customWidth="1"/>
    <col min="10521" max="10521" width="4.7109375" style="45" customWidth="1"/>
    <col min="10522" max="10523" width="5.42578125" style="45" customWidth="1"/>
    <col min="10524" max="10524" width="10.28515625" style="45" customWidth="1"/>
    <col min="10525" max="10525" width="4.42578125" style="45" customWidth="1"/>
    <col min="10526" max="10526" width="4.28515625" style="45" customWidth="1"/>
    <col min="10527" max="10527" width="4" style="45" customWidth="1"/>
    <col min="10528" max="10528" width="4.42578125" style="45" customWidth="1"/>
    <col min="10529" max="10529" width="3.85546875" style="45" customWidth="1"/>
    <col min="10530" max="10530" width="4.28515625" style="45" customWidth="1"/>
    <col min="10531" max="10753" width="11.42578125" style="45" customWidth="1"/>
    <col min="10754" max="10754" width="10.7109375" style="45" customWidth="1"/>
    <col min="10755" max="10755" width="16" style="45" customWidth="1"/>
    <col min="10756" max="10756" width="3.7109375" style="45" customWidth="1"/>
    <col min="10757" max="10757" width="4.140625" style="45" customWidth="1"/>
    <col min="10758" max="10758" width="4" style="45" customWidth="1"/>
    <col min="10759" max="10759" width="56.85546875" style="45" customWidth="1"/>
    <col min="10760" max="10760" width="6" style="45" customWidth="1"/>
    <col min="10761" max="10761" width="8.28515625" style="45" customWidth="1"/>
    <col min="10762" max="10762" width="19.5703125" style="45" customWidth="1"/>
    <col min="10763" max="10763" width="2.7109375" style="45" customWidth="1"/>
    <col min="10764" max="10764" width="5.140625" style="45" customWidth="1"/>
    <col min="10765" max="10765" width="14" style="45" customWidth="1"/>
    <col min="10766" max="10766" width="3.5703125" style="45" customWidth="1"/>
    <col min="10767" max="10767" width="6.5703125" style="45" customWidth="1"/>
    <col min="10768" max="10768" width="36.5703125" style="45" customWidth="1"/>
    <col min="10769" max="10769" width="57.85546875" style="45" customWidth="1"/>
    <col min="10770" max="10770" width="4.140625" style="45" customWidth="1"/>
    <col min="10771" max="10771" width="4.42578125" style="45" customWidth="1"/>
    <col min="10772" max="10772" width="4.28515625" style="45" customWidth="1"/>
    <col min="10773" max="10773" width="4" style="45" customWidth="1"/>
    <col min="10774" max="10774" width="3.7109375" style="45" customWidth="1"/>
    <col min="10775" max="10775" width="4.28515625" style="45" customWidth="1"/>
    <col min="10776" max="10776" width="3.42578125" style="45" customWidth="1"/>
    <col min="10777" max="10777" width="4.7109375" style="45" customWidth="1"/>
    <col min="10778" max="10779" width="5.42578125" style="45" customWidth="1"/>
    <col min="10780" max="10780" width="10.28515625" style="45" customWidth="1"/>
    <col min="10781" max="10781" width="4.42578125" style="45" customWidth="1"/>
    <col min="10782" max="10782" width="4.28515625" style="45" customWidth="1"/>
    <col min="10783" max="10783" width="4" style="45" customWidth="1"/>
    <col min="10784" max="10784" width="4.42578125" style="45" customWidth="1"/>
    <col min="10785" max="10785" width="3.85546875" style="45" customWidth="1"/>
    <col min="10786" max="10786" width="4.28515625" style="45" customWidth="1"/>
    <col min="10787" max="11009" width="11.42578125" style="45" customWidth="1"/>
    <col min="11010" max="11010" width="10.7109375" style="45" customWidth="1"/>
    <col min="11011" max="11011" width="16" style="45" customWidth="1"/>
    <col min="11012" max="11012" width="3.7109375" style="45" customWidth="1"/>
    <col min="11013" max="11013" width="4.140625" style="45" customWidth="1"/>
    <col min="11014" max="11014" width="4" style="45" customWidth="1"/>
    <col min="11015" max="11015" width="56.85546875" style="45" customWidth="1"/>
    <col min="11016" max="11016" width="6" style="45" customWidth="1"/>
    <col min="11017" max="11017" width="8.28515625" style="45" customWidth="1"/>
    <col min="11018" max="11018" width="19.5703125" style="45" customWidth="1"/>
    <col min="11019" max="11019" width="2.7109375" style="45" customWidth="1"/>
    <col min="11020" max="11020" width="5.140625" style="45" customWidth="1"/>
    <col min="11021" max="11021" width="14" style="45" customWidth="1"/>
    <col min="11022" max="11022" width="3.5703125" style="45" customWidth="1"/>
    <col min="11023" max="11023" width="6.5703125" style="45" customWidth="1"/>
    <col min="11024" max="11024" width="36.5703125" style="45" customWidth="1"/>
    <col min="11025" max="11025" width="57.85546875" style="45" customWidth="1"/>
    <col min="11026" max="11026" width="4.140625" style="45" customWidth="1"/>
    <col min="11027" max="11027" width="4.42578125" style="45" customWidth="1"/>
    <col min="11028" max="11028" width="4.28515625" style="45" customWidth="1"/>
    <col min="11029" max="11029" width="4" style="45" customWidth="1"/>
    <col min="11030" max="11030" width="3.7109375" style="45" customWidth="1"/>
    <col min="11031" max="11031" width="4.28515625" style="45" customWidth="1"/>
    <col min="11032" max="11032" width="3.42578125" style="45" customWidth="1"/>
    <col min="11033" max="11033" width="4.7109375" style="45" customWidth="1"/>
    <col min="11034" max="11035" width="5.42578125" style="45" customWidth="1"/>
    <col min="11036" max="11036" width="10.28515625" style="45" customWidth="1"/>
    <col min="11037" max="11037" width="4.42578125" style="45" customWidth="1"/>
    <col min="11038" max="11038" width="4.28515625" style="45" customWidth="1"/>
    <col min="11039" max="11039" width="4" style="45" customWidth="1"/>
    <col min="11040" max="11040" width="4.42578125" style="45" customWidth="1"/>
    <col min="11041" max="11041" width="3.85546875" style="45" customWidth="1"/>
    <col min="11042" max="11042" width="4.28515625" style="45" customWidth="1"/>
    <col min="11043" max="11265" width="11.42578125" style="45" customWidth="1"/>
    <col min="11266" max="11266" width="10.7109375" style="45" customWidth="1"/>
    <col min="11267" max="11267" width="16" style="45" customWidth="1"/>
    <col min="11268" max="11268" width="3.7109375" style="45" customWidth="1"/>
    <col min="11269" max="11269" width="4.140625" style="45" customWidth="1"/>
    <col min="11270" max="11270" width="4" style="45" customWidth="1"/>
    <col min="11271" max="11271" width="56.85546875" style="45" customWidth="1"/>
    <col min="11272" max="11272" width="6" style="45" customWidth="1"/>
    <col min="11273" max="11273" width="8.28515625" style="45" customWidth="1"/>
    <col min="11274" max="11274" width="19.5703125" style="45" customWidth="1"/>
    <col min="11275" max="11275" width="2.7109375" style="45" customWidth="1"/>
    <col min="11276" max="11276" width="5.140625" style="45" customWidth="1"/>
    <col min="11277" max="11277" width="14" style="45" customWidth="1"/>
    <col min="11278" max="11278" width="3.5703125" style="45" customWidth="1"/>
    <col min="11279" max="11279" width="6.5703125" style="45" customWidth="1"/>
    <col min="11280" max="11280" width="36.5703125" style="45" customWidth="1"/>
    <col min="11281" max="11281" width="57.85546875" style="45" customWidth="1"/>
    <col min="11282" max="11282" width="4.140625" style="45" customWidth="1"/>
    <col min="11283" max="11283" width="4.42578125" style="45" customWidth="1"/>
    <col min="11284" max="11284" width="4.28515625" style="45" customWidth="1"/>
    <col min="11285" max="11285" width="4" style="45" customWidth="1"/>
    <col min="11286" max="11286" width="3.7109375" style="45" customWidth="1"/>
    <col min="11287" max="11287" width="4.28515625" style="45" customWidth="1"/>
    <col min="11288" max="11288" width="3.42578125" style="45" customWidth="1"/>
    <col min="11289" max="11289" width="4.7109375" style="45" customWidth="1"/>
    <col min="11290" max="11291" width="5.42578125" style="45" customWidth="1"/>
    <col min="11292" max="11292" width="10.28515625" style="45" customWidth="1"/>
    <col min="11293" max="11293" width="4.42578125" style="45" customWidth="1"/>
    <col min="11294" max="11294" width="4.28515625" style="45" customWidth="1"/>
    <col min="11295" max="11295" width="4" style="45" customWidth="1"/>
    <col min="11296" max="11296" width="4.42578125" style="45" customWidth="1"/>
    <col min="11297" max="11297" width="3.85546875" style="45" customWidth="1"/>
    <col min="11298" max="11298" width="4.28515625" style="45" customWidth="1"/>
    <col min="11299" max="11521" width="11.42578125" style="45" customWidth="1"/>
    <col min="11522" max="11522" width="10.7109375" style="45" customWidth="1"/>
    <col min="11523" max="11523" width="16" style="45" customWidth="1"/>
    <col min="11524" max="11524" width="3.7109375" style="45" customWidth="1"/>
    <col min="11525" max="11525" width="4.140625" style="45" customWidth="1"/>
    <col min="11526" max="11526" width="4" style="45" customWidth="1"/>
    <col min="11527" max="11527" width="56.85546875" style="45" customWidth="1"/>
    <col min="11528" max="11528" width="6" style="45" customWidth="1"/>
    <col min="11529" max="11529" width="8.28515625" style="45" customWidth="1"/>
    <col min="11530" max="11530" width="19.5703125" style="45" customWidth="1"/>
    <col min="11531" max="11531" width="2.7109375" style="45" customWidth="1"/>
    <col min="11532" max="11532" width="5.140625" style="45" customWidth="1"/>
    <col min="11533" max="11533" width="14" style="45" customWidth="1"/>
    <col min="11534" max="11534" width="3.5703125" style="45" customWidth="1"/>
    <col min="11535" max="11535" width="6.5703125" style="45" customWidth="1"/>
    <col min="11536" max="11536" width="36.5703125" style="45" customWidth="1"/>
    <col min="11537" max="11537" width="57.85546875" style="45" customWidth="1"/>
    <col min="11538" max="11538" width="4.140625" style="45" customWidth="1"/>
    <col min="11539" max="11539" width="4.42578125" style="45" customWidth="1"/>
    <col min="11540" max="11540" width="4.28515625" style="45" customWidth="1"/>
    <col min="11541" max="11541" width="4" style="45" customWidth="1"/>
    <col min="11542" max="11542" width="3.7109375" style="45" customWidth="1"/>
    <col min="11543" max="11543" width="4.28515625" style="45" customWidth="1"/>
    <col min="11544" max="11544" width="3.42578125" style="45" customWidth="1"/>
    <col min="11545" max="11545" width="4.7109375" style="45" customWidth="1"/>
    <col min="11546" max="11547" width="5.42578125" style="45" customWidth="1"/>
    <col min="11548" max="11548" width="10.28515625" style="45" customWidth="1"/>
    <col min="11549" max="11549" width="4.42578125" style="45" customWidth="1"/>
    <col min="11550" max="11550" width="4.28515625" style="45" customWidth="1"/>
    <col min="11551" max="11551" width="4" style="45" customWidth="1"/>
    <col min="11552" max="11552" width="4.42578125" style="45" customWidth="1"/>
    <col min="11553" max="11553" width="3.85546875" style="45" customWidth="1"/>
    <col min="11554" max="11554" width="4.28515625" style="45" customWidth="1"/>
    <col min="11555" max="11777" width="11.42578125" style="45" customWidth="1"/>
    <col min="11778" max="11778" width="10.7109375" style="45" customWidth="1"/>
    <col min="11779" max="11779" width="16" style="45" customWidth="1"/>
    <col min="11780" max="11780" width="3.7109375" style="45" customWidth="1"/>
    <col min="11781" max="11781" width="4.140625" style="45" customWidth="1"/>
    <col min="11782" max="11782" width="4" style="45" customWidth="1"/>
    <col min="11783" max="11783" width="56.85546875" style="45" customWidth="1"/>
    <col min="11784" max="11784" width="6" style="45" customWidth="1"/>
    <col min="11785" max="11785" width="8.28515625" style="45" customWidth="1"/>
    <col min="11786" max="11786" width="19.5703125" style="45" customWidth="1"/>
    <col min="11787" max="11787" width="2.7109375" style="45" customWidth="1"/>
    <col min="11788" max="11788" width="5.140625" style="45" customWidth="1"/>
    <col min="11789" max="11789" width="14" style="45" customWidth="1"/>
    <col min="11790" max="11790" width="3.5703125" style="45" customWidth="1"/>
    <col min="11791" max="11791" width="6.5703125" style="45" customWidth="1"/>
    <col min="11792" max="11792" width="36.5703125" style="45" customWidth="1"/>
    <col min="11793" max="11793" width="57.85546875" style="45" customWidth="1"/>
    <col min="11794" max="11794" width="4.140625" style="45" customWidth="1"/>
    <col min="11795" max="11795" width="4.42578125" style="45" customWidth="1"/>
    <col min="11796" max="11796" width="4.28515625" style="45" customWidth="1"/>
    <col min="11797" max="11797" width="4" style="45" customWidth="1"/>
    <col min="11798" max="11798" width="3.7109375" style="45" customWidth="1"/>
    <col min="11799" max="11799" width="4.28515625" style="45" customWidth="1"/>
    <col min="11800" max="11800" width="3.42578125" style="45" customWidth="1"/>
    <col min="11801" max="11801" width="4.7109375" style="45" customWidth="1"/>
    <col min="11802" max="11803" width="5.42578125" style="45" customWidth="1"/>
    <col min="11804" max="11804" width="10.28515625" style="45" customWidth="1"/>
    <col min="11805" max="11805" width="4.42578125" style="45" customWidth="1"/>
    <col min="11806" max="11806" width="4.28515625" style="45" customWidth="1"/>
    <col min="11807" max="11807" width="4" style="45" customWidth="1"/>
    <col min="11808" max="11808" width="4.42578125" style="45" customWidth="1"/>
    <col min="11809" max="11809" width="3.85546875" style="45" customWidth="1"/>
    <col min="11810" max="11810" width="4.28515625" style="45" customWidth="1"/>
    <col min="11811" max="12033" width="11.42578125" style="45" customWidth="1"/>
    <col min="12034" max="12034" width="10.7109375" style="45" customWidth="1"/>
    <col min="12035" max="12035" width="16" style="45" customWidth="1"/>
    <col min="12036" max="12036" width="3.7109375" style="45" customWidth="1"/>
    <col min="12037" max="12037" width="4.140625" style="45" customWidth="1"/>
    <col min="12038" max="12038" width="4" style="45" customWidth="1"/>
    <col min="12039" max="12039" width="56.85546875" style="45" customWidth="1"/>
    <col min="12040" max="12040" width="6" style="45" customWidth="1"/>
    <col min="12041" max="12041" width="8.28515625" style="45" customWidth="1"/>
    <col min="12042" max="12042" width="19.5703125" style="45" customWidth="1"/>
    <col min="12043" max="12043" width="2.7109375" style="45" customWidth="1"/>
    <col min="12044" max="12044" width="5.140625" style="45" customWidth="1"/>
    <col min="12045" max="12045" width="14" style="45" customWidth="1"/>
    <col min="12046" max="12046" width="3.5703125" style="45" customWidth="1"/>
    <col min="12047" max="12047" width="6.5703125" style="45" customWidth="1"/>
    <col min="12048" max="12048" width="36.5703125" style="45" customWidth="1"/>
    <col min="12049" max="12049" width="57.85546875" style="45" customWidth="1"/>
    <col min="12050" max="12050" width="4.140625" style="45" customWidth="1"/>
    <col min="12051" max="12051" width="4.42578125" style="45" customWidth="1"/>
    <col min="12052" max="12052" width="4.28515625" style="45" customWidth="1"/>
    <col min="12053" max="12053" width="4" style="45" customWidth="1"/>
    <col min="12054" max="12054" width="3.7109375" style="45" customWidth="1"/>
    <col min="12055" max="12055" width="4.28515625" style="45" customWidth="1"/>
    <col min="12056" max="12056" width="3.42578125" style="45" customWidth="1"/>
    <col min="12057" max="12057" width="4.7109375" style="45" customWidth="1"/>
    <col min="12058" max="12059" width="5.42578125" style="45" customWidth="1"/>
    <col min="12060" max="12060" width="10.28515625" style="45" customWidth="1"/>
    <col min="12061" max="12061" width="4.42578125" style="45" customWidth="1"/>
    <col min="12062" max="12062" width="4.28515625" style="45" customWidth="1"/>
    <col min="12063" max="12063" width="4" style="45" customWidth="1"/>
    <col min="12064" max="12064" width="4.42578125" style="45" customWidth="1"/>
    <col min="12065" max="12065" width="3.85546875" style="45" customWidth="1"/>
    <col min="12066" max="12066" width="4.28515625" style="45" customWidth="1"/>
    <col min="12067" max="12289" width="11.42578125" style="45" customWidth="1"/>
    <col min="12290" max="12290" width="10.7109375" style="45" customWidth="1"/>
    <col min="12291" max="12291" width="16" style="45" customWidth="1"/>
    <col min="12292" max="12292" width="3.7109375" style="45" customWidth="1"/>
    <col min="12293" max="12293" width="4.140625" style="45" customWidth="1"/>
    <col min="12294" max="12294" width="4" style="45" customWidth="1"/>
    <col min="12295" max="12295" width="56.85546875" style="45" customWidth="1"/>
    <col min="12296" max="12296" width="6" style="45" customWidth="1"/>
    <col min="12297" max="12297" width="8.28515625" style="45" customWidth="1"/>
    <col min="12298" max="12298" width="19.5703125" style="45" customWidth="1"/>
    <col min="12299" max="12299" width="2.7109375" style="45" customWidth="1"/>
    <col min="12300" max="12300" width="5.140625" style="45" customWidth="1"/>
    <col min="12301" max="12301" width="14" style="45" customWidth="1"/>
    <col min="12302" max="12302" width="3.5703125" style="45" customWidth="1"/>
    <col min="12303" max="12303" width="6.5703125" style="45" customWidth="1"/>
    <col min="12304" max="12304" width="36.5703125" style="45" customWidth="1"/>
    <col min="12305" max="12305" width="57.85546875" style="45" customWidth="1"/>
    <col min="12306" max="12306" width="4.140625" style="45" customWidth="1"/>
    <col min="12307" max="12307" width="4.42578125" style="45" customWidth="1"/>
    <col min="12308" max="12308" width="4.28515625" style="45" customWidth="1"/>
    <col min="12309" max="12309" width="4" style="45" customWidth="1"/>
    <col min="12310" max="12310" width="3.7109375" style="45" customWidth="1"/>
    <col min="12311" max="12311" width="4.28515625" style="45" customWidth="1"/>
    <col min="12312" max="12312" width="3.42578125" style="45" customWidth="1"/>
    <col min="12313" max="12313" width="4.7109375" style="45" customWidth="1"/>
    <col min="12314" max="12315" width="5.42578125" style="45" customWidth="1"/>
    <col min="12316" max="12316" width="10.28515625" style="45" customWidth="1"/>
    <col min="12317" max="12317" width="4.42578125" style="45" customWidth="1"/>
    <col min="12318" max="12318" width="4.28515625" style="45" customWidth="1"/>
    <col min="12319" max="12319" width="4" style="45" customWidth="1"/>
    <col min="12320" max="12320" width="4.42578125" style="45" customWidth="1"/>
    <col min="12321" max="12321" width="3.85546875" style="45" customWidth="1"/>
    <col min="12322" max="12322" width="4.28515625" style="45" customWidth="1"/>
    <col min="12323" max="12545" width="11.42578125" style="45" customWidth="1"/>
    <col min="12546" max="12546" width="10.7109375" style="45" customWidth="1"/>
    <col min="12547" max="12547" width="16" style="45" customWidth="1"/>
    <col min="12548" max="12548" width="3.7109375" style="45" customWidth="1"/>
    <col min="12549" max="12549" width="4.140625" style="45" customWidth="1"/>
    <col min="12550" max="12550" width="4" style="45" customWidth="1"/>
    <col min="12551" max="12551" width="56.85546875" style="45" customWidth="1"/>
    <col min="12552" max="12552" width="6" style="45" customWidth="1"/>
    <col min="12553" max="12553" width="8.28515625" style="45" customWidth="1"/>
    <col min="12554" max="12554" width="19.5703125" style="45" customWidth="1"/>
    <col min="12555" max="12555" width="2.7109375" style="45" customWidth="1"/>
    <col min="12556" max="12556" width="5.140625" style="45" customWidth="1"/>
    <col min="12557" max="12557" width="14" style="45" customWidth="1"/>
    <col min="12558" max="12558" width="3.5703125" style="45" customWidth="1"/>
    <col min="12559" max="12559" width="6.5703125" style="45" customWidth="1"/>
    <col min="12560" max="12560" width="36.5703125" style="45" customWidth="1"/>
    <col min="12561" max="12561" width="57.85546875" style="45" customWidth="1"/>
    <col min="12562" max="12562" width="4.140625" style="45" customWidth="1"/>
    <col min="12563" max="12563" width="4.42578125" style="45" customWidth="1"/>
    <col min="12564" max="12564" width="4.28515625" style="45" customWidth="1"/>
    <col min="12565" max="12565" width="4" style="45" customWidth="1"/>
    <col min="12566" max="12566" width="3.7109375" style="45" customWidth="1"/>
    <col min="12567" max="12567" width="4.28515625" style="45" customWidth="1"/>
    <col min="12568" max="12568" width="3.42578125" style="45" customWidth="1"/>
    <col min="12569" max="12569" width="4.7109375" style="45" customWidth="1"/>
    <col min="12570" max="12571" width="5.42578125" style="45" customWidth="1"/>
    <col min="12572" max="12572" width="10.28515625" style="45" customWidth="1"/>
    <col min="12573" max="12573" width="4.42578125" style="45" customWidth="1"/>
    <col min="12574" max="12574" width="4.28515625" style="45" customWidth="1"/>
    <col min="12575" max="12575" width="4" style="45" customWidth="1"/>
    <col min="12576" max="12576" width="4.42578125" style="45" customWidth="1"/>
    <col min="12577" max="12577" width="3.85546875" style="45" customWidth="1"/>
    <col min="12578" max="12578" width="4.28515625" style="45" customWidth="1"/>
    <col min="12579" max="12801" width="11.42578125" style="45" customWidth="1"/>
    <col min="12802" max="12802" width="10.7109375" style="45" customWidth="1"/>
    <col min="12803" max="12803" width="16" style="45" customWidth="1"/>
    <col min="12804" max="12804" width="3.7109375" style="45" customWidth="1"/>
    <col min="12805" max="12805" width="4.140625" style="45" customWidth="1"/>
    <col min="12806" max="12806" width="4" style="45" customWidth="1"/>
    <col min="12807" max="12807" width="56.85546875" style="45" customWidth="1"/>
    <col min="12808" max="12808" width="6" style="45" customWidth="1"/>
    <col min="12809" max="12809" width="8.28515625" style="45" customWidth="1"/>
    <col min="12810" max="12810" width="19.5703125" style="45" customWidth="1"/>
    <col min="12811" max="12811" width="2.7109375" style="45" customWidth="1"/>
    <col min="12812" max="12812" width="5.140625" style="45" customWidth="1"/>
    <col min="12813" max="12813" width="14" style="45" customWidth="1"/>
    <col min="12814" max="12814" width="3.5703125" style="45" customWidth="1"/>
    <col min="12815" max="12815" width="6.5703125" style="45" customWidth="1"/>
    <col min="12816" max="12816" width="36.5703125" style="45" customWidth="1"/>
    <col min="12817" max="12817" width="57.85546875" style="45" customWidth="1"/>
    <col min="12818" max="12818" width="4.140625" style="45" customWidth="1"/>
    <col min="12819" max="12819" width="4.42578125" style="45" customWidth="1"/>
    <col min="12820" max="12820" width="4.28515625" style="45" customWidth="1"/>
    <col min="12821" max="12821" width="4" style="45" customWidth="1"/>
    <col min="12822" max="12822" width="3.7109375" style="45" customWidth="1"/>
    <col min="12823" max="12823" width="4.28515625" style="45" customWidth="1"/>
    <col min="12824" max="12824" width="3.42578125" style="45" customWidth="1"/>
    <col min="12825" max="12825" width="4.7109375" style="45" customWidth="1"/>
    <col min="12826" max="12827" width="5.42578125" style="45" customWidth="1"/>
    <col min="12828" max="12828" width="10.28515625" style="45" customWidth="1"/>
    <col min="12829" max="12829" width="4.42578125" style="45" customWidth="1"/>
    <col min="12830" max="12830" width="4.28515625" style="45" customWidth="1"/>
    <col min="12831" max="12831" width="4" style="45" customWidth="1"/>
    <col min="12832" max="12832" width="4.42578125" style="45" customWidth="1"/>
    <col min="12833" max="12833" width="3.85546875" style="45" customWidth="1"/>
    <col min="12834" max="12834" width="4.28515625" style="45" customWidth="1"/>
    <col min="12835" max="13057" width="11.42578125" style="45" customWidth="1"/>
    <col min="13058" max="13058" width="10.7109375" style="45" customWidth="1"/>
    <col min="13059" max="13059" width="16" style="45" customWidth="1"/>
    <col min="13060" max="13060" width="3.7109375" style="45" customWidth="1"/>
    <col min="13061" max="13061" width="4.140625" style="45" customWidth="1"/>
    <col min="13062" max="13062" width="4" style="45" customWidth="1"/>
    <col min="13063" max="13063" width="56.85546875" style="45" customWidth="1"/>
    <col min="13064" max="13064" width="6" style="45" customWidth="1"/>
    <col min="13065" max="13065" width="8.28515625" style="45" customWidth="1"/>
    <col min="13066" max="13066" width="19.5703125" style="45" customWidth="1"/>
    <col min="13067" max="13067" width="2.7109375" style="45" customWidth="1"/>
    <col min="13068" max="13068" width="5.140625" style="45" customWidth="1"/>
    <col min="13069" max="13069" width="14" style="45" customWidth="1"/>
    <col min="13070" max="13070" width="3.5703125" style="45" customWidth="1"/>
    <col min="13071" max="13071" width="6.5703125" style="45" customWidth="1"/>
    <col min="13072" max="13072" width="36.5703125" style="45" customWidth="1"/>
    <col min="13073" max="13073" width="57.85546875" style="45" customWidth="1"/>
    <col min="13074" max="13074" width="4.140625" style="45" customWidth="1"/>
    <col min="13075" max="13075" width="4.42578125" style="45" customWidth="1"/>
    <col min="13076" max="13076" width="4.28515625" style="45" customWidth="1"/>
    <col min="13077" max="13077" width="4" style="45" customWidth="1"/>
    <col min="13078" max="13078" width="3.7109375" style="45" customWidth="1"/>
    <col min="13079" max="13079" width="4.28515625" style="45" customWidth="1"/>
    <col min="13080" max="13080" width="3.42578125" style="45" customWidth="1"/>
    <col min="13081" max="13081" width="4.7109375" style="45" customWidth="1"/>
    <col min="13082" max="13083" width="5.42578125" style="45" customWidth="1"/>
    <col min="13084" max="13084" width="10.28515625" style="45" customWidth="1"/>
    <col min="13085" max="13085" width="4.42578125" style="45" customWidth="1"/>
    <col min="13086" max="13086" width="4.28515625" style="45" customWidth="1"/>
    <col min="13087" max="13087" width="4" style="45" customWidth="1"/>
    <col min="13088" max="13088" width="4.42578125" style="45" customWidth="1"/>
    <col min="13089" max="13089" width="3.85546875" style="45" customWidth="1"/>
    <col min="13090" max="13090" width="4.28515625" style="45" customWidth="1"/>
    <col min="13091" max="13313" width="11.42578125" style="45" customWidth="1"/>
    <col min="13314" max="13314" width="10.7109375" style="45" customWidth="1"/>
    <col min="13315" max="13315" width="16" style="45" customWidth="1"/>
    <col min="13316" max="13316" width="3.7109375" style="45" customWidth="1"/>
    <col min="13317" max="13317" width="4.140625" style="45" customWidth="1"/>
    <col min="13318" max="13318" width="4" style="45" customWidth="1"/>
    <col min="13319" max="13319" width="56.85546875" style="45" customWidth="1"/>
    <col min="13320" max="13320" width="6" style="45" customWidth="1"/>
    <col min="13321" max="13321" width="8.28515625" style="45" customWidth="1"/>
    <col min="13322" max="13322" width="19.5703125" style="45" customWidth="1"/>
    <col min="13323" max="13323" width="2.7109375" style="45" customWidth="1"/>
    <col min="13324" max="13324" width="5.140625" style="45" customWidth="1"/>
    <col min="13325" max="13325" width="14" style="45" customWidth="1"/>
    <col min="13326" max="13326" width="3.5703125" style="45" customWidth="1"/>
    <col min="13327" max="13327" width="6.5703125" style="45" customWidth="1"/>
    <col min="13328" max="13328" width="36.5703125" style="45" customWidth="1"/>
    <col min="13329" max="13329" width="57.85546875" style="45" customWidth="1"/>
    <col min="13330" max="13330" width="4.140625" style="45" customWidth="1"/>
    <col min="13331" max="13331" width="4.42578125" style="45" customWidth="1"/>
    <col min="13332" max="13332" width="4.28515625" style="45" customWidth="1"/>
    <col min="13333" max="13333" width="4" style="45" customWidth="1"/>
    <col min="13334" max="13334" width="3.7109375" style="45" customWidth="1"/>
    <col min="13335" max="13335" width="4.28515625" style="45" customWidth="1"/>
    <col min="13336" max="13336" width="3.42578125" style="45" customWidth="1"/>
    <col min="13337" max="13337" width="4.7109375" style="45" customWidth="1"/>
    <col min="13338" max="13339" width="5.42578125" style="45" customWidth="1"/>
    <col min="13340" max="13340" width="10.28515625" style="45" customWidth="1"/>
    <col min="13341" max="13341" width="4.42578125" style="45" customWidth="1"/>
    <col min="13342" max="13342" width="4.28515625" style="45" customWidth="1"/>
    <col min="13343" max="13343" width="4" style="45" customWidth="1"/>
    <col min="13344" max="13344" width="4.42578125" style="45" customWidth="1"/>
    <col min="13345" max="13345" width="3.85546875" style="45" customWidth="1"/>
    <col min="13346" max="13346" width="4.28515625" style="45" customWidth="1"/>
    <col min="13347" max="13569" width="11.42578125" style="45" customWidth="1"/>
    <col min="13570" max="13570" width="10.7109375" style="45" customWidth="1"/>
    <col min="13571" max="13571" width="16" style="45" customWidth="1"/>
    <col min="13572" max="13572" width="3.7109375" style="45" customWidth="1"/>
    <col min="13573" max="13573" width="4.140625" style="45" customWidth="1"/>
    <col min="13574" max="13574" width="4" style="45" customWidth="1"/>
    <col min="13575" max="13575" width="56.85546875" style="45" customWidth="1"/>
    <col min="13576" max="13576" width="6" style="45" customWidth="1"/>
    <col min="13577" max="13577" width="8.28515625" style="45" customWidth="1"/>
    <col min="13578" max="13578" width="19.5703125" style="45" customWidth="1"/>
    <col min="13579" max="13579" width="2.7109375" style="45" customWidth="1"/>
    <col min="13580" max="13580" width="5.140625" style="45" customWidth="1"/>
    <col min="13581" max="13581" width="14" style="45" customWidth="1"/>
    <col min="13582" max="13582" width="3.5703125" style="45" customWidth="1"/>
    <col min="13583" max="13583" width="6.5703125" style="45" customWidth="1"/>
    <col min="13584" max="13584" width="36.5703125" style="45" customWidth="1"/>
    <col min="13585" max="13585" width="57.85546875" style="45" customWidth="1"/>
    <col min="13586" max="13586" width="4.140625" style="45" customWidth="1"/>
    <col min="13587" max="13587" width="4.42578125" style="45" customWidth="1"/>
    <col min="13588" max="13588" width="4.28515625" style="45" customWidth="1"/>
    <col min="13589" max="13589" width="4" style="45" customWidth="1"/>
    <col min="13590" max="13590" width="3.7109375" style="45" customWidth="1"/>
    <col min="13591" max="13591" width="4.28515625" style="45" customWidth="1"/>
    <col min="13592" max="13592" width="3.42578125" style="45" customWidth="1"/>
    <col min="13593" max="13593" width="4.7109375" style="45" customWidth="1"/>
    <col min="13594" max="13595" width="5.42578125" style="45" customWidth="1"/>
    <col min="13596" max="13596" width="10.28515625" style="45" customWidth="1"/>
    <col min="13597" max="13597" width="4.42578125" style="45" customWidth="1"/>
    <col min="13598" max="13598" width="4.28515625" style="45" customWidth="1"/>
    <col min="13599" max="13599" width="4" style="45" customWidth="1"/>
    <col min="13600" max="13600" width="4.42578125" style="45" customWidth="1"/>
    <col min="13601" max="13601" width="3.85546875" style="45" customWidth="1"/>
    <col min="13602" max="13602" width="4.28515625" style="45" customWidth="1"/>
    <col min="13603" max="13825" width="11.42578125" style="45" customWidth="1"/>
    <col min="13826" max="13826" width="10.7109375" style="45" customWidth="1"/>
    <col min="13827" max="13827" width="16" style="45" customWidth="1"/>
    <col min="13828" max="13828" width="3.7109375" style="45" customWidth="1"/>
    <col min="13829" max="13829" width="4.140625" style="45" customWidth="1"/>
    <col min="13830" max="13830" width="4" style="45" customWidth="1"/>
    <col min="13831" max="13831" width="56.85546875" style="45" customWidth="1"/>
    <col min="13832" max="13832" width="6" style="45" customWidth="1"/>
    <col min="13833" max="13833" width="8.28515625" style="45" customWidth="1"/>
    <col min="13834" max="13834" width="19.5703125" style="45" customWidth="1"/>
    <col min="13835" max="13835" width="2.7109375" style="45" customWidth="1"/>
    <col min="13836" max="13836" width="5.140625" style="45" customWidth="1"/>
    <col min="13837" max="13837" width="14" style="45" customWidth="1"/>
    <col min="13838" max="13838" width="3.5703125" style="45" customWidth="1"/>
    <col min="13839" max="13839" width="6.5703125" style="45" customWidth="1"/>
    <col min="13840" max="13840" width="36.5703125" style="45" customWidth="1"/>
    <col min="13841" max="13841" width="57.85546875" style="45" customWidth="1"/>
    <col min="13842" max="13842" width="4.140625" style="45" customWidth="1"/>
    <col min="13843" max="13843" width="4.42578125" style="45" customWidth="1"/>
    <col min="13844" max="13844" width="4.28515625" style="45" customWidth="1"/>
    <col min="13845" max="13845" width="4" style="45" customWidth="1"/>
    <col min="13846" max="13846" width="3.7109375" style="45" customWidth="1"/>
    <col min="13847" max="13847" width="4.28515625" style="45" customWidth="1"/>
    <col min="13848" max="13848" width="3.42578125" style="45" customWidth="1"/>
    <col min="13849" max="13849" width="4.7109375" style="45" customWidth="1"/>
    <col min="13850" max="13851" width="5.42578125" style="45" customWidth="1"/>
    <col min="13852" max="13852" width="10.28515625" style="45" customWidth="1"/>
    <col min="13853" max="13853" width="4.42578125" style="45" customWidth="1"/>
    <col min="13854" max="13854" width="4.28515625" style="45" customWidth="1"/>
    <col min="13855" max="13855" width="4" style="45" customWidth="1"/>
    <col min="13856" max="13856" width="4.42578125" style="45" customWidth="1"/>
    <col min="13857" max="13857" width="3.85546875" style="45" customWidth="1"/>
    <col min="13858" max="13858" width="4.28515625" style="45" customWidth="1"/>
    <col min="13859" max="14081" width="11.42578125" style="45" customWidth="1"/>
    <col min="14082" max="14082" width="10.7109375" style="45" customWidth="1"/>
    <col min="14083" max="14083" width="16" style="45" customWidth="1"/>
    <col min="14084" max="14084" width="3.7109375" style="45" customWidth="1"/>
    <col min="14085" max="14085" width="4.140625" style="45" customWidth="1"/>
    <col min="14086" max="14086" width="4" style="45" customWidth="1"/>
    <col min="14087" max="14087" width="56.85546875" style="45" customWidth="1"/>
    <col min="14088" max="14088" width="6" style="45" customWidth="1"/>
    <col min="14089" max="14089" width="8.28515625" style="45" customWidth="1"/>
    <col min="14090" max="14090" width="19.5703125" style="45" customWidth="1"/>
    <col min="14091" max="14091" width="2.7109375" style="45" customWidth="1"/>
    <col min="14092" max="14092" width="5.140625" style="45" customWidth="1"/>
    <col min="14093" max="14093" width="14" style="45" customWidth="1"/>
    <col min="14094" max="14094" width="3.5703125" style="45" customWidth="1"/>
    <col min="14095" max="14095" width="6.5703125" style="45" customWidth="1"/>
    <col min="14096" max="14096" width="36.5703125" style="45" customWidth="1"/>
    <col min="14097" max="14097" width="57.85546875" style="45" customWidth="1"/>
    <col min="14098" max="14098" width="4.140625" style="45" customWidth="1"/>
    <col min="14099" max="14099" width="4.42578125" style="45" customWidth="1"/>
    <col min="14100" max="14100" width="4.28515625" style="45" customWidth="1"/>
    <col min="14101" max="14101" width="4" style="45" customWidth="1"/>
    <col min="14102" max="14102" width="3.7109375" style="45" customWidth="1"/>
    <col min="14103" max="14103" width="4.28515625" style="45" customWidth="1"/>
    <col min="14104" max="14104" width="3.42578125" style="45" customWidth="1"/>
    <col min="14105" max="14105" width="4.7109375" style="45" customWidth="1"/>
    <col min="14106" max="14107" width="5.42578125" style="45" customWidth="1"/>
    <col min="14108" max="14108" width="10.28515625" style="45" customWidth="1"/>
    <col min="14109" max="14109" width="4.42578125" style="45" customWidth="1"/>
    <col min="14110" max="14110" width="4.28515625" style="45" customWidth="1"/>
    <col min="14111" max="14111" width="4" style="45" customWidth="1"/>
    <col min="14112" max="14112" width="4.42578125" style="45" customWidth="1"/>
    <col min="14113" max="14113" width="3.85546875" style="45" customWidth="1"/>
    <col min="14114" max="14114" width="4.28515625" style="45" customWidth="1"/>
    <col min="14115" max="14337" width="11.42578125" style="45" customWidth="1"/>
    <col min="14338" max="14338" width="10.7109375" style="45" customWidth="1"/>
    <col min="14339" max="14339" width="16" style="45" customWidth="1"/>
    <col min="14340" max="14340" width="3.7109375" style="45" customWidth="1"/>
    <col min="14341" max="14341" width="4.140625" style="45" customWidth="1"/>
    <col min="14342" max="14342" width="4" style="45" customWidth="1"/>
    <col min="14343" max="14343" width="56.85546875" style="45" customWidth="1"/>
    <col min="14344" max="14344" width="6" style="45" customWidth="1"/>
    <col min="14345" max="14345" width="8.28515625" style="45" customWidth="1"/>
    <col min="14346" max="14346" width="19.5703125" style="45" customWidth="1"/>
    <col min="14347" max="14347" width="2.7109375" style="45" customWidth="1"/>
    <col min="14348" max="14348" width="5.140625" style="45" customWidth="1"/>
    <col min="14349" max="14349" width="14" style="45" customWidth="1"/>
    <col min="14350" max="14350" width="3.5703125" style="45" customWidth="1"/>
    <col min="14351" max="14351" width="6.5703125" style="45" customWidth="1"/>
    <col min="14352" max="14352" width="36.5703125" style="45" customWidth="1"/>
    <col min="14353" max="14353" width="57.85546875" style="45" customWidth="1"/>
    <col min="14354" max="14354" width="4.140625" style="45" customWidth="1"/>
    <col min="14355" max="14355" width="4.42578125" style="45" customWidth="1"/>
    <col min="14356" max="14356" width="4.28515625" style="45" customWidth="1"/>
    <col min="14357" max="14357" width="4" style="45" customWidth="1"/>
    <col min="14358" max="14358" width="3.7109375" style="45" customWidth="1"/>
    <col min="14359" max="14359" width="4.28515625" style="45" customWidth="1"/>
    <col min="14360" max="14360" width="3.42578125" style="45" customWidth="1"/>
    <col min="14361" max="14361" width="4.7109375" style="45" customWidth="1"/>
    <col min="14362" max="14363" width="5.42578125" style="45" customWidth="1"/>
    <col min="14364" max="14364" width="10.28515625" style="45" customWidth="1"/>
    <col min="14365" max="14365" width="4.42578125" style="45" customWidth="1"/>
    <col min="14366" max="14366" width="4.28515625" style="45" customWidth="1"/>
    <col min="14367" max="14367" width="4" style="45" customWidth="1"/>
    <col min="14368" max="14368" width="4.42578125" style="45" customWidth="1"/>
    <col min="14369" max="14369" width="3.85546875" style="45" customWidth="1"/>
    <col min="14370" max="14370" width="4.28515625" style="45" customWidth="1"/>
    <col min="14371" max="14593" width="11.42578125" style="45" customWidth="1"/>
    <col min="14594" max="14594" width="10.7109375" style="45" customWidth="1"/>
    <col min="14595" max="14595" width="16" style="45" customWidth="1"/>
    <col min="14596" max="14596" width="3.7109375" style="45" customWidth="1"/>
    <col min="14597" max="14597" width="4.140625" style="45" customWidth="1"/>
    <col min="14598" max="14598" width="4" style="45" customWidth="1"/>
    <col min="14599" max="14599" width="56.85546875" style="45" customWidth="1"/>
    <col min="14600" max="14600" width="6" style="45" customWidth="1"/>
    <col min="14601" max="14601" width="8.28515625" style="45" customWidth="1"/>
    <col min="14602" max="14602" width="19.5703125" style="45" customWidth="1"/>
    <col min="14603" max="14603" width="2.7109375" style="45" customWidth="1"/>
    <col min="14604" max="14604" width="5.140625" style="45" customWidth="1"/>
    <col min="14605" max="14605" width="14" style="45" customWidth="1"/>
    <col min="14606" max="14606" width="3.5703125" style="45" customWidth="1"/>
    <col min="14607" max="14607" width="6.5703125" style="45" customWidth="1"/>
    <col min="14608" max="14608" width="36.5703125" style="45" customWidth="1"/>
    <col min="14609" max="14609" width="57.85546875" style="45" customWidth="1"/>
    <col min="14610" max="14610" width="4.140625" style="45" customWidth="1"/>
    <col min="14611" max="14611" width="4.42578125" style="45" customWidth="1"/>
    <col min="14612" max="14612" width="4.28515625" style="45" customWidth="1"/>
    <col min="14613" max="14613" width="4" style="45" customWidth="1"/>
    <col min="14614" max="14614" width="3.7109375" style="45" customWidth="1"/>
    <col min="14615" max="14615" width="4.28515625" style="45" customWidth="1"/>
    <col min="14616" max="14616" width="3.42578125" style="45" customWidth="1"/>
    <col min="14617" max="14617" width="4.7109375" style="45" customWidth="1"/>
    <col min="14618" max="14619" width="5.42578125" style="45" customWidth="1"/>
    <col min="14620" max="14620" width="10.28515625" style="45" customWidth="1"/>
    <col min="14621" max="14621" width="4.42578125" style="45" customWidth="1"/>
    <col min="14622" max="14622" width="4.28515625" style="45" customWidth="1"/>
    <col min="14623" max="14623" width="4" style="45" customWidth="1"/>
    <col min="14624" max="14624" width="4.42578125" style="45" customWidth="1"/>
    <col min="14625" max="14625" width="3.85546875" style="45" customWidth="1"/>
    <col min="14626" max="14626" width="4.28515625" style="45" customWidth="1"/>
    <col min="14627" max="14849" width="11.42578125" style="45" customWidth="1"/>
    <col min="14850" max="14850" width="10.7109375" style="45" customWidth="1"/>
    <col min="14851" max="14851" width="16" style="45" customWidth="1"/>
    <col min="14852" max="14852" width="3.7109375" style="45" customWidth="1"/>
    <col min="14853" max="14853" width="4.140625" style="45" customWidth="1"/>
    <col min="14854" max="14854" width="4" style="45" customWidth="1"/>
    <col min="14855" max="14855" width="56.85546875" style="45" customWidth="1"/>
    <col min="14856" max="14856" width="6" style="45" customWidth="1"/>
    <col min="14857" max="14857" width="8.28515625" style="45" customWidth="1"/>
    <col min="14858" max="14858" width="19.5703125" style="45" customWidth="1"/>
    <col min="14859" max="14859" width="2.7109375" style="45" customWidth="1"/>
    <col min="14860" max="14860" width="5.140625" style="45" customWidth="1"/>
    <col min="14861" max="14861" width="14" style="45" customWidth="1"/>
    <col min="14862" max="14862" width="3.5703125" style="45" customWidth="1"/>
    <col min="14863" max="14863" width="6.5703125" style="45" customWidth="1"/>
    <col min="14864" max="14864" width="36.5703125" style="45" customWidth="1"/>
    <col min="14865" max="14865" width="57.85546875" style="45" customWidth="1"/>
    <col min="14866" max="14866" width="4.140625" style="45" customWidth="1"/>
    <col min="14867" max="14867" width="4.42578125" style="45" customWidth="1"/>
    <col min="14868" max="14868" width="4.28515625" style="45" customWidth="1"/>
    <col min="14869" max="14869" width="4" style="45" customWidth="1"/>
    <col min="14870" max="14870" width="3.7109375" style="45" customWidth="1"/>
    <col min="14871" max="14871" width="4.28515625" style="45" customWidth="1"/>
    <col min="14872" max="14872" width="3.42578125" style="45" customWidth="1"/>
    <col min="14873" max="14873" width="4.7109375" style="45" customWidth="1"/>
    <col min="14874" max="14875" width="5.42578125" style="45" customWidth="1"/>
    <col min="14876" max="14876" width="10.28515625" style="45" customWidth="1"/>
    <col min="14877" max="14877" width="4.42578125" style="45" customWidth="1"/>
    <col min="14878" max="14878" width="4.28515625" style="45" customWidth="1"/>
    <col min="14879" max="14879" width="4" style="45" customWidth="1"/>
    <col min="14880" max="14880" width="4.42578125" style="45" customWidth="1"/>
    <col min="14881" max="14881" width="3.85546875" style="45" customWidth="1"/>
    <col min="14882" max="14882" width="4.28515625" style="45" customWidth="1"/>
    <col min="14883" max="15105" width="11.42578125" style="45" customWidth="1"/>
    <col min="15106" max="15106" width="10.7109375" style="45" customWidth="1"/>
    <col min="15107" max="15107" width="16" style="45" customWidth="1"/>
    <col min="15108" max="15108" width="3.7109375" style="45" customWidth="1"/>
    <col min="15109" max="15109" width="4.140625" style="45" customWidth="1"/>
    <col min="15110" max="15110" width="4" style="45" customWidth="1"/>
    <col min="15111" max="15111" width="56.85546875" style="45" customWidth="1"/>
    <col min="15112" max="15112" width="6" style="45" customWidth="1"/>
    <col min="15113" max="15113" width="8.28515625" style="45" customWidth="1"/>
    <col min="15114" max="15114" width="19.5703125" style="45" customWidth="1"/>
    <col min="15115" max="15115" width="2.7109375" style="45" customWidth="1"/>
    <col min="15116" max="15116" width="5.140625" style="45" customWidth="1"/>
    <col min="15117" max="15117" width="14" style="45" customWidth="1"/>
    <col min="15118" max="15118" width="3.5703125" style="45" customWidth="1"/>
    <col min="15119" max="15119" width="6.5703125" style="45" customWidth="1"/>
    <col min="15120" max="15120" width="36.5703125" style="45" customWidth="1"/>
    <col min="15121" max="15121" width="57.85546875" style="45" customWidth="1"/>
    <col min="15122" max="15122" width="4.140625" style="45" customWidth="1"/>
    <col min="15123" max="15123" width="4.42578125" style="45" customWidth="1"/>
    <col min="15124" max="15124" width="4.28515625" style="45" customWidth="1"/>
    <col min="15125" max="15125" width="4" style="45" customWidth="1"/>
    <col min="15126" max="15126" width="3.7109375" style="45" customWidth="1"/>
    <col min="15127" max="15127" width="4.28515625" style="45" customWidth="1"/>
    <col min="15128" max="15128" width="3.42578125" style="45" customWidth="1"/>
    <col min="15129" max="15129" width="4.7109375" style="45" customWidth="1"/>
    <col min="15130" max="15131" width="5.42578125" style="45" customWidth="1"/>
    <col min="15132" max="15132" width="10.28515625" style="45" customWidth="1"/>
    <col min="15133" max="15133" width="4.42578125" style="45" customWidth="1"/>
    <col min="15134" max="15134" width="4.28515625" style="45" customWidth="1"/>
    <col min="15135" max="15135" width="4" style="45" customWidth="1"/>
    <col min="15136" max="15136" width="4.42578125" style="45" customWidth="1"/>
    <col min="15137" max="15137" width="3.85546875" style="45" customWidth="1"/>
    <col min="15138" max="15138" width="4.28515625" style="45" customWidth="1"/>
    <col min="15139" max="15361" width="11.42578125" style="45" customWidth="1"/>
    <col min="15362" max="15362" width="10.7109375" style="45" customWidth="1"/>
    <col min="15363" max="15363" width="16" style="45" customWidth="1"/>
    <col min="15364" max="15364" width="3.7109375" style="45" customWidth="1"/>
    <col min="15365" max="15365" width="4.140625" style="45" customWidth="1"/>
    <col min="15366" max="15366" width="4" style="45" customWidth="1"/>
    <col min="15367" max="15367" width="56.85546875" style="45" customWidth="1"/>
    <col min="15368" max="15368" width="6" style="45" customWidth="1"/>
    <col min="15369" max="15369" width="8.28515625" style="45" customWidth="1"/>
    <col min="15370" max="15370" width="19.5703125" style="45" customWidth="1"/>
    <col min="15371" max="15371" width="2.7109375" style="45" customWidth="1"/>
    <col min="15372" max="15372" width="5.140625" style="45" customWidth="1"/>
    <col min="15373" max="15373" width="14" style="45" customWidth="1"/>
    <col min="15374" max="15374" width="3.5703125" style="45" customWidth="1"/>
    <col min="15375" max="15375" width="6.5703125" style="45" customWidth="1"/>
    <col min="15376" max="15376" width="36.5703125" style="45" customWidth="1"/>
    <col min="15377" max="15377" width="57.85546875" style="45" customWidth="1"/>
    <col min="15378" max="15378" width="4.140625" style="45" customWidth="1"/>
    <col min="15379" max="15379" width="4.42578125" style="45" customWidth="1"/>
    <col min="15380" max="15380" width="4.28515625" style="45" customWidth="1"/>
    <col min="15381" max="15381" width="4" style="45" customWidth="1"/>
    <col min="15382" max="15382" width="3.7109375" style="45" customWidth="1"/>
    <col min="15383" max="15383" width="4.28515625" style="45" customWidth="1"/>
    <col min="15384" max="15384" width="3.42578125" style="45" customWidth="1"/>
    <col min="15385" max="15385" width="4.7109375" style="45" customWidth="1"/>
    <col min="15386" max="15387" width="5.42578125" style="45" customWidth="1"/>
    <col min="15388" max="15388" width="10.28515625" style="45" customWidth="1"/>
    <col min="15389" max="15389" width="4.42578125" style="45" customWidth="1"/>
    <col min="15390" max="15390" width="4.28515625" style="45" customWidth="1"/>
    <col min="15391" max="15391" width="4" style="45" customWidth="1"/>
    <col min="15392" max="15392" width="4.42578125" style="45" customWidth="1"/>
    <col min="15393" max="15393" width="3.85546875" style="45" customWidth="1"/>
    <col min="15394" max="15394" width="4.28515625" style="45" customWidth="1"/>
    <col min="15395" max="15617" width="11.42578125" style="45" customWidth="1"/>
    <col min="15618" max="15618" width="10.7109375" style="45" customWidth="1"/>
    <col min="15619" max="15619" width="16" style="45" customWidth="1"/>
    <col min="15620" max="15620" width="3.7109375" style="45" customWidth="1"/>
    <col min="15621" max="15621" width="4.140625" style="45" customWidth="1"/>
    <col min="15622" max="15622" width="4" style="45" customWidth="1"/>
    <col min="15623" max="15623" width="56.85546875" style="45" customWidth="1"/>
    <col min="15624" max="15624" width="6" style="45" customWidth="1"/>
    <col min="15625" max="15625" width="8.28515625" style="45" customWidth="1"/>
    <col min="15626" max="15626" width="19.5703125" style="45" customWidth="1"/>
    <col min="15627" max="15627" width="2.7109375" style="45" customWidth="1"/>
    <col min="15628" max="15628" width="5.140625" style="45" customWidth="1"/>
    <col min="15629" max="15629" width="14" style="45" customWidth="1"/>
    <col min="15630" max="15630" width="3.5703125" style="45" customWidth="1"/>
    <col min="15631" max="15631" width="6.5703125" style="45" customWidth="1"/>
    <col min="15632" max="15632" width="36.5703125" style="45" customWidth="1"/>
    <col min="15633" max="15633" width="57.85546875" style="45" customWidth="1"/>
    <col min="15634" max="15634" width="4.140625" style="45" customWidth="1"/>
    <col min="15635" max="15635" width="4.42578125" style="45" customWidth="1"/>
    <col min="15636" max="15636" width="4.28515625" style="45" customWidth="1"/>
    <col min="15637" max="15637" width="4" style="45" customWidth="1"/>
    <col min="15638" max="15638" width="3.7109375" style="45" customWidth="1"/>
    <col min="15639" max="15639" width="4.28515625" style="45" customWidth="1"/>
    <col min="15640" max="15640" width="3.42578125" style="45" customWidth="1"/>
    <col min="15641" max="15641" width="4.7109375" style="45" customWidth="1"/>
    <col min="15642" max="15643" width="5.42578125" style="45" customWidth="1"/>
    <col min="15644" max="15644" width="10.28515625" style="45" customWidth="1"/>
    <col min="15645" max="15645" width="4.42578125" style="45" customWidth="1"/>
    <col min="15646" max="15646" width="4.28515625" style="45" customWidth="1"/>
    <col min="15647" max="15647" width="4" style="45" customWidth="1"/>
    <col min="15648" max="15648" width="4.42578125" style="45" customWidth="1"/>
    <col min="15649" max="15649" width="3.85546875" style="45" customWidth="1"/>
    <col min="15650" max="15650" width="4.28515625" style="45" customWidth="1"/>
    <col min="15651" max="15873" width="11.42578125" style="45" customWidth="1"/>
    <col min="15874" max="15874" width="10.7109375" style="45" customWidth="1"/>
    <col min="15875" max="15875" width="16" style="45" customWidth="1"/>
    <col min="15876" max="15876" width="3.7109375" style="45" customWidth="1"/>
    <col min="15877" max="15877" width="4.140625" style="45" customWidth="1"/>
    <col min="15878" max="15878" width="4" style="45" customWidth="1"/>
    <col min="15879" max="15879" width="56.85546875" style="45" customWidth="1"/>
    <col min="15880" max="15880" width="6" style="45" customWidth="1"/>
    <col min="15881" max="15881" width="8.28515625" style="45" customWidth="1"/>
    <col min="15882" max="15882" width="19.5703125" style="45" customWidth="1"/>
    <col min="15883" max="15883" width="2.7109375" style="45" customWidth="1"/>
    <col min="15884" max="15884" width="5.140625" style="45" customWidth="1"/>
    <col min="15885" max="15885" width="14" style="45" customWidth="1"/>
    <col min="15886" max="15886" width="3.5703125" style="45" customWidth="1"/>
    <col min="15887" max="15887" width="6.5703125" style="45" customWidth="1"/>
    <col min="15888" max="15888" width="36.5703125" style="45" customWidth="1"/>
    <col min="15889" max="15889" width="57.85546875" style="45" customWidth="1"/>
    <col min="15890" max="15890" width="4.140625" style="45" customWidth="1"/>
    <col min="15891" max="15891" width="4.42578125" style="45" customWidth="1"/>
    <col min="15892" max="15892" width="4.28515625" style="45" customWidth="1"/>
    <col min="15893" max="15893" width="4" style="45" customWidth="1"/>
    <col min="15894" max="15894" width="3.7109375" style="45" customWidth="1"/>
    <col min="15895" max="15895" width="4.28515625" style="45" customWidth="1"/>
    <col min="15896" max="15896" width="3.42578125" style="45" customWidth="1"/>
    <col min="15897" max="15897" width="4.7109375" style="45" customWidth="1"/>
    <col min="15898" max="15899" width="5.42578125" style="45" customWidth="1"/>
    <col min="15900" max="15900" width="10.28515625" style="45" customWidth="1"/>
    <col min="15901" max="15901" width="4.42578125" style="45" customWidth="1"/>
    <col min="15902" max="15902" width="4.28515625" style="45" customWidth="1"/>
    <col min="15903" max="15903" width="4" style="45" customWidth="1"/>
    <col min="15904" max="15904" width="4.42578125" style="45" customWidth="1"/>
    <col min="15905" max="15905" width="3.85546875" style="45" customWidth="1"/>
    <col min="15906" max="15906" width="4.28515625" style="45" customWidth="1"/>
    <col min="15907" max="16129" width="11.42578125" style="45" customWidth="1"/>
    <col min="16130" max="16130" width="10.7109375" style="45" customWidth="1"/>
    <col min="16131" max="16131" width="16" style="45" customWidth="1"/>
    <col min="16132" max="16132" width="3.7109375" style="45" customWidth="1"/>
    <col min="16133" max="16133" width="4.140625" style="45" customWidth="1"/>
    <col min="16134" max="16134" width="4" style="45" customWidth="1"/>
    <col min="16135" max="16135" width="56.85546875" style="45" customWidth="1"/>
    <col min="16136" max="16136" width="6" style="45" customWidth="1"/>
    <col min="16137" max="16137" width="8.28515625" style="45" customWidth="1"/>
    <col min="16138" max="16138" width="19.5703125" style="45" customWidth="1"/>
    <col min="16139" max="16139" width="2.7109375" style="45" customWidth="1"/>
    <col min="16140" max="16140" width="5.140625" style="45" customWidth="1"/>
    <col min="16141" max="16141" width="14" style="45" customWidth="1"/>
    <col min="16142" max="16142" width="3.5703125" style="45" customWidth="1"/>
    <col min="16143" max="16143" width="6.5703125" style="45" customWidth="1"/>
    <col min="16144" max="16144" width="36.5703125" style="45" customWidth="1"/>
    <col min="16145" max="16145" width="57.85546875" style="45" customWidth="1"/>
    <col min="16146" max="16146" width="4.140625" style="45" customWidth="1"/>
    <col min="16147" max="16147" width="4.42578125" style="45" customWidth="1"/>
    <col min="16148" max="16148" width="4.28515625" style="45" customWidth="1"/>
    <col min="16149" max="16149" width="4" style="45" customWidth="1"/>
    <col min="16150" max="16150" width="3.7109375" style="45" customWidth="1"/>
    <col min="16151" max="16151" width="4.28515625" style="45" customWidth="1"/>
    <col min="16152" max="16152" width="3.42578125" style="45" customWidth="1"/>
    <col min="16153" max="16153" width="4.7109375" style="45" customWidth="1"/>
    <col min="16154" max="16155" width="5.42578125" style="45" customWidth="1"/>
    <col min="16156" max="16156" width="10.28515625" style="45" customWidth="1"/>
    <col min="16157" max="16157" width="4.42578125" style="45" customWidth="1"/>
    <col min="16158" max="16158" width="4.28515625" style="45" customWidth="1"/>
    <col min="16159" max="16159" width="4" style="45" customWidth="1"/>
    <col min="16160" max="16160" width="4.42578125" style="45" customWidth="1"/>
    <col min="16161" max="16161" width="3.85546875" style="45" customWidth="1"/>
    <col min="16162" max="16162" width="4.28515625" style="45" customWidth="1"/>
    <col min="16163" max="16384" width="11.42578125" style="45" customWidth="1"/>
  </cols>
  <sheetData>
    <row r="1" spans="1:34">
      <c r="A1" s="981"/>
      <c r="B1" s="982"/>
      <c r="C1" s="983"/>
      <c r="D1" s="981"/>
      <c r="E1" s="981"/>
      <c r="F1" s="986" t="s">
        <v>65</v>
      </c>
      <c r="G1" s="981"/>
      <c r="H1" s="981"/>
      <c r="I1" s="981"/>
      <c r="J1" s="981"/>
      <c r="K1" s="981"/>
      <c r="L1" s="988">
        <v>255781</v>
      </c>
      <c r="M1" s="896"/>
      <c r="N1" s="896"/>
      <c r="O1" s="896"/>
      <c r="P1" s="116"/>
      <c r="Q1" s="992"/>
      <c r="R1" s="1584" t="s">
        <v>66</v>
      </c>
      <c r="S1" s="1585"/>
      <c r="T1" s="1585"/>
      <c r="U1" s="1585"/>
      <c r="V1" s="1585"/>
      <c r="W1" s="1585"/>
      <c r="X1" s="1000"/>
      <c r="Y1" s="1000"/>
      <c r="Z1" s="1000"/>
      <c r="AA1" s="1000"/>
      <c r="AB1" s="1000"/>
      <c r="AC1" s="1001"/>
      <c r="AD1" s="1001"/>
      <c r="AE1" s="1001"/>
      <c r="AF1" s="1001"/>
      <c r="AG1" s="1001"/>
      <c r="AH1" s="1001"/>
    </row>
    <row r="2" spans="1:34" ht="48" customHeight="1">
      <c r="A2" s="981"/>
      <c r="B2" s="984"/>
      <c r="C2" s="983" t="s">
        <v>67</v>
      </c>
      <c r="D2" s="746">
        <v>3503</v>
      </c>
      <c r="E2" s="746">
        <v>3504</v>
      </c>
      <c r="F2" s="746">
        <v>3702</v>
      </c>
      <c r="G2" s="746">
        <v>3703</v>
      </c>
      <c r="H2" s="746">
        <v>3506</v>
      </c>
      <c r="I2" s="746">
        <v>3507</v>
      </c>
      <c r="J2" s="746">
        <v>3508</v>
      </c>
      <c r="K2" s="746">
        <v>3706</v>
      </c>
      <c r="L2" s="746">
        <v>3707</v>
      </c>
      <c r="M2" s="989">
        <v>3708</v>
      </c>
      <c r="N2" s="989">
        <v>3709</v>
      </c>
      <c r="O2" s="495">
        <v>3792</v>
      </c>
      <c r="P2" s="495"/>
      <c r="Q2" s="406" t="s">
        <v>81</v>
      </c>
      <c r="R2" s="834" t="s">
        <v>82</v>
      </c>
      <c r="S2" s="834" t="s">
        <v>83</v>
      </c>
      <c r="T2" s="834" t="s">
        <v>84</v>
      </c>
      <c r="U2" s="834" t="s">
        <v>85</v>
      </c>
      <c r="V2" s="834" t="s">
        <v>86</v>
      </c>
      <c r="W2" s="834" t="s">
        <v>87</v>
      </c>
      <c r="X2" s="999" t="s">
        <v>88</v>
      </c>
      <c r="Y2" s="999" t="s">
        <v>89</v>
      </c>
      <c r="Z2" s="999" t="s">
        <v>90</v>
      </c>
      <c r="AA2" s="999" t="s">
        <v>91</v>
      </c>
      <c r="AB2" s="999" t="s">
        <v>92</v>
      </c>
      <c r="AC2" s="1014" t="s">
        <v>82</v>
      </c>
      <c r="AD2" s="1014" t="s">
        <v>83</v>
      </c>
      <c r="AE2" s="1014" t="s">
        <v>84</v>
      </c>
      <c r="AF2" s="1014" t="s">
        <v>85</v>
      </c>
      <c r="AG2" s="1014" t="s">
        <v>86</v>
      </c>
      <c r="AH2" s="1014" t="s">
        <v>87</v>
      </c>
    </row>
    <row r="3" spans="1:34" ht="71.25" customHeight="1">
      <c r="A3" s="981" t="s">
        <v>68</v>
      </c>
      <c r="B3" s="985"/>
      <c r="C3" s="983">
        <v>401</v>
      </c>
      <c r="D3" s="85" t="s">
        <v>69</v>
      </c>
      <c r="E3" s="85" t="s">
        <v>70</v>
      </c>
      <c r="F3" s="86" t="s">
        <v>71</v>
      </c>
      <c r="G3" s="85" t="s">
        <v>72</v>
      </c>
      <c r="H3" s="85" t="s">
        <v>73</v>
      </c>
      <c r="I3" s="85" t="s">
        <v>74</v>
      </c>
      <c r="J3" s="85" t="s">
        <v>75</v>
      </c>
      <c r="K3" s="85" t="s">
        <v>76</v>
      </c>
      <c r="L3" s="987" t="s">
        <v>262</v>
      </c>
      <c r="M3" s="422" t="s">
        <v>78</v>
      </c>
      <c r="N3" s="422" t="s">
        <v>79</v>
      </c>
      <c r="O3" s="423" t="s">
        <v>80</v>
      </c>
      <c r="P3" s="423"/>
      <c r="Q3" s="992"/>
      <c r="R3" s="1075"/>
      <c r="S3" s="834"/>
      <c r="T3" s="834"/>
      <c r="U3" s="834"/>
      <c r="V3" s="834"/>
      <c r="W3" s="834"/>
      <c r="X3" s="999"/>
      <c r="Y3" s="999"/>
      <c r="Z3" s="999" t="s">
        <v>95</v>
      </c>
      <c r="AA3" s="999" t="s">
        <v>95</v>
      </c>
      <c r="AB3" s="1000"/>
      <c r="AC3" s="1001"/>
      <c r="AD3" s="1001"/>
      <c r="AE3" s="1001"/>
      <c r="AF3" s="1001"/>
      <c r="AG3" s="1001"/>
      <c r="AH3" s="1001"/>
    </row>
    <row r="4" spans="1:34" ht="12.75" customHeight="1">
      <c r="A4" s="981"/>
      <c r="B4" s="985"/>
      <c r="C4" s="983">
        <v>662</v>
      </c>
      <c r="D4" s="86"/>
      <c r="E4" s="86"/>
      <c r="F4" s="86" t="s">
        <v>72</v>
      </c>
      <c r="G4" s="86"/>
      <c r="H4" s="86"/>
      <c r="I4" s="86"/>
      <c r="J4" s="86"/>
      <c r="K4" s="86"/>
      <c r="L4" s="987" t="s">
        <v>93</v>
      </c>
      <c r="M4" s="425"/>
      <c r="N4" s="425"/>
      <c r="O4" s="426"/>
      <c r="P4" s="426"/>
      <c r="Q4" s="992"/>
      <c r="R4" s="994" t="s">
        <v>94</v>
      </c>
      <c r="S4" s="995"/>
      <c r="T4" s="995"/>
      <c r="U4" s="995"/>
      <c r="V4" s="995"/>
      <c r="W4" s="995"/>
      <c r="X4" s="1000"/>
      <c r="Y4" s="1000"/>
      <c r="Z4" s="1003"/>
      <c r="AA4" s="1003"/>
      <c r="AB4" s="1003"/>
      <c r="AC4" s="1001"/>
      <c r="AD4" s="1001"/>
      <c r="AE4" s="1001"/>
      <c r="AF4" s="1001"/>
      <c r="AG4" s="1001"/>
      <c r="AH4" s="1001"/>
    </row>
    <row r="5" spans="1:34">
      <c r="A5" s="981"/>
      <c r="B5" s="985"/>
      <c r="C5" s="983">
        <v>493</v>
      </c>
      <c r="D5" s="86"/>
      <c r="E5" s="86"/>
      <c r="F5" s="86" t="s">
        <v>75</v>
      </c>
      <c r="G5" s="86"/>
      <c r="H5" s="86"/>
      <c r="I5" s="86"/>
      <c r="J5" s="86"/>
      <c r="K5" s="86"/>
      <c r="L5" s="987">
        <v>0</v>
      </c>
      <c r="M5" s="425"/>
      <c r="N5" s="425"/>
      <c r="O5" s="426"/>
      <c r="P5" s="426"/>
      <c r="Q5" s="992"/>
      <c r="R5" s="995"/>
      <c r="S5" s="995"/>
      <c r="T5" s="995"/>
      <c r="U5" s="995"/>
      <c r="V5" s="995"/>
      <c r="W5" s="995"/>
      <c r="X5" s="1000"/>
      <c r="Y5" s="1000"/>
      <c r="Z5" s="1000"/>
      <c r="AA5" s="1000"/>
      <c r="AB5" s="1000"/>
      <c r="AC5" s="1001"/>
      <c r="AD5" s="1001"/>
      <c r="AE5" s="1001"/>
      <c r="AF5" s="1001"/>
      <c r="AG5" s="1001"/>
      <c r="AH5" s="1001"/>
    </row>
    <row r="6" spans="1:34" ht="12.75" customHeight="1">
      <c r="A6" s="981"/>
      <c r="B6" s="985"/>
      <c r="C6" s="983">
        <v>403</v>
      </c>
      <c r="D6" s="86"/>
      <c r="E6" s="86"/>
      <c r="F6" s="86" t="s">
        <v>76</v>
      </c>
      <c r="G6" s="86"/>
      <c r="H6" s="86"/>
      <c r="I6" s="86"/>
      <c r="J6" s="86"/>
      <c r="K6" s="86"/>
      <c r="L6" s="987" t="s">
        <v>96</v>
      </c>
      <c r="M6" s="425"/>
      <c r="N6" s="425"/>
      <c r="O6" s="426"/>
      <c r="P6" s="426"/>
      <c r="Q6" s="992"/>
      <c r="R6" s="996"/>
      <c r="S6" s="996"/>
      <c r="T6" s="996"/>
      <c r="U6" s="996"/>
      <c r="V6" s="996"/>
      <c r="W6" s="996"/>
      <c r="X6" s="1000"/>
      <c r="Y6" s="1000"/>
      <c r="Z6" s="1002"/>
      <c r="AA6" s="1002"/>
      <c r="AB6" s="1003"/>
      <c r="AC6" s="1001"/>
      <c r="AD6" s="1001"/>
      <c r="AE6" s="1001"/>
      <c r="AF6" s="1001"/>
      <c r="AG6" s="1001"/>
      <c r="AH6" s="1001"/>
    </row>
    <row r="7" spans="1:34">
      <c r="A7" s="810">
        <v>255781</v>
      </c>
      <c r="B7" s="1006" t="s">
        <v>97</v>
      </c>
      <c r="C7" s="1007"/>
      <c r="D7" s="1008" t="s">
        <v>98</v>
      </c>
      <c r="E7" s="1009">
        <v>0</v>
      </c>
      <c r="F7" s="1010" t="s">
        <v>262</v>
      </c>
      <c r="G7" s="811" t="s">
        <v>93</v>
      </c>
      <c r="H7" s="1011" t="s">
        <v>98</v>
      </c>
      <c r="I7" s="1011" t="s">
        <v>98</v>
      </c>
      <c r="J7" s="812">
        <v>0</v>
      </c>
      <c r="K7" s="811" t="s">
        <v>96</v>
      </c>
      <c r="L7" s="1076">
        <v>1</v>
      </c>
      <c r="M7" s="91"/>
      <c r="N7" s="92"/>
      <c r="O7" s="93"/>
      <c r="P7" s="93"/>
      <c r="Q7" s="378"/>
      <c r="R7" s="853"/>
      <c r="S7" s="853"/>
      <c r="T7" s="853"/>
      <c r="U7" s="853"/>
      <c r="V7" s="853"/>
      <c r="W7" s="853"/>
      <c r="X7" s="1025"/>
      <c r="Y7" s="1015"/>
      <c r="Z7" s="1015"/>
      <c r="AA7" s="1015"/>
      <c r="AB7" s="1015"/>
      <c r="AC7" s="1016"/>
      <c r="AD7" s="1016"/>
      <c r="AE7" s="1016"/>
      <c r="AF7" s="1016"/>
      <c r="AG7" s="1016"/>
      <c r="AH7" s="1016"/>
    </row>
    <row r="8" spans="1:34">
      <c r="A8" s="810">
        <v>266279</v>
      </c>
      <c r="B8" s="1006" t="s">
        <v>221</v>
      </c>
      <c r="C8" s="1007"/>
      <c r="D8" s="1081">
        <v>5</v>
      </c>
      <c r="E8" s="1082" t="s">
        <v>98</v>
      </c>
      <c r="F8" s="1092" t="s">
        <v>275</v>
      </c>
      <c r="G8" s="814" t="s">
        <v>93</v>
      </c>
      <c r="H8" s="822" t="s">
        <v>98</v>
      </c>
      <c r="I8" s="822" t="s">
        <v>98</v>
      </c>
      <c r="J8" s="815">
        <v>0</v>
      </c>
      <c r="K8" s="814" t="s">
        <v>96</v>
      </c>
      <c r="L8" s="1084">
        <v>0.72</v>
      </c>
      <c r="M8" s="816">
        <v>1</v>
      </c>
      <c r="N8" s="817">
        <v>1.23659599190809</v>
      </c>
      <c r="O8" s="1096" t="s">
        <v>276</v>
      </c>
      <c r="P8" s="206"/>
      <c r="Q8" s="378" t="s">
        <v>277</v>
      </c>
      <c r="R8" s="1087">
        <v>1</v>
      </c>
      <c r="S8" s="1087">
        <v>4</v>
      </c>
      <c r="T8" s="1087">
        <v>1</v>
      </c>
      <c r="U8" s="1087">
        <v>3</v>
      </c>
      <c r="V8" s="1087">
        <v>1</v>
      </c>
      <c r="W8" s="1087">
        <v>5</v>
      </c>
      <c r="X8" s="1087">
        <v>3</v>
      </c>
      <c r="Y8" s="1088">
        <v>1.05</v>
      </c>
      <c r="Z8" s="1088">
        <v>1.2295911287822301</v>
      </c>
      <c r="AA8" s="1088">
        <v>1.23659599190809</v>
      </c>
      <c r="AB8" s="1088" t="s">
        <v>278</v>
      </c>
      <c r="AC8" s="1089">
        <v>1</v>
      </c>
      <c r="AD8" s="1089">
        <v>1.1000000000000001</v>
      </c>
      <c r="AE8" s="1089">
        <v>1</v>
      </c>
      <c r="AF8" s="1089">
        <v>1.02</v>
      </c>
      <c r="AG8" s="1089">
        <v>1</v>
      </c>
      <c r="AH8" s="1089">
        <v>1.2</v>
      </c>
    </row>
    <row r="9" spans="1:34">
      <c r="A9" s="810">
        <v>267107</v>
      </c>
      <c r="B9" s="1006"/>
      <c r="C9" s="1007"/>
      <c r="D9" s="1018">
        <v>5</v>
      </c>
      <c r="E9" s="1019" t="s">
        <v>98</v>
      </c>
      <c r="F9" s="1023" t="s">
        <v>279</v>
      </c>
      <c r="G9" s="818" t="s">
        <v>93</v>
      </c>
      <c r="H9" s="821" t="s">
        <v>98</v>
      </c>
      <c r="I9" s="821" t="s">
        <v>98</v>
      </c>
      <c r="J9" s="819">
        <v>0</v>
      </c>
      <c r="K9" s="818" t="s">
        <v>96</v>
      </c>
      <c r="L9" s="1021">
        <v>0.5</v>
      </c>
      <c r="M9" s="820">
        <v>1</v>
      </c>
      <c r="N9" s="813">
        <v>1.23659599190809</v>
      </c>
      <c r="O9" s="1051" t="s">
        <v>276</v>
      </c>
      <c r="P9" s="206"/>
      <c r="Q9" s="378" t="s">
        <v>277</v>
      </c>
      <c r="R9" s="838">
        <v>1</v>
      </c>
      <c r="S9" s="838">
        <v>4</v>
      </c>
      <c r="T9" s="838">
        <v>1</v>
      </c>
      <c r="U9" s="838">
        <v>3</v>
      </c>
      <c r="V9" s="838">
        <v>1</v>
      </c>
      <c r="W9" s="838">
        <v>5</v>
      </c>
      <c r="X9" s="838">
        <v>3</v>
      </c>
      <c r="Y9" s="1090">
        <v>1.05</v>
      </c>
      <c r="Z9" s="1090">
        <v>1.2295911287822301</v>
      </c>
      <c r="AA9" s="1090">
        <v>1.23659599190809</v>
      </c>
      <c r="AB9" s="1090" t="s">
        <v>278</v>
      </c>
      <c r="AC9" s="1091">
        <v>1</v>
      </c>
      <c r="AD9" s="1091">
        <v>1.1000000000000001</v>
      </c>
      <c r="AE9" s="1091">
        <v>1</v>
      </c>
      <c r="AF9" s="1091">
        <v>1.02</v>
      </c>
      <c r="AG9" s="1091">
        <v>1</v>
      </c>
      <c r="AH9" s="1091">
        <v>1.2</v>
      </c>
    </row>
    <row r="10" spans="1:34">
      <c r="A10" s="810">
        <v>268557</v>
      </c>
      <c r="B10" s="1006"/>
      <c r="C10" s="1007"/>
      <c r="D10" s="1081">
        <v>5</v>
      </c>
      <c r="E10" s="1082" t="s">
        <v>98</v>
      </c>
      <c r="F10" s="1092" t="s">
        <v>280</v>
      </c>
      <c r="G10" s="814" t="s">
        <v>93</v>
      </c>
      <c r="H10" s="822" t="s">
        <v>98</v>
      </c>
      <c r="I10" s="822" t="s">
        <v>98</v>
      </c>
      <c r="J10" s="815">
        <v>0</v>
      </c>
      <c r="K10" s="814" t="s">
        <v>96</v>
      </c>
      <c r="L10" s="1084">
        <v>9</v>
      </c>
      <c r="M10" s="816">
        <v>1</v>
      </c>
      <c r="N10" s="817">
        <v>1.23659599190809</v>
      </c>
      <c r="O10" s="1096" t="s">
        <v>276</v>
      </c>
      <c r="P10" s="206"/>
      <c r="Q10" s="378" t="s">
        <v>277</v>
      </c>
      <c r="R10" s="1087">
        <v>1</v>
      </c>
      <c r="S10" s="1087">
        <v>4</v>
      </c>
      <c r="T10" s="1087">
        <v>1</v>
      </c>
      <c r="U10" s="1087">
        <v>3</v>
      </c>
      <c r="V10" s="1087">
        <v>1</v>
      </c>
      <c r="W10" s="1087">
        <v>5</v>
      </c>
      <c r="X10" s="1087">
        <v>3</v>
      </c>
      <c r="Y10" s="1088">
        <v>1.05</v>
      </c>
      <c r="Z10" s="1088">
        <v>1.2295911287822301</v>
      </c>
      <c r="AA10" s="1088">
        <v>1.23659599190809</v>
      </c>
      <c r="AB10" s="1088" t="s">
        <v>278</v>
      </c>
      <c r="AC10" s="1089">
        <v>1</v>
      </c>
      <c r="AD10" s="1089">
        <v>1.1000000000000001</v>
      </c>
      <c r="AE10" s="1089">
        <v>1</v>
      </c>
      <c r="AF10" s="1089">
        <v>1.02</v>
      </c>
      <c r="AG10" s="1089">
        <v>1</v>
      </c>
      <c r="AH10" s="1089">
        <v>1.2</v>
      </c>
    </row>
    <row r="11" spans="1:34">
      <c r="A11" s="810">
        <v>269509</v>
      </c>
      <c r="B11" s="1006"/>
      <c r="C11" s="1007"/>
      <c r="D11" s="1018">
        <v>5</v>
      </c>
      <c r="E11" s="1019" t="s">
        <v>98</v>
      </c>
      <c r="F11" s="1023" t="s">
        <v>152</v>
      </c>
      <c r="G11" s="818" t="s">
        <v>93</v>
      </c>
      <c r="H11" s="821" t="s">
        <v>98</v>
      </c>
      <c r="I11" s="821" t="s">
        <v>98</v>
      </c>
      <c r="J11" s="819">
        <v>0</v>
      </c>
      <c r="K11" s="818" t="s">
        <v>96</v>
      </c>
      <c r="L11" s="1021">
        <v>0.2</v>
      </c>
      <c r="M11" s="820">
        <v>1</v>
      </c>
      <c r="N11" s="813">
        <v>1.1591616324696701</v>
      </c>
      <c r="O11" s="1051" t="s">
        <v>281</v>
      </c>
      <c r="P11" s="206"/>
      <c r="Q11" s="378" t="s">
        <v>277</v>
      </c>
      <c r="R11" s="838">
        <v>3</v>
      </c>
      <c r="S11" s="838">
        <v>4</v>
      </c>
      <c r="T11" s="838">
        <v>2</v>
      </c>
      <c r="U11" s="838">
        <v>3</v>
      </c>
      <c r="V11" s="838">
        <v>1</v>
      </c>
      <c r="W11" s="838">
        <v>1</v>
      </c>
      <c r="X11" s="838">
        <v>3</v>
      </c>
      <c r="Y11" s="1090">
        <v>1.05</v>
      </c>
      <c r="Z11" s="1090">
        <v>1.1495903051467</v>
      </c>
      <c r="AA11" s="1090">
        <v>1.1591616324696701</v>
      </c>
      <c r="AB11" s="1090" t="s">
        <v>282</v>
      </c>
      <c r="AC11" s="1091">
        <v>1.1000000000000001</v>
      </c>
      <c r="AD11" s="1091">
        <v>1.1000000000000001</v>
      </c>
      <c r="AE11" s="1091">
        <v>1.03</v>
      </c>
      <c r="AF11" s="1091">
        <v>1.02</v>
      </c>
      <c r="AG11" s="1091">
        <v>1</v>
      </c>
      <c r="AH11" s="1091">
        <v>1</v>
      </c>
    </row>
    <row r="12" spans="1:34" s="46" customFormat="1" ht="24" customHeight="1">
      <c r="A12" s="810">
        <v>269447</v>
      </c>
      <c r="B12" s="1006"/>
      <c r="C12" s="1007"/>
      <c r="D12" s="1109">
        <v>5</v>
      </c>
      <c r="E12" s="1110" t="s">
        <v>98</v>
      </c>
      <c r="F12" s="1092" t="s">
        <v>158</v>
      </c>
      <c r="G12" s="814" t="s">
        <v>103</v>
      </c>
      <c r="H12" s="822" t="s">
        <v>98</v>
      </c>
      <c r="I12" s="822" t="s">
        <v>98</v>
      </c>
      <c r="J12" s="815">
        <v>0</v>
      </c>
      <c r="K12" s="814" t="s">
        <v>104</v>
      </c>
      <c r="L12" s="1084">
        <v>2</v>
      </c>
      <c r="M12" s="816">
        <v>1</v>
      </c>
      <c r="N12" s="817">
        <v>1.3000688016831099</v>
      </c>
      <c r="O12" s="1111" t="s">
        <v>283</v>
      </c>
      <c r="P12" s="790"/>
      <c r="Q12" s="378" t="s">
        <v>133</v>
      </c>
      <c r="R12" s="1087">
        <v>4</v>
      </c>
      <c r="S12" s="1087">
        <v>5</v>
      </c>
      <c r="T12" s="1087" t="s">
        <v>106</v>
      </c>
      <c r="U12" s="1087" t="s">
        <v>106</v>
      </c>
      <c r="V12" s="1087" t="s">
        <v>106</v>
      </c>
      <c r="W12" s="1087" t="s">
        <v>106</v>
      </c>
      <c r="X12" s="1087">
        <v>1</v>
      </c>
      <c r="Y12" s="1088">
        <v>1.05</v>
      </c>
      <c r="Z12" s="1088">
        <v>1.2941338353151</v>
      </c>
      <c r="AA12" s="1088">
        <v>1.3000688016831099</v>
      </c>
      <c r="AB12" s="1088" t="s">
        <v>274</v>
      </c>
      <c r="AC12" s="1089">
        <v>1.2</v>
      </c>
      <c r="AD12" s="1089">
        <v>1.2</v>
      </c>
      <c r="AE12" s="1089">
        <v>1</v>
      </c>
      <c r="AF12" s="1089">
        <v>1</v>
      </c>
      <c r="AG12" s="1089">
        <v>1</v>
      </c>
      <c r="AH12" s="1089">
        <v>1</v>
      </c>
    </row>
    <row r="13" spans="1:34" s="46" customFormat="1" ht="24" customHeight="1">
      <c r="A13" s="794">
        <v>269603</v>
      </c>
      <c r="B13" s="1064" t="s">
        <v>221</v>
      </c>
      <c r="C13" s="1065"/>
      <c r="D13" s="1112">
        <v>5</v>
      </c>
      <c r="E13" s="1113" t="s">
        <v>98</v>
      </c>
      <c r="F13" s="868" t="s">
        <v>222</v>
      </c>
      <c r="G13" s="869" t="s">
        <v>223</v>
      </c>
      <c r="H13" s="870" t="s">
        <v>98</v>
      </c>
      <c r="I13" s="871" t="s">
        <v>98</v>
      </c>
      <c r="J13" s="872">
        <v>0</v>
      </c>
      <c r="K13" s="869" t="s">
        <v>109</v>
      </c>
      <c r="L13" s="1021">
        <v>0.33</v>
      </c>
      <c r="M13" s="820">
        <v>1</v>
      </c>
      <c r="N13" s="813">
        <v>1.3000688016831099</v>
      </c>
      <c r="O13" s="1080" t="s">
        <v>283</v>
      </c>
      <c r="P13" s="790"/>
      <c r="Q13" s="378" t="s">
        <v>133</v>
      </c>
      <c r="R13" s="838">
        <v>4</v>
      </c>
      <c r="S13" s="838">
        <v>5</v>
      </c>
      <c r="T13" s="838" t="s">
        <v>106</v>
      </c>
      <c r="U13" s="838" t="s">
        <v>106</v>
      </c>
      <c r="V13" s="838" t="s">
        <v>106</v>
      </c>
      <c r="W13" s="838" t="s">
        <v>106</v>
      </c>
      <c r="X13" s="838">
        <v>2</v>
      </c>
      <c r="Y13" s="1090">
        <v>1.05</v>
      </c>
      <c r="Z13" s="1090">
        <v>1.2941338353151</v>
      </c>
      <c r="AA13" s="1090">
        <v>1.3000688016831099</v>
      </c>
      <c r="AB13" s="1090" t="s">
        <v>274</v>
      </c>
      <c r="AC13" s="1091">
        <v>1.2</v>
      </c>
      <c r="AD13" s="1091">
        <v>1.2</v>
      </c>
      <c r="AE13" s="1091">
        <v>1</v>
      </c>
      <c r="AF13" s="1091">
        <v>1</v>
      </c>
      <c r="AG13" s="1091">
        <v>1</v>
      </c>
      <c r="AH13" s="1091">
        <v>1</v>
      </c>
    </row>
    <row r="14" spans="1:34" s="46" customFormat="1">
      <c r="A14" s="810">
        <v>269641</v>
      </c>
      <c r="B14" s="1006"/>
      <c r="C14" s="1007"/>
      <c r="D14" s="1109">
        <v>5</v>
      </c>
      <c r="E14" s="1110" t="s">
        <v>98</v>
      </c>
      <c r="F14" s="1092" t="s">
        <v>114</v>
      </c>
      <c r="G14" s="814" t="s">
        <v>93</v>
      </c>
      <c r="H14" s="822" t="s">
        <v>98</v>
      </c>
      <c r="I14" s="822" t="s">
        <v>98</v>
      </c>
      <c r="J14" s="815">
        <v>0</v>
      </c>
      <c r="K14" s="814" t="s">
        <v>115</v>
      </c>
      <c r="L14" s="1084">
        <v>0.18866666666666701</v>
      </c>
      <c r="M14" s="816">
        <v>1</v>
      </c>
      <c r="N14" s="817">
        <v>2.09499413010681</v>
      </c>
      <c r="O14" s="1111" t="s">
        <v>273</v>
      </c>
      <c r="P14" s="790"/>
      <c r="Q14" s="378" t="s">
        <v>116</v>
      </c>
      <c r="R14" s="1087">
        <v>4</v>
      </c>
      <c r="S14" s="1087">
        <v>5</v>
      </c>
      <c r="T14" s="1087" t="s">
        <v>106</v>
      </c>
      <c r="U14" s="1087" t="s">
        <v>106</v>
      </c>
      <c r="V14" s="1087" t="s">
        <v>106</v>
      </c>
      <c r="W14" s="1087" t="s">
        <v>106</v>
      </c>
      <c r="X14" s="1087">
        <v>5</v>
      </c>
      <c r="Y14" s="1088">
        <v>2</v>
      </c>
      <c r="Z14" s="1088">
        <v>1.2941338353151</v>
      </c>
      <c r="AA14" s="1088">
        <v>2.09499413010681</v>
      </c>
      <c r="AB14" s="1088" t="s">
        <v>274</v>
      </c>
      <c r="AC14" s="1089">
        <v>1.2</v>
      </c>
      <c r="AD14" s="1089">
        <v>1.2</v>
      </c>
      <c r="AE14" s="1089">
        <v>1</v>
      </c>
      <c r="AF14" s="1089">
        <v>1</v>
      </c>
      <c r="AG14" s="1089">
        <v>1</v>
      </c>
      <c r="AH14" s="1089">
        <v>1</v>
      </c>
    </row>
    <row r="15" spans="1:34" s="46" customFormat="1">
      <c r="A15" s="810">
        <v>160371</v>
      </c>
      <c r="B15" s="1006"/>
      <c r="C15" s="1007"/>
      <c r="D15" s="1078">
        <v>5</v>
      </c>
      <c r="E15" s="1079" t="s">
        <v>98</v>
      </c>
      <c r="F15" s="1023" t="s">
        <v>117</v>
      </c>
      <c r="G15" s="818" t="s">
        <v>93</v>
      </c>
      <c r="H15" s="821" t="s">
        <v>98</v>
      </c>
      <c r="I15" s="821" t="s">
        <v>98</v>
      </c>
      <c r="J15" s="819">
        <v>0</v>
      </c>
      <c r="K15" s="818" t="s">
        <v>115</v>
      </c>
      <c r="L15" s="1021">
        <v>1.1319999999999999</v>
      </c>
      <c r="M15" s="820">
        <v>1</v>
      </c>
      <c r="N15" s="813">
        <v>2.09499413010681</v>
      </c>
      <c r="O15" s="1080" t="s">
        <v>273</v>
      </c>
      <c r="P15" s="790"/>
      <c r="Q15" s="378" t="s">
        <v>116</v>
      </c>
      <c r="R15" s="838">
        <v>4</v>
      </c>
      <c r="S15" s="838">
        <v>5</v>
      </c>
      <c r="T15" s="838" t="s">
        <v>106</v>
      </c>
      <c r="U15" s="838" t="s">
        <v>106</v>
      </c>
      <c r="V15" s="838" t="s">
        <v>106</v>
      </c>
      <c r="W15" s="838" t="s">
        <v>106</v>
      </c>
      <c r="X15" s="838">
        <v>5</v>
      </c>
      <c r="Y15" s="1090">
        <v>2</v>
      </c>
      <c r="Z15" s="1090">
        <v>1.2941338353151</v>
      </c>
      <c r="AA15" s="1090">
        <v>2.09499413010681</v>
      </c>
      <c r="AB15" s="1090" t="s">
        <v>274</v>
      </c>
      <c r="AC15" s="1091">
        <v>1.2</v>
      </c>
      <c r="AD15" s="1091">
        <v>1.2</v>
      </c>
      <c r="AE15" s="1091">
        <v>1</v>
      </c>
      <c r="AF15" s="1091">
        <v>1</v>
      </c>
      <c r="AG15" s="1091">
        <v>1</v>
      </c>
      <c r="AH15" s="1091">
        <v>1</v>
      </c>
    </row>
    <row r="16" spans="1:34" s="46" customFormat="1" ht="24" customHeight="1">
      <c r="A16" s="810">
        <v>269095</v>
      </c>
      <c r="B16" s="1006"/>
      <c r="C16" s="1007"/>
      <c r="D16" s="1109">
        <v>5</v>
      </c>
      <c r="E16" s="1110" t="s">
        <v>98</v>
      </c>
      <c r="F16" s="1092" t="s">
        <v>284</v>
      </c>
      <c r="G16" s="814" t="s">
        <v>103</v>
      </c>
      <c r="H16" s="822" t="s">
        <v>98</v>
      </c>
      <c r="I16" s="822" t="s">
        <v>98</v>
      </c>
      <c r="J16" s="815">
        <v>0</v>
      </c>
      <c r="K16" s="814" t="s">
        <v>119</v>
      </c>
      <c r="L16" s="1084">
        <v>8.9999999999999993E-3</v>
      </c>
      <c r="M16" s="816">
        <v>1</v>
      </c>
      <c r="N16" s="817">
        <v>1.3000688016831099</v>
      </c>
      <c r="O16" s="1111" t="s">
        <v>285</v>
      </c>
      <c r="P16" s="790"/>
      <c r="Q16" s="378" t="s">
        <v>286</v>
      </c>
      <c r="R16" s="1087">
        <v>4</v>
      </c>
      <c r="S16" s="1087">
        <v>5</v>
      </c>
      <c r="T16" s="1087" t="s">
        <v>106</v>
      </c>
      <c r="U16" s="1087" t="s">
        <v>106</v>
      </c>
      <c r="V16" s="1087" t="s">
        <v>106</v>
      </c>
      <c r="W16" s="1087" t="s">
        <v>106</v>
      </c>
      <c r="X16" s="1087">
        <v>6</v>
      </c>
      <c r="Y16" s="1088">
        <v>1.05</v>
      </c>
      <c r="Z16" s="1088">
        <v>1.2941338353151</v>
      </c>
      <c r="AA16" s="1088">
        <v>1.3000688016831099</v>
      </c>
      <c r="AB16" s="1088" t="s">
        <v>274</v>
      </c>
      <c r="AC16" s="1089">
        <v>1.2</v>
      </c>
      <c r="AD16" s="1089">
        <v>1.2</v>
      </c>
      <c r="AE16" s="1089">
        <v>1</v>
      </c>
      <c r="AF16" s="1089">
        <v>1</v>
      </c>
      <c r="AG16" s="1089">
        <v>1</v>
      </c>
      <c r="AH16" s="1089">
        <v>1</v>
      </c>
    </row>
    <row r="17" spans="1:34" s="46" customFormat="1" ht="24" customHeight="1">
      <c r="A17" s="810">
        <v>269525</v>
      </c>
      <c r="B17" s="1006"/>
      <c r="C17" s="1007"/>
      <c r="D17" s="1078">
        <v>5</v>
      </c>
      <c r="E17" s="1079" t="s">
        <v>98</v>
      </c>
      <c r="F17" s="1023" t="s">
        <v>111</v>
      </c>
      <c r="G17" s="818" t="s">
        <v>93</v>
      </c>
      <c r="H17" s="821" t="s">
        <v>98</v>
      </c>
      <c r="I17" s="821" t="s">
        <v>98</v>
      </c>
      <c r="J17" s="819">
        <v>1</v>
      </c>
      <c r="K17" s="818" t="s">
        <v>112</v>
      </c>
      <c r="L17" s="1021">
        <v>4.0000000000000001E-10</v>
      </c>
      <c r="M17" s="820">
        <v>1</v>
      </c>
      <c r="N17" s="813">
        <v>3.0909055800049701</v>
      </c>
      <c r="O17" s="1080" t="s">
        <v>283</v>
      </c>
      <c r="P17" s="790"/>
      <c r="Q17" s="378" t="s">
        <v>133</v>
      </c>
      <c r="R17" s="838">
        <v>4</v>
      </c>
      <c r="S17" s="838">
        <v>5</v>
      </c>
      <c r="T17" s="838" t="s">
        <v>106</v>
      </c>
      <c r="U17" s="838" t="s">
        <v>106</v>
      </c>
      <c r="V17" s="838" t="s">
        <v>106</v>
      </c>
      <c r="W17" s="838" t="s">
        <v>106</v>
      </c>
      <c r="X17" s="838">
        <v>9</v>
      </c>
      <c r="Y17" s="1090">
        <v>3</v>
      </c>
      <c r="Z17" s="1090">
        <v>1.2941338353151</v>
      </c>
      <c r="AA17" s="1090">
        <v>3.0909055800049701</v>
      </c>
      <c r="AB17" s="1090" t="s">
        <v>274</v>
      </c>
      <c r="AC17" s="1091">
        <v>1.2</v>
      </c>
      <c r="AD17" s="1091">
        <v>1.2</v>
      </c>
      <c r="AE17" s="1091">
        <v>1</v>
      </c>
      <c r="AF17" s="1091">
        <v>1</v>
      </c>
      <c r="AG17" s="1091">
        <v>1</v>
      </c>
      <c r="AH17" s="1091">
        <v>1</v>
      </c>
    </row>
    <row r="18" spans="1:34" s="46" customFormat="1" ht="24" customHeight="1">
      <c r="A18" s="810">
        <v>21844</v>
      </c>
      <c r="B18" s="1006" t="s">
        <v>287</v>
      </c>
      <c r="C18" s="1007"/>
      <c r="D18" s="1114" t="s">
        <v>98</v>
      </c>
      <c r="E18" s="1110">
        <v>4</v>
      </c>
      <c r="F18" s="1092" t="s">
        <v>121</v>
      </c>
      <c r="G18" s="814" t="s">
        <v>98</v>
      </c>
      <c r="H18" s="822" t="s">
        <v>122</v>
      </c>
      <c r="I18" s="822" t="s">
        <v>123</v>
      </c>
      <c r="J18" s="815" t="s">
        <v>98</v>
      </c>
      <c r="K18" s="814" t="s">
        <v>104</v>
      </c>
      <c r="L18" s="1084">
        <v>1.1879999999999999</v>
      </c>
      <c r="M18" s="816">
        <v>1</v>
      </c>
      <c r="N18" s="817">
        <v>1.3000688016831099</v>
      </c>
      <c r="O18" s="1111" t="s">
        <v>288</v>
      </c>
      <c r="P18" s="790"/>
      <c r="Q18" s="378" t="s">
        <v>124</v>
      </c>
      <c r="R18" s="1087">
        <v>4</v>
      </c>
      <c r="S18" s="1087">
        <v>5</v>
      </c>
      <c r="T18" s="1087" t="s">
        <v>106</v>
      </c>
      <c r="U18" s="1087" t="s">
        <v>106</v>
      </c>
      <c r="V18" s="1087" t="s">
        <v>106</v>
      </c>
      <c r="W18" s="1087" t="s">
        <v>106</v>
      </c>
      <c r="X18" s="1087">
        <v>13</v>
      </c>
      <c r="Y18" s="1088">
        <v>1.05</v>
      </c>
      <c r="Z18" s="1088">
        <v>1.2941338353151</v>
      </c>
      <c r="AA18" s="1088">
        <v>1.3000688016831099</v>
      </c>
      <c r="AB18" s="1088" t="s">
        <v>274</v>
      </c>
      <c r="AC18" s="1089">
        <v>1.2</v>
      </c>
      <c r="AD18" s="1089">
        <v>1.2</v>
      </c>
      <c r="AE18" s="1089">
        <v>1</v>
      </c>
      <c r="AF18" s="1089">
        <v>1</v>
      </c>
      <c r="AG18" s="1089">
        <v>1</v>
      </c>
      <c r="AH18" s="1089">
        <v>1</v>
      </c>
    </row>
    <row r="19" spans="1:34" s="46" customFormat="1" ht="24" customHeight="1">
      <c r="A19" s="810">
        <v>90275</v>
      </c>
      <c r="B19" s="1006"/>
      <c r="C19" s="1007"/>
      <c r="D19" s="1115" t="s">
        <v>98</v>
      </c>
      <c r="E19" s="1079">
        <v>4</v>
      </c>
      <c r="F19" s="1023" t="s">
        <v>259</v>
      </c>
      <c r="G19" s="818" t="s">
        <v>98</v>
      </c>
      <c r="H19" s="821" t="s">
        <v>122</v>
      </c>
      <c r="I19" s="821" t="s">
        <v>123</v>
      </c>
      <c r="J19" s="819" t="s">
        <v>98</v>
      </c>
      <c r="K19" s="818" t="s">
        <v>96</v>
      </c>
      <c r="L19" s="1021">
        <v>3.02875594426368E-3</v>
      </c>
      <c r="M19" s="820">
        <v>1</v>
      </c>
      <c r="N19" s="813">
        <v>1.3000688016831099</v>
      </c>
      <c r="O19" s="1080" t="s">
        <v>289</v>
      </c>
      <c r="P19" s="790"/>
      <c r="Q19" s="378" t="s">
        <v>290</v>
      </c>
      <c r="R19" s="838">
        <v>4</v>
      </c>
      <c r="S19" s="838">
        <v>5</v>
      </c>
      <c r="T19" s="838" t="s">
        <v>106</v>
      </c>
      <c r="U19" s="838" t="s">
        <v>106</v>
      </c>
      <c r="V19" s="838" t="s">
        <v>106</v>
      </c>
      <c r="W19" s="838" t="s">
        <v>106</v>
      </c>
      <c r="X19" s="838">
        <v>14</v>
      </c>
      <c r="Y19" s="1090">
        <v>1.05</v>
      </c>
      <c r="Z19" s="1090">
        <v>1.2941338353151</v>
      </c>
      <c r="AA19" s="1090">
        <v>1.3000688016831099</v>
      </c>
      <c r="AB19" s="1090" t="s">
        <v>274</v>
      </c>
      <c r="AC19" s="1091">
        <v>1.2</v>
      </c>
      <c r="AD19" s="1091">
        <v>1.2</v>
      </c>
      <c r="AE19" s="1091">
        <v>1</v>
      </c>
      <c r="AF19" s="1091">
        <v>1</v>
      </c>
      <c r="AG19" s="1091">
        <v>1</v>
      </c>
      <c r="AH19" s="1091">
        <v>1</v>
      </c>
    </row>
    <row r="20" spans="1:34" s="46" customFormat="1" ht="24" customHeight="1">
      <c r="A20" s="810">
        <v>29019</v>
      </c>
      <c r="B20" s="1006" t="s">
        <v>291</v>
      </c>
      <c r="C20" s="1007"/>
      <c r="D20" s="1114">
        <v>4</v>
      </c>
      <c r="E20" s="1110" t="s">
        <v>98</v>
      </c>
      <c r="F20" s="1092" t="s">
        <v>130</v>
      </c>
      <c r="G20" s="814" t="s">
        <v>98</v>
      </c>
      <c r="H20" s="822" t="s">
        <v>131</v>
      </c>
      <c r="I20" s="822" t="s">
        <v>132</v>
      </c>
      <c r="J20" s="815" t="s">
        <v>98</v>
      </c>
      <c r="K20" s="814" t="s">
        <v>119</v>
      </c>
      <c r="L20" s="1084">
        <v>2.4E-2</v>
      </c>
      <c r="M20" s="816">
        <v>1</v>
      </c>
      <c r="N20" s="817">
        <v>1.3000688016831099</v>
      </c>
      <c r="O20" s="1111" t="s">
        <v>283</v>
      </c>
      <c r="P20" s="790"/>
      <c r="Q20" s="378" t="s">
        <v>133</v>
      </c>
      <c r="R20" s="1087">
        <v>4</v>
      </c>
      <c r="S20" s="1087">
        <v>5</v>
      </c>
      <c r="T20" s="1087" t="s">
        <v>106</v>
      </c>
      <c r="U20" s="1087" t="s">
        <v>106</v>
      </c>
      <c r="V20" s="1087" t="s">
        <v>106</v>
      </c>
      <c r="W20" s="1087" t="s">
        <v>106</v>
      </c>
      <c r="X20" s="1087">
        <v>12</v>
      </c>
      <c r="Y20" s="1088">
        <v>1.05</v>
      </c>
      <c r="Z20" s="1088">
        <v>1.2941338353151</v>
      </c>
      <c r="AA20" s="1088">
        <v>1.3000688016831099</v>
      </c>
      <c r="AB20" s="1088" t="s">
        <v>274</v>
      </c>
      <c r="AC20" s="1089">
        <v>1.2</v>
      </c>
      <c r="AD20" s="1089">
        <v>1.2</v>
      </c>
      <c r="AE20" s="1089">
        <v>1</v>
      </c>
      <c r="AF20" s="1089">
        <v>1</v>
      </c>
      <c r="AG20" s="1089">
        <v>1</v>
      </c>
      <c r="AH20" s="1089">
        <v>1</v>
      </c>
    </row>
    <row r="21" spans="1:34" s="46" customFormat="1" ht="24" customHeight="1">
      <c r="A21" s="810" t="s">
        <v>292</v>
      </c>
      <c r="B21" s="1006" t="s">
        <v>189</v>
      </c>
      <c r="C21" s="1007"/>
      <c r="D21" s="1115">
        <v>4</v>
      </c>
      <c r="E21" s="1079" t="s">
        <v>98</v>
      </c>
      <c r="F21" s="1023" t="s">
        <v>293</v>
      </c>
      <c r="G21" s="818" t="s">
        <v>98</v>
      </c>
      <c r="H21" s="821" t="s">
        <v>191</v>
      </c>
      <c r="I21" s="821" t="s">
        <v>192</v>
      </c>
      <c r="J21" s="819" t="s">
        <v>98</v>
      </c>
      <c r="K21" s="818" t="s">
        <v>96</v>
      </c>
      <c r="L21" s="1021">
        <v>2.8014658152520598E-3</v>
      </c>
      <c r="M21" s="820">
        <v>1</v>
      </c>
      <c r="N21" s="813">
        <v>1.61688937821414</v>
      </c>
      <c r="O21" s="1080" t="s">
        <v>294</v>
      </c>
      <c r="P21" s="790"/>
      <c r="Q21" s="378" t="s">
        <v>295</v>
      </c>
      <c r="R21" s="838">
        <v>4</v>
      </c>
      <c r="S21" s="838">
        <v>5</v>
      </c>
      <c r="T21" s="838" t="s">
        <v>106</v>
      </c>
      <c r="U21" s="838" t="s">
        <v>106</v>
      </c>
      <c r="V21" s="838" t="s">
        <v>106</v>
      </c>
      <c r="W21" s="838" t="s">
        <v>106</v>
      </c>
      <c r="X21" s="838">
        <v>32</v>
      </c>
      <c r="Y21" s="1090">
        <v>1.5</v>
      </c>
      <c r="Z21" s="1090">
        <v>1.2941338353151</v>
      </c>
      <c r="AA21" s="1090">
        <v>1.61688937821414</v>
      </c>
      <c r="AB21" s="1090" t="s">
        <v>274</v>
      </c>
      <c r="AC21" s="1091">
        <v>1.2</v>
      </c>
      <c r="AD21" s="1091">
        <v>1.2</v>
      </c>
      <c r="AE21" s="1091">
        <v>1</v>
      </c>
      <c r="AF21" s="1091">
        <v>1</v>
      </c>
      <c r="AG21" s="1091">
        <v>1</v>
      </c>
      <c r="AH21" s="1091">
        <v>1</v>
      </c>
    </row>
    <row r="22" spans="1:34" s="46" customFormat="1" ht="24" customHeight="1">
      <c r="A22" s="810">
        <v>68218</v>
      </c>
      <c r="B22" s="1006"/>
      <c r="C22" s="1007"/>
      <c r="D22" s="1114">
        <v>4</v>
      </c>
      <c r="E22" s="1110" t="s">
        <v>98</v>
      </c>
      <c r="F22" s="1092" t="s">
        <v>296</v>
      </c>
      <c r="G22" s="814" t="s">
        <v>98</v>
      </c>
      <c r="H22" s="822" t="s">
        <v>191</v>
      </c>
      <c r="I22" s="822" t="s">
        <v>192</v>
      </c>
      <c r="J22" s="815" t="s">
        <v>98</v>
      </c>
      <c r="K22" s="814" t="s">
        <v>96</v>
      </c>
      <c r="L22" s="1084">
        <v>8.1831338520498408E-3</v>
      </c>
      <c r="M22" s="816">
        <v>1</v>
      </c>
      <c r="N22" s="817">
        <v>1.61688937821414</v>
      </c>
      <c r="O22" s="1111" t="s">
        <v>294</v>
      </c>
      <c r="P22" s="790"/>
      <c r="Q22" s="378" t="s">
        <v>295</v>
      </c>
      <c r="R22" s="1087">
        <v>4</v>
      </c>
      <c r="S22" s="1087">
        <v>5</v>
      </c>
      <c r="T22" s="1087" t="s">
        <v>106</v>
      </c>
      <c r="U22" s="1087" t="s">
        <v>106</v>
      </c>
      <c r="V22" s="1087" t="s">
        <v>106</v>
      </c>
      <c r="W22" s="1087" t="s">
        <v>106</v>
      </c>
      <c r="X22" s="1087">
        <v>32</v>
      </c>
      <c r="Y22" s="1088">
        <v>1.5</v>
      </c>
      <c r="Z22" s="1088">
        <v>1.2941338353151</v>
      </c>
      <c r="AA22" s="1088">
        <v>1.61688937821414</v>
      </c>
      <c r="AB22" s="1088" t="s">
        <v>274</v>
      </c>
      <c r="AC22" s="1089">
        <v>1.2</v>
      </c>
      <c r="AD22" s="1089">
        <v>1.2</v>
      </c>
      <c r="AE22" s="1089">
        <v>1</v>
      </c>
      <c r="AF22" s="1089">
        <v>1</v>
      </c>
      <c r="AG22" s="1089">
        <v>1</v>
      </c>
      <c r="AH22" s="1089">
        <v>1</v>
      </c>
    </row>
    <row r="23" spans="1:34" s="46" customFormat="1" ht="24" customHeight="1">
      <c r="A23" s="810">
        <v>13296</v>
      </c>
      <c r="B23" s="1006"/>
      <c r="C23" s="1007"/>
      <c r="D23" s="1115">
        <v>4</v>
      </c>
      <c r="E23" s="1079" t="s">
        <v>98</v>
      </c>
      <c r="F23" s="1023" t="s">
        <v>297</v>
      </c>
      <c r="G23" s="818" t="s">
        <v>98</v>
      </c>
      <c r="H23" s="821" t="s">
        <v>191</v>
      </c>
      <c r="I23" s="821" t="s">
        <v>192</v>
      </c>
      <c r="J23" s="819" t="s">
        <v>98</v>
      </c>
      <c r="K23" s="818" t="s">
        <v>96</v>
      </c>
      <c r="L23" s="1021">
        <v>8.1831338520498408E-3</v>
      </c>
      <c r="M23" s="820">
        <v>1</v>
      </c>
      <c r="N23" s="813">
        <v>1.61688937821414</v>
      </c>
      <c r="O23" s="1080" t="s">
        <v>294</v>
      </c>
      <c r="P23" s="790"/>
      <c r="Q23" s="378" t="s">
        <v>295</v>
      </c>
      <c r="R23" s="838">
        <v>4</v>
      </c>
      <c r="S23" s="838">
        <v>5</v>
      </c>
      <c r="T23" s="838" t="s">
        <v>106</v>
      </c>
      <c r="U23" s="838" t="s">
        <v>106</v>
      </c>
      <c r="V23" s="838" t="s">
        <v>106</v>
      </c>
      <c r="W23" s="838" t="s">
        <v>106</v>
      </c>
      <c r="X23" s="838">
        <v>32</v>
      </c>
      <c r="Y23" s="1090">
        <v>1.5</v>
      </c>
      <c r="Z23" s="1090">
        <v>1.2941338353151</v>
      </c>
      <c r="AA23" s="1090">
        <v>1.61688937821414</v>
      </c>
      <c r="AB23" s="1090" t="s">
        <v>274</v>
      </c>
      <c r="AC23" s="1091">
        <v>1.2</v>
      </c>
      <c r="AD23" s="1091">
        <v>1.2</v>
      </c>
      <c r="AE23" s="1091">
        <v>1</v>
      </c>
      <c r="AF23" s="1091">
        <v>1</v>
      </c>
      <c r="AG23" s="1091">
        <v>1</v>
      </c>
      <c r="AH23" s="1091">
        <v>1</v>
      </c>
    </row>
    <row r="24" spans="1:34" s="46" customFormat="1" ht="24" customHeight="1">
      <c r="A24" s="810">
        <v>2278</v>
      </c>
      <c r="B24" s="1006"/>
      <c r="C24" s="1007"/>
      <c r="D24" s="1114">
        <v>4</v>
      </c>
      <c r="E24" s="1110" t="s">
        <v>98</v>
      </c>
      <c r="F24" s="1092" t="s">
        <v>298</v>
      </c>
      <c r="G24" s="814" t="s">
        <v>98</v>
      </c>
      <c r="H24" s="822" t="s">
        <v>191</v>
      </c>
      <c r="I24" s="822" t="s">
        <v>192</v>
      </c>
      <c r="J24" s="815" t="s">
        <v>98</v>
      </c>
      <c r="K24" s="814" t="s">
        <v>96</v>
      </c>
      <c r="L24" s="1084">
        <v>2.8014658152520598E-3</v>
      </c>
      <c r="M24" s="816">
        <v>1</v>
      </c>
      <c r="N24" s="817">
        <v>1.61688937821414</v>
      </c>
      <c r="O24" s="1111" t="s">
        <v>294</v>
      </c>
      <c r="P24" s="790"/>
      <c r="Q24" s="378" t="s">
        <v>295</v>
      </c>
      <c r="R24" s="1087">
        <v>4</v>
      </c>
      <c r="S24" s="1087">
        <v>5</v>
      </c>
      <c r="T24" s="1087" t="s">
        <v>106</v>
      </c>
      <c r="U24" s="1087" t="s">
        <v>106</v>
      </c>
      <c r="V24" s="1087" t="s">
        <v>106</v>
      </c>
      <c r="W24" s="1087" t="s">
        <v>106</v>
      </c>
      <c r="X24" s="1087">
        <v>32</v>
      </c>
      <c r="Y24" s="1088">
        <v>1.5</v>
      </c>
      <c r="Z24" s="1088">
        <v>1.2941338353151</v>
      </c>
      <c r="AA24" s="1088">
        <v>1.61688937821414</v>
      </c>
      <c r="AB24" s="1088" t="s">
        <v>274</v>
      </c>
      <c r="AC24" s="1089">
        <v>1.2</v>
      </c>
      <c r="AD24" s="1089">
        <v>1.2</v>
      </c>
      <c r="AE24" s="1089">
        <v>1</v>
      </c>
      <c r="AF24" s="1089">
        <v>1</v>
      </c>
      <c r="AG24" s="1089">
        <v>1</v>
      </c>
      <c r="AH24" s="1089">
        <v>1</v>
      </c>
    </row>
    <row r="25" spans="1:34" s="46" customFormat="1" ht="24" customHeight="1">
      <c r="A25" s="810">
        <v>53354</v>
      </c>
      <c r="B25" s="1006"/>
      <c r="C25" s="1007"/>
      <c r="D25" s="1115">
        <v>4</v>
      </c>
      <c r="E25" s="1079" t="s">
        <v>98</v>
      </c>
      <c r="F25" s="1023" t="s">
        <v>299</v>
      </c>
      <c r="G25" s="818" t="s">
        <v>98</v>
      </c>
      <c r="H25" s="821" t="s">
        <v>191</v>
      </c>
      <c r="I25" s="821" t="s">
        <v>192</v>
      </c>
      <c r="J25" s="819" t="s">
        <v>98</v>
      </c>
      <c r="K25" s="818" t="s">
        <v>96</v>
      </c>
      <c r="L25" s="1021">
        <v>4.3920000000000001E-2</v>
      </c>
      <c r="M25" s="820">
        <v>1</v>
      </c>
      <c r="N25" s="813">
        <v>1.61688937821414</v>
      </c>
      <c r="O25" s="1080" t="s">
        <v>294</v>
      </c>
      <c r="P25" s="790"/>
      <c r="Q25" s="378" t="s">
        <v>295</v>
      </c>
      <c r="R25" s="838">
        <v>4</v>
      </c>
      <c r="S25" s="838">
        <v>5</v>
      </c>
      <c r="T25" s="838" t="s">
        <v>106</v>
      </c>
      <c r="U25" s="838" t="s">
        <v>106</v>
      </c>
      <c r="V25" s="838" t="s">
        <v>106</v>
      </c>
      <c r="W25" s="838" t="s">
        <v>106</v>
      </c>
      <c r="X25" s="838">
        <v>32</v>
      </c>
      <c r="Y25" s="1090">
        <v>1.5</v>
      </c>
      <c r="Z25" s="1090">
        <v>1.2941338353151</v>
      </c>
      <c r="AA25" s="1090">
        <v>1.61688937821414</v>
      </c>
      <c r="AB25" s="1090" t="s">
        <v>274</v>
      </c>
      <c r="AC25" s="1091">
        <v>1.2</v>
      </c>
      <c r="AD25" s="1091">
        <v>1.2</v>
      </c>
      <c r="AE25" s="1091">
        <v>1</v>
      </c>
      <c r="AF25" s="1091">
        <v>1</v>
      </c>
      <c r="AG25" s="1091">
        <v>1</v>
      </c>
      <c r="AH25" s="1091">
        <v>1</v>
      </c>
    </row>
    <row r="26" spans="1:34" s="46" customFormat="1" ht="27.75" customHeight="1">
      <c r="A26" s="810">
        <v>34061</v>
      </c>
      <c r="B26" s="1006"/>
      <c r="C26" s="1007"/>
      <c r="D26" s="1114">
        <v>4</v>
      </c>
      <c r="E26" s="1110" t="s">
        <v>98</v>
      </c>
      <c r="F26" s="1092" t="s">
        <v>300</v>
      </c>
      <c r="G26" s="814" t="s">
        <v>98</v>
      </c>
      <c r="H26" s="822" t="s">
        <v>191</v>
      </c>
      <c r="I26" s="822" t="s">
        <v>192</v>
      </c>
      <c r="J26" s="815" t="s">
        <v>98</v>
      </c>
      <c r="K26" s="814" t="s">
        <v>96</v>
      </c>
      <c r="L26" s="1084">
        <v>7.7788325113816699E-3</v>
      </c>
      <c r="M26" s="816">
        <v>1</v>
      </c>
      <c r="N26" s="817">
        <v>3.0909055800049701</v>
      </c>
      <c r="O26" s="1111" t="s">
        <v>301</v>
      </c>
      <c r="P26" s="790"/>
      <c r="Q26" s="378" t="s">
        <v>302</v>
      </c>
      <c r="R26" s="1087">
        <v>4</v>
      </c>
      <c r="S26" s="1087">
        <v>5</v>
      </c>
      <c r="T26" s="1087" t="s">
        <v>106</v>
      </c>
      <c r="U26" s="1087" t="s">
        <v>106</v>
      </c>
      <c r="V26" s="1087" t="s">
        <v>106</v>
      </c>
      <c r="W26" s="1087" t="s">
        <v>106</v>
      </c>
      <c r="X26" s="1087">
        <v>34</v>
      </c>
      <c r="Y26" s="1088">
        <v>3</v>
      </c>
      <c r="Z26" s="1088">
        <v>1.2941338353151</v>
      </c>
      <c r="AA26" s="1088">
        <v>3.0909055800049701</v>
      </c>
      <c r="AB26" s="1088" t="s">
        <v>274</v>
      </c>
      <c r="AC26" s="1089">
        <v>1.2</v>
      </c>
      <c r="AD26" s="1089">
        <v>1.2</v>
      </c>
      <c r="AE26" s="1089">
        <v>1</v>
      </c>
      <c r="AF26" s="1089">
        <v>1</v>
      </c>
      <c r="AG26" s="1089">
        <v>1</v>
      </c>
      <c r="AH26" s="1089">
        <v>1</v>
      </c>
    </row>
    <row r="27" spans="1:34">
      <c r="L27" s="417"/>
    </row>
  </sheetData>
  <mergeCells count="1">
    <mergeCell ref="R1:W1"/>
  </mergeCells>
  <dataValidations count="28">
    <dataValidation allowBlank="1" showInputMessage="1" showErrorMessage="1" prompt="always 1" sqref="L7 L65537 L131073 L196609 L262145 L327681 L393217 L458753 L524289 L589825 L655361 L720897 L786433 L851969 L917505 L983041 JI7 JI65537 JI131073 JI196609 JI262145 JI327681 JI393217 JI458753 JI524289 JI589825 JI655361 JI720897 JI786433 JI851969 JI917505 JI983041 TE7 TE65537 TE131073 TE196609 TE262145 TE327681 TE393217 TE458753 TE524289 TE589825 TE655361 TE720897 TE786433 TE851969 TE917505 TE983041 ADA7 ADA65537 ADA131073 ADA196609 ADA262145 ADA327681 ADA393217 ADA458753 ADA524289 ADA589825 ADA655361 ADA720897 ADA786433 ADA851969 ADA917505 ADA983041 AMW7 AMW65537 AMW131073 AMW196609 AMW262145 AMW327681 AMW393217 AMW458753 AMW524289 AMW589825 AMW655361 AMW720897 AMW786433 AMW851969 AMW917505 AMW983041 AWS7 AWS65537 AWS131073 AWS196609 AWS262145 AWS327681 AWS393217 AWS458753 AWS524289 AWS589825 AWS655361 AWS720897 AWS786433 AWS851969 AWS917505 AWS983041 BGO7 BGO65537 BGO131073 BGO196609 BGO262145 BGO327681 BGO393217 BGO458753 BGO524289 BGO589825 BGO655361 BGO720897 BGO786433 BGO851969 BGO917505 BGO983041 BQK7 BQK65537 BQK131073 BQK196609 BQK262145 BQK327681 BQK393217 BQK458753 BQK524289 BQK589825 BQK655361 BQK720897 BQK786433 BQK851969 BQK917505 BQK983041 CAG7 CAG65537 CAG131073 CAG196609 CAG262145 CAG327681 CAG393217 CAG458753 CAG524289 CAG589825 CAG655361 CAG720897 CAG786433 CAG851969 CAG917505 CAG983041 CKC7 CKC65537 CKC131073 CKC196609 CKC262145 CKC327681 CKC393217 CKC458753 CKC524289 CKC589825 CKC655361 CKC720897 CKC786433 CKC851969 CKC917505 CKC983041 CTY7 CTY65537 CTY131073 CTY196609 CTY262145 CTY327681 CTY393217 CTY458753 CTY524289 CTY589825 CTY655361 CTY720897 CTY786433 CTY851969 CTY917505 CTY983041 DDU7 DDU65537 DDU131073 DDU196609 DDU262145 DDU327681 DDU393217 DDU458753 DDU524289 DDU589825 DDU655361 DDU720897 DDU786433 DDU851969 DDU917505 DDU983041 DNQ7 DNQ65537 DNQ131073 DNQ196609 DNQ262145 DNQ327681 DNQ393217 DNQ458753 DNQ524289 DNQ589825 DNQ655361 DNQ720897 DNQ786433 DNQ851969 DNQ917505 DNQ983041 DXM7 DXM65537 DXM131073 DXM196609 DXM262145 DXM327681 DXM393217 DXM458753 DXM524289 DXM589825 DXM655361 DXM720897 DXM786433 DXM851969 DXM917505 DXM983041 EHI7 EHI65537 EHI131073 EHI196609 EHI262145 EHI327681 EHI393217 EHI458753 EHI524289 EHI589825 EHI655361 EHI720897 EHI786433 EHI851969 EHI917505 EHI983041 ERE7 ERE65537 ERE131073 ERE196609 ERE262145 ERE327681 ERE393217 ERE458753 ERE524289 ERE589825 ERE655361 ERE720897 ERE786433 ERE851969 ERE917505 ERE983041 FBA7 FBA65537 FBA131073 FBA196609 FBA262145 FBA327681 FBA393217 FBA458753 FBA524289 FBA589825 FBA655361 FBA720897 FBA786433 FBA851969 FBA917505 FBA983041 FKW7 FKW65537 FKW131073 FKW196609 FKW262145 FKW327681 FKW393217 FKW458753 FKW524289 FKW589825 FKW655361 FKW720897 FKW786433 FKW851969 FKW917505 FKW983041 FUS7 FUS65537 FUS131073 FUS196609 FUS262145 FUS327681 FUS393217 FUS458753 FUS524289 FUS589825 FUS655361 FUS720897 FUS786433 FUS851969 FUS917505 FUS983041 GEO7 GEO65537 GEO131073 GEO196609 GEO262145 GEO327681 GEO393217 GEO458753 GEO524289 GEO589825 GEO655361 GEO720897 GEO786433 GEO851969 GEO917505 GEO983041 GOK7 GOK65537 GOK131073 GOK196609 GOK262145 GOK327681 GOK393217 GOK458753 GOK524289 GOK589825 GOK655361 GOK720897 GOK786433 GOK851969 GOK917505 GOK983041 GYG7 GYG65537 GYG131073 GYG196609 GYG262145 GYG327681 GYG393217 GYG458753 GYG524289 GYG589825 GYG655361 GYG720897 GYG786433 GYG851969 GYG917505 GYG983041 HIC7 HIC65537 HIC131073 HIC196609 HIC262145 HIC327681 HIC393217 HIC458753 HIC524289 HIC589825 HIC655361 HIC720897 HIC786433 HIC851969 HIC917505 HIC983041 HRY7 HRY65537 HRY131073 HRY196609 HRY262145 HRY327681 HRY393217 HRY458753 HRY524289 HRY589825 HRY655361 HRY720897 HRY786433 HRY851969 HRY917505 HRY983041 IBU7 IBU65537 IBU131073 IBU196609 IBU262145 IBU327681 IBU393217 IBU458753 IBU524289 IBU589825 IBU655361 IBU720897 IBU786433 IBU851969 IBU917505 IBU983041 ILQ7 ILQ65537 ILQ131073 ILQ196609 ILQ262145 ILQ327681 ILQ393217 ILQ458753 ILQ524289 ILQ589825 ILQ655361 ILQ720897 ILQ786433 ILQ851969 ILQ917505 ILQ983041 IVM7 IVM65537 IVM131073 IVM196609 IVM262145 IVM327681 IVM393217 IVM458753 IVM524289 IVM589825 IVM655361 IVM720897 IVM786433 IVM851969 IVM917505 IVM983041 JFI7 JFI65537 JFI131073 JFI196609 JFI262145 JFI327681 JFI393217 JFI458753 JFI524289 JFI589825 JFI655361 JFI720897 JFI786433 JFI851969 JFI917505 JFI983041 JPE7 JPE65537 JPE131073 JPE196609 JPE262145 JPE327681 JPE393217 JPE458753 JPE524289 JPE589825 JPE655361 JPE720897 JPE786433 JPE851969 JPE917505 JPE983041 JZA7 JZA65537 JZA131073 JZA196609 JZA262145 JZA327681 JZA393217 JZA458753 JZA524289 JZA589825 JZA655361 JZA720897 JZA786433 JZA851969 JZA917505 JZA983041 KIW7 KIW65537 KIW131073 KIW196609 KIW262145 KIW327681 KIW393217 KIW458753 KIW524289 KIW589825 KIW655361 KIW720897 KIW786433 KIW851969 KIW917505 KIW983041 KSS7 KSS65537 KSS131073 KSS196609 KSS262145 KSS327681 KSS393217 KSS458753 KSS524289 KSS589825 KSS655361 KSS720897 KSS786433 KSS851969 KSS917505 KSS983041 LCO7 LCO65537 LCO131073 LCO196609 LCO262145 LCO327681 LCO393217 LCO458753 LCO524289 LCO589825 LCO655361 LCO720897 LCO786433 LCO851969 LCO917505 LCO983041 LMK7 LMK65537 LMK131073 LMK196609 LMK262145 LMK327681 LMK393217 LMK458753 LMK524289 LMK589825 LMK655361 LMK720897 LMK786433 LMK851969 LMK917505 LMK983041 LWG7 LWG65537 LWG131073 LWG196609 LWG262145 LWG327681 LWG393217 LWG458753 LWG524289 LWG589825 LWG655361 LWG720897 LWG786433 LWG851969 LWG917505 LWG983041 MGC7 MGC65537 MGC131073 MGC196609 MGC262145 MGC327681 MGC393217 MGC458753 MGC524289 MGC589825 MGC655361 MGC720897 MGC786433 MGC851969 MGC917505 MGC983041 MPY7 MPY65537 MPY131073 MPY196609 MPY262145 MPY327681 MPY393217 MPY458753 MPY524289 MPY589825 MPY655361 MPY720897 MPY786433 MPY851969 MPY917505 MPY983041 MZU7 MZU65537 MZU131073 MZU196609 MZU262145 MZU327681 MZU393217 MZU458753 MZU524289 MZU589825 MZU655361 MZU720897 MZU786433 MZU851969 MZU917505 MZU983041 NJQ7 NJQ65537 NJQ131073 NJQ196609 NJQ262145 NJQ327681 NJQ393217 NJQ458753 NJQ524289 NJQ589825 NJQ655361 NJQ720897 NJQ786433 NJQ851969 NJQ917505 NJQ983041 NTM7 NTM65537 NTM131073 NTM196609 NTM262145 NTM327681 NTM393217 NTM458753 NTM524289 NTM589825 NTM655361 NTM720897 NTM786433 NTM851969 NTM917505 NTM983041 ODI7 ODI65537 ODI131073 ODI196609 ODI262145 ODI327681 ODI393217 ODI458753 ODI524289 ODI589825 ODI655361 ODI720897 ODI786433 ODI851969 ODI917505 ODI983041 ONE7 ONE65537 ONE131073 ONE196609 ONE262145 ONE327681 ONE393217 ONE458753 ONE524289 ONE589825 ONE655361 ONE720897 ONE786433 ONE851969 ONE917505 ONE983041 OXA7 OXA65537 OXA131073 OXA196609 OXA262145 OXA327681 OXA393217 OXA458753 OXA524289 OXA589825 OXA655361 OXA720897 OXA786433 OXA851969 OXA917505 OXA983041 PGW7 PGW65537 PGW131073 PGW196609 PGW262145 PGW327681 PGW393217 PGW458753 PGW524289 PGW589825 PGW655361 PGW720897 PGW786433 PGW851969 PGW917505 PGW983041 PQS7 PQS65537 PQS131073 PQS196609 PQS262145 PQS327681 PQS393217 PQS458753 PQS524289 PQS589825 PQS655361 PQS720897 PQS786433 PQS851969 PQS917505 PQS983041 QAO7 QAO65537 QAO131073 QAO196609 QAO262145 QAO327681 QAO393217 QAO458753 QAO524289 QAO589825 QAO655361 QAO720897 QAO786433 QAO851969 QAO917505 QAO983041 QKK7 QKK65537 QKK131073 QKK196609 QKK262145 QKK327681 QKK393217 QKK458753 QKK524289 QKK589825 QKK655361 QKK720897 QKK786433 QKK851969 QKK917505 QKK983041 QUG7 QUG65537 QUG131073 QUG196609 QUG262145 QUG327681 QUG393217 QUG458753 QUG524289 QUG589825 QUG655361 QUG720897 QUG786433 QUG851969 QUG917505 QUG983041 REC7 REC65537 REC131073 REC196609 REC262145 REC327681 REC393217 REC458753 REC524289 REC589825 REC655361 REC720897 REC786433 REC851969 REC917505 REC983041 RNY7 RNY65537 RNY131073 RNY196609 RNY262145 RNY327681 RNY393217 RNY458753 RNY524289 RNY589825 RNY655361 RNY720897 RNY786433 RNY851969 RNY917505 RNY983041 RXU7 RXU65537 RXU131073 RXU196609 RXU262145 RXU327681 RXU393217 RXU458753 RXU524289 RXU589825 RXU655361 RXU720897 RXU786433 RXU851969 RXU917505 RXU983041 SHQ7 SHQ65537 SHQ131073 SHQ196609 SHQ262145 SHQ327681 SHQ393217 SHQ458753 SHQ524289 SHQ589825 SHQ655361 SHQ720897 SHQ786433 SHQ851969 SHQ917505 SHQ983041 SRM7 SRM65537 SRM131073 SRM196609 SRM262145 SRM327681 SRM393217 SRM458753 SRM524289 SRM589825 SRM655361 SRM720897 SRM786433 SRM851969 SRM917505 SRM983041 TBI7 TBI65537 TBI131073 TBI196609 TBI262145 TBI327681 TBI393217 TBI458753 TBI524289 TBI589825 TBI655361 TBI720897 TBI786433 TBI851969 TBI917505 TBI983041 TLE7 TLE65537 TLE131073 TLE196609 TLE262145 TLE327681 TLE393217 TLE458753 TLE524289 TLE589825 TLE655361 TLE720897 TLE786433 TLE851969 TLE917505 TLE983041 TVA7 TVA65537 TVA131073 TVA196609 TVA262145 TVA327681 TVA393217 TVA458753 TVA524289 TVA589825 TVA655361 TVA720897 TVA786433 TVA851969 TVA917505 TVA983041 UEW7 UEW65537 UEW131073 UEW196609 UEW262145 UEW327681 UEW393217 UEW458753 UEW524289 UEW589825 UEW655361 UEW720897 UEW786433 UEW851969 UEW917505 UEW983041 UOS7 UOS65537 UOS131073 UOS196609 UOS262145 UOS327681 UOS393217 UOS458753 UOS524289 UOS589825 UOS655361 UOS720897 UOS786433 UOS851969 UOS917505 UOS983041 UYO7 UYO65537 UYO131073 UYO196609 UYO262145 UYO327681 UYO393217 UYO458753 UYO524289 UYO589825 UYO655361 UYO720897 UYO786433 UYO851969 UYO917505 UYO983041 VIK7 VIK65537 VIK131073 VIK196609 VIK262145 VIK327681 VIK393217 VIK458753 VIK524289 VIK589825 VIK655361 VIK720897 VIK786433 VIK851969 VIK917505 VIK983041 VSG7 VSG65537 VSG131073 VSG196609 VSG262145 VSG327681 VSG393217 VSG458753 VSG524289 VSG589825 VSG655361 VSG720897 VSG786433 VSG851969 VSG917505 VSG983041 WCC7 WCC65537 WCC131073 WCC196609 WCC262145 WCC327681 WCC393217 WCC458753 WCC524289 WCC589825 WCC655361 WCC720897 WCC786433 WCC851969 WCC917505 WCC983041 WLY7 WLY65537 WLY131073 WLY196609 WLY262145 WLY327681 WLY393217 WLY458753 WLY524289 WLY589825 WLY655361 WLY720897 WLY786433 WLY851969 WLY917505 WLY983041 WVU7 WVU65537 WVU131073 WVU196609 WVU262145 WVU327681 WVU393217 WVU458753 WVU524289 WVU589825 WVU655361 WVU720897 WVU786433 WVU851969 WVU917505 WVU983041" xr:uid="{00000000-0002-0000-0800-000000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I65532:I65533 I131068:I131069 I196604:I196605 I262140:I262141 I327676:I327677 I393212:I393213 I458748:I458749 I524284:I524285 I589820:I589821 I655356:I655357 I720892:I720893 I786428:I786429 I851964:I851965 I917500:I917501 I983036:I983037 JF2:JF3 JF65532:JF65533 JF131068:JF131069 JF196604:JF196605 JF262140:JF262141 JF327676:JF327677 JF393212:JF393213 JF458748:JF458749 JF524284:JF524285 JF589820:JF589821 JF655356:JF655357 JF720892:JF720893 JF786428:JF786429 JF851964:JF851965 JF917500:JF917501 JF983036:JF983037 TB2:TB3 TB65532:TB65533 TB131068:TB131069 TB196604:TB196605 TB262140:TB262141 TB327676:TB327677 TB393212:TB393213 TB458748:TB458749 TB524284:TB524285 TB589820:TB589821 TB655356:TB655357 TB720892:TB720893 TB786428:TB786429 TB851964:TB851965 TB917500:TB917501 TB983036:TB983037 ACX2:ACX3 ACX65532:ACX65533 ACX131068:ACX131069 ACX196604:ACX196605 ACX262140:ACX262141 ACX327676:ACX327677 ACX393212:ACX393213 ACX458748:ACX458749 ACX524284:ACX524285 ACX589820:ACX589821 ACX655356:ACX655357 ACX720892:ACX720893 ACX786428:ACX786429 ACX851964:ACX851965 ACX917500:ACX917501 ACX983036:ACX983037 AMT2:AMT3 AMT65532:AMT65533 AMT131068:AMT131069 AMT196604:AMT196605 AMT262140:AMT262141 AMT327676:AMT327677 AMT393212:AMT393213 AMT458748:AMT458749 AMT524284:AMT524285 AMT589820:AMT589821 AMT655356:AMT655357 AMT720892:AMT720893 AMT786428:AMT786429 AMT851964:AMT851965 AMT917500:AMT917501 AMT983036:AMT983037 AWP2:AWP3 AWP65532:AWP65533 AWP131068:AWP131069 AWP196604:AWP196605 AWP262140:AWP262141 AWP327676:AWP327677 AWP393212:AWP393213 AWP458748:AWP458749 AWP524284:AWP524285 AWP589820:AWP589821 AWP655356:AWP655357 AWP720892:AWP720893 AWP786428:AWP786429 AWP851964:AWP851965 AWP917500:AWP917501 AWP983036:AWP983037 BGL2:BGL3 BGL65532:BGL65533 BGL131068:BGL131069 BGL196604:BGL196605 BGL262140:BGL262141 BGL327676:BGL327677 BGL393212:BGL393213 BGL458748:BGL458749 BGL524284:BGL524285 BGL589820:BGL589821 BGL655356:BGL655357 BGL720892:BGL720893 BGL786428:BGL786429 BGL851964:BGL851965 BGL917500:BGL917501 BGL983036:BGL983037 BQH2:BQH3 BQH65532:BQH65533 BQH131068:BQH131069 BQH196604:BQH196605 BQH262140:BQH262141 BQH327676:BQH327677 BQH393212:BQH393213 BQH458748:BQH458749 BQH524284:BQH524285 BQH589820:BQH589821 BQH655356:BQH655357 BQH720892:BQH720893 BQH786428:BQH786429 BQH851964:BQH851965 BQH917500:BQH917501 BQH983036:BQH983037 CAD2:CAD3 CAD65532:CAD65533 CAD131068:CAD131069 CAD196604:CAD196605 CAD262140:CAD262141 CAD327676:CAD327677 CAD393212:CAD393213 CAD458748:CAD458749 CAD524284:CAD524285 CAD589820:CAD589821 CAD655356:CAD655357 CAD720892:CAD720893 CAD786428:CAD786429 CAD851964:CAD851965 CAD917500:CAD917501 CAD983036:CAD983037 CJZ2:CJZ3 CJZ65532:CJZ65533 CJZ131068:CJZ131069 CJZ196604:CJZ196605 CJZ262140:CJZ262141 CJZ327676:CJZ327677 CJZ393212:CJZ393213 CJZ458748:CJZ458749 CJZ524284:CJZ524285 CJZ589820:CJZ589821 CJZ655356:CJZ655357 CJZ720892:CJZ720893 CJZ786428:CJZ786429 CJZ851964:CJZ851965 CJZ917500:CJZ917501 CJZ983036:CJZ983037 CTV2:CTV3 CTV65532:CTV65533 CTV131068:CTV131069 CTV196604:CTV196605 CTV262140:CTV262141 CTV327676:CTV327677 CTV393212:CTV393213 CTV458748:CTV458749 CTV524284:CTV524285 CTV589820:CTV589821 CTV655356:CTV655357 CTV720892:CTV720893 CTV786428:CTV786429 CTV851964:CTV851965 CTV917500:CTV917501 CTV983036:CTV983037 DDR2:DDR3 DDR65532:DDR65533 DDR131068:DDR131069 DDR196604:DDR196605 DDR262140:DDR262141 DDR327676:DDR327677 DDR393212:DDR393213 DDR458748:DDR458749 DDR524284:DDR524285 DDR589820:DDR589821 DDR655356:DDR655357 DDR720892:DDR720893 DDR786428:DDR786429 DDR851964:DDR851965 DDR917500:DDR917501 DDR983036:DDR983037 DNN2:DNN3 DNN65532:DNN65533 DNN131068:DNN131069 DNN196604:DNN196605 DNN262140:DNN262141 DNN327676:DNN327677 DNN393212:DNN393213 DNN458748:DNN458749 DNN524284:DNN524285 DNN589820:DNN589821 DNN655356:DNN655357 DNN720892:DNN720893 DNN786428:DNN786429 DNN851964:DNN851965 DNN917500:DNN917501 DNN983036:DNN983037 DXJ2:DXJ3 DXJ65532:DXJ65533 DXJ131068:DXJ131069 DXJ196604:DXJ196605 DXJ262140:DXJ262141 DXJ327676:DXJ327677 DXJ393212:DXJ393213 DXJ458748:DXJ458749 DXJ524284:DXJ524285 DXJ589820:DXJ589821 DXJ655356:DXJ655357 DXJ720892:DXJ720893 DXJ786428:DXJ786429 DXJ851964:DXJ851965 DXJ917500:DXJ917501 DXJ983036:DXJ983037 EHF2:EHF3 EHF65532:EHF65533 EHF131068:EHF131069 EHF196604:EHF196605 EHF262140:EHF262141 EHF327676:EHF327677 EHF393212:EHF393213 EHF458748:EHF458749 EHF524284:EHF524285 EHF589820:EHF589821 EHF655356:EHF655357 EHF720892:EHF720893 EHF786428:EHF786429 EHF851964:EHF851965 EHF917500:EHF917501 EHF983036:EHF983037 ERB2:ERB3 ERB65532:ERB65533 ERB131068:ERB131069 ERB196604:ERB196605 ERB262140:ERB262141 ERB327676:ERB327677 ERB393212:ERB393213 ERB458748:ERB458749 ERB524284:ERB524285 ERB589820:ERB589821 ERB655356:ERB655357 ERB720892:ERB720893 ERB786428:ERB786429 ERB851964:ERB851965 ERB917500:ERB917501 ERB983036:ERB983037 FAX2:FAX3 FAX65532:FAX65533 FAX131068:FAX131069 FAX196604:FAX196605 FAX262140:FAX262141 FAX327676:FAX327677 FAX393212:FAX393213 FAX458748:FAX458749 FAX524284:FAX524285 FAX589820:FAX589821 FAX655356:FAX655357 FAX720892:FAX720893 FAX786428:FAX786429 FAX851964:FAX851965 FAX917500:FAX917501 FAX983036:FAX983037 FKT2:FKT3 FKT65532:FKT65533 FKT131068:FKT131069 FKT196604:FKT196605 FKT262140:FKT262141 FKT327676:FKT327677 FKT393212:FKT393213 FKT458748:FKT458749 FKT524284:FKT524285 FKT589820:FKT589821 FKT655356:FKT655357 FKT720892:FKT720893 FKT786428:FKT786429 FKT851964:FKT851965 FKT917500:FKT917501 FKT983036:FKT983037 FUP2:FUP3 FUP65532:FUP65533 FUP131068:FUP131069 FUP196604:FUP196605 FUP262140:FUP262141 FUP327676:FUP327677 FUP393212:FUP393213 FUP458748:FUP458749 FUP524284:FUP524285 FUP589820:FUP589821 FUP655356:FUP655357 FUP720892:FUP720893 FUP786428:FUP786429 FUP851964:FUP851965 FUP917500:FUP917501 FUP983036:FUP983037 GEL2:GEL3 GEL65532:GEL65533 GEL131068:GEL131069 GEL196604:GEL196605 GEL262140:GEL262141 GEL327676:GEL327677 GEL393212:GEL393213 GEL458748:GEL458749 GEL524284:GEL524285 GEL589820:GEL589821 GEL655356:GEL655357 GEL720892:GEL720893 GEL786428:GEL786429 GEL851964:GEL851965 GEL917500:GEL917501 GEL983036:GEL983037 GOH2:GOH3 GOH65532:GOH65533 GOH131068:GOH131069 GOH196604:GOH196605 GOH262140:GOH262141 GOH327676:GOH327677 GOH393212:GOH393213 GOH458748:GOH458749 GOH524284:GOH524285 GOH589820:GOH589821 GOH655356:GOH655357 GOH720892:GOH720893 GOH786428:GOH786429 GOH851964:GOH851965 GOH917500:GOH917501 GOH983036:GOH983037 GYD2:GYD3 GYD65532:GYD65533 GYD131068:GYD131069 GYD196604:GYD196605 GYD262140:GYD262141 GYD327676:GYD327677 GYD393212:GYD393213 GYD458748:GYD458749 GYD524284:GYD524285 GYD589820:GYD589821 GYD655356:GYD655357 GYD720892:GYD720893 GYD786428:GYD786429 GYD851964:GYD851965 GYD917500:GYD917501 GYD983036:GYD983037 HHZ2:HHZ3 HHZ65532:HHZ65533 HHZ131068:HHZ131069 HHZ196604:HHZ196605 HHZ262140:HHZ262141 HHZ327676:HHZ327677 HHZ393212:HHZ393213 HHZ458748:HHZ458749 HHZ524284:HHZ524285 HHZ589820:HHZ589821 HHZ655356:HHZ655357 HHZ720892:HHZ720893 HHZ786428:HHZ786429 HHZ851964:HHZ851965 HHZ917500:HHZ917501 HHZ983036:HHZ983037 HRV2:HRV3 HRV65532:HRV65533 HRV131068:HRV131069 HRV196604:HRV196605 HRV262140:HRV262141 HRV327676:HRV327677 HRV393212:HRV393213 HRV458748:HRV458749 HRV524284:HRV524285 HRV589820:HRV589821 HRV655356:HRV655357 HRV720892:HRV720893 HRV786428:HRV786429 HRV851964:HRV851965 HRV917500:HRV917501 HRV983036:HRV983037 IBR2:IBR3 IBR65532:IBR65533 IBR131068:IBR131069 IBR196604:IBR196605 IBR262140:IBR262141 IBR327676:IBR327677 IBR393212:IBR393213 IBR458748:IBR458749 IBR524284:IBR524285 IBR589820:IBR589821 IBR655356:IBR655357 IBR720892:IBR720893 IBR786428:IBR786429 IBR851964:IBR851965 IBR917500:IBR917501 IBR983036:IBR983037 ILN2:ILN3 ILN65532:ILN65533 ILN131068:ILN131069 ILN196604:ILN196605 ILN262140:ILN262141 ILN327676:ILN327677 ILN393212:ILN393213 ILN458748:ILN458749 ILN524284:ILN524285 ILN589820:ILN589821 ILN655356:ILN655357 ILN720892:ILN720893 ILN786428:ILN786429 ILN851964:ILN851965 ILN917500:ILN917501 ILN983036:ILN983037 IVJ2:IVJ3 IVJ65532:IVJ65533 IVJ131068:IVJ131069 IVJ196604:IVJ196605 IVJ262140:IVJ262141 IVJ327676:IVJ327677 IVJ393212:IVJ393213 IVJ458748:IVJ458749 IVJ524284:IVJ524285 IVJ589820:IVJ589821 IVJ655356:IVJ655357 IVJ720892:IVJ720893 IVJ786428:IVJ786429 IVJ851964:IVJ851965 IVJ917500:IVJ917501 IVJ983036:IVJ983037 JFF2:JFF3 JFF65532:JFF65533 JFF131068:JFF131069 JFF196604:JFF196605 JFF262140:JFF262141 JFF327676:JFF327677 JFF393212:JFF393213 JFF458748:JFF458749 JFF524284:JFF524285 JFF589820:JFF589821 JFF655356:JFF655357 JFF720892:JFF720893 JFF786428:JFF786429 JFF851964:JFF851965 JFF917500:JFF917501 JFF983036:JFF983037 JPB2:JPB3 JPB65532:JPB65533 JPB131068:JPB131069 JPB196604:JPB196605 JPB262140:JPB262141 JPB327676:JPB327677 JPB393212:JPB393213 JPB458748:JPB458749 JPB524284:JPB524285 JPB589820:JPB589821 JPB655356:JPB655357 JPB720892:JPB720893 JPB786428:JPB786429 JPB851964:JPB851965 JPB917500:JPB917501 JPB983036:JPB983037 JYX2:JYX3 JYX65532:JYX65533 JYX131068:JYX131069 JYX196604:JYX196605 JYX262140:JYX262141 JYX327676:JYX327677 JYX393212:JYX393213 JYX458748:JYX458749 JYX524284:JYX524285 JYX589820:JYX589821 JYX655356:JYX655357 JYX720892:JYX720893 JYX786428:JYX786429 JYX851964:JYX851965 JYX917500:JYX917501 JYX983036:JYX983037 KIT2:KIT3 KIT65532:KIT65533 KIT131068:KIT131069 KIT196604:KIT196605 KIT262140:KIT262141 KIT327676:KIT327677 KIT393212:KIT393213 KIT458748:KIT458749 KIT524284:KIT524285 KIT589820:KIT589821 KIT655356:KIT655357 KIT720892:KIT720893 KIT786428:KIT786429 KIT851964:KIT851965 KIT917500:KIT917501 KIT983036:KIT983037 KSP2:KSP3 KSP65532:KSP65533 KSP131068:KSP131069 KSP196604:KSP196605 KSP262140:KSP262141 KSP327676:KSP327677 KSP393212:KSP393213 KSP458748:KSP458749 KSP524284:KSP524285 KSP589820:KSP589821 KSP655356:KSP655357 KSP720892:KSP720893 KSP786428:KSP786429 KSP851964:KSP851965 KSP917500:KSP917501 KSP983036:KSP983037 LCL2:LCL3 LCL65532:LCL65533 LCL131068:LCL131069 LCL196604:LCL196605 LCL262140:LCL262141 LCL327676:LCL327677 LCL393212:LCL393213 LCL458748:LCL458749 LCL524284:LCL524285 LCL589820:LCL589821 LCL655356:LCL655357 LCL720892:LCL720893 LCL786428:LCL786429 LCL851964:LCL851965 LCL917500:LCL917501 LCL983036:LCL983037 LMH2:LMH3 LMH65532:LMH65533 LMH131068:LMH131069 LMH196604:LMH196605 LMH262140:LMH262141 LMH327676:LMH327677 LMH393212:LMH393213 LMH458748:LMH458749 LMH524284:LMH524285 LMH589820:LMH589821 LMH655356:LMH655357 LMH720892:LMH720893 LMH786428:LMH786429 LMH851964:LMH851965 LMH917500:LMH917501 LMH983036:LMH983037 LWD2:LWD3 LWD65532:LWD65533 LWD131068:LWD131069 LWD196604:LWD196605 LWD262140:LWD262141 LWD327676:LWD327677 LWD393212:LWD393213 LWD458748:LWD458749 LWD524284:LWD524285 LWD589820:LWD589821 LWD655356:LWD655357 LWD720892:LWD720893 LWD786428:LWD786429 LWD851964:LWD851965 LWD917500:LWD917501 LWD983036:LWD983037 MFZ2:MFZ3 MFZ65532:MFZ65533 MFZ131068:MFZ131069 MFZ196604:MFZ196605 MFZ262140:MFZ262141 MFZ327676:MFZ327677 MFZ393212:MFZ393213 MFZ458748:MFZ458749 MFZ524284:MFZ524285 MFZ589820:MFZ589821 MFZ655356:MFZ655357 MFZ720892:MFZ720893 MFZ786428:MFZ786429 MFZ851964:MFZ851965 MFZ917500:MFZ917501 MFZ983036:MFZ983037 MPV2:MPV3 MPV65532:MPV65533 MPV131068:MPV131069 MPV196604:MPV196605 MPV262140:MPV262141 MPV327676:MPV327677 MPV393212:MPV393213 MPV458748:MPV458749 MPV524284:MPV524285 MPV589820:MPV589821 MPV655356:MPV655357 MPV720892:MPV720893 MPV786428:MPV786429 MPV851964:MPV851965 MPV917500:MPV917501 MPV983036:MPV983037 MZR2:MZR3 MZR65532:MZR65533 MZR131068:MZR131069 MZR196604:MZR196605 MZR262140:MZR262141 MZR327676:MZR327677 MZR393212:MZR393213 MZR458748:MZR458749 MZR524284:MZR524285 MZR589820:MZR589821 MZR655356:MZR655357 MZR720892:MZR720893 MZR786428:MZR786429 MZR851964:MZR851965 MZR917500:MZR917501 MZR983036:MZR983037 NJN2:NJN3 NJN65532:NJN65533 NJN131068:NJN131069 NJN196604:NJN196605 NJN262140:NJN262141 NJN327676:NJN327677 NJN393212:NJN393213 NJN458748:NJN458749 NJN524284:NJN524285 NJN589820:NJN589821 NJN655356:NJN655357 NJN720892:NJN720893 NJN786428:NJN786429 NJN851964:NJN851965 NJN917500:NJN917501 NJN983036:NJN983037 NTJ2:NTJ3 NTJ65532:NTJ65533 NTJ131068:NTJ131069 NTJ196604:NTJ196605 NTJ262140:NTJ262141 NTJ327676:NTJ327677 NTJ393212:NTJ393213 NTJ458748:NTJ458749 NTJ524284:NTJ524285 NTJ589820:NTJ589821 NTJ655356:NTJ655357 NTJ720892:NTJ720893 NTJ786428:NTJ786429 NTJ851964:NTJ851965 NTJ917500:NTJ917501 NTJ983036:NTJ983037 ODF2:ODF3 ODF65532:ODF65533 ODF131068:ODF131069 ODF196604:ODF196605 ODF262140:ODF262141 ODF327676:ODF327677 ODF393212:ODF393213 ODF458748:ODF458749 ODF524284:ODF524285 ODF589820:ODF589821 ODF655356:ODF655357 ODF720892:ODF720893 ODF786428:ODF786429 ODF851964:ODF851965 ODF917500:ODF917501 ODF983036:ODF983037 ONB2:ONB3 ONB65532:ONB65533 ONB131068:ONB131069 ONB196604:ONB196605 ONB262140:ONB262141 ONB327676:ONB327677 ONB393212:ONB393213 ONB458748:ONB458749 ONB524284:ONB524285 ONB589820:ONB589821 ONB655356:ONB655357 ONB720892:ONB720893 ONB786428:ONB786429 ONB851964:ONB851965 ONB917500:ONB917501 ONB983036:ONB983037 OWX2:OWX3 OWX65532:OWX65533 OWX131068:OWX131069 OWX196604:OWX196605 OWX262140:OWX262141 OWX327676:OWX327677 OWX393212:OWX393213 OWX458748:OWX458749 OWX524284:OWX524285 OWX589820:OWX589821 OWX655356:OWX655357 OWX720892:OWX720893 OWX786428:OWX786429 OWX851964:OWX851965 OWX917500:OWX917501 OWX983036:OWX983037 PGT2:PGT3 PGT65532:PGT65533 PGT131068:PGT131069 PGT196604:PGT196605 PGT262140:PGT262141 PGT327676:PGT327677 PGT393212:PGT393213 PGT458748:PGT458749 PGT524284:PGT524285 PGT589820:PGT589821 PGT655356:PGT655357 PGT720892:PGT720893 PGT786428:PGT786429 PGT851964:PGT851965 PGT917500:PGT917501 PGT983036:PGT983037 PQP2:PQP3 PQP65532:PQP65533 PQP131068:PQP131069 PQP196604:PQP196605 PQP262140:PQP262141 PQP327676:PQP327677 PQP393212:PQP393213 PQP458748:PQP458749 PQP524284:PQP524285 PQP589820:PQP589821 PQP655356:PQP655357 PQP720892:PQP720893 PQP786428:PQP786429 PQP851964:PQP851965 PQP917500:PQP917501 PQP983036:PQP983037 QAL2:QAL3 QAL65532:QAL65533 QAL131068:QAL131069 QAL196604:QAL196605 QAL262140:QAL262141 QAL327676:QAL327677 QAL393212:QAL393213 QAL458748:QAL458749 QAL524284:QAL524285 QAL589820:QAL589821 QAL655356:QAL655357 QAL720892:QAL720893 QAL786428:QAL786429 QAL851964:QAL851965 QAL917500:QAL917501 QAL983036:QAL983037 QKH2:QKH3 QKH65532:QKH65533 QKH131068:QKH131069 QKH196604:QKH196605 QKH262140:QKH262141 QKH327676:QKH327677 QKH393212:QKH393213 QKH458748:QKH458749 QKH524284:QKH524285 QKH589820:QKH589821 QKH655356:QKH655357 QKH720892:QKH720893 QKH786428:QKH786429 QKH851964:QKH851965 QKH917500:QKH917501 QKH983036:QKH983037 QUD2:QUD3 QUD65532:QUD65533 QUD131068:QUD131069 QUD196604:QUD196605 QUD262140:QUD262141 QUD327676:QUD327677 QUD393212:QUD393213 QUD458748:QUD458749 QUD524284:QUD524285 QUD589820:QUD589821 QUD655356:QUD655357 QUD720892:QUD720893 QUD786428:QUD786429 QUD851964:QUD851965 QUD917500:QUD917501 QUD983036:QUD983037 RDZ2:RDZ3 RDZ65532:RDZ65533 RDZ131068:RDZ131069 RDZ196604:RDZ196605 RDZ262140:RDZ262141 RDZ327676:RDZ327677 RDZ393212:RDZ393213 RDZ458748:RDZ458749 RDZ524284:RDZ524285 RDZ589820:RDZ589821 RDZ655356:RDZ655357 RDZ720892:RDZ720893 RDZ786428:RDZ786429 RDZ851964:RDZ851965 RDZ917500:RDZ917501 RDZ983036:RDZ983037 RNV2:RNV3 RNV65532:RNV65533 RNV131068:RNV131069 RNV196604:RNV196605 RNV262140:RNV262141 RNV327676:RNV327677 RNV393212:RNV393213 RNV458748:RNV458749 RNV524284:RNV524285 RNV589820:RNV589821 RNV655356:RNV655357 RNV720892:RNV720893 RNV786428:RNV786429 RNV851964:RNV851965 RNV917500:RNV917501 RNV983036:RNV983037 RXR2:RXR3 RXR65532:RXR65533 RXR131068:RXR131069 RXR196604:RXR196605 RXR262140:RXR262141 RXR327676:RXR327677 RXR393212:RXR393213 RXR458748:RXR458749 RXR524284:RXR524285 RXR589820:RXR589821 RXR655356:RXR655357 RXR720892:RXR720893 RXR786428:RXR786429 RXR851964:RXR851965 RXR917500:RXR917501 RXR983036:RXR983037 SHN2:SHN3 SHN65532:SHN65533 SHN131068:SHN131069 SHN196604:SHN196605 SHN262140:SHN262141 SHN327676:SHN327677 SHN393212:SHN393213 SHN458748:SHN458749 SHN524284:SHN524285 SHN589820:SHN589821 SHN655356:SHN655357 SHN720892:SHN720893 SHN786428:SHN786429 SHN851964:SHN851965 SHN917500:SHN917501 SHN983036:SHN983037 SRJ2:SRJ3 SRJ65532:SRJ65533 SRJ131068:SRJ131069 SRJ196604:SRJ196605 SRJ262140:SRJ262141 SRJ327676:SRJ327677 SRJ393212:SRJ393213 SRJ458748:SRJ458749 SRJ524284:SRJ524285 SRJ589820:SRJ589821 SRJ655356:SRJ655357 SRJ720892:SRJ720893 SRJ786428:SRJ786429 SRJ851964:SRJ851965 SRJ917500:SRJ917501 SRJ983036:SRJ983037 TBF2:TBF3 TBF65532:TBF65533 TBF131068:TBF131069 TBF196604:TBF196605 TBF262140:TBF262141 TBF327676:TBF327677 TBF393212:TBF393213 TBF458748:TBF458749 TBF524284:TBF524285 TBF589820:TBF589821 TBF655356:TBF655357 TBF720892:TBF720893 TBF786428:TBF786429 TBF851964:TBF851965 TBF917500:TBF917501 TBF983036:TBF983037 TLB2:TLB3 TLB65532:TLB65533 TLB131068:TLB131069 TLB196604:TLB196605 TLB262140:TLB262141 TLB327676:TLB327677 TLB393212:TLB393213 TLB458748:TLB458749 TLB524284:TLB524285 TLB589820:TLB589821 TLB655356:TLB655357 TLB720892:TLB720893 TLB786428:TLB786429 TLB851964:TLB851965 TLB917500:TLB917501 TLB983036:TLB983037 TUX2:TUX3 TUX65532:TUX65533 TUX131068:TUX131069 TUX196604:TUX196605 TUX262140:TUX262141 TUX327676:TUX327677 TUX393212:TUX393213 TUX458748:TUX458749 TUX524284:TUX524285 TUX589820:TUX589821 TUX655356:TUX655357 TUX720892:TUX720893 TUX786428:TUX786429 TUX851964:TUX851965 TUX917500:TUX917501 TUX983036:TUX983037 UET2:UET3 UET65532:UET65533 UET131068:UET131069 UET196604:UET196605 UET262140:UET262141 UET327676:UET327677 UET393212:UET393213 UET458748:UET458749 UET524284:UET524285 UET589820:UET589821 UET655356:UET655357 UET720892:UET720893 UET786428:UET786429 UET851964:UET851965 UET917500:UET917501 UET983036:UET983037 UOP2:UOP3 UOP65532:UOP65533 UOP131068:UOP131069 UOP196604:UOP196605 UOP262140:UOP262141 UOP327676:UOP327677 UOP393212:UOP393213 UOP458748:UOP458749 UOP524284:UOP524285 UOP589820:UOP589821 UOP655356:UOP655357 UOP720892:UOP720893 UOP786428:UOP786429 UOP851964:UOP851965 UOP917500:UOP917501 UOP983036:UOP983037 UYL2:UYL3 UYL65532:UYL65533 UYL131068:UYL131069 UYL196604:UYL196605 UYL262140:UYL262141 UYL327676:UYL327677 UYL393212:UYL393213 UYL458748:UYL458749 UYL524284:UYL524285 UYL589820:UYL589821 UYL655356:UYL655357 UYL720892:UYL720893 UYL786428:UYL786429 UYL851964:UYL851965 UYL917500:UYL917501 UYL983036:UYL983037 VIH2:VIH3 VIH65532:VIH65533 VIH131068:VIH131069 VIH196604:VIH196605 VIH262140:VIH262141 VIH327676:VIH327677 VIH393212:VIH393213 VIH458748:VIH458749 VIH524284:VIH524285 VIH589820:VIH589821 VIH655356:VIH655357 VIH720892:VIH720893 VIH786428:VIH786429 VIH851964:VIH851965 VIH917500:VIH917501 VIH983036:VIH983037 VSD2:VSD3 VSD65532:VSD65533 VSD131068:VSD131069 VSD196604:VSD196605 VSD262140:VSD262141 VSD327676:VSD327677 VSD393212:VSD393213 VSD458748:VSD458749 VSD524284:VSD524285 VSD589820:VSD589821 VSD655356:VSD655357 VSD720892:VSD720893 VSD786428:VSD786429 VSD851964:VSD851965 VSD917500:VSD917501 VSD983036:VSD983037 WBZ2:WBZ3 WBZ65532:WBZ65533 WBZ131068:WBZ131069 WBZ196604:WBZ196605 WBZ262140:WBZ262141 WBZ327676:WBZ327677 WBZ393212:WBZ393213 WBZ458748:WBZ458749 WBZ524284:WBZ524285 WBZ589820:WBZ589821 WBZ655356:WBZ655357 WBZ720892:WBZ720893 WBZ786428:WBZ786429 WBZ851964:WBZ851965 WBZ917500:WBZ917501 WBZ983036:WBZ983037 WLV2:WLV3 WLV65532:WLV65533 WLV131068:WLV131069 WLV196604:WLV196605 WLV262140:WLV262141 WLV327676:WLV327677 WLV393212:WLV393213 WLV458748:WLV458749 WLV524284:WLV524285 WLV589820:WLV589821 WLV655356:WLV655357 WLV720892:WLV720893 WLV786428:WLV786429 WLV851964:WLV851965 WLV917500:WLV917501 WLV983036:WLV983037 WVR2:WVR3 WVR65532:WVR65533 WVR131068:WVR131069 WVR196604:WVR196605 WVR262140:WVR262141 WVR327676:WVR327677 WVR393212:WVR393213 WVR458748:WVR458749 WVR524284:WVR524285 WVR589820:WVR589821 WVR655356:WVR655357 WVR720892:WVR720893 WVR786428:WVR786429 WVR851964:WVR851965 WVR917500:WVR917501 WVR983036:WVR983037" xr:uid="{00000000-0002-0000-0800-000001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H65532:H65533 H131068:H131069 H196604:H196605 H262140:H262141 H327676:H327677 H393212:H393213 H458748:H458749 H524284:H524285 H589820:H589821 H655356:H655357 H720892:H720893 H786428:H786429 H851964:H851965 H917500:H917501 H983036:H983037 JE2:JE3 JE65532:JE65533 JE131068:JE131069 JE196604:JE196605 JE262140:JE262141 JE327676:JE327677 JE393212:JE393213 JE458748:JE458749 JE524284:JE524285 JE589820:JE589821 JE655356:JE655357 JE720892:JE720893 JE786428:JE786429 JE851964:JE851965 JE917500:JE917501 JE983036:JE983037 TA2:TA3 TA65532:TA65533 TA131068:TA131069 TA196604:TA196605 TA262140:TA262141 TA327676:TA327677 TA393212:TA393213 TA458748:TA458749 TA524284:TA524285 TA589820:TA589821 TA655356:TA655357 TA720892:TA720893 TA786428:TA786429 TA851964:TA851965 TA917500:TA917501 TA983036:TA983037 ACW2:ACW3 ACW65532:ACW65533 ACW131068:ACW131069 ACW196604:ACW196605 ACW262140:ACW262141 ACW327676:ACW327677 ACW393212:ACW393213 ACW458748:ACW458749 ACW524284:ACW524285 ACW589820:ACW589821 ACW655356:ACW655357 ACW720892:ACW720893 ACW786428:ACW786429 ACW851964:ACW851965 ACW917500:ACW917501 ACW983036:ACW983037 AMS2:AMS3 AMS65532:AMS65533 AMS131068:AMS131069 AMS196604:AMS196605 AMS262140:AMS262141 AMS327676:AMS327677 AMS393212:AMS393213 AMS458748:AMS458749 AMS524284:AMS524285 AMS589820:AMS589821 AMS655356:AMS655357 AMS720892:AMS720893 AMS786428:AMS786429 AMS851964:AMS851965 AMS917500:AMS917501 AMS983036:AMS983037 AWO2:AWO3 AWO65532:AWO65533 AWO131068:AWO131069 AWO196604:AWO196605 AWO262140:AWO262141 AWO327676:AWO327677 AWO393212:AWO393213 AWO458748:AWO458749 AWO524284:AWO524285 AWO589820:AWO589821 AWO655356:AWO655357 AWO720892:AWO720893 AWO786428:AWO786429 AWO851964:AWO851965 AWO917500:AWO917501 AWO983036:AWO983037 BGK2:BGK3 BGK65532:BGK65533 BGK131068:BGK131069 BGK196604:BGK196605 BGK262140:BGK262141 BGK327676:BGK327677 BGK393212:BGK393213 BGK458748:BGK458749 BGK524284:BGK524285 BGK589820:BGK589821 BGK655356:BGK655357 BGK720892:BGK720893 BGK786428:BGK786429 BGK851964:BGK851965 BGK917500:BGK917501 BGK983036:BGK983037 BQG2:BQG3 BQG65532:BQG65533 BQG131068:BQG131069 BQG196604:BQG196605 BQG262140:BQG262141 BQG327676:BQG327677 BQG393212:BQG393213 BQG458748:BQG458749 BQG524284:BQG524285 BQG589820:BQG589821 BQG655356:BQG655357 BQG720892:BQG720893 BQG786428:BQG786429 BQG851964:BQG851965 BQG917500:BQG917501 BQG983036:BQG983037 CAC2:CAC3 CAC65532:CAC65533 CAC131068:CAC131069 CAC196604:CAC196605 CAC262140:CAC262141 CAC327676:CAC327677 CAC393212:CAC393213 CAC458748:CAC458749 CAC524284:CAC524285 CAC589820:CAC589821 CAC655356:CAC655357 CAC720892:CAC720893 CAC786428:CAC786429 CAC851964:CAC851965 CAC917500:CAC917501 CAC983036:CAC983037 CJY2:CJY3 CJY65532:CJY65533 CJY131068:CJY131069 CJY196604:CJY196605 CJY262140:CJY262141 CJY327676:CJY327677 CJY393212:CJY393213 CJY458748:CJY458749 CJY524284:CJY524285 CJY589820:CJY589821 CJY655356:CJY655357 CJY720892:CJY720893 CJY786428:CJY786429 CJY851964:CJY851965 CJY917500:CJY917501 CJY983036:CJY983037 CTU2:CTU3 CTU65532:CTU65533 CTU131068:CTU131069 CTU196604:CTU196605 CTU262140:CTU262141 CTU327676:CTU327677 CTU393212:CTU393213 CTU458748:CTU458749 CTU524284:CTU524285 CTU589820:CTU589821 CTU655356:CTU655357 CTU720892:CTU720893 CTU786428:CTU786429 CTU851964:CTU851965 CTU917500:CTU917501 CTU983036:CTU983037 DDQ2:DDQ3 DDQ65532:DDQ65533 DDQ131068:DDQ131069 DDQ196604:DDQ196605 DDQ262140:DDQ262141 DDQ327676:DDQ327677 DDQ393212:DDQ393213 DDQ458748:DDQ458749 DDQ524284:DDQ524285 DDQ589820:DDQ589821 DDQ655356:DDQ655357 DDQ720892:DDQ720893 DDQ786428:DDQ786429 DDQ851964:DDQ851965 DDQ917500:DDQ917501 DDQ983036:DDQ983037 DNM2:DNM3 DNM65532:DNM65533 DNM131068:DNM131069 DNM196604:DNM196605 DNM262140:DNM262141 DNM327676:DNM327677 DNM393212:DNM393213 DNM458748:DNM458749 DNM524284:DNM524285 DNM589820:DNM589821 DNM655356:DNM655357 DNM720892:DNM720893 DNM786428:DNM786429 DNM851964:DNM851965 DNM917500:DNM917501 DNM983036:DNM983037 DXI2:DXI3 DXI65532:DXI65533 DXI131068:DXI131069 DXI196604:DXI196605 DXI262140:DXI262141 DXI327676:DXI327677 DXI393212:DXI393213 DXI458748:DXI458749 DXI524284:DXI524285 DXI589820:DXI589821 DXI655356:DXI655357 DXI720892:DXI720893 DXI786428:DXI786429 DXI851964:DXI851965 DXI917500:DXI917501 DXI983036:DXI983037 EHE2:EHE3 EHE65532:EHE65533 EHE131068:EHE131069 EHE196604:EHE196605 EHE262140:EHE262141 EHE327676:EHE327677 EHE393212:EHE393213 EHE458748:EHE458749 EHE524284:EHE524285 EHE589820:EHE589821 EHE655356:EHE655357 EHE720892:EHE720893 EHE786428:EHE786429 EHE851964:EHE851965 EHE917500:EHE917501 EHE983036:EHE983037 ERA2:ERA3 ERA65532:ERA65533 ERA131068:ERA131069 ERA196604:ERA196605 ERA262140:ERA262141 ERA327676:ERA327677 ERA393212:ERA393213 ERA458748:ERA458749 ERA524284:ERA524285 ERA589820:ERA589821 ERA655356:ERA655357 ERA720892:ERA720893 ERA786428:ERA786429 ERA851964:ERA851965 ERA917500:ERA917501 ERA983036:ERA983037 FAW2:FAW3 FAW65532:FAW65533 FAW131068:FAW131069 FAW196604:FAW196605 FAW262140:FAW262141 FAW327676:FAW327677 FAW393212:FAW393213 FAW458748:FAW458749 FAW524284:FAW524285 FAW589820:FAW589821 FAW655356:FAW655357 FAW720892:FAW720893 FAW786428:FAW786429 FAW851964:FAW851965 FAW917500:FAW917501 FAW983036:FAW983037 FKS2:FKS3 FKS65532:FKS65533 FKS131068:FKS131069 FKS196604:FKS196605 FKS262140:FKS262141 FKS327676:FKS327677 FKS393212:FKS393213 FKS458748:FKS458749 FKS524284:FKS524285 FKS589820:FKS589821 FKS655356:FKS655357 FKS720892:FKS720893 FKS786428:FKS786429 FKS851964:FKS851965 FKS917500:FKS917501 FKS983036:FKS983037 FUO2:FUO3 FUO65532:FUO65533 FUO131068:FUO131069 FUO196604:FUO196605 FUO262140:FUO262141 FUO327676:FUO327677 FUO393212:FUO393213 FUO458748:FUO458749 FUO524284:FUO524285 FUO589820:FUO589821 FUO655356:FUO655357 FUO720892:FUO720893 FUO786428:FUO786429 FUO851964:FUO851965 FUO917500:FUO917501 FUO983036:FUO983037 GEK2:GEK3 GEK65532:GEK65533 GEK131068:GEK131069 GEK196604:GEK196605 GEK262140:GEK262141 GEK327676:GEK327677 GEK393212:GEK393213 GEK458748:GEK458749 GEK524284:GEK524285 GEK589820:GEK589821 GEK655356:GEK655357 GEK720892:GEK720893 GEK786428:GEK786429 GEK851964:GEK851965 GEK917500:GEK917501 GEK983036:GEK983037 GOG2:GOG3 GOG65532:GOG65533 GOG131068:GOG131069 GOG196604:GOG196605 GOG262140:GOG262141 GOG327676:GOG327677 GOG393212:GOG393213 GOG458748:GOG458749 GOG524284:GOG524285 GOG589820:GOG589821 GOG655356:GOG655357 GOG720892:GOG720893 GOG786428:GOG786429 GOG851964:GOG851965 GOG917500:GOG917501 GOG983036:GOG983037 GYC2:GYC3 GYC65532:GYC65533 GYC131068:GYC131069 GYC196604:GYC196605 GYC262140:GYC262141 GYC327676:GYC327677 GYC393212:GYC393213 GYC458748:GYC458749 GYC524284:GYC524285 GYC589820:GYC589821 GYC655356:GYC655357 GYC720892:GYC720893 GYC786428:GYC786429 GYC851964:GYC851965 GYC917500:GYC917501 GYC983036:GYC983037 HHY2:HHY3 HHY65532:HHY65533 HHY131068:HHY131069 HHY196604:HHY196605 HHY262140:HHY262141 HHY327676:HHY327677 HHY393212:HHY393213 HHY458748:HHY458749 HHY524284:HHY524285 HHY589820:HHY589821 HHY655356:HHY655357 HHY720892:HHY720893 HHY786428:HHY786429 HHY851964:HHY851965 HHY917500:HHY917501 HHY983036:HHY983037 HRU2:HRU3 HRU65532:HRU65533 HRU131068:HRU131069 HRU196604:HRU196605 HRU262140:HRU262141 HRU327676:HRU327677 HRU393212:HRU393213 HRU458748:HRU458749 HRU524284:HRU524285 HRU589820:HRU589821 HRU655356:HRU655357 HRU720892:HRU720893 HRU786428:HRU786429 HRU851964:HRU851965 HRU917500:HRU917501 HRU983036:HRU983037 IBQ2:IBQ3 IBQ65532:IBQ65533 IBQ131068:IBQ131069 IBQ196604:IBQ196605 IBQ262140:IBQ262141 IBQ327676:IBQ327677 IBQ393212:IBQ393213 IBQ458748:IBQ458749 IBQ524284:IBQ524285 IBQ589820:IBQ589821 IBQ655356:IBQ655357 IBQ720892:IBQ720893 IBQ786428:IBQ786429 IBQ851964:IBQ851965 IBQ917500:IBQ917501 IBQ983036:IBQ983037 ILM2:ILM3 ILM65532:ILM65533 ILM131068:ILM131069 ILM196604:ILM196605 ILM262140:ILM262141 ILM327676:ILM327677 ILM393212:ILM393213 ILM458748:ILM458749 ILM524284:ILM524285 ILM589820:ILM589821 ILM655356:ILM655357 ILM720892:ILM720893 ILM786428:ILM786429 ILM851964:ILM851965 ILM917500:ILM917501 ILM983036:ILM983037 IVI2:IVI3 IVI65532:IVI65533 IVI131068:IVI131069 IVI196604:IVI196605 IVI262140:IVI262141 IVI327676:IVI327677 IVI393212:IVI393213 IVI458748:IVI458749 IVI524284:IVI524285 IVI589820:IVI589821 IVI655356:IVI655357 IVI720892:IVI720893 IVI786428:IVI786429 IVI851964:IVI851965 IVI917500:IVI917501 IVI983036:IVI983037 JFE2:JFE3 JFE65532:JFE65533 JFE131068:JFE131069 JFE196604:JFE196605 JFE262140:JFE262141 JFE327676:JFE327677 JFE393212:JFE393213 JFE458748:JFE458749 JFE524284:JFE524285 JFE589820:JFE589821 JFE655356:JFE655357 JFE720892:JFE720893 JFE786428:JFE786429 JFE851964:JFE851965 JFE917500:JFE917501 JFE983036:JFE983037 JPA2:JPA3 JPA65532:JPA65533 JPA131068:JPA131069 JPA196604:JPA196605 JPA262140:JPA262141 JPA327676:JPA327677 JPA393212:JPA393213 JPA458748:JPA458749 JPA524284:JPA524285 JPA589820:JPA589821 JPA655356:JPA655357 JPA720892:JPA720893 JPA786428:JPA786429 JPA851964:JPA851965 JPA917500:JPA917501 JPA983036:JPA983037 JYW2:JYW3 JYW65532:JYW65533 JYW131068:JYW131069 JYW196604:JYW196605 JYW262140:JYW262141 JYW327676:JYW327677 JYW393212:JYW393213 JYW458748:JYW458749 JYW524284:JYW524285 JYW589820:JYW589821 JYW655356:JYW655357 JYW720892:JYW720893 JYW786428:JYW786429 JYW851964:JYW851965 JYW917500:JYW917501 JYW983036:JYW983037 KIS2:KIS3 KIS65532:KIS65533 KIS131068:KIS131069 KIS196604:KIS196605 KIS262140:KIS262141 KIS327676:KIS327677 KIS393212:KIS393213 KIS458748:KIS458749 KIS524284:KIS524285 KIS589820:KIS589821 KIS655356:KIS655357 KIS720892:KIS720893 KIS786428:KIS786429 KIS851964:KIS851965 KIS917500:KIS917501 KIS983036:KIS983037 KSO2:KSO3 KSO65532:KSO65533 KSO131068:KSO131069 KSO196604:KSO196605 KSO262140:KSO262141 KSO327676:KSO327677 KSO393212:KSO393213 KSO458748:KSO458749 KSO524284:KSO524285 KSO589820:KSO589821 KSO655356:KSO655357 KSO720892:KSO720893 KSO786428:KSO786429 KSO851964:KSO851965 KSO917500:KSO917501 KSO983036:KSO983037 LCK2:LCK3 LCK65532:LCK65533 LCK131068:LCK131069 LCK196604:LCK196605 LCK262140:LCK262141 LCK327676:LCK327677 LCK393212:LCK393213 LCK458748:LCK458749 LCK524284:LCK524285 LCK589820:LCK589821 LCK655356:LCK655357 LCK720892:LCK720893 LCK786428:LCK786429 LCK851964:LCK851965 LCK917500:LCK917501 LCK983036:LCK983037 LMG2:LMG3 LMG65532:LMG65533 LMG131068:LMG131069 LMG196604:LMG196605 LMG262140:LMG262141 LMG327676:LMG327677 LMG393212:LMG393213 LMG458748:LMG458749 LMG524284:LMG524285 LMG589820:LMG589821 LMG655356:LMG655357 LMG720892:LMG720893 LMG786428:LMG786429 LMG851964:LMG851965 LMG917500:LMG917501 LMG983036:LMG983037 LWC2:LWC3 LWC65532:LWC65533 LWC131068:LWC131069 LWC196604:LWC196605 LWC262140:LWC262141 LWC327676:LWC327677 LWC393212:LWC393213 LWC458748:LWC458749 LWC524284:LWC524285 LWC589820:LWC589821 LWC655356:LWC655357 LWC720892:LWC720893 LWC786428:LWC786429 LWC851964:LWC851965 LWC917500:LWC917501 LWC983036:LWC983037 MFY2:MFY3 MFY65532:MFY65533 MFY131068:MFY131069 MFY196604:MFY196605 MFY262140:MFY262141 MFY327676:MFY327677 MFY393212:MFY393213 MFY458748:MFY458749 MFY524284:MFY524285 MFY589820:MFY589821 MFY655356:MFY655357 MFY720892:MFY720893 MFY786428:MFY786429 MFY851964:MFY851965 MFY917500:MFY917501 MFY983036:MFY983037 MPU2:MPU3 MPU65532:MPU65533 MPU131068:MPU131069 MPU196604:MPU196605 MPU262140:MPU262141 MPU327676:MPU327677 MPU393212:MPU393213 MPU458748:MPU458749 MPU524284:MPU524285 MPU589820:MPU589821 MPU655356:MPU655357 MPU720892:MPU720893 MPU786428:MPU786429 MPU851964:MPU851965 MPU917500:MPU917501 MPU983036:MPU983037 MZQ2:MZQ3 MZQ65532:MZQ65533 MZQ131068:MZQ131069 MZQ196604:MZQ196605 MZQ262140:MZQ262141 MZQ327676:MZQ327677 MZQ393212:MZQ393213 MZQ458748:MZQ458749 MZQ524284:MZQ524285 MZQ589820:MZQ589821 MZQ655356:MZQ655357 MZQ720892:MZQ720893 MZQ786428:MZQ786429 MZQ851964:MZQ851965 MZQ917500:MZQ917501 MZQ983036:MZQ983037 NJM2:NJM3 NJM65532:NJM65533 NJM131068:NJM131069 NJM196604:NJM196605 NJM262140:NJM262141 NJM327676:NJM327677 NJM393212:NJM393213 NJM458748:NJM458749 NJM524284:NJM524285 NJM589820:NJM589821 NJM655356:NJM655357 NJM720892:NJM720893 NJM786428:NJM786429 NJM851964:NJM851965 NJM917500:NJM917501 NJM983036:NJM983037 NTI2:NTI3 NTI65532:NTI65533 NTI131068:NTI131069 NTI196604:NTI196605 NTI262140:NTI262141 NTI327676:NTI327677 NTI393212:NTI393213 NTI458748:NTI458749 NTI524284:NTI524285 NTI589820:NTI589821 NTI655356:NTI655357 NTI720892:NTI720893 NTI786428:NTI786429 NTI851964:NTI851965 NTI917500:NTI917501 NTI983036:NTI983037 ODE2:ODE3 ODE65532:ODE65533 ODE131068:ODE131069 ODE196604:ODE196605 ODE262140:ODE262141 ODE327676:ODE327677 ODE393212:ODE393213 ODE458748:ODE458749 ODE524284:ODE524285 ODE589820:ODE589821 ODE655356:ODE655357 ODE720892:ODE720893 ODE786428:ODE786429 ODE851964:ODE851965 ODE917500:ODE917501 ODE983036:ODE983037 ONA2:ONA3 ONA65532:ONA65533 ONA131068:ONA131069 ONA196604:ONA196605 ONA262140:ONA262141 ONA327676:ONA327677 ONA393212:ONA393213 ONA458748:ONA458749 ONA524284:ONA524285 ONA589820:ONA589821 ONA655356:ONA655357 ONA720892:ONA720893 ONA786428:ONA786429 ONA851964:ONA851965 ONA917500:ONA917501 ONA983036:ONA983037 OWW2:OWW3 OWW65532:OWW65533 OWW131068:OWW131069 OWW196604:OWW196605 OWW262140:OWW262141 OWW327676:OWW327677 OWW393212:OWW393213 OWW458748:OWW458749 OWW524284:OWW524285 OWW589820:OWW589821 OWW655356:OWW655357 OWW720892:OWW720893 OWW786428:OWW786429 OWW851964:OWW851965 OWW917500:OWW917501 OWW983036:OWW983037 PGS2:PGS3 PGS65532:PGS65533 PGS131068:PGS131069 PGS196604:PGS196605 PGS262140:PGS262141 PGS327676:PGS327677 PGS393212:PGS393213 PGS458748:PGS458749 PGS524284:PGS524285 PGS589820:PGS589821 PGS655356:PGS655357 PGS720892:PGS720893 PGS786428:PGS786429 PGS851964:PGS851965 PGS917500:PGS917501 PGS983036:PGS983037 PQO2:PQO3 PQO65532:PQO65533 PQO131068:PQO131069 PQO196604:PQO196605 PQO262140:PQO262141 PQO327676:PQO327677 PQO393212:PQO393213 PQO458748:PQO458749 PQO524284:PQO524285 PQO589820:PQO589821 PQO655356:PQO655357 PQO720892:PQO720893 PQO786428:PQO786429 PQO851964:PQO851965 PQO917500:PQO917501 PQO983036:PQO983037 QAK2:QAK3 QAK65532:QAK65533 QAK131068:QAK131069 QAK196604:QAK196605 QAK262140:QAK262141 QAK327676:QAK327677 QAK393212:QAK393213 QAK458748:QAK458749 QAK524284:QAK524285 QAK589820:QAK589821 QAK655356:QAK655357 QAK720892:QAK720893 QAK786428:QAK786429 QAK851964:QAK851965 QAK917500:QAK917501 QAK983036:QAK983037 QKG2:QKG3 QKG65532:QKG65533 QKG131068:QKG131069 QKG196604:QKG196605 QKG262140:QKG262141 QKG327676:QKG327677 QKG393212:QKG393213 QKG458748:QKG458749 QKG524284:QKG524285 QKG589820:QKG589821 QKG655356:QKG655357 QKG720892:QKG720893 QKG786428:QKG786429 QKG851964:QKG851965 QKG917500:QKG917501 QKG983036:QKG983037 QUC2:QUC3 QUC65532:QUC65533 QUC131068:QUC131069 QUC196604:QUC196605 QUC262140:QUC262141 QUC327676:QUC327677 QUC393212:QUC393213 QUC458748:QUC458749 QUC524284:QUC524285 QUC589820:QUC589821 QUC655356:QUC655357 QUC720892:QUC720893 QUC786428:QUC786429 QUC851964:QUC851965 QUC917500:QUC917501 QUC983036:QUC983037 RDY2:RDY3 RDY65532:RDY65533 RDY131068:RDY131069 RDY196604:RDY196605 RDY262140:RDY262141 RDY327676:RDY327677 RDY393212:RDY393213 RDY458748:RDY458749 RDY524284:RDY524285 RDY589820:RDY589821 RDY655356:RDY655357 RDY720892:RDY720893 RDY786428:RDY786429 RDY851964:RDY851965 RDY917500:RDY917501 RDY983036:RDY983037 RNU2:RNU3 RNU65532:RNU65533 RNU131068:RNU131069 RNU196604:RNU196605 RNU262140:RNU262141 RNU327676:RNU327677 RNU393212:RNU393213 RNU458748:RNU458749 RNU524284:RNU524285 RNU589820:RNU589821 RNU655356:RNU655357 RNU720892:RNU720893 RNU786428:RNU786429 RNU851964:RNU851965 RNU917500:RNU917501 RNU983036:RNU983037 RXQ2:RXQ3 RXQ65532:RXQ65533 RXQ131068:RXQ131069 RXQ196604:RXQ196605 RXQ262140:RXQ262141 RXQ327676:RXQ327677 RXQ393212:RXQ393213 RXQ458748:RXQ458749 RXQ524284:RXQ524285 RXQ589820:RXQ589821 RXQ655356:RXQ655357 RXQ720892:RXQ720893 RXQ786428:RXQ786429 RXQ851964:RXQ851965 RXQ917500:RXQ917501 RXQ983036:RXQ983037 SHM2:SHM3 SHM65532:SHM65533 SHM131068:SHM131069 SHM196604:SHM196605 SHM262140:SHM262141 SHM327676:SHM327677 SHM393212:SHM393213 SHM458748:SHM458749 SHM524284:SHM524285 SHM589820:SHM589821 SHM655356:SHM655357 SHM720892:SHM720893 SHM786428:SHM786429 SHM851964:SHM851965 SHM917500:SHM917501 SHM983036:SHM983037 SRI2:SRI3 SRI65532:SRI65533 SRI131068:SRI131069 SRI196604:SRI196605 SRI262140:SRI262141 SRI327676:SRI327677 SRI393212:SRI393213 SRI458748:SRI458749 SRI524284:SRI524285 SRI589820:SRI589821 SRI655356:SRI655357 SRI720892:SRI720893 SRI786428:SRI786429 SRI851964:SRI851965 SRI917500:SRI917501 SRI983036:SRI983037 TBE2:TBE3 TBE65532:TBE65533 TBE131068:TBE131069 TBE196604:TBE196605 TBE262140:TBE262141 TBE327676:TBE327677 TBE393212:TBE393213 TBE458748:TBE458749 TBE524284:TBE524285 TBE589820:TBE589821 TBE655356:TBE655357 TBE720892:TBE720893 TBE786428:TBE786429 TBE851964:TBE851965 TBE917500:TBE917501 TBE983036:TBE983037 TLA2:TLA3 TLA65532:TLA65533 TLA131068:TLA131069 TLA196604:TLA196605 TLA262140:TLA262141 TLA327676:TLA327677 TLA393212:TLA393213 TLA458748:TLA458749 TLA524284:TLA524285 TLA589820:TLA589821 TLA655356:TLA655357 TLA720892:TLA720893 TLA786428:TLA786429 TLA851964:TLA851965 TLA917500:TLA917501 TLA983036:TLA983037 TUW2:TUW3 TUW65532:TUW65533 TUW131068:TUW131069 TUW196604:TUW196605 TUW262140:TUW262141 TUW327676:TUW327677 TUW393212:TUW393213 TUW458748:TUW458749 TUW524284:TUW524285 TUW589820:TUW589821 TUW655356:TUW655357 TUW720892:TUW720893 TUW786428:TUW786429 TUW851964:TUW851965 TUW917500:TUW917501 TUW983036:TUW983037 UES2:UES3 UES65532:UES65533 UES131068:UES131069 UES196604:UES196605 UES262140:UES262141 UES327676:UES327677 UES393212:UES393213 UES458748:UES458749 UES524284:UES524285 UES589820:UES589821 UES655356:UES655357 UES720892:UES720893 UES786428:UES786429 UES851964:UES851965 UES917500:UES917501 UES983036:UES983037 UOO2:UOO3 UOO65532:UOO65533 UOO131068:UOO131069 UOO196604:UOO196605 UOO262140:UOO262141 UOO327676:UOO327677 UOO393212:UOO393213 UOO458748:UOO458749 UOO524284:UOO524285 UOO589820:UOO589821 UOO655356:UOO655357 UOO720892:UOO720893 UOO786428:UOO786429 UOO851964:UOO851965 UOO917500:UOO917501 UOO983036:UOO983037 UYK2:UYK3 UYK65532:UYK65533 UYK131068:UYK131069 UYK196604:UYK196605 UYK262140:UYK262141 UYK327676:UYK327677 UYK393212:UYK393213 UYK458748:UYK458749 UYK524284:UYK524285 UYK589820:UYK589821 UYK655356:UYK655357 UYK720892:UYK720893 UYK786428:UYK786429 UYK851964:UYK851965 UYK917500:UYK917501 UYK983036:UYK983037 VIG2:VIG3 VIG65532:VIG65533 VIG131068:VIG131069 VIG196604:VIG196605 VIG262140:VIG262141 VIG327676:VIG327677 VIG393212:VIG393213 VIG458748:VIG458749 VIG524284:VIG524285 VIG589820:VIG589821 VIG655356:VIG655357 VIG720892:VIG720893 VIG786428:VIG786429 VIG851964:VIG851965 VIG917500:VIG917501 VIG983036:VIG983037 VSC2:VSC3 VSC65532:VSC65533 VSC131068:VSC131069 VSC196604:VSC196605 VSC262140:VSC262141 VSC327676:VSC327677 VSC393212:VSC393213 VSC458748:VSC458749 VSC524284:VSC524285 VSC589820:VSC589821 VSC655356:VSC655357 VSC720892:VSC720893 VSC786428:VSC786429 VSC851964:VSC851965 VSC917500:VSC917501 VSC983036:VSC983037 WBY2:WBY3 WBY65532:WBY65533 WBY131068:WBY131069 WBY196604:WBY196605 WBY262140:WBY262141 WBY327676:WBY327677 WBY393212:WBY393213 WBY458748:WBY458749 WBY524284:WBY524285 WBY589820:WBY589821 WBY655356:WBY655357 WBY720892:WBY720893 WBY786428:WBY786429 WBY851964:WBY851965 WBY917500:WBY917501 WBY983036:WBY983037 WLU2:WLU3 WLU65532:WLU65533 WLU131068:WLU131069 WLU196604:WLU196605 WLU262140:WLU262141 WLU327676:WLU327677 WLU393212:WLU393213 WLU458748:WLU458749 WLU524284:WLU524285 WLU589820:WLU589821 WLU655356:WLU655357 WLU720892:WLU720893 WLU786428:WLU786429 WLU851964:WLU851965 WLU917500:WLU917501 WLU983036:WLU983037 WVQ2:WVQ3 WVQ65532:WVQ65533 WVQ131068:WVQ131069 WVQ196604:WVQ196605 WVQ262140:WVQ262141 WVQ327676:WVQ327677 WVQ393212:WVQ393213 WVQ458748:WVQ458749 WVQ524284:WVQ524285 WVQ589820:WVQ589821 WVQ655356:WVQ655357 WVQ720892:WVQ720893 WVQ786428:WVQ786429 WVQ851964:WVQ851965 WVQ917500:WVQ917501 WVQ983036:WVQ983037" xr:uid="{00000000-0002-0000-08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E65532:E65533 E131068:E131069 E196604:E196605 E262140:E262141 E327676:E327677 E393212:E393213 E458748:E458749 E524284:E524285 E589820:E589821 E655356:E655357 E720892:E720893 E786428:E786429 E851964:E851965 E917500:E917501 E983036:E983037 JB2:JB3 JB65532:JB65533 JB131068:JB131069 JB196604:JB196605 JB262140:JB262141 JB327676:JB327677 JB393212:JB393213 JB458748:JB458749 JB524284:JB524285 JB589820:JB589821 JB655356:JB655357 JB720892:JB720893 JB786428:JB786429 JB851964:JB851965 JB917500:JB917501 JB983036:JB983037 SX2:SX3 SX65532:SX65533 SX131068:SX131069 SX196604:SX196605 SX262140:SX262141 SX327676:SX327677 SX393212:SX393213 SX458748:SX458749 SX524284:SX524285 SX589820:SX589821 SX655356:SX655357 SX720892:SX720893 SX786428:SX786429 SX851964:SX851965 SX917500:SX917501 SX983036:SX983037 ACT2:ACT3 ACT65532:ACT65533 ACT131068:ACT131069 ACT196604:ACT196605 ACT262140:ACT262141 ACT327676:ACT327677 ACT393212:ACT393213 ACT458748:ACT458749 ACT524284:ACT524285 ACT589820:ACT589821 ACT655356:ACT655357 ACT720892:ACT720893 ACT786428:ACT786429 ACT851964:ACT851965 ACT917500:ACT917501 ACT983036:ACT983037 AMP2:AMP3 AMP65532:AMP65533 AMP131068:AMP131069 AMP196604:AMP196605 AMP262140:AMP262141 AMP327676:AMP327677 AMP393212:AMP393213 AMP458748:AMP458749 AMP524284:AMP524285 AMP589820:AMP589821 AMP655356:AMP655357 AMP720892:AMP720893 AMP786428:AMP786429 AMP851964:AMP851965 AMP917500:AMP917501 AMP983036:AMP983037 AWL2:AWL3 AWL65532:AWL65533 AWL131068:AWL131069 AWL196604:AWL196605 AWL262140:AWL262141 AWL327676:AWL327677 AWL393212:AWL393213 AWL458748:AWL458749 AWL524284:AWL524285 AWL589820:AWL589821 AWL655356:AWL655357 AWL720892:AWL720893 AWL786428:AWL786429 AWL851964:AWL851965 AWL917500:AWL917501 AWL983036:AWL983037 BGH2:BGH3 BGH65532:BGH65533 BGH131068:BGH131069 BGH196604:BGH196605 BGH262140:BGH262141 BGH327676:BGH327677 BGH393212:BGH393213 BGH458748:BGH458749 BGH524284:BGH524285 BGH589820:BGH589821 BGH655356:BGH655357 BGH720892:BGH720893 BGH786428:BGH786429 BGH851964:BGH851965 BGH917500:BGH917501 BGH983036:BGH983037 BQD2:BQD3 BQD65532:BQD65533 BQD131068:BQD131069 BQD196604:BQD196605 BQD262140:BQD262141 BQD327676:BQD327677 BQD393212:BQD393213 BQD458748:BQD458749 BQD524284:BQD524285 BQD589820:BQD589821 BQD655356:BQD655357 BQD720892:BQD720893 BQD786428:BQD786429 BQD851964:BQD851965 BQD917500:BQD917501 BQD983036:BQD983037 BZZ2:BZZ3 BZZ65532:BZZ65533 BZZ131068:BZZ131069 BZZ196604:BZZ196605 BZZ262140:BZZ262141 BZZ327676:BZZ327677 BZZ393212:BZZ393213 BZZ458748:BZZ458749 BZZ524284:BZZ524285 BZZ589820:BZZ589821 BZZ655356:BZZ655357 BZZ720892:BZZ720893 BZZ786428:BZZ786429 BZZ851964:BZZ851965 BZZ917500:BZZ917501 BZZ983036:BZZ983037 CJV2:CJV3 CJV65532:CJV65533 CJV131068:CJV131069 CJV196604:CJV196605 CJV262140:CJV262141 CJV327676:CJV327677 CJV393212:CJV393213 CJV458748:CJV458749 CJV524284:CJV524285 CJV589820:CJV589821 CJV655356:CJV655357 CJV720892:CJV720893 CJV786428:CJV786429 CJV851964:CJV851965 CJV917500:CJV917501 CJV983036:CJV983037 CTR2:CTR3 CTR65532:CTR65533 CTR131068:CTR131069 CTR196604:CTR196605 CTR262140:CTR262141 CTR327676:CTR327677 CTR393212:CTR393213 CTR458748:CTR458749 CTR524284:CTR524285 CTR589820:CTR589821 CTR655356:CTR655357 CTR720892:CTR720893 CTR786428:CTR786429 CTR851964:CTR851965 CTR917500:CTR917501 CTR983036:CTR983037 DDN2:DDN3 DDN65532:DDN65533 DDN131068:DDN131069 DDN196604:DDN196605 DDN262140:DDN262141 DDN327676:DDN327677 DDN393212:DDN393213 DDN458748:DDN458749 DDN524284:DDN524285 DDN589820:DDN589821 DDN655356:DDN655357 DDN720892:DDN720893 DDN786428:DDN786429 DDN851964:DDN851965 DDN917500:DDN917501 DDN983036:DDN983037 DNJ2:DNJ3 DNJ65532:DNJ65533 DNJ131068:DNJ131069 DNJ196604:DNJ196605 DNJ262140:DNJ262141 DNJ327676:DNJ327677 DNJ393212:DNJ393213 DNJ458748:DNJ458749 DNJ524284:DNJ524285 DNJ589820:DNJ589821 DNJ655356:DNJ655357 DNJ720892:DNJ720893 DNJ786428:DNJ786429 DNJ851964:DNJ851965 DNJ917500:DNJ917501 DNJ983036:DNJ983037 DXF2:DXF3 DXF65532:DXF65533 DXF131068:DXF131069 DXF196604:DXF196605 DXF262140:DXF262141 DXF327676:DXF327677 DXF393212:DXF393213 DXF458748:DXF458749 DXF524284:DXF524285 DXF589820:DXF589821 DXF655356:DXF655357 DXF720892:DXF720893 DXF786428:DXF786429 DXF851964:DXF851965 DXF917500:DXF917501 DXF983036:DXF983037 EHB2:EHB3 EHB65532:EHB65533 EHB131068:EHB131069 EHB196604:EHB196605 EHB262140:EHB262141 EHB327676:EHB327677 EHB393212:EHB393213 EHB458748:EHB458749 EHB524284:EHB524285 EHB589820:EHB589821 EHB655356:EHB655357 EHB720892:EHB720893 EHB786428:EHB786429 EHB851964:EHB851965 EHB917500:EHB917501 EHB983036:EHB983037 EQX2:EQX3 EQX65532:EQX65533 EQX131068:EQX131069 EQX196604:EQX196605 EQX262140:EQX262141 EQX327676:EQX327677 EQX393212:EQX393213 EQX458748:EQX458749 EQX524284:EQX524285 EQX589820:EQX589821 EQX655356:EQX655357 EQX720892:EQX720893 EQX786428:EQX786429 EQX851964:EQX851965 EQX917500:EQX917501 EQX983036:EQX983037 FAT2:FAT3 FAT65532:FAT65533 FAT131068:FAT131069 FAT196604:FAT196605 FAT262140:FAT262141 FAT327676:FAT327677 FAT393212:FAT393213 FAT458748:FAT458749 FAT524284:FAT524285 FAT589820:FAT589821 FAT655356:FAT655357 FAT720892:FAT720893 FAT786428:FAT786429 FAT851964:FAT851965 FAT917500:FAT917501 FAT983036:FAT983037 FKP2:FKP3 FKP65532:FKP65533 FKP131068:FKP131069 FKP196604:FKP196605 FKP262140:FKP262141 FKP327676:FKP327677 FKP393212:FKP393213 FKP458748:FKP458749 FKP524284:FKP524285 FKP589820:FKP589821 FKP655356:FKP655357 FKP720892:FKP720893 FKP786428:FKP786429 FKP851964:FKP851965 FKP917500:FKP917501 FKP983036:FKP983037 FUL2:FUL3 FUL65532:FUL65533 FUL131068:FUL131069 FUL196604:FUL196605 FUL262140:FUL262141 FUL327676:FUL327677 FUL393212:FUL393213 FUL458748:FUL458749 FUL524284:FUL524285 FUL589820:FUL589821 FUL655356:FUL655357 FUL720892:FUL720893 FUL786428:FUL786429 FUL851964:FUL851965 FUL917500:FUL917501 FUL983036:FUL983037 GEH2:GEH3 GEH65532:GEH65533 GEH131068:GEH131069 GEH196604:GEH196605 GEH262140:GEH262141 GEH327676:GEH327677 GEH393212:GEH393213 GEH458748:GEH458749 GEH524284:GEH524285 GEH589820:GEH589821 GEH655356:GEH655357 GEH720892:GEH720893 GEH786428:GEH786429 GEH851964:GEH851965 GEH917500:GEH917501 GEH983036:GEH983037 GOD2:GOD3 GOD65532:GOD65533 GOD131068:GOD131069 GOD196604:GOD196605 GOD262140:GOD262141 GOD327676:GOD327677 GOD393212:GOD393213 GOD458748:GOD458749 GOD524284:GOD524285 GOD589820:GOD589821 GOD655356:GOD655357 GOD720892:GOD720893 GOD786428:GOD786429 GOD851964:GOD851965 GOD917500:GOD917501 GOD983036:GOD983037 GXZ2:GXZ3 GXZ65532:GXZ65533 GXZ131068:GXZ131069 GXZ196604:GXZ196605 GXZ262140:GXZ262141 GXZ327676:GXZ327677 GXZ393212:GXZ393213 GXZ458748:GXZ458749 GXZ524284:GXZ524285 GXZ589820:GXZ589821 GXZ655356:GXZ655357 GXZ720892:GXZ720893 GXZ786428:GXZ786429 GXZ851964:GXZ851965 GXZ917500:GXZ917501 GXZ983036:GXZ983037 HHV2:HHV3 HHV65532:HHV65533 HHV131068:HHV131069 HHV196604:HHV196605 HHV262140:HHV262141 HHV327676:HHV327677 HHV393212:HHV393213 HHV458748:HHV458749 HHV524284:HHV524285 HHV589820:HHV589821 HHV655356:HHV655357 HHV720892:HHV720893 HHV786428:HHV786429 HHV851964:HHV851965 HHV917500:HHV917501 HHV983036:HHV983037 HRR2:HRR3 HRR65532:HRR65533 HRR131068:HRR131069 HRR196604:HRR196605 HRR262140:HRR262141 HRR327676:HRR327677 HRR393212:HRR393213 HRR458748:HRR458749 HRR524284:HRR524285 HRR589820:HRR589821 HRR655356:HRR655357 HRR720892:HRR720893 HRR786428:HRR786429 HRR851964:HRR851965 HRR917500:HRR917501 HRR983036:HRR983037 IBN2:IBN3 IBN65532:IBN65533 IBN131068:IBN131069 IBN196604:IBN196605 IBN262140:IBN262141 IBN327676:IBN327677 IBN393212:IBN393213 IBN458748:IBN458749 IBN524284:IBN524285 IBN589820:IBN589821 IBN655356:IBN655357 IBN720892:IBN720893 IBN786428:IBN786429 IBN851964:IBN851965 IBN917500:IBN917501 IBN983036:IBN983037 ILJ2:ILJ3 ILJ65532:ILJ65533 ILJ131068:ILJ131069 ILJ196604:ILJ196605 ILJ262140:ILJ262141 ILJ327676:ILJ327677 ILJ393212:ILJ393213 ILJ458748:ILJ458749 ILJ524284:ILJ524285 ILJ589820:ILJ589821 ILJ655356:ILJ655357 ILJ720892:ILJ720893 ILJ786428:ILJ786429 ILJ851964:ILJ851965 ILJ917500:ILJ917501 ILJ983036:ILJ983037 IVF2:IVF3 IVF65532:IVF65533 IVF131068:IVF131069 IVF196604:IVF196605 IVF262140:IVF262141 IVF327676:IVF327677 IVF393212:IVF393213 IVF458748:IVF458749 IVF524284:IVF524285 IVF589820:IVF589821 IVF655356:IVF655357 IVF720892:IVF720893 IVF786428:IVF786429 IVF851964:IVF851965 IVF917500:IVF917501 IVF983036:IVF983037 JFB2:JFB3 JFB65532:JFB65533 JFB131068:JFB131069 JFB196604:JFB196605 JFB262140:JFB262141 JFB327676:JFB327677 JFB393212:JFB393213 JFB458748:JFB458749 JFB524284:JFB524285 JFB589820:JFB589821 JFB655356:JFB655357 JFB720892:JFB720893 JFB786428:JFB786429 JFB851964:JFB851965 JFB917500:JFB917501 JFB983036:JFB983037 JOX2:JOX3 JOX65532:JOX65533 JOX131068:JOX131069 JOX196604:JOX196605 JOX262140:JOX262141 JOX327676:JOX327677 JOX393212:JOX393213 JOX458748:JOX458749 JOX524284:JOX524285 JOX589820:JOX589821 JOX655356:JOX655357 JOX720892:JOX720893 JOX786428:JOX786429 JOX851964:JOX851965 JOX917500:JOX917501 JOX983036:JOX983037 JYT2:JYT3 JYT65532:JYT65533 JYT131068:JYT131069 JYT196604:JYT196605 JYT262140:JYT262141 JYT327676:JYT327677 JYT393212:JYT393213 JYT458748:JYT458749 JYT524284:JYT524285 JYT589820:JYT589821 JYT655356:JYT655357 JYT720892:JYT720893 JYT786428:JYT786429 JYT851964:JYT851965 JYT917500:JYT917501 JYT983036:JYT983037 KIP2:KIP3 KIP65532:KIP65533 KIP131068:KIP131069 KIP196604:KIP196605 KIP262140:KIP262141 KIP327676:KIP327677 KIP393212:KIP393213 KIP458748:KIP458749 KIP524284:KIP524285 KIP589820:KIP589821 KIP655356:KIP655357 KIP720892:KIP720893 KIP786428:KIP786429 KIP851964:KIP851965 KIP917500:KIP917501 KIP983036:KIP983037 KSL2:KSL3 KSL65532:KSL65533 KSL131068:KSL131069 KSL196604:KSL196605 KSL262140:KSL262141 KSL327676:KSL327677 KSL393212:KSL393213 KSL458748:KSL458749 KSL524284:KSL524285 KSL589820:KSL589821 KSL655356:KSL655357 KSL720892:KSL720893 KSL786428:KSL786429 KSL851964:KSL851965 KSL917500:KSL917501 KSL983036:KSL983037 LCH2:LCH3 LCH65532:LCH65533 LCH131068:LCH131069 LCH196604:LCH196605 LCH262140:LCH262141 LCH327676:LCH327677 LCH393212:LCH393213 LCH458748:LCH458749 LCH524284:LCH524285 LCH589820:LCH589821 LCH655356:LCH655357 LCH720892:LCH720893 LCH786428:LCH786429 LCH851964:LCH851965 LCH917500:LCH917501 LCH983036:LCH983037 LMD2:LMD3 LMD65532:LMD65533 LMD131068:LMD131069 LMD196604:LMD196605 LMD262140:LMD262141 LMD327676:LMD327677 LMD393212:LMD393213 LMD458748:LMD458749 LMD524284:LMD524285 LMD589820:LMD589821 LMD655356:LMD655357 LMD720892:LMD720893 LMD786428:LMD786429 LMD851964:LMD851965 LMD917500:LMD917501 LMD983036:LMD983037 LVZ2:LVZ3 LVZ65532:LVZ65533 LVZ131068:LVZ131069 LVZ196604:LVZ196605 LVZ262140:LVZ262141 LVZ327676:LVZ327677 LVZ393212:LVZ393213 LVZ458748:LVZ458749 LVZ524284:LVZ524285 LVZ589820:LVZ589821 LVZ655356:LVZ655357 LVZ720892:LVZ720893 LVZ786428:LVZ786429 LVZ851964:LVZ851965 LVZ917500:LVZ917501 LVZ983036:LVZ983037 MFV2:MFV3 MFV65532:MFV65533 MFV131068:MFV131069 MFV196604:MFV196605 MFV262140:MFV262141 MFV327676:MFV327677 MFV393212:MFV393213 MFV458748:MFV458749 MFV524284:MFV524285 MFV589820:MFV589821 MFV655356:MFV655357 MFV720892:MFV720893 MFV786428:MFV786429 MFV851964:MFV851965 MFV917500:MFV917501 MFV983036:MFV983037 MPR2:MPR3 MPR65532:MPR65533 MPR131068:MPR131069 MPR196604:MPR196605 MPR262140:MPR262141 MPR327676:MPR327677 MPR393212:MPR393213 MPR458748:MPR458749 MPR524284:MPR524285 MPR589820:MPR589821 MPR655356:MPR655357 MPR720892:MPR720893 MPR786428:MPR786429 MPR851964:MPR851965 MPR917500:MPR917501 MPR983036:MPR983037 MZN2:MZN3 MZN65532:MZN65533 MZN131068:MZN131069 MZN196604:MZN196605 MZN262140:MZN262141 MZN327676:MZN327677 MZN393212:MZN393213 MZN458748:MZN458749 MZN524284:MZN524285 MZN589820:MZN589821 MZN655356:MZN655357 MZN720892:MZN720893 MZN786428:MZN786429 MZN851964:MZN851965 MZN917500:MZN917501 MZN983036:MZN983037 NJJ2:NJJ3 NJJ65532:NJJ65533 NJJ131068:NJJ131069 NJJ196604:NJJ196605 NJJ262140:NJJ262141 NJJ327676:NJJ327677 NJJ393212:NJJ393213 NJJ458748:NJJ458749 NJJ524284:NJJ524285 NJJ589820:NJJ589821 NJJ655356:NJJ655357 NJJ720892:NJJ720893 NJJ786428:NJJ786429 NJJ851964:NJJ851965 NJJ917500:NJJ917501 NJJ983036:NJJ983037 NTF2:NTF3 NTF65532:NTF65533 NTF131068:NTF131069 NTF196604:NTF196605 NTF262140:NTF262141 NTF327676:NTF327677 NTF393212:NTF393213 NTF458748:NTF458749 NTF524284:NTF524285 NTF589820:NTF589821 NTF655356:NTF655357 NTF720892:NTF720893 NTF786428:NTF786429 NTF851964:NTF851965 NTF917500:NTF917501 NTF983036:NTF983037 ODB2:ODB3 ODB65532:ODB65533 ODB131068:ODB131069 ODB196604:ODB196605 ODB262140:ODB262141 ODB327676:ODB327677 ODB393212:ODB393213 ODB458748:ODB458749 ODB524284:ODB524285 ODB589820:ODB589821 ODB655356:ODB655357 ODB720892:ODB720893 ODB786428:ODB786429 ODB851964:ODB851965 ODB917500:ODB917501 ODB983036:ODB983037 OMX2:OMX3 OMX65532:OMX65533 OMX131068:OMX131069 OMX196604:OMX196605 OMX262140:OMX262141 OMX327676:OMX327677 OMX393212:OMX393213 OMX458748:OMX458749 OMX524284:OMX524285 OMX589820:OMX589821 OMX655356:OMX655357 OMX720892:OMX720893 OMX786428:OMX786429 OMX851964:OMX851965 OMX917500:OMX917501 OMX983036:OMX983037 OWT2:OWT3 OWT65532:OWT65533 OWT131068:OWT131069 OWT196604:OWT196605 OWT262140:OWT262141 OWT327676:OWT327677 OWT393212:OWT393213 OWT458748:OWT458749 OWT524284:OWT524285 OWT589820:OWT589821 OWT655356:OWT655357 OWT720892:OWT720893 OWT786428:OWT786429 OWT851964:OWT851965 OWT917500:OWT917501 OWT983036:OWT983037 PGP2:PGP3 PGP65532:PGP65533 PGP131068:PGP131069 PGP196604:PGP196605 PGP262140:PGP262141 PGP327676:PGP327677 PGP393212:PGP393213 PGP458748:PGP458749 PGP524284:PGP524285 PGP589820:PGP589821 PGP655356:PGP655357 PGP720892:PGP720893 PGP786428:PGP786429 PGP851964:PGP851965 PGP917500:PGP917501 PGP983036:PGP983037 PQL2:PQL3 PQL65532:PQL65533 PQL131068:PQL131069 PQL196604:PQL196605 PQL262140:PQL262141 PQL327676:PQL327677 PQL393212:PQL393213 PQL458748:PQL458749 PQL524284:PQL524285 PQL589820:PQL589821 PQL655356:PQL655357 PQL720892:PQL720893 PQL786428:PQL786429 PQL851964:PQL851965 PQL917500:PQL917501 PQL983036:PQL983037 QAH2:QAH3 QAH65532:QAH65533 QAH131068:QAH131069 QAH196604:QAH196605 QAH262140:QAH262141 QAH327676:QAH327677 QAH393212:QAH393213 QAH458748:QAH458749 QAH524284:QAH524285 QAH589820:QAH589821 QAH655356:QAH655357 QAH720892:QAH720893 QAH786428:QAH786429 QAH851964:QAH851965 QAH917500:QAH917501 QAH983036:QAH983037 QKD2:QKD3 QKD65532:QKD65533 QKD131068:QKD131069 QKD196604:QKD196605 QKD262140:QKD262141 QKD327676:QKD327677 QKD393212:QKD393213 QKD458748:QKD458749 QKD524284:QKD524285 QKD589820:QKD589821 QKD655356:QKD655357 QKD720892:QKD720893 QKD786428:QKD786429 QKD851964:QKD851965 QKD917500:QKD917501 QKD983036:QKD983037 QTZ2:QTZ3 QTZ65532:QTZ65533 QTZ131068:QTZ131069 QTZ196604:QTZ196605 QTZ262140:QTZ262141 QTZ327676:QTZ327677 QTZ393212:QTZ393213 QTZ458748:QTZ458749 QTZ524284:QTZ524285 QTZ589820:QTZ589821 QTZ655356:QTZ655357 QTZ720892:QTZ720893 QTZ786428:QTZ786429 QTZ851964:QTZ851965 QTZ917500:QTZ917501 QTZ983036:QTZ983037 RDV2:RDV3 RDV65532:RDV65533 RDV131068:RDV131069 RDV196604:RDV196605 RDV262140:RDV262141 RDV327676:RDV327677 RDV393212:RDV393213 RDV458748:RDV458749 RDV524284:RDV524285 RDV589820:RDV589821 RDV655356:RDV655357 RDV720892:RDV720893 RDV786428:RDV786429 RDV851964:RDV851965 RDV917500:RDV917501 RDV983036:RDV983037 RNR2:RNR3 RNR65532:RNR65533 RNR131068:RNR131069 RNR196604:RNR196605 RNR262140:RNR262141 RNR327676:RNR327677 RNR393212:RNR393213 RNR458748:RNR458749 RNR524284:RNR524285 RNR589820:RNR589821 RNR655356:RNR655357 RNR720892:RNR720893 RNR786428:RNR786429 RNR851964:RNR851965 RNR917500:RNR917501 RNR983036:RNR983037 RXN2:RXN3 RXN65532:RXN65533 RXN131068:RXN131069 RXN196604:RXN196605 RXN262140:RXN262141 RXN327676:RXN327677 RXN393212:RXN393213 RXN458748:RXN458749 RXN524284:RXN524285 RXN589820:RXN589821 RXN655356:RXN655357 RXN720892:RXN720893 RXN786428:RXN786429 RXN851964:RXN851965 RXN917500:RXN917501 RXN983036:RXN983037 SHJ2:SHJ3 SHJ65532:SHJ65533 SHJ131068:SHJ131069 SHJ196604:SHJ196605 SHJ262140:SHJ262141 SHJ327676:SHJ327677 SHJ393212:SHJ393213 SHJ458748:SHJ458749 SHJ524284:SHJ524285 SHJ589820:SHJ589821 SHJ655356:SHJ655357 SHJ720892:SHJ720893 SHJ786428:SHJ786429 SHJ851964:SHJ851965 SHJ917500:SHJ917501 SHJ983036:SHJ983037 SRF2:SRF3 SRF65532:SRF65533 SRF131068:SRF131069 SRF196604:SRF196605 SRF262140:SRF262141 SRF327676:SRF327677 SRF393212:SRF393213 SRF458748:SRF458749 SRF524284:SRF524285 SRF589820:SRF589821 SRF655356:SRF655357 SRF720892:SRF720893 SRF786428:SRF786429 SRF851964:SRF851965 SRF917500:SRF917501 SRF983036:SRF983037 TBB2:TBB3 TBB65532:TBB65533 TBB131068:TBB131069 TBB196604:TBB196605 TBB262140:TBB262141 TBB327676:TBB327677 TBB393212:TBB393213 TBB458748:TBB458749 TBB524284:TBB524285 TBB589820:TBB589821 TBB655356:TBB655357 TBB720892:TBB720893 TBB786428:TBB786429 TBB851964:TBB851965 TBB917500:TBB917501 TBB983036:TBB983037 TKX2:TKX3 TKX65532:TKX65533 TKX131068:TKX131069 TKX196604:TKX196605 TKX262140:TKX262141 TKX327676:TKX327677 TKX393212:TKX393213 TKX458748:TKX458749 TKX524284:TKX524285 TKX589820:TKX589821 TKX655356:TKX655357 TKX720892:TKX720893 TKX786428:TKX786429 TKX851964:TKX851965 TKX917500:TKX917501 TKX983036:TKX983037 TUT2:TUT3 TUT65532:TUT65533 TUT131068:TUT131069 TUT196604:TUT196605 TUT262140:TUT262141 TUT327676:TUT327677 TUT393212:TUT393213 TUT458748:TUT458749 TUT524284:TUT524285 TUT589820:TUT589821 TUT655356:TUT655357 TUT720892:TUT720893 TUT786428:TUT786429 TUT851964:TUT851965 TUT917500:TUT917501 TUT983036:TUT983037 UEP2:UEP3 UEP65532:UEP65533 UEP131068:UEP131069 UEP196604:UEP196605 UEP262140:UEP262141 UEP327676:UEP327677 UEP393212:UEP393213 UEP458748:UEP458749 UEP524284:UEP524285 UEP589820:UEP589821 UEP655356:UEP655357 UEP720892:UEP720893 UEP786428:UEP786429 UEP851964:UEP851965 UEP917500:UEP917501 UEP983036:UEP983037 UOL2:UOL3 UOL65532:UOL65533 UOL131068:UOL131069 UOL196604:UOL196605 UOL262140:UOL262141 UOL327676:UOL327677 UOL393212:UOL393213 UOL458748:UOL458749 UOL524284:UOL524285 UOL589820:UOL589821 UOL655356:UOL655357 UOL720892:UOL720893 UOL786428:UOL786429 UOL851964:UOL851965 UOL917500:UOL917501 UOL983036:UOL983037 UYH2:UYH3 UYH65532:UYH65533 UYH131068:UYH131069 UYH196604:UYH196605 UYH262140:UYH262141 UYH327676:UYH327677 UYH393212:UYH393213 UYH458748:UYH458749 UYH524284:UYH524285 UYH589820:UYH589821 UYH655356:UYH655357 UYH720892:UYH720893 UYH786428:UYH786429 UYH851964:UYH851965 UYH917500:UYH917501 UYH983036:UYH983037 VID2:VID3 VID65532:VID65533 VID131068:VID131069 VID196604:VID196605 VID262140:VID262141 VID327676:VID327677 VID393212:VID393213 VID458748:VID458749 VID524284:VID524285 VID589820:VID589821 VID655356:VID655357 VID720892:VID720893 VID786428:VID786429 VID851964:VID851965 VID917500:VID917501 VID983036:VID983037 VRZ2:VRZ3 VRZ65532:VRZ65533 VRZ131068:VRZ131069 VRZ196604:VRZ196605 VRZ262140:VRZ262141 VRZ327676:VRZ327677 VRZ393212:VRZ393213 VRZ458748:VRZ458749 VRZ524284:VRZ524285 VRZ589820:VRZ589821 VRZ655356:VRZ655357 VRZ720892:VRZ720893 VRZ786428:VRZ786429 VRZ851964:VRZ851965 VRZ917500:VRZ917501 VRZ983036:VRZ983037 WBV2:WBV3 WBV65532:WBV65533 WBV131068:WBV131069 WBV196604:WBV196605 WBV262140:WBV262141 WBV327676:WBV327677 WBV393212:WBV393213 WBV458748:WBV458749 WBV524284:WBV524285 WBV589820:WBV589821 WBV655356:WBV655357 WBV720892:WBV720893 WBV786428:WBV786429 WBV851964:WBV851965 WBV917500:WBV917501 WBV983036:WBV983037 WLR2:WLR3 WLR65532:WLR65533 WLR131068:WLR131069 WLR196604:WLR196605 WLR262140:WLR262141 WLR327676:WLR327677 WLR393212:WLR393213 WLR458748:WLR458749 WLR524284:WLR524285 WLR589820:WLR589821 WLR655356:WLR655357 WLR720892:WLR720893 WLR786428:WLR786429 WLR851964:WLR851965 WLR917500:WLR917501 WLR983036:WLR983037 WVN2:WVN3 WVN65532:WVN65533 WVN131068:WVN131069 WVN196604:WVN196605 WVN262140:WVN262141 WVN327676:WVN327677 WVN393212:WVN393213 WVN458748:WVN458749 WVN524284:WVN524285 WVN589820:WVN589821 WVN655356:WVN655357 WVN720892:WVN720893 WVN786428:WVN786429 WVN851964:WVN851965 WVN917500:WVN917501 WVN983036:WVN983037" xr:uid="{00000000-0002-0000-0800-000003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F65534 F131070 F196606 F262142 F327678 F393214 F458750 F524286 F589822 F655358 F720894 F786430 F851966 F917502 F983038 G2:G3 G65532:G65533 G131068:G131069 G196604:G196605 G262140:G262141 G327676:G327677 G393212:G393213 G458748:G458749 G524284:G524285 G589820:G589821 G655356:G655357 G720892:G720893 G786428:G786429 G851964:G851965 G917500:G917501 G983036:G983037 JC4 JC65534 JC131070 JC196606 JC262142 JC327678 JC393214 JC458750 JC524286 JC589822 JC655358 JC720894 JC786430 JC851966 JC917502 JC983038 JD2:JD3 JD65532:JD65533 JD131068:JD131069 JD196604:JD196605 JD262140:JD262141 JD327676:JD327677 JD393212:JD393213 JD458748:JD458749 JD524284:JD524285 JD589820:JD589821 JD655356:JD655357 JD720892:JD720893 JD786428:JD786429 JD851964:JD851965 JD917500:JD917501 JD983036:JD983037 SY4 SY65534 SY131070 SY196606 SY262142 SY327678 SY393214 SY458750 SY524286 SY589822 SY655358 SY720894 SY786430 SY851966 SY917502 SY983038 SZ2:SZ3 SZ65532:SZ65533 SZ131068:SZ131069 SZ196604:SZ196605 SZ262140:SZ262141 SZ327676:SZ327677 SZ393212:SZ393213 SZ458748:SZ458749 SZ524284:SZ524285 SZ589820:SZ589821 SZ655356:SZ655357 SZ720892:SZ720893 SZ786428:SZ786429 SZ851964:SZ851965 SZ917500:SZ917501 SZ983036:SZ983037 ACU4 ACU65534 ACU131070 ACU196606 ACU262142 ACU327678 ACU393214 ACU458750 ACU524286 ACU589822 ACU655358 ACU720894 ACU786430 ACU851966 ACU917502 ACU983038 ACV2:ACV3 ACV65532:ACV65533 ACV131068:ACV131069 ACV196604:ACV196605 ACV262140:ACV262141 ACV327676:ACV327677 ACV393212:ACV393213 ACV458748:ACV458749 ACV524284:ACV524285 ACV589820:ACV589821 ACV655356:ACV655357 ACV720892:ACV720893 ACV786428:ACV786429 ACV851964:ACV851965 ACV917500:ACV917501 ACV983036:ACV983037 AMQ4 AMQ65534 AMQ131070 AMQ196606 AMQ262142 AMQ327678 AMQ393214 AMQ458750 AMQ524286 AMQ589822 AMQ655358 AMQ720894 AMQ786430 AMQ851966 AMQ917502 AMQ983038 AMR2:AMR3 AMR65532:AMR65533 AMR131068:AMR131069 AMR196604:AMR196605 AMR262140:AMR262141 AMR327676:AMR327677 AMR393212:AMR393213 AMR458748:AMR458749 AMR524284:AMR524285 AMR589820:AMR589821 AMR655356:AMR655357 AMR720892:AMR720893 AMR786428:AMR786429 AMR851964:AMR851965 AMR917500:AMR917501 AMR983036:AMR983037 AWM4 AWM65534 AWM131070 AWM196606 AWM262142 AWM327678 AWM393214 AWM458750 AWM524286 AWM589822 AWM655358 AWM720894 AWM786430 AWM851966 AWM917502 AWM983038 AWN2:AWN3 AWN65532:AWN65533 AWN131068:AWN131069 AWN196604:AWN196605 AWN262140:AWN262141 AWN327676:AWN327677 AWN393212:AWN393213 AWN458748:AWN458749 AWN524284:AWN524285 AWN589820:AWN589821 AWN655356:AWN655357 AWN720892:AWN720893 AWN786428:AWN786429 AWN851964:AWN851965 AWN917500:AWN917501 AWN983036:AWN983037 BGI4 BGI65534 BGI131070 BGI196606 BGI262142 BGI327678 BGI393214 BGI458750 BGI524286 BGI589822 BGI655358 BGI720894 BGI786430 BGI851966 BGI917502 BGI983038 BGJ2:BGJ3 BGJ65532:BGJ65533 BGJ131068:BGJ131069 BGJ196604:BGJ196605 BGJ262140:BGJ262141 BGJ327676:BGJ327677 BGJ393212:BGJ393213 BGJ458748:BGJ458749 BGJ524284:BGJ524285 BGJ589820:BGJ589821 BGJ655356:BGJ655357 BGJ720892:BGJ720893 BGJ786428:BGJ786429 BGJ851964:BGJ851965 BGJ917500:BGJ917501 BGJ983036:BGJ983037 BQE4 BQE65534 BQE131070 BQE196606 BQE262142 BQE327678 BQE393214 BQE458750 BQE524286 BQE589822 BQE655358 BQE720894 BQE786430 BQE851966 BQE917502 BQE983038 BQF2:BQF3 BQF65532:BQF65533 BQF131068:BQF131069 BQF196604:BQF196605 BQF262140:BQF262141 BQF327676:BQF327677 BQF393212:BQF393213 BQF458748:BQF458749 BQF524284:BQF524285 BQF589820:BQF589821 BQF655356:BQF655357 BQF720892:BQF720893 BQF786428:BQF786429 BQF851964:BQF851965 BQF917500:BQF917501 BQF983036:BQF983037 CAA4 CAA65534 CAA131070 CAA196606 CAA262142 CAA327678 CAA393214 CAA458750 CAA524286 CAA589822 CAA655358 CAA720894 CAA786430 CAA851966 CAA917502 CAA983038 CAB2:CAB3 CAB65532:CAB65533 CAB131068:CAB131069 CAB196604:CAB196605 CAB262140:CAB262141 CAB327676:CAB327677 CAB393212:CAB393213 CAB458748:CAB458749 CAB524284:CAB524285 CAB589820:CAB589821 CAB655356:CAB655357 CAB720892:CAB720893 CAB786428:CAB786429 CAB851964:CAB851965 CAB917500:CAB917501 CAB983036:CAB983037 CJW4 CJW65534 CJW131070 CJW196606 CJW262142 CJW327678 CJW393214 CJW458750 CJW524286 CJW589822 CJW655358 CJW720894 CJW786430 CJW851966 CJW917502 CJW983038 CJX2:CJX3 CJX65532:CJX65533 CJX131068:CJX131069 CJX196604:CJX196605 CJX262140:CJX262141 CJX327676:CJX327677 CJX393212:CJX393213 CJX458748:CJX458749 CJX524284:CJX524285 CJX589820:CJX589821 CJX655356:CJX655357 CJX720892:CJX720893 CJX786428:CJX786429 CJX851964:CJX851965 CJX917500:CJX917501 CJX983036:CJX983037 CTS4 CTS65534 CTS131070 CTS196606 CTS262142 CTS327678 CTS393214 CTS458750 CTS524286 CTS589822 CTS655358 CTS720894 CTS786430 CTS851966 CTS917502 CTS983038 CTT2:CTT3 CTT65532:CTT65533 CTT131068:CTT131069 CTT196604:CTT196605 CTT262140:CTT262141 CTT327676:CTT327677 CTT393212:CTT393213 CTT458748:CTT458749 CTT524284:CTT524285 CTT589820:CTT589821 CTT655356:CTT655357 CTT720892:CTT720893 CTT786428:CTT786429 CTT851964:CTT851965 CTT917500:CTT917501 CTT983036:CTT983037 DDO4 DDO65534 DDO131070 DDO196606 DDO262142 DDO327678 DDO393214 DDO458750 DDO524286 DDO589822 DDO655358 DDO720894 DDO786430 DDO851966 DDO917502 DDO983038 DDP2:DDP3 DDP65532:DDP65533 DDP131068:DDP131069 DDP196604:DDP196605 DDP262140:DDP262141 DDP327676:DDP327677 DDP393212:DDP393213 DDP458748:DDP458749 DDP524284:DDP524285 DDP589820:DDP589821 DDP655356:DDP655357 DDP720892:DDP720893 DDP786428:DDP786429 DDP851964:DDP851965 DDP917500:DDP917501 DDP983036:DDP983037 DNK4 DNK65534 DNK131070 DNK196606 DNK262142 DNK327678 DNK393214 DNK458750 DNK524286 DNK589822 DNK655358 DNK720894 DNK786430 DNK851966 DNK917502 DNK983038 DNL2:DNL3 DNL65532:DNL65533 DNL131068:DNL131069 DNL196604:DNL196605 DNL262140:DNL262141 DNL327676:DNL327677 DNL393212:DNL393213 DNL458748:DNL458749 DNL524284:DNL524285 DNL589820:DNL589821 DNL655356:DNL655357 DNL720892:DNL720893 DNL786428:DNL786429 DNL851964:DNL851965 DNL917500:DNL917501 DNL983036:DNL983037 DXG4 DXG65534 DXG131070 DXG196606 DXG262142 DXG327678 DXG393214 DXG458750 DXG524286 DXG589822 DXG655358 DXG720894 DXG786430 DXG851966 DXG917502 DXG983038 DXH2:DXH3 DXH65532:DXH65533 DXH131068:DXH131069 DXH196604:DXH196605 DXH262140:DXH262141 DXH327676:DXH327677 DXH393212:DXH393213 DXH458748:DXH458749 DXH524284:DXH524285 DXH589820:DXH589821 DXH655356:DXH655357 DXH720892:DXH720893 DXH786428:DXH786429 DXH851964:DXH851965 DXH917500:DXH917501 DXH983036:DXH983037 EHC4 EHC65534 EHC131070 EHC196606 EHC262142 EHC327678 EHC393214 EHC458750 EHC524286 EHC589822 EHC655358 EHC720894 EHC786430 EHC851966 EHC917502 EHC983038 EHD2:EHD3 EHD65532:EHD65533 EHD131068:EHD131069 EHD196604:EHD196605 EHD262140:EHD262141 EHD327676:EHD327677 EHD393212:EHD393213 EHD458748:EHD458749 EHD524284:EHD524285 EHD589820:EHD589821 EHD655356:EHD655357 EHD720892:EHD720893 EHD786428:EHD786429 EHD851964:EHD851965 EHD917500:EHD917501 EHD983036:EHD983037 EQY4 EQY65534 EQY131070 EQY196606 EQY262142 EQY327678 EQY393214 EQY458750 EQY524286 EQY589822 EQY655358 EQY720894 EQY786430 EQY851966 EQY917502 EQY983038 EQZ2:EQZ3 EQZ65532:EQZ65533 EQZ131068:EQZ131069 EQZ196604:EQZ196605 EQZ262140:EQZ262141 EQZ327676:EQZ327677 EQZ393212:EQZ393213 EQZ458748:EQZ458749 EQZ524284:EQZ524285 EQZ589820:EQZ589821 EQZ655356:EQZ655357 EQZ720892:EQZ720893 EQZ786428:EQZ786429 EQZ851964:EQZ851965 EQZ917500:EQZ917501 EQZ983036:EQZ983037 FAU4 FAU65534 FAU131070 FAU196606 FAU262142 FAU327678 FAU393214 FAU458750 FAU524286 FAU589822 FAU655358 FAU720894 FAU786430 FAU851966 FAU917502 FAU983038 FAV2:FAV3 FAV65532:FAV65533 FAV131068:FAV131069 FAV196604:FAV196605 FAV262140:FAV262141 FAV327676:FAV327677 FAV393212:FAV393213 FAV458748:FAV458749 FAV524284:FAV524285 FAV589820:FAV589821 FAV655356:FAV655357 FAV720892:FAV720893 FAV786428:FAV786429 FAV851964:FAV851965 FAV917500:FAV917501 FAV983036:FAV983037 FKQ4 FKQ65534 FKQ131070 FKQ196606 FKQ262142 FKQ327678 FKQ393214 FKQ458750 FKQ524286 FKQ589822 FKQ655358 FKQ720894 FKQ786430 FKQ851966 FKQ917502 FKQ983038 FKR2:FKR3 FKR65532:FKR65533 FKR131068:FKR131069 FKR196604:FKR196605 FKR262140:FKR262141 FKR327676:FKR327677 FKR393212:FKR393213 FKR458748:FKR458749 FKR524284:FKR524285 FKR589820:FKR589821 FKR655356:FKR655357 FKR720892:FKR720893 FKR786428:FKR786429 FKR851964:FKR851965 FKR917500:FKR917501 FKR983036:FKR983037 FUM4 FUM65534 FUM131070 FUM196606 FUM262142 FUM327678 FUM393214 FUM458750 FUM524286 FUM589822 FUM655358 FUM720894 FUM786430 FUM851966 FUM917502 FUM983038 FUN2:FUN3 FUN65532:FUN65533 FUN131068:FUN131069 FUN196604:FUN196605 FUN262140:FUN262141 FUN327676:FUN327677 FUN393212:FUN393213 FUN458748:FUN458749 FUN524284:FUN524285 FUN589820:FUN589821 FUN655356:FUN655357 FUN720892:FUN720893 FUN786428:FUN786429 FUN851964:FUN851965 FUN917500:FUN917501 FUN983036:FUN983037 GEI4 GEI65534 GEI131070 GEI196606 GEI262142 GEI327678 GEI393214 GEI458750 GEI524286 GEI589822 GEI655358 GEI720894 GEI786430 GEI851966 GEI917502 GEI983038 GEJ2:GEJ3 GEJ65532:GEJ65533 GEJ131068:GEJ131069 GEJ196604:GEJ196605 GEJ262140:GEJ262141 GEJ327676:GEJ327677 GEJ393212:GEJ393213 GEJ458748:GEJ458749 GEJ524284:GEJ524285 GEJ589820:GEJ589821 GEJ655356:GEJ655357 GEJ720892:GEJ720893 GEJ786428:GEJ786429 GEJ851964:GEJ851965 GEJ917500:GEJ917501 GEJ983036:GEJ983037 GOE4 GOE65534 GOE131070 GOE196606 GOE262142 GOE327678 GOE393214 GOE458750 GOE524286 GOE589822 GOE655358 GOE720894 GOE786430 GOE851966 GOE917502 GOE983038 GOF2:GOF3 GOF65532:GOF65533 GOF131068:GOF131069 GOF196604:GOF196605 GOF262140:GOF262141 GOF327676:GOF327677 GOF393212:GOF393213 GOF458748:GOF458749 GOF524284:GOF524285 GOF589820:GOF589821 GOF655356:GOF655357 GOF720892:GOF720893 GOF786428:GOF786429 GOF851964:GOF851965 GOF917500:GOF917501 GOF983036:GOF983037 GYA4 GYA65534 GYA131070 GYA196606 GYA262142 GYA327678 GYA393214 GYA458750 GYA524286 GYA589822 GYA655358 GYA720894 GYA786430 GYA851966 GYA917502 GYA983038 GYB2:GYB3 GYB65532:GYB65533 GYB131068:GYB131069 GYB196604:GYB196605 GYB262140:GYB262141 GYB327676:GYB327677 GYB393212:GYB393213 GYB458748:GYB458749 GYB524284:GYB524285 GYB589820:GYB589821 GYB655356:GYB655357 GYB720892:GYB720893 GYB786428:GYB786429 GYB851964:GYB851965 GYB917500:GYB917501 GYB983036:GYB983037 HHW4 HHW65534 HHW131070 HHW196606 HHW262142 HHW327678 HHW393214 HHW458750 HHW524286 HHW589822 HHW655358 HHW720894 HHW786430 HHW851966 HHW917502 HHW983038 HHX2:HHX3 HHX65532:HHX65533 HHX131068:HHX131069 HHX196604:HHX196605 HHX262140:HHX262141 HHX327676:HHX327677 HHX393212:HHX393213 HHX458748:HHX458749 HHX524284:HHX524285 HHX589820:HHX589821 HHX655356:HHX655357 HHX720892:HHX720893 HHX786428:HHX786429 HHX851964:HHX851965 HHX917500:HHX917501 HHX983036:HHX983037 HRS4 HRS65534 HRS131070 HRS196606 HRS262142 HRS327678 HRS393214 HRS458750 HRS524286 HRS589822 HRS655358 HRS720894 HRS786430 HRS851966 HRS917502 HRS983038 HRT2:HRT3 HRT65532:HRT65533 HRT131068:HRT131069 HRT196604:HRT196605 HRT262140:HRT262141 HRT327676:HRT327677 HRT393212:HRT393213 HRT458748:HRT458749 HRT524284:HRT524285 HRT589820:HRT589821 HRT655356:HRT655357 HRT720892:HRT720893 HRT786428:HRT786429 HRT851964:HRT851965 HRT917500:HRT917501 HRT983036:HRT983037 IBO4 IBO65534 IBO131070 IBO196606 IBO262142 IBO327678 IBO393214 IBO458750 IBO524286 IBO589822 IBO655358 IBO720894 IBO786430 IBO851966 IBO917502 IBO983038 IBP2:IBP3 IBP65532:IBP65533 IBP131068:IBP131069 IBP196604:IBP196605 IBP262140:IBP262141 IBP327676:IBP327677 IBP393212:IBP393213 IBP458748:IBP458749 IBP524284:IBP524285 IBP589820:IBP589821 IBP655356:IBP655357 IBP720892:IBP720893 IBP786428:IBP786429 IBP851964:IBP851965 IBP917500:IBP917501 IBP983036:IBP983037 ILK4 ILK65534 ILK131070 ILK196606 ILK262142 ILK327678 ILK393214 ILK458750 ILK524286 ILK589822 ILK655358 ILK720894 ILK786430 ILK851966 ILK917502 ILK983038 ILL2:ILL3 ILL65532:ILL65533 ILL131068:ILL131069 ILL196604:ILL196605 ILL262140:ILL262141 ILL327676:ILL327677 ILL393212:ILL393213 ILL458748:ILL458749 ILL524284:ILL524285 ILL589820:ILL589821 ILL655356:ILL655357 ILL720892:ILL720893 ILL786428:ILL786429 ILL851964:ILL851965 ILL917500:ILL917501 ILL983036:ILL983037 IVG4 IVG65534 IVG131070 IVG196606 IVG262142 IVG327678 IVG393214 IVG458750 IVG524286 IVG589822 IVG655358 IVG720894 IVG786430 IVG851966 IVG917502 IVG983038 IVH2:IVH3 IVH65532:IVH65533 IVH131068:IVH131069 IVH196604:IVH196605 IVH262140:IVH262141 IVH327676:IVH327677 IVH393212:IVH393213 IVH458748:IVH458749 IVH524284:IVH524285 IVH589820:IVH589821 IVH655356:IVH655357 IVH720892:IVH720893 IVH786428:IVH786429 IVH851964:IVH851965 IVH917500:IVH917501 IVH983036:IVH983037 JFC4 JFC65534 JFC131070 JFC196606 JFC262142 JFC327678 JFC393214 JFC458750 JFC524286 JFC589822 JFC655358 JFC720894 JFC786430 JFC851966 JFC917502 JFC983038 JFD2:JFD3 JFD65532:JFD65533 JFD131068:JFD131069 JFD196604:JFD196605 JFD262140:JFD262141 JFD327676:JFD327677 JFD393212:JFD393213 JFD458748:JFD458749 JFD524284:JFD524285 JFD589820:JFD589821 JFD655356:JFD655357 JFD720892:JFD720893 JFD786428:JFD786429 JFD851964:JFD851965 JFD917500:JFD917501 JFD983036:JFD983037 JOY4 JOY65534 JOY131070 JOY196606 JOY262142 JOY327678 JOY393214 JOY458750 JOY524286 JOY589822 JOY655358 JOY720894 JOY786430 JOY851966 JOY917502 JOY983038 JOZ2:JOZ3 JOZ65532:JOZ65533 JOZ131068:JOZ131069 JOZ196604:JOZ196605 JOZ262140:JOZ262141 JOZ327676:JOZ327677 JOZ393212:JOZ393213 JOZ458748:JOZ458749 JOZ524284:JOZ524285 JOZ589820:JOZ589821 JOZ655356:JOZ655357 JOZ720892:JOZ720893 JOZ786428:JOZ786429 JOZ851964:JOZ851965 JOZ917500:JOZ917501 JOZ983036:JOZ983037 JYU4 JYU65534 JYU131070 JYU196606 JYU262142 JYU327678 JYU393214 JYU458750 JYU524286 JYU589822 JYU655358 JYU720894 JYU786430 JYU851966 JYU917502 JYU983038 JYV2:JYV3 JYV65532:JYV65533 JYV131068:JYV131069 JYV196604:JYV196605 JYV262140:JYV262141 JYV327676:JYV327677 JYV393212:JYV393213 JYV458748:JYV458749 JYV524284:JYV524285 JYV589820:JYV589821 JYV655356:JYV655357 JYV720892:JYV720893 JYV786428:JYV786429 JYV851964:JYV851965 JYV917500:JYV917501 JYV983036:JYV983037 KIQ4 KIQ65534 KIQ131070 KIQ196606 KIQ262142 KIQ327678 KIQ393214 KIQ458750 KIQ524286 KIQ589822 KIQ655358 KIQ720894 KIQ786430 KIQ851966 KIQ917502 KIQ983038 KIR2:KIR3 KIR65532:KIR65533 KIR131068:KIR131069 KIR196604:KIR196605 KIR262140:KIR262141 KIR327676:KIR327677 KIR393212:KIR393213 KIR458748:KIR458749 KIR524284:KIR524285 KIR589820:KIR589821 KIR655356:KIR655357 KIR720892:KIR720893 KIR786428:KIR786429 KIR851964:KIR851965 KIR917500:KIR917501 KIR983036:KIR983037 KSM4 KSM65534 KSM131070 KSM196606 KSM262142 KSM327678 KSM393214 KSM458750 KSM524286 KSM589822 KSM655358 KSM720894 KSM786430 KSM851966 KSM917502 KSM983038 KSN2:KSN3 KSN65532:KSN65533 KSN131068:KSN131069 KSN196604:KSN196605 KSN262140:KSN262141 KSN327676:KSN327677 KSN393212:KSN393213 KSN458748:KSN458749 KSN524284:KSN524285 KSN589820:KSN589821 KSN655356:KSN655357 KSN720892:KSN720893 KSN786428:KSN786429 KSN851964:KSN851965 KSN917500:KSN917501 KSN983036:KSN983037 LCI4 LCI65534 LCI131070 LCI196606 LCI262142 LCI327678 LCI393214 LCI458750 LCI524286 LCI589822 LCI655358 LCI720894 LCI786430 LCI851966 LCI917502 LCI983038 LCJ2:LCJ3 LCJ65532:LCJ65533 LCJ131068:LCJ131069 LCJ196604:LCJ196605 LCJ262140:LCJ262141 LCJ327676:LCJ327677 LCJ393212:LCJ393213 LCJ458748:LCJ458749 LCJ524284:LCJ524285 LCJ589820:LCJ589821 LCJ655356:LCJ655357 LCJ720892:LCJ720893 LCJ786428:LCJ786429 LCJ851964:LCJ851965 LCJ917500:LCJ917501 LCJ983036:LCJ983037 LME4 LME65534 LME131070 LME196606 LME262142 LME327678 LME393214 LME458750 LME524286 LME589822 LME655358 LME720894 LME786430 LME851966 LME917502 LME983038 LMF2:LMF3 LMF65532:LMF65533 LMF131068:LMF131069 LMF196604:LMF196605 LMF262140:LMF262141 LMF327676:LMF327677 LMF393212:LMF393213 LMF458748:LMF458749 LMF524284:LMF524285 LMF589820:LMF589821 LMF655356:LMF655357 LMF720892:LMF720893 LMF786428:LMF786429 LMF851964:LMF851965 LMF917500:LMF917501 LMF983036:LMF983037 LWA4 LWA65534 LWA131070 LWA196606 LWA262142 LWA327678 LWA393214 LWA458750 LWA524286 LWA589822 LWA655358 LWA720894 LWA786430 LWA851966 LWA917502 LWA983038 LWB2:LWB3 LWB65532:LWB65533 LWB131068:LWB131069 LWB196604:LWB196605 LWB262140:LWB262141 LWB327676:LWB327677 LWB393212:LWB393213 LWB458748:LWB458749 LWB524284:LWB524285 LWB589820:LWB589821 LWB655356:LWB655357 LWB720892:LWB720893 LWB786428:LWB786429 LWB851964:LWB851965 LWB917500:LWB917501 LWB983036:LWB983037 MFW4 MFW65534 MFW131070 MFW196606 MFW262142 MFW327678 MFW393214 MFW458750 MFW524286 MFW589822 MFW655358 MFW720894 MFW786430 MFW851966 MFW917502 MFW983038 MFX2:MFX3 MFX65532:MFX65533 MFX131068:MFX131069 MFX196604:MFX196605 MFX262140:MFX262141 MFX327676:MFX327677 MFX393212:MFX393213 MFX458748:MFX458749 MFX524284:MFX524285 MFX589820:MFX589821 MFX655356:MFX655357 MFX720892:MFX720893 MFX786428:MFX786429 MFX851964:MFX851965 MFX917500:MFX917501 MFX983036:MFX983037 MPS4 MPS65534 MPS131070 MPS196606 MPS262142 MPS327678 MPS393214 MPS458750 MPS524286 MPS589822 MPS655358 MPS720894 MPS786430 MPS851966 MPS917502 MPS983038 MPT2:MPT3 MPT65532:MPT65533 MPT131068:MPT131069 MPT196604:MPT196605 MPT262140:MPT262141 MPT327676:MPT327677 MPT393212:MPT393213 MPT458748:MPT458749 MPT524284:MPT524285 MPT589820:MPT589821 MPT655356:MPT655357 MPT720892:MPT720893 MPT786428:MPT786429 MPT851964:MPT851965 MPT917500:MPT917501 MPT983036:MPT983037 MZO4 MZO65534 MZO131070 MZO196606 MZO262142 MZO327678 MZO393214 MZO458750 MZO524286 MZO589822 MZO655358 MZO720894 MZO786430 MZO851966 MZO917502 MZO983038 MZP2:MZP3 MZP65532:MZP65533 MZP131068:MZP131069 MZP196604:MZP196605 MZP262140:MZP262141 MZP327676:MZP327677 MZP393212:MZP393213 MZP458748:MZP458749 MZP524284:MZP524285 MZP589820:MZP589821 MZP655356:MZP655357 MZP720892:MZP720893 MZP786428:MZP786429 MZP851964:MZP851965 MZP917500:MZP917501 MZP983036:MZP983037 NJK4 NJK65534 NJK131070 NJK196606 NJK262142 NJK327678 NJK393214 NJK458750 NJK524286 NJK589822 NJK655358 NJK720894 NJK786430 NJK851966 NJK917502 NJK983038 NJL2:NJL3 NJL65532:NJL65533 NJL131068:NJL131069 NJL196604:NJL196605 NJL262140:NJL262141 NJL327676:NJL327677 NJL393212:NJL393213 NJL458748:NJL458749 NJL524284:NJL524285 NJL589820:NJL589821 NJL655356:NJL655357 NJL720892:NJL720893 NJL786428:NJL786429 NJL851964:NJL851965 NJL917500:NJL917501 NJL983036:NJL983037 NTG4 NTG65534 NTG131070 NTG196606 NTG262142 NTG327678 NTG393214 NTG458750 NTG524286 NTG589822 NTG655358 NTG720894 NTG786430 NTG851966 NTG917502 NTG983038 NTH2:NTH3 NTH65532:NTH65533 NTH131068:NTH131069 NTH196604:NTH196605 NTH262140:NTH262141 NTH327676:NTH327677 NTH393212:NTH393213 NTH458748:NTH458749 NTH524284:NTH524285 NTH589820:NTH589821 NTH655356:NTH655357 NTH720892:NTH720893 NTH786428:NTH786429 NTH851964:NTH851965 NTH917500:NTH917501 NTH983036:NTH983037 ODC4 ODC65534 ODC131070 ODC196606 ODC262142 ODC327678 ODC393214 ODC458750 ODC524286 ODC589822 ODC655358 ODC720894 ODC786430 ODC851966 ODC917502 ODC983038 ODD2:ODD3 ODD65532:ODD65533 ODD131068:ODD131069 ODD196604:ODD196605 ODD262140:ODD262141 ODD327676:ODD327677 ODD393212:ODD393213 ODD458748:ODD458749 ODD524284:ODD524285 ODD589820:ODD589821 ODD655356:ODD655357 ODD720892:ODD720893 ODD786428:ODD786429 ODD851964:ODD851965 ODD917500:ODD917501 ODD983036:ODD983037 OMY4 OMY65534 OMY131070 OMY196606 OMY262142 OMY327678 OMY393214 OMY458750 OMY524286 OMY589822 OMY655358 OMY720894 OMY786430 OMY851966 OMY917502 OMY983038 OMZ2:OMZ3 OMZ65532:OMZ65533 OMZ131068:OMZ131069 OMZ196604:OMZ196605 OMZ262140:OMZ262141 OMZ327676:OMZ327677 OMZ393212:OMZ393213 OMZ458748:OMZ458749 OMZ524284:OMZ524285 OMZ589820:OMZ589821 OMZ655356:OMZ655357 OMZ720892:OMZ720893 OMZ786428:OMZ786429 OMZ851964:OMZ851965 OMZ917500:OMZ917501 OMZ983036:OMZ983037 OWU4 OWU65534 OWU131070 OWU196606 OWU262142 OWU327678 OWU393214 OWU458750 OWU524286 OWU589822 OWU655358 OWU720894 OWU786430 OWU851966 OWU917502 OWU983038 OWV2:OWV3 OWV65532:OWV65533 OWV131068:OWV131069 OWV196604:OWV196605 OWV262140:OWV262141 OWV327676:OWV327677 OWV393212:OWV393213 OWV458748:OWV458749 OWV524284:OWV524285 OWV589820:OWV589821 OWV655356:OWV655357 OWV720892:OWV720893 OWV786428:OWV786429 OWV851964:OWV851965 OWV917500:OWV917501 OWV983036:OWV983037 PGQ4 PGQ65534 PGQ131070 PGQ196606 PGQ262142 PGQ327678 PGQ393214 PGQ458750 PGQ524286 PGQ589822 PGQ655358 PGQ720894 PGQ786430 PGQ851966 PGQ917502 PGQ983038 PGR2:PGR3 PGR65532:PGR65533 PGR131068:PGR131069 PGR196604:PGR196605 PGR262140:PGR262141 PGR327676:PGR327677 PGR393212:PGR393213 PGR458748:PGR458749 PGR524284:PGR524285 PGR589820:PGR589821 PGR655356:PGR655357 PGR720892:PGR720893 PGR786428:PGR786429 PGR851964:PGR851965 PGR917500:PGR917501 PGR983036:PGR983037 PQM4 PQM65534 PQM131070 PQM196606 PQM262142 PQM327678 PQM393214 PQM458750 PQM524286 PQM589822 PQM655358 PQM720894 PQM786430 PQM851966 PQM917502 PQM983038 PQN2:PQN3 PQN65532:PQN65533 PQN131068:PQN131069 PQN196604:PQN196605 PQN262140:PQN262141 PQN327676:PQN327677 PQN393212:PQN393213 PQN458748:PQN458749 PQN524284:PQN524285 PQN589820:PQN589821 PQN655356:PQN655357 PQN720892:PQN720893 PQN786428:PQN786429 PQN851964:PQN851965 PQN917500:PQN917501 PQN983036:PQN983037 QAI4 QAI65534 QAI131070 QAI196606 QAI262142 QAI327678 QAI393214 QAI458750 QAI524286 QAI589822 QAI655358 QAI720894 QAI786430 QAI851966 QAI917502 QAI983038 QAJ2:QAJ3 QAJ65532:QAJ65533 QAJ131068:QAJ131069 QAJ196604:QAJ196605 QAJ262140:QAJ262141 QAJ327676:QAJ327677 QAJ393212:QAJ393213 QAJ458748:QAJ458749 QAJ524284:QAJ524285 QAJ589820:QAJ589821 QAJ655356:QAJ655357 QAJ720892:QAJ720893 QAJ786428:QAJ786429 QAJ851964:QAJ851965 QAJ917500:QAJ917501 QAJ983036:QAJ983037 QKE4 QKE65534 QKE131070 QKE196606 QKE262142 QKE327678 QKE393214 QKE458750 QKE524286 QKE589822 QKE655358 QKE720894 QKE786430 QKE851966 QKE917502 QKE983038 QKF2:QKF3 QKF65532:QKF65533 QKF131068:QKF131069 QKF196604:QKF196605 QKF262140:QKF262141 QKF327676:QKF327677 QKF393212:QKF393213 QKF458748:QKF458749 QKF524284:QKF524285 QKF589820:QKF589821 QKF655356:QKF655357 QKF720892:QKF720893 QKF786428:QKF786429 QKF851964:QKF851965 QKF917500:QKF917501 QKF983036:QKF983037 QUA4 QUA65534 QUA131070 QUA196606 QUA262142 QUA327678 QUA393214 QUA458750 QUA524286 QUA589822 QUA655358 QUA720894 QUA786430 QUA851966 QUA917502 QUA983038 QUB2:QUB3 QUB65532:QUB65533 QUB131068:QUB131069 QUB196604:QUB196605 QUB262140:QUB262141 QUB327676:QUB327677 QUB393212:QUB393213 QUB458748:QUB458749 QUB524284:QUB524285 QUB589820:QUB589821 QUB655356:QUB655357 QUB720892:QUB720893 QUB786428:QUB786429 QUB851964:QUB851965 QUB917500:QUB917501 QUB983036:QUB983037 RDW4 RDW65534 RDW131070 RDW196606 RDW262142 RDW327678 RDW393214 RDW458750 RDW524286 RDW589822 RDW655358 RDW720894 RDW786430 RDW851966 RDW917502 RDW983038 RDX2:RDX3 RDX65532:RDX65533 RDX131068:RDX131069 RDX196604:RDX196605 RDX262140:RDX262141 RDX327676:RDX327677 RDX393212:RDX393213 RDX458748:RDX458749 RDX524284:RDX524285 RDX589820:RDX589821 RDX655356:RDX655357 RDX720892:RDX720893 RDX786428:RDX786429 RDX851964:RDX851965 RDX917500:RDX917501 RDX983036:RDX983037 RNS4 RNS65534 RNS131070 RNS196606 RNS262142 RNS327678 RNS393214 RNS458750 RNS524286 RNS589822 RNS655358 RNS720894 RNS786430 RNS851966 RNS917502 RNS983038 RNT2:RNT3 RNT65532:RNT65533 RNT131068:RNT131069 RNT196604:RNT196605 RNT262140:RNT262141 RNT327676:RNT327677 RNT393212:RNT393213 RNT458748:RNT458749 RNT524284:RNT524285 RNT589820:RNT589821 RNT655356:RNT655357 RNT720892:RNT720893 RNT786428:RNT786429 RNT851964:RNT851965 RNT917500:RNT917501 RNT983036:RNT983037 RXO4 RXO65534 RXO131070 RXO196606 RXO262142 RXO327678 RXO393214 RXO458750 RXO524286 RXO589822 RXO655358 RXO720894 RXO786430 RXO851966 RXO917502 RXO983038 RXP2:RXP3 RXP65532:RXP65533 RXP131068:RXP131069 RXP196604:RXP196605 RXP262140:RXP262141 RXP327676:RXP327677 RXP393212:RXP393213 RXP458748:RXP458749 RXP524284:RXP524285 RXP589820:RXP589821 RXP655356:RXP655357 RXP720892:RXP720893 RXP786428:RXP786429 RXP851964:RXP851965 RXP917500:RXP917501 RXP983036:RXP983037 SHK4 SHK65534 SHK131070 SHK196606 SHK262142 SHK327678 SHK393214 SHK458750 SHK524286 SHK589822 SHK655358 SHK720894 SHK786430 SHK851966 SHK917502 SHK983038 SHL2:SHL3 SHL65532:SHL65533 SHL131068:SHL131069 SHL196604:SHL196605 SHL262140:SHL262141 SHL327676:SHL327677 SHL393212:SHL393213 SHL458748:SHL458749 SHL524284:SHL524285 SHL589820:SHL589821 SHL655356:SHL655357 SHL720892:SHL720893 SHL786428:SHL786429 SHL851964:SHL851965 SHL917500:SHL917501 SHL983036:SHL983037 SRG4 SRG65534 SRG131070 SRG196606 SRG262142 SRG327678 SRG393214 SRG458750 SRG524286 SRG589822 SRG655358 SRG720894 SRG786430 SRG851966 SRG917502 SRG983038 SRH2:SRH3 SRH65532:SRH65533 SRH131068:SRH131069 SRH196604:SRH196605 SRH262140:SRH262141 SRH327676:SRH327677 SRH393212:SRH393213 SRH458748:SRH458749 SRH524284:SRH524285 SRH589820:SRH589821 SRH655356:SRH655357 SRH720892:SRH720893 SRH786428:SRH786429 SRH851964:SRH851965 SRH917500:SRH917501 SRH983036:SRH983037 TBC4 TBC65534 TBC131070 TBC196606 TBC262142 TBC327678 TBC393214 TBC458750 TBC524286 TBC589822 TBC655358 TBC720894 TBC786430 TBC851966 TBC917502 TBC983038 TBD2:TBD3 TBD65532:TBD65533 TBD131068:TBD131069 TBD196604:TBD196605 TBD262140:TBD262141 TBD327676:TBD327677 TBD393212:TBD393213 TBD458748:TBD458749 TBD524284:TBD524285 TBD589820:TBD589821 TBD655356:TBD655357 TBD720892:TBD720893 TBD786428:TBD786429 TBD851964:TBD851965 TBD917500:TBD917501 TBD983036:TBD983037 TKY4 TKY65534 TKY131070 TKY196606 TKY262142 TKY327678 TKY393214 TKY458750 TKY524286 TKY589822 TKY655358 TKY720894 TKY786430 TKY851966 TKY917502 TKY983038 TKZ2:TKZ3 TKZ65532:TKZ65533 TKZ131068:TKZ131069 TKZ196604:TKZ196605 TKZ262140:TKZ262141 TKZ327676:TKZ327677 TKZ393212:TKZ393213 TKZ458748:TKZ458749 TKZ524284:TKZ524285 TKZ589820:TKZ589821 TKZ655356:TKZ655357 TKZ720892:TKZ720893 TKZ786428:TKZ786429 TKZ851964:TKZ851965 TKZ917500:TKZ917501 TKZ983036:TKZ983037 TUU4 TUU65534 TUU131070 TUU196606 TUU262142 TUU327678 TUU393214 TUU458750 TUU524286 TUU589822 TUU655358 TUU720894 TUU786430 TUU851966 TUU917502 TUU983038 TUV2:TUV3 TUV65532:TUV65533 TUV131068:TUV131069 TUV196604:TUV196605 TUV262140:TUV262141 TUV327676:TUV327677 TUV393212:TUV393213 TUV458748:TUV458749 TUV524284:TUV524285 TUV589820:TUV589821 TUV655356:TUV655357 TUV720892:TUV720893 TUV786428:TUV786429 TUV851964:TUV851965 TUV917500:TUV917501 TUV983036:TUV983037 UEQ4 UEQ65534 UEQ131070 UEQ196606 UEQ262142 UEQ327678 UEQ393214 UEQ458750 UEQ524286 UEQ589822 UEQ655358 UEQ720894 UEQ786430 UEQ851966 UEQ917502 UEQ983038 UER2:UER3 UER65532:UER65533 UER131068:UER131069 UER196604:UER196605 UER262140:UER262141 UER327676:UER327677 UER393212:UER393213 UER458748:UER458749 UER524284:UER524285 UER589820:UER589821 UER655356:UER655357 UER720892:UER720893 UER786428:UER786429 UER851964:UER851965 UER917500:UER917501 UER983036:UER983037 UOM4 UOM65534 UOM131070 UOM196606 UOM262142 UOM327678 UOM393214 UOM458750 UOM524286 UOM589822 UOM655358 UOM720894 UOM786430 UOM851966 UOM917502 UOM983038 UON2:UON3 UON65532:UON65533 UON131068:UON131069 UON196604:UON196605 UON262140:UON262141 UON327676:UON327677 UON393212:UON393213 UON458748:UON458749 UON524284:UON524285 UON589820:UON589821 UON655356:UON655357 UON720892:UON720893 UON786428:UON786429 UON851964:UON851965 UON917500:UON917501 UON983036:UON983037 UYI4 UYI65534 UYI131070 UYI196606 UYI262142 UYI327678 UYI393214 UYI458750 UYI524286 UYI589822 UYI655358 UYI720894 UYI786430 UYI851966 UYI917502 UYI983038 UYJ2:UYJ3 UYJ65532:UYJ65533 UYJ131068:UYJ131069 UYJ196604:UYJ196605 UYJ262140:UYJ262141 UYJ327676:UYJ327677 UYJ393212:UYJ393213 UYJ458748:UYJ458749 UYJ524284:UYJ524285 UYJ589820:UYJ589821 UYJ655356:UYJ655357 UYJ720892:UYJ720893 UYJ786428:UYJ786429 UYJ851964:UYJ851965 UYJ917500:UYJ917501 UYJ983036:UYJ983037 VIE4 VIE65534 VIE131070 VIE196606 VIE262142 VIE327678 VIE393214 VIE458750 VIE524286 VIE589822 VIE655358 VIE720894 VIE786430 VIE851966 VIE917502 VIE983038 VIF2:VIF3 VIF65532:VIF65533 VIF131068:VIF131069 VIF196604:VIF196605 VIF262140:VIF262141 VIF327676:VIF327677 VIF393212:VIF393213 VIF458748:VIF458749 VIF524284:VIF524285 VIF589820:VIF589821 VIF655356:VIF655357 VIF720892:VIF720893 VIF786428:VIF786429 VIF851964:VIF851965 VIF917500:VIF917501 VIF983036:VIF983037 VSA4 VSA65534 VSA131070 VSA196606 VSA262142 VSA327678 VSA393214 VSA458750 VSA524286 VSA589822 VSA655358 VSA720894 VSA786430 VSA851966 VSA917502 VSA983038 VSB2:VSB3 VSB65532:VSB65533 VSB131068:VSB131069 VSB196604:VSB196605 VSB262140:VSB262141 VSB327676:VSB327677 VSB393212:VSB393213 VSB458748:VSB458749 VSB524284:VSB524285 VSB589820:VSB589821 VSB655356:VSB655357 VSB720892:VSB720893 VSB786428:VSB786429 VSB851964:VSB851965 VSB917500:VSB917501 VSB983036:VSB983037 WBW4 WBW65534 WBW131070 WBW196606 WBW262142 WBW327678 WBW393214 WBW458750 WBW524286 WBW589822 WBW655358 WBW720894 WBW786430 WBW851966 WBW917502 WBW983038 WBX2:WBX3 WBX65532:WBX65533 WBX131068:WBX131069 WBX196604:WBX196605 WBX262140:WBX262141 WBX327676:WBX327677 WBX393212:WBX393213 WBX458748:WBX458749 WBX524284:WBX524285 WBX589820:WBX589821 WBX655356:WBX655357 WBX720892:WBX720893 WBX786428:WBX786429 WBX851964:WBX851965 WBX917500:WBX917501 WBX983036:WBX983037 WLS4 WLS65534 WLS131070 WLS196606 WLS262142 WLS327678 WLS393214 WLS458750 WLS524286 WLS589822 WLS655358 WLS720894 WLS786430 WLS851966 WLS917502 WLS983038 WLT2:WLT3 WLT65532:WLT65533 WLT131068:WLT131069 WLT196604:WLT196605 WLT262140:WLT262141 WLT327676:WLT327677 WLT393212:WLT393213 WLT458748:WLT458749 WLT524284:WLT524285 WLT589820:WLT589821 WLT655356:WLT655357 WLT720892:WLT720893 WLT786428:WLT786429 WLT851964:WLT851965 WLT917500:WLT917501 WLT983036:WLT983037 WVO4 WVO65534 WVO131070 WVO196606 WVO262142 WVO327678 WVO393214 WVO458750 WVO524286 WVO589822 WVO655358 WVO720894 WVO786430 WVO851966 WVO917502 WVO983038 WVP2:WVP3 WVP65532:WVP65533 WVP131068:WVP131069 WVP196604:WVP196605 WVP262140:WVP262141 WVP327676:WVP327677 WVP393212:WVP393213 WVP458748:WVP458749 WVP524284:WVP524285 WVP589820:WVP589821 WVP655356:WVP655357 WVP720892:WVP720893 WVP786428:WVP786429 WVP851964:WVP851965 WVP917500:WVP917501 WVP983036:WVP983037" xr:uid="{00000000-0002-0000-0800-000004000000}"/>
    <dataValidation allowBlank="1" showInputMessage="1" showErrorMessage="1" promptTitle="Name" prompt="Name of the exchange (elementary flow or intermediate product flow) in English language. " sqref="F2:F3 F65532:F65533 F131068:F131069 F196604:F196605 F262140:F262141 F327676:F327677 F393212:F393213 F458748:F458749 F524284:F524285 F589820:F589821 F655356:F655357 F720892:F720893 F786428:F786429 F851964:F851965 F917500:F917501 F983036:F983037 JC2:JC3 JC65532:JC65533 JC131068:JC131069 JC196604:JC196605 JC262140:JC262141 JC327676:JC327677 JC393212:JC393213 JC458748:JC458749 JC524284:JC524285 JC589820:JC589821 JC655356:JC655357 JC720892:JC720893 JC786428:JC786429 JC851964:JC851965 JC917500:JC917501 JC983036:JC983037 SY2:SY3 SY65532:SY65533 SY131068:SY131069 SY196604:SY196605 SY262140:SY262141 SY327676:SY327677 SY393212:SY393213 SY458748:SY458749 SY524284:SY524285 SY589820:SY589821 SY655356:SY655357 SY720892:SY720893 SY786428:SY786429 SY851964:SY851965 SY917500:SY917501 SY983036:SY983037 ACU2:ACU3 ACU65532:ACU65533 ACU131068:ACU131069 ACU196604:ACU196605 ACU262140:ACU262141 ACU327676:ACU327677 ACU393212:ACU393213 ACU458748:ACU458749 ACU524284:ACU524285 ACU589820:ACU589821 ACU655356:ACU655357 ACU720892:ACU720893 ACU786428:ACU786429 ACU851964:ACU851965 ACU917500:ACU917501 ACU983036:ACU983037 AMQ2:AMQ3 AMQ65532:AMQ65533 AMQ131068:AMQ131069 AMQ196604:AMQ196605 AMQ262140:AMQ262141 AMQ327676:AMQ327677 AMQ393212:AMQ393213 AMQ458748:AMQ458749 AMQ524284:AMQ524285 AMQ589820:AMQ589821 AMQ655356:AMQ655357 AMQ720892:AMQ720893 AMQ786428:AMQ786429 AMQ851964:AMQ851965 AMQ917500:AMQ917501 AMQ983036:AMQ983037 AWM2:AWM3 AWM65532:AWM65533 AWM131068:AWM131069 AWM196604:AWM196605 AWM262140:AWM262141 AWM327676:AWM327677 AWM393212:AWM393213 AWM458748:AWM458749 AWM524284:AWM524285 AWM589820:AWM589821 AWM655356:AWM655357 AWM720892:AWM720893 AWM786428:AWM786429 AWM851964:AWM851965 AWM917500:AWM917501 AWM983036:AWM983037 BGI2:BGI3 BGI65532:BGI65533 BGI131068:BGI131069 BGI196604:BGI196605 BGI262140:BGI262141 BGI327676:BGI327677 BGI393212:BGI393213 BGI458748:BGI458749 BGI524284:BGI524285 BGI589820:BGI589821 BGI655356:BGI655357 BGI720892:BGI720893 BGI786428:BGI786429 BGI851964:BGI851965 BGI917500:BGI917501 BGI983036:BGI983037 BQE2:BQE3 BQE65532:BQE65533 BQE131068:BQE131069 BQE196604:BQE196605 BQE262140:BQE262141 BQE327676:BQE327677 BQE393212:BQE393213 BQE458748:BQE458749 BQE524284:BQE524285 BQE589820:BQE589821 BQE655356:BQE655357 BQE720892:BQE720893 BQE786428:BQE786429 BQE851964:BQE851965 BQE917500:BQE917501 BQE983036:BQE983037 CAA2:CAA3 CAA65532:CAA65533 CAA131068:CAA131069 CAA196604:CAA196605 CAA262140:CAA262141 CAA327676:CAA327677 CAA393212:CAA393213 CAA458748:CAA458749 CAA524284:CAA524285 CAA589820:CAA589821 CAA655356:CAA655357 CAA720892:CAA720893 CAA786428:CAA786429 CAA851964:CAA851965 CAA917500:CAA917501 CAA983036:CAA983037 CJW2:CJW3 CJW65532:CJW65533 CJW131068:CJW131069 CJW196604:CJW196605 CJW262140:CJW262141 CJW327676:CJW327677 CJW393212:CJW393213 CJW458748:CJW458749 CJW524284:CJW524285 CJW589820:CJW589821 CJW655356:CJW655357 CJW720892:CJW720893 CJW786428:CJW786429 CJW851964:CJW851965 CJW917500:CJW917501 CJW983036:CJW983037 CTS2:CTS3 CTS65532:CTS65533 CTS131068:CTS131069 CTS196604:CTS196605 CTS262140:CTS262141 CTS327676:CTS327677 CTS393212:CTS393213 CTS458748:CTS458749 CTS524284:CTS524285 CTS589820:CTS589821 CTS655356:CTS655357 CTS720892:CTS720893 CTS786428:CTS786429 CTS851964:CTS851965 CTS917500:CTS917501 CTS983036:CTS983037 DDO2:DDO3 DDO65532:DDO65533 DDO131068:DDO131069 DDO196604:DDO196605 DDO262140:DDO262141 DDO327676:DDO327677 DDO393212:DDO393213 DDO458748:DDO458749 DDO524284:DDO524285 DDO589820:DDO589821 DDO655356:DDO655357 DDO720892:DDO720893 DDO786428:DDO786429 DDO851964:DDO851965 DDO917500:DDO917501 DDO983036:DDO983037 DNK2:DNK3 DNK65532:DNK65533 DNK131068:DNK131069 DNK196604:DNK196605 DNK262140:DNK262141 DNK327676:DNK327677 DNK393212:DNK393213 DNK458748:DNK458749 DNK524284:DNK524285 DNK589820:DNK589821 DNK655356:DNK655357 DNK720892:DNK720893 DNK786428:DNK786429 DNK851964:DNK851965 DNK917500:DNK917501 DNK983036:DNK983037 DXG2:DXG3 DXG65532:DXG65533 DXG131068:DXG131069 DXG196604:DXG196605 DXG262140:DXG262141 DXG327676:DXG327677 DXG393212:DXG393213 DXG458748:DXG458749 DXG524284:DXG524285 DXG589820:DXG589821 DXG655356:DXG655357 DXG720892:DXG720893 DXG786428:DXG786429 DXG851964:DXG851965 DXG917500:DXG917501 DXG983036:DXG983037 EHC2:EHC3 EHC65532:EHC65533 EHC131068:EHC131069 EHC196604:EHC196605 EHC262140:EHC262141 EHC327676:EHC327677 EHC393212:EHC393213 EHC458748:EHC458749 EHC524284:EHC524285 EHC589820:EHC589821 EHC655356:EHC655357 EHC720892:EHC720893 EHC786428:EHC786429 EHC851964:EHC851965 EHC917500:EHC917501 EHC983036:EHC983037 EQY2:EQY3 EQY65532:EQY65533 EQY131068:EQY131069 EQY196604:EQY196605 EQY262140:EQY262141 EQY327676:EQY327677 EQY393212:EQY393213 EQY458748:EQY458749 EQY524284:EQY524285 EQY589820:EQY589821 EQY655356:EQY655357 EQY720892:EQY720893 EQY786428:EQY786429 EQY851964:EQY851965 EQY917500:EQY917501 EQY983036:EQY983037 FAU2:FAU3 FAU65532:FAU65533 FAU131068:FAU131069 FAU196604:FAU196605 FAU262140:FAU262141 FAU327676:FAU327677 FAU393212:FAU393213 FAU458748:FAU458749 FAU524284:FAU524285 FAU589820:FAU589821 FAU655356:FAU655357 FAU720892:FAU720893 FAU786428:FAU786429 FAU851964:FAU851965 FAU917500:FAU917501 FAU983036:FAU983037 FKQ2:FKQ3 FKQ65532:FKQ65533 FKQ131068:FKQ131069 FKQ196604:FKQ196605 FKQ262140:FKQ262141 FKQ327676:FKQ327677 FKQ393212:FKQ393213 FKQ458748:FKQ458749 FKQ524284:FKQ524285 FKQ589820:FKQ589821 FKQ655356:FKQ655357 FKQ720892:FKQ720893 FKQ786428:FKQ786429 FKQ851964:FKQ851965 FKQ917500:FKQ917501 FKQ983036:FKQ983037 FUM2:FUM3 FUM65532:FUM65533 FUM131068:FUM131069 FUM196604:FUM196605 FUM262140:FUM262141 FUM327676:FUM327677 FUM393212:FUM393213 FUM458748:FUM458749 FUM524284:FUM524285 FUM589820:FUM589821 FUM655356:FUM655357 FUM720892:FUM720893 FUM786428:FUM786429 FUM851964:FUM851965 FUM917500:FUM917501 FUM983036:FUM983037 GEI2:GEI3 GEI65532:GEI65533 GEI131068:GEI131069 GEI196604:GEI196605 GEI262140:GEI262141 GEI327676:GEI327677 GEI393212:GEI393213 GEI458748:GEI458749 GEI524284:GEI524285 GEI589820:GEI589821 GEI655356:GEI655357 GEI720892:GEI720893 GEI786428:GEI786429 GEI851964:GEI851965 GEI917500:GEI917501 GEI983036:GEI983037 GOE2:GOE3 GOE65532:GOE65533 GOE131068:GOE131069 GOE196604:GOE196605 GOE262140:GOE262141 GOE327676:GOE327677 GOE393212:GOE393213 GOE458748:GOE458749 GOE524284:GOE524285 GOE589820:GOE589821 GOE655356:GOE655357 GOE720892:GOE720893 GOE786428:GOE786429 GOE851964:GOE851965 GOE917500:GOE917501 GOE983036:GOE983037 GYA2:GYA3 GYA65532:GYA65533 GYA131068:GYA131069 GYA196604:GYA196605 GYA262140:GYA262141 GYA327676:GYA327677 GYA393212:GYA393213 GYA458748:GYA458749 GYA524284:GYA524285 GYA589820:GYA589821 GYA655356:GYA655357 GYA720892:GYA720893 GYA786428:GYA786429 GYA851964:GYA851965 GYA917500:GYA917501 GYA983036:GYA983037 HHW2:HHW3 HHW65532:HHW65533 HHW131068:HHW131069 HHW196604:HHW196605 HHW262140:HHW262141 HHW327676:HHW327677 HHW393212:HHW393213 HHW458748:HHW458749 HHW524284:HHW524285 HHW589820:HHW589821 HHW655356:HHW655357 HHW720892:HHW720893 HHW786428:HHW786429 HHW851964:HHW851965 HHW917500:HHW917501 HHW983036:HHW983037 HRS2:HRS3 HRS65532:HRS65533 HRS131068:HRS131069 HRS196604:HRS196605 HRS262140:HRS262141 HRS327676:HRS327677 HRS393212:HRS393213 HRS458748:HRS458749 HRS524284:HRS524285 HRS589820:HRS589821 HRS655356:HRS655357 HRS720892:HRS720893 HRS786428:HRS786429 HRS851964:HRS851965 HRS917500:HRS917501 HRS983036:HRS983037 IBO2:IBO3 IBO65532:IBO65533 IBO131068:IBO131069 IBO196604:IBO196605 IBO262140:IBO262141 IBO327676:IBO327677 IBO393212:IBO393213 IBO458748:IBO458749 IBO524284:IBO524285 IBO589820:IBO589821 IBO655356:IBO655357 IBO720892:IBO720893 IBO786428:IBO786429 IBO851964:IBO851965 IBO917500:IBO917501 IBO983036:IBO983037 ILK2:ILK3 ILK65532:ILK65533 ILK131068:ILK131069 ILK196604:ILK196605 ILK262140:ILK262141 ILK327676:ILK327677 ILK393212:ILK393213 ILK458748:ILK458749 ILK524284:ILK524285 ILK589820:ILK589821 ILK655356:ILK655357 ILK720892:ILK720893 ILK786428:ILK786429 ILK851964:ILK851965 ILK917500:ILK917501 ILK983036:ILK983037 IVG2:IVG3 IVG65532:IVG65533 IVG131068:IVG131069 IVG196604:IVG196605 IVG262140:IVG262141 IVG327676:IVG327677 IVG393212:IVG393213 IVG458748:IVG458749 IVG524284:IVG524285 IVG589820:IVG589821 IVG655356:IVG655357 IVG720892:IVG720893 IVG786428:IVG786429 IVG851964:IVG851965 IVG917500:IVG917501 IVG983036:IVG983037 JFC2:JFC3 JFC65532:JFC65533 JFC131068:JFC131069 JFC196604:JFC196605 JFC262140:JFC262141 JFC327676:JFC327677 JFC393212:JFC393213 JFC458748:JFC458749 JFC524284:JFC524285 JFC589820:JFC589821 JFC655356:JFC655357 JFC720892:JFC720893 JFC786428:JFC786429 JFC851964:JFC851965 JFC917500:JFC917501 JFC983036:JFC983037 JOY2:JOY3 JOY65532:JOY65533 JOY131068:JOY131069 JOY196604:JOY196605 JOY262140:JOY262141 JOY327676:JOY327677 JOY393212:JOY393213 JOY458748:JOY458749 JOY524284:JOY524285 JOY589820:JOY589821 JOY655356:JOY655357 JOY720892:JOY720893 JOY786428:JOY786429 JOY851964:JOY851965 JOY917500:JOY917501 JOY983036:JOY983037 JYU2:JYU3 JYU65532:JYU65533 JYU131068:JYU131069 JYU196604:JYU196605 JYU262140:JYU262141 JYU327676:JYU327677 JYU393212:JYU393213 JYU458748:JYU458749 JYU524284:JYU524285 JYU589820:JYU589821 JYU655356:JYU655357 JYU720892:JYU720893 JYU786428:JYU786429 JYU851964:JYU851965 JYU917500:JYU917501 JYU983036:JYU983037 KIQ2:KIQ3 KIQ65532:KIQ65533 KIQ131068:KIQ131069 KIQ196604:KIQ196605 KIQ262140:KIQ262141 KIQ327676:KIQ327677 KIQ393212:KIQ393213 KIQ458748:KIQ458749 KIQ524284:KIQ524285 KIQ589820:KIQ589821 KIQ655356:KIQ655357 KIQ720892:KIQ720893 KIQ786428:KIQ786429 KIQ851964:KIQ851965 KIQ917500:KIQ917501 KIQ983036:KIQ983037 KSM2:KSM3 KSM65532:KSM65533 KSM131068:KSM131069 KSM196604:KSM196605 KSM262140:KSM262141 KSM327676:KSM327677 KSM393212:KSM393213 KSM458748:KSM458749 KSM524284:KSM524285 KSM589820:KSM589821 KSM655356:KSM655357 KSM720892:KSM720893 KSM786428:KSM786429 KSM851964:KSM851965 KSM917500:KSM917501 KSM983036:KSM983037 LCI2:LCI3 LCI65532:LCI65533 LCI131068:LCI131069 LCI196604:LCI196605 LCI262140:LCI262141 LCI327676:LCI327677 LCI393212:LCI393213 LCI458748:LCI458749 LCI524284:LCI524285 LCI589820:LCI589821 LCI655356:LCI655357 LCI720892:LCI720893 LCI786428:LCI786429 LCI851964:LCI851965 LCI917500:LCI917501 LCI983036:LCI983037 LME2:LME3 LME65532:LME65533 LME131068:LME131069 LME196604:LME196605 LME262140:LME262141 LME327676:LME327677 LME393212:LME393213 LME458748:LME458749 LME524284:LME524285 LME589820:LME589821 LME655356:LME655357 LME720892:LME720893 LME786428:LME786429 LME851964:LME851965 LME917500:LME917501 LME983036:LME983037 LWA2:LWA3 LWA65532:LWA65533 LWA131068:LWA131069 LWA196604:LWA196605 LWA262140:LWA262141 LWA327676:LWA327677 LWA393212:LWA393213 LWA458748:LWA458749 LWA524284:LWA524285 LWA589820:LWA589821 LWA655356:LWA655357 LWA720892:LWA720893 LWA786428:LWA786429 LWA851964:LWA851965 LWA917500:LWA917501 LWA983036:LWA983037 MFW2:MFW3 MFW65532:MFW65533 MFW131068:MFW131069 MFW196604:MFW196605 MFW262140:MFW262141 MFW327676:MFW327677 MFW393212:MFW393213 MFW458748:MFW458749 MFW524284:MFW524285 MFW589820:MFW589821 MFW655356:MFW655357 MFW720892:MFW720893 MFW786428:MFW786429 MFW851964:MFW851965 MFW917500:MFW917501 MFW983036:MFW983037 MPS2:MPS3 MPS65532:MPS65533 MPS131068:MPS131069 MPS196604:MPS196605 MPS262140:MPS262141 MPS327676:MPS327677 MPS393212:MPS393213 MPS458748:MPS458749 MPS524284:MPS524285 MPS589820:MPS589821 MPS655356:MPS655357 MPS720892:MPS720893 MPS786428:MPS786429 MPS851964:MPS851965 MPS917500:MPS917501 MPS983036:MPS983037 MZO2:MZO3 MZO65532:MZO65533 MZO131068:MZO131069 MZO196604:MZO196605 MZO262140:MZO262141 MZO327676:MZO327677 MZO393212:MZO393213 MZO458748:MZO458749 MZO524284:MZO524285 MZO589820:MZO589821 MZO655356:MZO655357 MZO720892:MZO720893 MZO786428:MZO786429 MZO851964:MZO851965 MZO917500:MZO917501 MZO983036:MZO983037 NJK2:NJK3 NJK65532:NJK65533 NJK131068:NJK131069 NJK196604:NJK196605 NJK262140:NJK262141 NJK327676:NJK327677 NJK393212:NJK393213 NJK458748:NJK458749 NJK524284:NJK524285 NJK589820:NJK589821 NJK655356:NJK655357 NJK720892:NJK720893 NJK786428:NJK786429 NJK851964:NJK851965 NJK917500:NJK917501 NJK983036:NJK983037 NTG2:NTG3 NTG65532:NTG65533 NTG131068:NTG131069 NTG196604:NTG196605 NTG262140:NTG262141 NTG327676:NTG327677 NTG393212:NTG393213 NTG458748:NTG458749 NTG524284:NTG524285 NTG589820:NTG589821 NTG655356:NTG655357 NTG720892:NTG720893 NTG786428:NTG786429 NTG851964:NTG851965 NTG917500:NTG917501 NTG983036:NTG983037 ODC2:ODC3 ODC65532:ODC65533 ODC131068:ODC131069 ODC196604:ODC196605 ODC262140:ODC262141 ODC327676:ODC327677 ODC393212:ODC393213 ODC458748:ODC458749 ODC524284:ODC524285 ODC589820:ODC589821 ODC655356:ODC655357 ODC720892:ODC720893 ODC786428:ODC786429 ODC851964:ODC851965 ODC917500:ODC917501 ODC983036:ODC983037 OMY2:OMY3 OMY65532:OMY65533 OMY131068:OMY131069 OMY196604:OMY196605 OMY262140:OMY262141 OMY327676:OMY327677 OMY393212:OMY393213 OMY458748:OMY458749 OMY524284:OMY524285 OMY589820:OMY589821 OMY655356:OMY655357 OMY720892:OMY720893 OMY786428:OMY786429 OMY851964:OMY851965 OMY917500:OMY917501 OMY983036:OMY983037 OWU2:OWU3 OWU65532:OWU65533 OWU131068:OWU131069 OWU196604:OWU196605 OWU262140:OWU262141 OWU327676:OWU327677 OWU393212:OWU393213 OWU458748:OWU458749 OWU524284:OWU524285 OWU589820:OWU589821 OWU655356:OWU655357 OWU720892:OWU720893 OWU786428:OWU786429 OWU851964:OWU851965 OWU917500:OWU917501 OWU983036:OWU983037 PGQ2:PGQ3 PGQ65532:PGQ65533 PGQ131068:PGQ131069 PGQ196604:PGQ196605 PGQ262140:PGQ262141 PGQ327676:PGQ327677 PGQ393212:PGQ393213 PGQ458748:PGQ458749 PGQ524284:PGQ524285 PGQ589820:PGQ589821 PGQ655356:PGQ655357 PGQ720892:PGQ720893 PGQ786428:PGQ786429 PGQ851964:PGQ851965 PGQ917500:PGQ917501 PGQ983036:PGQ983037 PQM2:PQM3 PQM65532:PQM65533 PQM131068:PQM131069 PQM196604:PQM196605 PQM262140:PQM262141 PQM327676:PQM327677 PQM393212:PQM393213 PQM458748:PQM458749 PQM524284:PQM524285 PQM589820:PQM589821 PQM655356:PQM655357 PQM720892:PQM720893 PQM786428:PQM786429 PQM851964:PQM851965 PQM917500:PQM917501 PQM983036:PQM983037 QAI2:QAI3 QAI65532:QAI65533 QAI131068:QAI131069 QAI196604:QAI196605 QAI262140:QAI262141 QAI327676:QAI327677 QAI393212:QAI393213 QAI458748:QAI458749 QAI524284:QAI524285 QAI589820:QAI589821 QAI655356:QAI655357 QAI720892:QAI720893 QAI786428:QAI786429 QAI851964:QAI851965 QAI917500:QAI917501 QAI983036:QAI983037 QKE2:QKE3 QKE65532:QKE65533 QKE131068:QKE131069 QKE196604:QKE196605 QKE262140:QKE262141 QKE327676:QKE327677 QKE393212:QKE393213 QKE458748:QKE458749 QKE524284:QKE524285 QKE589820:QKE589821 QKE655356:QKE655357 QKE720892:QKE720893 QKE786428:QKE786429 QKE851964:QKE851965 QKE917500:QKE917501 QKE983036:QKE983037 QUA2:QUA3 QUA65532:QUA65533 QUA131068:QUA131069 QUA196604:QUA196605 QUA262140:QUA262141 QUA327676:QUA327677 QUA393212:QUA393213 QUA458748:QUA458749 QUA524284:QUA524285 QUA589820:QUA589821 QUA655356:QUA655357 QUA720892:QUA720893 QUA786428:QUA786429 QUA851964:QUA851965 QUA917500:QUA917501 QUA983036:QUA983037 RDW2:RDW3 RDW65532:RDW65533 RDW131068:RDW131069 RDW196604:RDW196605 RDW262140:RDW262141 RDW327676:RDW327677 RDW393212:RDW393213 RDW458748:RDW458749 RDW524284:RDW524285 RDW589820:RDW589821 RDW655356:RDW655357 RDW720892:RDW720893 RDW786428:RDW786429 RDW851964:RDW851965 RDW917500:RDW917501 RDW983036:RDW983037 RNS2:RNS3 RNS65532:RNS65533 RNS131068:RNS131069 RNS196604:RNS196605 RNS262140:RNS262141 RNS327676:RNS327677 RNS393212:RNS393213 RNS458748:RNS458749 RNS524284:RNS524285 RNS589820:RNS589821 RNS655356:RNS655357 RNS720892:RNS720893 RNS786428:RNS786429 RNS851964:RNS851965 RNS917500:RNS917501 RNS983036:RNS983037 RXO2:RXO3 RXO65532:RXO65533 RXO131068:RXO131069 RXO196604:RXO196605 RXO262140:RXO262141 RXO327676:RXO327677 RXO393212:RXO393213 RXO458748:RXO458749 RXO524284:RXO524285 RXO589820:RXO589821 RXO655356:RXO655357 RXO720892:RXO720893 RXO786428:RXO786429 RXO851964:RXO851965 RXO917500:RXO917501 RXO983036:RXO983037 SHK2:SHK3 SHK65532:SHK65533 SHK131068:SHK131069 SHK196604:SHK196605 SHK262140:SHK262141 SHK327676:SHK327677 SHK393212:SHK393213 SHK458748:SHK458749 SHK524284:SHK524285 SHK589820:SHK589821 SHK655356:SHK655357 SHK720892:SHK720893 SHK786428:SHK786429 SHK851964:SHK851965 SHK917500:SHK917501 SHK983036:SHK983037 SRG2:SRG3 SRG65532:SRG65533 SRG131068:SRG131069 SRG196604:SRG196605 SRG262140:SRG262141 SRG327676:SRG327677 SRG393212:SRG393213 SRG458748:SRG458749 SRG524284:SRG524285 SRG589820:SRG589821 SRG655356:SRG655357 SRG720892:SRG720893 SRG786428:SRG786429 SRG851964:SRG851965 SRG917500:SRG917501 SRG983036:SRG983037 TBC2:TBC3 TBC65532:TBC65533 TBC131068:TBC131069 TBC196604:TBC196605 TBC262140:TBC262141 TBC327676:TBC327677 TBC393212:TBC393213 TBC458748:TBC458749 TBC524284:TBC524285 TBC589820:TBC589821 TBC655356:TBC655357 TBC720892:TBC720893 TBC786428:TBC786429 TBC851964:TBC851965 TBC917500:TBC917501 TBC983036:TBC983037 TKY2:TKY3 TKY65532:TKY65533 TKY131068:TKY131069 TKY196604:TKY196605 TKY262140:TKY262141 TKY327676:TKY327677 TKY393212:TKY393213 TKY458748:TKY458749 TKY524284:TKY524285 TKY589820:TKY589821 TKY655356:TKY655357 TKY720892:TKY720893 TKY786428:TKY786429 TKY851964:TKY851965 TKY917500:TKY917501 TKY983036:TKY983037 TUU2:TUU3 TUU65532:TUU65533 TUU131068:TUU131069 TUU196604:TUU196605 TUU262140:TUU262141 TUU327676:TUU327677 TUU393212:TUU393213 TUU458748:TUU458749 TUU524284:TUU524285 TUU589820:TUU589821 TUU655356:TUU655357 TUU720892:TUU720893 TUU786428:TUU786429 TUU851964:TUU851965 TUU917500:TUU917501 TUU983036:TUU983037 UEQ2:UEQ3 UEQ65532:UEQ65533 UEQ131068:UEQ131069 UEQ196604:UEQ196605 UEQ262140:UEQ262141 UEQ327676:UEQ327677 UEQ393212:UEQ393213 UEQ458748:UEQ458749 UEQ524284:UEQ524285 UEQ589820:UEQ589821 UEQ655356:UEQ655357 UEQ720892:UEQ720893 UEQ786428:UEQ786429 UEQ851964:UEQ851965 UEQ917500:UEQ917501 UEQ983036:UEQ983037 UOM2:UOM3 UOM65532:UOM65533 UOM131068:UOM131069 UOM196604:UOM196605 UOM262140:UOM262141 UOM327676:UOM327677 UOM393212:UOM393213 UOM458748:UOM458749 UOM524284:UOM524285 UOM589820:UOM589821 UOM655356:UOM655357 UOM720892:UOM720893 UOM786428:UOM786429 UOM851964:UOM851965 UOM917500:UOM917501 UOM983036:UOM983037 UYI2:UYI3 UYI65532:UYI65533 UYI131068:UYI131069 UYI196604:UYI196605 UYI262140:UYI262141 UYI327676:UYI327677 UYI393212:UYI393213 UYI458748:UYI458749 UYI524284:UYI524285 UYI589820:UYI589821 UYI655356:UYI655357 UYI720892:UYI720893 UYI786428:UYI786429 UYI851964:UYI851965 UYI917500:UYI917501 UYI983036:UYI983037 VIE2:VIE3 VIE65532:VIE65533 VIE131068:VIE131069 VIE196604:VIE196605 VIE262140:VIE262141 VIE327676:VIE327677 VIE393212:VIE393213 VIE458748:VIE458749 VIE524284:VIE524285 VIE589820:VIE589821 VIE655356:VIE655357 VIE720892:VIE720893 VIE786428:VIE786429 VIE851964:VIE851965 VIE917500:VIE917501 VIE983036:VIE983037 VSA2:VSA3 VSA65532:VSA65533 VSA131068:VSA131069 VSA196604:VSA196605 VSA262140:VSA262141 VSA327676:VSA327677 VSA393212:VSA393213 VSA458748:VSA458749 VSA524284:VSA524285 VSA589820:VSA589821 VSA655356:VSA655357 VSA720892:VSA720893 VSA786428:VSA786429 VSA851964:VSA851965 VSA917500:VSA917501 VSA983036:VSA983037 WBW2:WBW3 WBW65532:WBW65533 WBW131068:WBW131069 WBW196604:WBW196605 WBW262140:WBW262141 WBW327676:WBW327677 WBW393212:WBW393213 WBW458748:WBW458749 WBW524284:WBW524285 WBW589820:WBW589821 WBW655356:WBW655357 WBW720892:WBW720893 WBW786428:WBW786429 WBW851964:WBW851965 WBW917500:WBW917501 WBW983036:WBW983037 WLS2:WLS3 WLS65532:WLS65533 WLS131068:WLS131069 WLS196604:WLS196605 WLS262140:WLS262141 WLS327676:WLS327677 WLS393212:WLS393213 WLS458748:WLS458749 WLS524284:WLS524285 WLS589820:WLS589821 WLS655356:WLS655357 WLS720892:WLS720893 WLS786428:WLS786429 WLS851964:WLS851965 WLS917500:WLS917501 WLS983036:WLS983037 WVO2:WVO3 WVO65532:WVO65533 WVO131068:WVO131069 WVO196604:WVO196605 WVO262140:WVO262141 WVO327676:WVO327677 WVO393212:WVO393213 WVO458748:WVO458749 WVO524284:WVO524285 WVO589820:WVO589821 WVO655356:WVO655357 WVO720892:WVO720893 WVO786428:WVO786429 WVO851964:WVO851965 WVO917500:WVO917501 WVO983036:WVO983037" xr:uid="{00000000-0002-0000-0800-000005000000}"/>
    <dataValidation allowBlank="1" showInputMessage="1" showErrorMessage="1" promptTitle="Infrastructure" prompt="Describes whether the intermediate product flow from or to the unit process is an infrastructure process or not._x000a__x000a_Not applicable to elementary flows." sqref="F5 F65535 F131071 F196607 F262143 F327679 F393215 F458751 F524287 F589823 F655359 F720895 F786431 F851967 F917503 F983039 J2:J3 J65532:J65533 J131068:J131069 J196604:J196605 J262140:J262141 J327676:J327677 J393212:J393213 J458748:J458749 J524284:J524285 J589820:J589821 J655356:J655357 J720892:J720893 J786428:J786429 J851964:J851965 J917500:J917501 J983036:J983037 JC5 JC65535 JC131071 JC196607 JC262143 JC327679 JC393215 JC458751 JC524287 JC589823 JC655359 JC720895 JC786431 JC851967 JC917503 JC983039 JG2:JG3 JG65532:JG65533 JG131068:JG131069 JG196604:JG196605 JG262140:JG262141 JG327676:JG327677 JG393212:JG393213 JG458748:JG458749 JG524284:JG524285 JG589820:JG589821 JG655356:JG655357 JG720892:JG720893 JG786428:JG786429 JG851964:JG851965 JG917500:JG917501 JG983036:JG983037 SY5 SY65535 SY131071 SY196607 SY262143 SY327679 SY393215 SY458751 SY524287 SY589823 SY655359 SY720895 SY786431 SY851967 SY917503 SY983039 TC2:TC3 TC65532:TC65533 TC131068:TC131069 TC196604:TC196605 TC262140:TC262141 TC327676:TC327677 TC393212:TC393213 TC458748:TC458749 TC524284:TC524285 TC589820:TC589821 TC655356:TC655357 TC720892:TC720893 TC786428:TC786429 TC851964:TC851965 TC917500:TC917501 TC983036:TC983037 ACU5 ACU65535 ACU131071 ACU196607 ACU262143 ACU327679 ACU393215 ACU458751 ACU524287 ACU589823 ACU655359 ACU720895 ACU786431 ACU851967 ACU917503 ACU983039 ACY2:ACY3 ACY65532:ACY65533 ACY131068:ACY131069 ACY196604:ACY196605 ACY262140:ACY262141 ACY327676:ACY327677 ACY393212:ACY393213 ACY458748:ACY458749 ACY524284:ACY524285 ACY589820:ACY589821 ACY655356:ACY655357 ACY720892:ACY720893 ACY786428:ACY786429 ACY851964:ACY851965 ACY917500:ACY917501 ACY983036:ACY983037 AMQ5 AMQ65535 AMQ131071 AMQ196607 AMQ262143 AMQ327679 AMQ393215 AMQ458751 AMQ524287 AMQ589823 AMQ655359 AMQ720895 AMQ786431 AMQ851967 AMQ917503 AMQ983039 AMU2:AMU3 AMU65532:AMU65533 AMU131068:AMU131069 AMU196604:AMU196605 AMU262140:AMU262141 AMU327676:AMU327677 AMU393212:AMU393213 AMU458748:AMU458749 AMU524284:AMU524285 AMU589820:AMU589821 AMU655356:AMU655357 AMU720892:AMU720893 AMU786428:AMU786429 AMU851964:AMU851965 AMU917500:AMU917501 AMU983036:AMU983037 AWM5 AWM65535 AWM131071 AWM196607 AWM262143 AWM327679 AWM393215 AWM458751 AWM524287 AWM589823 AWM655359 AWM720895 AWM786431 AWM851967 AWM917503 AWM983039 AWQ2:AWQ3 AWQ65532:AWQ65533 AWQ131068:AWQ131069 AWQ196604:AWQ196605 AWQ262140:AWQ262141 AWQ327676:AWQ327677 AWQ393212:AWQ393213 AWQ458748:AWQ458749 AWQ524284:AWQ524285 AWQ589820:AWQ589821 AWQ655356:AWQ655357 AWQ720892:AWQ720893 AWQ786428:AWQ786429 AWQ851964:AWQ851965 AWQ917500:AWQ917501 AWQ983036:AWQ983037 BGI5 BGI65535 BGI131071 BGI196607 BGI262143 BGI327679 BGI393215 BGI458751 BGI524287 BGI589823 BGI655359 BGI720895 BGI786431 BGI851967 BGI917503 BGI983039 BGM2:BGM3 BGM65532:BGM65533 BGM131068:BGM131069 BGM196604:BGM196605 BGM262140:BGM262141 BGM327676:BGM327677 BGM393212:BGM393213 BGM458748:BGM458749 BGM524284:BGM524285 BGM589820:BGM589821 BGM655356:BGM655357 BGM720892:BGM720893 BGM786428:BGM786429 BGM851964:BGM851965 BGM917500:BGM917501 BGM983036:BGM983037 BQE5 BQE65535 BQE131071 BQE196607 BQE262143 BQE327679 BQE393215 BQE458751 BQE524287 BQE589823 BQE655359 BQE720895 BQE786431 BQE851967 BQE917503 BQE983039 BQI2:BQI3 BQI65532:BQI65533 BQI131068:BQI131069 BQI196604:BQI196605 BQI262140:BQI262141 BQI327676:BQI327677 BQI393212:BQI393213 BQI458748:BQI458749 BQI524284:BQI524285 BQI589820:BQI589821 BQI655356:BQI655357 BQI720892:BQI720893 BQI786428:BQI786429 BQI851964:BQI851965 BQI917500:BQI917501 BQI983036:BQI983037 CAA5 CAA65535 CAA131071 CAA196607 CAA262143 CAA327679 CAA393215 CAA458751 CAA524287 CAA589823 CAA655359 CAA720895 CAA786431 CAA851967 CAA917503 CAA983039 CAE2:CAE3 CAE65532:CAE65533 CAE131068:CAE131069 CAE196604:CAE196605 CAE262140:CAE262141 CAE327676:CAE327677 CAE393212:CAE393213 CAE458748:CAE458749 CAE524284:CAE524285 CAE589820:CAE589821 CAE655356:CAE655357 CAE720892:CAE720893 CAE786428:CAE786429 CAE851964:CAE851965 CAE917500:CAE917501 CAE983036:CAE983037 CJW5 CJW65535 CJW131071 CJW196607 CJW262143 CJW327679 CJW393215 CJW458751 CJW524287 CJW589823 CJW655359 CJW720895 CJW786431 CJW851967 CJW917503 CJW983039 CKA2:CKA3 CKA65532:CKA65533 CKA131068:CKA131069 CKA196604:CKA196605 CKA262140:CKA262141 CKA327676:CKA327677 CKA393212:CKA393213 CKA458748:CKA458749 CKA524284:CKA524285 CKA589820:CKA589821 CKA655356:CKA655357 CKA720892:CKA720893 CKA786428:CKA786429 CKA851964:CKA851965 CKA917500:CKA917501 CKA983036:CKA983037 CTS5 CTS65535 CTS131071 CTS196607 CTS262143 CTS327679 CTS393215 CTS458751 CTS524287 CTS589823 CTS655359 CTS720895 CTS786431 CTS851967 CTS917503 CTS983039 CTW2:CTW3 CTW65532:CTW65533 CTW131068:CTW131069 CTW196604:CTW196605 CTW262140:CTW262141 CTW327676:CTW327677 CTW393212:CTW393213 CTW458748:CTW458749 CTW524284:CTW524285 CTW589820:CTW589821 CTW655356:CTW655357 CTW720892:CTW720893 CTW786428:CTW786429 CTW851964:CTW851965 CTW917500:CTW917501 CTW983036:CTW983037 DDO5 DDO65535 DDO131071 DDO196607 DDO262143 DDO327679 DDO393215 DDO458751 DDO524287 DDO589823 DDO655359 DDO720895 DDO786431 DDO851967 DDO917503 DDO983039 DDS2:DDS3 DDS65532:DDS65533 DDS131068:DDS131069 DDS196604:DDS196605 DDS262140:DDS262141 DDS327676:DDS327677 DDS393212:DDS393213 DDS458748:DDS458749 DDS524284:DDS524285 DDS589820:DDS589821 DDS655356:DDS655357 DDS720892:DDS720893 DDS786428:DDS786429 DDS851964:DDS851965 DDS917500:DDS917501 DDS983036:DDS983037 DNK5 DNK65535 DNK131071 DNK196607 DNK262143 DNK327679 DNK393215 DNK458751 DNK524287 DNK589823 DNK655359 DNK720895 DNK786431 DNK851967 DNK917503 DNK983039 DNO2:DNO3 DNO65532:DNO65533 DNO131068:DNO131069 DNO196604:DNO196605 DNO262140:DNO262141 DNO327676:DNO327677 DNO393212:DNO393213 DNO458748:DNO458749 DNO524284:DNO524285 DNO589820:DNO589821 DNO655356:DNO655357 DNO720892:DNO720893 DNO786428:DNO786429 DNO851964:DNO851965 DNO917500:DNO917501 DNO983036:DNO983037 DXG5 DXG65535 DXG131071 DXG196607 DXG262143 DXG327679 DXG393215 DXG458751 DXG524287 DXG589823 DXG655359 DXG720895 DXG786431 DXG851967 DXG917503 DXG983039 DXK2:DXK3 DXK65532:DXK65533 DXK131068:DXK131069 DXK196604:DXK196605 DXK262140:DXK262141 DXK327676:DXK327677 DXK393212:DXK393213 DXK458748:DXK458749 DXK524284:DXK524285 DXK589820:DXK589821 DXK655356:DXK655357 DXK720892:DXK720893 DXK786428:DXK786429 DXK851964:DXK851965 DXK917500:DXK917501 DXK983036:DXK983037 EHC5 EHC65535 EHC131071 EHC196607 EHC262143 EHC327679 EHC393215 EHC458751 EHC524287 EHC589823 EHC655359 EHC720895 EHC786431 EHC851967 EHC917503 EHC983039 EHG2:EHG3 EHG65532:EHG65533 EHG131068:EHG131069 EHG196604:EHG196605 EHG262140:EHG262141 EHG327676:EHG327677 EHG393212:EHG393213 EHG458748:EHG458749 EHG524284:EHG524285 EHG589820:EHG589821 EHG655356:EHG655357 EHG720892:EHG720893 EHG786428:EHG786429 EHG851964:EHG851965 EHG917500:EHG917501 EHG983036:EHG983037 EQY5 EQY65535 EQY131071 EQY196607 EQY262143 EQY327679 EQY393215 EQY458751 EQY524287 EQY589823 EQY655359 EQY720895 EQY786431 EQY851967 EQY917503 EQY983039 ERC2:ERC3 ERC65532:ERC65533 ERC131068:ERC131069 ERC196604:ERC196605 ERC262140:ERC262141 ERC327676:ERC327677 ERC393212:ERC393213 ERC458748:ERC458749 ERC524284:ERC524285 ERC589820:ERC589821 ERC655356:ERC655357 ERC720892:ERC720893 ERC786428:ERC786429 ERC851964:ERC851965 ERC917500:ERC917501 ERC983036:ERC983037 FAU5 FAU65535 FAU131071 FAU196607 FAU262143 FAU327679 FAU393215 FAU458751 FAU524287 FAU589823 FAU655359 FAU720895 FAU786431 FAU851967 FAU917503 FAU983039 FAY2:FAY3 FAY65532:FAY65533 FAY131068:FAY131069 FAY196604:FAY196605 FAY262140:FAY262141 FAY327676:FAY327677 FAY393212:FAY393213 FAY458748:FAY458749 FAY524284:FAY524285 FAY589820:FAY589821 FAY655356:FAY655357 FAY720892:FAY720893 FAY786428:FAY786429 FAY851964:FAY851965 FAY917500:FAY917501 FAY983036:FAY983037 FKQ5 FKQ65535 FKQ131071 FKQ196607 FKQ262143 FKQ327679 FKQ393215 FKQ458751 FKQ524287 FKQ589823 FKQ655359 FKQ720895 FKQ786431 FKQ851967 FKQ917503 FKQ983039 FKU2:FKU3 FKU65532:FKU65533 FKU131068:FKU131069 FKU196604:FKU196605 FKU262140:FKU262141 FKU327676:FKU327677 FKU393212:FKU393213 FKU458748:FKU458749 FKU524284:FKU524285 FKU589820:FKU589821 FKU655356:FKU655357 FKU720892:FKU720893 FKU786428:FKU786429 FKU851964:FKU851965 FKU917500:FKU917501 FKU983036:FKU983037 FUM5 FUM65535 FUM131071 FUM196607 FUM262143 FUM327679 FUM393215 FUM458751 FUM524287 FUM589823 FUM655359 FUM720895 FUM786431 FUM851967 FUM917503 FUM983039 FUQ2:FUQ3 FUQ65532:FUQ65533 FUQ131068:FUQ131069 FUQ196604:FUQ196605 FUQ262140:FUQ262141 FUQ327676:FUQ327677 FUQ393212:FUQ393213 FUQ458748:FUQ458749 FUQ524284:FUQ524285 FUQ589820:FUQ589821 FUQ655356:FUQ655357 FUQ720892:FUQ720893 FUQ786428:FUQ786429 FUQ851964:FUQ851965 FUQ917500:FUQ917501 FUQ983036:FUQ983037 GEI5 GEI65535 GEI131071 GEI196607 GEI262143 GEI327679 GEI393215 GEI458751 GEI524287 GEI589823 GEI655359 GEI720895 GEI786431 GEI851967 GEI917503 GEI983039 GEM2:GEM3 GEM65532:GEM65533 GEM131068:GEM131069 GEM196604:GEM196605 GEM262140:GEM262141 GEM327676:GEM327677 GEM393212:GEM393213 GEM458748:GEM458749 GEM524284:GEM524285 GEM589820:GEM589821 GEM655356:GEM655357 GEM720892:GEM720893 GEM786428:GEM786429 GEM851964:GEM851965 GEM917500:GEM917501 GEM983036:GEM983037 GOE5 GOE65535 GOE131071 GOE196607 GOE262143 GOE327679 GOE393215 GOE458751 GOE524287 GOE589823 GOE655359 GOE720895 GOE786431 GOE851967 GOE917503 GOE983039 GOI2:GOI3 GOI65532:GOI65533 GOI131068:GOI131069 GOI196604:GOI196605 GOI262140:GOI262141 GOI327676:GOI327677 GOI393212:GOI393213 GOI458748:GOI458749 GOI524284:GOI524285 GOI589820:GOI589821 GOI655356:GOI655357 GOI720892:GOI720893 GOI786428:GOI786429 GOI851964:GOI851965 GOI917500:GOI917501 GOI983036:GOI983037 GYA5 GYA65535 GYA131071 GYA196607 GYA262143 GYA327679 GYA393215 GYA458751 GYA524287 GYA589823 GYA655359 GYA720895 GYA786431 GYA851967 GYA917503 GYA983039 GYE2:GYE3 GYE65532:GYE65533 GYE131068:GYE131069 GYE196604:GYE196605 GYE262140:GYE262141 GYE327676:GYE327677 GYE393212:GYE393213 GYE458748:GYE458749 GYE524284:GYE524285 GYE589820:GYE589821 GYE655356:GYE655357 GYE720892:GYE720893 GYE786428:GYE786429 GYE851964:GYE851965 GYE917500:GYE917501 GYE983036:GYE983037 HHW5 HHW65535 HHW131071 HHW196607 HHW262143 HHW327679 HHW393215 HHW458751 HHW524287 HHW589823 HHW655359 HHW720895 HHW786431 HHW851967 HHW917503 HHW983039 HIA2:HIA3 HIA65532:HIA65533 HIA131068:HIA131069 HIA196604:HIA196605 HIA262140:HIA262141 HIA327676:HIA327677 HIA393212:HIA393213 HIA458748:HIA458749 HIA524284:HIA524285 HIA589820:HIA589821 HIA655356:HIA655357 HIA720892:HIA720893 HIA786428:HIA786429 HIA851964:HIA851965 HIA917500:HIA917501 HIA983036:HIA983037 HRS5 HRS65535 HRS131071 HRS196607 HRS262143 HRS327679 HRS393215 HRS458751 HRS524287 HRS589823 HRS655359 HRS720895 HRS786431 HRS851967 HRS917503 HRS983039 HRW2:HRW3 HRW65532:HRW65533 HRW131068:HRW131069 HRW196604:HRW196605 HRW262140:HRW262141 HRW327676:HRW327677 HRW393212:HRW393213 HRW458748:HRW458749 HRW524284:HRW524285 HRW589820:HRW589821 HRW655356:HRW655357 HRW720892:HRW720893 HRW786428:HRW786429 HRW851964:HRW851965 HRW917500:HRW917501 HRW983036:HRW983037 IBO5 IBO65535 IBO131071 IBO196607 IBO262143 IBO327679 IBO393215 IBO458751 IBO524287 IBO589823 IBO655359 IBO720895 IBO786431 IBO851967 IBO917503 IBO983039 IBS2:IBS3 IBS65532:IBS65533 IBS131068:IBS131069 IBS196604:IBS196605 IBS262140:IBS262141 IBS327676:IBS327677 IBS393212:IBS393213 IBS458748:IBS458749 IBS524284:IBS524285 IBS589820:IBS589821 IBS655356:IBS655357 IBS720892:IBS720893 IBS786428:IBS786429 IBS851964:IBS851965 IBS917500:IBS917501 IBS983036:IBS983037 ILK5 ILK65535 ILK131071 ILK196607 ILK262143 ILK327679 ILK393215 ILK458751 ILK524287 ILK589823 ILK655359 ILK720895 ILK786431 ILK851967 ILK917503 ILK983039 ILO2:ILO3 ILO65532:ILO65533 ILO131068:ILO131069 ILO196604:ILO196605 ILO262140:ILO262141 ILO327676:ILO327677 ILO393212:ILO393213 ILO458748:ILO458749 ILO524284:ILO524285 ILO589820:ILO589821 ILO655356:ILO655357 ILO720892:ILO720893 ILO786428:ILO786429 ILO851964:ILO851965 ILO917500:ILO917501 ILO983036:ILO983037 IVG5 IVG65535 IVG131071 IVG196607 IVG262143 IVG327679 IVG393215 IVG458751 IVG524287 IVG589823 IVG655359 IVG720895 IVG786431 IVG851967 IVG917503 IVG983039 IVK2:IVK3 IVK65532:IVK65533 IVK131068:IVK131069 IVK196604:IVK196605 IVK262140:IVK262141 IVK327676:IVK327677 IVK393212:IVK393213 IVK458748:IVK458749 IVK524284:IVK524285 IVK589820:IVK589821 IVK655356:IVK655357 IVK720892:IVK720893 IVK786428:IVK786429 IVK851964:IVK851965 IVK917500:IVK917501 IVK983036:IVK983037 JFC5 JFC65535 JFC131071 JFC196607 JFC262143 JFC327679 JFC393215 JFC458751 JFC524287 JFC589823 JFC655359 JFC720895 JFC786431 JFC851967 JFC917503 JFC983039 JFG2:JFG3 JFG65532:JFG65533 JFG131068:JFG131069 JFG196604:JFG196605 JFG262140:JFG262141 JFG327676:JFG327677 JFG393212:JFG393213 JFG458748:JFG458749 JFG524284:JFG524285 JFG589820:JFG589821 JFG655356:JFG655357 JFG720892:JFG720893 JFG786428:JFG786429 JFG851964:JFG851965 JFG917500:JFG917501 JFG983036:JFG983037 JOY5 JOY65535 JOY131071 JOY196607 JOY262143 JOY327679 JOY393215 JOY458751 JOY524287 JOY589823 JOY655359 JOY720895 JOY786431 JOY851967 JOY917503 JOY983039 JPC2:JPC3 JPC65532:JPC65533 JPC131068:JPC131069 JPC196604:JPC196605 JPC262140:JPC262141 JPC327676:JPC327677 JPC393212:JPC393213 JPC458748:JPC458749 JPC524284:JPC524285 JPC589820:JPC589821 JPC655356:JPC655357 JPC720892:JPC720893 JPC786428:JPC786429 JPC851964:JPC851965 JPC917500:JPC917501 JPC983036:JPC983037 JYU5 JYU65535 JYU131071 JYU196607 JYU262143 JYU327679 JYU393215 JYU458751 JYU524287 JYU589823 JYU655359 JYU720895 JYU786431 JYU851967 JYU917503 JYU983039 JYY2:JYY3 JYY65532:JYY65533 JYY131068:JYY131069 JYY196604:JYY196605 JYY262140:JYY262141 JYY327676:JYY327677 JYY393212:JYY393213 JYY458748:JYY458749 JYY524284:JYY524285 JYY589820:JYY589821 JYY655356:JYY655357 JYY720892:JYY720893 JYY786428:JYY786429 JYY851964:JYY851965 JYY917500:JYY917501 JYY983036:JYY983037 KIQ5 KIQ65535 KIQ131071 KIQ196607 KIQ262143 KIQ327679 KIQ393215 KIQ458751 KIQ524287 KIQ589823 KIQ655359 KIQ720895 KIQ786431 KIQ851967 KIQ917503 KIQ983039 KIU2:KIU3 KIU65532:KIU65533 KIU131068:KIU131069 KIU196604:KIU196605 KIU262140:KIU262141 KIU327676:KIU327677 KIU393212:KIU393213 KIU458748:KIU458749 KIU524284:KIU524285 KIU589820:KIU589821 KIU655356:KIU655357 KIU720892:KIU720893 KIU786428:KIU786429 KIU851964:KIU851965 KIU917500:KIU917501 KIU983036:KIU983037 KSM5 KSM65535 KSM131071 KSM196607 KSM262143 KSM327679 KSM393215 KSM458751 KSM524287 KSM589823 KSM655359 KSM720895 KSM786431 KSM851967 KSM917503 KSM983039 KSQ2:KSQ3 KSQ65532:KSQ65533 KSQ131068:KSQ131069 KSQ196604:KSQ196605 KSQ262140:KSQ262141 KSQ327676:KSQ327677 KSQ393212:KSQ393213 KSQ458748:KSQ458749 KSQ524284:KSQ524285 KSQ589820:KSQ589821 KSQ655356:KSQ655357 KSQ720892:KSQ720893 KSQ786428:KSQ786429 KSQ851964:KSQ851965 KSQ917500:KSQ917501 KSQ983036:KSQ983037 LCI5 LCI65535 LCI131071 LCI196607 LCI262143 LCI327679 LCI393215 LCI458751 LCI524287 LCI589823 LCI655359 LCI720895 LCI786431 LCI851967 LCI917503 LCI983039 LCM2:LCM3 LCM65532:LCM65533 LCM131068:LCM131069 LCM196604:LCM196605 LCM262140:LCM262141 LCM327676:LCM327677 LCM393212:LCM393213 LCM458748:LCM458749 LCM524284:LCM524285 LCM589820:LCM589821 LCM655356:LCM655357 LCM720892:LCM720893 LCM786428:LCM786429 LCM851964:LCM851965 LCM917500:LCM917501 LCM983036:LCM983037 LME5 LME65535 LME131071 LME196607 LME262143 LME327679 LME393215 LME458751 LME524287 LME589823 LME655359 LME720895 LME786431 LME851967 LME917503 LME983039 LMI2:LMI3 LMI65532:LMI65533 LMI131068:LMI131069 LMI196604:LMI196605 LMI262140:LMI262141 LMI327676:LMI327677 LMI393212:LMI393213 LMI458748:LMI458749 LMI524284:LMI524285 LMI589820:LMI589821 LMI655356:LMI655357 LMI720892:LMI720893 LMI786428:LMI786429 LMI851964:LMI851965 LMI917500:LMI917501 LMI983036:LMI983037 LWA5 LWA65535 LWA131071 LWA196607 LWA262143 LWA327679 LWA393215 LWA458751 LWA524287 LWA589823 LWA655359 LWA720895 LWA786431 LWA851967 LWA917503 LWA983039 LWE2:LWE3 LWE65532:LWE65533 LWE131068:LWE131069 LWE196604:LWE196605 LWE262140:LWE262141 LWE327676:LWE327677 LWE393212:LWE393213 LWE458748:LWE458749 LWE524284:LWE524285 LWE589820:LWE589821 LWE655356:LWE655357 LWE720892:LWE720893 LWE786428:LWE786429 LWE851964:LWE851965 LWE917500:LWE917501 LWE983036:LWE983037 MFW5 MFW65535 MFW131071 MFW196607 MFW262143 MFW327679 MFW393215 MFW458751 MFW524287 MFW589823 MFW655359 MFW720895 MFW786431 MFW851967 MFW917503 MFW983039 MGA2:MGA3 MGA65532:MGA65533 MGA131068:MGA131069 MGA196604:MGA196605 MGA262140:MGA262141 MGA327676:MGA327677 MGA393212:MGA393213 MGA458748:MGA458749 MGA524284:MGA524285 MGA589820:MGA589821 MGA655356:MGA655357 MGA720892:MGA720893 MGA786428:MGA786429 MGA851964:MGA851965 MGA917500:MGA917501 MGA983036:MGA983037 MPS5 MPS65535 MPS131071 MPS196607 MPS262143 MPS327679 MPS393215 MPS458751 MPS524287 MPS589823 MPS655359 MPS720895 MPS786431 MPS851967 MPS917503 MPS983039 MPW2:MPW3 MPW65532:MPW65533 MPW131068:MPW131069 MPW196604:MPW196605 MPW262140:MPW262141 MPW327676:MPW327677 MPW393212:MPW393213 MPW458748:MPW458749 MPW524284:MPW524285 MPW589820:MPW589821 MPW655356:MPW655357 MPW720892:MPW720893 MPW786428:MPW786429 MPW851964:MPW851965 MPW917500:MPW917501 MPW983036:MPW983037 MZO5 MZO65535 MZO131071 MZO196607 MZO262143 MZO327679 MZO393215 MZO458751 MZO524287 MZO589823 MZO655359 MZO720895 MZO786431 MZO851967 MZO917503 MZO983039 MZS2:MZS3 MZS65532:MZS65533 MZS131068:MZS131069 MZS196604:MZS196605 MZS262140:MZS262141 MZS327676:MZS327677 MZS393212:MZS393213 MZS458748:MZS458749 MZS524284:MZS524285 MZS589820:MZS589821 MZS655356:MZS655357 MZS720892:MZS720893 MZS786428:MZS786429 MZS851964:MZS851965 MZS917500:MZS917501 MZS983036:MZS983037 NJK5 NJK65535 NJK131071 NJK196607 NJK262143 NJK327679 NJK393215 NJK458751 NJK524287 NJK589823 NJK655359 NJK720895 NJK786431 NJK851967 NJK917503 NJK983039 NJO2:NJO3 NJO65532:NJO65533 NJO131068:NJO131069 NJO196604:NJO196605 NJO262140:NJO262141 NJO327676:NJO327677 NJO393212:NJO393213 NJO458748:NJO458749 NJO524284:NJO524285 NJO589820:NJO589821 NJO655356:NJO655357 NJO720892:NJO720893 NJO786428:NJO786429 NJO851964:NJO851965 NJO917500:NJO917501 NJO983036:NJO983037 NTG5 NTG65535 NTG131071 NTG196607 NTG262143 NTG327679 NTG393215 NTG458751 NTG524287 NTG589823 NTG655359 NTG720895 NTG786431 NTG851967 NTG917503 NTG983039 NTK2:NTK3 NTK65532:NTK65533 NTK131068:NTK131069 NTK196604:NTK196605 NTK262140:NTK262141 NTK327676:NTK327677 NTK393212:NTK393213 NTK458748:NTK458749 NTK524284:NTK524285 NTK589820:NTK589821 NTK655356:NTK655357 NTK720892:NTK720893 NTK786428:NTK786429 NTK851964:NTK851965 NTK917500:NTK917501 NTK983036:NTK983037 ODC5 ODC65535 ODC131071 ODC196607 ODC262143 ODC327679 ODC393215 ODC458751 ODC524287 ODC589823 ODC655359 ODC720895 ODC786431 ODC851967 ODC917503 ODC983039 ODG2:ODG3 ODG65532:ODG65533 ODG131068:ODG131069 ODG196604:ODG196605 ODG262140:ODG262141 ODG327676:ODG327677 ODG393212:ODG393213 ODG458748:ODG458749 ODG524284:ODG524285 ODG589820:ODG589821 ODG655356:ODG655357 ODG720892:ODG720893 ODG786428:ODG786429 ODG851964:ODG851965 ODG917500:ODG917501 ODG983036:ODG983037 OMY5 OMY65535 OMY131071 OMY196607 OMY262143 OMY327679 OMY393215 OMY458751 OMY524287 OMY589823 OMY655359 OMY720895 OMY786431 OMY851967 OMY917503 OMY983039 ONC2:ONC3 ONC65532:ONC65533 ONC131068:ONC131069 ONC196604:ONC196605 ONC262140:ONC262141 ONC327676:ONC327677 ONC393212:ONC393213 ONC458748:ONC458749 ONC524284:ONC524285 ONC589820:ONC589821 ONC655356:ONC655357 ONC720892:ONC720893 ONC786428:ONC786429 ONC851964:ONC851965 ONC917500:ONC917501 ONC983036:ONC983037 OWU5 OWU65535 OWU131071 OWU196607 OWU262143 OWU327679 OWU393215 OWU458751 OWU524287 OWU589823 OWU655359 OWU720895 OWU786431 OWU851967 OWU917503 OWU983039 OWY2:OWY3 OWY65532:OWY65533 OWY131068:OWY131069 OWY196604:OWY196605 OWY262140:OWY262141 OWY327676:OWY327677 OWY393212:OWY393213 OWY458748:OWY458749 OWY524284:OWY524285 OWY589820:OWY589821 OWY655356:OWY655357 OWY720892:OWY720893 OWY786428:OWY786429 OWY851964:OWY851965 OWY917500:OWY917501 OWY983036:OWY983037 PGQ5 PGQ65535 PGQ131071 PGQ196607 PGQ262143 PGQ327679 PGQ393215 PGQ458751 PGQ524287 PGQ589823 PGQ655359 PGQ720895 PGQ786431 PGQ851967 PGQ917503 PGQ983039 PGU2:PGU3 PGU65532:PGU65533 PGU131068:PGU131069 PGU196604:PGU196605 PGU262140:PGU262141 PGU327676:PGU327677 PGU393212:PGU393213 PGU458748:PGU458749 PGU524284:PGU524285 PGU589820:PGU589821 PGU655356:PGU655357 PGU720892:PGU720893 PGU786428:PGU786429 PGU851964:PGU851965 PGU917500:PGU917501 PGU983036:PGU983037 PQM5 PQM65535 PQM131071 PQM196607 PQM262143 PQM327679 PQM393215 PQM458751 PQM524287 PQM589823 PQM655359 PQM720895 PQM786431 PQM851967 PQM917503 PQM983039 PQQ2:PQQ3 PQQ65532:PQQ65533 PQQ131068:PQQ131069 PQQ196604:PQQ196605 PQQ262140:PQQ262141 PQQ327676:PQQ327677 PQQ393212:PQQ393213 PQQ458748:PQQ458749 PQQ524284:PQQ524285 PQQ589820:PQQ589821 PQQ655356:PQQ655357 PQQ720892:PQQ720893 PQQ786428:PQQ786429 PQQ851964:PQQ851965 PQQ917500:PQQ917501 PQQ983036:PQQ983037 QAI5 QAI65535 QAI131071 QAI196607 QAI262143 QAI327679 QAI393215 QAI458751 QAI524287 QAI589823 QAI655359 QAI720895 QAI786431 QAI851967 QAI917503 QAI983039 QAM2:QAM3 QAM65532:QAM65533 QAM131068:QAM131069 QAM196604:QAM196605 QAM262140:QAM262141 QAM327676:QAM327677 QAM393212:QAM393213 QAM458748:QAM458749 QAM524284:QAM524285 QAM589820:QAM589821 QAM655356:QAM655357 QAM720892:QAM720893 QAM786428:QAM786429 QAM851964:QAM851965 QAM917500:QAM917501 QAM983036:QAM983037 QKE5 QKE65535 QKE131071 QKE196607 QKE262143 QKE327679 QKE393215 QKE458751 QKE524287 QKE589823 QKE655359 QKE720895 QKE786431 QKE851967 QKE917503 QKE983039 QKI2:QKI3 QKI65532:QKI65533 QKI131068:QKI131069 QKI196604:QKI196605 QKI262140:QKI262141 QKI327676:QKI327677 QKI393212:QKI393213 QKI458748:QKI458749 QKI524284:QKI524285 QKI589820:QKI589821 QKI655356:QKI655357 QKI720892:QKI720893 QKI786428:QKI786429 QKI851964:QKI851965 QKI917500:QKI917501 QKI983036:QKI983037 QUA5 QUA65535 QUA131071 QUA196607 QUA262143 QUA327679 QUA393215 QUA458751 QUA524287 QUA589823 QUA655359 QUA720895 QUA786431 QUA851967 QUA917503 QUA983039 QUE2:QUE3 QUE65532:QUE65533 QUE131068:QUE131069 QUE196604:QUE196605 QUE262140:QUE262141 QUE327676:QUE327677 QUE393212:QUE393213 QUE458748:QUE458749 QUE524284:QUE524285 QUE589820:QUE589821 QUE655356:QUE655357 QUE720892:QUE720893 QUE786428:QUE786429 QUE851964:QUE851965 QUE917500:QUE917501 QUE983036:QUE983037 RDW5 RDW65535 RDW131071 RDW196607 RDW262143 RDW327679 RDW393215 RDW458751 RDW524287 RDW589823 RDW655359 RDW720895 RDW786431 RDW851967 RDW917503 RDW983039 REA2:REA3 REA65532:REA65533 REA131068:REA131069 REA196604:REA196605 REA262140:REA262141 REA327676:REA327677 REA393212:REA393213 REA458748:REA458749 REA524284:REA524285 REA589820:REA589821 REA655356:REA655357 REA720892:REA720893 REA786428:REA786429 REA851964:REA851965 REA917500:REA917501 REA983036:REA983037 RNS5 RNS65535 RNS131071 RNS196607 RNS262143 RNS327679 RNS393215 RNS458751 RNS524287 RNS589823 RNS655359 RNS720895 RNS786431 RNS851967 RNS917503 RNS983039 RNW2:RNW3 RNW65532:RNW65533 RNW131068:RNW131069 RNW196604:RNW196605 RNW262140:RNW262141 RNW327676:RNW327677 RNW393212:RNW393213 RNW458748:RNW458749 RNW524284:RNW524285 RNW589820:RNW589821 RNW655356:RNW655357 RNW720892:RNW720893 RNW786428:RNW786429 RNW851964:RNW851965 RNW917500:RNW917501 RNW983036:RNW983037 RXO5 RXO65535 RXO131071 RXO196607 RXO262143 RXO327679 RXO393215 RXO458751 RXO524287 RXO589823 RXO655359 RXO720895 RXO786431 RXO851967 RXO917503 RXO983039 RXS2:RXS3 RXS65532:RXS65533 RXS131068:RXS131069 RXS196604:RXS196605 RXS262140:RXS262141 RXS327676:RXS327677 RXS393212:RXS393213 RXS458748:RXS458749 RXS524284:RXS524285 RXS589820:RXS589821 RXS655356:RXS655357 RXS720892:RXS720893 RXS786428:RXS786429 RXS851964:RXS851965 RXS917500:RXS917501 RXS983036:RXS983037 SHK5 SHK65535 SHK131071 SHK196607 SHK262143 SHK327679 SHK393215 SHK458751 SHK524287 SHK589823 SHK655359 SHK720895 SHK786431 SHK851967 SHK917503 SHK983039 SHO2:SHO3 SHO65532:SHO65533 SHO131068:SHO131069 SHO196604:SHO196605 SHO262140:SHO262141 SHO327676:SHO327677 SHO393212:SHO393213 SHO458748:SHO458749 SHO524284:SHO524285 SHO589820:SHO589821 SHO655356:SHO655357 SHO720892:SHO720893 SHO786428:SHO786429 SHO851964:SHO851965 SHO917500:SHO917501 SHO983036:SHO983037 SRG5 SRG65535 SRG131071 SRG196607 SRG262143 SRG327679 SRG393215 SRG458751 SRG524287 SRG589823 SRG655359 SRG720895 SRG786431 SRG851967 SRG917503 SRG983039 SRK2:SRK3 SRK65532:SRK65533 SRK131068:SRK131069 SRK196604:SRK196605 SRK262140:SRK262141 SRK327676:SRK327677 SRK393212:SRK393213 SRK458748:SRK458749 SRK524284:SRK524285 SRK589820:SRK589821 SRK655356:SRK655357 SRK720892:SRK720893 SRK786428:SRK786429 SRK851964:SRK851965 SRK917500:SRK917501 SRK983036:SRK983037 TBC5 TBC65535 TBC131071 TBC196607 TBC262143 TBC327679 TBC393215 TBC458751 TBC524287 TBC589823 TBC655359 TBC720895 TBC786431 TBC851967 TBC917503 TBC983039 TBG2:TBG3 TBG65532:TBG65533 TBG131068:TBG131069 TBG196604:TBG196605 TBG262140:TBG262141 TBG327676:TBG327677 TBG393212:TBG393213 TBG458748:TBG458749 TBG524284:TBG524285 TBG589820:TBG589821 TBG655356:TBG655357 TBG720892:TBG720893 TBG786428:TBG786429 TBG851964:TBG851965 TBG917500:TBG917501 TBG983036:TBG983037 TKY5 TKY65535 TKY131071 TKY196607 TKY262143 TKY327679 TKY393215 TKY458751 TKY524287 TKY589823 TKY655359 TKY720895 TKY786431 TKY851967 TKY917503 TKY983039 TLC2:TLC3 TLC65532:TLC65533 TLC131068:TLC131069 TLC196604:TLC196605 TLC262140:TLC262141 TLC327676:TLC327677 TLC393212:TLC393213 TLC458748:TLC458749 TLC524284:TLC524285 TLC589820:TLC589821 TLC655356:TLC655357 TLC720892:TLC720893 TLC786428:TLC786429 TLC851964:TLC851965 TLC917500:TLC917501 TLC983036:TLC983037 TUU5 TUU65535 TUU131071 TUU196607 TUU262143 TUU327679 TUU393215 TUU458751 TUU524287 TUU589823 TUU655359 TUU720895 TUU786431 TUU851967 TUU917503 TUU983039 TUY2:TUY3 TUY65532:TUY65533 TUY131068:TUY131069 TUY196604:TUY196605 TUY262140:TUY262141 TUY327676:TUY327677 TUY393212:TUY393213 TUY458748:TUY458749 TUY524284:TUY524285 TUY589820:TUY589821 TUY655356:TUY655357 TUY720892:TUY720893 TUY786428:TUY786429 TUY851964:TUY851965 TUY917500:TUY917501 TUY983036:TUY983037 UEQ5 UEQ65535 UEQ131071 UEQ196607 UEQ262143 UEQ327679 UEQ393215 UEQ458751 UEQ524287 UEQ589823 UEQ655359 UEQ720895 UEQ786431 UEQ851967 UEQ917503 UEQ983039 UEU2:UEU3 UEU65532:UEU65533 UEU131068:UEU131069 UEU196604:UEU196605 UEU262140:UEU262141 UEU327676:UEU327677 UEU393212:UEU393213 UEU458748:UEU458749 UEU524284:UEU524285 UEU589820:UEU589821 UEU655356:UEU655357 UEU720892:UEU720893 UEU786428:UEU786429 UEU851964:UEU851965 UEU917500:UEU917501 UEU983036:UEU983037 UOM5 UOM65535 UOM131071 UOM196607 UOM262143 UOM327679 UOM393215 UOM458751 UOM524287 UOM589823 UOM655359 UOM720895 UOM786431 UOM851967 UOM917503 UOM983039 UOQ2:UOQ3 UOQ65532:UOQ65533 UOQ131068:UOQ131069 UOQ196604:UOQ196605 UOQ262140:UOQ262141 UOQ327676:UOQ327677 UOQ393212:UOQ393213 UOQ458748:UOQ458749 UOQ524284:UOQ524285 UOQ589820:UOQ589821 UOQ655356:UOQ655357 UOQ720892:UOQ720893 UOQ786428:UOQ786429 UOQ851964:UOQ851965 UOQ917500:UOQ917501 UOQ983036:UOQ983037 UYI5 UYI65535 UYI131071 UYI196607 UYI262143 UYI327679 UYI393215 UYI458751 UYI524287 UYI589823 UYI655359 UYI720895 UYI786431 UYI851967 UYI917503 UYI983039 UYM2:UYM3 UYM65532:UYM65533 UYM131068:UYM131069 UYM196604:UYM196605 UYM262140:UYM262141 UYM327676:UYM327677 UYM393212:UYM393213 UYM458748:UYM458749 UYM524284:UYM524285 UYM589820:UYM589821 UYM655356:UYM655357 UYM720892:UYM720893 UYM786428:UYM786429 UYM851964:UYM851965 UYM917500:UYM917501 UYM983036:UYM983037 VIE5 VIE65535 VIE131071 VIE196607 VIE262143 VIE327679 VIE393215 VIE458751 VIE524287 VIE589823 VIE655359 VIE720895 VIE786431 VIE851967 VIE917503 VIE983039 VII2:VII3 VII65532:VII65533 VII131068:VII131069 VII196604:VII196605 VII262140:VII262141 VII327676:VII327677 VII393212:VII393213 VII458748:VII458749 VII524284:VII524285 VII589820:VII589821 VII655356:VII655357 VII720892:VII720893 VII786428:VII786429 VII851964:VII851965 VII917500:VII917501 VII983036:VII983037 VSA5 VSA65535 VSA131071 VSA196607 VSA262143 VSA327679 VSA393215 VSA458751 VSA524287 VSA589823 VSA655359 VSA720895 VSA786431 VSA851967 VSA917503 VSA983039 VSE2:VSE3 VSE65532:VSE65533 VSE131068:VSE131069 VSE196604:VSE196605 VSE262140:VSE262141 VSE327676:VSE327677 VSE393212:VSE393213 VSE458748:VSE458749 VSE524284:VSE524285 VSE589820:VSE589821 VSE655356:VSE655357 VSE720892:VSE720893 VSE786428:VSE786429 VSE851964:VSE851965 VSE917500:VSE917501 VSE983036:VSE983037 WBW5 WBW65535 WBW131071 WBW196607 WBW262143 WBW327679 WBW393215 WBW458751 WBW524287 WBW589823 WBW655359 WBW720895 WBW786431 WBW851967 WBW917503 WBW983039 WCA2:WCA3 WCA65532:WCA65533 WCA131068:WCA131069 WCA196604:WCA196605 WCA262140:WCA262141 WCA327676:WCA327677 WCA393212:WCA393213 WCA458748:WCA458749 WCA524284:WCA524285 WCA589820:WCA589821 WCA655356:WCA655357 WCA720892:WCA720893 WCA786428:WCA786429 WCA851964:WCA851965 WCA917500:WCA917501 WCA983036:WCA983037 WLS5 WLS65535 WLS131071 WLS196607 WLS262143 WLS327679 WLS393215 WLS458751 WLS524287 WLS589823 WLS655359 WLS720895 WLS786431 WLS851967 WLS917503 WLS983039 WLW2:WLW3 WLW65532:WLW65533 WLW131068:WLW131069 WLW196604:WLW196605 WLW262140:WLW262141 WLW327676:WLW327677 WLW393212:WLW393213 WLW458748:WLW458749 WLW524284:WLW524285 WLW589820:WLW589821 WLW655356:WLW655357 WLW720892:WLW720893 WLW786428:WLW786429 WLW851964:WLW851965 WLW917500:WLW917501 WLW983036:WLW983037 WVO5 WVO65535 WVO131071 WVO196607 WVO262143 WVO327679 WVO393215 WVO458751 WVO524287 WVO589823 WVO655359 WVO720895 WVO786431 WVO851967 WVO917503 WVO983039 WVS2:WVS3 WVS65532:WVS65533 WVS131068:WVS131069 WVS196604:WVS196605 WVS262140:WVS262141 WVS327676:WVS327677 WVS393212:WVS393213 WVS458748:WVS458749 WVS524284:WVS524285 WVS589820:WVS589821 WVS655356:WVS655357 WVS720892:WVS720893 WVS786428:WVS786429 WVS851964:WVS851965 WVS917500:WVS917501 WVS983036:WVS983037" xr:uid="{00000000-0002-0000-0800-000006000000}"/>
    <dataValidation allowBlank="1" showInputMessage="1" showErrorMessage="1" promptTitle="Unit" prompt="Unit of the exchange (elementary flow or intermediate product flow)." sqref="F6 F65536 F131072 F196608 F262144 F327680 F393216 F458752 F524288 F589824 F655360 F720896 F786432 F851968 F917504 F983040 K2:K3 K65532:K65533 K131068:K131069 K196604:K196605 K262140:K262141 K327676:K327677 K393212:K393213 K458748:K458749 K524284:K524285 K589820:K589821 K655356:K655357 K720892:K720893 K786428:K786429 K851964:K851965 K917500:K917501 K983036:K983037 JC6 JC65536 JC131072 JC196608 JC262144 JC327680 JC393216 JC458752 JC524288 JC589824 JC655360 JC720896 JC786432 JC851968 JC917504 JC983040 JH2:JH3 JH65532:JH65533 JH131068:JH131069 JH196604:JH196605 JH262140:JH262141 JH327676:JH327677 JH393212:JH393213 JH458748:JH458749 JH524284:JH524285 JH589820:JH589821 JH655356:JH655357 JH720892:JH720893 JH786428:JH786429 JH851964:JH851965 JH917500:JH917501 JH983036:JH983037 SY6 SY65536 SY131072 SY196608 SY262144 SY327680 SY393216 SY458752 SY524288 SY589824 SY655360 SY720896 SY786432 SY851968 SY917504 SY983040 TD2:TD3 TD65532:TD65533 TD131068:TD131069 TD196604:TD196605 TD262140:TD262141 TD327676:TD327677 TD393212:TD393213 TD458748:TD458749 TD524284:TD524285 TD589820:TD589821 TD655356:TD655357 TD720892:TD720893 TD786428:TD786429 TD851964:TD851965 TD917500:TD917501 TD983036:TD983037 ACU6 ACU65536 ACU131072 ACU196608 ACU262144 ACU327680 ACU393216 ACU458752 ACU524288 ACU589824 ACU655360 ACU720896 ACU786432 ACU851968 ACU917504 ACU983040 ACZ2:ACZ3 ACZ65532:ACZ65533 ACZ131068:ACZ131069 ACZ196604:ACZ196605 ACZ262140:ACZ262141 ACZ327676:ACZ327677 ACZ393212:ACZ393213 ACZ458748:ACZ458749 ACZ524284:ACZ524285 ACZ589820:ACZ589821 ACZ655356:ACZ655357 ACZ720892:ACZ720893 ACZ786428:ACZ786429 ACZ851964:ACZ851965 ACZ917500:ACZ917501 ACZ983036:ACZ983037 AMQ6 AMQ65536 AMQ131072 AMQ196608 AMQ262144 AMQ327680 AMQ393216 AMQ458752 AMQ524288 AMQ589824 AMQ655360 AMQ720896 AMQ786432 AMQ851968 AMQ917504 AMQ983040 AMV2:AMV3 AMV65532:AMV65533 AMV131068:AMV131069 AMV196604:AMV196605 AMV262140:AMV262141 AMV327676:AMV327677 AMV393212:AMV393213 AMV458748:AMV458749 AMV524284:AMV524285 AMV589820:AMV589821 AMV655356:AMV655357 AMV720892:AMV720893 AMV786428:AMV786429 AMV851964:AMV851965 AMV917500:AMV917501 AMV983036:AMV983037 AWM6 AWM65536 AWM131072 AWM196608 AWM262144 AWM327680 AWM393216 AWM458752 AWM524288 AWM589824 AWM655360 AWM720896 AWM786432 AWM851968 AWM917504 AWM983040 AWR2:AWR3 AWR65532:AWR65533 AWR131068:AWR131069 AWR196604:AWR196605 AWR262140:AWR262141 AWR327676:AWR327677 AWR393212:AWR393213 AWR458748:AWR458749 AWR524284:AWR524285 AWR589820:AWR589821 AWR655356:AWR655357 AWR720892:AWR720893 AWR786428:AWR786429 AWR851964:AWR851965 AWR917500:AWR917501 AWR983036:AWR983037 BGI6 BGI65536 BGI131072 BGI196608 BGI262144 BGI327680 BGI393216 BGI458752 BGI524288 BGI589824 BGI655360 BGI720896 BGI786432 BGI851968 BGI917504 BGI983040 BGN2:BGN3 BGN65532:BGN65533 BGN131068:BGN131069 BGN196604:BGN196605 BGN262140:BGN262141 BGN327676:BGN327677 BGN393212:BGN393213 BGN458748:BGN458749 BGN524284:BGN524285 BGN589820:BGN589821 BGN655356:BGN655357 BGN720892:BGN720893 BGN786428:BGN786429 BGN851964:BGN851965 BGN917500:BGN917501 BGN983036:BGN983037 BQE6 BQE65536 BQE131072 BQE196608 BQE262144 BQE327680 BQE393216 BQE458752 BQE524288 BQE589824 BQE655360 BQE720896 BQE786432 BQE851968 BQE917504 BQE983040 BQJ2:BQJ3 BQJ65532:BQJ65533 BQJ131068:BQJ131069 BQJ196604:BQJ196605 BQJ262140:BQJ262141 BQJ327676:BQJ327677 BQJ393212:BQJ393213 BQJ458748:BQJ458749 BQJ524284:BQJ524285 BQJ589820:BQJ589821 BQJ655356:BQJ655357 BQJ720892:BQJ720893 BQJ786428:BQJ786429 BQJ851964:BQJ851965 BQJ917500:BQJ917501 BQJ983036:BQJ983037 CAA6 CAA65536 CAA131072 CAA196608 CAA262144 CAA327680 CAA393216 CAA458752 CAA524288 CAA589824 CAA655360 CAA720896 CAA786432 CAA851968 CAA917504 CAA983040 CAF2:CAF3 CAF65532:CAF65533 CAF131068:CAF131069 CAF196604:CAF196605 CAF262140:CAF262141 CAF327676:CAF327677 CAF393212:CAF393213 CAF458748:CAF458749 CAF524284:CAF524285 CAF589820:CAF589821 CAF655356:CAF655357 CAF720892:CAF720893 CAF786428:CAF786429 CAF851964:CAF851965 CAF917500:CAF917501 CAF983036:CAF983037 CJW6 CJW65536 CJW131072 CJW196608 CJW262144 CJW327680 CJW393216 CJW458752 CJW524288 CJW589824 CJW655360 CJW720896 CJW786432 CJW851968 CJW917504 CJW983040 CKB2:CKB3 CKB65532:CKB65533 CKB131068:CKB131069 CKB196604:CKB196605 CKB262140:CKB262141 CKB327676:CKB327677 CKB393212:CKB393213 CKB458748:CKB458749 CKB524284:CKB524285 CKB589820:CKB589821 CKB655356:CKB655357 CKB720892:CKB720893 CKB786428:CKB786429 CKB851964:CKB851965 CKB917500:CKB917501 CKB983036:CKB983037 CTS6 CTS65536 CTS131072 CTS196608 CTS262144 CTS327680 CTS393216 CTS458752 CTS524288 CTS589824 CTS655360 CTS720896 CTS786432 CTS851968 CTS917504 CTS983040 CTX2:CTX3 CTX65532:CTX65533 CTX131068:CTX131069 CTX196604:CTX196605 CTX262140:CTX262141 CTX327676:CTX327677 CTX393212:CTX393213 CTX458748:CTX458749 CTX524284:CTX524285 CTX589820:CTX589821 CTX655356:CTX655357 CTX720892:CTX720893 CTX786428:CTX786429 CTX851964:CTX851965 CTX917500:CTX917501 CTX983036:CTX983037 DDO6 DDO65536 DDO131072 DDO196608 DDO262144 DDO327680 DDO393216 DDO458752 DDO524288 DDO589824 DDO655360 DDO720896 DDO786432 DDO851968 DDO917504 DDO983040 DDT2:DDT3 DDT65532:DDT65533 DDT131068:DDT131069 DDT196604:DDT196605 DDT262140:DDT262141 DDT327676:DDT327677 DDT393212:DDT393213 DDT458748:DDT458749 DDT524284:DDT524285 DDT589820:DDT589821 DDT655356:DDT655357 DDT720892:DDT720893 DDT786428:DDT786429 DDT851964:DDT851965 DDT917500:DDT917501 DDT983036:DDT983037 DNK6 DNK65536 DNK131072 DNK196608 DNK262144 DNK327680 DNK393216 DNK458752 DNK524288 DNK589824 DNK655360 DNK720896 DNK786432 DNK851968 DNK917504 DNK983040 DNP2:DNP3 DNP65532:DNP65533 DNP131068:DNP131069 DNP196604:DNP196605 DNP262140:DNP262141 DNP327676:DNP327677 DNP393212:DNP393213 DNP458748:DNP458749 DNP524284:DNP524285 DNP589820:DNP589821 DNP655356:DNP655357 DNP720892:DNP720893 DNP786428:DNP786429 DNP851964:DNP851965 DNP917500:DNP917501 DNP983036:DNP983037 DXG6 DXG65536 DXG131072 DXG196608 DXG262144 DXG327680 DXG393216 DXG458752 DXG524288 DXG589824 DXG655360 DXG720896 DXG786432 DXG851968 DXG917504 DXG983040 DXL2:DXL3 DXL65532:DXL65533 DXL131068:DXL131069 DXL196604:DXL196605 DXL262140:DXL262141 DXL327676:DXL327677 DXL393212:DXL393213 DXL458748:DXL458749 DXL524284:DXL524285 DXL589820:DXL589821 DXL655356:DXL655357 DXL720892:DXL720893 DXL786428:DXL786429 DXL851964:DXL851965 DXL917500:DXL917501 DXL983036:DXL983037 EHC6 EHC65536 EHC131072 EHC196608 EHC262144 EHC327680 EHC393216 EHC458752 EHC524288 EHC589824 EHC655360 EHC720896 EHC786432 EHC851968 EHC917504 EHC983040 EHH2:EHH3 EHH65532:EHH65533 EHH131068:EHH131069 EHH196604:EHH196605 EHH262140:EHH262141 EHH327676:EHH327677 EHH393212:EHH393213 EHH458748:EHH458749 EHH524284:EHH524285 EHH589820:EHH589821 EHH655356:EHH655357 EHH720892:EHH720893 EHH786428:EHH786429 EHH851964:EHH851965 EHH917500:EHH917501 EHH983036:EHH983037 EQY6 EQY65536 EQY131072 EQY196608 EQY262144 EQY327680 EQY393216 EQY458752 EQY524288 EQY589824 EQY655360 EQY720896 EQY786432 EQY851968 EQY917504 EQY983040 ERD2:ERD3 ERD65532:ERD65533 ERD131068:ERD131069 ERD196604:ERD196605 ERD262140:ERD262141 ERD327676:ERD327677 ERD393212:ERD393213 ERD458748:ERD458749 ERD524284:ERD524285 ERD589820:ERD589821 ERD655356:ERD655357 ERD720892:ERD720893 ERD786428:ERD786429 ERD851964:ERD851965 ERD917500:ERD917501 ERD983036:ERD983037 FAU6 FAU65536 FAU131072 FAU196608 FAU262144 FAU327680 FAU393216 FAU458752 FAU524288 FAU589824 FAU655360 FAU720896 FAU786432 FAU851968 FAU917504 FAU983040 FAZ2:FAZ3 FAZ65532:FAZ65533 FAZ131068:FAZ131069 FAZ196604:FAZ196605 FAZ262140:FAZ262141 FAZ327676:FAZ327677 FAZ393212:FAZ393213 FAZ458748:FAZ458749 FAZ524284:FAZ524285 FAZ589820:FAZ589821 FAZ655356:FAZ655357 FAZ720892:FAZ720893 FAZ786428:FAZ786429 FAZ851964:FAZ851965 FAZ917500:FAZ917501 FAZ983036:FAZ983037 FKQ6 FKQ65536 FKQ131072 FKQ196608 FKQ262144 FKQ327680 FKQ393216 FKQ458752 FKQ524288 FKQ589824 FKQ655360 FKQ720896 FKQ786432 FKQ851968 FKQ917504 FKQ983040 FKV2:FKV3 FKV65532:FKV65533 FKV131068:FKV131069 FKV196604:FKV196605 FKV262140:FKV262141 FKV327676:FKV327677 FKV393212:FKV393213 FKV458748:FKV458749 FKV524284:FKV524285 FKV589820:FKV589821 FKV655356:FKV655357 FKV720892:FKV720893 FKV786428:FKV786429 FKV851964:FKV851965 FKV917500:FKV917501 FKV983036:FKV983037 FUM6 FUM65536 FUM131072 FUM196608 FUM262144 FUM327680 FUM393216 FUM458752 FUM524288 FUM589824 FUM655360 FUM720896 FUM786432 FUM851968 FUM917504 FUM983040 FUR2:FUR3 FUR65532:FUR65533 FUR131068:FUR131069 FUR196604:FUR196605 FUR262140:FUR262141 FUR327676:FUR327677 FUR393212:FUR393213 FUR458748:FUR458749 FUR524284:FUR524285 FUR589820:FUR589821 FUR655356:FUR655357 FUR720892:FUR720893 FUR786428:FUR786429 FUR851964:FUR851965 FUR917500:FUR917501 FUR983036:FUR983037 GEI6 GEI65536 GEI131072 GEI196608 GEI262144 GEI327680 GEI393216 GEI458752 GEI524288 GEI589824 GEI655360 GEI720896 GEI786432 GEI851968 GEI917504 GEI983040 GEN2:GEN3 GEN65532:GEN65533 GEN131068:GEN131069 GEN196604:GEN196605 GEN262140:GEN262141 GEN327676:GEN327677 GEN393212:GEN393213 GEN458748:GEN458749 GEN524284:GEN524285 GEN589820:GEN589821 GEN655356:GEN655357 GEN720892:GEN720893 GEN786428:GEN786429 GEN851964:GEN851965 GEN917500:GEN917501 GEN983036:GEN983037 GOE6 GOE65536 GOE131072 GOE196608 GOE262144 GOE327680 GOE393216 GOE458752 GOE524288 GOE589824 GOE655360 GOE720896 GOE786432 GOE851968 GOE917504 GOE983040 GOJ2:GOJ3 GOJ65532:GOJ65533 GOJ131068:GOJ131069 GOJ196604:GOJ196605 GOJ262140:GOJ262141 GOJ327676:GOJ327677 GOJ393212:GOJ393213 GOJ458748:GOJ458749 GOJ524284:GOJ524285 GOJ589820:GOJ589821 GOJ655356:GOJ655357 GOJ720892:GOJ720893 GOJ786428:GOJ786429 GOJ851964:GOJ851965 GOJ917500:GOJ917501 GOJ983036:GOJ983037 GYA6 GYA65536 GYA131072 GYA196608 GYA262144 GYA327680 GYA393216 GYA458752 GYA524288 GYA589824 GYA655360 GYA720896 GYA786432 GYA851968 GYA917504 GYA983040 GYF2:GYF3 GYF65532:GYF65533 GYF131068:GYF131069 GYF196604:GYF196605 GYF262140:GYF262141 GYF327676:GYF327677 GYF393212:GYF393213 GYF458748:GYF458749 GYF524284:GYF524285 GYF589820:GYF589821 GYF655356:GYF655357 GYF720892:GYF720893 GYF786428:GYF786429 GYF851964:GYF851965 GYF917500:GYF917501 GYF983036:GYF983037 HHW6 HHW65536 HHW131072 HHW196608 HHW262144 HHW327680 HHW393216 HHW458752 HHW524288 HHW589824 HHW655360 HHW720896 HHW786432 HHW851968 HHW917504 HHW983040 HIB2:HIB3 HIB65532:HIB65533 HIB131068:HIB131069 HIB196604:HIB196605 HIB262140:HIB262141 HIB327676:HIB327677 HIB393212:HIB393213 HIB458748:HIB458749 HIB524284:HIB524285 HIB589820:HIB589821 HIB655356:HIB655357 HIB720892:HIB720893 HIB786428:HIB786429 HIB851964:HIB851965 HIB917500:HIB917501 HIB983036:HIB983037 HRS6 HRS65536 HRS131072 HRS196608 HRS262144 HRS327680 HRS393216 HRS458752 HRS524288 HRS589824 HRS655360 HRS720896 HRS786432 HRS851968 HRS917504 HRS983040 HRX2:HRX3 HRX65532:HRX65533 HRX131068:HRX131069 HRX196604:HRX196605 HRX262140:HRX262141 HRX327676:HRX327677 HRX393212:HRX393213 HRX458748:HRX458749 HRX524284:HRX524285 HRX589820:HRX589821 HRX655356:HRX655357 HRX720892:HRX720893 HRX786428:HRX786429 HRX851964:HRX851965 HRX917500:HRX917501 HRX983036:HRX983037 IBO6 IBO65536 IBO131072 IBO196608 IBO262144 IBO327680 IBO393216 IBO458752 IBO524288 IBO589824 IBO655360 IBO720896 IBO786432 IBO851968 IBO917504 IBO983040 IBT2:IBT3 IBT65532:IBT65533 IBT131068:IBT131069 IBT196604:IBT196605 IBT262140:IBT262141 IBT327676:IBT327677 IBT393212:IBT393213 IBT458748:IBT458749 IBT524284:IBT524285 IBT589820:IBT589821 IBT655356:IBT655357 IBT720892:IBT720893 IBT786428:IBT786429 IBT851964:IBT851965 IBT917500:IBT917501 IBT983036:IBT983037 ILK6 ILK65536 ILK131072 ILK196608 ILK262144 ILK327680 ILK393216 ILK458752 ILK524288 ILK589824 ILK655360 ILK720896 ILK786432 ILK851968 ILK917504 ILK983040 ILP2:ILP3 ILP65532:ILP65533 ILP131068:ILP131069 ILP196604:ILP196605 ILP262140:ILP262141 ILP327676:ILP327677 ILP393212:ILP393213 ILP458748:ILP458749 ILP524284:ILP524285 ILP589820:ILP589821 ILP655356:ILP655357 ILP720892:ILP720893 ILP786428:ILP786429 ILP851964:ILP851965 ILP917500:ILP917501 ILP983036:ILP983037 IVG6 IVG65536 IVG131072 IVG196608 IVG262144 IVG327680 IVG393216 IVG458752 IVG524288 IVG589824 IVG655360 IVG720896 IVG786432 IVG851968 IVG917504 IVG983040 IVL2:IVL3 IVL65532:IVL65533 IVL131068:IVL131069 IVL196604:IVL196605 IVL262140:IVL262141 IVL327676:IVL327677 IVL393212:IVL393213 IVL458748:IVL458749 IVL524284:IVL524285 IVL589820:IVL589821 IVL655356:IVL655357 IVL720892:IVL720893 IVL786428:IVL786429 IVL851964:IVL851965 IVL917500:IVL917501 IVL983036:IVL983037 JFC6 JFC65536 JFC131072 JFC196608 JFC262144 JFC327680 JFC393216 JFC458752 JFC524288 JFC589824 JFC655360 JFC720896 JFC786432 JFC851968 JFC917504 JFC983040 JFH2:JFH3 JFH65532:JFH65533 JFH131068:JFH131069 JFH196604:JFH196605 JFH262140:JFH262141 JFH327676:JFH327677 JFH393212:JFH393213 JFH458748:JFH458749 JFH524284:JFH524285 JFH589820:JFH589821 JFH655356:JFH655357 JFH720892:JFH720893 JFH786428:JFH786429 JFH851964:JFH851965 JFH917500:JFH917501 JFH983036:JFH983037 JOY6 JOY65536 JOY131072 JOY196608 JOY262144 JOY327680 JOY393216 JOY458752 JOY524288 JOY589824 JOY655360 JOY720896 JOY786432 JOY851968 JOY917504 JOY983040 JPD2:JPD3 JPD65532:JPD65533 JPD131068:JPD131069 JPD196604:JPD196605 JPD262140:JPD262141 JPD327676:JPD327677 JPD393212:JPD393213 JPD458748:JPD458749 JPD524284:JPD524285 JPD589820:JPD589821 JPD655356:JPD655357 JPD720892:JPD720893 JPD786428:JPD786429 JPD851964:JPD851965 JPD917500:JPD917501 JPD983036:JPD983037 JYU6 JYU65536 JYU131072 JYU196608 JYU262144 JYU327680 JYU393216 JYU458752 JYU524288 JYU589824 JYU655360 JYU720896 JYU786432 JYU851968 JYU917504 JYU983040 JYZ2:JYZ3 JYZ65532:JYZ65533 JYZ131068:JYZ131069 JYZ196604:JYZ196605 JYZ262140:JYZ262141 JYZ327676:JYZ327677 JYZ393212:JYZ393213 JYZ458748:JYZ458749 JYZ524284:JYZ524285 JYZ589820:JYZ589821 JYZ655356:JYZ655357 JYZ720892:JYZ720893 JYZ786428:JYZ786429 JYZ851964:JYZ851965 JYZ917500:JYZ917501 JYZ983036:JYZ983037 KIQ6 KIQ65536 KIQ131072 KIQ196608 KIQ262144 KIQ327680 KIQ393216 KIQ458752 KIQ524288 KIQ589824 KIQ655360 KIQ720896 KIQ786432 KIQ851968 KIQ917504 KIQ983040 KIV2:KIV3 KIV65532:KIV65533 KIV131068:KIV131069 KIV196604:KIV196605 KIV262140:KIV262141 KIV327676:KIV327677 KIV393212:KIV393213 KIV458748:KIV458749 KIV524284:KIV524285 KIV589820:KIV589821 KIV655356:KIV655357 KIV720892:KIV720893 KIV786428:KIV786429 KIV851964:KIV851965 KIV917500:KIV917501 KIV983036:KIV983037 KSM6 KSM65536 KSM131072 KSM196608 KSM262144 KSM327680 KSM393216 KSM458752 KSM524288 KSM589824 KSM655360 KSM720896 KSM786432 KSM851968 KSM917504 KSM983040 KSR2:KSR3 KSR65532:KSR65533 KSR131068:KSR131069 KSR196604:KSR196605 KSR262140:KSR262141 KSR327676:KSR327677 KSR393212:KSR393213 KSR458748:KSR458749 KSR524284:KSR524285 KSR589820:KSR589821 KSR655356:KSR655357 KSR720892:KSR720893 KSR786428:KSR786429 KSR851964:KSR851965 KSR917500:KSR917501 KSR983036:KSR983037 LCI6 LCI65536 LCI131072 LCI196608 LCI262144 LCI327680 LCI393216 LCI458752 LCI524288 LCI589824 LCI655360 LCI720896 LCI786432 LCI851968 LCI917504 LCI983040 LCN2:LCN3 LCN65532:LCN65533 LCN131068:LCN131069 LCN196604:LCN196605 LCN262140:LCN262141 LCN327676:LCN327677 LCN393212:LCN393213 LCN458748:LCN458749 LCN524284:LCN524285 LCN589820:LCN589821 LCN655356:LCN655357 LCN720892:LCN720893 LCN786428:LCN786429 LCN851964:LCN851965 LCN917500:LCN917501 LCN983036:LCN983037 LME6 LME65536 LME131072 LME196608 LME262144 LME327680 LME393216 LME458752 LME524288 LME589824 LME655360 LME720896 LME786432 LME851968 LME917504 LME983040 LMJ2:LMJ3 LMJ65532:LMJ65533 LMJ131068:LMJ131069 LMJ196604:LMJ196605 LMJ262140:LMJ262141 LMJ327676:LMJ327677 LMJ393212:LMJ393213 LMJ458748:LMJ458749 LMJ524284:LMJ524285 LMJ589820:LMJ589821 LMJ655356:LMJ655357 LMJ720892:LMJ720893 LMJ786428:LMJ786429 LMJ851964:LMJ851965 LMJ917500:LMJ917501 LMJ983036:LMJ983037 LWA6 LWA65536 LWA131072 LWA196608 LWA262144 LWA327680 LWA393216 LWA458752 LWA524288 LWA589824 LWA655360 LWA720896 LWA786432 LWA851968 LWA917504 LWA983040 LWF2:LWF3 LWF65532:LWF65533 LWF131068:LWF131069 LWF196604:LWF196605 LWF262140:LWF262141 LWF327676:LWF327677 LWF393212:LWF393213 LWF458748:LWF458749 LWF524284:LWF524285 LWF589820:LWF589821 LWF655356:LWF655357 LWF720892:LWF720893 LWF786428:LWF786429 LWF851964:LWF851965 LWF917500:LWF917501 LWF983036:LWF983037 MFW6 MFW65536 MFW131072 MFW196608 MFW262144 MFW327680 MFW393216 MFW458752 MFW524288 MFW589824 MFW655360 MFW720896 MFW786432 MFW851968 MFW917504 MFW983040 MGB2:MGB3 MGB65532:MGB65533 MGB131068:MGB131069 MGB196604:MGB196605 MGB262140:MGB262141 MGB327676:MGB327677 MGB393212:MGB393213 MGB458748:MGB458749 MGB524284:MGB524285 MGB589820:MGB589821 MGB655356:MGB655357 MGB720892:MGB720893 MGB786428:MGB786429 MGB851964:MGB851965 MGB917500:MGB917501 MGB983036:MGB983037 MPS6 MPS65536 MPS131072 MPS196608 MPS262144 MPS327680 MPS393216 MPS458752 MPS524288 MPS589824 MPS655360 MPS720896 MPS786432 MPS851968 MPS917504 MPS983040 MPX2:MPX3 MPX65532:MPX65533 MPX131068:MPX131069 MPX196604:MPX196605 MPX262140:MPX262141 MPX327676:MPX327677 MPX393212:MPX393213 MPX458748:MPX458749 MPX524284:MPX524285 MPX589820:MPX589821 MPX655356:MPX655357 MPX720892:MPX720893 MPX786428:MPX786429 MPX851964:MPX851965 MPX917500:MPX917501 MPX983036:MPX983037 MZO6 MZO65536 MZO131072 MZO196608 MZO262144 MZO327680 MZO393216 MZO458752 MZO524288 MZO589824 MZO655360 MZO720896 MZO786432 MZO851968 MZO917504 MZO983040 MZT2:MZT3 MZT65532:MZT65533 MZT131068:MZT131069 MZT196604:MZT196605 MZT262140:MZT262141 MZT327676:MZT327677 MZT393212:MZT393213 MZT458748:MZT458749 MZT524284:MZT524285 MZT589820:MZT589821 MZT655356:MZT655357 MZT720892:MZT720893 MZT786428:MZT786429 MZT851964:MZT851965 MZT917500:MZT917501 MZT983036:MZT983037 NJK6 NJK65536 NJK131072 NJK196608 NJK262144 NJK327680 NJK393216 NJK458752 NJK524288 NJK589824 NJK655360 NJK720896 NJK786432 NJK851968 NJK917504 NJK983040 NJP2:NJP3 NJP65532:NJP65533 NJP131068:NJP131069 NJP196604:NJP196605 NJP262140:NJP262141 NJP327676:NJP327677 NJP393212:NJP393213 NJP458748:NJP458749 NJP524284:NJP524285 NJP589820:NJP589821 NJP655356:NJP655357 NJP720892:NJP720893 NJP786428:NJP786429 NJP851964:NJP851965 NJP917500:NJP917501 NJP983036:NJP983037 NTG6 NTG65536 NTG131072 NTG196608 NTG262144 NTG327680 NTG393216 NTG458752 NTG524288 NTG589824 NTG655360 NTG720896 NTG786432 NTG851968 NTG917504 NTG983040 NTL2:NTL3 NTL65532:NTL65533 NTL131068:NTL131069 NTL196604:NTL196605 NTL262140:NTL262141 NTL327676:NTL327677 NTL393212:NTL393213 NTL458748:NTL458749 NTL524284:NTL524285 NTL589820:NTL589821 NTL655356:NTL655357 NTL720892:NTL720893 NTL786428:NTL786429 NTL851964:NTL851965 NTL917500:NTL917501 NTL983036:NTL983037 ODC6 ODC65536 ODC131072 ODC196608 ODC262144 ODC327680 ODC393216 ODC458752 ODC524288 ODC589824 ODC655360 ODC720896 ODC786432 ODC851968 ODC917504 ODC983040 ODH2:ODH3 ODH65532:ODH65533 ODH131068:ODH131069 ODH196604:ODH196605 ODH262140:ODH262141 ODH327676:ODH327677 ODH393212:ODH393213 ODH458748:ODH458749 ODH524284:ODH524285 ODH589820:ODH589821 ODH655356:ODH655357 ODH720892:ODH720893 ODH786428:ODH786429 ODH851964:ODH851965 ODH917500:ODH917501 ODH983036:ODH983037 OMY6 OMY65536 OMY131072 OMY196608 OMY262144 OMY327680 OMY393216 OMY458752 OMY524288 OMY589824 OMY655360 OMY720896 OMY786432 OMY851968 OMY917504 OMY983040 OND2:OND3 OND65532:OND65533 OND131068:OND131069 OND196604:OND196605 OND262140:OND262141 OND327676:OND327677 OND393212:OND393213 OND458748:OND458749 OND524284:OND524285 OND589820:OND589821 OND655356:OND655357 OND720892:OND720893 OND786428:OND786429 OND851964:OND851965 OND917500:OND917501 OND983036:OND983037 OWU6 OWU65536 OWU131072 OWU196608 OWU262144 OWU327680 OWU393216 OWU458752 OWU524288 OWU589824 OWU655360 OWU720896 OWU786432 OWU851968 OWU917504 OWU983040 OWZ2:OWZ3 OWZ65532:OWZ65533 OWZ131068:OWZ131069 OWZ196604:OWZ196605 OWZ262140:OWZ262141 OWZ327676:OWZ327677 OWZ393212:OWZ393213 OWZ458748:OWZ458749 OWZ524284:OWZ524285 OWZ589820:OWZ589821 OWZ655356:OWZ655357 OWZ720892:OWZ720893 OWZ786428:OWZ786429 OWZ851964:OWZ851965 OWZ917500:OWZ917501 OWZ983036:OWZ983037 PGQ6 PGQ65536 PGQ131072 PGQ196608 PGQ262144 PGQ327680 PGQ393216 PGQ458752 PGQ524288 PGQ589824 PGQ655360 PGQ720896 PGQ786432 PGQ851968 PGQ917504 PGQ983040 PGV2:PGV3 PGV65532:PGV65533 PGV131068:PGV131069 PGV196604:PGV196605 PGV262140:PGV262141 PGV327676:PGV327677 PGV393212:PGV393213 PGV458748:PGV458749 PGV524284:PGV524285 PGV589820:PGV589821 PGV655356:PGV655357 PGV720892:PGV720893 PGV786428:PGV786429 PGV851964:PGV851965 PGV917500:PGV917501 PGV983036:PGV983037 PQM6 PQM65536 PQM131072 PQM196608 PQM262144 PQM327680 PQM393216 PQM458752 PQM524288 PQM589824 PQM655360 PQM720896 PQM786432 PQM851968 PQM917504 PQM983040 PQR2:PQR3 PQR65532:PQR65533 PQR131068:PQR131069 PQR196604:PQR196605 PQR262140:PQR262141 PQR327676:PQR327677 PQR393212:PQR393213 PQR458748:PQR458749 PQR524284:PQR524285 PQR589820:PQR589821 PQR655356:PQR655357 PQR720892:PQR720893 PQR786428:PQR786429 PQR851964:PQR851965 PQR917500:PQR917501 PQR983036:PQR983037 QAI6 QAI65536 QAI131072 QAI196608 QAI262144 QAI327680 QAI393216 QAI458752 QAI524288 QAI589824 QAI655360 QAI720896 QAI786432 QAI851968 QAI917504 QAI983040 QAN2:QAN3 QAN65532:QAN65533 QAN131068:QAN131069 QAN196604:QAN196605 QAN262140:QAN262141 QAN327676:QAN327677 QAN393212:QAN393213 QAN458748:QAN458749 QAN524284:QAN524285 QAN589820:QAN589821 QAN655356:QAN655357 QAN720892:QAN720893 QAN786428:QAN786429 QAN851964:QAN851965 QAN917500:QAN917501 QAN983036:QAN983037 QKE6 QKE65536 QKE131072 QKE196608 QKE262144 QKE327680 QKE393216 QKE458752 QKE524288 QKE589824 QKE655360 QKE720896 QKE786432 QKE851968 QKE917504 QKE983040 QKJ2:QKJ3 QKJ65532:QKJ65533 QKJ131068:QKJ131069 QKJ196604:QKJ196605 QKJ262140:QKJ262141 QKJ327676:QKJ327677 QKJ393212:QKJ393213 QKJ458748:QKJ458749 QKJ524284:QKJ524285 QKJ589820:QKJ589821 QKJ655356:QKJ655357 QKJ720892:QKJ720893 QKJ786428:QKJ786429 QKJ851964:QKJ851965 QKJ917500:QKJ917501 QKJ983036:QKJ983037 QUA6 QUA65536 QUA131072 QUA196608 QUA262144 QUA327680 QUA393216 QUA458752 QUA524288 QUA589824 QUA655360 QUA720896 QUA786432 QUA851968 QUA917504 QUA983040 QUF2:QUF3 QUF65532:QUF65533 QUF131068:QUF131069 QUF196604:QUF196605 QUF262140:QUF262141 QUF327676:QUF327677 QUF393212:QUF393213 QUF458748:QUF458749 QUF524284:QUF524285 QUF589820:QUF589821 QUF655356:QUF655357 QUF720892:QUF720893 QUF786428:QUF786429 QUF851964:QUF851965 QUF917500:QUF917501 QUF983036:QUF983037 RDW6 RDW65536 RDW131072 RDW196608 RDW262144 RDW327680 RDW393216 RDW458752 RDW524288 RDW589824 RDW655360 RDW720896 RDW786432 RDW851968 RDW917504 RDW983040 REB2:REB3 REB65532:REB65533 REB131068:REB131069 REB196604:REB196605 REB262140:REB262141 REB327676:REB327677 REB393212:REB393213 REB458748:REB458749 REB524284:REB524285 REB589820:REB589821 REB655356:REB655357 REB720892:REB720893 REB786428:REB786429 REB851964:REB851965 REB917500:REB917501 REB983036:REB983037 RNS6 RNS65536 RNS131072 RNS196608 RNS262144 RNS327680 RNS393216 RNS458752 RNS524288 RNS589824 RNS655360 RNS720896 RNS786432 RNS851968 RNS917504 RNS983040 RNX2:RNX3 RNX65532:RNX65533 RNX131068:RNX131069 RNX196604:RNX196605 RNX262140:RNX262141 RNX327676:RNX327677 RNX393212:RNX393213 RNX458748:RNX458749 RNX524284:RNX524285 RNX589820:RNX589821 RNX655356:RNX655357 RNX720892:RNX720893 RNX786428:RNX786429 RNX851964:RNX851965 RNX917500:RNX917501 RNX983036:RNX983037 RXO6 RXO65536 RXO131072 RXO196608 RXO262144 RXO327680 RXO393216 RXO458752 RXO524288 RXO589824 RXO655360 RXO720896 RXO786432 RXO851968 RXO917504 RXO983040 RXT2:RXT3 RXT65532:RXT65533 RXT131068:RXT131069 RXT196604:RXT196605 RXT262140:RXT262141 RXT327676:RXT327677 RXT393212:RXT393213 RXT458748:RXT458749 RXT524284:RXT524285 RXT589820:RXT589821 RXT655356:RXT655357 RXT720892:RXT720893 RXT786428:RXT786429 RXT851964:RXT851965 RXT917500:RXT917501 RXT983036:RXT983037 SHK6 SHK65536 SHK131072 SHK196608 SHK262144 SHK327680 SHK393216 SHK458752 SHK524288 SHK589824 SHK655360 SHK720896 SHK786432 SHK851968 SHK917504 SHK983040 SHP2:SHP3 SHP65532:SHP65533 SHP131068:SHP131069 SHP196604:SHP196605 SHP262140:SHP262141 SHP327676:SHP327677 SHP393212:SHP393213 SHP458748:SHP458749 SHP524284:SHP524285 SHP589820:SHP589821 SHP655356:SHP655357 SHP720892:SHP720893 SHP786428:SHP786429 SHP851964:SHP851965 SHP917500:SHP917501 SHP983036:SHP983037 SRG6 SRG65536 SRG131072 SRG196608 SRG262144 SRG327680 SRG393216 SRG458752 SRG524288 SRG589824 SRG655360 SRG720896 SRG786432 SRG851968 SRG917504 SRG983040 SRL2:SRL3 SRL65532:SRL65533 SRL131068:SRL131069 SRL196604:SRL196605 SRL262140:SRL262141 SRL327676:SRL327677 SRL393212:SRL393213 SRL458748:SRL458749 SRL524284:SRL524285 SRL589820:SRL589821 SRL655356:SRL655357 SRL720892:SRL720893 SRL786428:SRL786429 SRL851964:SRL851965 SRL917500:SRL917501 SRL983036:SRL983037 TBC6 TBC65536 TBC131072 TBC196608 TBC262144 TBC327680 TBC393216 TBC458752 TBC524288 TBC589824 TBC655360 TBC720896 TBC786432 TBC851968 TBC917504 TBC983040 TBH2:TBH3 TBH65532:TBH65533 TBH131068:TBH131069 TBH196604:TBH196605 TBH262140:TBH262141 TBH327676:TBH327677 TBH393212:TBH393213 TBH458748:TBH458749 TBH524284:TBH524285 TBH589820:TBH589821 TBH655356:TBH655357 TBH720892:TBH720893 TBH786428:TBH786429 TBH851964:TBH851965 TBH917500:TBH917501 TBH983036:TBH983037 TKY6 TKY65536 TKY131072 TKY196608 TKY262144 TKY327680 TKY393216 TKY458752 TKY524288 TKY589824 TKY655360 TKY720896 TKY786432 TKY851968 TKY917504 TKY983040 TLD2:TLD3 TLD65532:TLD65533 TLD131068:TLD131069 TLD196604:TLD196605 TLD262140:TLD262141 TLD327676:TLD327677 TLD393212:TLD393213 TLD458748:TLD458749 TLD524284:TLD524285 TLD589820:TLD589821 TLD655356:TLD655357 TLD720892:TLD720893 TLD786428:TLD786429 TLD851964:TLD851965 TLD917500:TLD917501 TLD983036:TLD983037 TUU6 TUU65536 TUU131072 TUU196608 TUU262144 TUU327680 TUU393216 TUU458752 TUU524288 TUU589824 TUU655360 TUU720896 TUU786432 TUU851968 TUU917504 TUU983040 TUZ2:TUZ3 TUZ65532:TUZ65533 TUZ131068:TUZ131069 TUZ196604:TUZ196605 TUZ262140:TUZ262141 TUZ327676:TUZ327677 TUZ393212:TUZ393213 TUZ458748:TUZ458749 TUZ524284:TUZ524285 TUZ589820:TUZ589821 TUZ655356:TUZ655357 TUZ720892:TUZ720893 TUZ786428:TUZ786429 TUZ851964:TUZ851965 TUZ917500:TUZ917501 TUZ983036:TUZ983037 UEQ6 UEQ65536 UEQ131072 UEQ196608 UEQ262144 UEQ327680 UEQ393216 UEQ458752 UEQ524288 UEQ589824 UEQ655360 UEQ720896 UEQ786432 UEQ851968 UEQ917504 UEQ983040 UEV2:UEV3 UEV65532:UEV65533 UEV131068:UEV131069 UEV196604:UEV196605 UEV262140:UEV262141 UEV327676:UEV327677 UEV393212:UEV393213 UEV458748:UEV458749 UEV524284:UEV524285 UEV589820:UEV589821 UEV655356:UEV655357 UEV720892:UEV720893 UEV786428:UEV786429 UEV851964:UEV851965 UEV917500:UEV917501 UEV983036:UEV983037 UOM6 UOM65536 UOM131072 UOM196608 UOM262144 UOM327680 UOM393216 UOM458752 UOM524288 UOM589824 UOM655360 UOM720896 UOM786432 UOM851968 UOM917504 UOM983040 UOR2:UOR3 UOR65532:UOR65533 UOR131068:UOR131069 UOR196604:UOR196605 UOR262140:UOR262141 UOR327676:UOR327677 UOR393212:UOR393213 UOR458748:UOR458749 UOR524284:UOR524285 UOR589820:UOR589821 UOR655356:UOR655357 UOR720892:UOR720893 UOR786428:UOR786429 UOR851964:UOR851965 UOR917500:UOR917501 UOR983036:UOR983037 UYI6 UYI65536 UYI131072 UYI196608 UYI262144 UYI327680 UYI393216 UYI458752 UYI524288 UYI589824 UYI655360 UYI720896 UYI786432 UYI851968 UYI917504 UYI983040 UYN2:UYN3 UYN65532:UYN65533 UYN131068:UYN131069 UYN196604:UYN196605 UYN262140:UYN262141 UYN327676:UYN327677 UYN393212:UYN393213 UYN458748:UYN458749 UYN524284:UYN524285 UYN589820:UYN589821 UYN655356:UYN655357 UYN720892:UYN720893 UYN786428:UYN786429 UYN851964:UYN851965 UYN917500:UYN917501 UYN983036:UYN983037 VIE6 VIE65536 VIE131072 VIE196608 VIE262144 VIE327680 VIE393216 VIE458752 VIE524288 VIE589824 VIE655360 VIE720896 VIE786432 VIE851968 VIE917504 VIE983040 VIJ2:VIJ3 VIJ65532:VIJ65533 VIJ131068:VIJ131069 VIJ196604:VIJ196605 VIJ262140:VIJ262141 VIJ327676:VIJ327677 VIJ393212:VIJ393213 VIJ458748:VIJ458749 VIJ524284:VIJ524285 VIJ589820:VIJ589821 VIJ655356:VIJ655357 VIJ720892:VIJ720893 VIJ786428:VIJ786429 VIJ851964:VIJ851965 VIJ917500:VIJ917501 VIJ983036:VIJ983037 VSA6 VSA65536 VSA131072 VSA196608 VSA262144 VSA327680 VSA393216 VSA458752 VSA524288 VSA589824 VSA655360 VSA720896 VSA786432 VSA851968 VSA917504 VSA983040 VSF2:VSF3 VSF65532:VSF65533 VSF131068:VSF131069 VSF196604:VSF196605 VSF262140:VSF262141 VSF327676:VSF327677 VSF393212:VSF393213 VSF458748:VSF458749 VSF524284:VSF524285 VSF589820:VSF589821 VSF655356:VSF655357 VSF720892:VSF720893 VSF786428:VSF786429 VSF851964:VSF851965 VSF917500:VSF917501 VSF983036:VSF983037 WBW6 WBW65536 WBW131072 WBW196608 WBW262144 WBW327680 WBW393216 WBW458752 WBW524288 WBW589824 WBW655360 WBW720896 WBW786432 WBW851968 WBW917504 WBW983040 WCB2:WCB3 WCB65532:WCB65533 WCB131068:WCB131069 WCB196604:WCB196605 WCB262140:WCB262141 WCB327676:WCB327677 WCB393212:WCB393213 WCB458748:WCB458749 WCB524284:WCB524285 WCB589820:WCB589821 WCB655356:WCB655357 WCB720892:WCB720893 WCB786428:WCB786429 WCB851964:WCB851965 WCB917500:WCB917501 WCB983036:WCB983037 WLS6 WLS65536 WLS131072 WLS196608 WLS262144 WLS327680 WLS393216 WLS458752 WLS524288 WLS589824 WLS655360 WLS720896 WLS786432 WLS851968 WLS917504 WLS983040 WLX2:WLX3 WLX65532:WLX65533 WLX131068:WLX131069 WLX196604:WLX196605 WLX262140:WLX262141 WLX327676:WLX327677 WLX393212:WLX393213 WLX458748:WLX458749 WLX524284:WLX524285 WLX589820:WLX589821 WLX655356:WLX655357 WLX720892:WLX720893 WLX786428:WLX786429 WLX851964:WLX851965 WLX917500:WLX917501 WLX983036:WLX983037 WVO6 WVO65536 WVO131072 WVO196608 WVO262144 WVO327680 WVO393216 WVO458752 WVO524288 WVO589824 WVO655360 WVO720896 WVO786432 WVO851968 WVO917504 WVO983040 WVT2:WVT3 WVT65532:WVT65533 WVT131068:WVT131069 WVT196604:WVT196605 WVT262140:WVT262141 WVT327676:WVT327677 WVT393212:WVT393213 WVT458748:WVT458749 WVT524284:WVT524285 WVT589820:WVT589821 WVT655356:WVT655357 WVT720892:WVT720893 WVT786428:WVT786429 WVT851964:WVT851965 WVT917500:WVT917501 WVT983036:WVT983037" xr:uid="{00000000-0002-0000-0800-000007000000}"/>
    <dataValidation allowBlank="1" showInputMessage="1" showErrorMessage="1" prompt="This cell is automatically updated from the names List according to the index number in L1. It needs to be identical to the output product." sqref="L3:L6 L65533:L65536 L131069:L131072 L196605:L196608 L262141:L262144 L327677:L327680 L393213:L393216 L458749:L458752 L524285:L524288 L589821:L589824 L655357:L655360 L720893:L720896 L786429:L786432 L851965:L851968 L917501:L917504 L983037:L983040 JI3:JI6 JI65533:JI65536 JI131069:JI131072 JI196605:JI196608 JI262141:JI262144 JI327677:JI327680 JI393213:JI393216 JI458749:JI458752 JI524285:JI524288 JI589821:JI589824 JI655357:JI655360 JI720893:JI720896 JI786429:JI786432 JI851965:JI851968 JI917501:JI917504 JI983037:JI983040 TE3:TE6 TE65533:TE65536 TE131069:TE131072 TE196605:TE196608 TE262141:TE262144 TE327677:TE327680 TE393213:TE393216 TE458749:TE458752 TE524285:TE524288 TE589821:TE589824 TE655357:TE655360 TE720893:TE720896 TE786429:TE786432 TE851965:TE851968 TE917501:TE917504 TE983037:TE983040 ADA3:ADA6 ADA65533:ADA65536 ADA131069:ADA131072 ADA196605:ADA196608 ADA262141:ADA262144 ADA327677:ADA327680 ADA393213:ADA393216 ADA458749:ADA458752 ADA524285:ADA524288 ADA589821:ADA589824 ADA655357:ADA655360 ADA720893:ADA720896 ADA786429:ADA786432 ADA851965:ADA851968 ADA917501:ADA917504 ADA983037:ADA983040 AMW3:AMW6 AMW65533:AMW65536 AMW131069:AMW131072 AMW196605:AMW196608 AMW262141:AMW262144 AMW327677:AMW327680 AMW393213:AMW393216 AMW458749:AMW458752 AMW524285:AMW524288 AMW589821:AMW589824 AMW655357:AMW655360 AMW720893:AMW720896 AMW786429:AMW786432 AMW851965:AMW851968 AMW917501:AMW917504 AMW983037:AMW983040 AWS3:AWS6 AWS65533:AWS65536 AWS131069:AWS131072 AWS196605:AWS196608 AWS262141:AWS262144 AWS327677:AWS327680 AWS393213:AWS393216 AWS458749:AWS458752 AWS524285:AWS524288 AWS589821:AWS589824 AWS655357:AWS655360 AWS720893:AWS720896 AWS786429:AWS786432 AWS851965:AWS851968 AWS917501:AWS917504 AWS983037:AWS983040 BGO3:BGO6 BGO65533:BGO65536 BGO131069:BGO131072 BGO196605:BGO196608 BGO262141:BGO262144 BGO327677:BGO327680 BGO393213:BGO393216 BGO458749:BGO458752 BGO524285:BGO524288 BGO589821:BGO589824 BGO655357:BGO655360 BGO720893:BGO720896 BGO786429:BGO786432 BGO851965:BGO851968 BGO917501:BGO917504 BGO983037:BGO983040 BQK3:BQK6 BQK65533:BQK65536 BQK131069:BQK131072 BQK196605:BQK196608 BQK262141:BQK262144 BQK327677:BQK327680 BQK393213:BQK393216 BQK458749:BQK458752 BQK524285:BQK524288 BQK589821:BQK589824 BQK655357:BQK655360 BQK720893:BQK720896 BQK786429:BQK786432 BQK851965:BQK851968 BQK917501:BQK917504 BQK983037:BQK983040 CAG3:CAG6 CAG65533:CAG65536 CAG131069:CAG131072 CAG196605:CAG196608 CAG262141:CAG262144 CAG327677:CAG327680 CAG393213:CAG393216 CAG458749:CAG458752 CAG524285:CAG524288 CAG589821:CAG589824 CAG655357:CAG655360 CAG720893:CAG720896 CAG786429:CAG786432 CAG851965:CAG851968 CAG917501:CAG917504 CAG983037:CAG983040 CKC3:CKC6 CKC65533:CKC65536 CKC131069:CKC131072 CKC196605:CKC196608 CKC262141:CKC262144 CKC327677:CKC327680 CKC393213:CKC393216 CKC458749:CKC458752 CKC524285:CKC524288 CKC589821:CKC589824 CKC655357:CKC655360 CKC720893:CKC720896 CKC786429:CKC786432 CKC851965:CKC851968 CKC917501:CKC917504 CKC983037:CKC983040 CTY3:CTY6 CTY65533:CTY65536 CTY131069:CTY131072 CTY196605:CTY196608 CTY262141:CTY262144 CTY327677:CTY327680 CTY393213:CTY393216 CTY458749:CTY458752 CTY524285:CTY524288 CTY589821:CTY589824 CTY655357:CTY655360 CTY720893:CTY720896 CTY786429:CTY786432 CTY851965:CTY851968 CTY917501:CTY917504 CTY983037:CTY983040 DDU3:DDU6 DDU65533:DDU65536 DDU131069:DDU131072 DDU196605:DDU196608 DDU262141:DDU262144 DDU327677:DDU327680 DDU393213:DDU393216 DDU458749:DDU458752 DDU524285:DDU524288 DDU589821:DDU589824 DDU655357:DDU655360 DDU720893:DDU720896 DDU786429:DDU786432 DDU851965:DDU851968 DDU917501:DDU917504 DDU983037:DDU983040 DNQ3:DNQ6 DNQ65533:DNQ65536 DNQ131069:DNQ131072 DNQ196605:DNQ196608 DNQ262141:DNQ262144 DNQ327677:DNQ327680 DNQ393213:DNQ393216 DNQ458749:DNQ458752 DNQ524285:DNQ524288 DNQ589821:DNQ589824 DNQ655357:DNQ655360 DNQ720893:DNQ720896 DNQ786429:DNQ786432 DNQ851965:DNQ851968 DNQ917501:DNQ917504 DNQ983037:DNQ983040 DXM3:DXM6 DXM65533:DXM65536 DXM131069:DXM131072 DXM196605:DXM196608 DXM262141:DXM262144 DXM327677:DXM327680 DXM393213:DXM393216 DXM458749:DXM458752 DXM524285:DXM524288 DXM589821:DXM589824 DXM655357:DXM655360 DXM720893:DXM720896 DXM786429:DXM786432 DXM851965:DXM851968 DXM917501:DXM917504 DXM983037:DXM983040 EHI3:EHI6 EHI65533:EHI65536 EHI131069:EHI131072 EHI196605:EHI196608 EHI262141:EHI262144 EHI327677:EHI327680 EHI393213:EHI393216 EHI458749:EHI458752 EHI524285:EHI524288 EHI589821:EHI589824 EHI655357:EHI655360 EHI720893:EHI720896 EHI786429:EHI786432 EHI851965:EHI851968 EHI917501:EHI917504 EHI983037:EHI983040 ERE3:ERE6 ERE65533:ERE65536 ERE131069:ERE131072 ERE196605:ERE196608 ERE262141:ERE262144 ERE327677:ERE327680 ERE393213:ERE393216 ERE458749:ERE458752 ERE524285:ERE524288 ERE589821:ERE589824 ERE655357:ERE655360 ERE720893:ERE720896 ERE786429:ERE786432 ERE851965:ERE851968 ERE917501:ERE917504 ERE983037:ERE983040 FBA3:FBA6 FBA65533:FBA65536 FBA131069:FBA131072 FBA196605:FBA196608 FBA262141:FBA262144 FBA327677:FBA327680 FBA393213:FBA393216 FBA458749:FBA458752 FBA524285:FBA524288 FBA589821:FBA589824 FBA655357:FBA655360 FBA720893:FBA720896 FBA786429:FBA786432 FBA851965:FBA851968 FBA917501:FBA917504 FBA983037:FBA983040 FKW3:FKW6 FKW65533:FKW65536 FKW131069:FKW131072 FKW196605:FKW196608 FKW262141:FKW262144 FKW327677:FKW327680 FKW393213:FKW393216 FKW458749:FKW458752 FKW524285:FKW524288 FKW589821:FKW589824 FKW655357:FKW655360 FKW720893:FKW720896 FKW786429:FKW786432 FKW851965:FKW851968 FKW917501:FKW917504 FKW983037:FKW983040 FUS3:FUS6 FUS65533:FUS65536 FUS131069:FUS131072 FUS196605:FUS196608 FUS262141:FUS262144 FUS327677:FUS327680 FUS393213:FUS393216 FUS458749:FUS458752 FUS524285:FUS524288 FUS589821:FUS589824 FUS655357:FUS655360 FUS720893:FUS720896 FUS786429:FUS786432 FUS851965:FUS851968 FUS917501:FUS917504 FUS983037:FUS983040 GEO3:GEO6 GEO65533:GEO65536 GEO131069:GEO131072 GEO196605:GEO196608 GEO262141:GEO262144 GEO327677:GEO327680 GEO393213:GEO393216 GEO458749:GEO458752 GEO524285:GEO524288 GEO589821:GEO589824 GEO655357:GEO655360 GEO720893:GEO720896 GEO786429:GEO786432 GEO851965:GEO851968 GEO917501:GEO917504 GEO983037:GEO983040 GOK3:GOK6 GOK65533:GOK65536 GOK131069:GOK131072 GOK196605:GOK196608 GOK262141:GOK262144 GOK327677:GOK327680 GOK393213:GOK393216 GOK458749:GOK458752 GOK524285:GOK524288 GOK589821:GOK589824 GOK655357:GOK655360 GOK720893:GOK720896 GOK786429:GOK786432 GOK851965:GOK851968 GOK917501:GOK917504 GOK983037:GOK983040 GYG3:GYG6 GYG65533:GYG65536 GYG131069:GYG131072 GYG196605:GYG196608 GYG262141:GYG262144 GYG327677:GYG327680 GYG393213:GYG393216 GYG458749:GYG458752 GYG524285:GYG524288 GYG589821:GYG589824 GYG655357:GYG655360 GYG720893:GYG720896 GYG786429:GYG786432 GYG851965:GYG851968 GYG917501:GYG917504 GYG983037:GYG983040 HIC3:HIC6 HIC65533:HIC65536 HIC131069:HIC131072 HIC196605:HIC196608 HIC262141:HIC262144 HIC327677:HIC327680 HIC393213:HIC393216 HIC458749:HIC458752 HIC524285:HIC524288 HIC589821:HIC589824 HIC655357:HIC655360 HIC720893:HIC720896 HIC786429:HIC786432 HIC851965:HIC851968 HIC917501:HIC917504 HIC983037:HIC983040 HRY3:HRY6 HRY65533:HRY65536 HRY131069:HRY131072 HRY196605:HRY196608 HRY262141:HRY262144 HRY327677:HRY327680 HRY393213:HRY393216 HRY458749:HRY458752 HRY524285:HRY524288 HRY589821:HRY589824 HRY655357:HRY655360 HRY720893:HRY720896 HRY786429:HRY786432 HRY851965:HRY851968 HRY917501:HRY917504 HRY983037:HRY983040 IBU3:IBU6 IBU65533:IBU65536 IBU131069:IBU131072 IBU196605:IBU196608 IBU262141:IBU262144 IBU327677:IBU327680 IBU393213:IBU393216 IBU458749:IBU458752 IBU524285:IBU524288 IBU589821:IBU589824 IBU655357:IBU655360 IBU720893:IBU720896 IBU786429:IBU786432 IBU851965:IBU851968 IBU917501:IBU917504 IBU983037:IBU983040 ILQ3:ILQ6 ILQ65533:ILQ65536 ILQ131069:ILQ131072 ILQ196605:ILQ196608 ILQ262141:ILQ262144 ILQ327677:ILQ327680 ILQ393213:ILQ393216 ILQ458749:ILQ458752 ILQ524285:ILQ524288 ILQ589821:ILQ589824 ILQ655357:ILQ655360 ILQ720893:ILQ720896 ILQ786429:ILQ786432 ILQ851965:ILQ851968 ILQ917501:ILQ917504 ILQ983037:ILQ983040 IVM3:IVM6 IVM65533:IVM65536 IVM131069:IVM131072 IVM196605:IVM196608 IVM262141:IVM262144 IVM327677:IVM327680 IVM393213:IVM393216 IVM458749:IVM458752 IVM524285:IVM524288 IVM589821:IVM589824 IVM655357:IVM655360 IVM720893:IVM720896 IVM786429:IVM786432 IVM851965:IVM851968 IVM917501:IVM917504 IVM983037:IVM983040 JFI3:JFI6 JFI65533:JFI65536 JFI131069:JFI131072 JFI196605:JFI196608 JFI262141:JFI262144 JFI327677:JFI327680 JFI393213:JFI393216 JFI458749:JFI458752 JFI524285:JFI524288 JFI589821:JFI589824 JFI655357:JFI655360 JFI720893:JFI720896 JFI786429:JFI786432 JFI851965:JFI851968 JFI917501:JFI917504 JFI983037:JFI983040 JPE3:JPE6 JPE65533:JPE65536 JPE131069:JPE131072 JPE196605:JPE196608 JPE262141:JPE262144 JPE327677:JPE327680 JPE393213:JPE393216 JPE458749:JPE458752 JPE524285:JPE524288 JPE589821:JPE589824 JPE655357:JPE655360 JPE720893:JPE720896 JPE786429:JPE786432 JPE851965:JPE851968 JPE917501:JPE917504 JPE983037:JPE983040 JZA3:JZA6 JZA65533:JZA65536 JZA131069:JZA131072 JZA196605:JZA196608 JZA262141:JZA262144 JZA327677:JZA327680 JZA393213:JZA393216 JZA458749:JZA458752 JZA524285:JZA524288 JZA589821:JZA589824 JZA655357:JZA655360 JZA720893:JZA720896 JZA786429:JZA786432 JZA851965:JZA851968 JZA917501:JZA917504 JZA983037:JZA983040 KIW3:KIW6 KIW65533:KIW65536 KIW131069:KIW131072 KIW196605:KIW196608 KIW262141:KIW262144 KIW327677:KIW327680 KIW393213:KIW393216 KIW458749:KIW458752 KIW524285:KIW524288 KIW589821:KIW589824 KIW655357:KIW655360 KIW720893:KIW720896 KIW786429:KIW786432 KIW851965:KIW851968 KIW917501:KIW917504 KIW983037:KIW983040 KSS3:KSS6 KSS65533:KSS65536 KSS131069:KSS131072 KSS196605:KSS196608 KSS262141:KSS262144 KSS327677:KSS327680 KSS393213:KSS393216 KSS458749:KSS458752 KSS524285:KSS524288 KSS589821:KSS589824 KSS655357:KSS655360 KSS720893:KSS720896 KSS786429:KSS786432 KSS851965:KSS851968 KSS917501:KSS917504 KSS983037:KSS983040 LCO3:LCO6 LCO65533:LCO65536 LCO131069:LCO131072 LCO196605:LCO196608 LCO262141:LCO262144 LCO327677:LCO327680 LCO393213:LCO393216 LCO458749:LCO458752 LCO524285:LCO524288 LCO589821:LCO589824 LCO655357:LCO655360 LCO720893:LCO720896 LCO786429:LCO786432 LCO851965:LCO851968 LCO917501:LCO917504 LCO983037:LCO983040 LMK3:LMK6 LMK65533:LMK65536 LMK131069:LMK131072 LMK196605:LMK196608 LMK262141:LMK262144 LMK327677:LMK327680 LMK393213:LMK393216 LMK458749:LMK458752 LMK524285:LMK524288 LMK589821:LMK589824 LMK655357:LMK655360 LMK720893:LMK720896 LMK786429:LMK786432 LMK851965:LMK851968 LMK917501:LMK917504 LMK983037:LMK983040 LWG3:LWG6 LWG65533:LWG65536 LWG131069:LWG131072 LWG196605:LWG196608 LWG262141:LWG262144 LWG327677:LWG327680 LWG393213:LWG393216 LWG458749:LWG458752 LWG524285:LWG524288 LWG589821:LWG589824 LWG655357:LWG655360 LWG720893:LWG720896 LWG786429:LWG786432 LWG851965:LWG851968 LWG917501:LWG917504 LWG983037:LWG983040 MGC3:MGC6 MGC65533:MGC65536 MGC131069:MGC131072 MGC196605:MGC196608 MGC262141:MGC262144 MGC327677:MGC327680 MGC393213:MGC393216 MGC458749:MGC458752 MGC524285:MGC524288 MGC589821:MGC589824 MGC655357:MGC655360 MGC720893:MGC720896 MGC786429:MGC786432 MGC851965:MGC851968 MGC917501:MGC917504 MGC983037:MGC983040 MPY3:MPY6 MPY65533:MPY65536 MPY131069:MPY131072 MPY196605:MPY196608 MPY262141:MPY262144 MPY327677:MPY327680 MPY393213:MPY393216 MPY458749:MPY458752 MPY524285:MPY524288 MPY589821:MPY589824 MPY655357:MPY655360 MPY720893:MPY720896 MPY786429:MPY786432 MPY851965:MPY851968 MPY917501:MPY917504 MPY983037:MPY983040 MZU3:MZU6 MZU65533:MZU65536 MZU131069:MZU131072 MZU196605:MZU196608 MZU262141:MZU262144 MZU327677:MZU327680 MZU393213:MZU393216 MZU458749:MZU458752 MZU524285:MZU524288 MZU589821:MZU589824 MZU655357:MZU655360 MZU720893:MZU720896 MZU786429:MZU786432 MZU851965:MZU851968 MZU917501:MZU917504 MZU983037:MZU983040 NJQ3:NJQ6 NJQ65533:NJQ65536 NJQ131069:NJQ131072 NJQ196605:NJQ196608 NJQ262141:NJQ262144 NJQ327677:NJQ327680 NJQ393213:NJQ393216 NJQ458749:NJQ458752 NJQ524285:NJQ524288 NJQ589821:NJQ589824 NJQ655357:NJQ655360 NJQ720893:NJQ720896 NJQ786429:NJQ786432 NJQ851965:NJQ851968 NJQ917501:NJQ917504 NJQ983037:NJQ983040 NTM3:NTM6 NTM65533:NTM65536 NTM131069:NTM131072 NTM196605:NTM196608 NTM262141:NTM262144 NTM327677:NTM327680 NTM393213:NTM393216 NTM458749:NTM458752 NTM524285:NTM524288 NTM589821:NTM589824 NTM655357:NTM655360 NTM720893:NTM720896 NTM786429:NTM786432 NTM851965:NTM851968 NTM917501:NTM917504 NTM983037:NTM983040 ODI3:ODI6 ODI65533:ODI65536 ODI131069:ODI131072 ODI196605:ODI196608 ODI262141:ODI262144 ODI327677:ODI327680 ODI393213:ODI393216 ODI458749:ODI458752 ODI524285:ODI524288 ODI589821:ODI589824 ODI655357:ODI655360 ODI720893:ODI720896 ODI786429:ODI786432 ODI851965:ODI851968 ODI917501:ODI917504 ODI983037:ODI983040 ONE3:ONE6 ONE65533:ONE65536 ONE131069:ONE131072 ONE196605:ONE196608 ONE262141:ONE262144 ONE327677:ONE327680 ONE393213:ONE393216 ONE458749:ONE458752 ONE524285:ONE524288 ONE589821:ONE589824 ONE655357:ONE655360 ONE720893:ONE720896 ONE786429:ONE786432 ONE851965:ONE851968 ONE917501:ONE917504 ONE983037:ONE983040 OXA3:OXA6 OXA65533:OXA65536 OXA131069:OXA131072 OXA196605:OXA196608 OXA262141:OXA262144 OXA327677:OXA327680 OXA393213:OXA393216 OXA458749:OXA458752 OXA524285:OXA524288 OXA589821:OXA589824 OXA655357:OXA655360 OXA720893:OXA720896 OXA786429:OXA786432 OXA851965:OXA851968 OXA917501:OXA917504 OXA983037:OXA983040 PGW3:PGW6 PGW65533:PGW65536 PGW131069:PGW131072 PGW196605:PGW196608 PGW262141:PGW262144 PGW327677:PGW327680 PGW393213:PGW393216 PGW458749:PGW458752 PGW524285:PGW524288 PGW589821:PGW589824 PGW655357:PGW655360 PGW720893:PGW720896 PGW786429:PGW786432 PGW851965:PGW851968 PGW917501:PGW917504 PGW983037:PGW983040 PQS3:PQS6 PQS65533:PQS65536 PQS131069:PQS131072 PQS196605:PQS196608 PQS262141:PQS262144 PQS327677:PQS327680 PQS393213:PQS393216 PQS458749:PQS458752 PQS524285:PQS524288 PQS589821:PQS589824 PQS655357:PQS655360 PQS720893:PQS720896 PQS786429:PQS786432 PQS851965:PQS851968 PQS917501:PQS917504 PQS983037:PQS983040 QAO3:QAO6 QAO65533:QAO65536 QAO131069:QAO131072 QAO196605:QAO196608 QAO262141:QAO262144 QAO327677:QAO327680 QAO393213:QAO393216 QAO458749:QAO458752 QAO524285:QAO524288 QAO589821:QAO589824 QAO655357:QAO655360 QAO720893:QAO720896 QAO786429:QAO786432 QAO851965:QAO851968 QAO917501:QAO917504 QAO983037:QAO983040 QKK3:QKK6 QKK65533:QKK65536 QKK131069:QKK131072 QKK196605:QKK196608 QKK262141:QKK262144 QKK327677:QKK327680 QKK393213:QKK393216 QKK458749:QKK458752 QKK524285:QKK524288 QKK589821:QKK589824 QKK655357:QKK655360 QKK720893:QKK720896 QKK786429:QKK786432 QKK851965:QKK851968 QKK917501:QKK917504 QKK983037:QKK983040 QUG3:QUG6 QUG65533:QUG65536 QUG131069:QUG131072 QUG196605:QUG196608 QUG262141:QUG262144 QUG327677:QUG327680 QUG393213:QUG393216 QUG458749:QUG458752 QUG524285:QUG524288 QUG589821:QUG589824 QUG655357:QUG655360 QUG720893:QUG720896 QUG786429:QUG786432 QUG851965:QUG851968 QUG917501:QUG917504 QUG983037:QUG983040 REC3:REC6 REC65533:REC65536 REC131069:REC131072 REC196605:REC196608 REC262141:REC262144 REC327677:REC327680 REC393213:REC393216 REC458749:REC458752 REC524285:REC524288 REC589821:REC589824 REC655357:REC655360 REC720893:REC720896 REC786429:REC786432 REC851965:REC851968 REC917501:REC917504 REC983037:REC983040 RNY3:RNY6 RNY65533:RNY65536 RNY131069:RNY131072 RNY196605:RNY196608 RNY262141:RNY262144 RNY327677:RNY327680 RNY393213:RNY393216 RNY458749:RNY458752 RNY524285:RNY524288 RNY589821:RNY589824 RNY655357:RNY655360 RNY720893:RNY720896 RNY786429:RNY786432 RNY851965:RNY851968 RNY917501:RNY917504 RNY983037:RNY983040 RXU3:RXU6 RXU65533:RXU65536 RXU131069:RXU131072 RXU196605:RXU196608 RXU262141:RXU262144 RXU327677:RXU327680 RXU393213:RXU393216 RXU458749:RXU458752 RXU524285:RXU524288 RXU589821:RXU589824 RXU655357:RXU655360 RXU720893:RXU720896 RXU786429:RXU786432 RXU851965:RXU851968 RXU917501:RXU917504 RXU983037:RXU983040 SHQ3:SHQ6 SHQ65533:SHQ65536 SHQ131069:SHQ131072 SHQ196605:SHQ196608 SHQ262141:SHQ262144 SHQ327677:SHQ327680 SHQ393213:SHQ393216 SHQ458749:SHQ458752 SHQ524285:SHQ524288 SHQ589821:SHQ589824 SHQ655357:SHQ655360 SHQ720893:SHQ720896 SHQ786429:SHQ786432 SHQ851965:SHQ851968 SHQ917501:SHQ917504 SHQ983037:SHQ983040 SRM3:SRM6 SRM65533:SRM65536 SRM131069:SRM131072 SRM196605:SRM196608 SRM262141:SRM262144 SRM327677:SRM327680 SRM393213:SRM393216 SRM458749:SRM458752 SRM524285:SRM524288 SRM589821:SRM589824 SRM655357:SRM655360 SRM720893:SRM720896 SRM786429:SRM786432 SRM851965:SRM851968 SRM917501:SRM917504 SRM983037:SRM983040 TBI3:TBI6 TBI65533:TBI65536 TBI131069:TBI131072 TBI196605:TBI196608 TBI262141:TBI262144 TBI327677:TBI327680 TBI393213:TBI393216 TBI458749:TBI458752 TBI524285:TBI524288 TBI589821:TBI589824 TBI655357:TBI655360 TBI720893:TBI720896 TBI786429:TBI786432 TBI851965:TBI851968 TBI917501:TBI917504 TBI983037:TBI983040 TLE3:TLE6 TLE65533:TLE65536 TLE131069:TLE131072 TLE196605:TLE196608 TLE262141:TLE262144 TLE327677:TLE327680 TLE393213:TLE393216 TLE458749:TLE458752 TLE524285:TLE524288 TLE589821:TLE589824 TLE655357:TLE655360 TLE720893:TLE720896 TLE786429:TLE786432 TLE851965:TLE851968 TLE917501:TLE917504 TLE983037:TLE983040 TVA3:TVA6 TVA65533:TVA65536 TVA131069:TVA131072 TVA196605:TVA196608 TVA262141:TVA262144 TVA327677:TVA327680 TVA393213:TVA393216 TVA458749:TVA458752 TVA524285:TVA524288 TVA589821:TVA589824 TVA655357:TVA655360 TVA720893:TVA720896 TVA786429:TVA786432 TVA851965:TVA851968 TVA917501:TVA917504 TVA983037:TVA983040 UEW3:UEW6 UEW65533:UEW65536 UEW131069:UEW131072 UEW196605:UEW196608 UEW262141:UEW262144 UEW327677:UEW327680 UEW393213:UEW393216 UEW458749:UEW458752 UEW524285:UEW524288 UEW589821:UEW589824 UEW655357:UEW655360 UEW720893:UEW720896 UEW786429:UEW786432 UEW851965:UEW851968 UEW917501:UEW917504 UEW983037:UEW983040 UOS3:UOS6 UOS65533:UOS65536 UOS131069:UOS131072 UOS196605:UOS196608 UOS262141:UOS262144 UOS327677:UOS327680 UOS393213:UOS393216 UOS458749:UOS458752 UOS524285:UOS524288 UOS589821:UOS589824 UOS655357:UOS655360 UOS720893:UOS720896 UOS786429:UOS786432 UOS851965:UOS851968 UOS917501:UOS917504 UOS983037:UOS983040 UYO3:UYO6 UYO65533:UYO65536 UYO131069:UYO131072 UYO196605:UYO196608 UYO262141:UYO262144 UYO327677:UYO327680 UYO393213:UYO393216 UYO458749:UYO458752 UYO524285:UYO524288 UYO589821:UYO589824 UYO655357:UYO655360 UYO720893:UYO720896 UYO786429:UYO786432 UYO851965:UYO851968 UYO917501:UYO917504 UYO983037:UYO983040 VIK3:VIK6 VIK65533:VIK65536 VIK131069:VIK131072 VIK196605:VIK196608 VIK262141:VIK262144 VIK327677:VIK327680 VIK393213:VIK393216 VIK458749:VIK458752 VIK524285:VIK524288 VIK589821:VIK589824 VIK655357:VIK655360 VIK720893:VIK720896 VIK786429:VIK786432 VIK851965:VIK851968 VIK917501:VIK917504 VIK983037:VIK983040 VSG3:VSG6 VSG65533:VSG65536 VSG131069:VSG131072 VSG196605:VSG196608 VSG262141:VSG262144 VSG327677:VSG327680 VSG393213:VSG393216 VSG458749:VSG458752 VSG524285:VSG524288 VSG589821:VSG589824 VSG655357:VSG655360 VSG720893:VSG720896 VSG786429:VSG786432 VSG851965:VSG851968 VSG917501:VSG917504 VSG983037:VSG983040 WCC3:WCC6 WCC65533:WCC65536 WCC131069:WCC131072 WCC196605:WCC196608 WCC262141:WCC262144 WCC327677:WCC327680 WCC393213:WCC393216 WCC458749:WCC458752 WCC524285:WCC524288 WCC589821:WCC589824 WCC655357:WCC655360 WCC720893:WCC720896 WCC786429:WCC786432 WCC851965:WCC851968 WCC917501:WCC917504 WCC983037:WCC983040 WLY3:WLY6 WLY65533:WLY65536 WLY131069:WLY131072 WLY196605:WLY196608 WLY262141:WLY262144 WLY327677:WLY327680 WLY393213:WLY393216 WLY458749:WLY458752 WLY524285:WLY524288 WLY589821:WLY589824 WLY655357:WLY655360 WLY720893:WLY720896 WLY786429:WLY786432 WLY851965:WLY851968 WLY917501:WLY917504 WLY983037:WLY983040 WVU3:WVU6 WVU65533:WVU65536 WVU131069:WVU131072 WVU196605:WVU196608 WVU262141:WVU262144 WVU327677:WVU327680 WVU393213:WVU393216 WVU458749:WVU458752 WVU524285:WVU524288 WVU589821:WVU589824 WVU655357:WVU655360 WVU720893:WVU720896 WVU786429:WVU786432 WVU851965:WVU851968 WVU917501:WVU917504 WVU983037:WVU983040" xr:uid="{00000000-0002-0000-0800-000008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D65537 D131073 D196609 D262145 D327681 D393217 D458753 D524289 D589825 D655361 D720897 D786433 D851969 D917505 D983041 JA7 JA65537 JA131073 JA196609 JA262145 JA327681 JA393217 JA458753 JA524289 JA589825 JA655361 JA720897 JA786433 JA851969 JA917505 JA983041 SW7 SW65537 SW131073 SW196609 SW262145 SW327681 SW393217 SW458753 SW524289 SW589825 SW655361 SW720897 SW786433 SW851969 SW917505 SW983041 ACS7 ACS65537 ACS131073 ACS196609 ACS262145 ACS327681 ACS393217 ACS458753 ACS524289 ACS589825 ACS655361 ACS720897 ACS786433 ACS851969 ACS917505 ACS983041 AMO7 AMO65537 AMO131073 AMO196609 AMO262145 AMO327681 AMO393217 AMO458753 AMO524289 AMO589825 AMO655361 AMO720897 AMO786433 AMO851969 AMO917505 AMO983041 AWK7 AWK65537 AWK131073 AWK196609 AWK262145 AWK327681 AWK393217 AWK458753 AWK524289 AWK589825 AWK655361 AWK720897 AWK786433 AWK851969 AWK917505 AWK983041 BGG7 BGG65537 BGG131073 BGG196609 BGG262145 BGG327681 BGG393217 BGG458753 BGG524289 BGG589825 BGG655361 BGG720897 BGG786433 BGG851969 BGG917505 BGG983041 BQC7 BQC65537 BQC131073 BQC196609 BQC262145 BQC327681 BQC393217 BQC458753 BQC524289 BQC589825 BQC655361 BQC720897 BQC786433 BQC851969 BQC917505 BQC983041 BZY7 BZY65537 BZY131073 BZY196609 BZY262145 BZY327681 BZY393217 BZY458753 BZY524289 BZY589825 BZY655361 BZY720897 BZY786433 BZY851969 BZY917505 BZY983041 CJU7 CJU65537 CJU131073 CJU196609 CJU262145 CJU327681 CJU393217 CJU458753 CJU524289 CJU589825 CJU655361 CJU720897 CJU786433 CJU851969 CJU917505 CJU983041 CTQ7 CTQ65537 CTQ131073 CTQ196609 CTQ262145 CTQ327681 CTQ393217 CTQ458753 CTQ524289 CTQ589825 CTQ655361 CTQ720897 CTQ786433 CTQ851969 CTQ917505 CTQ983041 DDM7 DDM65537 DDM131073 DDM196609 DDM262145 DDM327681 DDM393217 DDM458753 DDM524289 DDM589825 DDM655361 DDM720897 DDM786433 DDM851969 DDM917505 DDM983041 DNI7 DNI65537 DNI131073 DNI196609 DNI262145 DNI327681 DNI393217 DNI458753 DNI524289 DNI589825 DNI655361 DNI720897 DNI786433 DNI851969 DNI917505 DNI983041 DXE7 DXE65537 DXE131073 DXE196609 DXE262145 DXE327681 DXE393217 DXE458753 DXE524289 DXE589825 DXE655361 DXE720897 DXE786433 DXE851969 DXE917505 DXE983041 EHA7 EHA65537 EHA131073 EHA196609 EHA262145 EHA327681 EHA393217 EHA458753 EHA524289 EHA589825 EHA655361 EHA720897 EHA786433 EHA851969 EHA917505 EHA983041 EQW7 EQW65537 EQW131073 EQW196609 EQW262145 EQW327681 EQW393217 EQW458753 EQW524289 EQW589825 EQW655361 EQW720897 EQW786433 EQW851969 EQW917505 EQW983041 FAS7 FAS65537 FAS131073 FAS196609 FAS262145 FAS327681 FAS393217 FAS458753 FAS524289 FAS589825 FAS655361 FAS720897 FAS786433 FAS851969 FAS917505 FAS983041 FKO7 FKO65537 FKO131073 FKO196609 FKO262145 FKO327681 FKO393217 FKO458753 FKO524289 FKO589825 FKO655361 FKO720897 FKO786433 FKO851969 FKO917505 FKO983041 FUK7 FUK65537 FUK131073 FUK196609 FUK262145 FUK327681 FUK393217 FUK458753 FUK524289 FUK589825 FUK655361 FUK720897 FUK786433 FUK851969 FUK917505 FUK983041 GEG7 GEG65537 GEG131073 GEG196609 GEG262145 GEG327681 GEG393217 GEG458753 GEG524289 GEG589825 GEG655361 GEG720897 GEG786433 GEG851969 GEG917505 GEG983041 GOC7 GOC65537 GOC131073 GOC196609 GOC262145 GOC327681 GOC393217 GOC458753 GOC524289 GOC589825 GOC655361 GOC720897 GOC786433 GOC851969 GOC917505 GOC983041 GXY7 GXY65537 GXY131073 GXY196609 GXY262145 GXY327681 GXY393217 GXY458753 GXY524289 GXY589825 GXY655361 GXY720897 GXY786433 GXY851969 GXY917505 GXY983041 HHU7 HHU65537 HHU131073 HHU196609 HHU262145 HHU327681 HHU393217 HHU458753 HHU524289 HHU589825 HHU655361 HHU720897 HHU786433 HHU851969 HHU917505 HHU983041 HRQ7 HRQ65537 HRQ131073 HRQ196609 HRQ262145 HRQ327681 HRQ393217 HRQ458753 HRQ524289 HRQ589825 HRQ655361 HRQ720897 HRQ786433 HRQ851969 HRQ917505 HRQ983041 IBM7 IBM65537 IBM131073 IBM196609 IBM262145 IBM327681 IBM393217 IBM458753 IBM524289 IBM589825 IBM655361 IBM720897 IBM786433 IBM851969 IBM917505 IBM983041 ILI7 ILI65537 ILI131073 ILI196609 ILI262145 ILI327681 ILI393217 ILI458753 ILI524289 ILI589825 ILI655361 ILI720897 ILI786433 ILI851969 ILI917505 ILI983041 IVE7 IVE65537 IVE131073 IVE196609 IVE262145 IVE327681 IVE393217 IVE458753 IVE524289 IVE589825 IVE655361 IVE720897 IVE786433 IVE851969 IVE917505 IVE983041 JFA7 JFA65537 JFA131073 JFA196609 JFA262145 JFA327681 JFA393217 JFA458753 JFA524289 JFA589825 JFA655361 JFA720897 JFA786433 JFA851969 JFA917505 JFA983041 JOW7 JOW65537 JOW131073 JOW196609 JOW262145 JOW327681 JOW393217 JOW458753 JOW524289 JOW589825 JOW655361 JOW720897 JOW786433 JOW851969 JOW917505 JOW983041 JYS7 JYS65537 JYS131073 JYS196609 JYS262145 JYS327681 JYS393217 JYS458753 JYS524289 JYS589825 JYS655361 JYS720897 JYS786433 JYS851969 JYS917505 JYS983041 KIO7 KIO65537 KIO131073 KIO196609 KIO262145 KIO327681 KIO393217 KIO458753 KIO524289 KIO589825 KIO655361 KIO720897 KIO786433 KIO851969 KIO917505 KIO983041 KSK7 KSK65537 KSK131073 KSK196609 KSK262145 KSK327681 KSK393217 KSK458753 KSK524289 KSK589825 KSK655361 KSK720897 KSK786433 KSK851969 KSK917505 KSK983041 LCG7 LCG65537 LCG131073 LCG196609 LCG262145 LCG327681 LCG393217 LCG458753 LCG524289 LCG589825 LCG655361 LCG720897 LCG786433 LCG851969 LCG917505 LCG983041 LMC7 LMC65537 LMC131073 LMC196609 LMC262145 LMC327681 LMC393217 LMC458753 LMC524289 LMC589825 LMC655361 LMC720897 LMC786433 LMC851969 LMC917505 LMC983041 LVY7 LVY65537 LVY131073 LVY196609 LVY262145 LVY327681 LVY393217 LVY458753 LVY524289 LVY589825 LVY655361 LVY720897 LVY786433 LVY851969 LVY917505 LVY983041 MFU7 MFU65537 MFU131073 MFU196609 MFU262145 MFU327681 MFU393217 MFU458753 MFU524289 MFU589825 MFU655361 MFU720897 MFU786433 MFU851969 MFU917505 MFU983041 MPQ7 MPQ65537 MPQ131073 MPQ196609 MPQ262145 MPQ327681 MPQ393217 MPQ458753 MPQ524289 MPQ589825 MPQ655361 MPQ720897 MPQ786433 MPQ851969 MPQ917505 MPQ983041 MZM7 MZM65537 MZM131073 MZM196609 MZM262145 MZM327681 MZM393217 MZM458753 MZM524289 MZM589825 MZM655361 MZM720897 MZM786433 MZM851969 MZM917505 MZM983041 NJI7 NJI65537 NJI131073 NJI196609 NJI262145 NJI327681 NJI393217 NJI458753 NJI524289 NJI589825 NJI655361 NJI720897 NJI786433 NJI851969 NJI917505 NJI983041 NTE7 NTE65537 NTE131073 NTE196609 NTE262145 NTE327681 NTE393217 NTE458753 NTE524289 NTE589825 NTE655361 NTE720897 NTE786433 NTE851969 NTE917505 NTE983041 ODA7 ODA65537 ODA131073 ODA196609 ODA262145 ODA327681 ODA393217 ODA458753 ODA524289 ODA589825 ODA655361 ODA720897 ODA786433 ODA851969 ODA917505 ODA983041 OMW7 OMW65537 OMW131073 OMW196609 OMW262145 OMW327681 OMW393217 OMW458753 OMW524289 OMW589825 OMW655361 OMW720897 OMW786433 OMW851969 OMW917505 OMW983041 OWS7 OWS65537 OWS131073 OWS196609 OWS262145 OWS327681 OWS393217 OWS458753 OWS524289 OWS589825 OWS655361 OWS720897 OWS786433 OWS851969 OWS917505 OWS983041 PGO7 PGO65537 PGO131073 PGO196609 PGO262145 PGO327681 PGO393217 PGO458753 PGO524289 PGO589825 PGO655361 PGO720897 PGO786433 PGO851969 PGO917505 PGO983041 PQK7 PQK65537 PQK131073 PQK196609 PQK262145 PQK327681 PQK393217 PQK458753 PQK524289 PQK589825 PQK655361 PQK720897 PQK786433 PQK851969 PQK917505 PQK983041 QAG7 QAG65537 QAG131073 QAG196609 QAG262145 QAG327681 QAG393217 QAG458753 QAG524289 QAG589825 QAG655361 QAG720897 QAG786433 QAG851969 QAG917505 QAG983041 QKC7 QKC65537 QKC131073 QKC196609 QKC262145 QKC327681 QKC393217 QKC458753 QKC524289 QKC589825 QKC655361 QKC720897 QKC786433 QKC851969 QKC917505 QKC983041 QTY7 QTY65537 QTY131073 QTY196609 QTY262145 QTY327681 QTY393217 QTY458753 QTY524289 QTY589825 QTY655361 QTY720897 QTY786433 QTY851969 QTY917505 QTY983041 RDU7 RDU65537 RDU131073 RDU196609 RDU262145 RDU327681 RDU393217 RDU458753 RDU524289 RDU589825 RDU655361 RDU720897 RDU786433 RDU851969 RDU917505 RDU983041 RNQ7 RNQ65537 RNQ131073 RNQ196609 RNQ262145 RNQ327681 RNQ393217 RNQ458753 RNQ524289 RNQ589825 RNQ655361 RNQ720897 RNQ786433 RNQ851969 RNQ917505 RNQ983041 RXM7 RXM65537 RXM131073 RXM196609 RXM262145 RXM327681 RXM393217 RXM458753 RXM524289 RXM589825 RXM655361 RXM720897 RXM786433 RXM851969 RXM917505 RXM983041 SHI7 SHI65537 SHI131073 SHI196609 SHI262145 SHI327681 SHI393217 SHI458753 SHI524289 SHI589825 SHI655361 SHI720897 SHI786433 SHI851969 SHI917505 SHI983041 SRE7 SRE65537 SRE131073 SRE196609 SRE262145 SRE327681 SRE393217 SRE458753 SRE524289 SRE589825 SRE655361 SRE720897 SRE786433 SRE851969 SRE917505 SRE983041 TBA7 TBA65537 TBA131073 TBA196609 TBA262145 TBA327681 TBA393217 TBA458753 TBA524289 TBA589825 TBA655361 TBA720897 TBA786433 TBA851969 TBA917505 TBA983041 TKW7 TKW65537 TKW131073 TKW196609 TKW262145 TKW327681 TKW393217 TKW458753 TKW524289 TKW589825 TKW655361 TKW720897 TKW786433 TKW851969 TKW917505 TKW983041 TUS7 TUS65537 TUS131073 TUS196609 TUS262145 TUS327681 TUS393217 TUS458753 TUS524289 TUS589825 TUS655361 TUS720897 TUS786433 TUS851969 TUS917505 TUS983041 UEO7 UEO65537 UEO131073 UEO196609 UEO262145 UEO327681 UEO393217 UEO458753 UEO524289 UEO589825 UEO655361 UEO720897 UEO786433 UEO851969 UEO917505 UEO983041 UOK7 UOK65537 UOK131073 UOK196609 UOK262145 UOK327681 UOK393217 UOK458753 UOK524289 UOK589825 UOK655361 UOK720897 UOK786433 UOK851969 UOK917505 UOK983041 UYG7 UYG65537 UYG131073 UYG196609 UYG262145 UYG327681 UYG393217 UYG458753 UYG524289 UYG589825 UYG655361 UYG720897 UYG786433 UYG851969 UYG917505 UYG983041 VIC7 VIC65537 VIC131073 VIC196609 VIC262145 VIC327681 VIC393217 VIC458753 VIC524289 VIC589825 VIC655361 VIC720897 VIC786433 VIC851969 VIC917505 VIC983041 VRY7 VRY65537 VRY131073 VRY196609 VRY262145 VRY327681 VRY393217 VRY458753 VRY524289 VRY589825 VRY655361 VRY720897 VRY786433 VRY851969 VRY917505 VRY983041 WBU7 WBU65537 WBU131073 WBU196609 WBU262145 WBU327681 WBU393217 WBU458753 WBU524289 WBU589825 WBU655361 WBU720897 WBU786433 WBU851969 WBU917505 WBU983041 WLQ7 WLQ65537 WLQ131073 WLQ196609 WLQ262145 WLQ327681 WLQ393217 WLQ458753 WLQ524289 WLQ589825 WLQ655361 WLQ720897 WLQ786433 WLQ851969 WLQ917505 WLQ983041 WVM7 WVM65537 WVM131073 WVM196609 WVM262145 WVM327681 WVM393217 WVM458753 WVM524289 WVM589825 WVM655361 WVM720897 WVM786433 WVM851969 WVM917505 WVM983041" xr:uid="{00000000-0002-0000-08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65532:A65533 A131068:A131069 A196604:A196605 A262140:A262141 A327676:A327677 A393212:A393213 A458748:A458749 A524284:A524285 A589820:A589821 A655356:A655357 A720892:A720893 A786428:A786429 A851964:A851965 A917500:A917501 A983036:A983037 IX2:IX3 IX65532:IX65533 IX131068:IX131069 IX196604:IX196605 IX262140:IX262141 IX327676:IX327677 IX393212:IX393213 IX458748:IX458749 IX524284:IX524285 IX589820:IX589821 IX655356:IX655357 IX720892:IX720893 IX786428:IX786429 IX851964:IX851965 IX917500:IX917501 IX983036:IX983037 ST2:ST3 ST65532:ST65533 ST131068:ST131069 ST196604:ST196605 ST262140:ST262141 ST327676:ST327677 ST393212:ST393213 ST458748:ST458749 ST524284:ST524285 ST589820:ST589821 ST655356:ST655357 ST720892:ST720893 ST786428:ST786429 ST851964:ST851965 ST917500:ST917501 ST983036:ST983037 ACP2:ACP3 ACP65532:ACP65533 ACP131068:ACP131069 ACP196604:ACP196605 ACP262140:ACP262141 ACP327676:ACP327677 ACP393212:ACP393213 ACP458748:ACP458749 ACP524284:ACP524285 ACP589820:ACP589821 ACP655356:ACP655357 ACP720892:ACP720893 ACP786428:ACP786429 ACP851964:ACP851965 ACP917500:ACP917501 ACP983036:ACP983037 AML2:AML3 AML65532:AML65533 AML131068:AML131069 AML196604:AML196605 AML262140:AML262141 AML327676:AML327677 AML393212:AML393213 AML458748:AML458749 AML524284:AML524285 AML589820:AML589821 AML655356:AML655357 AML720892:AML720893 AML786428:AML786429 AML851964:AML851965 AML917500:AML917501 AML983036:AML983037 AWH2:AWH3 AWH65532:AWH65533 AWH131068:AWH131069 AWH196604:AWH196605 AWH262140:AWH262141 AWH327676:AWH327677 AWH393212:AWH393213 AWH458748:AWH458749 AWH524284:AWH524285 AWH589820:AWH589821 AWH655356:AWH655357 AWH720892:AWH720893 AWH786428:AWH786429 AWH851964:AWH851965 AWH917500:AWH917501 AWH983036:AWH983037 BGD2:BGD3 BGD65532:BGD65533 BGD131068:BGD131069 BGD196604:BGD196605 BGD262140:BGD262141 BGD327676:BGD327677 BGD393212:BGD393213 BGD458748:BGD458749 BGD524284:BGD524285 BGD589820:BGD589821 BGD655356:BGD655357 BGD720892:BGD720893 BGD786428:BGD786429 BGD851964:BGD851965 BGD917500:BGD917501 BGD983036:BGD983037 BPZ2:BPZ3 BPZ65532:BPZ65533 BPZ131068:BPZ131069 BPZ196604:BPZ196605 BPZ262140:BPZ262141 BPZ327676:BPZ327677 BPZ393212:BPZ393213 BPZ458748:BPZ458749 BPZ524284:BPZ524285 BPZ589820:BPZ589821 BPZ655356:BPZ655357 BPZ720892:BPZ720893 BPZ786428:BPZ786429 BPZ851964:BPZ851965 BPZ917500:BPZ917501 BPZ983036:BPZ983037 BZV2:BZV3 BZV65532:BZV65533 BZV131068:BZV131069 BZV196604:BZV196605 BZV262140:BZV262141 BZV327676:BZV327677 BZV393212:BZV393213 BZV458748:BZV458749 BZV524284:BZV524285 BZV589820:BZV589821 BZV655356:BZV655357 BZV720892:BZV720893 BZV786428:BZV786429 BZV851964:BZV851965 BZV917500:BZV917501 BZV983036:BZV983037 CJR2:CJR3 CJR65532:CJR65533 CJR131068:CJR131069 CJR196604:CJR196605 CJR262140:CJR262141 CJR327676:CJR327677 CJR393212:CJR393213 CJR458748:CJR458749 CJR524284:CJR524285 CJR589820:CJR589821 CJR655356:CJR655357 CJR720892:CJR720893 CJR786428:CJR786429 CJR851964:CJR851965 CJR917500:CJR917501 CJR983036:CJR983037 CTN2:CTN3 CTN65532:CTN65533 CTN131068:CTN131069 CTN196604:CTN196605 CTN262140:CTN262141 CTN327676:CTN327677 CTN393212:CTN393213 CTN458748:CTN458749 CTN524284:CTN524285 CTN589820:CTN589821 CTN655356:CTN655357 CTN720892:CTN720893 CTN786428:CTN786429 CTN851964:CTN851965 CTN917500:CTN917501 CTN983036:CTN983037 DDJ2:DDJ3 DDJ65532:DDJ65533 DDJ131068:DDJ131069 DDJ196604:DDJ196605 DDJ262140:DDJ262141 DDJ327676:DDJ327677 DDJ393212:DDJ393213 DDJ458748:DDJ458749 DDJ524284:DDJ524285 DDJ589820:DDJ589821 DDJ655356:DDJ655357 DDJ720892:DDJ720893 DDJ786428:DDJ786429 DDJ851964:DDJ851965 DDJ917500:DDJ917501 DDJ983036:DDJ983037 DNF2:DNF3 DNF65532:DNF65533 DNF131068:DNF131069 DNF196604:DNF196605 DNF262140:DNF262141 DNF327676:DNF327677 DNF393212:DNF393213 DNF458748:DNF458749 DNF524284:DNF524285 DNF589820:DNF589821 DNF655356:DNF655357 DNF720892:DNF720893 DNF786428:DNF786429 DNF851964:DNF851965 DNF917500:DNF917501 DNF983036:DNF983037 DXB2:DXB3 DXB65532:DXB65533 DXB131068:DXB131069 DXB196604:DXB196605 DXB262140:DXB262141 DXB327676:DXB327677 DXB393212:DXB393213 DXB458748:DXB458749 DXB524284:DXB524285 DXB589820:DXB589821 DXB655356:DXB655357 DXB720892:DXB720893 DXB786428:DXB786429 DXB851964:DXB851965 DXB917500:DXB917501 DXB983036:DXB983037 EGX2:EGX3 EGX65532:EGX65533 EGX131068:EGX131069 EGX196604:EGX196605 EGX262140:EGX262141 EGX327676:EGX327677 EGX393212:EGX393213 EGX458748:EGX458749 EGX524284:EGX524285 EGX589820:EGX589821 EGX655356:EGX655357 EGX720892:EGX720893 EGX786428:EGX786429 EGX851964:EGX851965 EGX917500:EGX917501 EGX983036:EGX983037 EQT2:EQT3 EQT65532:EQT65533 EQT131068:EQT131069 EQT196604:EQT196605 EQT262140:EQT262141 EQT327676:EQT327677 EQT393212:EQT393213 EQT458748:EQT458749 EQT524284:EQT524285 EQT589820:EQT589821 EQT655356:EQT655357 EQT720892:EQT720893 EQT786428:EQT786429 EQT851964:EQT851965 EQT917500:EQT917501 EQT983036:EQT983037 FAP2:FAP3 FAP65532:FAP65533 FAP131068:FAP131069 FAP196604:FAP196605 FAP262140:FAP262141 FAP327676:FAP327677 FAP393212:FAP393213 FAP458748:FAP458749 FAP524284:FAP524285 FAP589820:FAP589821 FAP655356:FAP655357 FAP720892:FAP720893 FAP786428:FAP786429 FAP851964:FAP851965 FAP917500:FAP917501 FAP983036:FAP983037 FKL2:FKL3 FKL65532:FKL65533 FKL131068:FKL131069 FKL196604:FKL196605 FKL262140:FKL262141 FKL327676:FKL327677 FKL393212:FKL393213 FKL458748:FKL458749 FKL524284:FKL524285 FKL589820:FKL589821 FKL655356:FKL655357 FKL720892:FKL720893 FKL786428:FKL786429 FKL851964:FKL851965 FKL917500:FKL917501 FKL983036:FKL983037 FUH2:FUH3 FUH65532:FUH65533 FUH131068:FUH131069 FUH196604:FUH196605 FUH262140:FUH262141 FUH327676:FUH327677 FUH393212:FUH393213 FUH458748:FUH458749 FUH524284:FUH524285 FUH589820:FUH589821 FUH655356:FUH655357 FUH720892:FUH720893 FUH786428:FUH786429 FUH851964:FUH851965 FUH917500:FUH917501 FUH983036:FUH983037 GED2:GED3 GED65532:GED65533 GED131068:GED131069 GED196604:GED196605 GED262140:GED262141 GED327676:GED327677 GED393212:GED393213 GED458748:GED458749 GED524284:GED524285 GED589820:GED589821 GED655356:GED655357 GED720892:GED720893 GED786428:GED786429 GED851964:GED851965 GED917500:GED917501 GED983036:GED983037 GNZ2:GNZ3 GNZ65532:GNZ65533 GNZ131068:GNZ131069 GNZ196604:GNZ196605 GNZ262140:GNZ262141 GNZ327676:GNZ327677 GNZ393212:GNZ393213 GNZ458748:GNZ458749 GNZ524284:GNZ524285 GNZ589820:GNZ589821 GNZ655356:GNZ655357 GNZ720892:GNZ720893 GNZ786428:GNZ786429 GNZ851964:GNZ851965 GNZ917500:GNZ917501 GNZ983036:GNZ983037 GXV2:GXV3 GXV65532:GXV65533 GXV131068:GXV131069 GXV196604:GXV196605 GXV262140:GXV262141 GXV327676:GXV327677 GXV393212:GXV393213 GXV458748:GXV458749 GXV524284:GXV524285 GXV589820:GXV589821 GXV655356:GXV655357 GXV720892:GXV720893 GXV786428:GXV786429 GXV851964:GXV851965 GXV917500:GXV917501 GXV983036:GXV983037 HHR2:HHR3 HHR65532:HHR65533 HHR131068:HHR131069 HHR196604:HHR196605 HHR262140:HHR262141 HHR327676:HHR327677 HHR393212:HHR393213 HHR458748:HHR458749 HHR524284:HHR524285 HHR589820:HHR589821 HHR655356:HHR655357 HHR720892:HHR720893 HHR786428:HHR786429 HHR851964:HHR851965 HHR917500:HHR917501 HHR983036:HHR983037 HRN2:HRN3 HRN65532:HRN65533 HRN131068:HRN131069 HRN196604:HRN196605 HRN262140:HRN262141 HRN327676:HRN327677 HRN393212:HRN393213 HRN458748:HRN458749 HRN524284:HRN524285 HRN589820:HRN589821 HRN655356:HRN655357 HRN720892:HRN720893 HRN786428:HRN786429 HRN851964:HRN851965 HRN917500:HRN917501 HRN983036:HRN983037 IBJ2:IBJ3 IBJ65532:IBJ65533 IBJ131068:IBJ131069 IBJ196604:IBJ196605 IBJ262140:IBJ262141 IBJ327676:IBJ327677 IBJ393212:IBJ393213 IBJ458748:IBJ458749 IBJ524284:IBJ524285 IBJ589820:IBJ589821 IBJ655356:IBJ655357 IBJ720892:IBJ720893 IBJ786428:IBJ786429 IBJ851964:IBJ851965 IBJ917500:IBJ917501 IBJ983036:IBJ983037 ILF2:ILF3 ILF65532:ILF65533 ILF131068:ILF131069 ILF196604:ILF196605 ILF262140:ILF262141 ILF327676:ILF327677 ILF393212:ILF393213 ILF458748:ILF458749 ILF524284:ILF524285 ILF589820:ILF589821 ILF655356:ILF655357 ILF720892:ILF720893 ILF786428:ILF786429 ILF851964:ILF851965 ILF917500:ILF917501 ILF983036:ILF983037 IVB2:IVB3 IVB65532:IVB65533 IVB131068:IVB131069 IVB196604:IVB196605 IVB262140:IVB262141 IVB327676:IVB327677 IVB393212:IVB393213 IVB458748:IVB458749 IVB524284:IVB524285 IVB589820:IVB589821 IVB655356:IVB655357 IVB720892:IVB720893 IVB786428:IVB786429 IVB851964:IVB851965 IVB917500:IVB917501 IVB983036:IVB983037 JEX2:JEX3 JEX65532:JEX65533 JEX131068:JEX131069 JEX196604:JEX196605 JEX262140:JEX262141 JEX327676:JEX327677 JEX393212:JEX393213 JEX458748:JEX458749 JEX524284:JEX524285 JEX589820:JEX589821 JEX655356:JEX655357 JEX720892:JEX720893 JEX786428:JEX786429 JEX851964:JEX851965 JEX917500:JEX917501 JEX983036:JEX983037 JOT2:JOT3 JOT65532:JOT65533 JOT131068:JOT131069 JOT196604:JOT196605 JOT262140:JOT262141 JOT327676:JOT327677 JOT393212:JOT393213 JOT458748:JOT458749 JOT524284:JOT524285 JOT589820:JOT589821 JOT655356:JOT655357 JOT720892:JOT720893 JOT786428:JOT786429 JOT851964:JOT851965 JOT917500:JOT917501 JOT983036:JOT983037 JYP2:JYP3 JYP65532:JYP65533 JYP131068:JYP131069 JYP196604:JYP196605 JYP262140:JYP262141 JYP327676:JYP327677 JYP393212:JYP393213 JYP458748:JYP458749 JYP524284:JYP524285 JYP589820:JYP589821 JYP655356:JYP655357 JYP720892:JYP720893 JYP786428:JYP786429 JYP851964:JYP851965 JYP917500:JYP917501 JYP983036:JYP983037 KIL2:KIL3 KIL65532:KIL65533 KIL131068:KIL131069 KIL196604:KIL196605 KIL262140:KIL262141 KIL327676:KIL327677 KIL393212:KIL393213 KIL458748:KIL458749 KIL524284:KIL524285 KIL589820:KIL589821 KIL655356:KIL655357 KIL720892:KIL720893 KIL786428:KIL786429 KIL851964:KIL851965 KIL917500:KIL917501 KIL983036:KIL983037 KSH2:KSH3 KSH65532:KSH65533 KSH131068:KSH131069 KSH196604:KSH196605 KSH262140:KSH262141 KSH327676:KSH327677 KSH393212:KSH393213 KSH458748:KSH458749 KSH524284:KSH524285 KSH589820:KSH589821 KSH655356:KSH655357 KSH720892:KSH720893 KSH786428:KSH786429 KSH851964:KSH851965 KSH917500:KSH917501 KSH983036:KSH983037 LCD2:LCD3 LCD65532:LCD65533 LCD131068:LCD131069 LCD196604:LCD196605 LCD262140:LCD262141 LCD327676:LCD327677 LCD393212:LCD393213 LCD458748:LCD458749 LCD524284:LCD524285 LCD589820:LCD589821 LCD655356:LCD655357 LCD720892:LCD720893 LCD786428:LCD786429 LCD851964:LCD851965 LCD917500:LCD917501 LCD983036:LCD983037 LLZ2:LLZ3 LLZ65532:LLZ65533 LLZ131068:LLZ131069 LLZ196604:LLZ196605 LLZ262140:LLZ262141 LLZ327676:LLZ327677 LLZ393212:LLZ393213 LLZ458748:LLZ458749 LLZ524284:LLZ524285 LLZ589820:LLZ589821 LLZ655356:LLZ655357 LLZ720892:LLZ720893 LLZ786428:LLZ786429 LLZ851964:LLZ851965 LLZ917500:LLZ917501 LLZ983036:LLZ983037 LVV2:LVV3 LVV65532:LVV65533 LVV131068:LVV131069 LVV196604:LVV196605 LVV262140:LVV262141 LVV327676:LVV327677 LVV393212:LVV393213 LVV458748:LVV458749 LVV524284:LVV524285 LVV589820:LVV589821 LVV655356:LVV655357 LVV720892:LVV720893 LVV786428:LVV786429 LVV851964:LVV851965 LVV917500:LVV917501 LVV983036:LVV983037 MFR2:MFR3 MFR65532:MFR65533 MFR131068:MFR131069 MFR196604:MFR196605 MFR262140:MFR262141 MFR327676:MFR327677 MFR393212:MFR393213 MFR458748:MFR458749 MFR524284:MFR524285 MFR589820:MFR589821 MFR655356:MFR655357 MFR720892:MFR720893 MFR786428:MFR786429 MFR851964:MFR851965 MFR917500:MFR917501 MFR983036:MFR983037 MPN2:MPN3 MPN65532:MPN65533 MPN131068:MPN131069 MPN196604:MPN196605 MPN262140:MPN262141 MPN327676:MPN327677 MPN393212:MPN393213 MPN458748:MPN458749 MPN524284:MPN524285 MPN589820:MPN589821 MPN655356:MPN655357 MPN720892:MPN720893 MPN786428:MPN786429 MPN851964:MPN851965 MPN917500:MPN917501 MPN983036:MPN983037 MZJ2:MZJ3 MZJ65532:MZJ65533 MZJ131068:MZJ131069 MZJ196604:MZJ196605 MZJ262140:MZJ262141 MZJ327676:MZJ327677 MZJ393212:MZJ393213 MZJ458748:MZJ458749 MZJ524284:MZJ524285 MZJ589820:MZJ589821 MZJ655356:MZJ655357 MZJ720892:MZJ720893 MZJ786428:MZJ786429 MZJ851964:MZJ851965 MZJ917500:MZJ917501 MZJ983036:MZJ983037 NJF2:NJF3 NJF65532:NJF65533 NJF131068:NJF131069 NJF196604:NJF196605 NJF262140:NJF262141 NJF327676:NJF327677 NJF393212:NJF393213 NJF458748:NJF458749 NJF524284:NJF524285 NJF589820:NJF589821 NJF655356:NJF655357 NJF720892:NJF720893 NJF786428:NJF786429 NJF851964:NJF851965 NJF917500:NJF917501 NJF983036:NJF983037 NTB2:NTB3 NTB65532:NTB65533 NTB131068:NTB131069 NTB196604:NTB196605 NTB262140:NTB262141 NTB327676:NTB327677 NTB393212:NTB393213 NTB458748:NTB458749 NTB524284:NTB524285 NTB589820:NTB589821 NTB655356:NTB655357 NTB720892:NTB720893 NTB786428:NTB786429 NTB851964:NTB851965 NTB917500:NTB917501 NTB983036:NTB983037 OCX2:OCX3 OCX65532:OCX65533 OCX131068:OCX131069 OCX196604:OCX196605 OCX262140:OCX262141 OCX327676:OCX327677 OCX393212:OCX393213 OCX458748:OCX458749 OCX524284:OCX524285 OCX589820:OCX589821 OCX655356:OCX655357 OCX720892:OCX720893 OCX786428:OCX786429 OCX851964:OCX851965 OCX917500:OCX917501 OCX983036:OCX983037 OMT2:OMT3 OMT65532:OMT65533 OMT131068:OMT131069 OMT196604:OMT196605 OMT262140:OMT262141 OMT327676:OMT327677 OMT393212:OMT393213 OMT458748:OMT458749 OMT524284:OMT524285 OMT589820:OMT589821 OMT655356:OMT655357 OMT720892:OMT720893 OMT786428:OMT786429 OMT851964:OMT851965 OMT917500:OMT917501 OMT983036:OMT983037 OWP2:OWP3 OWP65532:OWP65533 OWP131068:OWP131069 OWP196604:OWP196605 OWP262140:OWP262141 OWP327676:OWP327677 OWP393212:OWP393213 OWP458748:OWP458749 OWP524284:OWP524285 OWP589820:OWP589821 OWP655356:OWP655357 OWP720892:OWP720893 OWP786428:OWP786429 OWP851964:OWP851965 OWP917500:OWP917501 OWP983036:OWP983037 PGL2:PGL3 PGL65532:PGL65533 PGL131068:PGL131069 PGL196604:PGL196605 PGL262140:PGL262141 PGL327676:PGL327677 PGL393212:PGL393213 PGL458748:PGL458749 PGL524284:PGL524285 PGL589820:PGL589821 PGL655356:PGL655357 PGL720892:PGL720893 PGL786428:PGL786429 PGL851964:PGL851965 PGL917500:PGL917501 PGL983036:PGL983037 PQH2:PQH3 PQH65532:PQH65533 PQH131068:PQH131069 PQH196604:PQH196605 PQH262140:PQH262141 PQH327676:PQH327677 PQH393212:PQH393213 PQH458748:PQH458749 PQH524284:PQH524285 PQH589820:PQH589821 PQH655356:PQH655357 PQH720892:PQH720893 PQH786428:PQH786429 PQH851964:PQH851965 PQH917500:PQH917501 PQH983036:PQH983037 QAD2:QAD3 QAD65532:QAD65533 QAD131068:QAD131069 QAD196604:QAD196605 QAD262140:QAD262141 QAD327676:QAD327677 QAD393212:QAD393213 QAD458748:QAD458749 QAD524284:QAD524285 QAD589820:QAD589821 QAD655356:QAD655357 QAD720892:QAD720893 QAD786428:QAD786429 QAD851964:QAD851965 QAD917500:QAD917501 QAD983036:QAD983037 QJZ2:QJZ3 QJZ65532:QJZ65533 QJZ131068:QJZ131069 QJZ196604:QJZ196605 QJZ262140:QJZ262141 QJZ327676:QJZ327677 QJZ393212:QJZ393213 QJZ458748:QJZ458749 QJZ524284:QJZ524285 QJZ589820:QJZ589821 QJZ655356:QJZ655357 QJZ720892:QJZ720893 QJZ786428:QJZ786429 QJZ851964:QJZ851965 QJZ917500:QJZ917501 QJZ983036:QJZ983037 QTV2:QTV3 QTV65532:QTV65533 QTV131068:QTV131069 QTV196604:QTV196605 QTV262140:QTV262141 QTV327676:QTV327677 QTV393212:QTV393213 QTV458748:QTV458749 QTV524284:QTV524285 QTV589820:QTV589821 QTV655356:QTV655357 QTV720892:QTV720893 QTV786428:QTV786429 QTV851964:QTV851965 QTV917500:QTV917501 QTV983036:QTV983037 RDR2:RDR3 RDR65532:RDR65533 RDR131068:RDR131069 RDR196604:RDR196605 RDR262140:RDR262141 RDR327676:RDR327677 RDR393212:RDR393213 RDR458748:RDR458749 RDR524284:RDR524285 RDR589820:RDR589821 RDR655356:RDR655357 RDR720892:RDR720893 RDR786428:RDR786429 RDR851964:RDR851965 RDR917500:RDR917501 RDR983036:RDR983037 RNN2:RNN3 RNN65532:RNN65533 RNN131068:RNN131069 RNN196604:RNN196605 RNN262140:RNN262141 RNN327676:RNN327677 RNN393212:RNN393213 RNN458748:RNN458749 RNN524284:RNN524285 RNN589820:RNN589821 RNN655356:RNN655357 RNN720892:RNN720893 RNN786428:RNN786429 RNN851964:RNN851965 RNN917500:RNN917501 RNN983036:RNN983037 RXJ2:RXJ3 RXJ65532:RXJ65533 RXJ131068:RXJ131069 RXJ196604:RXJ196605 RXJ262140:RXJ262141 RXJ327676:RXJ327677 RXJ393212:RXJ393213 RXJ458748:RXJ458749 RXJ524284:RXJ524285 RXJ589820:RXJ589821 RXJ655356:RXJ655357 RXJ720892:RXJ720893 RXJ786428:RXJ786429 RXJ851964:RXJ851965 RXJ917500:RXJ917501 RXJ983036:RXJ983037 SHF2:SHF3 SHF65532:SHF65533 SHF131068:SHF131069 SHF196604:SHF196605 SHF262140:SHF262141 SHF327676:SHF327677 SHF393212:SHF393213 SHF458748:SHF458749 SHF524284:SHF524285 SHF589820:SHF589821 SHF655356:SHF655357 SHF720892:SHF720893 SHF786428:SHF786429 SHF851964:SHF851965 SHF917500:SHF917501 SHF983036:SHF983037 SRB2:SRB3 SRB65532:SRB65533 SRB131068:SRB131069 SRB196604:SRB196605 SRB262140:SRB262141 SRB327676:SRB327677 SRB393212:SRB393213 SRB458748:SRB458749 SRB524284:SRB524285 SRB589820:SRB589821 SRB655356:SRB655357 SRB720892:SRB720893 SRB786428:SRB786429 SRB851964:SRB851965 SRB917500:SRB917501 SRB983036:SRB983037 TAX2:TAX3 TAX65532:TAX65533 TAX131068:TAX131069 TAX196604:TAX196605 TAX262140:TAX262141 TAX327676:TAX327677 TAX393212:TAX393213 TAX458748:TAX458749 TAX524284:TAX524285 TAX589820:TAX589821 TAX655356:TAX655357 TAX720892:TAX720893 TAX786428:TAX786429 TAX851964:TAX851965 TAX917500:TAX917501 TAX983036:TAX983037 TKT2:TKT3 TKT65532:TKT65533 TKT131068:TKT131069 TKT196604:TKT196605 TKT262140:TKT262141 TKT327676:TKT327677 TKT393212:TKT393213 TKT458748:TKT458749 TKT524284:TKT524285 TKT589820:TKT589821 TKT655356:TKT655357 TKT720892:TKT720893 TKT786428:TKT786429 TKT851964:TKT851965 TKT917500:TKT917501 TKT983036:TKT983037 TUP2:TUP3 TUP65532:TUP65533 TUP131068:TUP131069 TUP196604:TUP196605 TUP262140:TUP262141 TUP327676:TUP327677 TUP393212:TUP393213 TUP458748:TUP458749 TUP524284:TUP524285 TUP589820:TUP589821 TUP655356:TUP655357 TUP720892:TUP720893 TUP786428:TUP786429 TUP851964:TUP851965 TUP917500:TUP917501 TUP983036:TUP983037 UEL2:UEL3 UEL65532:UEL65533 UEL131068:UEL131069 UEL196604:UEL196605 UEL262140:UEL262141 UEL327676:UEL327677 UEL393212:UEL393213 UEL458748:UEL458749 UEL524284:UEL524285 UEL589820:UEL589821 UEL655356:UEL655357 UEL720892:UEL720893 UEL786428:UEL786429 UEL851964:UEL851965 UEL917500:UEL917501 UEL983036:UEL983037 UOH2:UOH3 UOH65532:UOH65533 UOH131068:UOH131069 UOH196604:UOH196605 UOH262140:UOH262141 UOH327676:UOH327677 UOH393212:UOH393213 UOH458748:UOH458749 UOH524284:UOH524285 UOH589820:UOH589821 UOH655356:UOH655357 UOH720892:UOH720893 UOH786428:UOH786429 UOH851964:UOH851965 UOH917500:UOH917501 UOH983036:UOH983037 UYD2:UYD3 UYD65532:UYD65533 UYD131068:UYD131069 UYD196604:UYD196605 UYD262140:UYD262141 UYD327676:UYD327677 UYD393212:UYD393213 UYD458748:UYD458749 UYD524284:UYD524285 UYD589820:UYD589821 UYD655356:UYD655357 UYD720892:UYD720893 UYD786428:UYD786429 UYD851964:UYD851965 UYD917500:UYD917501 UYD983036:UYD983037 VHZ2:VHZ3 VHZ65532:VHZ65533 VHZ131068:VHZ131069 VHZ196604:VHZ196605 VHZ262140:VHZ262141 VHZ327676:VHZ327677 VHZ393212:VHZ393213 VHZ458748:VHZ458749 VHZ524284:VHZ524285 VHZ589820:VHZ589821 VHZ655356:VHZ655357 VHZ720892:VHZ720893 VHZ786428:VHZ786429 VHZ851964:VHZ851965 VHZ917500:VHZ917501 VHZ983036:VHZ983037 VRV2:VRV3 VRV65532:VRV65533 VRV131068:VRV131069 VRV196604:VRV196605 VRV262140:VRV262141 VRV327676:VRV327677 VRV393212:VRV393213 VRV458748:VRV458749 VRV524284:VRV524285 VRV589820:VRV589821 VRV655356:VRV655357 VRV720892:VRV720893 VRV786428:VRV786429 VRV851964:VRV851965 VRV917500:VRV917501 VRV983036:VRV983037 WBR2:WBR3 WBR65532:WBR65533 WBR131068:WBR131069 WBR196604:WBR196605 WBR262140:WBR262141 WBR327676:WBR327677 WBR393212:WBR393213 WBR458748:WBR458749 WBR524284:WBR524285 WBR589820:WBR589821 WBR655356:WBR655357 WBR720892:WBR720893 WBR786428:WBR786429 WBR851964:WBR851965 WBR917500:WBR917501 WBR983036:WBR983037 WLN2:WLN3 WLN65532:WLN65533 WLN131068:WLN131069 WLN196604:WLN196605 WLN262140:WLN262141 WLN327676:WLN327677 WLN393212:WLN393213 WLN458748:WLN458749 WLN524284:WLN524285 WLN589820:WLN589821 WLN655356:WLN655357 WLN720892:WLN720893 WLN786428:WLN786429 WLN851964:WLN851965 WLN917500:WLN917501 WLN983036:WLN983037 WVJ2:WVJ3 WVJ65532:WVJ65533 WVJ131068:WVJ131069 WVJ196604:WVJ196605 WVJ262140:WVJ262141 WVJ327676:WVJ327677 WVJ393212:WVJ393213 WVJ458748:WVJ458749 WVJ524284:WVJ524285 WVJ589820:WVJ589821 WVJ655356:WVJ655357 WVJ720892:WVJ720893 WVJ786428:WVJ786429 WVJ851964:WVJ851965 WVJ917500:WVJ917501 WVJ983036:WVJ983037" xr:uid="{00000000-0002-0000-0800-00000A000000}"/>
    <dataValidation allowBlank="1" showInputMessage="1" showErrorMessage="1" prompt="Do not change." sqref="X2:AH3 X65532:AH65533 X131068:AH131069 X196604:AH196605 X262140:AH262141 X327676:AH327677 X393212:AH393213 X458748:AH458749 X524284:AH524285 X589820:AH589821 X655356:AH655357 X720892:AH720893 X786428:AH786429 X851964:AH851965 X917500:AH917501 X983036:AH983037 Z7:AH7 Z65537:AH65537 Z131073:AH131073 Z196609:AH196609 Z262145:AH262145 Z327681:AH327681 Z393217:AH393217 Z458753:AH458753 Z524289:AH524289 Z589825:AH589825 Z655361:AH655361 Z720897:AH720897 Z786433:AH786433 Z851969:AH851969 Z917505:AH917505 Z983041:AH983041 JT2:KD3 JT65532:KD65533 JT131068:KD131069 JT196604:KD196605 JT262140:KD262141 JT327676:KD327677 JT393212:KD393213 JT458748:KD458749 JT524284:KD524285 JT589820:KD589821 JT655356:KD655357 JT720892:KD720893 JT786428:KD786429 JT851964:KD851965 JT917500:KD917501 JT983036:KD983037 JV7:KD7 JV65537:KD65537 JV131073:KD131073 JV196609:KD196609 JV262145:KD262145 JV327681:KD327681 JV393217:KD393217 JV458753:KD458753 JV524289:KD524289 JV589825:KD589825 JV655361:KD655361 JV720897:KD720897 JV786433:KD786433 JV851969:KD851969 JV917505:KD917505 JV983041:KD983041 TP2:TZ3 TP65532:TZ65533 TP131068:TZ131069 TP196604:TZ196605 TP262140:TZ262141 TP327676:TZ327677 TP393212:TZ393213 TP458748:TZ458749 TP524284:TZ524285 TP589820:TZ589821 TP655356:TZ655357 TP720892:TZ720893 TP786428:TZ786429 TP851964:TZ851965 TP917500:TZ917501 TP983036:TZ983037 TR7:TZ7 TR65537:TZ65537 TR131073:TZ131073 TR196609:TZ196609 TR262145:TZ262145 TR327681:TZ327681 TR393217:TZ393217 TR458753:TZ458753 TR524289:TZ524289 TR589825:TZ589825 TR655361:TZ655361 TR720897:TZ720897 TR786433:TZ786433 TR851969:TZ851969 TR917505:TZ917505 TR983041:TZ983041 ADL2:ADV3 ADL65532:ADV65533 ADL131068:ADV131069 ADL196604:ADV196605 ADL262140:ADV262141 ADL327676:ADV327677 ADL393212:ADV393213 ADL458748:ADV458749 ADL524284:ADV524285 ADL589820:ADV589821 ADL655356:ADV655357 ADL720892:ADV720893 ADL786428:ADV786429 ADL851964:ADV851965 ADL917500:ADV917501 ADL983036:ADV983037 ADN7:ADV7 ADN65537:ADV65537 ADN131073:ADV131073 ADN196609:ADV196609 ADN262145:ADV262145 ADN327681:ADV327681 ADN393217:ADV393217 ADN458753:ADV458753 ADN524289:ADV524289 ADN589825:ADV589825 ADN655361:ADV655361 ADN720897:ADV720897 ADN786433:ADV786433 ADN851969:ADV851969 ADN917505:ADV917505 ADN983041:ADV983041 ANH2:ANR3 ANH65532:ANR65533 ANH131068:ANR131069 ANH196604:ANR196605 ANH262140:ANR262141 ANH327676:ANR327677 ANH393212:ANR393213 ANH458748:ANR458749 ANH524284:ANR524285 ANH589820:ANR589821 ANH655356:ANR655357 ANH720892:ANR720893 ANH786428:ANR786429 ANH851964:ANR851965 ANH917500:ANR917501 ANH983036:ANR983037 ANJ7:ANR7 ANJ65537:ANR65537 ANJ131073:ANR131073 ANJ196609:ANR196609 ANJ262145:ANR262145 ANJ327681:ANR327681 ANJ393217:ANR393217 ANJ458753:ANR458753 ANJ524289:ANR524289 ANJ589825:ANR589825 ANJ655361:ANR655361 ANJ720897:ANR720897 ANJ786433:ANR786433 ANJ851969:ANR851969 ANJ917505:ANR917505 ANJ983041:ANR983041 AXD2:AXN3 AXD65532:AXN65533 AXD131068:AXN131069 AXD196604:AXN196605 AXD262140:AXN262141 AXD327676:AXN327677 AXD393212:AXN393213 AXD458748:AXN458749 AXD524284:AXN524285 AXD589820:AXN589821 AXD655356:AXN655357 AXD720892:AXN720893 AXD786428:AXN786429 AXD851964:AXN851965 AXD917500:AXN917501 AXD983036:AXN983037 AXF7:AXN7 AXF65537:AXN65537 AXF131073:AXN131073 AXF196609:AXN196609 AXF262145:AXN262145 AXF327681:AXN327681 AXF393217:AXN393217 AXF458753:AXN458753 AXF524289:AXN524289 AXF589825:AXN589825 AXF655361:AXN655361 AXF720897:AXN720897 AXF786433:AXN786433 AXF851969:AXN851969 AXF917505:AXN917505 AXF983041:AXN983041 BGZ2:BHJ3 BGZ65532:BHJ65533 BGZ131068:BHJ131069 BGZ196604:BHJ196605 BGZ262140:BHJ262141 BGZ327676:BHJ327677 BGZ393212:BHJ393213 BGZ458748:BHJ458749 BGZ524284:BHJ524285 BGZ589820:BHJ589821 BGZ655356:BHJ655357 BGZ720892:BHJ720893 BGZ786428:BHJ786429 BGZ851964:BHJ851965 BGZ917500:BHJ917501 BGZ983036:BHJ983037 BHB7:BHJ7 BHB65537:BHJ65537 BHB131073:BHJ131073 BHB196609:BHJ196609 BHB262145:BHJ262145 BHB327681:BHJ327681 BHB393217:BHJ393217 BHB458753:BHJ458753 BHB524289:BHJ524289 BHB589825:BHJ589825 BHB655361:BHJ655361 BHB720897:BHJ720897 BHB786433:BHJ786433 BHB851969:BHJ851969 BHB917505:BHJ917505 BHB983041:BHJ983041 BQV2:BRF3 BQV65532:BRF65533 BQV131068:BRF131069 BQV196604:BRF196605 BQV262140:BRF262141 BQV327676:BRF327677 BQV393212:BRF393213 BQV458748:BRF458749 BQV524284:BRF524285 BQV589820:BRF589821 BQV655356:BRF655357 BQV720892:BRF720893 BQV786428:BRF786429 BQV851964:BRF851965 BQV917500:BRF917501 BQV983036:BRF983037 BQX7:BRF7 BQX65537:BRF65537 BQX131073:BRF131073 BQX196609:BRF196609 BQX262145:BRF262145 BQX327681:BRF327681 BQX393217:BRF393217 BQX458753:BRF458753 BQX524289:BRF524289 BQX589825:BRF589825 BQX655361:BRF655361 BQX720897:BRF720897 BQX786433:BRF786433 BQX851969:BRF851969 BQX917505:BRF917505 BQX983041:BRF983041 CAR2:CBB3 CAR65532:CBB65533 CAR131068:CBB131069 CAR196604:CBB196605 CAR262140:CBB262141 CAR327676:CBB327677 CAR393212:CBB393213 CAR458748:CBB458749 CAR524284:CBB524285 CAR589820:CBB589821 CAR655356:CBB655357 CAR720892:CBB720893 CAR786428:CBB786429 CAR851964:CBB851965 CAR917500:CBB917501 CAR983036:CBB983037 CAT7:CBB7 CAT65537:CBB65537 CAT131073:CBB131073 CAT196609:CBB196609 CAT262145:CBB262145 CAT327681:CBB327681 CAT393217:CBB393217 CAT458753:CBB458753 CAT524289:CBB524289 CAT589825:CBB589825 CAT655361:CBB655361 CAT720897:CBB720897 CAT786433:CBB786433 CAT851969:CBB851969 CAT917505:CBB917505 CAT983041:CBB983041 CKN2:CKX3 CKN65532:CKX65533 CKN131068:CKX131069 CKN196604:CKX196605 CKN262140:CKX262141 CKN327676:CKX327677 CKN393212:CKX393213 CKN458748:CKX458749 CKN524284:CKX524285 CKN589820:CKX589821 CKN655356:CKX655357 CKN720892:CKX720893 CKN786428:CKX786429 CKN851964:CKX851965 CKN917500:CKX917501 CKN983036:CKX983037 CKP7:CKX7 CKP65537:CKX65537 CKP131073:CKX131073 CKP196609:CKX196609 CKP262145:CKX262145 CKP327681:CKX327681 CKP393217:CKX393217 CKP458753:CKX458753 CKP524289:CKX524289 CKP589825:CKX589825 CKP655361:CKX655361 CKP720897:CKX720897 CKP786433:CKX786433 CKP851969:CKX851969 CKP917505:CKX917505 CKP983041:CKX983041 CUJ2:CUT3 CUJ65532:CUT65533 CUJ131068:CUT131069 CUJ196604:CUT196605 CUJ262140:CUT262141 CUJ327676:CUT327677 CUJ393212:CUT393213 CUJ458748:CUT458749 CUJ524284:CUT524285 CUJ589820:CUT589821 CUJ655356:CUT655357 CUJ720892:CUT720893 CUJ786428:CUT786429 CUJ851964:CUT851965 CUJ917500:CUT917501 CUJ983036:CUT983037 CUL7:CUT7 CUL65537:CUT65537 CUL131073:CUT131073 CUL196609:CUT196609 CUL262145:CUT262145 CUL327681:CUT327681 CUL393217:CUT393217 CUL458753:CUT458753 CUL524289:CUT524289 CUL589825:CUT589825 CUL655361:CUT655361 CUL720897:CUT720897 CUL786433:CUT786433 CUL851969:CUT851969 CUL917505:CUT917505 CUL983041:CUT983041 DEF2:DEP3 DEF65532:DEP65533 DEF131068:DEP131069 DEF196604:DEP196605 DEF262140:DEP262141 DEF327676:DEP327677 DEF393212:DEP393213 DEF458748:DEP458749 DEF524284:DEP524285 DEF589820:DEP589821 DEF655356:DEP655357 DEF720892:DEP720893 DEF786428:DEP786429 DEF851964:DEP851965 DEF917500:DEP917501 DEF983036:DEP983037 DEH7:DEP7 DEH65537:DEP65537 DEH131073:DEP131073 DEH196609:DEP196609 DEH262145:DEP262145 DEH327681:DEP327681 DEH393217:DEP393217 DEH458753:DEP458753 DEH524289:DEP524289 DEH589825:DEP589825 DEH655361:DEP655361 DEH720897:DEP720897 DEH786433:DEP786433 DEH851969:DEP851969 DEH917505:DEP917505 DEH983041:DEP983041 DOB2:DOL3 DOB65532:DOL65533 DOB131068:DOL131069 DOB196604:DOL196605 DOB262140:DOL262141 DOB327676:DOL327677 DOB393212:DOL393213 DOB458748:DOL458749 DOB524284:DOL524285 DOB589820:DOL589821 DOB655356:DOL655357 DOB720892:DOL720893 DOB786428:DOL786429 DOB851964:DOL851965 DOB917500:DOL917501 DOB983036:DOL983037 DOD7:DOL7 DOD65537:DOL65537 DOD131073:DOL131073 DOD196609:DOL196609 DOD262145:DOL262145 DOD327681:DOL327681 DOD393217:DOL393217 DOD458753:DOL458753 DOD524289:DOL524289 DOD589825:DOL589825 DOD655361:DOL655361 DOD720897:DOL720897 DOD786433:DOL786433 DOD851969:DOL851969 DOD917505:DOL917505 DOD983041:DOL983041 DXX2:DYH3 DXX65532:DYH65533 DXX131068:DYH131069 DXX196604:DYH196605 DXX262140:DYH262141 DXX327676:DYH327677 DXX393212:DYH393213 DXX458748:DYH458749 DXX524284:DYH524285 DXX589820:DYH589821 DXX655356:DYH655357 DXX720892:DYH720893 DXX786428:DYH786429 DXX851964:DYH851965 DXX917500:DYH917501 DXX983036:DYH983037 DXZ7:DYH7 DXZ65537:DYH65537 DXZ131073:DYH131073 DXZ196609:DYH196609 DXZ262145:DYH262145 DXZ327681:DYH327681 DXZ393217:DYH393217 DXZ458753:DYH458753 DXZ524289:DYH524289 DXZ589825:DYH589825 DXZ655361:DYH655361 DXZ720897:DYH720897 DXZ786433:DYH786433 DXZ851969:DYH851969 DXZ917505:DYH917505 DXZ983041:DYH983041 EHT2:EID3 EHT65532:EID65533 EHT131068:EID131069 EHT196604:EID196605 EHT262140:EID262141 EHT327676:EID327677 EHT393212:EID393213 EHT458748:EID458749 EHT524284:EID524285 EHT589820:EID589821 EHT655356:EID655357 EHT720892:EID720893 EHT786428:EID786429 EHT851964:EID851965 EHT917500:EID917501 EHT983036:EID983037 EHV7:EID7 EHV65537:EID65537 EHV131073:EID131073 EHV196609:EID196609 EHV262145:EID262145 EHV327681:EID327681 EHV393217:EID393217 EHV458753:EID458753 EHV524289:EID524289 EHV589825:EID589825 EHV655361:EID655361 EHV720897:EID720897 EHV786433:EID786433 EHV851969:EID851969 EHV917505:EID917505 EHV983041:EID983041 ERP2:ERZ3 ERP65532:ERZ65533 ERP131068:ERZ131069 ERP196604:ERZ196605 ERP262140:ERZ262141 ERP327676:ERZ327677 ERP393212:ERZ393213 ERP458748:ERZ458749 ERP524284:ERZ524285 ERP589820:ERZ589821 ERP655356:ERZ655357 ERP720892:ERZ720893 ERP786428:ERZ786429 ERP851964:ERZ851965 ERP917500:ERZ917501 ERP983036:ERZ983037 ERR7:ERZ7 ERR65537:ERZ65537 ERR131073:ERZ131073 ERR196609:ERZ196609 ERR262145:ERZ262145 ERR327681:ERZ327681 ERR393217:ERZ393217 ERR458753:ERZ458753 ERR524289:ERZ524289 ERR589825:ERZ589825 ERR655361:ERZ655361 ERR720897:ERZ720897 ERR786433:ERZ786433 ERR851969:ERZ851969 ERR917505:ERZ917505 ERR983041:ERZ983041 FBL2:FBV3 FBL65532:FBV65533 FBL131068:FBV131069 FBL196604:FBV196605 FBL262140:FBV262141 FBL327676:FBV327677 FBL393212:FBV393213 FBL458748:FBV458749 FBL524284:FBV524285 FBL589820:FBV589821 FBL655356:FBV655357 FBL720892:FBV720893 FBL786428:FBV786429 FBL851964:FBV851965 FBL917500:FBV917501 FBL983036:FBV983037 FBN7:FBV7 FBN65537:FBV65537 FBN131073:FBV131073 FBN196609:FBV196609 FBN262145:FBV262145 FBN327681:FBV327681 FBN393217:FBV393217 FBN458753:FBV458753 FBN524289:FBV524289 FBN589825:FBV589825 FBN655361:FBV655361 FBN720897:FBV720897 FBN786433:FBV786433 FBN851969:FBV851969 FBN917505:FBV917505 FBN983041:FBV983041 FLH2:FLR3 FLH65532:FLR65533 FLH131068:FLR131069 FLH196604:FLR196605 FLH262140:FLR262141 FLH327676:FLR327677 FLH393212:FLR393213 FLH458748:FLR458749 FLH524284:FLR524285 FLH589820:FLR589821 FLH655356:FLR655357 FLH720892:FLR720893 FLH786428:FLR786429 FLH851964:FLR851965 FLH917500:FLR917501 FLH983036:FLR983037 FLJ7:FLR7 FLJ65537:FLR65537 FLJ131073:FLR131073 FLJ196609:FLR196609 FLJ262145:FLR262145 FLJ327681:FLR327681 FLJ393217:FLR393217 FLJ458753:FLR458753 FLJ524289:FLR524289 FLJ589825:FLR589825 FLJ655361:FLR655361 FLJ720897:FLR720897 FLJ786433:FLR786433 FLJ851969:FLR851969 FLJ917505:FLR917505 FLJ983041:FLR983041 FVD2:FVN3 FVD65532:FVN65533 FVD131068:FVN131069 FVD196604:FVN196605 FVD262140:FVN262141 FVD327676:FVN327677 FVD393212:FVN393213 FVD458748:FVN458749 FVD524284:FVN524285 FVD589820:FVN589821 FVD655356:FVN655357 FVD720892:FVN720893 FVD786428:FVN786429 FVD851964:FVN851965 FVD917500:FVN917501 FVD983036:FVN983037 FVF7:FVN7 FVF65537:FVN65537 FVF131073:FVN131073 FVF196609:FVN196609 FVF262145:FVN262145 FVF327681:FVN327681 FVF393217:FVN393217 FVF458753:FVN458753 FVF524289:FVN524289 FVF589825:FVN589825 FVF655361:FVN655361 FVF720897:FVN720897 FVF786433:FVN786433 FVF851969:FVN851969 FVF917505:FVN917505 FVF983041:FVN983041 GEZ2:GFJ3 GEZ65532:GFJ65533 GEZ131068:GFJ131069 GEZ196604:GFJ196605 GEZ262140:GFJ262141 GEZ327676:GFJ327677 GEZ393212:GFJ393213 GEZ458748:GFJ458749 GEZ524284:GFJ524285 GEZ589820:GFJ589821 GEZ655356:GFJ655357 GEZ720892:GFJ720893 GEZ786428:GFJ786429 GEZ851964:GFJ851965 GEZ917500:GFJ917501 GEZ983036:GFJ983037 GFB7:GFJ7 GFB65537:GFJ65537 GFB131073:GFJ131073 GFB196609:GFJ196609 GFB262145:GFJ262145 GFB327681:GFJ327681 GFB393217:GFJ393217 GFB458753:GFJ458753 GFB524289:GFJ524289 GFB589825:GFJ589825 GFB655361:GFJ655361 GFB720897:GFJ720897 GFB786433:GFJ786433 GFB851969:GFJ851969 GFB917505:GFJ917505 GFB983041:GFJ983041 GOV2:GPF3 GOV65532:GPF65533 GOV131068:GPF131069 GOV196604:GPF196605 GOV262140:GPF262141 GOV327676:GPF327677 GOV393212:GPF393213 GOV458748:GPF458749 GOV524284:GPF524285 GOV589820:GPF589821 GOV655356:GPF655357 GOV720892:GPF720893 GOV786428:GPF786429 GOV851964:GPF851965 GOV917500:GPF917501 GOV983036:GPF983037 GOX7:GPF7 GOX65537:GPF65537 GOX131073:GPF131073 GOX196609:GPF196609 GOX262145:GPF262145 GOX327681:GPF327681 GOX393217:GPF393217 GOX458753:GPF458753 GOX524289:GPF524289 GOX589825:GPF589825 GOX655361:GPF655361 GOX720897:GPF720897 GOX786433:GPF786433 GOX851969:GPF851969 GOX917505:GPF917505 GOX983041:GPF983041 GYR2:GZB3 GYR65532:GZB65533 GYR131068:GZB131069 GYR196604:GZB196605 GYR262140:GZB262141 GYR327676:GZB327677 GYR393212:GZB393213 GYR458748:GZB458749 GYR524284:GZB524285 GYR589820:GZB589821 GYR655356:GZB655357 GYR720892:GZB720893 GYR786428:GZB786429 GYR851964:GZB851965 GYR917500:GZB917501 GYR983036:GZB983037 GYT7:GZB7 GYT65537:GZB65537 GYT131073:GZB131073 GYT196609:GZB196609 GYT262145:GZB262145 GYT327681:GZB327681 GYT393217:GZB393217 GYT458753:GZB458753 GYT524289:GZB524289 GYT589825:GZB589825 GYT655361:GZB655361 GYT720897:GZB720897 GYT786433:GZB786433 GYT851969:GZB851969 GYT917505:GZB917505 GYT983041:GZB983041 HIN2:HIX3 HIN65532:HIX65533 HIN131068:HIX131069 HIN196604:HIX196605 HIN262140:HIX262141 HIN327676:HIX327677 HIN393212:HIX393213 HIN458748:HIX458749 HIN524284:HIX524285 HIN589820:HIX589821 HIN655356:HIX655357 HIN720892:HIX720893 HIN786428:HIX786429 HIN851964:HIX851965 HIN917500:HIX917501 HIN983036:HIX983037 HIP7:HIX7 HIP65537:HIX65537 HIP131073:HIX131073 HIP196609:HIX196609 HIP262145:HIX262145 HIP327681:HIX327681 HIP393217:HIX393217 HIP458753:HIX458753 HIP524289:HIX524289 HIP589825:HIX589825 HIP655361:HIX655361 HIP720897:HIX720897 HIP786433:HIX786433 HIP851969:HIX851969 HIP917505:HIX917505 HIP983041:HIX983041 HSJ2:HST3 HSJ65532:HST65533 HSJ131068:HST131069 HSJ196604:HST196605 HSJ262140:HST262141 HSJ327676:HST327677 HSJ393212:HST393213 HSJ458748:HST458749 HSJ524284:HST524285 HSJ589820:HST589821 HSJ655356:HST655357 HSJ720892:HST720893 HSJ786428:HST786429 HSJ851964:HST851965 HSJ917500:HST917501 HSJ983036:HST983037 HSL7:HST7 HSL65537:HST65537 HSL131073:HST131073 HSL196609:HST196609 HSL262145:HST262145 HSL327681:HST327681 HSL393217:HST393217 HSL458753:HST458753 HSL524289:HST524289 HSL589825:HST589825 HSL655361:HST655361 HSL720897:HST720897 HSL786433:HST786433 HSL851969:HST851969 HSL917505:HST917505 HSL983041:HST983041 ICF2:ICP3 ICF65532:ICP65533 ICF131068:ICP131069 ICF196604:ICP196605 ICF262140:ICP262141 ICF327676:ICP327677 ICF393212:ICP393213 ICF458748:ICP458749 ICF524284:ICP524285 ICF589820:ICP589821 ICF655356:ICP655357 ICF720892:ICP720893 ICF786428:ICP786429 ICF851964:ICP851965 ICF917500:ICP917501 ICF983036:ICP983037 ICH7:ICP7 ICH65537:ICP65537 ICH131073:ICP131073 ICH196609:ICP196609 ICH262145:ICP262145 ICH327681:ICP327681 ICH393217:ICP393217 ICH458753:ICP458753 ICH524289:ICP524289 ICH589825:ICP589825 ICH655361:ICP655361 ICH720897:ICP720897 ICH786433:ICP786433 ICH851969:ICP851969 ICH917505:ICP917505 ICH983041:ICP983041 IMB2:IML3 IMB65532:IML65533 IMB131068:IML131069 IMB196604:IML196605 IMB262140:IML262141 IMB327676:IML327677 IMB393212:IML393213 IMB458748:IML458749 IMB524284:IML524285 IMB589820:IML589821 IMB655356:IML655357 IMB720892:IML720893 IMB786428:IML786429 IMB851964:IML851965 IMB917500:IML917501 IMB983036:IML983037 IMD7:IML7 IMD65537:IML65537 IMD131073:IML131073 IMD196609:IML196609 IMD262145:IML262145 IMD327681:IML327681 IMD393217:IML393217 IMD458753:IML458753 IMD524289:IML524289 IMD589825:IML589825 IMD655361:IML655361 IMD720897:IML720897 IMD786433:IML786433 IMD851969:IML851969 IMD917505:IML917505 IMD983041:IML983041 IVX2:IWH3 IVX65532:IWH65533 IVX131068:IWH131069 IVX196604:IWH196605 IVX262140:IWH262141 IVX327676:IWH327677 IVX393212:IWH393213 IVX458748:IWH458749 IVX524284:IWH524285 IVX589820:IWH589821 IVX655356:IWH655357 IVX720892:IWH720893 IVX786428:IWH786429 IVX851964:IWH851965 IVX917500:IWH917501 IVX983036:IWH983037 IVZ7:IWH7 IVZ65537:IWH65537 IVZ131073:IWH131073 IVZ196609:IWH196609 IVZ262145:IWH262145 IVZ327681:IWH327681 IVZ393217:IWH393217 IVZ458753:IWH458753 IVZ524289:IWH524289 IVZ589825:IWH589825 IVZ655361:IWH655361 IVZ720897:IWH720897 IVZ786433:IWH786433 IVZ851969:IWH851969 IVZ917505:IWH917505 IVZ983041:IWH983041 JFT2:JGD3 JFT65532:JGD65533 JFT131068:JGD131069 JFT196604:JGD196605 JFT262140:JGD262141 JFT327676:JGD327677 JFT393212:JGD393213 JFT458748:JGD458749 JFT524284:JGD524285 JFT589820:JGD589821 JFT655356:JGD655357 JFT720892:JGD720893 JFT786428:JGD786429 JFT851964:JGD851965 JFT917500:JGD917501 JFT983036:JGD983037 JFV7:JGD7 JFV65537:JGD65537 JFV131073:JGD131073 JFV196609:JGD196609 JFV262145:JGD262145 JFV327681:JGD327681 JFV393217:JGD393217 JFV458753:JGD458753 JFV524289:JGD524289 JFV589825:JGD589825 JFV655361:JGD655361 JFV720897:JGD720897 JFV786433:JGD786433 JFV851969:JGD851969 JFV917505:JGD917505 JFV983041:JGD983041 JPP2:JPZ3 JPP65532:JPZ65533 JPP131068:JPZ131069 JPP196604:JPZ196605 JPP262140:JPZ262141 JPP327676:JPZ327677 JPP393212:JPZ393213 JPP458748:JPZ458749 JPP524284:JPZ524285 JPP589820:JPZ589821 JPP655356:JPZ655357 JPP720892:JPZ720893 JPP786428:JPZ786429 JPP851964:JPZ851965 JPP917500:JPZ917501 JPP983036:JPZ983037 JPR7:JPZ7 JPR65537:JPZ65537 JPR131073:JPZ131073 JPR196609:JPZ196609 JPR262145:JPZ262145 JPR327681:JPZ327681 JPR393217:JPZ393217 JPR458753:JPZ458753 JPR524289:JPZ524289 JPR589825:JPZ589825 JPR655361:JPZ655361 JPR720897:JPZ720897 JPR786433:JPZ786433 JPR851969:JPZ851969 JPR917505:JPZ917505 JPR983041:JPZ983041 JZL2:JZV3 JZL65532:JZV65533 JZL131068:JZV131069 JZL196604:JZV196605 JZL262140:JZV262141 JZL327676:JZV327677 JZL393212:JZV393213 JZL458748:JZV458749 JZL524284:JZV524285 JZL589820:JZV589821 JZL655356:JZV655357 JZL720892:JZV720893 JZL786428:JZV786429 JZL851964:JZV851965 JZL917500:JZV917501 JZL983036:JZV983037 JZN7:JZV7 JZN65537:JZV65537 JZN131073:JZV131073 JZN196609:JZV196609 JZN262145:JZV262145 JZN327681:JZV327681 JZN393217:JZV393217 JZN458753:JZV458753 JZN524289:JZV524289 JZN589825:JZV589825 JZN655361:JZV655361 JZN720897:JZV720897 JZN786433:JZV786433 JZN851969:JZV851969 JZN917505:JZV917505 JZN983041:JZV983041 KJH2:KJR3 KJH65532:KJR65533 KJH131068:KJR131069 KJH196604:KJR196605 KJH262140:KJR262141 KJH327676:KJR327677 KJH393212:KJR393213 KJH458748:KJR458749 KJH524284:KJR524285 KJH589820:KJR589821 KJH655356:KJR655357 KJH720892:KJR720893 KJH786428:KJR786429 KJH851964:KJR851965 KJH917500:KJR917501 KJH983036:KJR983037 KJJ7:KJR7 KJJ65537:KJR65537 KJJ131073:KJR131073 KJJ196609:KJR196609 KJJ262145:KJR262145 KJJ327681:KJR327681 KJJ393217:KJR393217 KJJ458753:KJR458753 KJJ524289:KJR524289 KJJ589825:KJR589825 KJJ655361:KJR655361 KJJ720897:KJR720897 KJJ786433:KJR786433 KJJ851969:KJR851969 KJJ917505:KJR917505 KJJ983041:KJR983041 KTD2:KTN3 KTD65532:KTN65533 KTD131068:KTN131069 KTD196604:KTN196605 KTD262140:KTN262141 KTD327676:KTN327677 KTD393212:KTN393213 KTD458748:KTN458749 KTD524284:KTN524285 KTD589820:KTN589821 KTD655356:KTN655357 KTD720892:KTN720893 KTD786428:KTN786429 KTD851964:KTN851965 KTD917500:KTN917501 KTD983036:KTN983037 KTF7:KTN7 KTF65537:KTN65537 KTF131073:KTN131073 KTF196609:KTN196609 KTF262145:KTN262145 KTF327681:KTN327681 KTF393217:KTN393217 KTF458753:KTN458753 KTF524289:KTN524289 KTF589825:KTN589825 KTF655361:KTN655361 KTF720897:KTN720897 KTF786433:KTN786433 KTF851969:KTN851969 KTF917505:KTN917505 KTF983041:KTN983041 LCZ2:LDJ3 LCZ65532:LDJ65533 LCZ131068:LDJ131069 LCZ196604:LDJ196605 LCZ262140:LDJ262141 LCZ327676:LDJ327677 LCZ393212:LDJ393213 LCZ458748:LDJ458749 LCZ524284:LDJ524285 LCZ589820:LDJ589821 LCZ655356:LDJ655357 LCZ720892:LDJ720893 LCZ786428:LDJ786429 LCZ851964:LDJ851965 LCZ917500:LDJ917501 LCZ983036:LDJ983037 LDB7:LDJ7 LDB65537:LDJ65537 LDB131073:LDJ131073 LDB196609:LDJ196609 LDB262145:LDJ262145 LDB327681:LDJ327681 LDB393217:LDJ393217 LDB458753:LDJ458753 LDB524289:LDJ524289 LDB589825:LDJ589825 LDB655361:LDJ655361 LDB720897:LDJ720897 LDB786433:LDJ786433 LDB851969:LDJ851969 LDB917505:LDJ917505 LDB983041:LDJ983041 LMV2:LNF3 LMV65532:LNF65533 LMV131068:LNF131069 LMV196604:LNF196605 LMV262140:LNF262141 LMV327676:LNF327677 LMV393212:LNF393213 LMV458748:LNF458749 LMV524284:LNF524285 LMV589820:LNF589821 LMV655356:LNF655357 LMV720892:LNF720893 LMV786428:LNF786429 LMV851964:LNF851965 LMV917500:LNF917501 LMV983036:LNF983037 LMX7:LNF7 LMX65537:LNF65537 LMX131073:LNF131073 LMX196609:LNF196609 LMX262145:LNF262145 LMX327681:LNF327681 LMX393217:LNF393217 LMX458753:LNF458753 LMX524289:LNF524289 LMX589825:LNF589825 LMX655361:LNF655361 LMX720897:LNF720897 LMX786433:LNF786433 LMX851969:LNF851969 LMX917505:LNF917505 LMX983041:LNF983041 LWR2:LXB3 LWR65532:LXB65533 LWR131068:LXB131069 LWR196604:LXB196605 LWR262140:LXB262141 LWR327676:LXB327677 LWR393212:LXB393213 LWR458748:LXB458749 LWR524284:LXB524285 LWR589820:LXB589821 LWR655356:LXB655357 LWR720892:LXB720893 LWR786428:LXB786429 LWR851964:LXB851965 LWR917500:LXB917501 LWR983036:LXB983037 LWT7:LXB7 LWT65537:LXB65537 LWT131073:LXB131073 LWT196609:LXB196609 LWT262145:LXB262145 LWT327681:LXB327681 LWT393217:LXB393217 LWT458753:LXB458753 LWT524289:LXB524289 LWT589825:LXB589825 LWT655361:LXB655361 LWT720897:LXB720897 LWT786433:LXB786433 LWT851969:LXB851969 LWT917505:LXB917505 LWT983041:LXB983041 MGN2:MGX3 MGN65532:MGX65533 MGN131068:MGX131069 MGN196604:MGX196605 MGN262140:MGX262141 MGN327676:MGX327677 MGN393212:MGX393213 MGN458748:MGX458749 MGN524284:MGX524285 MGN589820:MGX589821 MGN655356:MGX655357 MGN720892:MGX720893 MGN786428:MGX786429 MGN851964:MGX851965 MGN917500:MGX917501 MGN983036:MGX983037 MGP7:MGX7 MGP65537:MGX65537 MGP131073:MGX131073 MGP196609:MGX196609 MGP262145:MGX262145 MGP327681:MGX327681 MGP393217:MGX393217 MGP458753:MGX458753 MGP524289:MGX524289 MGP589825:MGX589825 MGP655361:MGX655361 MGP720897:MGX720897 MGP786433:MGX786433 MGP851969:MGX851969 MGP917505:MGX917505 MGP983041:MGX983041 MQJ2:MQT3 MQJ65532:MQT65533 MQJ131068:MQT131069 MQJ196604:MQT196605 MQJ262140:MQT262141 MQJ327676:MQT327677 MQJ393212:MQT393213 MQJ458748:MQT458749 MQJ524284:MQT524285 MQJ589820:MQT589821 MQJ655356:MQT655357 MQJ720892:MQT720893 MQJ786428:MQT786429 MQJ851964:MQT851965 MQJ917500:MQT917501 MQJ983036:MQT983037 MQL7:MQT7 MQL65537:MQT65537 MQL131073:MQT131073 MQL196609:MQT196609 MQL262145:MQT262145 MQL327681:MQT327681 MQL393217:MQT393217 MQL458753:MQT458753 MQL524289:MQT524289 MQL589825:MQT589825 MQL655361:MQT655361 MQL720897:MQT720897 MQL786433:MQT786433 MQL851969:MQT851969 MQL917505:MQT917505 MQL983041:MQT983041 NAF2:NAP3 NAF65532:NAP65533 NAF131068:NAP131069 NAF196604:NAP196605 NAF262140:NAP262141 NAF327676:NAP327677 NAF393212:NAP393213 NAF458748:NAP458749 NAF524284:NAP524285 NAF589820:NAP589821 NAF655356:NAP655357 NAF720892:NAP720893 NAF786428:NAP786429 NAF851964:NAP851965 NAF917500:NAP917501 NAF983036:NAP983037 NAH7:NAP7 NAH65537:NAP65537 NAH131073:NAP131073 NAH196609:NAP196609 NAH262145:NAP262145 NAH327681:NAP327681 NAH393217:NAP393217 NAH458753:NAP458753 NAH524289:NAP524289 NAH589825:NAP589825 NAH655361:NAP655361 NAH720897:NAP720897 NAH786433:NAP786433 NAH851969:NAP851969 NAH917505:NAP917505 NAH983041:NAP983041 NKB2:NKL3 NKB65532:NKL65533 NKB131068:NKL131069 NKB196604:NKL196605 NKB262140:NKL262141 NKB327676:NKL327677 NKB393212:NKL393213 NKB458748:NKL458749 NKB524284:NKL524285 NKB589820:NKL589821 NKB655356:NKL655357 NKB720892:NKL720893 NKB786428:NKL786429 NKB851964:NKL851965 NKB917500:NKL917501 NKB983036:NKL983037 NKD7:NKL7 NKD65537:NKL65537 NKD131073:NKL131073 NKD196609:NKL196609 NKD262145:NKL262145 NKD327681:NKL327681 NKD393217:NKL393217 NKD458753:NKL458753 NKD524289:NKL524289 NKD589825:NKL589825 NKD655361:NKL655361 NKD720897:NKL720897 NKD786433:NKL786433 NKD851969:NKL851969 NKD917505:NKL917505 NKD983041:NKL983041 NTX2:NUH3 NTX65532:NUH65533 NTX131068:NUH131069 NTX196604:NUH196605 NTX262140:NUH262141 NTX327676:NUH327677 NTX393212:NUH393213 NTX458748:NUH458749 NTX524284:NUH524285 NTX589820:NUH589821 NTX655356:NUH655357 NTX720892:NUH720893 NTX786428:NUH786429 NTX851964:NUH851965 NTX917500:NUH917501 NTX983036:NUH983037 NTZ7:NUH7 NTZ65537:NUH65537 NTZ131073:NUH131073 NTZ196609:NUH196609 NTZ262145:NUH262145 NTZ327681:NUH327681 NTZ393217:NUH393217 NTZ458753:NUH458753 NTZ524289:NUH524289 NTZ589825:NUH589825 NTZ655361:NUH655361 NTZ720897:NUH720897 NTZ786433:NUH786433 NTZ851969:NUH851969 NTZ917505:NUH917505 NTZ983041:NUH983041 ODT2:OED3 ODT65532:OED65533 ODT131068:OED131069 ODT196604:OED196605 ODT262140:OED262141 ODT327676:OED327677 ODT393212:OED393213 ODT458748:OED458749 ODT524284:OED524285 ODT589820:OED589821 ODT655356:OED655357 ODT720892:OED720893 ODT786428:OED786429 ODT851964:OED851965 ODT917500:OED917501 ODT983036:OED983037 ODV7:OED7 ODV65537:OED65537 ODV131073:OED131073 ODV196609:OED196609 ODV262145:OED262145 ODV327681:OED327681 ODV393217:OED393217 ODV458753:OED458753 ODV524289:OED524289 ODV589825:OED589825 ODV655361:OED655361 ODV720897:OED720897 ODV786433:OED786433 ODV851969:OED851969 ODV917505:OED917505 ODV983041:OED983041 ONP2:ONZ3 ONP65532:ONZ65533 ONP131068:ONZ131069 ONP196604:ONZ196605 ONP262140:ONZ262141 ONP327676:ONZ327677 ONP393212:ONZ393213 ONP458748:ONZ458749 ONP524284:ONZ524285 ONP589820:ONZ589821 ONP655356:ONZ655357 ONP720892:ONZ720893 ONP786428:ONZ786429 ONP851964:ONZ851965 ONP917500:ONZ917501 ONP983036:ONZ983037 ONR7:ONZ7 ONR65537:ONZ65537 ONR131073:ONZ131073 ONR196609:ONZ196609 ONR262145:ONZ262145 ONR327681:ONZ327681 ONR393217:ONZ393217 ONR458753:ONZ458753 ONR524289:ONZ524289 ONR589825:ONZ589825 ONR655361:ONZ655361 ONR720897:ONZ720897 ONR786433:ONZ786433 ONR851969:ONZ851969 ONR917505:ONZ917505 ONR983041:ONZ983041 OXL2:OXV3 OXL65532:OXV65533 OXL131068:OXV131069 OXL196604:OXV196605 OXL262140:OXV262141 OXL327676:OXV327677 OXL393212:OXV393213 OXL458748:OXV458749 OXL524284:OXV524285 OXL589820:OXV589821 OXL655356:OXV655357 OXL720892:OXV720893 OXL786428:OXV786429 OXL851964:OXV851965 OXL917500:OXV917501 OXL983036:OXV983037 OXN7:OXV7 OXN65537:OXV65537 OXN131073:OXV131073 OXN196609:OXV196609 OXN262145:OXV262145 OXN327681:OXV327681 OXN393217:OXV393217 OXN458753:OXV458753 OXN524289:OXV524289 OXN589825:OXV589825 OXN655361:OXV655361 OXN720897:OXV720897 OXN786433:OXV786433 OXN851969:OXV851969 OXN917505:OXV917505 OXN983041:OXV983041 PHH2:PHR3 PHH65532:PHR65533 PHH131068:PHR131069 PHH196604:PHR196605 PHH262140:PHR262141 PHH327676:PHR327677 PHH393212:PHR393213 PHH458748:PHR458749 PHH524284:PHR524285 PHH589820:PHR589821 PHH655356:PHR655357 PHH720892:PHR720893 PHH786428:PHR786429 PHH851964:PHR851965 PHH917500:PHR917501 PHH983036:PHR983037 PHJ7:PHR7 PHJ65537:PHR65537 PHJ131073:PHR131073 PHJ196609:PHR196609 PHJ262145:PHR262145 PHJ327681:PHR327681 PHJ393217:PHR393217 PHJ458753:PHR458753 PHJ524289:PHR524289 PHJ589825:PHR589825 PHJ655361:PHR655361 PHJ720897:PHR720897 PHJ786433:PHR786433 PHJ851969:PHR851969 PHJ917505:PHR917505 PHJ983041:PHR983041 PRD2:PRN3 PRD65532:PRN65533 PRD131068:PRN131069 PRD196604:PRN196605 PRD262140:PRN262141 PRD327676:PRN327677 PRD393212:PRN393213 PRD458748:PRN458749 PRD524284:PRN524285 PRD589820:PRN589821 PRD655356:PRN655357 PRD720892:PRN720893 PRD786428:PRN786429 PRD851964:PRN851965 PRD917500:PRN917501 PRD983036:PRN983037 PRF7:PRN7 PRF65537:PRN65537 PRF131073:PRN131073 PRF196609:PRN196609 PRF262145:PRN262145 PRF327681:PRN327681 PRF393217:PRN393217 PRF458753:PRN458753 PRF524289:PRN524289 PRF589825:PRN589825 PRF655361:PRN655361 PRF720897:PRN720897 PRF786433:PRN786433 PRF851969:PRN851969 PRF917505:PRN917505 PRF983041:PRN983041 QAZ2:QBJ3 QAZ65532:QBJ65533 QAZ131068:QBJ131069 QAZ196604:QBJ196605 QAZ262140:QBJ262141 QAZ327676:QBJ327677 QAZ393212:QBJ393213 QAZ458748:QBJ458749 QAZ524284:QBJ524285 QAZ589820:QBJ589821 QAZ655356:QBJ655357 QAZ720892:QBJ720893 QAZ786428:QBJ786429 QAZ851964:QBJ851965 QAZ917500:QBJ917501 QAZ983036:QBJ983037 QBB7:QBJ7 QBB65537:QBJ65537 QBB131073:QBJ131073 QBB196609:QBJ196609 QBB262145:QBJ262145 QBB327681:QBJ327681 QBB393217:QBJ393217 QBB458753:QBJ458753 QBB524289:QBJ524289 QBB589825:QBJ589825 QBB655361:QBJ655361 QBB720897:QBJ720897 QBB786433:QBJ786433 QBB851969:QBJ851969 QBB917505:QBJ917505 QBB983041:QBJ983041 QKV2:QLF3 QKV65532:QLF65533 QKV131068:QLF131069 QKV196604:QLF196605 QKV262140:QLF262141 QKV327676:QLF327677 QKV393212:QLF393213 QKV458748:QLF458749 QKV524284:QLF524285 QKV589820:QLF589821 QKV655356:QLF655357 QKV720892:QLF720893 QKV786428:QLF786429 QKV851964:QLF851965 QKV917500:QLF917501 QKV983036:QLF983037 QKX7:QLF7 QKX65537:QLF65537 QKX131073:QLF131073 QKX196609:QLF196609 QKX262145:QLF262145 QKX327681:QLF327681 QKX393217:QLF393217 QKX458753:QLF458753 QKX524289:QLF524289 QKX589825:QLF589825 QKX655361:QLF655361 QKX720897:QLF720897 QKX786433:QLF786433 QKX851969:QLF851969 QKX917505:QLF917505 QKX983041:QLF983041 QUR2:QVB3 QUR65532:QVB65533 QUR131068:QVB131069 QUR196604:QVB196605 QUR262140:QVB262141 QUR327676:QVB327677 QUR393212:QVB393213 QUR458748:QVB458749 QUR524284:QVB524285 QUR589820:QVB589821 QUR655356:QVB655357 QUR720892:QVB720893 QUR786428:QVB786429 QUR851964:QVB851965 QUR917500:QVB917501 QUR983036:QVB983037 QUT7:QVB7 QUT65537:QVB65537 QUT131073:QVB131073 QUT196609:QVB196609 QUT262145:QVB262145 QUT327681:QVB327681 QUT393217:QVB393217 QUT458753:QVB458753 QUT524289:QVB524289 QUT589825:QVB589825 QUT655361:QVB655361 QUT720897:QVB720897 QUT786433:QVB786433 QUT851969:QVB851969 QUT917505:QVB917505 QUT983041:QVB983041 REN2:REX3 REN65532:REX65533 REN131068:REX131069 REN196604:REX196605 REN262140:REX262141 REN327676:REX327677 REN393212:REX393213 REN458748:REX458749 REN524284:REX524285 REN589820:REX589821 REN655356:REX655357 REN720892:REX720893 REN786428:REX786429 REN851964:REX851965 REN917500:REX917501 REN983036:REX983037 REP7:REX7 REP65537:REX65537 REP131073:REX131073 REP196609:REX196609 REP262145:REX262145 REP327681:REX327681 REP393217:REX393217 REP458753:REX458753 REP524289:REX524289 REP589825:REX589825 REP655361:REX655361 REP720897:REX720897 REP786433:REX786433 REP851969:REX851969 REP917505:REX917505 REP983041:REX983041 ROJ2:ROT3 ROJ65532:ROT65533 ROJ131068:ROT131069 ROJ196604:ROT196605 ROJ262140:ROT262141 ROJ327676:ROT327677 ROJ393212:ROT393213 ROJ458748:ROT458749 ROJ524284:ROT524285 ROJ589820:ROT589821 ROJ655356:ROT655357 ROJ720892:ROT720893 ROJ786428:ROT786429 ROJ851964:ROT851965 ROJ917500:ROT917501 ROJ983036:ROT983037 ROL7:ROT7 ROL65537:ROT65537 ROL131073:ROT131073 ROL196609:ROT196609 ROL262145:ROT262145 ROL327681:ROT327681 ROL393217:ROT393217 ROL458753:ROT458753 ROL524289:ROT524289 ROL589825:ROT589825 ROL655361:ROT655361 ROL720897:ROT720897 ROL786433:ROT786433 ROL851969:ROT851969 ROL917505:ROT917505 ROL983041:ROT983041 RYF2:RYP3 RYF65532:RYP65533 RYF131068:RYP131069 RYF196604:RYP196605 RYF262140:RYP262141 RYF327676:RYP327677 RYF393212:RYP393213 RYF458748:RYP458749 RYF524284:RYP524285 RYF589820:RYP589821 RYF655356:RYP655357 RYF720892:RYP720893 RYF786428:RYP786429 RYF851964:RYP851965 RYF917500:RYP917501 RYF983036:RYP983037 RYH7:RYP7 RYH65537:RYP65537 RYH131073:RYP131073 RYH196609:RYP196609 RYH262145:RYP262145 RYH327681:RYP327681 RYH393217:RYP393217 RYH458753:RYP458753 RYH524289:RYP524289 RYH589825:RYP589825 RYH655361:RYP655361 RYH720897:RYP720897 RYH786433:RYP786433 RYH851969:RYP851969 RYH917505:RYP917505 RYH983041:RYP983041 SIB2:SIL3 SIB65532:SIL65533 SIB131068:SIL131069 SIB196604:SIL196605 SIB262140:SIL262141 SIB327676:SIL327677 SIB393212:SIL393213 SIB458748:SIL458749 SIB524284:SIL524285 SIB589820:SIL589821 SIB655356:SIL655357 SIB720892:SIL720893 SIB786428:SIL786429 SIB851964:SIL851965 SIB917500:SIL917501 SIB983036:SIL983037 SID7:SIL7 SID65537:SIL65537 SID131073:SIL131073 SID196609:SIL196609 SID262145:SIL262145 SID327681:SIL327681 SID393217:SIL393217 SID458753:SIL458753 SID524289:SIL524289 SID589825:SIL589825 SID655361:SIL655361 SID720897:SIL720897 SID786433:SIL786433 SID851969:SIL851969 SID917505:SIL917505 SID983041:SIL983041 SRX2:SSH3 SRX65532:SSH65533 SRX131068:SSH131069 SRX196604:SSH196605 SRX262140:SSH262141 SRX327676:SSH327677 SRX393212:SSH393213 SRX458748:SSH458749 SRX524284:SSH524285 SRX589820:SSH589821 SRX655356:SSH655357 SRX720892:SSH720893 SRX786428:SSH786429 SRX851964:SSH851965 SRX917500:SSH917501 SRX983036:SSH983037 SRZ7:SSH7 SRZ65537:SSH65537 SRZ131073:SSH131073 SRZ196609:SSH196609 SRZ262145:SSH262145 SRZ327681:SSH327681 SRZ393217:SSH393217 SRZ458753:SSH458753 SRZ524289:SSH524289 SRZ589825:SSH589825 SRZ655361:SSH655361 SRZ720897:SSH720897 SRZ786433:SSH786433 SRZ851969:SSH851969 SRZ917505:SSH917505 SRZ983041:SSH983041 TBT2:TCD3 TBT65532:TCD65533 TBT131068:TCD131069 TBT196604:TCD196605 TBT262140:TCD262141 TBT327676:TCD327677 TBT393212:TCD393213 TBT458748:TCD458749 TBT524284:TCD524285 TBT589820:TCD589821 TBT655356:TCD655357 TBT720892:TCD720893 TBT786428:TCD786429 TBT851964:TCD851965 TBT917500:TCD917501 TBT983036:TCD983037 TBV7:TCD7 TBV65537:TCD65537 TBV131073:TCD131073 TBV196609:TCD196609 TBV262145:TCD262145 TBV327681:TCD327681 TBV393217:TCD393217 TBV458753:TCD458753 TBV524289:TCD524289 TBV589825:TCD589825 TBV655361:TCD655361 TBV720897:TCD720897 TBV786433:TCD786433 TBV851969:TCD851969 TBV917505:TCD917505 TBV983041:TCD983041 TLP2:TLZ3 TLP65532:TLZ65533 TLP131068:TLZ131069 TLP196604:TLZ196605 TLP262140:TLZ262141 TLP327676:TLZ327677 TLP393212:TLZ393213 TLP458748:TLZ458749 TLP524284:TLZ524285 TLP589820:TLZ589821 TLP655356:TLZ655357 TLP720892:TLZ720893 TLP786428:TLZ786429 TLP851964:TLZ851965 TLP917500:TLZ917501 TLP983036:TLZ983037 TLR7:TLZ7 TLR65537:TLZ65537 TLR131073:TLZ131073 TLR196609:TLZ196609 TLR262145:TLZ262145 TLR327681:TLZ327681 TLR393217:TLZ393217 TLR458753:TLZ458753 TLR524289:TLZ524289 TLR589825:TLZ589825 TLR655361:TLZ655361 TLR720897:TLZ720897 TLR786433:TLZ786433 TLR851969:TLZ851969 TLR917505:TLZ917505 TLR983041:TLZ983041 TVL2:TVV3 TVL65532:TVV65533 TVL131068:TVV131069 TVL196604:TVV196605 TVL262140:TVV262141 TVL327676:TVV327677 TVL393212:TVV393213 TVL458748:TVV458749 TVL524284:TVV524285 TVL589820:TVV589821 TVL655356:TVV655357 TVL720892:TVV720893 TVL786428:TVV786429 TVL851964:TVV851965 TVL917500:TVV917501 TVL983036:TVV983037 TVN7:TVV7 TVN65537:TVV65537 TVN131073:TVV131073 TVN196609:TVV196609 TVN262145:TVV262145 TVN327681:TVV327681 TVN393217:TVV393217 TVN458753:TVV458753 TVN524289:TVV524289 TVN589825:TVV589825 TVN655361:TVV655361 TVN720897:TVV720897 TVN786433:TVV786433 TVN851969:TVV851969 TVN917505:TVV917505 TVN983041:TVV983041 UFH2:UFR3 UFH65532:UFR65533 UFH131068:UFR131069 UFH196604:UFR196605 UFH262140:UFR262141 UFH327676:UFR327677 UFH393212:UFR393213 UFH458748:UFR458749 UFH524284:UFR524285 UFH589820:UFR589821 UFH655356:UFR655357 UFH720892:UFR720893 UFH786428:UFR786429 UFH851964:UFR851965 UFH917500:UFR917501 UFH983036:UFR983037 UFJ7:UFR7 UFJ65537:UFR65537 UFJ131073:UFR131073 UFJ196609:UFR196609 UFJ262145:UFR262145 UFJ327681:UFR327681 UFJ393217:UFR393217 UFJ458753:UFR458753 UFJ524289:UFR524289 UFJ589825:UFR589825 UFJ655361:UFR655361 UFJ720897:UFR720897 UFJ786433:UFR786433 UFJ851969:UFR851969 UFJ917505:UFR917505 UFJ983041:UFR983041 UPD2:UPN3 UPD65532:UPN65533 UPD131068:UPN131069 UPD196604:UPN196605 UPD262140:UPN262141 UPD327676:UPN327677 UPD393212:UPN393213 UPD458748:UPN458749 UPD524284:UPN524285 UPD589820:UPN589821 UPD655356:UPN655357 UPD720892:UPN720893 UPD786428:UPN786429 UPD851964:UPN851965 UPD917500:UPN917501 UPD983036:UPN983037 UPF7:UPN7 UPF65537:UPN65537 UPF131073:UPN131073 UPF196609:UPN196609 UPF262145:UPN262145 UPF327681:UPN327681 UPF393217:UPN393217 UPF458753:UPN458753 UPF524289:UPN524289 UPF589825:UPN589825 UPF655361:UPN655361 UPF720897:UPN720897 UPF786433:UPN786433 UPF851969:UPN851969 UPF917505:UPN917505 UPF983041:UPN983041 UYZ2:UZJ3 UYZ65532:UZJ65533 UYZ131068:UZJ131069 UYZ196604:UZJ196605 UYZ262140:UZJ262141 UYZ327676:UZJ327677 UYZ393212:UZJ393213 UYZ458748:UZJ458749 UYZ524284:UZJ524285 UYZ589820:UZJ589821 UYZ655356:UZJ655357 UYZ720892:UZJ720893 UYZ786428:UZJ786429 UYZ851964:UZJ851965 UYZ917500:UZJ917501 UYZ983036:UZJ983037 UZB7:UZJ7 UZB65537:UZJ65537 UZB131073:UZJ131073 UZB196609:UZJ196609 UZB262145:UZJ262145 UZB327681:UZJ327681 UZB393217:UZJ393217 UZB458753:UZJ458753 UZB524289:UZJ524289 UZB589825:UZJ589825 UZB655361:UZJ655361 UZB720897:UZJ720897 UZB786433:UZJ786433 UZB851969:UZJ851969 UZB917505:UZJ917505 UZB983041:UZJ983041 VIV2:VJF3 VIV65532:VJF65533 VIV131068:VJF131069 VIV196604:VJF196605 VIV262140:VJF262141 VIV327676:VJF327677 VIV393212:VJF393213 VIV458748:VJF458749 VIV524284:VJF524285 VIV589820:VJF589821 VIV655356:VJF655357 VIV720892:VJF720893 VIV786428:VJF786429 VIV851964:VJF851965 VIV917500:VJF917501 VIV983036:VJF983037 VIX7:VJF7 VIX65537:VJF65537 VIX131073:VJF131073 VIX196609:VJF196609 VIX262145:VJF262145 VIX327681:VJF327681 VIX393217:VJF393217 VIX458753:VJF458753 VIX524289:VJF524289 VIX589825:VJF589825 VIX655361:VJF655361 VIX720897:VJF720897 VIX786433:VJF786433 VIX851969:VJF851969 VIX917505:VJF917505 VIX983041:VJF983041 VSR2:VTB3 VSR65532:VTB65533 VSR131068:VTB131069 VSR196604:VTB196605 VSR262140:VTB262141 VSR327676:VTB327677 VSR393212:VTB393213 VSR458748:VTB458749 VSR524284:VTB524285 VSR589820:VTB589821 VSR655356:VTB655357 VSR720892:VTB720893 VSR786428:VTB786429 VSR851964:VTB851965 VSR917500:VTB917501 VSR983036:VTB983037 VST7:VTB7 VST65537:VTB65537 VST131073:VTB131073 VST196609:VTB196609 VST262145:VTB262145 VST327681:VTB327681 VST393217:VTB393217 VST458753:VTB458753 VST524289:VTB524289 VST589825:VTB589825 VST655361:VTB655361 VST720897:VTB720897 VST786433:VTB786433 VST851969:VTB851969 VST917505:VTB917505 VST983041:VTB983041 WCN2:WCX3 WCN65532:WCX65533 WCN131068:WCX131069 WCN196604:WCX196605 WCN262140:WCX262141 WCN327676:WCX327677 WCN393212:WCX393213 WCN458748:WCX458749 WCN524284:WCX524285 WCN589820:WCX589821 WCN655356:WCX655357 WCN720892:WCX720893 WCN786428:WCX786429 WCN851964:WCX851965 WCN917500:WCX917501 WCN983036:WCX983037 WCP7:WCX7 WCP65537:WCX65537 WCP131073:WCX131073 WCP196609:WCX196609 WCP262145:WCX262145 WCP327681:WCX327681 WCP393217:WCX393217 WCP458753:WCX458753 WCP524289:WCX524289 WCP589825:WCX589825 WCP655361:WCX655361 WCP720897:WCX720897 WCP786433:WCX786433 WCP851969:WCX851969 WCP917505:WCX917505 WCP983041:WCX983041 WMJ2:WMT3 WMJ65532:WMT65533 WMJ131068:WMT131069 WMJ196604:WMT196605 WMJ262140:WMT262141 WMJ327676:WMT327677 WMJ393212:WMT393213 WMJ458748:WMT458749 WMJ524284:WMT524285 WMJ589820:WMT589821 WMJ655356:WMT655357 WMJ720892:WMT720893 WMJ786428:WMT786429 WMJ851964:WMT851965 WMJ917500:WMT917501 WMJ983036:WMT983037 WML7:WMT7 WML65537:WMT65537 WML131073:WMT131073 WML196609:WMT196609 WML262145:WMT262145 WML327681:WMT327681 WML393217:WMT393217 WML458753:WMT458753 WML524289:WMT524289 WML589825:WMT589825 WML655361:WMT655361 WML720897:WMT720897 WML786433:WMT786433 WML851969:WMT851969 WML917505:WMT917505 WML983041:WMT983041 WWF2:WWP3 WWF65532:WWP65533 WWF131068:WWP131069 WWF196604:WWP196605 WWF262140:WWP262141 WWF327676:WWP327677 WWF393212:WWP393213 WWF458748:WWP458749 WWF524284:WWP524285 WWF589820:WWP589821 WWF655356:WWP655357 WWF720892:WWP720893 WWF786428:WWP786429 WWF851964:WWP851965 WWF917500:WWP917501 WWF983036:WWP983037 WWH7:WWP7 WWH65537:WWP65537 WWH131073:WWP131073 WWH196609:WWP196609 WWH262145:WWP262145 WWH327681:WWP327681 WWH393217:WWP393217 WWH458753:WWP458753 WWH524289:WWP524289 WWH589825:WWP589825 WWH655361:WWP655361 WWH720897:WWP720897 WWH786433:WWP786433 WWH851969:WWP851969 WWH917505:WWP917505 WWH983041:WWP983041" xr:uid="{00000000-0002-0000-0800-00000B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26 O65531:P65556 O131067:P131092 O196603:P196628 O262139:P262164 O327675:P327700 O393211:P393236 O458747:P458772 O524283:P524308 O589819:P589844 O655355:P655380 O720891:P720916 O786427:P786452 O851963:P851988 O917499:P917524 O983035:P983060 JL1:JL26 JL65531:JL65556 JL131067:JL131092 JL196603:JL196628 JL262139:JL262164 JL327675:JL327700 JL393211:JL393236 JL458747:JL458772 JL524283:JL524308 JL589819:JL589844 JL655355:JL655380 JL720891:JL720916 JL786427:JL786452 JL851963:JL851988 JL917499:JL917524 JL983035:JL983060 TH1:TH26 TH65531:TH65556 TH131067:TH131092 TH196603:TH196628 TH262139:TH262164 TH327675:TH327700 TH393211:TH393236 TH458747:TH458772 TH524283:TH524308 TH589819:TH589844 TH655355:TH655380 TH720891:TH720916 TH786427:TH786452 TH851963:TH851988 TH917499:TH917524 TH983035:TH983060 ADD1:ADD26 ADD65531:ADD65556 ADD131067:ADD131092 ADD196603:ADD196628 ADD262139:ADD262164 ADD327675:ADD327700 ADD393211:ADD393236 ADD458747:ADD458772 ADD524283:ADD524308 ADD589819:ADD589844 ADD655355:ADD655380 ADD720891:ADD720916 ADD786427:ADD786452 ADD851963:ADD851988 ADD917499:ADD917524 ADD983035:ADD983060 AMZ1:AMZ26 AMZ65531:AMZ65556 AMZ131067:AMZ131092 AMZ196603:AMZ196628 AMZ262139:AMZ262164 AMZ327675:AMZ327700 AMZ393211:AMZ393236 AMZ458747:AMZ458772 AMZ524283:AMZ524308 AMZ589819:AMZ589844 AMZ655355:AMZ655380 AMZ720891:AMZ720916 AMZ786427:AMZ786452 AMZ851963:AMZ851988 AMZ917499:AMZ917524 AMZ983035:AMZ983060 AWV1:AWV26 AWV65531:AWV65556 AWV131067:AWV131092 AWV196603:AWV196628 AWV262139:AWV262164 AWV327675:AWV327700 AWV393211:AWV393236 AWV458747:AWV458772 AWV524283:AWV524308 AWV589819:AWV589844 AWV655355:AWV655380 AWV720891:AWV720916 AWV786427:AWV786452 AWV851963:AWV851988 AWV917499:AWV917524 AWV983035:AWV983060 BGR1:BGR26 BGR65531:BGR65556 BGR131067:BGR131092 BGR196603:BGR196628 BGR262139:BGR262164 BGR327675:BGR327700 BGR393211:BGR393236 BGR458747:BGR458772 BGR524283:BGR524308 BGR589819:BGR589844 BGR655355:BGR655380 BGR720891:BGR720916 BGR786427:BGR786452 BGR851963:BGR851988 BGR917499:BGR917524 BGR983035:BGR983060 BQN1:BQN26 BQN65531:BQN65556 BQN131067:BQN131092 BQN196603:BQN196628 BQN262139:BQN262164 BQN327675:BQN327700 BQN393211:BQN393236 BQN458747:BQN458772 BQN524283:BQN524308 BQN589819:BQN589844 BQN655355:BQN655380 BQN720891:BQN720916 BQN786427:BQN786452 BQN851963:BQN851988 BQN917499:BQN917524 BQN983035:BQN983060 CAJ1:CAJ26 CAJ65531:CAJ65556 CAJ131067:CAJ131092 CAJ196603:CAJ196628 CAJ262139:CAJ262164 CAJ327675:CAJ327700 CAJ393211:CAJ393236 CAJ458747:CAJ458772 CAJ524283:CAJ524308 CAJ589819:CAJ589844 CAJ655355:CAJ655380 CAJ720891:CAJ720916 CAJ786427:CAJ786452 CAJ851963:CAJ851988 CAJ917499:CAJ917524 CAJ983035:CAJ983060 CKF1:CKF26 CKF65531:CKF65556 CKF131067:CKF131092 CKF196603:CKF196628 CKF262139:CKF262164 CKF327675:CKF327700 CKF393211:CKF393236 CKF458747:CKF458772 CKF524283:CKF524308 CKF589819:CKF589844 CKF655355:CKF655380 CKF720891:CKF720916 CKF786427:CKF786452 CKF851963:CKF851988 CKF917499:CKF917524 CKF983035:CKF983060 CUB1:CUB26 CUB65531:CUB65556 CUB131067:CUB131092 CUB196603:CUB196628 CUB262139:CUB262164 CUB327675:CUB327700 CUB393211:CUB393236 CUB458747:CUB458772 CUB524283:CUB524308 CUB589819:CUB589844 CUB655355:CUB655380 CUB720891:CUB720916 CUB786427:CUB786452 CUB851963:CUB851988 CUB917499:CUB917524 CUB983035:CUB983060 DDX1:DDX26 DDX65531:DDX65556 DDX131067:DDX131092 DDX196603:DDX196628 DDX262139:DDX262164 DDX327675:DDX327700 DDX393211:DDX393236 DDX458747:DDX458772 DDX524283:DDX524308 DDX589819:DDX589844 DDX655355:DDX655380 DDX720891:DDX720916 DDX786427:DDX786452 DDX851963:DDX851988 DDX917499:DDX917524 DDX983035:DDX983060 DNT1:DNT26 DNT65531:DNT65556 DNT131067:DNT131092 DNT196603:DNT196628 DNT262139:DNT262164 DNT327675:DNT327700 DNT393211:DNT393236 DNT458747:DNT458772 DNT524283:DNT524308 DNT589819:DNT589844 DNT655355:DNT655380 DNT720891:DNT720916 DNT786427:DNT786452 DNT851963:DNT851988 DNT917499:DNT917524 DNT983035:DNT983060 DXP1:DXP26 DXP65531:DXP65556 DXP131067:DXP131092 DXP196603:DXP196628 DXP262139:DXP262164 DXP327675:DXP327700 DXP393211:DXP393236 DXP458747:DXP458772 DXP524283:DXP524308 DXP589819:DXP589844 DXP655355:DXP655380 DXP720891:DXP720916 DXP786427:DXP786452 DXP851963:DXP851988 DXP917499:DXP917524 DXP983035:DXP983060 EHL1:EHL26 EHL65531:EHL65556 EHL131067:EHL131092 EHL196603:EHL196628 EHL262139:EHL262164 EHL327675:EHL327700 EHL393211:EHL393236 EHL458747:EHL458772 EHL524283:EHL524308 EHL589819:EHL589844 EHL655355:EHL655380 EHL720891:EHL720916 EHL786427:EHL786452 EHL851963:EHL851988 EHL917499:EHL917524 EHL983035:EHL983060 ERH1:ERH26 ERH65531:ERH65556 ERH131067:ERH131092 ERH196603:ERH196628 ERH262139:ERH262164 ERH327675:ERH327700 ERH393211:ERH393236 ERH458747:ERH458772 ERH524283:ERH524308 ERH589819:ERH589844 ERH655355:ERH655380 ERH720891:ERH720916 ERH786427:ERH786452 ERH851963:ERH851988 ERH917499:ERH917524 ERH983035:ERH983060 FBD1:FBD26 FBD65531:FBD65556 FBD131067:FBD131092 FBD196603:FBD196628 FBD262139:FBD262164 FBD327675:FBD327700 FBD393211:FBD393236 FBD458747:FBD458772 FBD524283:FBD524308 FBD589819:FBD589844 FBD655355:FBD655380 FBD720891:FBD720916 FBD786427:FBD786452 FBD851963:FBD851988 FBD917499:FBD917524 FBD983035:FBD983060 FKZ1:FKZ26 FKZ65531:FKZ65556 FKZ131067:FKZ131092 FKZ196603:FKZ196628 FKZ262139:FKZ262164 FKZ327675:FKZ327700 FKZ393211:FKZ393236 FKZ458747:FKZ458772 FKZ524283:FKZ524308 FKZ589819:FKZ589844 FKZ655355:FKZ655380 FKZ720891:FKZ720916 FKZ786427:FKZ786452 FKZ851963:FKZ851988 FKZ917499:FKZ917524 FKZ983035:FKZ983060 FUV1:FUV26 FUV65531:FUV65556 FUV131067:FUV131092 FUV196603:FUV196628 FUV262139:FUV262164 FUV327675:FUV327700 FUV393211:FUV393236 FUV458747:FUV458772 FUV524283:FUV524308 FUV589819:FUV589844 FUV655355:FUV655380 FUV720891:FUV720916 FUV786427:FUV786452 FUV851963:FUV851988 FUV917499:FUV917524 FUV983035:FUV983060 GER1:GER26 GER65531:GER65556 GER131067:GER131092 GER196603:GER196628 GER262139:GER262164 GER327675:GER327700 GER393211:GER393236 GER458747:GER458772 GER524283:GER524308 GER589819:GER589844 GER655355:GER655380 GER720891:GER720916 GER786427:GER786452 GER851963:GER851988 GER917499:GER917524 GER983035:GER983060 GON1:GON26 GON65531:GON65556 GON131067:GON131092 GON196603:GON196628 GON262139:GON262164 GON327675:GON327700 GON393211:GON393236 GON458747:GON458772 GON524283:GON524308 GON589819:GON589844 GON655355:GON655380 GON720891:GON720916 GON786427:GON786452 GON851963:GON851988 GON917499:GON917524 GON983035:GON983060 GYJ1:GYJ26 GYJ65531:GYJ65556 GYJ131067:GYJ131092 GYJ196603:GYJ196628 GYJ262139:GYJ262164 GYJ327675:GYJ327700 GYJ393211:GYJ393236 GYJ458747:GYJ458772 GYJ524283:GYJ524308 GYJ589819:GYJ589844 GYJ655355:GYJ655380 GYJ720891:GYJ720916 GYJ786427:GYJ786452 GYJ851963:GYJ851988 GYJ917499:GYJ917524 GYJ983035:GYJ983060 HIF1:HIF26 HIF65531:HIF65556 HIF131067:HIF131092 HIF196603:HIF196628 HIF262139:HIF262164 HIF327675:HIF327700 HIF393211:HIF393236 HIF458747:HIF458772 HIF524283:HIF524308 HIF589819:HIF589844 HIF655355:HIF655380 HIF720891:HIF720916 HIF786427:HIF786452 HIF851963:HIF851988 HIF917499:HIF917524 HIF983035:HIF983060 HSB1:HSB26 HSB65531:HSB65556 HSB131067:HSB131092 HSB196603:HSB196628 HSB262139:HSB262164 HSB327675:HSB327700 HSB393211:HSB393236 HSB458747:HSB458772 HSB524283:HSB524308 HSB589819:HSB589844 HSB655355:HSB655380 HSB720891:HSB720916 HSB786427:HSB786452 HSB851963:HSB851988 HSB917499:HSB917524 HSB983035:HSB983060 IBX1:IBX26 IBX65531:IBX65556 IBX131067:IBX131092 IBX196603:IBX196628 IBX262139:IBX262164 IBX327675:IBX327700 IBX393211:IBX393236 IBX458747:IBX458772 IBX524283:IBX524308 IBX589819:IBX589844 IBX655355:IBX655380 IBX720891:IBX720916 IBX786427:IBX786452 IBX851963:IBX851988 IBX917499:IBX917524 IBX983035:IBX983060 ILT1:ILT26 ILT65531:ILT65556 ILT131067:ILT131092 ILT196603:ILT196628 ILT262139:ILT262164 ILT327675:ILT327700 ILT393211:ILT393236 ILT458747:ILT458772 ILT524283:ILT524308 ILT589819:ILT589844 ILT655355:ILT655380 ILT720891:ILT720916 ILT786427:ILT786452 ILT851963:ILT851988 ILT917499:ILT917524 ILT983035:ILT983060 IVP1:IVP26 IVP65531:IVP65556 IVP131067:IVP131092 IVP196603:IVP196628 IVP262139:IVP262164 IVP327675:IVP327700 IVP393211:IVP393236 IVP458747:IVP458772 IVP524283:IVP524308 IVP589819:IVP589844 IVP655355:IVP655380 IVP720891:IVP720916 IVP786427:IVP786452 IVP851963:IVP851988 IVP917499:IVP917524 IVP983035:IVP983060 JFL1:JFL26 JFL65531:JFL65556 JFL131067:JFL131092 JFL196603:JFL196628 JFL262139:JFL262164 JFL327675:JFL327700 JFL393211:JFL393236 JFL458747:JFL458772 JFL524283:JFL524308 JFL589819:JFL589844 JFL655355:JFL655380 JFL720891:JFL720916 JFL786427:JFL786452 JFL851963:JFL851988 JFL917499:JFL917524 JFL983035:JFL983060 JPH1:JPH26 JPH65531:JPH65556 JPH131067:JPH131092 JPH196603:JPH196628 JPH262139:JPH262164 JPH327675:JPH327700 JPH393211:JPH393236 JPH458747:JPH458772 JPH524283:JPH524308 JPH589819:JPH589844 JPH655355:JPH655380 JPH720891:JPH720916 JPH786427:JPH786452 JPH851963:JPH851988 JPH917499:JPH917524 JPH983035:JPH983060 JZD1:JZD26 JZD65531:JZD65556 JZD131067:JZD131092 JZD196603:JZD196628 JZD262139:JZD262164 JZD327675:JZD327700 JZD393211:JZD393236 JZD458747:JZD458772 JZD524283:JZD524308 JZD589819:JZD589844 JZD655355:JZD655380 JZD720891:JZD720916 JZD786427:JZD786452 JZD851963:JZD851988 JZD917499:JZD917524 JZD983035:JZD983060 KIZ1:KIZ26 KIZ65531:KIZ65556 KIZ131067:KIZ131092 KIZ196603:KIZ196628 KIZ262139:KIZ262164 KIZ327675:KIZ327700 KIZ393211:KIZ393236 KIZ458747:KIZ458772 KIZ524283:KIZ524308 KIZ589819:KIZ589844 KIZ655355:KIZ655380 KIZ720891:KIZ720916 KIZ786427:KIZ786452 KIZ851963:KIZ851988 KIZ917499:KIZ917524 KIZ983035:KIZ983060 KSV1:KSV26 KSV65531:KSV65556 KSV131067:KSV131092 KSV196603:KSV196628 KSV262139:KSV262164 KSV327675:KSV327700 KSV393211:KSV393236 KSV458747:KSV458772 KSV524283:KSV524308 KSV589819:KSV589844 KSV655355:KSV655380 KSV720891:KSV720916 KSV786427:KSV786452 KSV851963:KSV851988 KSV917499:KSV917524 KSV983035:KSV983060 LCR1:LCR26 LCR65531:LCR65556 LCR131067:LCR131092 LCR196603:LCR196628 LCR262139:LCR262164 LCR327675:LCR327700 LCR393211:LCR393236 LCR458747:LCR458772 LCR524283:LCR524308 LCR589819:LCR589844 LCR655355:LCR655380 LCR720891:LCR720916 LCR786427:LCR786452 LCR851963:LCR851988 LCR917499:LCR917524 LCR983035:LCR983060 LMN1:LMN26 LMN65531:LMN65556 LMN131067:LMN131092 LMN196603:LMN196628 LMN262139:LMN262164 LMN327675:LMN327700 LMN393211:LMN393236 LMN458747:LMN458772 LMN524283:LMN524308 LMN589819:LMN589844 LMN655355:LMN655380 LMN720891:LMN720916 LMN786427:LMN786452 LMN851963:LMN851988 LMN917499:LMN917524 LMN983035:LMN983060 LWJ1:LWJ26 LWJ65531:LWJ65556 LWJ131067:LWJ131092 LWJ196603:LWJ196628 LWJ262139:LWJ262164 LWJ327675:LWJ327700 LWJ393211:LWJ393236 LWJ458747:LWJ458772 LWJ524283:LWJ524308 LWJ589819:LWJ589844 LWJ655355:LWJ655380 LWJ720891:LWJ720916 LWJ786427:LWJ786452 LWJ851963:LWJ851988 LWJ917499:LWJ917524 LWJ983035:LWJ983060 MGF1:MGF26 MGF65531:MGF65556 MGF131067:MGF131092 MGF196603:MGF196628 MGF262139:MGF262164 MGF327675:MGF327700 MGF393211:MGF393236 MGF458747:MGF458772 MGF524283:MGF524308 MGF589819:MGF589844 MGF655355:MGF655380 MGF720891:MGF720916 MGF786427:MGF786452 MGF851963:MGF851988 MGF917499:MGF917524 MGF983035:MGF983060 MQB1:MQB26 MQB65531:MQB65556 MQB131067:MQB131092 MQB196603:MQB196628 MQB262139:MQB262164 MQB327675:MQB327700 MQB393211:MQB393236 MQB458747:MQB458772 MQB524283:MQB524308 MQB589819:MQB589844 MQB655355:MQB655380 MQB720891:MQB720916 MQB786427:MQB786452 MQB851963:MQB851988 MQB917499:MQB917524 MQB983035:MQB983060 MZX1:MZX26 MZX65531:MZX65556 MZX131067:MZX131092 MZX196603:MZX196628 MZX262139:MZX262164 MZX327675:MZX327700 MZX393211:MZX393236 MZX458747:MZX458772 MZX524283:MZX524308 MZX589819:MZX589844 MZX655355:MZX655380 MZX720891:MZX720916 MZX786427:MZX786452 MZX851963:MZX851988 MZX917499:MZX917524 MZX983035:MZX983060 NJT1:NJT26 NJT65531:NJT65556 NJT131067:NJT131092 NJT196603:NJT196628 NJT262139:NJT262164 NJT327675:NJT327700 NJT393211:NJT393236 NJT458747:NJT458772 NJT524283:NJT524308 NJT589819:NJT589844 NJT655355:NJT655380 NJT720891:NJT720916 NJT786427:NJT786452 NJT851963:NJT851988 NJT917499:NJT917524 NJT983035:NJT983060 NTP1:NTP26 NTP65531:NTP65556 NTP131067:NTP131092 NTP196603:NTP196628 NTP262139:NTP262164 NTP327675:NTP327700 NTP393211:NTP393236 NTP458747:NTP458772 NTP524283:NTP524308 NTP589819:NTP589844 NTP655355:NTP655380 NTP720891:NTP720916 NTP786427:NTP786452 NTP851963:NTP851988 NTP917499:NTP917524 NTP983035:NTP983060 ODL1:ODL26 ODL65531:ODL65556 ODL131067:ODL131092 ODL196603:ODL196628 ODL262139:ODL262164 ODL327675:ODL327700 ODL393211:ODL393236 ODL458747:ODL458772 ODL524283:ODL524308 ODL589819:ODL589844 ODL655355:ODL655380 ODL720891:ODL720916 ODL786427:ODL786452 ODL851963:ODL851988 ODL917499:ODL917524 ODL983035:ODL983060 ONH1:ONH26 ONH65531:ONH65556 ONH131067:ONH131092 ONH196603:ONH196628 ONH262139:ONH262164 ONH327675:ONH327700 ONH393211:ONH393236 ONH458747:ONH458772 ONH524283:ONH524308 ONH589819:ONH589844 ONH655355:ONH655380 ONH720891:ONH720916 ONH786427:ONH786452 ONH851963:ONH851988 ONH917499:ONH917524 ONH983035:ONH983060 OXD1:OXD26 OXD65531:OXD65556 OXD131067:OXD131092 OXD196603:OXD196628 OXD262139:OXD262164 OXD327675:OXD327700 OXD393211:OXD393236 OXD458747:OXD458772 OXD524283:OXD524308 OXD589819:OXD589844 OXD655355:OXD655380 OXD720891:OXD720916 OXD786427:OXD786452 OXD851963:OXD851988 OXD917499:OXD917524 OXD983035:OXD983060 PGZ1:PGZ26 PGZ65531:PGZ65556 PGZ131067:PGZ131092 PGZ196603:PGZ196628 PGZ262139:PGZ262164 PGZ327675:PGZ327700 PGZ393211:PGZ393236 PGZ458747:PGZ458772 PGZ524283:PGZ524308 PGZ589819:PGZ589844 PGZ655355:PGZ655380 PGZ720891:PGZ720916 PGZ786427:PGZ786452 PGZ851963:PGZ851988 PGZ917499:PGZ917524 PGZ983035:PGZ983060 PQV1:PQV26 PQV65531:PQV65556 PQV131067:PQV131092 PQV196603:PQV196628 PQV262139:PQV262164 PQV327675:PQV327700 PQV393211:PQV393236 PQV458747:PQV458772 PQV524283:PQV524308 PQV589819:PQV589844 PQV655355:PQV655380 PQV720891:PQV720916 PQV786427:PQV786452 PQV851963:PQV851988 PQV917499:PQV917524 PQV983035:PQV983060 QAR1:QAR26 QAR65531:QAR65556 QAR131067:QAR131092 QAR196603:QAR196628 QAR262139:QAR262164 QAR327675:QAR327700 QAR393211:QAR393236 QAR458747:QAR458772 QAR524283:QAR524308 QAR589819:QAR589844 QAR655355:QAR655380 QAR720891:QAR720916 QAR786427:QAR786452 QAR851963:QAR851988 QAR917499:QAR917524 QAR983035:QAR983060 QKN1:QKN26 QKN65531:QKN65556 QKN131067:QKN131092 QKN196603:QKN196628 QKN262139:QKN262164 QKN327675:QKN327700 QKN393211:QKN393236 QKN458747:QKN458772 QKN524283:QKN524308 QKN589819:QKN589844 QKN655355:QKN655380 QKN720891:QKN720916 QKN786427:QKN786452 QKN851963:QKN851988 QKN917499:QKN917524 QKN983035:QKN983060 QUJ1:QUJ26 QUJ65531:QUJ65556 QUJ131067:QUJ131092 QUJ196603:QUJ196628 QUJ262139:QUJ262164 QUJ327675:QUJ327700 QUJ393211:QUJ393236 QUJ458747:QUJ458772 QUJ524283:QUJ524308 QUJ589819:QUJ589844 QUJ655355:QUJ655380 QUJ720891:QUJ720916 QUJ786427:QUJ786452 QUJ851963:QUJ851988 QUJ917499:QUJ917524 QUJ983035:QUJ983060 REF1:REF26 REF65531:REF65556 REF131067:REF131092 REF196603:REF196628 REF262139:REF262164 REF327675:REF327700 REF393211:REF393236 REF458747:REF458772 REF524283:REF524308 REF589819:REF589844 REF655355:REF655380 REF720891:REF720916 REF786427:REF786452 REF851963:REF851988 REF917499:REF917524 REF983035:REF983060 ROB1:ROB26 ROB65531:ROB65556 ROB131067:ROB131092 ROB196603:ROB196628 ROB262139:ROB262164 ROB327675:ROB327700 ROB393211:ROB393236 ROB458747:ROB458772 ROB524283:ROB524308 ROB589819:ROB589844 ROB655355:ROB655380 ROB720891:ROB720916 ROB786427:ROB786452 ROB851963:ROB851988 ROB917499:ROB917524 ROB983035:ROB983060 RXX1:RXX26 RXX65531:RXX65556 RXX131067:RXX131092 RXX196603:RXX196628 RXX262139:RXX262164 RXX327675:RXX327700 RXX393211:RXX393236 RXX458747:RXX458772 RXX524283:RXX524308 RXX589819:RXX589844 RXX655355:RXX655380 RXX720891:RXX720916 RXX786427:RXX786452 RXX851963:RXX851988 RXX917499:RXX917524 RXX983035:RXX983060 SHT1:SHT26 SHT65531:SHT65556 SHT131067:SHT131092 SHT196603:SHT196628 SHT262139:SHT262164 SHT327675:SHT327700 SHT393211:SHT393236 SHT458747:SHT458772 SHT524283:SHT524308 SHT589819:SHT589844 SHT655355:SHT655380 SHT720891:SHT720916 SHT786427:SHT786452 SHT851963:SHT851988 SHT917499:SHT917524 SHT983035:SHT983060 SRP1:SRP26 SRP65531:SRP65556 SRP131067:SRP131092 SRP196603:SRP196628 SRP262139:SRP262164 SRP327675:SRP327700 SRP393211:SRP393236 SRP458747:SRP458772 SRP524283:SRP524308 SRP589819:SRP589844 SRP655355:SRP655380 SRP720891:SRP720916 SRP786427:SRP786452 SRP851963:SRP851988 SRP917499:SRP917524 SRP983035:SRP983060 TBL1:TBL26 TBL65531:TBL65556 TBL131067:TBL131092 TBL196603:TBL196628 TBL262139:TBL262164 TBL327675:TBL327700 TBL393211:TBL393236 TBL458747:TBL458772 TBL524283:TBL524308 TBL589819:TBL589844 TBL655355:TBL655380 TBL720891:TBL720916 TBL786427:TBL786452 TBL851963:TBL851988 TBL917499:TBL917524 TBL983035:TBL983060 TLH1:TLH26 TLH65531:TLH65556 TLH131067:TLH131092 TLH196603:TLH196628 TLH262139:TLH262164 TLH327675:TLH327700 TLH393211:TLH393236 TLH458747:TLH458772 TLH524283:TLH524308 TLH589819:TLH589844 TLH655355:TLH655380 TLH720891:TLH720916 TLH786427:TLH786452 TLH851963:TLH851988 TLH917499:TLH917524 TLH983035:TLH983060 TVD1:TVD26 TVD65531:TVD65556 TVD131067:TVD131092 TVD196603:TVD196628 TVD262139:TVD262164 TVD327675:TVD327700 TVD393211:TVD393236 TVD458747:TVD458772 TVD524283:TVD524308 TVD589819:TVD589844 TVD655355:TVD655380 TVD720891:TVD720916 TVD786427:TVD786452 TVD851963:TVD851988 TVD917499:TVD917524 TVD983035:TVD983060 UEZ1:UEZ26 UEZ65531:UEZ65556 UEZ131067:UEZ131092 UEZ196603:UEZ196628 UEZ262139:UEZ262164 UEZ327675:UEZ327700 UEZ393211:UEZ393236 UEZ458747:UEZ458772 UEZ524283:UEZ524308 UEZ589819:UEZ589844 UEZ655355:UEZ655380 UEZ720891:UEZ720916 UEZ786427:UEZ786452 UEZ851963:UEZ851988 UEZ917499:UEZ917524 UEZ983035:UEZ983060 UOV1:UOV26 UOV65531:UOV65556 UOV131067:UOV131092 UOV196603:UOV196628 UOV262139:UOV262164 UOV327675:UOV327700 UOV393211:UOV393236 UOV458747:UOV458772 UOV524283:UOV524308 UOV589819:UOV589844 UOV655355:UOV655380 UOV720891:UOV720916 UOV786427:UOV786452 UOV851963:UOV851988 UOV917499:UOV917524 UOV983035:UOV983060 UYR1:UYR26 UYR65531:UYR65556 UYR131067:UYR131092 UYR196603:UYR196628 UYR262139:UYR262164 UYR327675:UYR327700 UYR393211:UYR393236 UYR458747:UYR458772 UYR524283:UYR524308 UYR589819:UYR589844 UYR655355:UYR655380 UYR720891:UYR720916 UYR786427:UYR786452 UYR851963:UYR851988 UYR917499:UYR917524 UYR983035:UYR983060 VIN1:VIN26 VIN65531:VIN65556 VIN131067:VIN131092 VIN196603:VIN196628 VIN262139:VIN262164 VIN327675:VIN327700 VIN393211:VIN393236 VIN458747:VIN458772 VIN524283:VIN524308 VIN589819:VIN589844 VIN655355:VIN655380 VIN720891:VIN720916 VIN786427:VIN786452 VIN851963:VIN851988 VIN917499:VIN917524 VIN983035:VIN983060 VSJ1:VSJ26 VSJ65531:VSJ65556 VSJ131067:VSJ131092 VSJ196603:VSJ196628 VSJ262139:VSJ262164 VSJ327675:VSJ327700 VSJ393211:VSJ393236 VSJ458747:VSJ458772 VSJ524283:VSJ524308 VSJ589819:VSJ589844 VSJ655355:VSJ655380 VSJ720891:VSJ720916 VSJ786427:VSJ786452 VSJ851963:VSJ851988 VSJ917499:VSJ917524 VSJ983035:VSJ983060 WCF1:WCF26 WCF65531:WCF65556 WCF131067:WCF131092 WCF196603:WCF196628 WCF262139:WCF262164 WCF327675:WCF327700 WCF393211:WCF393236 WCF458747:WCF458772 WCF524283:WCF524308 WCF589819:WCF589844 WCF655355:WCF655380 WCF720891:WCF720916 WCF786427:WCF786452 WCF851963:WCF851988 WCF917499:WCF917524 WCF983035:WCF983060 WMB1:WMB26 WMB65531:WMB65556 WMB131067:WMB131092 WMB196603:WMB196628 WMB262139:WMB262164 WMB327675:WMB327700 WMB393211:WMB393236 WMB458747:WMB458772 WMB524283:WMB524308 WMB589819:WMB589844 WMB655355:WMB655380 WMB720891:WMB720916 WMB786427:WMB786452 WMB851963:WMB851988 WMB917499:WMB917524 WMB983035:WMB983060 WVX1:WVX26 WVX65531:WVX65556 WVX131067:WVX131092 WVX196603:WVX196628 WVX262139:WVX262164 WVX327675:WVX327700 WVX393211:WVX393236 WVX458747:WVX458772 WVX524283:WVX524308 WVX589819:WVX589844 WVX655355:WVX655380 WVX720891:WVX720916 WVX786427:WVX786452 WVX851963:WVX851988 WVX917499:WVX917524 WVX983035:WVX983060" xr:uid="{00000000-0002-0000-0800-00000C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6 N65532:N65556 N131068:N131092 N196604:N196628 N262140:N262164 N327676:N327700 N393212:N393236 N458748:N458772 N524284:N524308 N589820:N589844 N655356:N655380 N720892:N720916 N786428:N786452 N851964:N851988 N917500:N917524 N983036:N983060 JK2:JK26 JK65532:JK65556 JK131068:JK131092 JK196604:JK196628 JK262140:JK262164 JK327676:JK327700 JK393212:JK393236 JK458748:JK458772 JK524284:JK524308 JK589820:JK589844 JK655356:JK655380 JK720892:JK720916 JK786428:JK786452 JK851964:JK851988 JK917500:JK917524 JK983036:JK983060 TG2:TG26 TG65532:TG65556 TG131068:TG131092 TG196604:TG196628 TG262140:TG262164 TG327676:TG327700 TG393212:TG393236 TG458748:TG458772 TG524284:TG524308 TG589820:TG589844 TG655356:TG655380 TG720892:TG720916 TG786428:TG786452 TG851964:TG851988 TG917500:TG917524 TG983036:TG983060 ADC2:ADC26 ADC65532:ADC65556 ADC131068:ADC131092 ADC196604:ADC196628 ADC262140:ADC262164 ADC327676:ADC327700 ADC393212:ADC393236 ADC458748:ADC458772 ADC524284:ADC524308 ADC589820:ADC589844 ADC655356:ADC655380 ADC720892:ADC720916 ADC786428:ADC786452 ADC851964:ADC851988 ADC917500:ADC917524 ADC983036:ADC983060 AMY2:AMY26 AMY65532:AMY65556 AMY131068:AMY131092 AMY196604:AMY196628 AMY262140:AMY262164 AMY327676:AMY327700 AMY393212:AMY393236 AMY458748:AMY458772 AMY524284:AMY524308 AMY589820:AMY589844 AMY655356:AMY655380 AMY720892:AMY720916 AMY786428:AMY786452 AMY851964:AMY851988 AMY917500:AMY917524 AMY983036:AMY983060 AWU2:AWU26 AWU65532:AWU65556 AWU131068:AWU131092 AWU196604:AWU196628 AWU262140:AWU262164 AWU327676:AWU327700 AWU393212:AWU393236 AWU458748:AWU458772 AWU524284:AWU524308 AWU589820:AWU589844 AWU655356:AWU655380 AWU720892:AWU720916 AWU786428:AWU786452 AWU851964:AWU851988 AWU917500:AWU917524 AWU983036:AWU983060 BGQ2:BGQ26 BGQ65532:BGQ65556 BGQ131068:BGQ131092 BGQ196604:BGQ196628 BGQ262140:BGQ262164 BGQ327676:BGQ327700 BGQ393212:BGQ393236 BGQ458748:BGQ458772 BGQ524284:BGQ524308 BGQ589820:BGQ589844 BGQ655356:BGQ655380 BGQ720892:BGQ720916 BGQ786428:BGQ786452 BGQ851964:BGQ851988 BGQ917500:BGQ917524 BGQ983036:BGQ983060 BQM2:BQM26 BQM65532:BQM65556 BQM131068:BQM131092 BQM196604:BQM196628 BQM262140:BQM262164 BQM327676:BQM327700 BQM393212:BQM393236 BQM458748:BQM458772 BQM524284:BQM524308 BQM589820:BQM589844 BQM655356:BQM655380 BQM720892:BQM720916 BQM786428:BQM786452 BQM851964:BQM851988 BQM917500:BQM917524 BQM983036:BQM983060 CAI2:CAI26 CAI65532:CAI65556 CAI131068:CAI131092 CAI196604:CAI196628 CAI262140:CAI262164 CAI327676:CAI327700 CAI393212:CAI393236 CAI458748:CAI458772 CAI524284:CAI524308 CAI589820:CAI589844 CAI655356:CAI655380 CAI720892:CAI720916 CAI786428:CAI786452 CAI851964:CAI851988 CAI917500:CAI917524 CAI983036:CAI983060 CKE2:CKE26 CKE65532:CKE65556 CKE131068:CKE131092 CKE196604:CKE196628 CKE262140:CKE262164 CKE327676:CKE327700 CKE393212:CKE393236 CKE458748:CKE458772 CKE524284:CKE524308 CKE589820:CKE589844 CKE655356:CKE655380 CKE720892:CKE720916 CKE786428:CKE786452 CKE851964:CKE851988 CKE917500:CKE917524 CKE983036:CKE983060 CUA2:CUA26 CUA65532:CUA65556 CUA131068:CUA131092 CUA196604:CUA196628 CUA262140:CUA262164 CUA327676:CUA327700 CUA393212:CUA393236 CUA458748:CUA458772 CUA524284:CUA524308 CUA589820:CUA589844 CUA655356:CUA655380 CUA720892:CUA720916 CUA786428:CUA786452 CUA851964:CUA851988 CUA917500:CUA917524 CUA983036:CUA983060 DDW2:DDW26 DDW65532:DDW65556 DDW131068:DDW131092 DDW196604:DDW196628 DDW262140:DDW262164 DDW327676:DDW327700 DDW393212:DDW393236 DDW458748:DDW458772 DDW524284:DDW524308 DDW589820:DDW589844 DDW655356:DDW655380 DDW720892:DDW720916 DDW786428:DDW786452 DDW851964:DDW851988 DDW917500:DDW917524 DDW983036:DDW983060 DNS2:DNS26 DNS65532:DNS65556 DNS131068:DNS131092 DNS196604:DNS196628 DNS262140:DNS262164 DNS327676:DNS327700 DNS393212:DNS393236 DNS458748:DNS458772 DNS524284:DNS524308 DNS589820:DNS589844 DNS655356:DNS655380 DNS720892:DNS720916 DNS786428:DNS786452 DNS851964:DNS851988 DNS917500:DNS917524 DNS983036:DNS983060 DXO2:DXO26 DXO65532:DXO65556 DXO131068:DXO131092 DXO196604:DXO196628 DXO262140:DXO262164 DXO327676:DXO327700 DXO393212:DXO393236 DXO458748:DXO458772 DXO524284:DXO524308 DXO589820:DXO589844 DXO655356:DXO655380 DXO720892:DXO720916 DXO786428:DXO786452 DXO851964:DXO851988 DXO917500:DXO917524 DXO983036:DXO983060 EHK2:EHK26 EHK65532:EHK65556 EHK131068:EHK131092 EHK196604:EHK196628 EHK262140:EHK262164 EHK327676:EHK327700 EHK393212:EHK393236 EHK458748:EHK458772 EHK524284:EHK524308 EHK589820:EHK589844 EHK655356:EHK655380 EHK720892:EHK720916 EHK786428:EHK786452 EHK851964:EHK851988 EHK917500:EHK917524 EHK983036:EHK983060 ERG2:ERG26 ERG65532:ERG65556 ERG131068:ERG131092 ERG196604:ERG196628 ERG262140:ERG262164 ERG327676:ERG327700 ERG393212:ERG393236 ERG458748:ERG458772 ERG524284:ERG524308 ERG589820:ERG589844 ERG655356:ERG655380 ERG720892:ERG720916 ERG786428:ERG786452 ERG851964:ERG851988 ERG917500:ERG917524 ERG983036:ERG983060 FBC2:FBC26 FBC65532:FBC65556 FBC131068:FBC131092 FBC196604:FBC196628 FBC262140:FBC262164 FBC327676:FBC327700 FBC393212:FBC393236 FBC458748:FBC458772 FBC524284:FBC524308 FBC589820:FBC589844 FBC655356:FBC655380 FBC720892:FBC720916 FBC786428:FBC786452 FBC851964:FBC851988 FBC917500:FBC917524 FBC983036:FBC983060 FKY2:FKY26 FKY65532:FKY65556 FKY131068:FKY131092 FKY196604:FKY196628 FKY262140:FKY262164 FKY327676:FKY327700 FKY393212:FKY393236 FKY458748:FKY458772 FKY524284:FKY524308 FKY589820:FKY589844 FKY655356:FKY655380 FKY720892:FKY720916 FKY786428:FKY786452 FKY851964:FKY851988 FKY917500:FKY917524 FKY983036:FKY983060 FUU2:FUU26 FUU65532:FUU65556 FUU131068:FUU131092 FUU196604:FUU196628 FUU262140:FUU262164 FUU327676:FUU327700 FUU393212:FUU393236 FUU458748:FUU458772 FUU524284:FUU524308 FUU589820:FUU589844 FUU655356:FUU655380 FUU720892:FUU720916 FUU786428:FUU786452 FUU851964:FUU851988 FUU917500:FUU917524 FUU983036:FUU983060 GEQ2:GEQ26 GEQ65532:GEQ65556 GEQ131068:GEQ131092 GEQ196604:GEQ196628 GEQ262140:GEQ262164 GEQ327676:GEQ327700 GEQ393212:GEQ393236 GEQ458748:GEQ458772 GEQ524284:GEQ524308 GEQ589820:GEQ589844 GEQ655356:GEQ655380 GEQ720892:GEQ720916 GEQ786428:GEQ786452 GEQ851964:GEQ851988 GEQ917500:GEQ917524 GEQ983036:GEQ983060 GOM2:GOM26 GOM65532:GOM65556 GOM131068:GOM131092 GOM196604:GOM196628 GOM262140:GOM262164 GOM327676:GOM327700 GOM393212:GOM393236 GOM458748:GOM458772 GOM524284:GOM524308 GOM589820:GOM589844 GOM655356:GOM655380 GOM720892:GOM720916 GOM786428:GOM786452 GOM851964:GOM851988 GOM917500:GOM917524 GOM983036:GOM983060 GYI2:GYI26 GYI65532:GYI65556 GYI131068:GYI131092 GYI196604:GYI196628 GYI262140:GYI262164 GYI327676:GYI327700 GYI393212:GYI393236 GYI458748:GYI458772 GYI524284:GYI524308 GYI589820:GYI589844 GYI655356:GYI655380 GYI720892:GYI720916 GYI786428:GYI786452 GYI851964:GYI851988 GYI917500:GYI917524 GYI983036:GYI983060 HIE2:HIE26 HIE65532:HIE65556 HIE131068:HIE131092 HIE196604:HIE196628 HIE262140:HIE262164 HIE327676:HIE327700 HIE393212:HIE393236 HIE458748:HIE458772 HIE524284:HIE524308 HIE589820:HIE589844 HIE655356:HIE655380 HIE720892:HIE720916 HIE786428:HIE786452 HIE851964:HIE851988 HIE917500:HIE917524 HIE983036:HIE983060 HSA2:HSA26 HSA65532:HSA65556 HSA131068:HSA131092 HSA196604:HSA196628 HSA262140:HSA262164 HSA327676:HSA327700 HSA393212:HSA393236 HSA458748:HSA458772 HSA524284:HSA524308 HSA589820:HSA589844 HSA655356:HSA655380 HSA720892:HSA720916 HSA786428:HSA786452 HSA851964:HSA851988 HSA917500:HSA917524 HSA983036:HSA983060 IBW2:IBW26 IBW65532:IBW65556 IBW131068:IBW131092 IBW196604:IBW196628 IBW262140:IBW262164 IBW327676:IBW327700 IBW393212:IBW393236 IBW458748:IBW458772 IBW524284:IBW524308 IBW589820:IBW589844 IBW655356:IBW655380 IBW720892:IBW720916 IBW786428:IBW786452 IBW851964:IBW851988 IBW917500:IBW917524 IBW983036:IBW983060 ILS2:ILS26 ILS65532:ILS65556 ILS131068:ILS131092 ILS196604:ILS196628 ILS262140:ILS262164 ILS327676:ILS327700 ILS393212:ILS393236 ILS458748:ILS458772 ILS524284:ILS524308 ILS589820:ILS589844 ILS655356:ILS655380 ILS720892:ILS720916 ILS786428:ILS786452 ILS851964:ILS851988 ILS917500:ILS917524 ILS983036:ILS983060 IVO2:IVO26 IVO65532:IVO65556 IVO131068:IVO131092 IVO196604:IVO196628 IVO262140:IVO262164 IVO327676:IVO327700 IVO393212:IVO393236 IVO458748:IVO458772 IVO524284:IVO524308 IVO589820:IVO589844 IVO655356:IVO655380 IVO720892:IVO720916 IVO786428:IVO786452 IVO851964:IVO851988 IVO917500:IVO917524 IVO983036:IVO983060 JFK2:JFK26 JFK65532:JFK65556 JFK131068:JFK131092 JFK196604:JFK196628 JFK262140:JFK262164 JFK327676:JFK327700 JFK393212:JFK393236 JFK458748:JFK458772 JFK524284:JFK524308 JFK589820:JFK589844 JFK655356:JFK655380 JFK720892:JFK720916 JFK786428:JFK786452 JFK851964:JFK851988 JFK917500:JFK917524 JFK983036:JFK983060 JPG2:JPG26 JPG65532:JPG65556 JPG131068:JPG131092 JPG196604:JPG196628 JPG262140:JPG262164 JPG327676:JPG327700 JPG393212:JPG393236 JPG458748:JPG458772 JPG524284:JPG524308 JPG589820:JPG589844 JPG655356:JPG655380 JPG720892:JPG720916 JPG786428:JPG786452 JPG851964:JPG851988 JPG917500:JPG917524 JPG983036:JPG983060 JZC2:JZC26 JZC65532:JZC65556 JZC131068:JZC131092 JZC196604:JZC196628 JZC262140:JZC262164 JZC327676:JZC327700 JZC393212:JZC393236 JZC458748:JZC458772 JZC524284:JZC524308 JZC589820:JZC589844 JZC655356:JZC655380 JZC720892:JZC720916 JZC786428:JZC786452 JZC851964:JZC851988 JZC917500:JZC917524 JZC983036:JZC983060 KIY2:KIY26 KIY65532:KIY65556 KIY131068:KIY131092 KIY196604:KIY196628 KIY262140:KIY262164 KIY327676:KIY327700 KIY393212:KIY393236 KIY458748:KIY458772 KIY524284:KIY524308 KIY589820:KIY589844 KIY655356:KIY655380 KIY720892:KIY720916 KIY786428:KIY786452 KIY851964:KIY851988 KIY917500:KIY917524 KIY983036:KIY983060 KSU2:KSU26 KSU65532:KSU65556 KSU131068:KSU131092 KSU196604:KSU196628 KSU262140:KSU262164 KSU327676:KSU327700 KSU393212:KSU393236 KSU458748:KSU458772 KSU524284:KSU524308 KSU589820:KSU589844 KSU655356:KSU655380 KSU720892:KSU720916 KSU786428:KSU786452 KSU851964:KSU851988 KSU917500:KSU917524 KSU983036:KSU983060 LCQ2:LCQ26 LCQ65532:LCQ65556 LCQ131068:LCQ131092 LCQ196604:LCQ196628 LCQ262140:LCQ262164 LCQ327676:LCQ327700 LCQ393212:LCQ393236 LCQ458748:LCQ458772 LCQ524284:LCQ524308 LCQ589820:LCQ589844 LCQ655356:LCQ655380 LCQ720892:LCQ720916 LCQ786428:LCQ786452 LCQ851964:LCQ851988 LCQ917500:LCQ917524 LCQ983036:LCQ983060 LMM2:LMM26 LMM65532:LMM65556 LMM131068:LMM131092 LMM196604:LMM196628 LMM262140:LMM262164 LMM327676:LMM327700 LMM393212:LMM393236 LMM458748:LMM458772 LMM524284:LMM524308 LMM589820:LMM589844 LMM655356:LMM655380 LMM720892:LMM720916 LMM786428:LMM786452 LMM851964:LMM851988 LMM917500:LMM917524 LMM983036:LMM983060 LWI2:LWI26 LWI65532:LWI65556 LWI131068:LWI131092 LWI196604:LWI196628 LWI262140:LWI262164 LWI327676:LWI327700 LWI393212:LWI393236 LWI458748:LWI458772 LWI524284:LWI524308 LWI589820:LWI589844 LWI655356:LWI655380 LWI720892:LWI720916 LWI786428:LWI786452 LWI851964:LWI851988 LWI917500:LWI917524 LWI983036:LWI983060 MGE2:MGE26 MGE65532:MGE65556 MGE131068:MGE131092 MGE196604:MGE196628 MGE262140:MGE262164 MGE327676:MGE327700 MGE393212:MGE393236 MGE458748:MGE458772 MGE524284:MGE524308 MGE589820:MGE589844 MGE655356:MGE655380 MGE720892:MGE720916 MGE786428:MGE786452 MGE851964:MGE851988 MGE917500:MGE917524 MGE983036:MGE983060 MQA2:MQA26 MQA65532:MQA65556 MQA131068:MQA131092 MQA196604:MQA196628 MQA262140:MQA262164 MQA327676:MQA327700 MQA393212:MQA393236 MQA458748:MQA458772 MQA524284:MQA524308 MQA589820:MQA589844 MQA655356:MQA655380 MQA720892:MQA720916 MQA786428:MQA786452 MQA851964:MQA851988 MQA917500:MQA917524 MQA983036:MQA983060 MZW2:MZW26 MZW65532:MZW65556 MZW131068:MZW131092 MZW196604:MZW196628 MZW262140:MZW262164 MZW327676:MZW327700 MZW393212:MZW393236 MZW458748:MZW458772 MZW524284:MZW524308 MZW589820:MZW589844 MZW655356:MZW655380 MZW720892:MZW720916 MZW786428:MZW786452 MZW851964:MZW851988 MZW917500:MZW917524 MZW983036:MZW983060 NJS2:NJS26 NJS65532:NJS65556 NJS131068:NJS131092 NJS196604:NJS196628 NJS262140:NJS262164 NJS327676:NJS327700 NJS393212:NJS393236 NJS458748:NJS458772 NJS524284:NJS524308 NJS589820:NJS589844 NJS655356:NJS655380 NJS720892:NJS720916 NJS786428:NJS786452 NJS851964:NJS851988 NJS917500:NJS917524 NJS983036:NJS983060 NTO2:NTO26 NTO65532:NTO65556 NTO131068:NTO131092 NTO196604:NTO196628 NTO262140:NTO262164 NTO327676:NTO327700 NTO393212:NTO393236 NTO458748:NTO458772 NTO524284:NTO524308 NTO589820:NTO589844 NTO655356:NTO655380 NTO720892:NTO720916 NTO786428:NTO786452 NTO851964:NTO851988 NTO917500:NTO917524 NTO983036:NTO983060 ODK2:ODK26 ODK65532:ODK65556 ODK131068:ODK131092 ODK196604:ODK196628 ODK262140:ODK262164 ODK327676:ODK327700 ODK393212:ODK393236 ODK458748:ODK458772 ODK524284:ODK524308 ODK589820:ODK589844 ODK655356:ODK655380 ODK720892:ODK720916 ODK786428:ODK786452 ODK851964:ODK851988 ODK917500:ODK917524 ODK983036:ODK983060 ONG2:ONG26 ONG65532:ONG65556 ONG131068:ONG131092 ONG196604:ONG196628 ONG262140:ONG262164 ONG327676:ONG327700 ONG393212:ONG393236 ONG458748:ONG458772 ONG524284:ONG524308 ONG589820:ONG589844 ONG655356:ONG655380 ONG720892:ONG720916 ONG786428:ONG786452 ONG851964:ONG851988 ONG917500:ONG917524 ONG983036:ONG983060 OXC2:OXC26 OXC65532:OXC65556 OXC131068:OXC131092 OXC196604:OXC196628 OXC262140:OXC262164 OXC327676:OXC327700 OXC393212:OXC393236 OXC458748:OXC458772 OXC524284:OXC524308 OXC589820:OXC589844 OXC655356:OXC655380 OXC720892:OXC720916 OXC786428:OXC786452 OXC851964:OXC851988 OXC917500:OXC917524 OXC983036:OXC983060 PGY2:PGY26 PGY65532:PGY65556 PGY131068:PGY131092 PGY196604:PGY196628 PGY262140:PGY262164 PGY327676:PGY327700 PGY393212:PGY393236 PGY458748:PGY458772 PGY524284:PGY524308 PGY589820:PGY589844 PGY655356:PGY655380 PGY720892:PGY720916 PGY786428:PGY786452 PGY851964:PGY851988 PGY917500:PGY917524 PGY983036:PGY983060 PQU2:PQU26 PQU65532:PQU65556 PQU131068:PQU131092 PQU196604:PQU196628 PQU262140:PQU262164 PQU327676:PQU327700 PQU393212:PQU393236 PQU458748:PQU458772 PQU524284:PQU524308 PQU589820:PQU589844 PQU655356:PQU655380 PQU720892:PQU720916 PQU786428:PQU786452 PQU851964:PQU851988 PQU917500:PQU917524 PQU983036:PQU983060 QAQ2:QAQ26 QAQ65532:QAQ65556 QAQ131068:QAQ131092 QAQ196604:QAQ196628 QAQ262140:QAQ262164 QAQ327676:QAQ327700 QAQ393212:QAQ393236 QAQ458748:QAQ458772 QAQ524284:QAQ524308 QAQ589820:QAQ589844 QAQ655356:QAQ655380 QAQ720892:QAQ720916 QAQ786428:QAQ786452 QAQ851964:QAQ851988 QAQ917500:QAQ917524 QAQ983036:QAQ983060 QKM2:QKM26 QKM65532:QKM65556 QKM131068:QKM131092 QKM196604:QKM196628 QKM262140:QKM262164 QKM327676:QKM327700 QKM393212:QKM393236 QKM458748:QKM458772 QKM524284:QKM524308 QKM589820:QKM589844 QKM655356:QKM655380 QKM720892:QKM720916 QKM786428:QKM786452 QKM851964:QKM851988 QKM917500:QKM917524 QKM983036:QKM983060 QUI2:QUI26 QUI65532:QUI65556 QUI131068:QUI131092 QUI196604:QUI196628 QUI262140:QUI262164 QUI327676:QUI327700 QUI393212:QUI393236 QUI458748:QUI458772 QUI524284:QUI524308 QUI589820:QUI589844 QUI655356:QUI655380 QUI720892:QUI720916 QUI786428:QUI786452 QUI851964:QUI851988 QUI917500:QUI917524 QUI983036:QUI983060 REE2:REE26 REE65532:REE65556 REE131068:REE131092 REE196604:REE196628 REE262140:REE262164 REE327676:REE327700 REE393212:REE393236 REE458748:REE458772 REE524284:REE524308 REE589820:REE589844 REE655356:REE655380 REE720892:REE720916 REE786428:REE786452 REE851964:REE851988 REE917500:REE917524 REE983036:REE983060 ROA2:ROA26 ROA65532:ROA65556 ROA131068:ROA131092 ROA196604:ROA196628 ROA262140:ROA262164 ROA327676:ROA327700 ROA393212:ROA393236 ROA458748:ROA458772 ROA524284:ROA524308 ROA589820:ROA589844 ROA655356:ROA655380 ROA720892:ROA720916 ROA786428:ROA786452 ROA851964:ROA851988 ROA917500:ROA917524 ROA983036:ROA983060 RXW2:RXW26 RXW65532:RXW65556 RXW131068:RXW131092 RXW196604:RXW196628 RXW262140:RXW262164 RXW327676:RXW327700 RXW393212:RXW393236 RXW458748:RXW458772 RXW524284:RXW524308 RXW589820:RXW589844 RXW655356:RXW655380 RXW720892:RXW720916 RXW786428:RXW786452 RXW851964:RXW851988 RXW917500:RXW917524 RXW983036:RXW983060 SHS2:SHS26 SHS65532:SHS65556 SHS131068:SHS131092 SHS196604:SHS196628 SHS262140:SHS262164 SHS327676:SHS327700 SHS393212:SHS393236 SHS458748:SHS458772 SHS524284:SHS524308 SHS589820:SHS589844 SHS655356:SHS655380 SHS720892:SHS720916 SHS786428:SHS786452 SHS851964:SHS851988 SHS917500:SHS917524 SHS983036:SHS983060 SRO2:SRO26 SRO65532:SRO65556 SRO131068:SRO131092 SRO196604:SRO196628 SRO262140:SRO262164 SRO327676:SRO327700 SRO393212:SRO393236 SRO458748:SRO458772 SRO524284:SRO524308 SRO589820:SRO589844 SRO655356:SRO655380 SRO720892:SRO720916 SRO786428:SRO786452 SRO851964:SRO851988 SRO917500:SRO917524 SRO983036:SRO983060 TBK2:TBK26 TBK65532:TBK65556 TBK131068:TBK131092 TBK196604:TBK196628 TBK262140:TBK262164 TBK327676:TBK327700 TBK393212:TBK393236 TBK458748:TBK458772 TBK524284:TBK524308 TBK589820:TBK589844 TBK655356:TBK655380 TBK720892:TBK720916 TBK786428:TBK786452 TBK851964:TBK851988 TBK917500:TBK917524 TBK983036:TBK983060 TLG2:TLG26 TLG65532:TLG65556 TLG131068:TLG131092 TLG196604:TLG196628 TLG262140:TLG262164 TLG327676:TLG327700 TLG393212:TLG393236 TLG458748:TLG458772 TLG524284:TLG524308 TLG589820:TLG589844 TLG655356:TLG655380 TLG720892:TLG720916 TLG786428:TLG786452 TLG851964:TLG851988 TLG917500:TLG917524 TLG983036:TLG983060 TVC2:TVC26 TVC65532:TVC65556 TVC131068:TVC131092 TVC196604:TVC196628 TVC262140:TVC262164 TVC327676:TVC327700 TVC393212:TVC393236 TVC458748:TVC458772 TVC524284:TVC524308 TVC589820:TVC589844 TVC655356:TVC655380 TVC720892:TVC720916 TVC786428:TVC786452 TVC851964:TVC851988 TVC917500:TVC917524 TVC983036:TVC983060 UEY2:UEY26 UEY65532:UEY65556 UEY131068:UEY131092 UEY196604:UEY196628 UEY262140:UEY262164 UEY327676:UEY327700 UEY393212:UEY393236 UEY458748:UEY458772 UEY524284:UEY524308 UEY589820:UEY589844 UEY655356:UEY655380 UEY720892:UEY720916 UEY786428:UEY786452 UEY851964:UEY851988 UEY917500:UEY917524 UEY983036:UEY983060 UOU2:UOU26 UOU65532:UOU65556 UOU131068:UOU131092 UOU196604:UOU196628 UOU262140:UOU262164 UOU327676:UOU327700 UOU393212:UOU393236 UOU458748:UOU458772 UOU524284:UOU524308 UOU589820:UOU589844 UOU655356:UOU655380 UOU720892:UOU720916 UOU786428:UOU786452 UOU851964:UOU851988 UOU917500:UOU917524 UOU983036:UOU983060 UYQ2:UYQ26 UYQ65532:UYQ65556 UYQ131068:UYQ131092 UYQ196604:UYQ196628 UYQ262140:UYQ262164 UYQ327676:UYQ327700 UYQ393212:UYQ393236 UYQ458748:UYQ458772 UYQ524284:UYQ524308 UYQ589820:UYQ589844 UYQ655356:UYQ655380 UYQ720892:UYQ720916 UYQ786428:UYQ786452 UYQ851964:UYQ851988 UYQ917500:UYQ917524 UYQ983036:UYQ983060 VIM2:VIM26 VIM65532:VIM65556 VIM131068:VIM131092 VIM196604:VIM196628 VIM262140:VIM262164 VIM327676:VIM327700 VIM393212:VIM393236 VIM458748:VIM458772 VIM524284:VIM524308 VIM589820:VIM589844 VIM655356:VIM655380 VIM720892:VIM720916 VIM786428:VIM786452 VIM851964:VIM851988 VIM917500:VIM917524 VIM983036:VIM983060 VSI2:VSI26 VSI65532:VSI65556 VSI131068:VSI131092 VSI196604:VSI196628 VSI262140:VSI262164 VSI327676:VSI327700 VSI393212:VSI393236 VSI458748:VSI458772 VSI524284:VSI524308 VSI589820:VSI589844 VSI655356:VSI655380 VSI720892:VSI720916 VSI786428:VSI786452 VSI851964:VSI851988 VSI917500:VSI917524 VSI983036:VSI983060 WCE2:WCE26 WCE65532:WCE65556 WCE131068:WCE131092 WCE196604:WCE196628 WCE262140:WCE262164 WCE327676:WCE327700 WCE393212:WCE393236 WCE458748:WCE458772 WCE524284:WCE524308 WCE589820:WCE589844 WCE655356:WCE655380 WCE720892:WCE720916 WCE786428:WCE786452 WCE851964:WCE851988 WCE917500:WCE917524 WCE983036:WCE983060 WMA2:WMA26 WMA65532:WMA65556 WMA131068:WMA131092 WMA196604:WMA196628 WMA262140:WMA262164 WMA327676:WMA327700 WMA393212:WMA393236 WMA458748:WMA458772 WMA524284:WMA524308 WMA589820:WMA589844 WMA655356:WMA655380 WMA720892:WMA720916 WMA786428:WMA786452 WMA851964:WMA851988 WMA917500:WMA917524 WMA983036:WMA983060 WVW2:WVW26 WVW65532:WVW65556 WVW131068:WVW131092 WVW196604:WVW196628 WVW262140:WVW262164 WVW327676:WVW327700 WVW393212:WVW393236 WVW458748:WVW458772 WVW524284:WVW524308 WVW589820:WVW589844 WVW655356:WVW655380 WVW720892:WVW720916 WVW786428:WVW786452 WVW851964:WVW851988 WVW917500:WVW917524 WVW983036:WVW983060" xr:uid="{00000000-0002-0000-0800-00000D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6 M65532:M65556 M131068:M131092 M196604:M196628 M262140:M262164 M327676:M327700 M393212:M393236 M458748:M458772 M524284:M524308 M589820:M589844 M655356:M655380 M720892:M720916 M786428:M786452 M851964:M851988 M917500:M917524 M983036:M983060 JJ2:JJ26 JJ65532:JJ65556 JJ131068:JJ131092 JJ196604:JJ196628 JJ262140:JJ262164 JJ327676:JJ327700 JJ393212:JJ393236 JJ458748:JJ458772 JJ524284:JJ524308 JJ589820:JJ589844 JJ655356:JJ655380 JJ720892:JJ720916 JJ786428:JJ786452 JJ851964:JJ851988 JJ917500:JJ917524 JJ983036:JJ983060 TF2:TF26 TF65532:TF65556 TF131068:TF131092 TF196604:TF196628 TF262140:TF262164 TF327676:TF327700 TF393212:TF393236 TF458748:TF458772 TF524284:TF524308 TF589820:TF589844 TF655356:TF655380 TF720892:TF720916 TF786428:TF786452 TF851964:TF851988 TF917500:TF917524 TF983036:TF983060 ADB2:ADB26 ADB65532:ADB65556 ADB131068:ADB131092 ADB196604:ADB196628 ADB262140:ADB262164 ADB327676:ADB327700 ADB393212:ADB393236 ADB458748:ADB458772 ADB524284:ADB524308 ADB589820:ADB589844 ADB655356:ADB655380 ADB720892:ADB720916 ADB786428:ADB786452 ADB851964:ADB851988 ADB917500:ADB917524 ADB983036:ADB983060 AMX2:AMX26 AMX65532:AMX65556 AMX131068:AMX131092 AMX196604:AMX196628 AMX262140:AMX262164 AMX327676:AMX327700 AMX393212:AMX393236 AMX458748:AMX458772 AMX524284:AMX524308 AMX589820:AMX589844 AMX655356:AMX655380 AMX720892:AMX720916 AMX786428:AMX786452 AMX851964:AMX851988 AMX917500:AMX917524 AMX983036:AMX983060 AWT2:AWT26 AWT65532:AWT65556 AWT131068:AWT131092 AWT196604:AWT196628 AWT262140:AWT262164 AWT327676:AWT327700 AWT393212:AWT393236 AWT458748:AWT458772 AWT524284:AWT524308 AWT589820:AWT589844 AWT655356:AWT655380 AWT720892:AWT720916 AWT786428:AWT786452 AWT851964:AWT851988 AWT917500:AWT917524 AWT983036:AWT983060 BGP2:BGP26 BGP65532:BGP65556 BGP131068:BGP131092 BGP196604:BGP196628 BGP262140:BGP262164 BGP327676:BGP327700 BGP393212:BGP393236 BGP458748:BGP458772 BGP524284:BGP524308 BGP589820:BGP589844 BGP655356:BGP655380 BGP720892:BGP720916 BGP786428:BGP786452 BGP851964:BGP851988 BGP917500:BGP917524 BGP983036:BGP983060 BQL2:BQL26 BQL65532:BQL65556 BQL131068:BQL131092 BQL196604:BQL196628 BQL262140:BQL262164 BQL327676:BQL327700 BQL393212:BQL393236 BQL458748:BQL458772 BQL524284:BQL524308 BQL589820:BQL589844 BQL655356:BQL655380 BQL720892:BQL720916 BQL786428:BQL786452 BQL851964:BQL851988 BQL917500:BQL917524 BQL983036:BQL983060 CAH2:CAH26 CAH65532:CAH65556 CAH131068:CAH131092 CAH196604:CAH196628 CAH262140:CAH262164 CAH327676:CAH327700 CAH393212:CAH393236 CAH458748:CAH458772 CAH524284:CAH524308 CAH589820:CAH589844 CAH655356:CAH655380 CAH720892:CAH720916 CAH786428:CAH786452 CAH851964:CAH851988 CAH917500:CAH917524 CAH983036:CAH983060 CKD2:CKD26 CKD65532:CKD65556 CKD131068:CKD131092 CKD196604:CKD196628 CKD262140:CKD262164 CKD327676:CKD327700 CKD393212:CKD393236 CKD458748:CKD458772 CKD524284:CKD524308 CKD589820:CKD589844 CKD655356:CKD655380 CKD720892:CKD720916 CKD786428:CKD786452 CKD851964:CKD851988 CKD917500:CKD917524 CKD983036:CKD983060 CTZ2:CTZ26 CTZ65532:CTZ65556 CTZ131068:CTZ131092 CTZ196604:CTZ196628 CTZ262140:CTZ262164 CTZ327676:CTZ327700 CTZ393212:CTZ393236 CTZ458748:CTZ458772 CTZ524284:CTZ524308 CTZ589820:CTZ589844 CTZ655356:CTZ655380 CTZ720892:CTZ720916 CTZ786428:CTZ786452 CTZ851964:CTZ851988 CTZ917500:CTZ917524 CTZ983036:CTZ983060 DDV2:DDV26 DDV65532:DDV65556 DDV131068:DDV131092 DDV196604:DDV196628 DDV262140:DDV262164 DDV327676:DDV327700 DDV393212:DDV393236 DDV458748:DDV458772 DDV524284:DDV524308 DDV589820:DDV589844 DDV655356:DDV655380 DDV720892:DDV720916 DDV786428:DDV786452 DDV851964:DDV851988 DDV917500:DDV917524 DDV983036:DDV983060 DNR2:DNR26 DNR65532:DNR65556 DNR131068:DNR131092 DNR196604:DNR196628 DNR262140:DNR262164 DNR327676:DNR327700 DNR393212:DNR393236 DNR458748:DNR458772 DNR524284:DNR524308 DNR589820:DNR589844 DNR655356:DNR655380 DNR720892:DNR720916 DNR786428:DNR786452 DNR851964:DNR851988 DNR917500:DNR917524 DNR983036:DNR983060 DXN2:DXN26 DXN65532:DXN65556 DXN131068:DXN131092 DXN196604:DXN196628 DXN262140:DXN262164 DXN327676:DXN327700 DXN393212:DXN393236 DXN458748:DXN458772 DXN524284:DXN524308 DXN589820:DXN589844 DXN655356:DXN655380 DXN720892:DXN720916 DXN786428:DXN786452 DXN851964:DXN851988 DXN917500:DXN917524 DXN983036:DXN983060 EHJ2:EHJ26 EHJ65532:EHJ65556 EHJ131068:EHJ131092 EHJ196604:EHJ196628 EHJ262140:EHJ262164 EHJ327676:EHJ327700 EHJ393212:EHJ393236 EHJ458748:EHJ458772 EHJ524284:EHJ524308 EHJ589820:EHJ589844 EHJ655356:EHJ655380 EHJ720892:EHJ720916 EHJ786428:EHJ786452 EHJ851964:EHJ851988 EHJ917500:EHJ917524 EHJ983036:EHJ983060 ERF2:ERF26 ERF65532:ERF65556 ERF131068:ERF131092 ERF196604:ERF196628 ERF262140:ERF262164 ERF327676:ERF327700 ERF393212:ERF393236 ERF458748:ERF458772 ERF524284:ERF524308 ERF589820:ERF589844 ERF655356:ERF655380 ERF720892:ERF720916 ERF786428:ERF786452 ERF851964:ERF851988 ERF917500:ERF917524 ERF983036:ERF983060 FBB2:FBB26 FBB65532:FBB65556 FBB131068:FBB131092 FBB196604:FBB196628 FBB262140:FBB262164 FBB327676:FBB327700 FBB393212:FBB393236 FBB458748:FBB458772 FBB524284:FBB524308 FBB589820:FBB589844 FBB655356:FBB655380 FBB720892:FBB720916 FBB786428:FBB786452 FBB851964:FBB851988 FBB917500:FBB917524 FBB983036:FBB983060 FKX2:FKX26 FKX65532:FKX65556 FKX131068:FKX131092 FKX196604:FKX196628 FKX262140:FKX262164 FKX327676:FKX327700 FKX393212:FKX393236 FKX458748:FKX458772 FKX524284:FKX524308 FKX589820:FKX589844 FKX655356:FKX655380 FKX720892:FKX720916 FKX786428:FKX786452 FKX851964:FKX851988 FKX917500:FKX917524 FKX983036:FKX983060 FUT2:FUT26 FUT65532:FUT65556 FUT131068:FUT131092 FUT196604:FUT196628 FUT262140:FUT262164 FUT327676:FUT327700 FUT393212:FUT393236 FUT458748:FUT458772 FUT524284:FUT524308 FUT589820:FUT589844 FUT655356:FUT655380 FUT720892:FUT720916 FUT786428:FUT786452 FUT851964:FUT851988 FUT917500:FUT917524 FUT983036:FUT983060 GEP2:GEP26 GEP65532:GEP65556 GEP131068:GEP131092 GEP196604:GEP196628 GEP262140:GEP262164 GEP327676:GEP327700 GEP393212:GEP393236 GEP458748:GEP458772 GEP524284:GEP524308 GEP589820:GEP589844 GEP655356:GEP655380 GEP720892:GEP720916 GEP786428:GEP786452 GEP851964:GEP851988 GEP917500:GEP917524 GEP983036:GEP983060 GOL2:GOL26 GOL65532:GOL65556 GOL131068:GOL131092 GOL196604:GOL196628 GOL262140:GOL262164 GOL327676:GOL327700 GOL393212:GOL393236 GOL458748:GOL458772 GOL524284:GOL524308 GOL589820:GOL589844 GOL655356:GOL655380 GOL720892:GOL720916 GOL786428:GOL786452 GOL851964:GOL851988 GOL917500:GOL917524 GOL983036:GOL983060 GYH2:GYH26 GYH65532:GYH65556 GYH131068:GYH131092 GYH196604:GYH196628 GYH262140:GYH262164 GYH327676:GYH327700 GYH393212:GYH393236 GYH458748:GYH458772 GYH524284:GYH524308 GYH589820:GYH589844 GYH655356:GYH655380 GYH720892:GYH720916 GYH786428:GYH786452 GYH851964:GYH851988 GYH917500:GYH917524 GYH983036:GYH983060 HID2:HID26 HID65532:HID65556 HID131068:HID131092 HID196604:HID196628 HID262140:HID262164 HID327676:HID327700 HID393212:HID393236 HID458748:HID458772 HID524284:HID524308 HID589820:HID589844 HID655356:HID655380 HID720892:HID720916 HID786428:HID786452 HID851964:HID851988 HID917500:HID917524 HID983036:HID983060 HRZ2:HRZ26 HRZ65532:HRZ65556 HRZ131068:HRZ131092 HRZ196604:HRZ196628 HRZ262140:HRZ262164 HRZ327676:HRZ327700 HRZ393212:HRZ393236 HRZ458748:HRZ458772 HRZ524284:HRZ524308 HRZ589820:HRZ589844 HRZ655356:HRZ655380 HRZ720892:HRZ720916 HRZ786428:HRZ786452 HRZ851964:HRZ851988 HRZ917500:HRZ917524 HRZ983036:HRZ983060 IBV2:IBV26 IBV65532:IBV65556 IBV131068:IBV131092 IBV196604:IBV196628 IBV262140:IBV262164 IBV327676:IBV327700 IBV393212:IBV393236 IBV458748:IBV458772 IBV524284:IBV524308 IBV589820:IBV589844 IBV655356:IBV655380 IBV720892:IBV720916 IBV786428:IBV786452 IBV851964:IBV851988 IBV917500:IBV917524 IBV983036:IBV983060 ILR2:ILR26 ILR65532:ILR65556 ILR131068:ILR131092 ILR196604:ILR196628 ILR262140:ILR262164 ILR327676:ILR327700 ILR393212:ILR393236 ILR458748:ILR458772 ILR524284:ILR524308 ILR589820:ILR589844 ILR655356:ILR655380 ILR720892:ILR720916 ILR786428:ILR786452 ILR851964:ILR851988 ILR917500:ILR917524 ILR983036:ILR983060 IVN2:IVN26 IVN65532:IVN65556 IVN131068:IVN131092 IVN196604:IVN196628 IVN262140:IVN262164 IVN327676:IVN327700 IVN393212:IVN393236 IVN458748:IVN458772 IVN524284:IVN524308 IVN589820:IVN589844 IVN655356:IVN655380 IVN720892:IVN720916 IVN786428:IVN786452 IVN851964:IVN851988 IVN917500:IVN917524 IVN983036:IVN983060 JFJ2:JFJ26 JFJ65532:JFJ65556 JFJ131068:JFJ131092 JFJ196604:JFJ196628 JFJ262140:JFJ262164 JFJ327676:JFJ327700 JFJ393212:JFJ393236 JFJ458748:JFJ458772 JFJ524284:JFJ524308 JFJ589820:JFJ589844 JFJ655356:JFJ655380 JFJ720892:JFJ720916 JFJ786428:JFJ786452 JFJ851964:JFJ851988 JFJ917500:JFJ917524 JFJ983036:JFJ983060 JPF2:JPF26 JPF65532:JPF65556 JPF131068:JPF131092 JPF196604:JPF196628 JPF262140:JPF262164 JPF327676:JPF327700 JPF393212:JPF393236 JPF458748:JPF458772 JPF524284:JPF524308 JPF589820:JPF589844 JPF655356:JPF655380 JPF720892:JPF720916 JPF786428:JPF786452 JPF851964:JPF851988 JPF917500:JPF917524 JPF983036:JPF983060 JZB2:JZB26 JZB65532:JZB65556 JZB131068:JZB131092 JZB196604:JZB196628 JZB262140:JZB262164 JZB327676:JZB327700 JZB393212:JZB393236 JZB458748:JZB458772 JZB524284:JZB524308 JZB589820:JZB589844 JZB655356:JZB655380 JZB720892:JZB720916 JZB786428:JZB786452 JZB851964:JZB851988 JZB917500:JZB917524 JZB983036:JZB983060 KIX2:KIX26 KIX65532:KIX65556 KIX131068:KIX131092 KIX196604:KIX196628 KIX262140:KIX262164 KIX327676:KIX327700 KIX393212:KIX393236 KIX458748:KIX458772 KIX524284:KIX524308 KIX589820:KIX589844 KIX655356:KIX655380 KIX720892:KIX720916 KIX786428:KIX786452 KIX851964:KIX851988 KIX917500:KIX917524 KIX983036:KIX983060 KST2:KST26 KST65532:KST65556 KST131068:KST131092 KST196604:KST196628 KST262140:KST262164 KST327676:KST327700 KST393212:KST393236 KST458748:KST458772 KST524284:KST524308 KST589820:KST589844 KST655356:KST655380 KST720892:KST720916 KST786428:KST786452 KST851964:KST851988 KST917500:KST917524 KST983036:KST983060 LCP2:LCP26 LCP65532:LCP65556 LCP131068:LCP131092 LCP196604:LCP196628 LCP262140:LCP262164 LCP327676:LCP327700 LCP393212:LCP393236 LCP458748:LCP458772 LCP524284:LCP524308 LCP589820:LCP589844 LCP655356:LCP655380 LCP720892:LCP720916 LCP786428:LCP786452 LCP851964:LCP851988 LCP917500:LCP917524 LCP983036:LCP983060 LML2:LML26 LML65532:LML65556 LML131068:LML131092 LML196604:LML196628 LML262140:LML262164 LML327676:LML327700 LML393212:LML393236 LML458748:LML458772 LML524284:LML524308 LML589820:LML589844 LML655356:LML655380 LML720892:LML720916 LML786428:LML786452 LML851964:LML851988 LML917500:LML917524 LML983036:LML983060 LWH2:LWH26 LWH65532:LWH65556 LWH131068:LWH131092 LWH196604:LWH196628 LWH262140:LWH262164 LWH327676:LWH327700 LWH393212:LWH393236 LWH458748:LWH458772 LWH524284:LWH524308 LWH589820:LWH589844 LWH655356:LWH655380 LWH720892:LWH720916 LWH786428:LWH786452 LWH851964:LWH851988 LWH917500:LWH917524 LWH983036:LWH983060 MGD2:MGD26 MGD65532:MGD65556 MGD131068:MGD131092 MGD196604:MGD196628 MGD262140:MGD262164 MGD327676:MGD327700 MGD393212:MGD393236 MGD458748:MGD458772 MGD524284:MGD524308 MGD589820:MGD589844 MGD655356:MGD655380 MGD720892:MGD720916 MGD786428:MGD786452 MGD851964:MGD851988 MGD917500:MGD917524 MGD983036:MGD983060 MPZ2:MPZ26 MPZ65532:MPZ65556 MPZ131068:MPZ131092 MPZ196604:MPZ196628 MPZ262140:MPZ262164 MPZ327676:MPZ327700 MPZ393212:MPZ393236 MPZ458748:MPZ458772 MPZ524284:MPZ524308 MPZ589820:MPZ589844 MPZ655356:MPZ655380 MPZ720892:MPZ720916 MPZ786428:MPZ786452 MPZ851964:MPZ851988 MPZ917500:MPZ917524 MPZ983036:MPZ983060 MZV2:MZV26 MZV65532:MZV65556 MZV131068:MZV131092 MZV196604:MZV196628 MZV262140:MZV262164 MZV327676:MZV327700 MZV393212:MZV393236 MZV458748:MZV458772 MZV524284:MZV524308 MZV589820:MZV589844 MZV655356:MZV655380 MZV720892:MZV720916 MZV786428:MZV786452 MZV851964:MZV851988 MZV917500:MZV917524 MZV983036:MZV983060 NJR2:NJR26 NJR65532:NJR65556 NJR131068:NJR131092 NJR196604:NJR196628 NJR262140:NJR262164 NJR327676:NJR327700 NJR393212:NJR393236 NJR458748:NJR458772 NJR524284:NJR524308 NJR589820:NJR589844 NJR655356:NJR655380 NJR720892:NJR720916 NJR786428:NJR786452 NJR851964:NJR851988 NJR917500:NJR917524 NJR983036:NJR983060 NTN2:NTN26 NTN65532:NTN65556 NTN131068:NTN131092 NTN196604:NTN196628 NTN262140:NTN262164 NTN327676:NTN327700 NTN393212:NTN393236 NTN458748:NTN458772 NTN524284:NTN524308 NTN589820:NTN589844 NTN655356:NTN655380 NTN720892:NTN720916 NTN786428:NTN786452 NTN851964:NTN851988 NTN917500:NTN917524 NTN983036:NTN983060 ODJ2:ODJ26 ODJ65532:ODJ65556 ODJ131068:ODJ131092 ODJ196604:ODJ196628 ODJ262140:ODJ262164 ODJ327676:ODJ327700 ODJ393212:ODJ393236 ODJ458748:ODJ458772 ODJ524284:ODJ524308 ODJ589820:ODJ589844 ODJ655356:ODJ655380 ODJ720892:ODJ720916 ODJ786428:ODJ786452 ODJ851964:ODJ851988 ODJ917500:ODJ917524 ODJ983036:ODJ983060 ONF2:ONF26 ONF65532:ONF65556 ONF131068:ONF131092 ONF196604:ONF196628 ONF262140:ONF262164 ONF327676:ONF327700 ONF393212:ONF393236 ONF458748:ONF458772 ONF524284:ONF524308 ONF589820:ONF589844 ONF655356:ONF655380 ONF720892:ONF720916 ONF786428:ONF786452 ONF851964:ONF851988 ONF917500:ONF917524 ONF983036:ONF983060 OXB2:OXB26 OXB65532:OXB65556 OXB131068:OXB131092 OXB196604:OXB196628 OXB262140:OXB262164 OXB327676:OXB327700 OXB393212:OXB393236 OXB458748:OXB458772 OXB524284:OXB524308 OXB589820:OXB589844 OXB655356:OXB655380 OXB720892:OXB720916 OXB786428:OXB786452 OXB851964:OXB851988 OXB917500:OXB917524 OXB983036:OXB983060 PGX2:PGX26 PGX65532:PGX65556 PGX131068:PGX131092 PGX196604:PGX196628 PGX262140:PGX262164 PGX327676:PGX327700 PGX393212:PGX393236 PGX458748:PGX458772 PGX524284:PGX524308 PGX589820:PGX589844 PGX655356:PGX655380 PGX720892:PGX720916 PGX786428:PGX786452 PGX851964:PGX851988 PGX917500:PGX917524 PGX983036:PGX983060 PQT2:PQT26 PQT65532:PQT65556 PQT131068:PQT131092 PQT196604:PQT196628 PQT262140:PQT262164 PQT327676:PQT327700 PQT393212:PQT393236 PQT458748:PQT458772 PQT524284:PQT524308 PQT589820:PQT589844 PQT655356:PQT655380 PQT720892:PQT720916 PQT786428:PQT786452 PQT851964:PQT851988 PQT917500:PQT917524 PQT983036:PQT983060 QAP2:QAP26 QAP65532:QAP65556 QAP131068:QAP131092 QAP196604:QAP196628 QAP262140:QAP262164 QAP327676:QAP327700 QAP393212:QAP393236 QAP458748:QAP458772 QAP524284:QAP524308 QAP589820:QAP589844 QAP655356:QAP655380 QAP720892:QAP720916 QAP786428:QAP786452 QAP851964:QAP851988 QAP917500:QAP917524 QAP983036:QAP983060 QKL2:QKL26 QKL65532:QKL65556 QKL131068:QKL131092 QKL196604:QKL196628 QKL262140:QKL262164 QKL327676:QKL327700 QKL393212:QKL393236 QKL458748:QKL458772 QKL524284:QKL524308 QKL589820:QKL589844 QKL655356:QKL655380 QKL720892:QKL720916 QKL786428:QKL786452 QKL851964:QKL851988 QKL917500:QKL917524 QKL983036:QKL983060 QUH2:QUH26 QUH65532:QUH65556 QUH131068:QUH131092 QUH196604:QUH196628 QUH262140:QUH262164 QUH327676:QUH327700 QUH393212:QUH393236 QUH458748:QUH458772 QUH524284:QUH524308 QUH589820:QUH589844 QUH655356:QUH655380 QUH720892:QUH720916 QUH786428:QUH786452 QUH851964:QUH851988 QUH917500:QUH917524 QUH983036:QUH983060 RED2:RED26 RED65532:RED65556 RED131068:RED131092 RED196604:RED196628 RED262140:RED262164 RED327676:RED327700 RED393212:RED393236 RED458748:RED458772 RED524284:RED524308 RED589820:RED589844 RED655356:RED655380 RED720892:RED720916 RED786428:RED786452 RED851964:RED851988 RED917500:RED917524 RED983036:RED983060 RNZ2:RNZ26 RNZ65532:RNZ65556 RNZ131068:RNZ131092 RNZ196604:RNZ196628 RNZ262140:RNZ262164 RNZ327676:RNZ327700 RNZ393212:RNZ393236 RNZ458748:RNZ458772 RNZ524284:RNZ524308 RNZ589820:RNZ589844 RNZ655356:RNZ655380 RNZ720892:RNZ720916 RNZ786428:RNZ786452 RNZ851964:RNZ851988 RNZ917500:RNZ917524 RNZ983036:RNZ983060 RXV2:RXV26 RXV65532:RXV65556 RXV131068:RXV131092 RXV196604:RXV196628 RXV262140:RXV262164 RXV327676:RXV327700 RXV393212:RXV393236 RXV458748:RXV458772 RXV524284:RXV524308 RXV589820:RXV589844 RXV655356:RXV655380 RXV720892:RXV720916 RXV786428:RXV786452 RXV851964:RXV851988 RXV917500:RXV917524 RXV983036:RXV983060 SHR2:SHR26 SHR65532:SHR65556 SHR131068:SHR131092 SHR196604:SHR196628 SHR262140:SHR262164 SHR327676:SHR327700 SHR393212:SHR393236 SHR458748:SHR458772 SHR524284:SHR524308 SHR589820:SHR589844 SHR655356:SHR655380 SHR720892:SHR720916 SHR786428:SHR786452 SHR851964:SHR851988 SHR917500:SHR917524 SHR983036:SHR983060 SRN2:SRN26 SRN65532:SRN65556 SRN131068:SRN131092 SRN196604:SRN196628 SRN262140:SRN262164 SRN327676:SRN327700 SRN393212:SRN393236 SRN458748:SRN458772 SRN524284:SRN524308 SRN589820:SRN589844 SRN655356:SRN655380 SRN720892:SRN720916 SRN786428:SRN786452 SRN851964:SRN851988 SRN917500:SRN917524 SRN983036:SRN983060 TBJ2:TBJ26 TBJ65532:TBJ65556 TBJ131068:TBJ131092 TBJ196604:TBJ196628 TBJ262140:TBJ262164 TBJ327676:TBJ327700 TBJ393212:TBJ393236 TBJ458748:TBJ458772 TBJ524284:TBJ524308 TBJ589820:TBJ589844 TBJ655356:TBJ655380 TBJ720892:TBJ720916 TBJ786428:TBJ786452 TBJ851964:TBJ851988 TBJ917500:TBJ917524 TBJ983036:TBJ983060 TLF2:TLF26 TLF65532:TLF65556 TLF131068:TLF131092 TLF196604:TLF196628 TLF262140:TLF262164 TLF327676:TLF327700 TLF393212:TLF393236 TLF458748:TLF458772 TLF524284:TLF524308 TLF589820:TLF589844 TLF655356:TLF655380 TLF720892:TLF720916 TLF786428:TLF786452 TLF851964:TLF851988 TLF917500:TLF917524 TLF983036:TLF983060 TVB2:TVB26 TVB65532:TVB65556 TVB131068:TVB131092 TVB196604:TVB196628 TVB262140:TVB262164 TVB327676:TVB327700 TVB393212:TVB393236 TVB458748:TVB458772 TVB524284:TVB524308 TVB589820:TVB589844 TVB655356:TVB655380 TVB720892:TVB720916 TVB786428:TVB786452 TVB851964:TVB851988 TVB917500:TVB917524 TVB983036:TVB983060 UEX2:UEX26 UEX65532:UEX65556 UEX131068:UEX131092 UEX196604:UEX196628 UEX262140:UEX262164 UEX327676:UEX327700 UEX393212:UEX393236 UEX458748:UEX458772 UEX524284:UEX524308 UEX589820:UEX589844 UEX655356:UEX655380 UEX720892:UEX720916 UEX786428:UEX786452 UEX851964:UEX851988 UEX917500:UEX917524 UEX983036:UEX983060 UOT2:UOT26 UOT65532:UOT65556 UOT131068:UOT131092 UOT196604:UOT196628 UOT262140:UOT262164 UOT327676:UOT327700 UOT393212:UOT393236 UOT458748:UOT458772 UOT524284:UOT524308 UOT589820:UOT589844 UOT655356:UOT655380 UOT720892:UOT720916 UOT786428:UOT786452 UOT851964:UOT851988 UOT917500:UOT917524 UOT983036:UOT983060 UYP2:UYP26 UYP65532:UYP65556 UYP131068:UYP131092 UYP196604:UYP196628 UYP262140:UYP262164 UYP327676:UYP327700 UYP393212:UYP393236 UYP458748:UYP458772 UYP524284:UYP524308 UYP589820:UYP589844 UYP655356:UYP655380 UYP720892:UYP720916 UYP786428:UYP786452 UYP851964:UYP851988 UYP917500:UYP917524 UYP983036:UYP983060 VIL2:VIL26 VIL65532:VIL65556 VIL131068:VIL131092 VIL196604:VIL196628 VIL262140:VIL262164 VIL327676:VIL327700 VIL393212:VIL393236 VIL458748:VIL458772 VIL524284:VIL524308 VIL589820:VIL589844 VIL655356:VIL655380 VIL720892:VIL720916 VIL786428:VIL786452 VIL851964:VIL851988 VIL917500:VIL917524 VIL983036:VIL983060 VSH2:VSH26 VSH65532:VSH65556 VSH131068:VSH131092 VSH196604:VSH196628 VSH262140:VSH262164 VSH327676:VSH327700 VSH393212:VSH393236 VSH458748:VSH458772 VSH524284:VSH524308 VSH589820:VSH589844 VSH655356:VSH655380 VSH720892:VSH720916 VSH786428:VSH786452 VSH851964:VSH851988 VSH917500:VSH917524 VSH983036:VSH983060 WCD2:WCD26 WCD65532:WCD65556 WCD131068:WCD131092 WCD196604:WCD196628 WCD262140:WCD262164 WCD327676:WCD327700 WCD393212:WCD393236 WCD458748:WCD458772 WCD524284:WCD524308 WCD589820:WCD589844 WCD655356:WCD655380 WCD720892:WCD720916 WCD786428:WCD786452 WCD851964:WCD851988 WCD917500:WCD917524 WCD983036:WCD983060 WLZ2:WLZ26 WLZ65532:WLZ65556 WLZ131068:WLZ131092 WLZ196604:WLZ196628 WLZ262140:WLZ262164 WLZ327676:WLZ327700 WLZ393212:WLZ393236 WLZ458748:WLZ458772 WLZ524284:WLZ524308 WLZ589820:WLZ589844 WLZ655356:WLZ655380 WLZ720892:WLZ720916 WLZ786428:WLZ786452 WLZ851964:WLZ851988 WLZ917500:WLZ917524 WLZ983036:WLZ983060 WVV2:WVV26 WVV65532:WVV65556 WVV131068:WVV131092 WVV196604:WVV196628 WVV262140:WVV262164 WVV327676:WVV327700 WVV393212:WVV393236 WVV458748:WVV458772 WVV524284:WVV524308 WVV589820:WVV589844 WVV655356:WVV655380 WVV720892:WVV720916 WVV786428:WVV786452 WVV851964:WVV851988 WVV917500:WVV917524 WVV983036:WVV983060" xr:uid="{00000000-0002-0000-0800-00000E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2 E14:E26 E65537:E65556 E131073:E131092 E196609:E196628 E262145:E262164 E327681:E327700 E393217:E393236 E458753:E458772 E524289:E524308 E589825:E589844 E655361:E655380 E720897:E720916 E786433:E786452 E851969:E851988 E917505:E917524 E983041:E983060 JB7:JB26 JB65537:JB65556 JB131073:JB131092 JB196609:JB196628 JB262145:JB262164 JB327681:JB327700 JB393217:JB393236 JB458753:JB458772 JB524289:JB524308 JB589825:JB589844 JB655361:JB655380 JB720897:JB720916 JB786433:JB786452 JB851969:JB851988 JB917505:JB917524 JB983041:JB983060 SX7:SX26 SX65537:SX65556 SX131073:SX131092 SX196609:SX196628 SX262145:SX262164 SX327681:SX327700 SX393217:SX393236 SX458753:SX458772 SX524289:SX524308 SX589825:SX589844 SX655361:SX655380 SX720897:SX720916 SX786433:SX786452 SX851969:SX851988 SX917505:SX917524 SX983041:SX983060 ACT7:ACT26 ACT65537:ACT65556 ACT131073:ACT131092 ACT196609:ACT196628 ACT262145:ACT262164 ACT327681:ACT327700 ACT393217:ACT393236 ACT458753:ACT458772 ACT524289:ACT524308 ACT589825:ACT589844 ACT655361:ACT655380 ACT720897:ACT720916 ACT786433:ACT786452 ACT851969:ACT851988 ACT917505:ACT917524 ACT983041:ACT983060 AMP7:AMP26 AMP65537:AMP65556 AMP131073:AMP131092 AMP196609:AMP196628 AMP262145:AMP262164 AMP327681:AMP327700 AMP393217:AMP393236 AMP458753:AMP458772 AMP524289:AMP524308 AMP589825:AMP589844 AMP655361:AMP655380 AMP720897:AMP720916 AMP786433:AMP786452 AMP851969:AMP851988 AMP917505:AMP917524 AMP983041:AMP983060 AWL7:AWL26 AWL65537:AWL65556 AWL131073:AWL131092 AWL196609:AWL196628 AWL262145:AWL262164 AWL327681:AWL327700 AWL393217:AWL393236 AWL458753:AWL458772 AWL524289:AWL524308 AWL589825:AWL589844 AWL655361:AWL655380 AWL720897:AWL720916 AWL786433:AWL786452 AWL851969:AWL851988 AWL917505:AWL917524 AWL983041:AWL983060 BGH7:BGH26 BGH65537:BGH65556 BGH131073:BGH131092 BGH196609:BGH196628 BGH262145:BGH262164 BGH327681:BGH327700 BGH393217:BGH393236 BGH458753:BGH458772 BGH524289:BGH524308 BGH589825:BGH589844 BGH655361:BGH655380 BGH720897:BGH720916 BGH786433:BGH786452 BGH851969:BGH851988 BGH917505:BGH917524 BGH983041:BGH983060 BQD7:BQD26 BQD65537:BQD65556 BQD131073:BQD131092 BQD196609:BQD196628 BQD262145:BQD262164 BQD327681:BQD327700 BQD393217:BQD393236 BQD458753:BQD458772 BQD524289:BQD524308 BQD589825:BQD589844 BQD655361:BQD655380 BQD720897:BQD720916 BQD786433:BQD786452 BQD851969:BQD851988 BQD917505:BQD917524 BQD983041:BQD983060 BZZ7:BZZ26 BZZ65537:BZZ65556 BZZ131073:BZZ131092 BZZ196609:BZZ196628 BZZ262145:BZZ262164 BZZ327681:BZZ327700 BZZ393217:BZZ393236 BZZ458753:BZZ458772 BZZ524289:BZZ524308 BZZ589825:BZZ589844 BZZ655361:BZZ655380 BZZ720897:BZZ720916 BZZ786433:BZZ786452 BZZ851969:BZZ851988 BZZ917505:BZZ917524 BZZ983041:BZZ983060 CJV7:CJV26 CJV65537:CJV65556 CJV131073:CJV131092 CJV196609:CJV196628 CJV262145:CJV262164 CJV327681:CJV327700 CJV393217:CJV393236 CJV458753:CJV458772 CJV524289:CJV524308 CJV589825:CJV589844 CJV655361:CJV655380 CJV720897:CJV720916 CJV786433:CJV786452 CJV851969:CJV851988 CJV917505:CJV917524 CJV983041:CJV983060 CTR7:CTR26 CTR65537:CTR65556 CTR131073:CTR131092 CTR196609:CTR196628 CTR262145:CTR262164 CTR327681:CTR327700 CTR393217:CTR393236 CTR458753:CTR458772 CTR524289:CTR524308 CTR589825:CTR589844 CTR655361:CTR655380 CTR720897:CTR720916 CTR786433:CTR786452 CTR851969:CTR851988 CTR917505:CTR917524 CTR983041:CTR983060 DDN7:DDN26 DDN65537:DDN65556 DDN131073:DDN131092 DDN196609:DDN196628 DDN262145:DDN262164 DDN327681:DDN327700 DDN393217:DDN393236 DDN458753:DDN458772 DDN524289:DDN524308 DDN589825:DDN589844 DDN655361:DDN655380 DDN720897:DDN720916 DDN786433:DDN786452 DDN851969:DDN851988 DDN917505:DDN917524 DDN983041:DDN983060 DNJ7:DNJ26 DNJ65537:DNJ65556 DNJ131073:DNJ131092 DNJ196609:DNJ196628 DNJ262145:DNJ262164 DNJ327681:DNJ327700 DNJ393217:DNJ393236 DNJ458753:DNJ458772 DNJ524289:DNJ524308 DNJ589825:DNJ589844 DNJ655361:DNJ655380 DNJ720897:DNJ720916 DNJ786433:DNJ786452 DNJ851969:DNJ851988 DNJ917505:DNJ917524 DNJ983041:DNJ983060 DXF7:DXF26 DXF65537:DXF65556 DXF131073:DXF131092 DXF196609:DXF196628 DXF262145:DXF262164 DXF327681:DXF327700 DXF393217:DXF393236 DXF458753:DXF458772 DXF524289:DXF524308 DXF589825:DXF589844 DXF655361:DXF655380 DXF720897:DXF720916 DXF786433:DXF786452 DXF851969:DXF851988 DXF917505:DXF917524 DXF983041:DXF983060 EHB7:EHB26 EHB65537:EHB65556 EHB131073:EHB131092 EHB196609:EHB196628 EHB262145:EHB262164 EHB327681:EHB327700 EHB393217:EHB393236 EHB458753:EHB458772 EHB524289:EHB524308 EHB589825:EHB589844 EHB655361:EHB655380 EHB720897:EHB720916 EHB786433:EHB786452 EHB851969:EHB851988 EHB917505:EHB917524 EHB983041:EHB983060 EQX7:EQX26 EQX65537:EQX65556 EQX131073:EQX131092 EQX196609:EQX196628 EQX262145:EQX262164 EQX327681:EQX327700 EQX393217:EQX393236 EQX458753:EQX458772 EQX524289:EQX524308 EQX589825:EQX589844 EQX655361:EQX655380 EQX720897:EQX720916 EQX786433:EQX786452 EQX851969:EQX851988 EQX917505:EQX917524 EQX983041:EQX983060 FAT7:FAT26 FAT65537:FAT65556 FAT131073:FAT131092 FAT196609:FAT196628 FAT262145:FAT262164 FAT327681:FAT327700 FAT393217:FAT393236 FAT458753:FAT458772 FAT524289:FAT524308 FAT589825:FAT589844 FAT655361:FAT655380 FAT720897:FAT720916 FAT786433:FAT786452 FAT851969:FAT851988 FAT917505:FAT917524 FAT983041:FAT983060 FKP7:FKP26 FKP65537:FKP65556 FKP131073:FKP131092 FKP196609:FKP196628 FKP262145:FKP262164 FKP327681:FKP327700 FKP393217:FKP393236 FKP458753:FKP458772 FKP524289:FKP524308 FKP589825:FKP589844 FKP655361:FKP655380 FKP720897:FKP720916 FKP786433:FKP786452 FKP851969:FKP851988 FKP917505:FKP917524 FKP983041:FKP983060 FUL7:FUL26 FUL65537:FUL65556 FUL131073:FUL131092 FUL196609:FUL196628 FUL262145:FUL262164 FUL327681:FUL327700 FUL393217:FUL393236 FUL458753:FUL458772 FUL524289:FUL524308 FUL589825:FUL589844 FUL655361:FUL655380 FUL720897:FUL720916 FUL786433:FUL786452 FUL851969:FUL851988 FUL917505:FUL917524 FUL983041:FUL983060 GEH7:GEH26 GEH65537:GEH65556 GEH131073:GEH131092 GEH196609:GEH196628 GEH262145:GEH262164 GEH327681:GEH327700 GEH393217:GEH393236 GEH458753:GEH458772 GEH524289:GEH524308 GEH589825:GEH589844 GEH655361:GEH655380 GEH720897:GEH720916 GEH786433:GEH786452 GEH851969:GEH851988 GEH917505:GEH917524 GEH983041:GEH983060 GOD7:GOD26 GOD65537:GOD65556 GOD131073:GOD131092 GOD196609:GOD196628 GOD262145:GOD262164 GOD327681:GOD327700 GOD393217:GOD393236 GOD458753:GOD458772 GOD524289:GOD524308 GOD589825:GOD589844 GOD655361:GOD655380 GOD720897:GOD720916 GOD786433:GOD786452 GOD851969:GOD851988 GOD917505:GOD917524 GOD983041:GOD983060 GXZ7:GXZ26 GXZ65537:GXZ65556 GXZ131073:GXZ131092 GXZ196609:GXZ196628 GXZ262145:GXZ262164 GXZ327681:GXZ327700 GXZ393217:GXZ393236 GXZ458753:GXZ458772 GXZ524289:GXZ524308 GXZ589825:GXZ589844 GXZ655361:GXZ655380 GXZ720897:GXZ720916 GXZ786433:GXZ786452 GXZ851969:GXZ851988 GXZ917505:GXZ917524 GXZ983041:GXZ983060 HHV7:HHV26 HHV65537:HHV65556 HHV131073:HHV131092 HHV196609:HHV196628 HHV262145:HHV262164 HHV327681:HHV327700 HHV393217:HHV393236 HHV458753:HHV458772 HHV524289:HHV524308 HHV589825:HHV589844 HHV655361:HHV655380 HHV720897:HHV720916 HHV786433:HHV786452 HHV851969:HHV851988 HHV917505:HHV917524 HHV983041:HHV983060 HRR7:HRR26 HRR65537:HRR65556 HRR131073:HRR131092 HRR196609:HRR196628 HRR262145:HRR262164 HRR327681:HRR327700 HRR393217:HRR393236 HRR458753:HRR458772 HRR524289:HRR524308 HRR589825:HRR589844 HRR655361:HRR655380 HRR720897:HRR720916 HRR786433:HRR786452 HRR851969:HRR851988 HRR917505:HRR917524 HRR983041:HRR983060 IBN7:IBN26 IBN65537:IBN65556 IBN131073:IBN131092 IBN196609:IBN196628 IBN262145:IBN262164 IBN327681:IBN327700 IBN393217:IBN393236 IBN458753:IBN458772 IBN524289:IBN524308 IBN589825:IBN589844 IBN655361:IBN655380 IBN720897:IBN720916 IBN786433:IBN786452 IBN851969:IBN851988 IBN917505:IBN917524 IBN983041:IBN983060 ILJ7:ILJ26 ILJ65537:ILJ65556 ILJ131073:ILJ131092 ILJ196609:ILJ196628 ILJ262145:ILJ262164 ILJ327681:ILJ327700 ILJ393217:ILJ393236 ILJ458753:ILJ458772 ILJ524289:ILJ524308 ILJ589825:ILJ589844 ILJ655361:ILJ655380 ILJ720897:ILJ720916 ILJ786433:ILJ786452 ILJ851969:ILJ851988 ILJ917505:ILJ917524 ILJ983041:ILJ983060 IVF7:IVF26 IVF65537:IVF65556 IVF131073:IVF131092 IVF196609:IVF196628 IVF262145:IVF262164 IVF327681:IVF327700 IVF393217:IVF393236 IVF458753:IVF458772 IVF524289:IVF524308 IVF589825:IVF589844 IVF655361:IVF655380 IVF720897:IVF720916 IVF786433:IVF786452 IVF851969:IVF851988 IVF917505:IVF917524 IVF983041:IVF983060 JFB7:JFB26 JFB65537:JFB65556 JFB131073:JFB131092 JFB196609:JFB196628 JFB262145:JFB262164 JFB327681:JFB327700 JFB393217:JFB393236 JFB458753:JFB458772 JFB524289:JFB524308 JFB589825:JFB589844 JFB655361:JFB655380 JFB720897:JFB720916 JFB786433:JFB786452 JFB851969:JFB851988 JFB917505:JFB917524 JFB983041:JFB983060 JOX7:JOX26 JOX65537:JOX65556 JOX131073:JOX131092 JOX196609:JOX196628 JOX262145:JOX262164 JOX327681:JOX327700 JOX393217:JOX393236 JOX458753:JOX458772 JOX524289:JOX524308 JOX589825:JOX589844 JOX655361:JOX655380 JOX720897:JOX720916 JOX786433:JOX786452 JOX851969:JOX851988 JOX917505:JOX917524 JOX983041:JOX983060 JYT7:JYT26 JYT65537:JYT65556 JYT131073:JYT131092 JYT196609:JYT196628 JYT262145:JYT262164 JYT327681:JYT327700 JYT393217:JYT393236 JYT458753:JYT458772 JYT524289:JYT524308 JYT589825:JYT589844 JYT655361:JYT655380 JYT720897:JYT720916 JYT786433:JYT786452 JYT851969:JYT851988 JYT917505:JYT917524 JYT983041:JYT983060 KIP7:KIP26 KIP65537:KIP65556 KIP131073:KIP131092 KIP196609:KIP196628 KIP262145:KIP262164 KIP327681:KIP327700 KIP393217:KIP393236 KIP458753:KIP458772 KIP524289:KIP524308 KIP589825:KIP589844 KIP655361:KIP655380 KIP720897:KIP720916 KIP786433:KIP786452 KIP851969:KIP851988 KIP917505:KIP917524 KIP983041:KIP983060 KSL7:KSL26 KSL65537:KSL65556 KSL131073:KSL131092 KSL196609:KSL196628 KSL262145:KSL262164 KSL327681:KSL327700 KSL393217:KSL393236 KSL458753:KSL458772 KSL524289:KSL524308 KSL589825:KSL589844 KSL655361:KSL655380 KSL720897:KSL720916 KSL786433:KSL786452 KSL851969:KSL851988 KSL917505:KSL917524 KSL983041:KSL983060 LCH7:LCH26 LCH65537:LCH65556 LCH131073:LCH131092 LCH196609:LCH196628 LCH262145:LCH262164 LCH327681:LCH327700 LCH393217:LCH393236 LCH458753:LCH458772 LCH524289:LCH524308 LCH589825:LCH589844 LCH655361:LCH655380 LCH720897:LCH720916 LCH786433:LCH786452 LCH851969:LCH851988 LCH917505:LCH917524 LCH983041:LCH983060 LMD7:LMD26 LMD65537:LMD65556 LMD131073:LMD131092 LMD196609:LMD196628 LMD262145:LMD262164 LMD327681:LMD327700 LMD393217:LMD393236 LMD458753:LMD458772 LMD524289:LMD524308 LMD589825:LMD589844 LMD655361:LMD655380 LMD720897:LMD720916 LMD786433:LMD786452 LMD851969:LMD851988 LMD917505:LMD917524 LMD983041:LMD983060 LVZ7:LVZ26 LVZ65537:LVZ65556 LVZ131073:LVZ131092 LVZ196609:LVZ196628 LVZ262145:LVZ262164 LVZ327681:LVZ327700 LVZ393217:LVZ393236 LVZ458753:LVZ458772 LVZ524289:LVZ524308 LVZ589825:LVZ589844 LVZ655361:LVZ655380 LVZ720897:LVZ720916 LVZ786433:LVZ786452 LVZ851969:LVZ851988 LVZ917505:LVZ917524 LVZ983041:LVZ983060 MFV7:MFV26 MFV65537:MFV65556 MFV131073:MFV131092 MFV196609:MFV196628 MFV262145:MFV262164 MFV327681:MFV327700 MFV393217:MFV393236 MFV458753:MFV458772 MFV524289:MFV524308 MFV589825:MFV589844 MFV655361:MFV655380 MFV720897:MFV720916 MFV786433:MFV786452 MFV851969:MFV851988 MFV917505:MFV917524 MFV983041:MFV983060 MPR7:MPR26 MPR65537:MPR65556 MPR131073:MPR131092 MPR196609:MPR196628 MPR262145:MPR262164 MPR327681:MPR327700 MPR393217:MPR393236 MPR458753:MPR458772 MPR524289:MPR524308 MPR589825:MPR589844 MPR655361:MPR655380 MPR720897:MPR720916 MPR786433:MPR786452 MPR851969:MPR851988 MPR917505:MPR917524 MPR983041:MPR983060 MZN7:MZN26 MZN65537:MZN65556 MZN131073:MZN131092 MZN196609:MZN196628 MZN262145:MZN262164 MZN327681:MZN327700 MZN393217:MZN393236 MZN458753:MZN458772 MZN524289:MZN524308 MZN589825:MZN589844 MZN655361:MZN655380 MZN720897:MZN720916 MZN786433:MZN786452 MZN851969:MZN851988 MZN917505:MZN917524 MZN983041:MZN983060 NJJ7:NJJ26 NJJ65537:NJJ65556 NJJ131073:NJJ131092 NJJ196609:NJJ196628 NJJ262145:NJJ262164 NJJ327681:NJJ327700 NJJ393217:NJJ393236 NJJ458753:NJJ458772 NJJ524289:NJJ524308 NJJ589825:NJJ589844 NJJ655361:NJJ655380 NJJ720897:NJJ720916 NJJ786433:NJJ786452 NJJ851969:NJJ851988 NJJ917505:NJJ917524 NJJ983041:NJJ983060 NTF7:NTF26 NTF65537:NTF65556 NTF131073:NTF131092 NTF196609:NTF196628 NTF262145:NTF262164 NTF327681:NTF327700 NTF393217:NTF393236 NTF458753:NTF458772 NTF524289:NTF524308 NTF589825:NTF589844 NTF655361:NTF655380 NTF720897:NTF720916 NTF786433:NTF786452 NTF851969:NTF851988 NTF917505:NTF917524 NTF983041:NTF983060 ODB7:ODB26 ODB65537:ODB65556 ODB131073:ODB131092 ODB196609:ODB196628 ODB262145:ODB262164 ODB327681:ODB327700 ODB393217:ODB393236 ODB458753:ODB458772 ODB524289:ODB524308 ODB589825:ODB589844 ODB655361:ODB655380 ODB720897:ODB720916 ODB786433:ODB786452 ODB851969:ODB851988 ODB917505:ODB917524 ODB983041:ODB983060 OMX7:OMX26 OMX65537:OMX65556 OMX131073:OMX131092 OMX196609:OMX196628 OMX262145:OMX262164 OMX327681:OMX327700 OMX393217:OMX393236 OMX458753:OMX458772 OMX524289:OMX524308 OMX589825:OMX589844 OMX655361:OMX655380 OMX720897:OMX720916 OMX786433:OMX786452 OMX851969:OMX851988 OMX917505:OMX917524 OMX983041:OMX983060 OWT7:OWT26 OWT65537:OWT65556 OWT131073:OWT131092 OWT196609:OWT196628 OWT262145:OWT262164 OWT327681:OWT327700 OWT393217:OWT393236 OWT458753:OWT458772 OWT524289:OWT524308 OWT589825:OWT589844 OWT655361:OWT655380 OWT720897:OWT720916 OWT786433:OWT786452 OWT851969:OWT851988 OWT917505:OWT917524 OWT983041:OWT983060 PGP7:PGP26 PGP65537:PGP65556 PGP131073:PGP131092 PGP196609:PGP196628 PGP262145:PGP262164 PGP327681:PGP327700 PGP393217:PGP393236 PGP458753:PGP458772 PGP524289:PGP524308 PGP589825:PGP589844 PGP655361:PGP655380 PGP720897:PGP720916 PGP786433:PGP786452 PGP851969:PGP851988 PGP917505:PGP917524 PGP983041:PGP983060 PQL7:PQL26 PQL65537:PQL65556 PQL131073:PQL131092 PQL196609:PQL196628 PQL262145:PQL262164 PQL327681:PQL327700 PQL393217:PQL393236 PQL458753:PQL458772 PQL524289:PQL524308 PQL589825:PQL589844 PQL655361:PQL655380 PQL720897:PQL720916 PQL786433:PQL786452 PQL851969:PQL851988 PQL917505:PQL917524 PQL983041:PQL983060 QAH7:QAH26 QAH65537:QAH65556 QAH131073:QAH131092 QAH196609:QAH196628 QAH262145:QAH262164 QAH327681:QAH327700 QAH393217:QAH393236 QAH458753:QAH458772 QAH524289:QAH524308 QAH589825:QAH589844 QAH655361:QAH655380 QAH720897:QAH720916 QAH786433:QAH786452 QAH851969:QAH851988 QAH917505:QAH917524 QAH983041:QAH983060 QKD7:QKD26 QKD65537:QKD65556 QKD131073:QKD131092 QKD196609:QKD196628 QKD262145:QKD262164 QKD327681:QKD327700 QKD393217:QKD393236 QKD458753:QKD458772 QKD524289:QKD524308 QKD589825:QKD589844 QKD655361:QKD655380 QKD720897:QKD720916 QKD786433:QKD786452 QKD851969:QKD851988 QKD917505:QKD917524 QKD983041:QKD983060 QTZ7:QTZ26 QTZ65537:QTZ65556 QTZ131073:QTZ131092 QTZ196609:QTZ196628 QTZ262145:QTZ262164 QTZ327681:QTZ327700 QTZ393217:QTZ393236 QTZ458753:QTZ458772 QTZ524289:QTZ524308 QTZ589825:QTZ589844 QTZ655361:QTZ655380 QTZ720897:QTZ720916 QTZ786433:QTZ786452 QTZ851969:QTZ851988 QTZ917505:QTZ917524 QTZ983041:QTZ983060 RDV7:RDV26 RDV65537:RDV65556 RDV131073:RDV131092 RDV196609:RDV196628 RDV262145:RDV262164 RDV327681:RDV327700 RDV393217:RDV393236 RDV458753:RDV458772 RDV524289:RDV524308 RDV589825:RDV589844 RDV655361:RDV655380 RDV720897:RDV720916 RDV786433:RDV786452 RDV851969:RDV851988 RDV917505:RDV917524 RDV983041:RDV983060 RNR7:RNR26 RNR65537:RNR65556 RNR131073:RNR131092 RNR196609:RNR196628 RNR262145:RNR262164 RNR327681:RNR327700 RNR393217:RNR393236 RNR458753:RNR458772 RNR524289:RNR524308 RNR589825:RNR589844 RNR655361:RNR655380 RNR720897:RNR720916 RNR786433:RNR786452 RNR851969:RNR851988 RNR917505:RNR917524 RNR983041:RNR983060 RXN7:RXN26 RXN65537:RXN65556 RXN131073:RXN131092 RXN196609:RXN196628 RXN262145:RXN262164 RXN327681:RXN327700 RXN393217:RXN393236 RXN458753:RXN458772 RXN524289:RXN524308 RXN589825:RXN589844 RXN655361:RXN655380 RXN720897:RXN720916 RXN786433:RXN786452 RXN851969:RXN851988 RXN917505:RXN917524 RXN983041:RXN983060 SHJ7:SHJ26 SHJ65537:SHJ65556 SHJ131073:SHJ131092 SHJ196609:SHJ196628 SHJ262145:SHJ262164 SHJ327681:SHJ327700 SHJ393217:SHJ393236 SHJ458753:SHJ458772 SHJ524289:SHJ524308 SHJ589825:SHJ589844 SHJ655361:SHJ655380 SHJ720897:SHJ720916 SHJ786433:SHJ786452 SHJ851969:SHJ851988 SHJ917505:SHJ917524 SHJ983041:SHJ983060 SRF7:SRF26 SRF65537:SRF65556 SRF131073:SRF131092 SRF196609:SRF196628 SRF262145:SRF262164 SRF327681:SRF327700 SRF393217:SRF393236 SRF458753:SRF458772 SRF524289:SRF524308 SRF589825:SRF589844 SRF655361:SRF655380 SRF720897:SRF720916 SRF786433:SRF786452 SRF851969:SRF851988 SRF917505:SRF917524 SRF983041:SRF983060 TBB7:TBB26 TBB65537:TBB65556 TBB131073:TBB131092 TBB196609:TBB196628 TBB262145:TBB262164 TBB327681:TBB327700 TBB393217:TBB393236 TBB458753:TBB458772 TBB524289:TBB524308 TBB589825:TBB589844 TBB655361:TBB655380 TBB720897:TBB720916 TBB786433:TBB786452 TBB851969:TBB851988 TBB917505:TBB917524 TBB983041:TBB983060 TKX7:TKX26 TKX65537:TKX65556 TKX131073:TKX131092 TKX196609:TKX196628 TKX262145:TKX262164 TKX327681:TKX327700 TKX393217:TKX393236 TKX458753:TKX458772 TKX524289:TKX524308 TKX589825:TKX589844 TKX655361:TKX655380 TKX720897:TKX720916 TKX786433:TKX786452 TKX851969:TKX851988 TKX917505:TKX917524 TKX983041:TKX983060 TUT7:TUT26 TUT65537:TUT65556 TUT131073:TUT131092 TUT196609:TUT196628 TUT262145:TUT262164 TUT327681:TUT327700 TUT393217:TUT393236 TUT458753:TUT458772 TUT524289:TUT524308 TUT589825:TUT589844 TUT655361:TUT655380 TUT720897:TUT720916 TUT786433:TUT786452 TUT851969:TUT851988 TUT917505:TUT917524 TUT983041:TUT983060 UEP7:UEP26 UEP65537:UEP65556 UEP131073:UEP131092 UEP196609:UEP196628 UEP262145:UEP262164 UEP327681:UEP327700 UEP393217:UEP393236 UEP458753:UEP458772 UEP524289:UEP524308 UEP589825:UEP589844 UEP655361:UEP655380 UEP720897:UEP720916 UEP786433:UEP786452 UEP851969:UEP851988 UEP917505:UEP917524 UEP983041:UEP983060 UOL7:UOL26 UOL65537:UOL65556 UOL131073:UOL131092 UOL196609:UOL196628 UOL262145:UOL262164 UOL327681:UOL327700 UOL393217:UOL393236 UOL458753:UOL458772 UOL524289:UOL524308 UOL589825:UOL589844 UOL655361:UOL655380 UOL720897:UOL720916 UOL786433:UOL786452 UOL851969:UOL851988 UOL917505:UOL917524 UOL983041:UOL983060 UYH7:UYH26 UYH65537:UYH65556 UYH131073:UYH131092 UYH196609:UYH196628 UYH262145:UYH262164 UYH327681:UYH327700 UYH393217:UYH393236 UYH458753:UYH458772 UYH524289:UYH524308 UYH589825:UYH589844 UYH655361:UYH655380 UYH720897:UYH720916 UYH786433:UYH786452 UYH851969:UYH851988 UYH917505:UYH917524 UYH983041:UYH983060 VID7:VID26 VID65537:VID65556 VID131073:VID131092 VID196609:VID196628 VID262145:VID262164 VID327681:VID327700 VID393217:VID393236 VID458753:VID458772 VID524289:VID524308 VID589825:VID589844 VID655361:VID655380 VID720897:VID720916 VID786433:VID786452 VID851969:VID851988 VID917505:VID917524 VID983041:VID983060 VRZ7:VRZ26 VRZ65537:VRZ65556 VRZ131073:VRZ131092 VRZ196609:VRZ196628 VRZ262145:VRZ262164 VRZ327681:VRZ327700 VRZ393217:VRZ393236 VRZ458753:VRZ458772 VRZ524289:VRZ524308 VRZ589825:VRZ589844 VRZ655361:VRZ655380 VRZ720897:VRZ720916 VRZ786433:VRZ786452 VRZ851969:VRZ851988 VRZ917505:VRZ917524 VRZ983041:VRZ983060 WBV7:WBV26 WBV65537:WBV65556 WBV131073:WBV131092 WBV196609:WBV196628 WBV262145:WBV262164 WBV327681:WBV327700 WBV393217:WBV393236 WBV458753:WBV458772 WBV524289:WBV524308 WBV589825:WBV589844 WBV655361:WBV655380 WBV720897:WBV720916 WBV786433:WBV786452 WBV851969:WBV851988 WBV917505:WBV917524 WBV983041:WBV983060 WLR7:WLR26 WLR65537:WLR65556 WLR131073:WLR131092 WLR196609:WLR196628 WLR262145:WLR262164 WLR327681:WLR327700 WLR393217:WLR393236 WLR458753:WLR458772 WLR524289:WLR524308 WLR589825:WLR589844 WLR655361:WLR655380 WLR720897:WLR720916 WLR786433:WLR786452 WLR851969:WLR851988 WLR917505:WLR917524 WLR983041:WLR983060 WVN7:WVN26 WVN65537:WVN65556 WVN131073:WVN131092 WVN196609:WVN196628 WVN262145:WVN262164 WVN327681:WVN327700 WVN393217:WVN393236 WVN458753:WVN458772 WVN524289:WVN524308 WVN589825:WVN589844 WVN655361:WVN655380 WVN720897:WVN720916 WVN786433:WVN786452 WVN851969:WVN851988 WVN917505:WVN917524 WVN983041:WVN983060" xr:uid="{00000000-0002-0000-0800-00000F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2 F14:K26 F65537:K65556 F131073:K131092 F196609:K196628 F262145:K262164 F327681:K327700 F393217:K393236 F458753:K458772 F524289:K524308 F589825:K589844 F655361:K655380 F720897:K720916 F786433:K786452 F851969:K851988 F917505:K917524 F983041:K983060 JC7:JH26 JC65537:JH65556 JC131073:JH131092 JC196609:JH196628 JC262145:JH262164 JC327681:JH327700 JC393217:JH393236 JC458753:JH458772 JC524289:JH524308 JC589825:JH589844 JC655361:JH655380 JC720897:JH720916 JC786433:JH786452 JC851969:JH851988 JC917505:JH917524 JC983041:JH983060 SY7:TD26 SY65537:TD65556 SY131073:TD131092 SY196609:TD196628 SY262145:TD262164 SY327681:TD327700 SY393217:TD393236 SY458753:TD458772 SY524289:TD524308 SY589825:TD589844 SY655361:TD655380 SY720897:TD720916 SY786433:TD786452 SY851969:TD851988 SY917505:TD917524 SY983041:TD983060 ACU7:ACZ26 ACU65537:ACZ65556 ACU131073:ACZ131092 ACU196609:ACZ196628 ACU262145:ACZ262164 ACU327681:ACZ327700 ACU393217:ACZ393236 ACU458753:ACZ458772 ACU524289:ACZ524308 ACU589825:ACZ589844 ACU655361:ACZ655380 ACU720897:ACZ720916 ACU786433:ACZ786452 ACU851969:ACZ851988 ACU917505:ACZ917524 ACU983041:ACZ983060 AMQ7:AMV26 AMQ65537:AMV65556 AMQ131073:AMV131092 AMQ196609:AMV196628 AMQ262145:AMV262164 AMQ327681:AMV327700 AMQ393217:AMV393236 AMQ458753:AMV458772 AMQ524289:AMV524308 AMQ589825:AMV589844 AMQ655361:AMV655380 AMQ720897:AMV720916 AMQ786433:AMV786452 AMQ851969:AMV851988 AMQ917505:AMV917524 AMQ983041:AMV983060 AWM7:AWR26 AWM65537:AWR65556 AWM131073:AWR131092 AWM196609:AWR196628 AWM262145:AWR262164 AWM327681:AWR327700 AWM393217:AWR393236 AWM458753:AWR458772 AWM524289:AWR524308 AWM589825:AWR589844 AWM655361:AWR655380 AWM720897:AWR720916 AWM786433:AWR786452 AWM851969:AWR851988 AWM917505:AWR917524 AWM983041:AWR983060 BGI7:BGN26 BGI65537:BGN65556 BGI131073:BGN131092 BGI196609:BGN196628 BGI262145:BGN262164 BGI327681:BGN327700 BGI393217:BGN393236 BGI458753:BGN458772 BGI524289:BGN524308 BGI589825:BGN589844 BGI655361:BGN655380 BGI720897:BGN720916 BGI786433:BGN786452 BGI851969:BGN851988 BGI917505:BGN917524 BGI983041:BGN983060 BQE7:BQJ26 BQE65537:BQJ65556 BQE131073:BQJ131092 BQE196609:BQJ196628 BQE262145:BQJ262164 BQE327681:BQJ327700 BQE393217:BQJ393236 BQE458753:BQJ458772 BQE524289:BQJ524308 BQE589825:BQJ589844 BQE655361:BQJ655380 BQE720897:BQJ720916 BQE786433:BQJ786452 BQE851969:BQJ851988 BQE917505:BQJ917524 BQE983041:BQJ983060 CAA7:CAF26 CAA65537:CAF65556 CAA131073:CAF131092 CAA196609:CAF196628 CAA262145:CAF262164 CAA327681:CAF327700 CAA393217:CAF393236 CAA458753:CAF458772 CAA524289:CAF524308 CAA589825:CAF589844 CAA655361:CAF655380 CAA720897:CAF720916 CAA786433:CAF786452 CAA851969:CAF851988 CAA917505:CAF917524 CAA983041:CAF983060 CJW7:CKB26 CJW65537:CKB65556 CJW131073:CKB131092 CJW196609:CKB196628 CJW262145:CKB262164 CJW327681:CKB327700 CJW393217:CKB393236 CJW458753:CKB458772 CJW524289:CKB524308 CJW589825:CKB589844 CJW655361:CKB655380 CJW720897:CKB720916 CJW786433:CKB786452 CJW851969:CKB851988 CJW917505:CKB917524 CJW983041:CKB983060 CTS7:CTX26 CTS65537:CTX65556 CTS131073:CTX131092 CTS196609:CTX196628 CTS262145:CTX262164 CTS327681:CTX327700 CTS393217:CTX393236 CTS458753:CTX458772 CTS524289:CTX524308 CTS589825:CTX589844 CTS655361:CTX655380 CTS720897:CTX720916 CTS786433:CTX786452 CTS851969:CTX851988 CTS917505:CTX917524 CTS983041:CTX983060 DDO7:DDT26 DDO65537:DDT65556 DDO131073:DDT131092 DDO196609:DDT196628 DDO262145:DDT262164 DDO327681:DDT327700 DDO393217:DDT393236 DDO458753:DDT458772 DDO524289:DDT524308 DDO589825:DDT589844 DDO655361:DDT655380 DDO720897:DDT720916 DDO786433:DDT786452 DDO851969:DDT851988 DDO917505:DDT917524 DDO983041:DDT983060 DNK7:DNP26 DNK65537:DNP65556 DNK131073:DNP131092 DNK196609:DNP196628 DNK262145:DNP262164 DNK327681:DNP327700 DNK393217:DNP393236 DNK458753:DNP458772 DNK524289:DNP524308 DNK589825:DNP589844 DNK655361:DNP655380 DNK720897:DNP720916 DNK786433:DNP786452 DNK851969:DNP851988 DNK917505:DNP917524 DNK983041:DNP983060 DXG7:DXL26 DXG65537:DXL65556 DXG131073:DXL131092 DXG196609:DXL196628 DXG262145:DXL262164 DXG327681:DXL327700 DXG393217:DXL393236 DXG458753:DXL458772 DXG524289:DXL524308 DXG589825:DXL589844 DXG655361:DXL655380 DXG720897:DXL720916 DXG786433:DXL786452 DXG851969:DXL851988 DXG917505:DXL917524 DXG983041:DXL983060 EHC7:EHH26 EHC65537:EHH65556 EHC131073:EHH131092 EHC196609:EHH196628 EHC262145:EHH262164 EHC327681:EHH327700 EHC393217:EHH393236 EHC458753:EHH458772 EHC524289:EHH524308 EHC589825:EHH589844 EHC655361:EHH655380 EHC720897:EHH720916 EHC786433:EHH786452 EHC851969:EHH851988 EHC917505:EHH917524 EHC983041:EHH983060 EQY7:ERD26 EQY65537:ERD65556 EQY131073:ERD131092 EQY196609:ERD196628 EQY262145:ERD262164 EQY327681:ERD327700 EQY393217:ERD393236 EQY458753:ERD458772 EQY524289:ERD524308 EQY589825:ERD589844 EQY655361:ERD655380 EQY720897:ERD720916 EQY786433:ERD786452 EQY851969:ERD851988 EQY917505:ERD917524 EQY983041:ERD983060 FAU7:FAZ26 FAU65537:FAZ65556 FAU131073:FAZ131092 FAU196609:FAZ196628 FAU262145:FAZ262164 FAU327681:FAZ327700 FAU393217:FAZ393236 FAU458753:FAZ458772 FAU524289:FAZ524308 FAU589825:FAZ589844 FAU655361:FAZ655380 FAU720897:FAZ720916 FAU786433:FAZ786452 FAU851969:FAZ851988 FAU917505:FAZ917524 FAU983041:FAZ983060 FKQ7:FKV26 FKQ65537:FKV65556 FKQ131073:FKV131092 FKQ196609:FKV196628 FKQ262145:FKV262164 FKQ327681:FKV327700 FKQ393217:FKV393236 FKQ458753:FKV458772 FKQ524289:FKV524308 FKQ589825:FKV589844 FKQ655361:FKV655380 FKQ720897:FKV720916 FKQ786433:FKV786452 FKQ851969:FKV851988 FKQ917505:FKV917524 FKQ983041:FKV983060 FUM7:FUR26 FUM65537:FUR65556 FUM131073:FUR131092 FUM196609:FUR196628 FUM262145:FUR262164 FUM327681:FUR327700 FUM393217:FUR393236 FUM458753:FUR458772 FUM524289:FUR524308 FUM589825:FUR589844 FUM655361:FUR655380 FUM720897:FUR720916 FUM786433:FUR786452 FUM851969:FUR851988 FUM917505:FUR917524 FUM983041:FUR983060 GEI7:GEN26 GEI65537:GEN65556 GEI131073:GEN131092 GEI196609:GEN196628 GEI262145:GEN262164 GEI327681:GEN327700 GEI393217:GEN393236 GEI458753:GEN458772 GEI524289:GEN524308 GEI589825:GEN589844 GEI655361:GEN655380 GEI720897:GEN720916 GEI786433:GEN786452 GEI851969:GEN851988 GEI917505:GEN917524 GEI983041:GEN983060 GOE7:GOJ26 GOE65537:GOJ65556 GOE131073:GOJ131092 GOE196609:GOJ196628 GOE262145:GOJ262164 GOE327681:GOJ327700 GOE393217:GOJ393236 GOE458753:GOJ458772 GOE524289:GOJ524308 GOE589825:GOJ589844 GOE655361:GOJ655380 GOE720897:GOJ720916 GOE786433:GOJ786452 GOE851969:GOJ851988 GOE917505:GOJ917524 GOE983041:GOJ983060 GYA7:GYF26 GYA65537:GYF65556 GYA131073:GYF131092 GYA196609:GYF196628 GYA262145:GYF262164 GYA327681:GYF327700 GYA393217:GYF393236 GYA458753:GYF458772 GYA524289:GYF524308 GYA589825:GYF589844 GYA655361:GYF655380 GYA720897:GYF720916 GYA786433:GYF786452 GYA851969:GYF851988 GYA917505:GYF917524 GYA983041:GYF983060 HHW7:HIB26 HHW65537:HIB65556 HHW131073:HIB131092 HHW196609:HIB196628 HHW262145:HIB262164 HHW327681:HIB327700 HHW393217:HIB393236 HHW458753:HIB458772 HHW524289:HIB524308 HHW589825:HIB589844 HHW655361:HIB655380 HHW720897:HIB720916 HHW786433:HIB786452 HHW851969:HIB851988 HHW917505:HIB917524 HHW983041:HIB983060 HRS7:HRX26 HRS65537:HRX65556 HRS131073:HRX131092 HRS196609:HRX196628 HRS262145:HRX262164 HRS327681:HRX327700 HRS393217:HRX393236 HRS458753:HRX458772 HRS524289:HRX524308 HRS589825:HRX589844 HRS655361:HRX655380 HRS720897:HRX720916 HRS786433:HRX786452 HRS851969:HRX851988 HRS917505:HRX917524 HRS983041:HRX983060 IBO7:IBT26 IBO65537:IBT65556 IBO131073:IBT131092 IBO196609:IBT196628 IBO262145:IBT262164 IBO327681:IBT327700 IBO393217:IBT393236 IBO458753:IBT458772 IBO524289:IBT524308 IBO589825:IBT589844 IBO655361:IBT655380 IBO720897:IBT720916 IBO786433:IBT786452 IBO851969:IBT851988 IBO917505:IBT917524 IBO983041:IBT983060 ILK7:ILP26 ILK65537:ILP65556 ILK131073:ILP131092 ILK196609:ILP196628 ILK262145:ILP262164 ILK327681:ILP327700 ILK393217:ILP393236 ILK458753:ILP458772 ILK524289:ILP524308 ILK589825:ILP589844 ILK655361:ILP655380 ILK720897:ILP720916 ILK786433:ILP786452 ILK851969:ILP851988 ILK917505:ILP917524 ILK983041:ILP983060 IVG7:IVL26 IVG65537:IVL65556 IVG131073:IVL131092 IVG196609:IVL196628 IVG262145:IVL262164 IVG327681:IVL327700 IVG393217:IVL393236 IVG458753:IVL458772 IVG524289:IVL524308 IVG589825:IVL589844 IVG655361:IVL655380 IVG720897:IVL720916 IVG786433:IVL786452 IVG851969:IVL851988 IVG917505:IVL917524 IVG983041:IVL983060 JFC7:JFH26 JFC65537:JFH65556 JFC131073:JFH131092 JFC196609:JFH196628 JFC262145:JFH262164 JFC327681:JFH327700 JFC393217:JFH393236 JFC458753:JFH458772 JFC524289:JFH524308 JFC589825:JFH589844 JFC655361:JFH655380 JFC720897:JFH720916 JFC786433:JFH786452 JFC851969:JFH851988 JFC917505:JFH917524 JFC983041:JFH983060 JOY7:JPD26 JOY65537:JPD65556 JOY131073:JPD131092 JOY196609:JPD196628 JOY262145:JPD262164 JOY327681:JPD327700 JOY393217:JPD393236 JOY458753:JPD458772 JOY524289:JPD524308 JOY589825:JPD589844 JOY655361:JPD655380 JOY720897:JPD720916 JOY786433:JPD786452 JOY851969:JPD851988 JOY917505:JPD917524 JOY983041:JPD983060 JYU7:JYZ26 JYU65537:JYZ65556 JYU131073:JYZ131092 JYU196609:JYZ196628 JYU262145:JYZ262164 JYU327681:JYZ327700 JYU393217:JYZ393236 JYU458753:JYZ458772 JYU524289:JYZ524308 JYU589825:JYZ589844 JYU655361:JYZ655380 JYU720897:JYZ720916 JYU786433:JYZ786452 JYU851969:JYZ851988 JYU917505:JYZ917524 JYU983041:JYZ983060 KIQ7:KIV26 KIQ65537:KIV65556 KIQ131073:KIV131092 KIQ196609:KIV196628 KIQ262145:KIV262164 KIQ327681:KIV327700 KIQ393217:KIV393236 KIQ458753:KIV458772 KIQ524289:KIV524308 KIQ589825:KIV589844 KIQ655361:KIV655380 KIQ720897:KIV720916 KIQ786433:KIV786452 KIQ851969:KIV851988 KIQ917505:KIV917524 KIQ983041:KIV983060 KSM7:KSR26 KSM65537:KSR65556 KSM131073:KSR131092 KSM196609:KSR196628 KSM262145:KSR262164 KSM327681:KSR327700 KSM393217:KSR393236 KSM458753:KSR458772 KSM524289:KSR524308 KSM589825:KSR589844 KSM655361:KSR655380 KSM720897:KSR720916 KSM786433:KSR786452 KSM851969:KSR851988 KSM917505:KSR917524 KSM983041:KSR983060 LCI7:LCN26 LCI65537:LCN65556 LCI131073:LCN131092 LCI196609:LCN196628 LCI262145:LCN262164 LCI327681:LCN327700 LCI393217:LCN393236 LCI458753:LCN458772 LCI524289:LCN524308 LCI589825:LCN589844 LCI655361:LCN655380 LCI720897:LCN720916 LCI786433:LCN786452 LCI851969:LCN851988 LCI917505:LCN917524 LCI983041:LCN983060 LME7:LMJ26 LME65537:LMJ65556 LME131073:LMJ131092 LME196609:LMJ196628 LME262145:LMJ262164 LME327681:LMJ327700 LME393217:LMJ393236 LME458753:LMJ458772 LME524289:LMJ524308 LME589825:LMJ589844 LME655361:LMJ655380 LME720897:LMJ720916 LME786433:LMJ786452 LME851969:LMJ851988 LME917505:LMJ917524 LME983041:LMJ983060 LWA7:LWF26 LWA65537:LWF65556 LWA131073:LWF131092 LWA196609:LWF196628 LWA262145:LWF262164 LWA327681:LWF327700 LWA393217:LWF393236 LWA458753:LWF458772 LWA524289:LWF524308 LWA589825:LWF589844 LWA655361:LWF655380 LWA720897:LWF720916 LWA786433:LWF786452 LWA851969:LWF851988 LWA917505:LWF917524 LWA983041:LWF983060 MFW7:MGB26 MFW65537:MGB65556 MFW131073:MGB131092 MFW196609:MGB196628 MFW262145:MGB262164 MFW327681:MGB327700 MFW393217:MGB393236 MFW458753:MGB458772 MFW524289:MGB524308 MFW589825:MGB589844 MFW655361:MGB655380 MFW720897:MGB720916 MFW786433:MGB786452 MFW851969:MGB851988 MFW917505:MGB917524 MFW983041:MGB983060 MPS7:MPX26 MPS65537:MPX65556 MPS131073:MPX131092 MPS196609:MPX196628 MPS262145:MPX262164 MPS327681:MPX327700 MPS393217:MPX393236 MPS458753:MPX458772 MPS524289:MPX524308 MPS589825:MPX589844 MPS655361:MPX655380 MPS720897:MPX720916 MPS786433:MPX786452 MPS851969:MPX851988 MPS917505:MPX917524 MPS983041:MPX983060 MZO7:MZT26 MZO65537:MZT65556 MZO131073:MZT131092 MZO196609:MZT196628 MZO262145:MZT262164 MZO327681:MZT327700 MZO393217:MZT393236 MZO458753:MZT458772 MZO524289:MZT524308 MZO589825:MZT589844 MZO655361:MZT655380 MZO720897:MZT720916 MZO786433:MZT786452 MZO851969:MZT851988 MZO917505:MZT917524 MZO983041:MZT983060 NJK7:NJP26 NJK65537:NJP65556 NJK131073:NJP131092 NJK196609:NJP196628 NJK262145:NJP262164 NJK327681:NJP327700 NJK393217:NJP393236 NJK458753:NJP458772 NJK524289:NJP524308 NJK589825:NJP589844 NJK655361:NJP655380 NJK720897:NJP720916 NJK786433:NJP786452 NJK851969:NJP851988 NJK917505:NJP917524 NJK983041:NJP983060 NTG7:NTL26 NTG65537:NTL65556 NTG131073:NTL131092 NTG196609:NTL196628 NTG262145:NTL262164 NTG327681:NTL327700 NTG393217:NTL393236 NTG458753:NTL458772 NTG524289:NTL524308 NTG589825:NTL589844 NTG655361:NTL655380 NTG720897:NTL720916 NTG786433:NTL786452 NTG851969:NTL851988 NTG917505:NTL917524 NTG983041:NTL983060 ODC7:ODH26 ODC65537:ODH65556 ODC131073:ODH131092 ODC196609:ODH196628 ODC262145:ODH262164 ODC327681:ODH327700 ODC393217:ODH393236 ODC458753:ODH458772 ODC524289:ODH524308 ODC589825:ODH589844 ODC655361:ODH655380 ODC720897:ODH720916 ODC786433:ODH786452 ODC851969:ODH851988 ODC917505:ODH917524 ODC983041:ODH983060 OMY7:OND26 OMY65537:OND65556 OMY131073:OND131092 OMY196609:OND196628 OMY262145:OND262164 OMY327681:OND327700 OMY393217:OND393236 OMY458753:OND458772 OMY524289:OND524308 OMY589825:OND589844 OMY655361:OND655380 OMY720897:OND720916 OMY786433:OND786452 OMY851969:OND851988 OMY917505:OND917524 OMY983041:OND983060 OWU7:OWZ26 OWU65537:OWZ65556 OWU131073:OWZ131092 OWU196609:OWZ196628 OWU262145:OWZ262164 OWU327681:OWZ327700 OWU393217:OWZ393236 OWU458753:OWZ458772 OWU524289:OWZ524308 OWU589825:OWZ589844 OWU655361:OWZ655380 OWU720897:OWZ720916 OWU786433:OWZ786452 OWU851969:OWZ851988 OWU917505:OWZ917524 OWU983041:OWZ983060 PGQ7:PGV26 PGQ65537:PGV65556 PGQ131073:PGV131092 PGQ196609:PGV196628 PGQ262145:PGV262164 PGQ327681:PGV327700 PGQ393217:PGV393236 PGQ458753:PGV458772 PGQ524289:PGV524308 PGQ589825:PGV589844 PGQ655361:PGV655380 PGQ720897:PGV720916 PGQ786433:PGV786452 PGQ851969:PGV851988 PGQ917505:PGV917524 PGQ983041:PGV983060 PQM7:PQR26 PQM65537:PQR65556 PQM131073:PQR131092 PQM196609:PQR196628 PQM262145:PQR262164 PQM327681:PQR327700 PQM393217:PQR393236 PQM458753:PQR458772 PQM524289:PQR524308 PQM589825:PQR589844 PQM655361:PQR655380 PQM720897:PQR720916 PQM786433:PQR786452 PQM851969:PQR851988 PQM917505:PQR917524 PQM983041:PQR983060 QAI7:QAN26 QAI65537:QAN65556 QAI131073:QAN131092 QAI196609:QAN196628 QAI262145:QAN262164 QAI327681:QAN327700 QAI393217:QAN393236 QAI458753:QAN458772 QAI524289:QAN524308 QAI589825:QAN589844 QAI655361:QAN655380 QAI720897:QAN720916 QAI786433:QAN786452 QAI851969:QAN851988 QAI917505:QAN917524 QAI983041:QAN983060 QKE7:QKJ26 QKE65537:QKJ65556 QKE131073:QKJ131092 QKE196609:QKJ196628 QKE262145:QKJ262164 QKE327681:QKJ327700 QKE393217:QKJ393236 QKE458753:QKJ458772 QKE524289:QKJ524308 QKE589825:QKJ589844 QKE655361:QKJ655380 QKE720897:QKJ720916 QKE786433:QKJ786452 QKE851969:QKJ851988 QKE917505:QKJ917524 QKE983041:QKJ983060 QUA7:QUF26 QUA65537:QUF65556 QUA131073:QUF131092 QUA196609:QUF196628 QUA262145:QUF262164 QUA327681:QUF327700 QUA393217:QUF393236 QUA458753:QUF458772 QUA524289:QUF524308 QUA589825:QUF589844 QUA655361:QUF655380 QUA720897:QUF720916 QUA786433:QUF786452 QUA851969:QUF851988 QUA917505:QUF917524 QUA983041:QUF983060 RDW7:REB26 RDW65537:REB65556 RDW131073:REB131092 RDW196609:REB196628 RDW262145:REB262164 RDW327681:REB327700 RDW393217:REB393236 RDW458753:REB458772 RDW524289:REB524308 RDW589825:REB589844 RDW655361:REB655380 RDW720897:REB720916 RDW786433:REB786452 RDW851969:REB851988 RDW917505:REB917524 RDW983041:REB983060 RNS7:RNX26 RNS65537:RNX65556 RNS131073:RNX131092 RNS196609:RNX196628 RNS262145:RNX262164 RNS327681:RNX327700 RNS393217:RNX393236 RNS458753:RNX458772 RNS524289:RNX524308 RNS589825:RNX589844 RNS655361:RNX655380 RNS720897:RNX720916 RNS786433:RNX786452 RNS851969:RNX851988 RNS917505:RNX917524 RNS983041:RNX983060 RXO7:RXT26 RXO65537:RXT65556 RXO131073:RXT131092 RXO196609:RXT196628 RXO262145:RXT262164 RXO327681:RXT327700 RXO393217:RXT393236 RXO458753:RXT458772 RXO524289:RXT524308 RXO589825:RXT589844 RXO655361:RXT655380 RXO720897:RXT720916 RXO786433:RXT786452 RXO851969:RXT851988 RXO917505:RXT917524 RXO983041:RXT983060 SHK7:SHP26 SHK65537:SHP65556 SHK131073:SHP131092 SHK196609:SHP196628 SHK262145:SHP262164 SHK327681:SHP327700 SHK393217:SHP393236 SHK458753:SHP458772 SHK524289:SHP524308 SHK589825:SHP589844 SHK655361:SHP655380 SHK720897:SHP720916 SHK786433:SHP786452 SHK851969:SHP851988 SHK917505:SHP917524 SHK983041:SHP983060 SRG7:SRL26 SRG65537:SRL65556 SRG131073:SRL131092 SRG196609:SRL196628 SRG262145:SRL262164 SRG327681:SRL327700 SRG393217:SRL393236 SRG458753:SRL458772 SRG524289:SRL524308 SRG589825:SRL589844 SRG655361:SRL655380 SRG720897:SRL720916 SRG786433:SRL786452 SRG851969:SRL851988 SRG917505:SRL917524 SRG983041:SRL983060 TBC7:TBH26 TBC65537:TBH65556 TBC131073:TBH131092 TBC196609:TBH196628 TBC262145:TBH262164 TBC327681:TBH327700 TBC393217:TBH393236 TBC458753:TBH458772 TBC524289:TBH524308 TBC589825:TBH589844 TBC655361:TBH655380 TBC720897:TBH720916 TBC786433:TBH786452 TBC851969:TBH851988 TBC917505:TBH917524 TBC983041:TBH983060 TKY7:TLD26 TKY65537:TLD65556 TKY131073:TLD131092 TKY196609:TLD196628 TKY262145:TLD262164 TKY327681:TLD327700 TKY393217:TLD393236 TKY458753:TLD458772 TKY524289:TLD524308 TKY589825:TLD589844 TKY655361:TLD655380 TKY720897:TLD720916 TKY786433:TLD786452 TKY851969:TLD851988 TKY917505:TLD917524 TKY983041:TLD983060 TUU7:TUZ26 TUU65537:TUZ65556 TUU131073:TUZ131092 TUU196609:TUZ196628 TUU262145:TUZ262164 TUU327681:TUZ327700 TUU393217:TUZ393236 TUU458753:TUZ458772 TUU524289:TUZ524308 TUU589825:TUZ589844 TUU655361:TUZ655380 TUU720897:TUZ720916 TUU786433:TUZ786452 TUU851969:TUZ851988 TUU917505:TUZ917524 TUU983041:TUZ983060 UEQ7:UEV26 UEQ65537:UEV65556 UEQ131073:UEV131092 UEQ196609:UEV196628 UEQ262145:UEV262164 UEQ327681:UEV327700 UEQ393217:UEV393236 UEQ458753:UEV458772 UEQ524289:UEV524308 UEQ589825:UEV589844 UEQ655361:UEV655380 UEQ720897:UEV720916 UEQ786433:UEV786452 UEQ851969:UEV851988 UEQ917505:UEV917524 UEQ983041:UEV983060 UOM7:UOR26 UOM65537:UOR65556 UOM131073:UOR131092 UOM196609:UOR196628 UOM262145:UOR262164 UOM327681:UOR327700 UOM393217:UOR393236 UOM458753:UOR458772 UOM524289:UOR524308 UOM589825:UOR589844 UOM655361:UOR655380 UOM720897:UOR720916 UOM786433:UOR786452 UOM851969:UOR851988 UOM917505:UOR917524 UOM983041:UOR983060 UYI7:UYN26 UYI65537:UYN65556 UYI131073:UYN131092 UYI196609:UYN196628 UYI262145:UYN262164 UYI327681:UYN327700 UYI393217:UYN393236 UYI458753:UYN458772 UYI524289:UYN524308 UYI589825:UYN589844 UYI655361:UYN655380 UYI720897:UYN720916 UYI786433:UYN786452 UYI851969:UYN851988 UYI917505:UYN917524 UYI983041:UYN983060 VIE7:VIJ26 VIE65537:VIJ65556 VIE131073:VIJ131092 VIE196609:VIJ196628 VIE262145:VIJ262164 VIE327681:VIJ327700 VIE393217:VIJ393236 VIE458753:VIJ458772 VIE524289:VIJ524308 VIE589825:VIJ589844 VIE655361:VIJ655380 VIE720897:VIJ720916 VIE786433:VIJ786452 VIE851969:VIJ851988 VIE917505:VIJ917524 VIE983041:VIJ983060 VSA7:VSF26 VSA65537:VSF65556 VSA131073:VSF131092 VSA196609:VSF196628 VSA262145:VSF262164 VSA327681:VSF327700 VSA393217:VSF393236 VSA458753:VSF458772 VSA524289:VSF524308 VSA589825:VSF589844 VSA655361:VSF655380 VSA720897:VSF720916 VSA786433:VSF786452 VSA851969:VSF851988 VSA917505:VSF917524 VSA983041:VSF983060 WBW7:WCB26 WBW65537:WCB65556 WBW131073:WCB131092 WBW196609:WCB196628 WBW262145:WCB262164 WBW327681:WCB327700 WBW393217:WCB393236 WBW458753:WCB458772 WBW524289:WCB524308 WBW589825:WCB589844 WBW655361:WCB655380 WBW720897:WCB720916 WBW786433:WCB786452 WBW851969:WCB851988 WBW917505:WCB917524 WBW983041:WCB983060 WLS7:WLX26 WLS65537:WLX65556 WLS131073:WLX131092 WLS196609:WLX196628 WLS262145:WLX262164 WLS327681:WLX327700 WLS393217:WLX393236 WLS458753:WLX458772 WLS524289:WLX524308 WLS589825:WLX589844 WLS655361:WLX655380 WLS720897:WLX720916 WLS786433:WLX786452 WLS851969:WLX851988 WLS917505:WLX917524 WLS983041:WLX983060 WVO7:WVT26 WVO65537:WVT65556 WVO131073:WVT131092 WVO196609:WVT196628 WVO262145:WVT262164 WVO327681:WVT327700 WVO393217:WVT393236 WVO458753:WVT458772 WVO524289:WVT524308 WVO589825:WVT589844 WVO655361:WVT655380 WVO720897:WVT720916 WVO786433:WVT786452 WVO851969:WVT851988 WVO917505:WVT917524 WVO983041:WVT983060" xr:uid="{00000000-0002-0000-0800-000010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2 D14:D26 D65532:D65533 D65538:D65556 D131068:D131069 D131074:D131092 D196604:D196605 D196610:D196628 D262140:D262141 D262146:D262164 D327676:D327677 D327682:D327700 D393212:D393213 D393218:D393236 D458748:D458749 D458754:D458772 D524284:D524285 D524290:D524308 D589820:D589821 D589826:D589844 D655356:D655357 D655362:D655380 D720892:D720893 D720898:D720916 D786428:D786429 D786434:D786452 D851964:D851965 D851970:D851988 D917500:D917501 D917506:D917524 D983036:D983037 D983042:D983060 JA2:JA3 JA8:JA26 JA65532:JA65533 JA65538:JA65556 JA131068:JA131069 JA131074:JA131092 JA196604:JA196605 JA196610:JA196628 JA262140:JA262141 JA262146:JA262164 JA327676:JA327677 JA327682:JA327700 JA393212:JA393213 JA393218:JA393236 JA458748:JA458749 JA458754:JA458772 JA524284:JA524285 JA524290:JA524308 JA589820:JA589821 JA589826:JA589844 JA655356:JA655357 JA655362:JA655380 JA720892:JA720893 JA720898:JA720916 JA786428:JA786429 JA786434:JA786452 JA851964:JA851965 JA851970:JA851988 JA917500:JA917501 JA917506:JA917524 JA983036:JA983037 JA983042:JA983060 SW2:SW3 SW8:SW26 SW65532:SW65533 SW65538:SW65556 SW131068:SW131069 SW131074:SW131092 SW196604:SW196605 SW196610:SW196628 SW262140:SW262141 SW262146:SW262164 SW327676:SW327677 SW327682:SW327700 SW393212:SW393213 SW393218:SW393236 SW458748:SW458749 SW458754:SW458772 SW524284:SW524285 SW524290:SW524308 SW589820:SW589821 SW589826:SW589844 SW655356:SW655357 SW655362:SW655380 SW720892:SW720893 SW720898:SW720916 SW786428:SW786429 SW786434:SW786452 SW851964:SW851965 SW851970:SW851988 SW917500:SW917501 SW917506:SW917524 SW983036:SW983037 SW983042:SW983060 ACS2:ACS3 ACS8:ACS26 ACS65532:ACS65533 ACS65538:ACS65556 ACS131068:ACS131069 ACS131074:ACS131092 ACS196604:ACS196605 ACS196610:ACS196628 ACS262140:ACS262141 ACS262146:ACS262164 ACS327676:ACS327677 ACS327682:ACS327700 ACS393212:ACS393213 ACS393218:ACS393236 ACS458748:ACS458749 ACS458754:ACS458772 ACS524284:ACS524285 ACS524290:ACS524308 ACS589820:ACS589821 ACS589826:ACS589844 ACS655356:ACS655357 ACS655362:ACS655380 ACS720892:ACS720893 ACS720898:ACS720916 ACS786428:ACS786429 ACS786434:ACS786452 ACS851964:ACS851965 ACS851970:ACS851988 ACS917500:ACS917501 ACS917506:ACS917524 ACS983036:ACS983037 ACS983042:ACS983060 AMO2:AMO3 AMO8:AMO26 AMO65532:AMO65533 AMO65538:AMO65556 AMO131068:AMO131069 AMO131074:AMO131092 AMO196604:AMO196605 AMO196610:AMO196628 AMO262140:AMO262141 AMO262146:AMO262164 AMO327676:AMO327677 AMO327682:AMO327700 AMO393212:AMO393213 AMO393218:AMO393236 AMO458748:AMO458749 AMO458754:AMO458772 AMO524284:AMO524285 AMO524290:AMO524308 AMO589820:AMO589821 AMO589826:AMO589844 AMO655356:AMO655357 AMO655362:AMO655380 AMO720892:AMO720893 AMO720898:AMO720916 AMO786428:AMO786429 AMO786434:AMO786452 AMO851964:AMO851965 AMO851970:AMO851988 AMO917500:AMO917501 AMO917506:AMO917524 AMO983036:AMO983037 AMO983042:AMO983060 AWK2:AWK3 AWK8:AWK26 AWK65532:AWK65533 AWK65538:AWK65556 AWK131068:AWK131069 AWK131074:AWK131092 AWK196604:AWK196605 AWK196610:AWK196628 AWK262140:AWK262141 AWK262146:AWK262164 AWK327676:AWK327677 AWK327682:AWK327700 AWK393212:AWK393213 AWK393218:AWK393236 AWK458748:AWK458749 AWK458754:AWK458772 AWK524284:AWK524285 AWK524290:AWK524308 AWK589820:AWK589821 AWK589826:AWK589844 AWK655356:AWK655357 AWK655362:AWK655380 AWK720892:AWK720893 AWK720898:AWK720916 AWK786428:AWK786429 AWK786434:AWK786452 AWK851964:AWK851965 AWK851970:AWK851988 AWK917500:AWK917501 AWK917506:AWK917524 AWK983036:AWK983037 AWK983042:AWK983060 BGG2:BGG3 BGG8:BGG26 BGG65532:BGG65533 BGG65538:BGG65556 BGG131068:BGG131069 BGG131074:BGG131092 BGG196604:BGG196605 BGG196610:BGG196628 BGG262140:BGG262141 BGG262146:BGG262164 BGG327676:BGG327677 BGG327682:BGG327700 BGG393212:BGG393213 BGG393218:BGG393236 BGG458748:BGG458749 BGG458754:BGG458772 BGG524284:BGG524285 BGG524290:BGG524308 BGG589820:BGG589821 BGG589826:BGG589844 BGG655356:BGG655357 BGG655362:BGG655380 BGG720892:BGG720893 BGG720898:BGG720916 BGG786428:BGG786429 BGG786434:BGG786452 BGG851964:BGG851965 BGG851970:BGG851988 BGG917500:BGG917501 BGG917506:BGG917524 BGG983036:BGG983037 BGG983042:BGG983060 BQC2:BQC3 BQC8:BQC26 BQC65532:BQC65533 BQC65538:BQC65556 BQC131068:BQC131069 BQC131074:BQC131092 BQC196604:BQC196605 BQC196610:BQC196628 BQC262140:BQC262141 BQC262146:BQC262164 BQC327676:BQC327677 BQC327682:BQC327700 BQC393212:BQC393213 BQC393218:BQC393236 BQC458748:BQC458749 BQC458754:BQC458772 BQC524284:BQC524285 BQC524290:BQC524308 BQC589820:BQC589821 BQC589826:BQC589844 BQC655356:BQC655357 BQC655362:BQC655380 BQC720892:BQC720893 BQC720898:BQC720916 BQC786428:BQC786429 BQC786434:BQC786452 BQC851964:BQC851965 BQC851970:BQC851988 BQC917500:BQC917501 BQC917506:BQC917524 BQC983036:BQC983037 BQC983042:BQC983060 BZY2:BZY3 BZY8:BZY26 BZY65532:BZY65533 BZY65538:BZY65556 BZY131068:BZY131069 BZY131074:BZY131092 BZY196604:BZY196605 BZY196610:BZY196628 BZY262140:BZY262141 BZY262146:BZY262164 BZY327676:BZY327677 BZY327682:BZY327700 BZY393212:BZY393213 BZY393218:BZY393236 BZY458748:BZY458749 BZY458754:BZY458772 BZY524284:BZY524285 BZY524290:BZY524308 BZY589820:BZY589821 BZY589826:BZY589844 BZY655356:BZY655357 BZY655362:BZY655380 BZY720892:BZY720893 BZY720898:BZY720916 BZY786428:BZY786429 BZY786434:BZY786452 BZY851964:BZY851965 BZY851970:BZY851988 BZY917500:BZY917501 BZY917506:BZY917524 BZY983036:BZY983037 BZY983042:BZY983060 CJU2:CJU3 CJU8:CJU26 CJU65532:CJU65533 CJU65538:CJU65556 CJU131068:CJU131069 CJU131074:CJU131092 CJU196604:CJU196605 CJU196610:CJU196628 CJU262140:CJU262141 CJU262146:CJU262164 CJU327676:CJU327677 CJU327682:CJU327700 CJU393212:CJU393213 CJU393218:CJU393236 CJU458748:CJU458749 CJU458754:CJU458772 CJU524284:CJU524285 CJU524290:CJU524308 CJU589820:CJU589821 CJU589826:CJU589844 CJU655356:CJU655357 CJU655362:CJU655380 CJU720892:CJU720893 CJU720898:CJU720916 CJU786428:CJU786429 CJU786434:CJU786452 CJU851964:CJU851965 CJU851970:CJU851988 CJU917500:CJU917501 CJU917506:CJU917524 CJU983036:CJU983037 CJU983042:CJU983060 CTQ2:CTQ3 CTQ8:CTQ26 CTQ65532:CTQ65533 CTQ65538:CTQ65556 CTQ131068:CTQ131069 CTQ131074:CTQ131092 CTQ196604:CTQ196605 CTQ196610:CTQ196628 CTQ262140:CTQ262141 CTQ262146:CTQ262164 CTQ327676:CTQ327677 CTQ327682:CTQ327700 CTQ393212:CTQ393213 CTQ393218:CTQ393236 CTQ458748:CTQ458749 CTQ458754:CTQ458772 CTQ524284:CTQ524285 CTQ524290:CTQ524308 CTQ589820:CTQ589821 CTQ589826:CTQ589844 CTQ655356:CTQ655357 CTQ655362:CTQ655380 CTQ720892:CTQ720893 CTQ720898:CTQ720916 CTQ786428:CTQ786429 CTQ786434:CTQ786452 CTQ851964:CTQ851965 CTQ851970:CTQ851988 CTQ917500:CTQ917501 CTQ917506:CTQ917524 CTQ983036:CTQ983037 CTQ983042:CTQ983060 DDM2:DDM3 DDM8:DDM26 DDM65532:DDM65533 DDM65538:DDM65556 DDM131068:DDM131069 DDM131074:DDM131092 DDM196604:DDM196605 DDM196610:DDM196628 DDM262140:DDM262141 DDM262146:DDM262164 DDM327676:DDM327677 DDM327682:DDM327700 DDM393212:DDM393213 DDM393218:DDM393236 DDM458748:DDM458749 DDM458754:DDM458772 DDM524284:DDM524285 DDM524290:DDM524308 DDM589820:DDM589821 DDM589826:DDM589844 DDM655356:DDM655357 DDM655362:DDM655380 DDM720892:DDM720893 DDM720898:DDM720916 DDM786428:DDM786429 DDM786434:DDM786452 DDM851964:DDM851965 DDM851970:DDM851988 DDM917500:DDM917501 DDM917506:DDM917524 DDM983036:DDM983037 DDM983042:DDM983060 DNI2:DNI3 DNI8:DNI26 DNI65532:DNI65533 DNI65538:DNI65556 DNI131068:DNI131069 DNI131074:DNI131092 DNI196604:DNI196605 DNI196610:DNI196628 DNI262140:DNI262141 DNI262146:DNI262164 DNI327676:DNI327677 DNI327682:DNI327700 DNI393212:DNI393213 DNI393218:DNI393236 DNI458748:DNI458749 DNI458754:DNI458772 DNI524284:DNI524285 DNI524290:DNI524308 DNI589820:DNI589821 DNI589826:DNI589844 DNI655356:DNI655357 DNI655362:DNI655380 DNI720892:DNI720893 DNI720898:DNI720916 DNI786428:DNI786429 DNI786434:DNI786452 DNI851964:DNI851965 DNI851970:DNI851988 DNI917500:DNI917501 DNI917506:DNI917524 DNI983036:DNI983037 DNI983042:DNI983060 DXE2:DXE3 DXE8:DXE26 DXE65532:DXE65533 DXE65538:DXE65556 DXE131068:DXE131069 DXE131074:DXE131092 DXE196604:DXE196605 DXE196610:DXE196628 DXE262140:DXE262141 DXE262146:DXE262164 DXE327676:DXE327677 DXE327682:DXE327700 DXE393212:DXE393213 DXE393218:DXE393236 DXE458748:DXE458749 DXE458754:DXE458772 DXE524284:DXE524285 DXE524290:DXE524308 DXE589820:DXE589821 DXE589826:DXE589844 DXE655356:DXE655357 DXE655362:DXE655380 DXE720892:DXE720893 DXE720898:DXE720916 DXE786428:DXE786429 DXE786434:DXE786452 DXE851964:DXE851965 DXE851970:DXE851988 DXE917500:DXE917501 DXE917506:DXE917524 DXE983036:DXE983037 DXE983042:DXE983060 EHA2:EHA3 EHA8:EHA26 EHA65532:EHA65533 EHA65538:EHA65556 EHA131068:EHA131069 EHA131074:EHA131092 EHA196604:EHA196605 EHA196610:EHA196628 EHA262140:EHA262141 EHA262146:EHA262164 EHA327676:EHA327677 EHA327682:EHA327700 EHA393212:EHA393213 EHA393218:EHA393236 EHA458748:EHA458749 EHA458754:EHA458772 EHA524284:EHA524285 EHA524290:EHA524308 EHA589820:EHA589821 EHA589826:EHA589844 EHA655356:EHA655357 EHA655362:EHA655380 EHA720892:EHA720893 EHA720898:EHA720916 EHA786428:EHA786429 EHA786434:EHA786452 EHA851964:EHA851965 EHA851970:EHA851988 EHA917500:EHA917501 EHA917506:EHA917524 EHA983036:EHA983037 EHA983042:EHA983060 EQW2:EQW3 EQW8:EQW26 EQW65532:EQW65533 EQW65538:EQW65556 EQW131068:EQW131069 EQW131074:EQW131092 EQW196604:EQW196605 EQW196610:EQW196628 EQW262140:EQW262141 EQW262146:EQW262164 EQW327676:EQW327677 EQW327682:EQW327700 EQW393212:EQW393213 EQW393218:EQW393236 EQW458748:EQW458749 EQW458754:EQW458772 EQW524284:EQW524285 EQW524290:EQW524308 EQW589820:EQW589821 EQW589826:EQW589844 EQW655356:EQW655357 EQW655362:EQW655380 EQW720892:EQW720893 EQW720898:EQW720916 EQW786428:EQW786429 EQW786434:EQW786452 EQW851964:EQW851965 EQW851970:EQW851988 EQW917500:EQW917501 EQW917506:EQW917524 EQW983036:EQW983037 EQW983042:EQW983060 FAS2:FAS3 FAS8:FAS26 FAS65532:FAS65533 FAS65538:FAS65556 FAS131068:FAS131069 FAS131074:FAS131092 FAS196604:FAS196605 FAS196610:FAS196628 FAS262140:FAS262141 FAS262146:FAS262164 FAS327676:FAS327677 FAS327682:FAS327700 FAS393212:FAS393213 FAS393218:FAS393236 FAS458748:FAS458749 FAS458754:FAS458772 FAS524284:FAS524285 FAS524290:FAS524308 FAS589820:FAS589821 FAS589826:FAS589844 FAS655356:FAS655357 FAS655362:FAS655380 FAS720892:FAS720893 FAS720898:FAS720916 FAS786428:FAS786429 FAS786434:FAS786452 FAS851964:FAS851965 FAS851970:FAS851988 FAS917500:FAS917501 FAS917506:FAS917524 FAS983036:FAS983037 FAS983042:FAS983060 FKO2:FKO3 FKO8:FKO26 FKO65532:FKO65533 FKO65538:FKO65556 FKO131068:FKO131069 FKO131074:FKO131092 FKO196604:FKO196605 FKO196610:FKO196628 FKO262140:FKO262141 FKO262146:FKO262164 FKO327676:FKO327677 FKO327682:FKO327700 FKO393212:FKO393213 FKO393218:FKO393236 FKO458748:FKO458749 FKO458754:FKO458772 FKO524284:FKO524285 FKO524290:FKO524308 FKO589820:FKO589821 FKO589826:FKO589844 FKO655356:FKO655357 FKO655362:FKO655380 FKO720892:FKO720893 FKO720898:FKO720916 FKO786428:FKO786429 FKO786434:FKO786452 FKO851964:FKO851965 FKO851970:FKO851988 FKO917500:FKO917501 FKO917506:FKO917524 FKO983036:FKO983037 FKO983042:FKO983060 FUK2:FUK3 FUK8:FUK26 FUK65532:FUK65533 FUK65538:FUK65556 FUK131068:FUK131069 FUK131074:FUK131092 FUK196604:FUK196605 FUK196610:FUK196628 FUK262140:FUK262141 FUK262146:FUK262164 FUK327676:FUK327677 FUK327682:FUK327700 FUK393212:FUK393213 FUK393218:FUK393236 FUK458748:FUK458749 FUK458754:FUK458772 FUK524284:FUK524285 FUK524290:FUK524308 FUK589820:FUK589821 FUK589826:FUK589844 FUK655356:FUK655357 FUK655362:FUK655380 FUK720892:FUK720893 FUK720898:FUK720916 FUK786428:FUK786429 FUK786434:FUK786452 FUK851964:FUK851965 FUK851970:FUK851988 FUK917500:FUK917501 FUK917506:FUK917524 FUK983036:FUK983037 FUK983042:FUK983060 GEG2:GEG3 GEG8:GEG26 GEG65532:GEG65533 GEG65538:GEG65556 GEG131068:GEG131069 GEG131074:GEG131092 GEG196604:GEG196605 GEG196610:GEG196628 GEG262140:GEG262141 GEG262146:GEG262164 GEG327676:GEG327677 GEG327682:GEG327700 GEG393212:GEG393213 GEG393218:GEG393236 GEG458748:GEG458749 GEG458754:GEG458772 GEG524284:GEG524285 GEG524290:GEG524308 GEG589820:GEG589821 GEG589826:GEG589844 GEG655356:GEG655357 GEG655362:GEG655380 GEG720892:GEG720893 GEG720898:GEG720916 GEG786428:GEG786429 GEG786434:GEG786452 GEG851964:GEG851965 GEG851970:GEG851988 GEG917500:GEG917501 GEG917506:GEG917524 GEG983036:GEG983037 GEG983042:GEG983060 GOC2:GOC3 GOC8:GOC26 GOC65532:GOC65533 GOC65538:GOC65556 GOC131068:GOC131069 GOC131074:GOC131092 GOC196604:GOC196605 GOC196610:GOC196628 GOC262140:GOC262141 GOC262146:GOC262164 GOC327676:GOC327677 GOC327682:GOC327700 GOC393212:GOC393213 GOC393218:GOC393236 GOC458748:GOC458749 GOC458754:GOC458772 GOC524284:GOC524285 GOC524290:GOC524308 GOC589820:GOC589821 GOC589826:GOC589844 GOC655356:GOC655357 GOC655362:GOC655380 GOC720892:GOC720893 GOC720898:GOC720916 GOC786428:GOC786429 GOC786434:GOC786452 GOC851964:GOC851965 GOC851970:GOC851988 GOC917500:GOC917501 GOC917506:GOC917524 GOC983036:GOC983037 GOC983042:GOC983060 GXY2:GXY3 GXY8:GXY26 GXY65532:GXY65533 GXY65538:GXY65556 GXY131068:GXY131069 GXY131074:GXY131092 GXY196604:GXY196605 GXY196610:GXY196628 GXY262140:GXY262141 GXY262146:GXY262164 GXY327676:GXY327677 GXY327682:GXY327700 GXY393212:GXY393213 GXY393218:GXY393236 GXY458748:GXY458749 GXY458754:GXY458772 GXY524284:GXY524285 GXY524290:GXY524308 GXY589820:GXY589821 GXY589826:GXY589844 GXY655356:GXY655357 GXY655362:GXY655380 GXY720892:GXY720893 GXY720898:GXY720916 GXY786428:GXY786429 GXY786434:GXY786452 GXY851964:GXY851965 GXY851970:GXY851988 GXY917500:GXY917501 GXY917506:GXY917524 GXY983036:GXY983037 GXY983042:GXY983060 HHU2:HHU3 HHU8:HHU26 HHU65532:HHU65533 HHU65538:HHU65556 HHU131068:HHU131069 HHU131074:HHU131092 HHU196604:HHU196605 HHU196610:HHU196628 HHU262140:HHU262141 HHU262146:HHU262164 HHU327676:HHU327677 HHU327682:HHU327700 HHU393212:HHU393213 HHU393218:HHU393236 HHU458748:HHU458749 HHU458754:HHU458772 HHU524284:HHU524285 HHU524290:HHU524308 HHU589820:HHU589821 HHU589826:HHU589844 HHU655356:HHU655357 HHU655362:HHU655380 HHU720892:HHU720893 HHU720898:HHU720916 HHU786428:HHU786429 HHU786434:HHU786452 HHU851964:HHU851965 HHU851970:HHU851988 HHU917500:HHU917501 HHU917506:HHU917524 HHU983036:HHU983037 HHU983042:HHU983060 HRQ2:HRQ3 HRQ8:HRQ26 HRQ65532:HRQ65533 HRQ65538:HRQ65556 HRQ131068:HRQ131069 HRQ131074:HRQ131092 HRQ196604:HRQ196605 HRQ196610:HRQ196628 HRQ262140:HRQ262141 HRQ262146:HRQ262164 HRQ327676:HRQ327677 HRQ327682:HRQ327700 HRQ393212:HRQ393213 HRQ393218:HRQ393236 HRQ458748:HRQ458749 HRQ458754:HRQ458772 HRQ524284:HRQ524285 HRQ524290:HRQ524308 HRQ589820:HRQ589821 HRQ589826:HRQ589844 HRQ655356:HRQ655357 HRQ655362:HRQ655380 HRQ720892:HRQ720893 HRQ720898:HRQ720916 HRQ786428:HRQ786429 HRQ786434:HRQ786452 HRQ851964:HRQ851965 HRQ851970:HRQ851988 HRQ917500:HRQ917501 HRQ917506:HRQ917524 HRQ983036:HRQ983037 HRQ983042:HRQ983060 IBM2:IBM3 IBM8:IBM26 IBM65532:IBM65533 IBM65538:IBM65556 IBM131068:IBM131069 IBM131074:IBM131092 IBM196604:IBM196605 IBM196610:IBM196628 IBM262140:IBM262141 IBM262146:IBM262164 IBM327676:IBM327677 IBM327682:IBM327700 IBM393212:IBM393213 IBM393218:IBM393236 IBM458748:IBM458749 IBM458754:IBM458772 IBM524284:IBM524285 IBM524290:IBM524308 IBM589820:IBM589821 IBM589826:IBM589844 IBM655356:IBM655357 IBM655362:IBM655380 IBM720892:IBM720893 IBM720898:IBM720916 IBM786428:IBM786429 IBM786434:IBM786452 IBM851964:IBM851965 IBM851970:IBM851988 IBM917500:IBM917501 IBM917506:IBM917524 IBM983036:IBM983037 IBM983042:IBM983060 ILI2:ILI3 ILI8:ILI26 ILI65532:ILI65533 ILI65538:ILI65556 ILI131068:ILI131069 ILI131074:ILI131092 ILI196604:ILI196605 ILI196610:ILI196628 ILI262140:ILI262141 ILI262146:ILI262164 ILI327676:ILI327677 ILI327682:ILI327700 ILI393212:ILI393213 ILI393218:ILI393236 ILI458748:ILI458749 ILI458754:ILI458772 ILI524284:ILI524285 ILI524290:ILI524308 ILI589820:ILI589821 ILI589826:ILI589844 ILI655356:ILI655357 ILI655362:ILI655380 ILI720892:ILI720893 ILI720898:ILI720916 ILI786428:ILI786429 ILI786434:ILI786452 ILI851964:ILI851965 ILI851970:ILI851988 ILI917500:ILI917501 ILI917506:ILI917524 ILI983036:ILI983037 ILI983042:ILI983060 IVE2:IVE3 IVE8:IVE26 IVE65532:IVE65533 IVE65538:IVE65556 IVE131068:IVE131069 IVE131074:IVE131092 IVE196604:IVE196605 IVE196610:IVE196628 IVE262140:IVE262141 IVE262146:IVE262164 IVE327676:IVE327677 IVE327682:IVE327700 IVE393212:IVE393213 IVE393218:IVE393236 IVE458748:IVE458749 IVE458754:IVE458772 IVE524284:IVE524285 IVE524290:IVE524308 IVE589820:IVE589821 IVE589826:IVE589844 IVE655356:IVE655357 IVE655362:IVE655380 IVE720892:IVE720893 IVE720898:IVE720916 IVE786428:IVE786429 IVE786434:IVE786452 IVE851964:IVE851965 IVE851970:IVE851988 IVE917500:IVE917501 IVE917506:IVE917524 IVE983036:IVE983037 IVE983042:IVE983060 JFA2:JFA3 JFA8:JFA26 JFA65532:JFA65533 JFA65538:JFA65556 JFA131068:JFA131069 JFA131074:JFA131092 JFA196604:JFA196605 JFA196610:JFA196628 JFA262140:JFA262141 JFA262146:JFA262164 JFA327676:JFA327677 JFA327682:JFA327700 JFA393212:JFA393213 JFA393218:JFA393236 JFA458748:JFA458749 JFA458754:JFA458772 JFA524284:JFA524285 JFA524290:JFA524308 JFA589820:JFA589821 JFA589826:JFA589844 JFA655356:JFA655357 JFA655362:JFA655380 JFA720892:JFA720893 JFA720898:JFA720916 JFA786428:JFA786429 JFA786434:JFA786452 JFA851964:JFA851965 JFA851970:JFA851988 JFA917500:JFA917501 JFA917506:JFA917524 JFA983036:JFA983037 JFA983042:JFA983060 JOW2:JOW3 JOW8:JOW26 JOW65532:JOW65533 JOW65538:JOW65556 JOW131068:JOW131069 JOW131074:JOW131092 JOW196604:JOW196605 JOW196610:JOW196628 JOW262140:JOW262141 JOW262146:JOW262164 JOW327676:JOW327677 JOW327682:JOW327700 JOW393212:JOW393213 JOW393218:JOW393236 JOW458748:JOW458749 JOW458754:JOW458772 JOW524284:JOW524285 JOW524290:JOW524308 JOW589820:JOW589821 JOW589826:JOW589844 JOW655356:JOW655357 JOW655362:JOW655380 JOW720892:JOW720893 JOW720898:JOW720916 JOW786428:JOW786429 JOW786434:JOW786452 JOW851964:JOW851965 JOW851970:JOW851988 JOW917500:JOW917501 JOW917506:JOW917524 JOW983036:JOW983037 JOW983042:JOW983060 JYS2:JYS3 JYS8:JYS26 JYS65532:JYS65533 JYS65538:JYS65556 JYS131068:JYS131069 JYS131074:JYS131092 JYS196604:JYS196605 JYS196610:JYS196628 JYS262140:JYS262141 JYS262146:JYS262164 JYS327676:JYS327677 JYS327682:JYS327700 JYS393212:JYS393213 JYS393218:JYS393236 JYS458748:JYS458749 JYS458754:JYS458772 JYS524284:JYS524285 JYS524290:JYS524308 JYS589820:JYS589821 JYS589826:JYS589844 JYS655356:JYS655357 JYS655362:JYS655380 JYS720892:JYS720893 JYS720898:JYS720916 JYS786428:JYS786429 JYS786434:JYS786452 JYS851964:JYS851965 JYS851970:JYS851988 JYS917500:JYS917501 JYS917506:JYS917524 JYS983036:JYS983037 JYS983042:JYS983060 KIO2:KIO3 KIO8:KIO26 KIO65532:KIO65533 KIO65538:KIO65556 KIO131068:KIO131069 KIO131074:KIO131092 KIO196604:KIO196605 KIO196610:KIO196628 KIO262140:KIO262141 KIO262146:KIO262164 KIO327676:KIO327677 KIO327682:KIO327700 KIO393212:KIO393213 KIO393218:KIO393236 KIO458748:KIO458749 KIO458754:KIO458772 KIO524284:KIO524285 KIO524290:KIO524308 KIO589820:KIO589821 KIO589826:KIO589844 KIO655356:KIO655357 KIO655362:KIO655380 KIO720892:KIO720893 KIO720898:KIO720916 KIO786428:KIO786429 KIO786434:KIO786452 KIO851964:KIO851965 KIO851970:KIO851988 KIO917500:KIO917501 KIO917506:KIO917524 KIO983036:KIO983037 KIO983042:KIO983060 KSK2:KSK3 KSK8:KSK26 KSK65532:KSK65533 KSK65538:KSK65556 KSK131068:KSK131069 KSK131074:KSK131092 KSK196604:KSK196605 KSK196610:KSK196628 KSK262140:KSK262141 KSK262146:KSK262164 KSK327676:KSK327677 KSK327682:KSK327700 KSK393212:KSK393213 KSK393218:KSK393236 KSK458748:KSK458749 KSK458754:KSK458772 KSK524284:KSK524285 KSK524290:KSK524308 KSK589820:KSK589821 KSK589826:KSK589844 KSK655356:KSK655357 KSK655362:KSK655380 KSK720892:KSK720893 KSK720898:KSK720916 KSK786428:KSK786429 KSK786434:KSK786452 KSK851964:KSK851965 KSK851970:KSK851988 KSK917500:KSK917501 KSK917506:KSK917524 KSK983036:KSK983037 KSK983042:KSK983060 LCG2:LCG3 LCG8:LCG26 LCG65532:LCG65533 LCG65538:LCG65556 LCG131068:LCG131069 LCG131074:LCG131092 LCG196604:LCG196605 LCG196610:LCG196628 LCG262140:LCG262141 LCG262146:LCG262164 LCG327676:LCG327677 LCG327682:LCG327700 LCG393212:LCG393213 LCG393218:LCG393236 LCG458748:LCG458749 LCG458754:LCG458772 LCG524284:LCG524285 LCG524290:LCG524308 LCG589820:LCG589821 LCG589826:LCG589844 LCG655356:LCG655357 LCG655362:LCG655380 LCG720892:LCG720893 LCG720898:LCG720916 LCG786428:LCG786429 LCG786434:LCG786452 LCG851964:LCG851965 LCG851970:LCG851988 LCG917500:LCG917501 LCG917506:LCG917524 LCG983036:LCG983037 LCG983042:LCG983060 LMC2:LMC3 LMC8:LMC26 LMC65532:LMC65533 LMC65538:LMC65556 LMC131068:LMC131069 LMC131074:LMC131092 LMC196604:LMC196605 LMC196610:LMC196628 LMC262140:LMC262141 LMC262146:LMC262164 LMC327676:LMC327677 LMC327682:LMC327700 LMC393212:LMC393213 LMC393218:LMC393236 LMC458748:LMC458749 LMC458754:LMC458772 LMC524284:LMC524285 LMC524290:LMC524308 LMC589820:LMC589821 LMC589826:LMC589844 LMC655356:LMC655357 LMC655362:LMC655380 LMC720892:LMC720893 LMC720898:LMC720916 LMC786428:LMC786429 LMC786434:LMC786452 LMC851964:LMC851965 LMC851970:LMC851988 LMC917500:LMC917501 LMC917506:LMC917524 LMC983036:LMC983037 LMC983042:LMC983060 LVY2:LVY3 LVY8:LVY26 LVY65532:LVY65533 LVY65538:LVY65556 LVY131068:LVY131069 LVY131074:LVY131092 LVY196604:LVY196605 LVY196610:LVY196628 LVY262140:LVY262141 LVY262146:LVY262164 LVY327676:LVY327677 LVY327682:LVY327700 LVY393212:LVY393213 LVY393218:LVY393236 LVY458748:LVY458749 LVY458754:LVY458772 LVY524284:LVY524285 LVY524290:LVY524308 LVY589820:LVY589821 LVY589826:LVY589844 LVY655356:LVY655357 LVY655362:LVY655380 LVY720892:LVY720893 LVY720898:LVY720916 LVY786428:LVY786429 LVY786434:LVY786452 LVY851964:LVY851965 LVY851970:LVY851988 LVY917500:LVY917501 LVY917506:LVY917524 LVY983036:LVY983037 LVY983042:LVY983060 MFU2:MFU3 MFU8:MFU26 MFU65532:MFU65533 MFU65538:MFU65556 MFU131068:MFU131069 MFU131074:MFU131092 MFU196604:MFU196605 MFU196610:MFU196628 MFU262140:MFU262141 MFU262146:MFU262164 MFU327676:MFU327677 MFU327682:MFU327700 MFU393212:MFU393213 MFU393218:MFU393236 MFU458748:MFU458749 MFU458754:MFU458772 MFU524284:MFU524285 MFU524290:MFU524308 MFU589820:MFU589821 MFU589826:MFU589844 MFU655356:MFU655357 MFU655362:MFU655380 MFU720892:MFU720893 MFU720898:MFU720916 MFU786428:MFU786429 MFU786434:MFU786452 MFU851964:MFU851965 MFU851970:MFU851988 MFU917500:MFU917501 MFU917506:MFU917524 MFU983036:MFU983037 MFU983042:MFU983060 MPQ2:MPQ3 MPQ8:MPQ26 MPQ65532:MPQ65533 MPQ65538:MPQ65556 MPQ131068:MPQ131069 MPQ131074:MPQ131092 MPQ196604:MPQ196605 MPQ196610:MPQ196628 MPQ262140:MPQ262141 MPQ262146:MPQ262164 MPQ327676:MPQ327677 MPQ327682:MPQ327700 MPQ393212:MPQ393213 MPQ393218:MPQ393236 MPQ458748:MPQ458749 MPQ458754:MPQ458772 MPQ524284:MPQ524285 MPQ524290:MPQ524308 MPQ589820:MPQ589821 MPQ589826:MPQ589844 MPQ655356:MPQ655357 MPQ655362:MPQ655380 MPQ720892:MPQ720893 MPQ720898:MPQ720916 MPQ786428:MPQ786429 MPQ786434:MPQ786452 MPQ851964:MPQ851965 MPQ851970:MPQ851988 MPQ917500:MPQ917501 MPQ917506:MPQ917524 MPQ983036:MPQ983037 MPQ983042:MPQ983060 MZM2:MZM3 MZM8:MZM26 MZM65532:MZM65533 MZM65538:MZM65556 MZM131068:MZM131069 MZM131074:MZM131092 MZM196604:MZM196605 MZM196610:MZM196628 MZM262140:MZM262141 MZM262146:MZM262164 MZM327676:MZM327677 MZM327682:MZM327700 MZM393212:MZM393213 MZM393218:MZM393236 MZM458748:MZM458749 MZM458754:MZM458772 MZM524284:MZM524285 MZM524290:MZM524308 MZM589820:MZM589821 MZM589826:MZM589844 MZM655356:MZM655357 MZM655362:MZM655380 MZM720892:MZM720893 MZM720898:MZM720916 MZM786428:MZM786429 MZM786434:MZM786452 MZM851964:MZM851965 MZM851970:MZM851988 MZM917500:MZM917501 MZM917506:MZM917524 MZM983036:MZM983037 MZM983042:MZM983060 NJI2:NJI3 NJI8:NJI26 NJI65532:NJI65533 NJI65538:NJI65556 NJI131068:NJI131069 NJI131074:NJI131092 NJI196604:NJI196605 NJI196610:NJI196628 NJI262140:NJI262141 NJI262146:NJI262164 NJI327676:NJI327677 NJI327682:NJI327700 NJI393212:NJI393213 NJI393218:NJI393236 NJI458748:NJI458749 NJI458754:NJI458772 NJI524284:NJI524285 NJI524290:NJI524308 NJI589820:NJI589821 NJI589826:NJI589844 NJI655356:NJI655357 NJI655362:NJI655380 NJI720892:NJI720893 NJI720898:NJI720916 NJI786428:NJI786429 NJI786434:NJI786452 NJI851964:NJI851965 NJI851970:NJI851988 NJI917500:NJI917501 NJI917506:NJI917524 NJI983036:NJI983037 NJI983042:NJI983060 NTE2:NTE3 NTE8:NTE26 NTE65532:NTE65533 NTE65538:NTE65556 NTE131068:NTE131069 NTE131074:NTE131092 NTE196604:NTE196605 NTE196610:NTE196628 NTE262140:NTE262141 NTE262146:NTE262164 NTE327676:NTE327677 NTE327682:NTE327700 NTE393212:NTE393213 NTE393218:NTE393236 NTE458748:NTE458749 NTE458754:NTE458772 NTE524284:NTE524285 NTE524290:NTE524308 NTE589820:NTE589821 NTE589826:NTE589844 NTE655356:NTE655357 NTE655362:NTE655380 NTE720892:NTE720893 NTE720898:NTE720916 NTE786428:NTE786429 NTE786434:NTE786452 NTE851964:NTE851965 NTE851970:NTE851988 NTE917500:NTE917501 NTE917506:NTE917524 NTE983036:NTE983037 NTE983042:NTE983060 ODA2:ODA3 ODA8:ODA26 ODA65532:ODA65533 ODA65538:ODA65556 ODA131068:ODA131069 ODA131074:ODA131092 ODA196604:ODA196605 ODA196610:ODA196628 ODA262140:ODA262141 ODA262146:ODA262164 ODA327676:ODA327677 ODA327682:ODA327700 ODA393212:ODA393213 ODA393218:ODA393236 ODA458748:ODA458749 ODA458754:ODA458772 ODA524284:ODA524285 ODA524290:ODA524308 ODA589820:ODA589821 ODA589826:ODA589844 ODA655356:ODA655357 ODA655362:ODA655380 ODA720892:ODA720893 ODA720898:ODA720916 ODA786428:ODA786429 ODA786434:ODA786452 ODA851964:ODA851965 ODA851970:ODA851988 ODA917500:ODA917501 ODA917506:ODA917524 ODA983036:ODA983037 ODA983042:ODA983060 OMW2:OMW3 OMW8:OMW26 OMW65532:OMW65533 OMW65538:OMW65556 OMW131068:OMW131069 OMW131074:OMW131092 OMW196604:OMW196605 OMW196610:OMW196628 OMW262140:OMW262141 OMW262146:OMW262164 OMW327676:OMW327677 OMW327682:OMW327700 OMW393212:OMW393213 OMW393218:OMW393236 OMW458748:OMW458749 OMW458754:OMW458772 OMW524284:OMW524285 OMW524290:OMW524308 OMW589820:OMW589821 OMW589826:OMW589844 OMW655356:OMW655357 OMW655362:OMW655380 OMW720892:OMW720893 OMW720898:OMW720916 OMW786428:OMW786429 OMW786434:OMW786452 OMW851964:OMW851965 OMW851970:OMW851988 OMW917500:OMW917501 OMW917506:OMW917524 OMW983036:OMW983037 OMW983042:OMW983060 OWS2:OWS3 OWS8:OWS26 OWS65532:OWS65533 OWS65538:OWS65556 OWS131068:OWS131069 OWS131074:OWS131092 OWS196604:OWS196605 OWS196610:OWS196628 OWS262140:OWS262141 OWS262146:OWS262164 OWS327676:OWS327677 OWS327682:OWS327700 OWS393212:OWS393213 OWS393218:OWS393236 OWS458748:OWS458749 OWS458754:OWS458772 OWS524284:OWS524285 OWS524290:OWS524308 OWS589820:OWS589821 OWS589826:OWS589844 OWS655356:OWS655357 OWS655362:OWS655380 OWS720892:OWS720893 OWS720898:OWS720916 OWS786428:OWS786429 OWS786434:OWS786452 OWS851964:OWS851965 OWS851970:OWS851988 OWS917500:OWS917501 OWS917506:OWS917524 OWS983036:OWS983037 OWS983042:OWS983060 PGO2:PGO3 PGO8:PGO26 PGO65532:PGO65533 PGO65538:PGO65556 PGO131068:PGO131069 PGO131074:PGO131092 PGO196604:PGO196605 PGO196610:PGO196628 PGO262140:PGO262141 PGO262146:PGO262164 PGO327676:PGO327677 PGO327682:PGO327700 PGO393212:PGO393213 PGO393218:PGO393236 PGO458748:PGO458749 PGO458754:PGO458772 PGO524284:PGO524285 PGO524290:PGO524308 PGO589820:PGO589821 PGO589826:PGO589844 PGO655356:PGO655357 PGO655362:PGO655380 PGO720892:PGO720893 PGO720898:PGO720916 PGO786428:PGO786429 PGO786434:PGO786452 PGO851964:PGO851965 PGO851970:PGO851988 PGO917500:PGO917501 PGO917506:PGO917524 PGO983036:PGO983037 PGO983042:PGO983060 PQK2:PQK3 PQK8:PQK26 PQK65532:PQK65533 PQK65538:PQK65556 PQK131068:PQK131069 PQK131074:PQK131092 PQK196604:PQK196605 PQK196610:PQK196628 PQK262140:PQK262141 PQK262146:PQK262164 PQK327676:PQK327677 PQK327682:PQK327700 PQK393212:PQK393213 PQK393218:PQK393236 PQK458748:PQK458749 PQK458754:PQK458772 PQK524284:PQK524285 PQK524290:PQK524308 PQK589820:PQK589821 PQK589826:PQK589844 PQK655356:PQK655357 PQK655362:PQK655380 PQK720892:PQK720893 PQK720898:PQK720916 PQK786428:PQK786429 PQK786434:PQK786452 PQK851964:PQK851965 PQK851970:PQK851988 PQK917500:PQK917501 PQK917506:PQK917524 PQK983036:PQK983037 PQK983042:PQK983060 QAG2:QAG3 QAG8:QAG26 QAG65532:QAG65533 QAG65538:QAG65556 QAG131068:QAG131069 QAG131074:QAG131092 QAG196604:QAG196605 QAG196610:QAG196628 QAG262140:QAG262141 QAG262146:QAG262164 QAG327676:QAG327677 QAG327682:QAG327700 QAG393212:QAG393213 QAG393218:QAG393236 QAG458748:QAG458749 QAG458754:QAG458772 QAG524284:QAG524285 QAG524290:QAG524308 QAG589820:QAG589821 QAG589826:QAG589844 QAG655356:QAG655357 QAG655362:QAG655380 QAG720892:QAG720893 QAG720898:QAG720916 QAG786428:QAG786429 QAG786434:QAG786452 QAG851964:QAG851965 QAG851970:QAG851988 QAG917500:QAG917501 QAG917506:QAG917524 QAG983036:QAG983037 QAG983042:QAG983060 QKC2:QKC3 QKC8:QKC26 QKC65532:QKC65533 QKC65538:QKC65556 QKC131068:QKC131069 QKC131074:QKC131092 QKC196604:QKC196605 QKC196610:QKC196628 QKC262140:QKC262141 QKC262146:QKC262164 QKC327676:QKC327677 QKC327682:QKC327700 QKC393212:QKC393213 QKC393218:QKC393236 QKC458748:QKC458749 QKC458754:QKC458772 QKC524284:QKC524285 QKC524290:QKC524308 QKC589820:QKC589821 QKC589826:QKC589844 QKC655356:QKC655357 QKC655362:QKC655380 QKC720892:QKC720893 QKC720898:QKC720916 QKC786428:QKC786429 QKC786434:QKC786452 QKC851964:QKC851965 QKC851970:QKC851988 QKC917500:QKC917501 QKC917506:QKC917524 QKC983036:QKC983037 QKC983042:QKC983060 QTY2:QTY3 QTY8:QTY26 QTY65532:QTY65533 QTY65538:QTY65556 QTY131068:QTY131069 QTY131074:QTY131092 QTY196604:QTY196605 QTY196610:QTY196628 QTY262140:QTY262141 QTY262146:QTY262164 QTY327676:QTY327677 QTY327682:QTY327700 QTY393212:QTY393213 QTY393218:QTY393236 QTY458748:QTY458749 QTY458754:QTY458772 QTY524284:QTY524285 QTY524290:QTY524308 QTY589820:QTY589821 QTY589826:QTY589844 QTY655356:QTY655357 QTY655362:QTY655380 QTY720892:QTY720893 QTY720898:QTY720916 QTY786428:QTY786429 QTY786434:QTY786452 QTY851964:QTY851965 QTY851970:QTY851988 QTY917500:QTY917501 QTY917506:QTY917524 QTY983036:QTY983037 QTY983042:QTY983060 RDU2:RDU3 RDU8:RDU26 RDU65532:RDU65533 RDU65538:RDU65556 RDU131068:RDU131069 RDU131074:RDU131092 RDU196604:RDU196605 RDU196610:RDU196628 RDU262140:RDU262141 RDU262146:RDU262164 RDU327676:RDU327677 RDU327682:RDU327700 RDU393212:RDU393213 RDU393218:RDU393236 RDU458748:RDU458749 RDU458754:RDU458772 RDU524284:RDU524285 RDU524290:RDU524308 RDU589820:RDU589821 RDU589826:RDU589844 RDU655356:RDU655357 RDU655362:RDU655380 RDU720892:RDU720893 RDU720898:RDU720916 RDU786428:RDU786429 RDU786434:RDU786452 RDU851964:RDU851965 RDU851970:RDU851988 RDU917500:RDU917501 RDU917506:RDU917524 RDU983036:RDU983037 RDU983042:RDU983060 RNQ2:RNQ3 RNQ8:RNQ26 RNQ65532:RNQ65533 RNQ65538:RNQ65556 RNQ131068:RNQ131069 RNQ131074:RNQ131092 RNQ196604:RNQ196605 RNQ196610:RNQ196628 RNQ262140:RNQ262141 RNQ262146:RNQ262164 RNQ327676:RNQ327677 RNQ327682:RNQ327700 RNQ393212:RNQ393213 RNQ393218:RNQ393236 RNQ458748:RNQ458749 RNQ458754:RNQ458772 RNQ524284:RNQ524285 RNQ524290:RNQ524308 RNQ589820:RNQ589821 RNQ589826:RNQ589844 RNQ655356:RNQ655357 RNQ655362:RNQ655380 RNQ720892:RNQ720893 RNQ720898:RNQ720916 RNQ786428:RNQ786429 RNQ786434:RNQ786452 RNQ851964:RNQ851965 RNQ851970:RNQ851988 RNQ917500:RNQ917501 RNQ917506:RNQ917524 RNQ983036:RNQ983037 RNQ983042:RNQ983060 RXM2:RXM3 RXM8:RXM26 RXM65532:RXM65533 RXM65538:RXM65556 RXM131068:RXM131069 RXM131074:RXM131092 RXM196604:RXM196605 RXM196610:RXM196628 RXM262140:RXM262141 RXM262146:RXM262164 RXM327676:RXM327677 RXM327682:RXM327700 RXM393212:RXM393213 RXM393218:RXM393236 RXM458748:RXM458749 RXM458754:RXM458772 RXM524284:RXM524285 RXM524290:RXM524308 RXM589820:RXM589821 RXM589826:RXM589844 RXM655356:RXM655357 RXM655362:RXM655380 RXM720892:RXM720893 RXM720898:RXM720916 RXM786428:RXM786429 RXM786434:RXM786452 RXM851964:RXM851965 RXM851970:RXM851988 RXM917500:RXM917501 RXM917506:RXM917524 RXM983036:RXM983037 RXM983042:RXM983060 SHI2:SHI3 SHI8:SHI26 SHI65532:SHI65533 SHI65538:SHI65556 SHI131068:SHI131069 SHI131074:SHI131092 SHI196604:SHI196605 SHI196610:SHI196628 SHI262140:SHI262141 SHI262146:SHI262164 SHI327676:SHI327677 SHI327682:SHI327700 SHI393212:SHI393213 SHI393218:SHI393236 SHI458748:SHI458749 SHI458754:SHI458772 SHI524284:SHI524285 SHI524290:SHI524308 SHI589820:SHI589821 SHI589826:SHI589844 SHI655356:SHI655357 SHI655362:SHI655380 SHI720892:SHI720893 SHI720898:SHI720916 SHI786428:SHI786429 SHI786434:SHI786452 SHI851964:SHI851965 SHI851970:SHI851988 SHI917500:SHI917501 SHI917506:SHI917524 SHI983036:SHI983037 SHI983042:SHI983060 SRE2:SRE3 SRE8:SRE26 SRE65532:SRE65533 SRE65538:SRE65556 SRE131068:SRE131069 SRE131074:SRE131092 SRE196604:SRE196605 SRE196610:SRE196628 SRE262140:SRE262141 SRE262146:SRE262164 SRE327676:SRE327677 SRE327682:SRE327700 SRE393212:SRE393213 SRE393218:SRE393236 SRE458748:SRE458749 SRE458754:SRE458772 SRE524284:SRE524285 SRE524290:SRE524308 SRE589820:SRE589821 SRE589826:SRE589844 SRE655356:SRE655357 SRE655362:SRE655380 SRE720892:SRE720893 SRE720898:SRE720916 SRE786428:SRE786429 SRE786434:SRE786452 SRE851964:SRE851965 SRE851970:SRE851988 SRE917500:SRE917501 SRE917506:SRE917524 SRE983036:SRE983037 SRE983042:SRE983060 TBA2:TBA3 TBA8:TBA26 TBA65532:TBA65533 TBA65538:TBA65556 TBA131068:TBA131069 TBA131074:TBA131092 TBA196604:TBA196605 TBA196610:TBA196628 TBA262140:TBA262141 TBA262146:TBA262164 TBA327676:TBA327677 TBA327682:TBA327700 TBA393212:TBA393213 TBA393218:TBA393236 TBA458748:TBA458749 TBA458754:TBA458772 TBA524284:TBA524285 TBA524290:TBA524308 TBA589820:TBA589821 TBA589826:TBA589844 TBA655356:TBA655357 TBA655362:TBA655380 TBA720892:TBA720893 TBA720898:TBA720916 TBA786428:TBA786429 TBA786434:TBA786452 TBA851964:TBA851965 TBA851970:TBA851988 TBA917500:TBA917501 TBA917506:TBA917524 TBA983036:TBA983037 TBA983042:TBA983060 TKW2:TKW3 TKW8:TKW26 TKW65532:TKW65533 TKW65538:TKW65556 TKW131068:TKW131069 TKW131074:TKW131092 TKW196604:TKW196605 TKW196610:TKW196628 TKW262140:TKW262141 TKW262146:TKW262164 TKW327676:TKW327677 TKW327682:TKW327700 TKW393212:TKW393213 TKW393218:TKW393236 TKW458748:TKW458749 TKW458754:TKW458772 TKW524284:TKW524285 TKW524290:TKW524308 TKW589820:TKW589821 TKW589826:TKW589844 TKW655356:TKW655357 TKW655362:TKW655380 TKW720892:TKW720893 TKW720898:TKW720916 TKW786428:TKW786429 TKW786434:TKW786452 TKW851964:TKW851965 TKW851970:TKW851988 TKW917500:TKW917501 TKW917506:TKW917524 TKW983036:TKW983037 TKW983042:TKW983060 TUS2:TUS3 TUS8:TUS26 TUS65532:TUS65533 TUS65538:TUS65556 TUS131068:TUS131069 TUS131074:TUS131092 TUS196604:TUS196605 TUS196610:TUS196628 TUS262140:TUS262141 TUS262146:TUS262164 TUS327676:TUS327677 TUS327682:TUS327700 TUS393212:TUS393213 TUS393218:TUS393236 TUS458748:TUS458749 TUS458754:TUS458772 TUS524284:TUS524285 TUS524290:TUS524308 TUS589820:TUS589821 TUS589826:TUS589844 TUS655356:TUS655357 TUS655362:TUS655380 TUS720892:TUS720893 TUS720898:TUS720916 TUS786428:TUS786429 TUS786434:TUS786452 TUS851964:TUS851965 TUS851970:TUS851988 TUS917500:TUS917501 TUS917506:TUS917524 TUS983036:TUS983037 TUS983042:TUS983060 UEO2:UEO3 UEO8:UEO26 UEO65532:UEO65533 UEO65538:UEO65556 UEO131068:UEO131069 UEO131074:UEO131092 UEO196604:UEO196605 UEO196610:UEO196628 UEO262140:UEO262141 UEO262146:UEO262164 UEO327676:UEO327677 UEO327682:UEO327700 UEO393212:UEO393213 UEO393218:UEO393236 UEO458748:UEO458749 UEO458754:UEO458772 UEO524284:UEO524285 UEO524290:UEO524308 UEO589820:UEO589821 UEO589826:UEO589844 UEO655356:UEO655357 UEO655362:UEO655380 UEO720892:UEO720893 UEO720898:UEO720916 UEO786428:UEO786429 UEO786434:UEO786452 UEO851964:UEO851965 UEO851970:UEO851988 UEO917500:UEO917501 UEO917506:UEO917524 UEO983036:UEO983037 UEO983042:UEO983060 UOK2:UOK3 UOK8:UOK26 UOK65532:UOK65533 UOK65538:UOK65556 UOK131068:UOK131069 UOK131074:UOK131092 UOK196604:UOK196605 UOK196610:UOK196628 UOK262140:UOK262141 UOK262146:UOK262164 UOK327676:UOK327677 UOK327682:UOK327700 UOK393212:UOK393213 UOK393218:UOK393236 UOK458748:UOK458749 UOK458754:UOK458772 UOK524284:UOK524285 UOK524290:UOK524308 UOK589820:UOK589821 UOK589826:UOK589844 UOK655356:UOK655357 UOK655362:UOK655380 UOK720892:UOK720893 UOK720898:UOK720916 UOK786428:UOK786429 UOK786434:UOK786452 UOK851964:UOK851965 UOK851970:UOK851988 UOK917500:UOK917501 UOK917506:UOK917524 UOK983036:UOK983037 UOK983042:UOK983060 UYG2:UYG3 UYG8:UYG26 UYG65532:UYG65533 UYG65538:UYG65556 UYG131068:UYG131069 UYG131074:UYG131092 UYG196604:UYG196605 UYG196610:UYG196628 UYG262140:UYG262141 UYG262146:UYG262164 UYG327676:UYG327677 UYG327682:UYG327700 UYG393212:UYG393213 UYG393218:UYG393236 UYG458748:UYG458749 UYG458754:UYG458772 UYG524284:UYG524285 UYG524290:UYG524308 UYG589820:UYG589821 UYG589826:UYG589844 UYG655356:UYG655357 UYG655362:UYG655380 UYG720892:UYG720893 UYG720898:UYG720916 UYG786428:UYG786429 UYG786434:UYG786452 UYG851964:UYG851965 UYG851970:UYG851988 UYG917500:UYG917501 UYG917506:UYG917524 UYG983036:UYG983037 UYG983042:UYG983060 VIC2:VIC3 VIC8:VIC26 VIC65532:VIC65533 VIC65538:VIC65556 VIC131068:VIC131069 VIC131074:VIC131092 VIC196604:VIC196605 VIC196610:VIC196628 VIC262140:VIC262141 VIC262146:VIC262164 VIC327676:VIC327677 VIC327682:VIC327700 VIC393212:VIC393213 VIC393218:VIC393236 VIC458748:VIC458749 VIC458754:VIC458772 VIC524284:VIC524285 VIC524290:VIC524308 VIC589820:VIC589821 VIC589826:VIC589844 VIC655356:VIC655357 VIC655362:VIC655380 VIC720892:VIC720893 VIC720898:VIC720916 VIC786428:VIC786429 VIC786434:VIC786452 VIC851964:VIC851965 VIC851970:VIC851988 VIC917500:VIC917501 VIC917506:VIC917524 VIC983036:VIC983037 VIC983042:VIC983060 VRY2:VRY3 VRY8:VRY26 VRY65532:VRY65533 VRY65538:VRY65556 VRY131068:VRY131069 VRY131074:VRY131092 VRY196604:VRY196605 VRY196610:VRY196628 VRY262140:VRY262141 VRY262146:VRY262164 VRY327676:VRY327677 VRY327682:VRY327700 VRY393212:VRY393213 VRY393218:VRY393236 VRY458748:VRY458749 VRY458754:VRY458772 VRY524284:VRY524285 VRY524290:VRY524308 VRY589820:VRY589821 VRY589826:VRY589844 VRY655356:VRY655357 VRY655362:VRY655380 VRY720892:VRY720893 VRY720898:VRY720916 VRY786428:VRY786429 VRY786434:VRY786452 VRY851964:VRY851965 VRY851970:VRY851988 VRY917500:VRY917501 VRY917506:VRY917524 VRY983036:VRY983037 VRY983042:VRY983060 WBU2:WBU3 WBU8:WBU26 WBU65532:WBU65533 WBU65538:WBU65556 WBU131068:WBU131069 WBU131074:WBU131092 WBU196604:WBU196605 WBU196610:WBU196628 WBU262140:WBU262141 WBU262146:WBU262164 WBU327676:WBU327677 WBU327682:WBU327700 WBU393212:WBU393213 WBU393218:WBU393236 WBU458748:WBU458749 WBU458754:WBU458772 WBU524284:WBU524285 WBU524290:WBU524308 WBU589820:WBU589821 WBU589826:WBU589844 WBU655356:WBU655357 WBU655362:WBU655380 WBU720892:WBU720893 WBU720898:WBU720916 WBU786428:WBU786429 WBU786434:WBU786452 WBU851964:WBU851965 WBU851970:WBU851988 WBU917500:WBU917501 WBU917506:WBU917524 WBU983036:WBU983037 WBU983042:WBU983060 WLQ2:WLQ3 WLQ8:WLQ26 WLQ65532:WLQ65533 WLQ65538:WLQ65556 WLQ131068:WLQ131069 WLQ131074:WLQ131092 WLQ196604:WLQ196605 WLQ196610:WLQ196628 WLQ262140:WLQ262141 WLQ262146:WLQ262164 WLQ327676:WLQ327677 WLQ327682:WLQ327700 WLQ393212:WLQ393213 WLQ393218:WLQ393236 WLQ458748:WLQ458749 WLQ458754:WLQ458772 WLQ524284:WLQ524285 WLQ524290:WLQ524308 WLQ589820:WLQ589821 WLQ589826:WLQ589844 WLQ655356:WLQ655357 WLQ655362:WLQ655380 WLQ720892:WLQ720893 WLQ720898:WLQ720916 WLQ786428:WLQ786429 WLQ786434:WLQ786452 WLQ851964:WLQ851965 WLQ851970:WLQ851988 WLQ917500:WLQ917501 WLQ917506:WLQ917524 WLQ983036:WLQ983037 WLQ983042:WLQ983060 WVM2:WVM3 WVM8:WVM26 WVM65532:WVM65533 WVM65538:WVM65556 WVM131068:WVM131069 WVM131074:WVM131092 WVM196604:WVM196605 WVM196610:WVM196628 WVM262140:WVM262141 WVM262146:WVM262164 WVM327676:WVM327677 WVM327682:WVM327700 WVM393212:WVM393213 WVM393218:WVM393236 WVM458748:WVM458749 WVM458754:WVM458772 WVM524284:WVM524285 WVM524290:WVM524308 WVM589820:WVM589821 WVM589826:WVM589844 WVM655356:WVM655357 WVM655362:WVM655380 WVM720892:WVM720893 WVM720898:WVM720916 WVM786428:WVM786429 WVM786434:WVM786452 WVM851964:WVM851965 WVM851970:WVM851988 WVM917500:WVM917501 WVM917506:WVM917524 WVM983036:WVM983037 WVM983042:WVM983060" xr:uid="{00000000-0002-0000-0800-000011000000}"/>
    <dataValidation allowBlank="1" showInputMessage="1" showErrorMessage="1" promptTitle="Do not change" prompt="This field is automatically updated from the names-list" sqref="X8:X26 X65538:X65556 X131074:X131092 X196610:X196628 X262146:X262164 X327682:X327700 X393218:X393236 X458754:X458772 X524290:X524308 X589826:X589844 X655362:X655380 X720898:X720916 X786434:X786452 X851970:X851988 X917506:X917524 X983042:X983060 JT8:JT26 JT65538:JT65556 JT131074:JT131092 JT196610:JT196628 JT262146:JT262164 JT327682:JT327700 JT393218:JT393236 JT458754:JT458772 JT524290:JT524308 JT589826:JT589844 JT655362:JT655380 JT720898:JT720916 JT786434:JT786452 JT851970:JT851988 JT917506:JT917524 JT983042:JT983060 TP8:TP26 TP65538:TP65556 TP131074:TP131092 TP196610:TP196628 TP262146:TP262164 TP327682:TP327700 TP393218:TP393236 TP458754:TP458772 TP524290:TP524308 TP589826:TP589844 TP655362:TP655380 TP720898:TP720916 TP786434:TP786452 TP851970:TP851988 TP917506:TP917524 TP983042:TP983060 ADL8:ADL26 ADL65538:ADL65556 ADL131074:ADL131092 ADL196610:ADL196628 ADL262146:ADL262164 ADL327682:ADL327700 ADL393218:ADL393236 ADL458754:ADL458772 ADL524290:ADL524308 ADL589826:ADL589844 ADL655362:ADL655380 ADL720898:ADL720916 ADL786434:ADL786452 ADL851970:ADL851988 ADL917506:ADL917524 ADL983042:ADL983060 ANH8:ANH26 ANH65538:ANH65556 ANH131074:ANH131092 ANH196610:ANH196628 ANH262146:ANH262164 ANH327682:ANH327700 ANH393218:ANH393236 ANH458754:ANH458772 ANH524290:ANH524308 ANH589826:ANH589844 ANH655362:ANH655380 ANH720898:ANH720916 ANH786434:ANH786452 ANH851970:ANH851988 ANH917506:ANH917524 ANH983042:ANH983060 AXD8:AXD26 AXD65538:AXD65556 AXD131074:AXD131092 AXD196610:AXD196628 AXD262146:AXD262164 AXD327682:AXD327700 AXD393218:AXD393236 AXD458754:AXD458772 AXD524290:AXD524308 AXD589826:AXD589844 AXD655362:AXD655380 AXD720898:AXD720916 AXD786434:AXD786452 AXD851970:AXD851988 AXD917506:AXD917524 AXD983042:AXD983060 BGZ8:BGZ26 BGZ65538:BGZ65556 BGZ131074:BGZ131092 BGZ196610:BGZ196628 BGZ262146:BGZ262164 BGZ327682:BGZ327700 BGZ393218:BGZ393236 BGZ458754:BGZ458772 BGZ524290:BGZ524308 BGZ589826:BGZ589844 BGZ655362:BGZ655380 BGZ720898:BGZ720916 BGZ786434:BGZ786452 BGZ851970:BGZ851988 BGZ917506:BGZ917524 BGZ983042:BGZ983060 BQV8:BQV26 BQV65538:BQV65556 BQV131074:BQV131092 BQV196610:BQV196628 BQV262146:BQV262164 BQV327682:BQV327700 BQV393218:BQV393236 BQV458754:BQV458772 BQV524290:BQV524308 BQV589826:BQV589844 BQV655362:BQV655380 BQV720898:BQV720916 BQV786434:BQV786452 BQV851970:BQV851988 BQV917506:BQV917524 BQV983042:BQV983060 CAR8:CAR26 CAR65538:CAR65556 CAR131074:CAR131092 CAR196610:CAR196628 CAR262146:CAR262164 CAR327682:CAR327700 CAR393218:CAR393236 CAR458754:CAR458772 CAR524290:CAR524308 CAR589826:CAR589844 CAR655362:CAR655380 CAR720898:CAR720916 CAR786434:CAR786452 CAR851970:CAR851988 CAR917506:CAR917524 CAR983042:CAR983060 CKN8:CKN26 CKN65538:CKN65556 CKN131074:CKN131092 CKN196610:CKN196628 CKN262146:CKN262164 CKN327682:CKN327700 CKN393218:CKN393236 CKN458754:CKN458772 CKN524290:CKN524308 CKN589826:CKN589844 CKN655362:CKN655380 CKN720898:CKN720916 CKN786434:CKN786452 CKN851970:CKN851988 CKN917506:CKN917524 CKN983042:CKN983060 CUJ8:CUJ26 CUJ65538:CUJ65556 CUJ131074:CUJ131092 CUJ196610:CUJ196628 CUJ262146:CUJ262164 CUJ327682:CUJ327700 CUJ393218:CUJ393236 CUJ458754:CUJ458772 CUJ524290:CUJ524308 CUJ589826:CUJ589844 CUJ655362:CUJ655380 CUJ720898:CUJ720916 CUJ786434:CUJ786452 CUJ851970:CUJ851988 CUJ917506:CUJ917524 CUJ983042:CUJ983060 DEF8:DEF26 DEF65538:DEF65556 DEF131074:DEF131092 DEF196610:DEF196628 DEF262146:DEF262164 DEF327682:DEF327700 DEF393218:DEF393236 DEF458754:DEF458772 DEF524290:DEF524308 DEF589826:DEF589844 DEF655362:DEF655380 DEF720898:DEF720916 DEF786434:DEF786452 DEF851970:DEF851988 DEF917506:DEF917524 DEF983042:DEF983060 DOB8:DOB26 DOB65538:DOB65556 DOB131074:DOB131092 DOB196610:DOB196628 DOB262146:DOB262164 DOB327682:DOB327700 DOB393218:DOB393236 DOB458754:DOB458772 DOB524290:DOB524308 DOB589826:DOB589844 DOB655362:DOB655380 DOB720898:DOB720916 DOB786434:DOB786452 DOB851970:DOB851988 DOB917506:DOB917524 DOB983042:DOB983060 DXX8:DXX26 DXX65538:DXX65556 DXX131074:DXX131092 DXX196610:DXX196628 DXX262146:DXX262164 DXX327682:DXX327700 DXX393218:DXX393236 DXX458754:DXX458772 DXX524290:DXX524308 DXX589826:DXX589844 DXX655362:DXX655380 DXX720898:DXX720916 DXX786434:DXX786452 DXX851970:DXX851988 DXX917506:DXX917524 DXX983042:DXX983060 EHT8:EHT26 EHT65538:EHT65556 EHT131074:EHT131092 EHT196610:EHT196628 EHT262146:EHT262164 EHT327682:EHT327700 EHT393218:EHT393236 EHT458754:EHT458772 EHT524290:EHT524308 EHT589826:EHT589844 EHT655362:EHT655380 EHT720898:EHT720916 EHT786434:EHT786452 EHT851970:EHT851988 EHT917506:EHT917524 EHT983042:EHT983060 ERP8:ERP26 ERP65538:ERP65556 ERP131074:ERP131092 ERP196610:ERP196628 ERP262146:ERP262164 ERP327682:ERP327700 ERP393218:ERP393236 ERP458754:ERP458772 ERP524290:ERP524308 ERP589826:ERP589844 ERP655362:ERP655380 ERP720898:ERP720916 ERP786434:ERP786452 ERP851970:ERP851988 ERP917506:ERP917524 ERP983042:ERP983060 FBL8:FBL26 FBL65538:FBL65556 FBL131074:FBL131092 FBL196610:FBL196628 FBL262146:FBL262164 FBL327682:FBL327700 FBL393218:FBL393236 FBL458754:FBL458772 FBL524290:FBL524308 FBL589826:FBL589844 FBL655362:FBL655380 FBL720898:FBL720916 FBL786434:FBL786452 FBL851970:FBL851988 FBL917506:FBL917524 FBL983042:FBL983060 FLH8:FLH26 FLH65538:FLH65556 FLH131074:FLH131092 FLH196610:FLH196628 FLH262146:FLH262164 FLH327682:FLH327700 FLH393218:FLH393236 FLH458754:FLH458772 FLH524290:FLH524308 FLH589826:FLH589844 FLH655362:FLH655380 FLH720898:FLH720916 FLH786434:FLH786452 FLH851970:FLH851988 FLH917506:FLH917524 FLH983042:FLH983060 FVD8:FVD26 FVD65538:FVD65556 FVD131074:FVD131092 FVD196610:FVD196628 FVD262146:FVD262164 FVD327682:FVD327700 FVD393218:FVD393236 FVD458754:FVD458772 FVD524290:FVD524308 FVD589826:FVD589844 FVD655362:FVD655380 FVD720898:FVD720916 FVD786434:FVD786452 FVD851970:FVD851988 FVD917506:FVD917524 FVD983042:FVD983060 GEZ8:GEZ26 GEZ65538:GEZ65556 GEZ131074:GEZ131092 GEZ196610:GEZ196628 GEZ262146:GEZ262164 GEZ327682:GEZ327700 GEZ393218:GEZ393236 GEZ458754:GEZ458772 GEZ524290:GEZ524308 GEZ589826:GEZ589844 GEZ655362:GEZ655380 GEZ720898:GEZ720916 GEZ786434:GEZ786452 GEZ851970:GEZ851988 GEZ917506:GEZ917524 GEZ983042:GEZ983060 GOV8:GOV26 GOV65538:GOV65556 GOV131074:GOV131092 GOV196610:GOV196628 GOV262146:GOV262164 GOV327682:GOV327700 GOV393218:GOV393236 GOV458754:GOV458772 GOV524290:GOV524308 GOV589826:GOV589844 GOV655362:GOV655380 GOV720898:GOV720916 GOV786434:GOV786452 GOV851970:GOV851988 GOV917506:GOV917524 GOV983042:GOV983060 GYR8:GYR26 GYR65538:GYR65556 GYR131074:GYR131092 GYR196610:GYR196628 GYR262146:GYR262164 GYR327682:GYR327700 GYR393218:GYR393236 GYR458754:GYR458772 GYR524290:GYR524308 GYR589826:GYR589844 GYR655362:GYR655380 GYR720898:GYR720916 GYR786434:GYR786452 GYR851970:GYR851988 GYR917506:GYR917524 GYR983042:GYR983060 HIN8:HIN26 HIN65538:HIN65556 HIN131074:HIN131092 HIN196610:HIN196628 HIN262146:HIN262164 HIN327682:HIN327700 HIN393218:HIN393236 HIN458754:HIN458772 HIN524290:HIN524308 HIN589826:HIN589844 HIN655362:HIN655380 HIN720898:HIN720916 HIN786434:HIN786452 HIN851970:HIN851988 HIN917506:HIN917524 HIN983042:HIN983060 HSJ8:HSJ26 HSJ65538:HSJ65556 HSJ131074:HSJ131092 HSJ196610:HSJ196628 HSJ262146:HSJ262164 HSJ327682:HSJ327700 HSJ393218:HSJ393236 HSJ458754:HSJ458772 HSJ524290:HSJ524308 HSJ589826:HSJ589844 HSJ655362:HSJ655380 HSJ720898:HSJ720916 HSJ786434:HSJ786452 HSJ851970:HSJ851988 HSJ917506:HSJ917524 HSJ983042:HSJ983060 ICF8:ICF26 ICF65538:ICF65556 ICF131074:ICF131092 ICF196610:ICF196628 ICF262146:ICF262164 ICF327682:ICF327700 ICF393218:ICF393236 ICF458754:ICF458772 ICF524290:ICF524308 ICF589826:ICF589844 ICF655362:ICF655380 ICF720898:ICF720916 ICF786434:ICF786452 ICF851970:ICF851988 ICF917506:ICF917524 ICF983042:ICF983060 IMB8:IMB26 IMB65538:IMB65556 IMB131074:IMB131092 IMB196610:IMB196628 IMB262146:IMB262164 IMB327682:IMB327700 IMB393218:IMB393236 IMB458754:IMB458772 IMB524290:IMB524308 IMB589826:IMB589844 IMB655362:IMB655380 IMB720898:IMB720916 IMB786434:IMB786452 IMB851970:IMB851988 IMB917506:IMB917524 IMB983042:IMB983060 IVX8:IVX26 IVX65538:IVX65556 IVX131074:IVX131092 IVX196610:IVX196628 IVX262146:IVX262164 IVX327682:IVX327700 IVX393218:IVX393236 IVX458754:IVX458772 IVX524290:IVX524308 IVX589826:IVX589844 IVX655362:IVX655380 IVX720898:IVX720916 IVX786434:IVX786452 IVX851970:IVX851988 IVX917506:IVX917524 IVX983042:IVX983060 JFT8:JFT26 JFT65538:JFT65556 JFT131074:JFT131092 JFT196610:JFT196628 JFT262146:JFT262164 JFT327682:JFT327700 JFT393218:JFT393236 JFT458754:JFT458772 JFT524290:JFT524308 JFT589826:JFT589844 JFT655362:JFT655380 JFT720898:JFT720916 JFT786434:JFT786452 JFT851970:JFT851988 JFT917506:JFT917524 JFT983042:JFT983060 JPP8:JPP26 JPP65538:JPP65556 JPP131074:JPP131092 JPP196610:JPP196628 JPP262146:JPP262164 JPP327682:JPP327700 JPP393218:JPP393236 JPP458754:JPP458772 JPP524290:JPP524308 JPP589826:JPP589844 JPP655362:JPP655380 JPP720898:JPP720916 JPP786434:JPP786452 JPP851970:JPP851988 JPP917506:JPP917524 JPP983042:JPP983060 JZL8:JZL26 JZL65538:JZL65556 JZL131074:JZL131092 JZL196610:JZL196628 JZL262146:JZL262164 JZL327682:JZL327700 JZL393218:JZL393236 JZL458754:JZL458772 JZL524290:JZL524308 JZL589826:JZL589844 JZL655362:JZL655380 JZL720898:JZL720916 JZL786434:JZL786452 JZL851970:JZL851988 JZL917506:JZL917524 JZL983042:JZL983060 KJH8:KJH26 KJH65538:KJH65556 KJH131074:KJH131092 KJH196610:KJH196628 KJH262146:KJH262164 KJH327682:KJH327700 KJH393218:KJH393236 KJH458754:KJH458772 KJH524290:KJH524308 KJH589826:KJH589844 KJH655362:KJH655380 KJH720898:KJH720916 KJH786434:KJH786452 KJH851970:KJH851988 KJH917506:KJH917524 KJH983042:KJH983060 KTD8:KTD26 KTD65538:KTD65556 KTD131074:KTD131092 KTD196610:KTD196628 KTD262146:KTD262164 KTD327682:KTD327700 KTD393218:KTD393236 KTD458754:KTD458772 KTD524290:KTD524308 KTD589826:KTD589844 KTD655362:KTD655380 KTD720898:KTD720916 KTD786434:KTD786452 KTD851970:KTD851988 KTD917506:KTD917524 KTD983042:KTD983060 LCZ8:LCZ26 LCZ65538:LCZ65556 LCZ131074:LCZ131092 LCZ196610:LCZ196628 LCZ262146:LCZ262164 LCZ327682:LCZ327700 LCZ393218:LCZ393236 LCZ458754:LCZ458772 LCZ524290:LCZ524308 LCZ589826:LCZ589844 LCZ655362:LCZ655380 LCZ720898:LCZ720916 LCZ786434:LCZ786452 LCZ851970:LCZ851988 LCZ917506:LCZ917524 LCZ983042:LCZ983060 LMV8:LMV26 LMV65538:LMV65556 LMV131074:LMV131092 LMV196610:LMV196628 LMV262146:LMV262164 LMV327682:LMV327700 LMV393218:LMV393236 LMV458754:LMV458772 LMV524290:LMV524308 LMV589826:LMV589844 LMV655362:LMV655380 LMV720898:LMV720916 LMV786434:LMV786452 LMV851970:LMV851988 LMV917506:LMV917524 LMV983042:LMV983060 LWR8:LWR26 LWR65538:LWR65556 LWR131074:LWR131092 LWR196610:LWR196628 LWR262146:LWR262164 LWR327682:LWR327700 LWR393218:LWR393236 LWR458754:LWR458772 LWR524290:LWR524308 LWR589826:LWR589844 LWR655362:LWR655380 LWR720898:LWR720916 LWR786434:LWR786452 LWR851970:LWR851988 LWR917506:LWR917524 LWR983042:LWR983060 MGN8:MGN26 MGN65538:MGN65556 MGN131074:MGN131092 MGN196610:MGN196628 MGN262146:MGN262164 MGN327682:MGN327700 MGN393218:MGN393236 MGN458754:MGN458772 MGN524290:MGN524308 MGN589826:MGN589844 MGN655362:MGN655380 MGN720898:MGN720916 MGN786434:MGN786452 MGN851970:MGN851988 MGN917506:MGN917524 MGN983042:MGN983060 MQJ8:MQJ26 MQJ65538:MQJ65556 MQJ131074:MQJ131092 MQJ196610:MQJ196628 MQJ262146:MQJ262164 MQJ327682:MQJ327700 MQJ393218:MQJ393236 MQJ458754:MQJ458772 MQJ524290:MQJ524308 MQJ589826:MQJ589844 MQJ655362:MQJ655380 MQJ720898:MQJ720916 MQJ786434:MQJ786452 MQJ851970:MQJ851988 MQJ917506:MQJ917524 MQJ983042:MQJ983060 NAF8:NAF26 NAF65538:NAF65556 NAF131074:NAF131092 NAF196610:NAF196628 NAF262146:NAF262164 NAF327682:NAF327700 NAF393218:NAF393236 NAF458754:NAF458772 NAF524290:NAF524308 NAF589826:NAF589844 NAF655362:NAF655380 NAF720898:NAF720916 NAF786434:NAF786452 NAF851970:NAF851988 NAF917506:NAF917524 NAF983042:NAF983060 NKB8:NKB26 NKB65538:NKB65556 NKB131074:NKB131092 NKB196610:NKB196628 NKB262146:NKB262164 NKB327682:NKB327700 NKB393218:NKB393236 NKB458754:NKB458772 NKB524290:NKB524308 NKB589826:NKB589844 NKB655362:NKB655380 NKB720898:NKB720916 NKB786434:NKB786452 NKB851970:NKB851988 NKB917506:NKB917524 NKB983042:NKB983060 NTX8:NTX26 NTX65538:NTX65556 NTX131074:NTX131092 NTX196610:NTX196628 NTX262146:NTX262164 NTX327682:NTX327700 NTX393218:NTX393236 NTX458754:NTX458772 NTX524290:NTX524308 NTX589826:NTX589844 NTX655362:NTX655380 NTX720898:NTX720916 NTX786434:NTX786452 NTX851970:NTX851988 NTX917506:NTX917524 NTX983042:NTX983060 ODT8:ODT26 ODT65538:ODT65556 ODT131074:ODT131092 ODT196610:ODT196628 ODT262146:ODT262164 ODT327682:ODT327700 ODT393218:ODT393236 ODT458754:ODT458772 ODT524290:ODT524308 ODT589826:ODT589844 ODT655362:ODT655380 ODT720898:ODT720916 ODT786434:ODT786452 ODT851970:ODT851988 ODT917506:ODT917524 ODT983042:ODT983060 ONP8:ONP26 ONP65538:ONP65556 ONP131074:ONP131092 ONP196610:ONP196628 ONP262146:ONP262164 ONP327682:ONP327700 ONP393218:ONP393236 ONP458754:ONP458772 ONP524290:ONP524308 ONP589826:ONP589844 ONP655362:ONP655380 ONP720898:ONP720916 ONP786434:ONP786452 ONP851970:ONP851988 ONP917506:ONP917524 ONP983042:ONP983060 OXL8:OXL26 OXL65538:OXL65556 OXL131074:OXL131092 OXL196610:OXL196628 OXL262146:OXL262164 OXL327682:OXL327700 OXL393218:OXL393236 OXL458754:OXL458772 OXL524290:OXL524308 OXL589826:OXL589844 OXL655362:OXL655380 OXL720898:OXL720916 OXL786434:OXL786452 OXL851970:OXL851988 OXL917506:OXL917524 OXL983042:OXL983060 PHH8:PHH26 PHH65538:PHH65556 PHH131074:PHH131092 PHH196610:PHH196628 PHH262146:PHH262164 PHH327682:PHH327700 PHH393218:PHH393236 PHH458754:PHH458772 PHH524290:PHH524308 PHH589826:PHH589844 PHH655362:PHH655380 PHH720898:PHH720916 PHH786434:PHH786452 PHH851970:PHH851988 PHH917506:PHH917524 PHH983042:PHH983060 PRD8:PRD26 PRD65538:PRD65556 PRD131074:PRD131092 PRD196610:PRD196628 PRD262146:PRD262164 PRD327682:PRD327700 PRD393218:PRD393236 PRD458754:PRD458772 PRD524290:PRD524308 PRD589826:PRD589844 PRD655362:PRD655380 PRD720898:PRD720916 PRD786434:PRD786452 PRD851970:PRD851988 PRD917506:PRD917524 PRD983042:PRD983060 QAZ8:QAZ26 QAZ65538:QAZ65556 QAZ131074:QAZ131092 QAZ196610:QAZ196628 QAZ262146:QAZ262164 QAZ327682:QAZ327700 QAZ393218:QAZ393236 QAZ458754:QAZ458772 QAZ524290:QAZ524308 QAZ589826:QAZ589844 QAZ655362:QAZ655380 QAZ720898:QAZ720916 QAZ786434:QAZ786452 QAZ851970:QAZ851988 QAZ917506:QAZ917524 QAZ983042:QAZ983060 QKV8:QKV26 QKV65538:QKV65556 QKV131074:QKV131092 QKV196610:QKV196628 QKV262146:QKV262164 QKV327682:QKV327700 QKV393218:QKV393236 QKV458754:QKV458772 QKV524290:QKV524308 QKV589826:QKV589844 QKV655362:QKV655380 QKV720898:QKV720916 QKV786434:QKV786452 QKV851970:QKV851988 QKV917506:QKV917524 QKV983042:QKV983060 QUR8:QUR26 QUR65538:QUR65556 QUR131074:QUR131092 QUR196610:QUR196628 QUR262146:QUR262164 QUR327682:QUR327700 QUR393218:QUR393236 QUR458754:QUR458772 QUR524290:QUR524308 QUR589826:QUR589844 QUR655362:QUR655380 QUR720898:QUR720916 QUR786434:QUR786452 QUR851970:QUR851988 QUR917506:QUR917524 QUR983042:QUR983060 REN8:REN26 REN65538:REN65556 REN131074:REN131092 REN196610:REN196628 REN262146:REN262164 REN327682:REN327700 REN393218:REN393236 REN458754:REN458772 REN524290:REN524308 REN589826:REN589844 REN655362:REN655380 REN720898:REN720916 REN786434:REN786452 REN851970:REN851988 REN917506:REN917524 REN983042:REN983060 ROJ8:ROJ26 ROJ65538:ROJ65556 ROJ131074:ROJ131092 ROJ196610:ROJ196628 ROJ262146:ROJ262164 ROJ327682:ROJ327700 ROJ393218:ROJ393236 ROJ458754:ROJ458772 ROJ524290:ROJ524308 ROJ589826:ROJ589844 ROJ655362:ROJ655380 ROJ720898:ROJ720916 ROJ786434:ROJ786452 ROJ851970:ROJ851988 ROJ917506:ROJ917524 ROJ983042:ROJ983060 RYF8:RYF26 RYF65538:RYF65556 RYF131074:RYF131092 RYF196610:RYF196628 RYF262146:RYF262164 RYF327682:RYF327700 RYF393218:RYF393236 RYF458754:RYF458772 RYF524290:RYF524308 RYF589826:RYF589844 RYF655362:RYF655380 RYF720898:RYF720916 RYF786434:RYF786452 RYF851970:RYF851988 RYF917506:RYF917524 RYF983042:RYF983060 SIB8:SIB26 SIB65538:SIB65556 SIB131074:SIB131092 SIB196610:SIB196628 SIB262146:SIB262164 SIB327682:SIB327700 SIB393218:SIB393236 SIB458754:SIB458772 SIB524290:SIB524308 SIB589826:SIB589844 SIB655362:SIB655380 SIB720898:SIB720916 SIB786434:SIB786452 SIB851970:SIB851988 SIB917506:SIB917524 SIB983042:SIB983060 SRX8:SRX26 SRX65538:SRX65556 SRX131074:SRX131092 SRX196610:SRX196628 SRX262146:SRX262164 SRX327682:SRX327700 SRX393218:SRX393236 SRX458754:SRX458772 SRX524290:SRX524308 SRX589826:SRX589844 SRX655362:SRX655380 SRX720898:SRX720916 SRX786434:SRX786452 SRX851970:SRX851988 SRX917506:SRX917524 SRX983042:SRX983060 TBT8:TBT26 TBT65538:TBT65556 TBT131074:TBT131092 TBT196610:TBT196628 TBT262146:TBT262164 TBT327682:TBT327700 TBT393218:TBT393236 TBT458754:TBT458772 TBT524290:TBT524308 TBT589826:TBT589844 TBT655362:TBT655380 TBT720898:TBT720916 TBT786434:TBT786452 TBT851970:TBT851988 TBT917506:TBT917524 TBT983042:TBT983060 TLP8:TLP26 TLP65538:TLP65556 TLP131074:TLP131092 TLP196610:TLP196628 TLP262146:TLP262164 TLP327682:TLP327700 TLP393218:TLP393236 TLP458754:TLP458772 TLP524290:TLP524308 TLP589826:TLP589844 TLP655362:TLP655380 TLP720898:TLP720916 TLP786434:TLP786452 TLP851970:TLP851988 TLP917506:TLP917524 TLP983042:TLP983060 TVL8:TVL26 TVL65538:TVL65556 TVL131074:TVL131092 TVL196610:TVL196628 TVL262146:TVL262164 TVL327682:TVL327700 TVL393218:TVL393236 TVL458754:TVL458772 TVL524290:TVL524308 TVL589826:TVL589844 TVL655362:TVL655380 TVL720898:TVL720916 TVL786434:TVL786452 TVL851970:TVL851988 TVL917506:TVL917524 TVL983042:TVL983060 UFH8:UFH26 UFH65538:UFH65556 UFH131074:UFH131092 UFH196610:UFH196628 UFH262146:UFH262164 UFH327682:UFH327700 UFH393218:UFH393236 UFH458754:UFH458772 UFH524290:UFH524308 UFH589826:UFH589844 UFH655362:UFH655380 UFH720898:UFH720916 UFH786434:UFH786452 UFH851970:UFH851988 UFH917506:UFH917524 UFH983042:UFH983060 UPD8:UPD26 UPD65538:UPD65556 UPD131074:UPD131092 UPD196610:UPD196628 UPD262146:UPD262164 UPD327682:UPD327700 UPD393218:UPD393236 UPD458754:UPD458772 UPD524290:UPD524308 UPD589826:UPD589844 UPD655362:UPD655380 UPD720898:UPD720916 UPD786434:UPD786452 UPD851970:UPD851988 UPD917506:UPD917524 UPD983042:UPD983060 UYZ8:UYZ26 UYZ65538:UYZ65556 UYZ131074:UYZ131092 UYZ196610:UYZ196628 UYZ262146:UYZ262164 UYZ327682:UYZ327700 UYZ393218:UYZ393236 UYZ458754:UYZ458772 UYZ524290:UYZ524308 UYZ589826:UYZ589844 UYZ655362:UYZ655380 UYZ720898:UYZ720916 UYZ786434:UYZ786452 UYZ851970:UYZ851988 UYZ917506:UYZ917524 UYZ983042:UYZ983060 VIV8:VIV26 VIV65538:VIV65556 VIV131074:VIV131092 VIV196610:VIV196628 VIV262146:VIV262164 VIV327682:VIV327700 VIV393218:VIV393236 VIV458754:VIV458772 VIV524290:VIV524308 VIV589826:VIV589844 VIV655362:VIV655380 VIV720898:VIV720916 VIV786434:VIV786452 VIV851970:VIV851988 VIV917506:VIV917524 VIV983042:VIV983060 VSR8:VSR26 VSR65538:VSR65556 VSR131074:VSR131092 VSR196610:VSR196628 VSR262146:VSR262164 VSR327682:VSR327700 VSR393218:VSR393236 VSR458754:VSR458772 VSR524290:VSR524308 VSR589826:VSR589844 VSR655362:VSR655380 VSR720898:VSR720916 VSR786434:VSR786452 VSR851970:VSR851988 VSR917506:VSR917524 VSR983042:VSR983060 WCN8:WCN26 WCN65538:WCN65556 WCN131074:WCN131092 WCN196610:WCN196628 WCN262146:WCN262164 WCN327682:WCN327700 WCN393218:WCN393236 WCN458754:WCN458772 WCN524290:WCN524308 WCN589826:WCN589844 WCN655362:WCN655380 WCN720898:WCN720916 WCN786434:WCN786452 WCN851970:WCN851988 WCN917506:WCN917524 WCN983042:WCN983060 WMJ8:WMJ26 WMJ65538:WMJ65556 WMJ131074:WMJ131092 WMJ196610:WMJ196628 WMJ262146:WMJ262164 WMJ327682:WMJ327700 WMJ393218:WMJ393236 WMJ458754:WMJ458772 WMJ524290:WMJ524308 WMJ589826:WMJ589844 WMJ655362:WMJ655380 WMJ720898:WMJ720916 WMJ786434:WMJ786452 WMJ851970:WMJ851988 WMJ917506:WMJ917524 WMJ983042:WMJ983060 WWF8:WWF26 WWF65538:WWF65556 WWF131074:WWF131092 WWF196610:WWF196628 WWF262146:WWF262164 WWF327682:WWF327700 WWF393218:WWF393236 WWF458754:WWF458772 WWF524290:WWF524308 WWF589826:WWF589844 WWF655362:WWF655380 WWF720898:WWF720916 WWF786434:WWF786452 WWF851970:WWF851988 WWF917506:WWF917524 WWF983042:WWF983060" xr:uid="{00000000-0002-0000-0800-000012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2 R8:R26 R65532 R65538:R65556 R131068 R131074:R131092 R196604 R196610:R196628 R262140 R262146:R262164 R327676 R327682:R327700 R393212 R393218:R393236 R458748 R458754:R458772 R524284 R524290:R524308 R589820 R589826:R589844 R655356 R655362:R655380 R720892 R720898:R720916 R786428 R786434:R786452 R851964 R851970:R851988 R917500 R917506:R917524 R983036 R983042:R983060 JN2 JN8:JN26 JN65532 JN65538:JN65556 JN131068 JN131074:JN131092 JN196604 JN196610:JN196628 JN262140 JN262146:JN262164 JN327676 JN327682:JN327700 JN393212 JN393218:JN393236 JN458748 JN458754:JN458772 JN524284 JN524290:JN524308 JN589820 JN589826:JN589844 JN655356 JN655362:JN655380 JN720892 JN720898:JN720916 JN786428 JN786434:JN786452 JN851964 JN851970:JN851988 JN917500 JN917506:JN917524 JN983036 JN983042:JN983060 TJ2 TJ8:TJ26 TJ65532 TJ65538:TJ65556 TJ131068 TJ131074:TJ131092 TJ196604 TJ196610:TJ196628 TJ262140 TJ262146:TJ262164 TJ327676 TJ327682:TJ327700 TJ393212 TJ393218:TJ393236 TJ458748 TJ458754:TJ458772 TJ524284 TJ524290:TJ524308 TJ589820 TJ589826:TJ589844 TJ655356 TJ655362:TJ655380 TJ720892 TJ720898:TJ720916 TJ786428 TJ786434:TJ786452 TJ851964 TJ851970:TJ851988 TJ917500 TJ917506:TJ917524 TJ983036 TJ983042:TJ983060 ADF2 ADF8:ADF26 ADF65532 ADF65538:ADF65556 ADF131068 ADF131074:ADF131092 ADF196604 ADF196610:ADF196628 ADF262140 ADF262146:ADF262164 ADF327676 ADF327682:ADF327700 ADF393212 ADF393218:ADF393236 ADF458748 ADF458754:ADF458772 ADF524284 ADF524290:ADF524308 ADF589820 ADF589826:ADF589844 ADF655356 ADF655362:ADF655380 ADF720892 ADF720898:ADF720916 ADF786428 ADF786434:ADF786452 ADF851964 ADF851970:ADF851988 ADF917500 ADF917506:ADF917524 ADF983036 ADF983042:ADF983060 ANB2 ANB8:ANB26 ANB65532 ANB65538:ANB65556 ANB131068 ANB131074:ANB131092 ANB196604 ANB196610:ANB196628 ANB262140 ANB262146:ANB262164 ANB327676 ANB327682:ANB327700 ANB393212 ANB393218:ANB393236 ANB458748 ANB458754:ANB458772 ANB524284 ANB524290:ANB524308 ANB589820 ANB589826:ANB589844 ANB655356 ANB655362:ANB655380 ANB720892 ANB720898:ANB720916 ANB786428 ANB786434:ANB786452 ANB851964 ANB851970:ANB851988 ANB917500 ANB917506:ANB917524 ANB983036 ANB983042:ANB983060 AWX2 AWX8:AWX26 AWX65532 AWX65538:AWX65556 AWX131068 AWX131074:AWX131092 AWX196604 AWX196610:AWX196628 AWX262140 AWX262146:AWX262164 AWX327676 AWX327682:AWX327700 AWX393212 AWX393218:AWX393236 AWX458748 AWX458754:AWX458772 AWX524284 AWX524290:AWX524308 AWX589820 AWX589826:AWX589844 AWX655356 AWX655362:AWX655380 AWX720892 AWX720898:AWX720916 AWX786428 AWX786434:AWX786452 AWX851964 AWX851970:AWX851988 AWX917500 AWX917506:AWX917524 AWX983036 AWX983042:AWX983060 BGT2 BGT8:BGT26 BGT65532 BGT65538:BGT65556 BGT131068 BGT131074:BGT131092 BGT196604 BGT196610:BGT196628 BGT262140 BGT262146:BGT262164 BGT327676 BGT327682:BGT327700 BGT393212 BGT393218:BGT393236 BGT458748 BGT458754:BGT458772 BGT524284 BGT524290:BGT524308 BGT589820 BGT589826:BGT589844 BGT655356 BGT655362:BGT655380 BGT720892 BGT720898:BGT720916 BGT786428 BGT786434:BGT786452 BGT851964 BGT851970:BGT851988 BGT917500 BGT917506:BGT917524 BGT983036 BGT983042:BGT983060 BQP2 BQP8:BQP26 BQP65532 BQP65538:BQP65556 BQP131068 BQP131074:BQP131092 BQP196604 BQP196610:BQP196628 BQP262140 BQP262146:BQP262164 BQP327676 BQP327682:BQP327700 BQP393212 BQP393218:BQP393236 BQP458748 BQP458754:BQP458772 BQP524284 BQP524290:BQP524308 BQP589820 BQP589826:BQP589844 BQP655356 BQP655362:BQP655380 BQP720892 BQP720898:BQP720916 BQP786428 BQP786434:BQP786452 BQP851964 BQP851970:BQP851988 BQP917500 BQP917506:BQP917524 BQP983036 BQP983042:BQP983060 CAL2 CAL8:CAL26 CAL65532 CAL65538:CAL65556 CAL131068 CAL131074:CAL131092 CAL196604 CAL196610:CAL196628 CAL262140 CAL262146:CAL262164 CAL327676 CAL327682:CAL327700 CAL393212 CAL393218:CAL393236 CAL458748 CAL458754:CAL458772 CAL524284 CAL524290:CAL524308 CAL589820 CAL589826:CAL589844 CAL655356 CAL655362:CAL655380 CAL720892 CAL720898:CAL720916 CAL786428 CAL786434:CAL786452 CAL851964 CAL851970:CAL851988 CAL917500 CAL917506:CAL917524 CAL983036 CAL983042:CAL983060 CKH2 CKH8:CKH26 CKH65532 CKH65538:CKH65556 CKH131068 CKH131074:CKH131092 CKH196604 CKH196610:CKH196628 CKH262140 CKH262146:CKH262164 CKH327676 CKH327682:CKH327700 CKH393212 CKH393218:CKH393236 CKH458748 CKH458754:CKH458772 CKH524284 CKH524290:CKH524308 CKH589820 CKH589826:CKH589844 CKH655356 CKH655362:CKH655380 CKH720892 CKH720898:CKH720916 CKH786428 CKH786434:CKH786452 CKH851964 CKH851970:CKH851988 CKH917500 CKH917506:CKH917524 CKH983036 CKH983042:CKH983060 CUD2 CUD8:CUD26 CUD65532 CUD65538:CUD65556 CUD131068 CUD131074:CUD131092 CUD196604 CUD196610:CUD196628 CUD262140 CUD262146:CUD262164 CUD327676 CUD327682:CUD327700 CUD393212 CUD393218:CUD393236 CUD458748 CUD458754:CUD458772 CUD524284 CUD524290:CUD524308 CUD589820 CUD589826:CUD589844 CUD655356 CUD655362:CUD655380 CUD720892 CUD720898:CUD720916 CUD786428 CUD786434:CUD786452 CUD851964 CUD851970:CUD851988 CUD917500 CUD917506:CUD917524 CUD983036 CUD983042:CUD983060 DDZ2 DDZ8:DDZ26 DDZ65532 DDZ65538:DDZ65556 DDZ131068 DDZ131074:DDZ131092 DDZ196604 DDZ196610:DDZ196628 DDZ262140 DDZ262146:DDZ262164 DDZ327676 DDZ327682:DDZ327700 DDZ393212 DDZ393218:DDZ393236 DDZ458748 DDZ458754:DDZ458772 DDZ524284 DDZ524290:DDZ524308 DDZ589820 DDZ589826:DDZ589844 DDZ655356 DDZ655362:DDZ655380 DDZ720892 DDZ720898:DDZ720916 DDZ786428 DDZ786434:DDZ786452 DDZ851964 DDZ851970:DDZ851988 DDZ917500 DDZ917506:DDZ917524 DDZ983036 DDZ983042:DDZ983060 DNV2 DNV8:DNV26 DNV65532 DNV65538:DNV65556 DNV131068 DNV131074:DNV131092 DNV196604 DNV196610:DNV196628 DNV262140 DNV262146:DNV262164 DNV327676 DNV327682:DNV327700 DNV393212 DNV393218:DNV393236 DNV458748 DNV458754:DNV458772 DNV524284 DNV524290:DNV524308 DNV589820 DNV589826:DNV589844 DNV655356 DNV655362:DNV655380 DNV720892 DNV720898:DNV720916 DNV786428 DNV786434:DNV786452 DNV851964 DNV851970:DNV851988 DNV917500 DNV917506:DNV917524 DNV983036 DNV983042:DNV983060 DXR2 DXR8:DXR26 DXR65532 DXR65538:DXR65556 DXR131068 DXR131074:DXR131092 DXR196604 DXR196610:DXR196628 DXR262140 DXR262146:DXR262164 DXR327676 DXR327682:DXR327700 DXR393212 DXR393218:DXR393236 DXR458748 DXR458754:DXR458772 DXR524284 DXR524290:DXR524308 DXR589820 DXR589826:DXR589844 DXR655356 DXR655362:DXR655380 DXR720892 DXR720898:DXR720916 DXR786428 DXR786434:DXR786452 DXR851964 DXR851970:DXR851988 DXR917500 DXR917506:DXR917524 DXR983036 DXR983042:DXR983060 EHN2 EHN8:EHN26 EHN65532 EHN65538:EHN65556 EHN131068 EHN131074:EHN131092 EHN196604 EHN196610:EHN196628 EHN262140 EHN262146:EHN262164 EHN327676 EHN327682:EHN327700 EHN393212 EHN393218:EHN393236 EHN458748 EHN458754:EHN458772 EHN524284 EHN524290:EHN524308 EHN589820 EHN589826:EHN589844 EHN655356 EHN655362:EHN655380 EHN720892 EHN720898:EHN720916 EHN786428 EHN786434:EHN786452 EHN851964 EHN851970:EHN851988 EHN917500 EHN917506:EHN917524 EHN983036 EHN983042:EHN983060 ERJ2 ERJ8:ERJ26 ERJ65532 ERJ65538:ERJ65556 ERJ131068 ERJ131074:ERJ131092 ERJ196604 ERJ196610:ERJ196628 ERJ262140 ERJ262146:ERJ262164 ERJ327676 ERJ327682:ERJ327700 ERJ393212 ERJ393218:ERJ393236 ERJ458748 ERJ458754:ERJ458772 ERJ524284 ERJ524290:ERJ524308 ERJ589820 ERJ589826:ERJ589844 ERJ655356 ERJ655362:ERJ655380 ERJ720892 ERJ720898:ERJ720916 ERJ786428 ERJ786434:ERJ786452 ERJ851964 ERJ851970:ERJ851988 ERJ917500 ERJ917506:ERJ917524 ERJ983036 ERJ983042:ERJ983060 FBF2 FBF8:FBF26 FBF65532 FBF65538:FBF65556 FBF131068 FBF131074:FBF131092 FBF196604 FBF196610:FBF196628 FBF262140 FBF262146:FBF262164 FBF327676 FBF327682:FBF327700 FBF393212 FBF393218:FBF393236 FBF458748 FBF458754:FBF458772 FBF524284 FBF524290:FBF524308 FBF589820 FBF589826:FBF589844 FBF655356 FBF655362:FBF655380 FBF720892 FBF720898:FBF720916 FBF786428 FBF786434:FBF786452 FBF851964 FBF851970:FBF851988 FBF917500 FBF917506:FBF917524 FBF983036 FBF983042:FBF983060 FLB2 FLB8:FLB26 FLB65532 FLB65538:FLB65556 FLB131068 FLB131074:FLB131092 FLB196604 FLB196610:FLB196628 FLB262140 FLB262146:FLB262164 FLB327676 FLB327682:FLB327700 FLB393212 FLB393218:FLB393236 FLB458748 FLB458754:FLB458772 FLB524284 FLB524290:FLB524308 FLB589820 FLB589826:FLB589844 FLB655356 FLB655362:FLB655380 FLB720892 FLB720898:FLB720916 FLB786428 FLB786434:FLB786452 FLB851964 FLB851970:FLB851988 FLB917500 FLB917506:FLB917524 FLB983036 FLB983042:FLB983060 FUX2 FUX8:FUX26 FUX65532 FUX65538:FUX65556 FUX131068 FUX131074:FUX131092 FUX196604 FUX196610:FUX196628 FUX262140 FUX262146:FUX262164 FUX327676 FUX327682:FUX327700 FUX393212 FUX393218:FUX393236 FUX458748 FUX458754:FUX458772 FUX524284 FUX524290:FUX524308 FUX589820 FUX589826:FUX589844 FUX655356 FUX655362:FUX655380 FUX720892 FUX720898:FUX720916 FUX786428 FUX786434:FUX786452 FUX851964 FUX851970:FUX851988 FUX917500 FUX917506:FUX917524 FUX983036 FUX983042:FUX983060 GET2 GET8:GET26 GET65532 GET65538:GET65556 GET131068 GET131074:GET131092 GET196604 GET196610:GET196628 GET262140 GET262146:GET262164 GET327676 GET327682:GET327700 GET393212 GET393218:GET393236 GET458748 GET458754:GET458772 GET524284 GET524290:GET524308 GET589820 GET589826:GET589844 GET655356 GET655362:GET655380 GET720892 GET720898:GET720916 GET786428 GET786434:GET786452 GET851964 GET851970:GET851988 GET917500 GET917506:GET917524 GET983036 GET983042:GET983060 GOP2 GOP8:GOP26 GOP65532 GOP65538:GOP65556 GOP131068 GOP131074:GOP131092 GOP196604 GOP196610:GOP196628 GOP262140 GOP262146:GOP262164 GOP327676 GOP327682:GOP327700 GOP393212 GOP393218:GOP393236 GOP458748 GOP458754:GOP458772 GOP524284 GOP524290:GOP524308 GOP589820 GOP589826:GOP589844 GOP655356 GOP655362:GOP655380 GOP720892 GOP720898:GOP720916 GOP786428 GOP786434:GOP786452 GOP851964 GOP851970:GOP851988 GOP917500 GOP917506:GOP917524 GOP983036 GOP983042:GOP983060 GYL2 GYL8:GYL26 GYL65532 GYL65538:GYL65556 GYL131068 GYL131074:GYL131092 GYL196604 GYL196610:GYL196628 GYL262140 GYL262146:GYL262164 GYL327676 GYL327682:GYL327700 GYL393212 GYL393218:GYL393236 GYL458748 GYL458754:GYL458772 GYL524284 GYL524290:GYL524308 GYL589820 GYL589826:GYL589844 GYL655356 GYL655362:GYL655380 GYL720892 GYL720898:GYL720916 GYL786428 GYL786434:GYL786452 GYL851964 GYL851970:GYL851988 GYL917500 GYL917506:GYL917524 GYL983036 GYL983042:GYL983060 HIH2 HIH8:HIH26 HIH65532 HIH65538:HIH65556 HIH131068 HIH131074:HIH131092 HIH196604 HIH196610:HIH196628 HIH262140 HIH262146:HIH262164 HIH327676 HIH327682:HIH327700 HIH393212 HIH393218:HIH393236 HIH458748 HIH458754:HIH458772 HIH524284 HIH524290:HIH524308 HIH589820 HIH589826:HIH589844 HIH655356 HIH655362:HIH655380 HIH720892 HIH720898:HIH720916 HIH786428 HIH786434:HIH786452 HIH851964 HIH851970:HIH851988 HIH917500 HIH917506:HIH917524 HIH983036 HIH983042:HIH983060 HSD2 HSD8:HSD26 HSD65532 HSD65538:HSD65556 HSD131068 HSD131074:HSD131092 HSD196604 HSD196610:HSD196628 HSD262140 HSD262146:HSD262164 HSD327676 HSD327682:HSD327700 HSD393212 HSD393218:HSD393236 HSD458748 HSD458754:HSD458772 HSD524284 HSD524290:HSD524308 HSD589820 HSD589826:HSD589844 HSD655356 HSD655362:HSD655380 HSD720892 HSD720898:HSD720916 HSD786428 HSD786434:HSD786452 HSD851964 HSD851970:HSD851988 HSD917500 HSD917506:HSD917524 HSD983036 HSD983042:HSD983060 IBZ2 IBZ8:IBZ26 IBZ65532 IBZ65538:IBZ65556 IBZ131068 IBZ131074:IBZ131092 IBZ196604 IBZ196610:IBZ196628 IBZ262140 IBZ262146:IBZ262164 IBZ327676 IBZ327682:IBZ327700 IBZ393212 IBZ393218:IBZ393236 IBZ458748 IBZ458754:IBZ458772 IBZ524284 IBZ524290:IBZ524308 IBZ589820 IBZ589826:IBZ589844 IBZ655356 IBZ655362:IBZ655380 IBZ720892 IBZ720898:IBZ720916 IBZ786428 IBZ786434:IBZ786452 IBZ851964 IBZ851970:IBZ851988 IBZ917500 IBZ917506:IBZ917524 IBZ983036 IBZ983042:IBZ983060 ILV2 ILV8:ILV26 ILV65532 ILV65538:ILV65556 ILV131068 ILV131074:ILV131092 ILV196604 ILV196610:ILV196628 ILV262140 ILV262146:ILV262164 ILV327676 ILV327682:ILV327700 ILV393212 ILV393218:ILV393236 ILV458748 ILV458754:ILV458772 ILV524284 ILV524290:ILV524308 ILV589820 ILV589826:ILV589844 ILV655356 ILV655362:ILV655380 ILV720892 ILV720898:ILV720916 ILV786428 ILV786434:ILV786452 ILV851964 ILV851970:ILV851988 ILV917500 ILV917506:ILV917524 ILV983036 ILV983042:ILV983060 IVR2 IVR8:IVR26 IVR65532 IVR65538:IVR65556 IVR131068 IVR131074:IVR131092 IVR196604 IVR196610:IVR196628 IVR262140 IVR262146:IVR262164 IVR327676 IVR327682:IVR327700 IVR393212 IVR393218:IVR393236 IVR458748 IVR458754:IVR458772 IVR524284 IVR524290:IVR524308 IVR589820 IVR589826:IVR589844 IVR655356 IVR655362:IVR655380 IVR720892 IVR720898:IVR720916 IVR786428 IVR786434:IVR786452 IVR851964 IVR851970:IVR851988 IVR917500 IVR917506:IVR917524 IVR983036 IVR983042:IVR983060 JFN2 JFN8:JFN26 JFN65532 JFN65538:JFN65556 JFN131068 JFN131074:JFN131092 JFN196604 JFN196610:JFN196628 JFN262140 JFN262146:JFN262164 JFN327676 JFN327682:JFN327700 JFN393212 JFN393218:JFN393236 JFN458748 JFN458754:JFN458772 JFN524284 JFN524290:JFN524308 JFN589820 JFN589826:JFN589844 JFN655356 JFN655362:JFN655380 JFN720892 JFN720898:JFN720916 JFN786428 JFN786434:JFN786452 JFN851964 JFN851970:JFN851988 JFN917500 JFN917506:JFN917524 JFN983036 JFN983042:JFN983060 JPJ2 JPJ8:JPJ26 JPJ65532 JPJ65538:JPJ65556 JPJ131068 JPJ131074:JPJ131092 JPJ196604 JPJ196610:JPJ196628 JPJ262140 JPJ262146:JPJ262164 JPJ327676 JPJ327682:JPJ327700 JPJ393212 JPJ393218:JPJ393236 JPJ458748 JPJ458754:JPJ458772 JPJ524284 JPJ524290:JPJ524308 JPJ589820 JPJ589826:JPJ589844 JPJ655356 JPJ655362:JPJ655380 JPJ720892 JPJ720898:JPJ720916 JPJ786428 JPJ786434:JPJ786452 JPJ851964 JPJ851970:JPJ851988 JPJ917500 JPJ917506:JPJ917524 JPJ983036 JPJ983042:JPJ983060 JZF2 JZF8:JZF26 JZF65532 JZF65538:JZF65556 JZF131068 JZF131074:JZF131092 JZF196604 JZF196610:JZF196628 JZF262140 JZF262146:JZF262164 JZF327676 JZF327682:JZF327700 JZF393212 JZF393218:JZF393236 JZF458748 JZF458754:JZF458772 JZF524284 JZF524290:JZF524308 JZF589820 JZF589826:JZF589844 JZF655356 JZF655362:JZF655380 JZF720892 JZF720898:JZF720916 JZF786428 JZF786434:JZF786452 JZF851964 JZF851970:JZF851988 JZF917500 JZF917506:JZF917524 JZF983036 JZF983042:JZF983060 KJB2 KJB8:KJB26 KJB65532 KJB65538:KJB65556 KJB131068 KJB131074:KJB131092 KJB196604 KJB196610:KJB196628 KJB262140 KJB262146:KJB262164 KJB327676 KJB327682:KJB327700 KJB393212 KJB393218:KJB393236 KJB458748 KJB458754:KJB458772 KJB524284 KJB524290:KJB524308 KJB589820 KJB589826:KJB589844 KJB655356 KJB655362:KJB655380 KJB720892 KJB720898:KJB720916 KJB786428 KJB786434:KJB786452 KJB851964 KJB851970:KJB851988 KJB917500 KJB917506:KJB917524 KJB983036 KJB983042:KJB983060 KSX2 KSX8:KSX26 KSX65532 KSX65538:KSX65556 KSX131068 KSX131074:KSX131092 KSX196604 KSX196610:KSX196628 KSX262140 KSX262146:KSX262164 KSX327676 KSX327682:KSX327700 KSX393212 KSX393218:KSX393236 KSX458748 KSX458754:KSX458772 KSX524284 KSX524290:KSX524308 KSX589820 KSX589826:KSX589844 KSX655356 KSX655362:KSX655380 KSX720892 KSX720898:KSX720916 KSX786428 KSX786434:KSX786452 KSX851964 KSX851970:KSX851988 KSX917500 KSX917506:KSX917524 KSX983036 KSX983042:KSX983060 LCT2 LCT8:LCT26 LCT65532 LCT65538:LCT65556 LCT131068 LCT131074:LCT131092 LCT196604 LCT196610:LCT196628 LCT262140 LCT262146:LCT262164 LCT327676 LCT327682:LCT327700 LCT393212 LCT393218:LCT393236 LCT458748 LCT458754:LCT458772 LCT524284 LCT524290:LCT524308 LCT589820 LCT589826:LCT589844 LCT655356 LCT655362:LCT655380 LCT720892 LCT720898:LCT720916 LCT786428 LCT786434:LCT786452 LCT851964 LCT851970:LCT851988 LCT917500 LCT917506:LCT917524 LCT983036 LCT983042:LCT983060 LMP2 LMP8:LMP26 LMP65532 LMP65538:LMP65556 LMP131068 LMP131074:LMP131092 LMP196604 LMP196610:LMP196628 LMP262140 LMP262146:LMP262164 LMP327676 LMP327682:LMP327700 LMP393212 LMP393218:LMP393236 LMP458748 LMP458754:LMP458772 LMP524284 LMP524290:LMP524308 LMP589820 LMP589826:LMP589844 LMP655356 LMP655362:LMP655380 LMP720892 LMP720898:LMP720916 LMP786428 LMP786434:LMP786452 LMP851964 LMP851970:LMP851988 LMP917500 LMP917506:LMP917524 LMP983036 LMP983042:LMP983060 LWL2 LWL8:LWL26 LWL65532 LWL65538:LWL65556 LWL131068 LWL131074:LWL131092 LWL196604 LWL196610:LWL196628 LWL262140 LWL262146:LWL262164 LWL327676 LWL327682:LWL327700 LWL393212 LWL393218:LWL393236 LWL458748 LWL458754:LWL458772 LWL524284 LWL524290:LWL524308 LWL589820 LWL589826:LWL589844 LWL655356 LWL655362:LWL655380 LWL720892 LWL720898:LWL720916 LWL786428 LWL786434:LWL786452 LWL851964 LWL851970:LWL851988 LWL917500 LWL917506:LWL917524 LWL983036 LWL983042:LWL983060 MGH2 MGH8:MGH26 MGH65532 MGH65538:MGH65556 MGH131068 MGH131074:MGH131092 MGH196604 MGH196610:MGH196628 MGH262140 MGH262146:MGH262164 MGH327676 MGH327682:MGH327700 MGH393212 MGH393218:MGH393236 MGH458748 MGH458754:MGH458772 MGH524284 MGH524290:MGH524308 MGH589820 MGH589826:MGH589844 MGH655356 MGH655362:MGH655380 MGH720892 MGH720898:MGH720916 MGH786428 MGH786434:MGH786452 MGH851964 MGH851970:MGH851988 MGH917500 MGH917506:MGH917524 MGH983036 MGH983042:MGH983060 MQD2 MQD8:MQD26 MQD65532 MQD65538:MQD65556 MQD131068 MQD131074:MQD131092 MQD196604 MQD196610:MQD196628 MQD262140 MQD262146:MQD262164 MQD327676 MQD327682:MQD327700 MQD393212 MQD393218:MQD393236 MQD458748 MQD458754:MQD458772 MQD524284 MQD524290:MQD524308 MQD589820 MQD589826:MQD589844 MQD655356 MQD655362:MQD655380 MQD720892 MQD720898:MQD720916 MQD786428 MQD786434:MQD786452 MQD851964 MQD851970:MQD851988 MQD917500 MQD917506:MQD917524 MQD983036 MQD983042:MQD983060 MZZ2 MZZ8:MZZ26 MZZ65532 MZZ65538:MZZ65556 MZZ131068 MZZ131074:MZZ131092 MZZ196604 MZZ196610:MZZ196628 MZZ262140 MZZ262146:MZZ262164 MZZ327676 MZZ327682:MZZ327700 MZZ393212 MZZ393218:MZZ393236 MZZ458748 MZZ458754:MZZ458772 MZZ524284 MZZ524290:MZZ524308 MZZ589820 MZZ589826:MZZ589844 MZZ655356 MZZ655362:MZZ655380 MZZ720892 MZZ720898:MZZ720916 MZZ786428 MZZ786434:MZZ786452 MZZ851964 MZZ851970:MZZ851988 MZZ917500 MZZ917506:MZZ917524 MZZ983036 MZZ983042:MZZ983060 NJV2 NJV8:NJV26 NJV65532 NJV65538:NJV65556 NJV131068 NJV131074:NJV131092 NJV196604 NJV196610:NJV196628 NJV262140 NJV262146:NJV262164 NJV327676 NJV327682:NJV327700 NJV393212 NJV393218:NJV393236 NJV458748 NJV458754:NJV458772 NJV524284 NJV524290:NJV524308 NJV589820 NJV589826:NJV589844 NJV655356 NJV655362:NJV655380 NJV720892 NJV720898:NJV720916 NJV786428 NJV786434:NJV786452 NJV851964 NJV851970:NJV851988 NJV917500 NJV917506:NJV917524 NJV983036 NJV983042:NJV983060 NTR2 NTR8:NTR26 NTR65532 NTR65538:NTR65556 NTR131068 NTR131074:NTR131092 NTR196604 NTR196610:NTR196628 NTR262140 NTR262146:NTR262164 NTR327676 NTR327682:NTR327700 NTR393212 NTR393218:NTR393236 NTR458748 NTR458754:NTR458772 NTR524284 NTR524290:NTR524308 NTR589820 NTR589826:NTR589844 NTR655356 NTR655362:NTR655380 NTR720892 NTR720898:NTR720916 NTR786428 NTR786434:NTR786452 NTR851964 NTR851970:NTR851988 NTR917500 NTR917506:NTR917524 NTR983036 NTR983042:NTR983060 ODN2 ODN8:ODN26 ODN65532 ODN65538:ODN65556 ODN131068 ODN131074:ODN131092 ODN196604 ODN196610:ODN196628 ODN262140 ODN262146:ODN262164 ODN327676 ODN327682:ODN327700 ODN393212 ODN393218:ODN393236 ODN458748 ODN458754:ODN458772 ODN524284 ODN524290:ODN524308 ODN589820 ODN589826:ODN589844 ODN655356 ODN655362:ODN655380 ODN720892 ODN720898:ODN720916 ODN786428 ODN786434:ODN786452 ODN851964 ODN851970:ODN851988 ODN917500 ODN917506:ODN917524 ODN983036 ODN983042:ODN983060 ONJ2 ONJ8:ONJ26 ONJ65532 ONJ65538:ONJ65556 ONJ131068 ONJ131074:ONJ131092 ONJ196604 ONJ196610:ONJ196628 ONJ262140 ONJ262146:ONJ262164 ONJ327676 ONJ327682:ONJ327700 ONJ393212 ONJ393218:ONJ393236 ONJ458748 ONJ458754:ONJ458772 ONJ524284 ONJ524290:ONJ524308 ONJ589820 ONJ589826:ONJ589844 ONJ655356 ONJ655362:ONJ655380 ONJ720892 ONJ720898:ONJ720916 ONJ786428 ONJ786434:ONJ786452 ONJ851964 ONJ851970:ONJ851988 ONJ917500 ONJ917506:ONJ917524 ONJ983036 ONJ983042:ONJ983060 OXF2 OXF8:OXF26 OXF65532 OXF65538:OXF65556 OXF131068 OXF131074:OXF131092 OXF196604 OXF196610:OXF196628 OXF262140 OXF262146:OXF262164 OXF327676 OXF327682:OXF327700 OXF393212 OXF393218:OXF393236 OXF458748 OXF458754:OXF458772 OXF524284 OXF524290:OXF524308 OXF589820 OXF589826:OXF589844 OXF655356 OXF655362:OXF655380 OXF720892 OXF720898:OXF720916 OXF786428 OXF786434:OXF786452 OXF851964 OXF851970:OXF851988 OXF917500 OXF917506:OXF917524 OXF983036 OXF983042:OXF983060 PHB2 PHB8:PHB26 PHB65532 PHB65538:PHB65556 PHB131068 PHB131074:PHB131092 PHB196604 PHB196610:PHB196628 PHB262140 PHB262146:PHB262164 PHB327676 PHB327682:PHB327700 PHB393212 PHB393218:PHB393236 PHB458748 PHB458754:PHB458772 PHB524284 PHB524290:PHB524308 PHB589820 PHB589826:PHB589844 PHB655356 PHB655362:PHB655380 PHB720892 PHB720898:PHB720916 PHB786428 PHB786434:PHB786452 PHB851964 PHB851970:PHB851988 PHB917500 PHB917506:PHB917524 PHB983036 PHB983042:PHB983060 PQX2 PQX8:PQX26 PQX65532 PQX65538:PQX65556 PQX131068 PQX131074:PQX131092 PQX196604 PQX196610:PQX196628 PQX262140 PQX262146:PQX262164 PQX327676 PQX327682:PQX327700 PQX393212 PQX393218:PQX393236 PQX458748 PQX458754:PQX458772 PQX524284 PQX524290:PQX524308 PQX589820 PQX589826:PQX589844 PQX655356 PQX655362:PQX655380 PQX720892 PQX720898:PQX720916 PQX786428 PQX786434:PQX786452 PQX851964 PQX851970:PQX851988 PQX917500 PQX917506:PQX917524 PQX983036 PQX983042:PQX983060 QAT2 QAT8:QAT26 QAT65532 QAT65538:QAT65556 QAT131068 QAT131074:QAT131092 QAT196604 QAT196610:QAT196628 QAT262140 QAT262146:QAT262164 QAT327676 QAT327682:QAT327700 QAT393212 QAT393218:QAT393236 QAT458748 QAT458754:QAT458772 QAT524284 QAT524290:QAT524308 QAT589820 QAT589826:QAT589844 QAT655356 QAT655362:QAT655380 QAT720892 QAT720898:QAT720916 QAT786428 QAT786434:QAT786452 QAT851964 QAT851970:QAT851988 QAT917500 QAT917506:QAT917524 QAT983036 QAT983042:QAT983060 QKP2 QKP8:QKP26 QKP65532 QKP65538:QKP65556 QKP131068 QKP131074:QKP131092 QKP196604 QKP196610:QKP196628 QKP262140 QKP262146:QKP262164 QKP327676 QKP327682:QKP327700 QKP393212 QKP393218:QKP393236 QKP458748 QKP458754:QKP458772 QKP524284 QKP524290:QKP524308 QKP589820 QKP589826:QKP589844 QKP655356 QKP655362:QKP655380 QKP720892 QKP720898:QKP720916 QKP786428 QKP786434:QKP786452 QKP851964 QKP851970:QKP851988 QKP917500 QKP917506:QKP917524 QKP983036 QKP983042:QKP983060 QUL2 QUL8:QUL26 QUL65532 QUL65538:QUL65556 QUL131068 QUL131074:QUL131092 QUL196604 QUL196610:QUL196628 QUL262140 QUL262146:QUL262164 QUL327676 QUL327682:QUL327700 QUL393212 QUL393218:QUL393236 QUL458748 QUL458754:QUL458772 QUL524284 QUL524290:QUL524308 QUL589820 QUL589826:QUL589844 QUL655356 QUL655362:QUL655380 QUL720892 QUL720898:QUL720916 QUL786428 QUL786434:QUL786452 QUL851964 QUL851970:QUL851988 QUL917500 QUL917506:QUL917524 QUL983036 QUL983042:QUL983060 REH2 REH8:REH26 REH65532 REH65538:REH65556 REH131068 REH131074:REH131092 REH196604 REH196610:REH196628 REH262140 REH262146:REH262164 REH327676 REH327682:REH327700 REH393212 REH393218:REH393236 REH458748 REH458754:REH458772 REH524284 REH524290:REH524308 REH589820 REH589826:REH589844 REH655356 REH655362:REH655380 REH720892 REH720898:REH720916 REH786428 REH786434:REH786452 REH851964 REH851970:REH851988 REH917500 REH917506:REH917524 REH983036 REH983042:REH983060 ROD2 ROD8:ROD26 ROD65532 ROD65538:ROD65556 ROD131068 ROD131074:ROD131092 ROD196604 ROD196610:ROD196628 ROD262140 ROD262146:ROD262164 ROD327676 ROD327682:ROD327700 ROD393212 ROD393218:ROD393236 ROD458748 ROD458754:ROD458772 ROD524284 ROD524290:ROD524308 ROD589820 ROD589826:ROD589844 ROD655356 ROD655362:ROD655380 ROD720892 ROD720898:ROD720916 ROD786428 ROD786434:ROD786452 ROD851964 ROD851970:ROD851988 ROD917500 ROD917506:ROD917524 ROD983036 ROD983042:ROD983060 RXZ2 RXZ8:RXZ26 RXZ65532 RXZ65538:RXZ65556 RXZ131068 RXZ131074:RXZ131092 RXZ196604 RXZ196610:RXZ196628 RXZ262140 RXZ262146:RXZ262164 RXZ327676 RXZ327682:RXZ327700 RXZ393212 RXZ393218:RXZ393236 RXZ458748 RXZ458754:RXZ458772 RXZ524284 RXZ524290:RXZ524308 RXZ589820 RXZ589826:RXZ589844 RXZ655356 RXZ655362:RXZ655380 RXZ720892 RXZ720898:RXZ720916 RXZ786428 RXZ786434:RXZ786452 RXZ851964 RXZ851970:RXZ851988 RXZ917500 RXZ917506:RXZ917524 RXZ983036 RXZ983042:RXZ983060 SHV2 SHV8:SHV26 SHV65532 SHV65538:SHV65556 SHV131068 SHV131074:SHV131092 SHV196604 SHV196610:SHV196628 SHV262140 SHV262146:SHV262164 SHV327676 SHV327682:SHV327700 SHV393212 SHV393218:SHV393236 SHV458748 SHV458754:SHV458772 SHV524284 SHV524290:SHV524308 SHV589820 SHV589826:SHV589844 SHV655356 SHV655362:SHV655380 SHV720892 SHV720898:SHV720916 SHV786428 SHV786434:SHV786452 SHV851964 SHV851970:SHV851988 SHV917500 SHV917506:SHV917524 SHV983036 SHV983042:SHV983060 SRR2 SRR8:SRR26 SRR65532 SRR65538:SRR65556 SRR131068 SRR131074:SRR131092 SRR196604 SRR196610:SRR196628 SRR262140 SRR262146:SRR262164 SRR327676 SRR327682:SRR327700 SRR393212 SRR393218:SRR393236 SRR458748 SRR458754:SRR458772 SRR524284 SRR524290:SRR524308 SRR589820 SRR589826:SRR589844 SRR655356 SRR655362:SRR655380 SRR720892 SRR720898:SRR720916 SRR786428 SRR786434:SRR786452 SRR851964 SRR851970:SRR851988 SRR917500 SRR917506:SRR917524 SRR983036 SRR983042:SRR983060 TBN2 TBN8:TBN26 TBN65532 TBN65538:TBN65556 TBN131068 TBN131074:TBN131092 TBN196604 TBN196610:TBN196628 TBN262140 TBN262146:TBN262164 TBN327676 TBN327682:TBN327700 TBN393212 TBN393218:TBN393236 TBN458748 TBN458754:TBN458772 TBN524284 TBN524290:TBN524308 TBN589820 TBN589826:TBN589844 TBN655356 TBN655362:TBN655380 TBN720892 TBN720898:TBN720916 TBN786428 TBN786434:TBN786452 TBN851964 TBN851970:TBN851988 TBN917500 TBN917506:TBN917524 TBN983036 TBN983042:TBN983060 TLJ2 TLJ8:TLJ26 TLJ65532 TLJ65538:TLJ65556 TLJ131068 TLJ131074:TLJ131092 TLJ196604 TLJ196610:TLJ196628 TLJ262140 TLJ262146:TLJ262164 TLJ327676 TLJ327682:TLJ327700 TLJ393212 TLJ393218:TLJ393236 TLJ458748 TLJ458754:TLJ458772 TLJ524284 TLJ524290:TLJ524308 TLJ589820 TLJ589826:TLJ589844 TLJ655356 TLJ655362:TLJ655380 TLJ720892 TLJ720898:TLJ720916 TLJ786428 TLJ786434:TLJ786452 TLJ851964 TLJ851970:TLJ851988 TLJ917500 TLJ917506:TLJ917524 TLJ983036 TLJ983042:TLJ983060 TVF2 TVF8:TVF26 TVF65532 TVF65538:TVF65556 TVF131068 TVF131074:TVF131092 TVF196604 TVF196610:TVF196628 TVF262140 TVF262146:TVF262164 TVF327676 TVF327682:TVF327700 TVF393212 TVF393218:TVF393236 TVF458748 TVF458754:TVF458772 TVF524284 TVF524290:TVF524308 TVF589820 TVF589826:TVF589844 TVF655356 TVF655362:TVF655380 TVF720892 TVF720898:TVF720916 TVF786428 TVF786434:TVF786452 TVF851964 TVF851970:TVF851988 TVF917500 TVF917506:TVF917524 TVF983036 TVF983042:TVF983060 UFB2 UFB8:UFB26 UFB65532 UFB65538:UFB65556 UFB131068 UFB131074:UFB131092 UFB196604 UFB196610:UFB196628 UFB262140 UFB262146:UFB262164 UFB327676 UFB327682:UFB327700 UFB393212 UFB393218:UFB393236 UFB458748 UFB458754:UFB458772 UFB524284 UFB524290:UFB524308 UFB589820 UFB589826:UFB589844 UFB655356 UFB655362:UFB655380 UFB720892 UFB720898:UFB720916 UFB786428 UFB786434:UFB786452 UFB851964 UFB851970:UFB851988 UFB917500 UFB917506:UFB917524 UFB983036 UFB983042:UFB983060 UOX2 UOX8:UOX26 UOX65532 UOX65538:UOX65556 UOX131068 UOX131074:UOX131092 UOX196604 UOX196610:UOX196628 UOX262140 UOX262146:UOX262164 UOX327676 UOX327682:UOX327700 UOX393212 UOX393218:UOX393236 UOX458748 UOX458754:UOX458772 UOX524284 UOX524290:UOX524308 UOX589820 UOX589826:UOX589844 UOX655356 UOX655362:UOX655380 UOX720892 UOX720898:UOX720916 UOX786428 UOX786434:UOX786452 UOX851964 UOX851970:UOX851988 UOX917500 UOX917506:UOX917524 UOX983036 UOX983042:UOX983060 UYT2 UYT8:UYT26 UYT65532 UYT65538:UYT65556 UYT131068 UYT131074:UYT131092 UYT196604 UYT196610:UYT196628 UYT262140 UYT262146:UYT262164 UYT327676 UYT327682:UYT327700 UYT393212 UYT393218:UYT393236 UYT458748 UYT458754:UYT458772 UYT524284 UYT524290:UYT524308 UYT589820 UYT589826:UYT589844 UYT655356 UYT655362:UYT655380 UYT720892 UYT720898:UYT720916 UYT786428 UYT786434:UYT786452 UYT851964 UYT851970:UYT851988 UYT917500 UYT917506:UYT917524 UYT983036 UYT983042:UYT983060 VIP2 VIP8:VIP26 VIP65532 VIP65538:VIP65556 VIP131068 VIP131074:VIP131092 VIP196604 VIP196610:VIP196628 VIP262140 VIP262146:VIP262164 VIP327676 VIP327682:VIP327700 VIP393212 VIP393218:VIP393236 VIP458748 VIP458754:VIP458772 VIP524284 VIP524290:VIP524308 VIP589820 VIP589826:VIP589844 VIP655356 VIP655362:VIP655380 VIP720892 VIP720898:VIP720916 VIP786428 VIP786434:VIP786452 VIP851964 VIP851970:VIP851988 VIP917500 VIP917506:VIP917524 VIP983036 VIP983042:VIP983060 VSL2 VSL8:VSL26 VSL65532 VSL65538:VSL65556 VSL131068 VSL131074:VSL131092 VSL196604 VSL196610:VSL196628 VSL262140 VSL262146:VSL262164 VSL327676 VSL327682:VSL327700 VSL393212 VSL393218:VSL393236 VSL458748 VSL458754:VSL458772 VSL524284 VSL524290:VSL524308 VSL589820 VSL589826:VSL589844 VSL655356 VSL655362:VSL655380 VSL720892 VSL720898:VSL720916 VSL786428 VSL786434:VSL786452 VSL851964 VSL851970:VSL851988 VSL917500 VSL917506:VSL917524 VSL983036 VSL983042:VSL983060 WCH2 WCH8:WCH26 WCH65532 WCH65538:WCH65556 WCH131068 WCH131074:WCH131092 WCH196604 WCH196610:WCH196628 WCH262140 WCH262146:WCH262164 WCH327676 WCH327682:WCH327700 WCH393212 WCH393218:WCH393236 WCH458748 WCH458754:WCH458772 WCH524284 WCH524290:WCH524308 WCH589820 WCH589826:WCH589844 WCH655356 WCH655362:WCH655380 WCH720892 WCH720898:WCH720916 WCH786428 WCH786434:WCH786452 WCH851964 WCH851970:WCH851988 WCH917500 WCH917506:WCH917524 WCH983036 WCH983042:WCH983060 WMD2 WMD8:WMD26 WMD65532 WMD65538:WMD65556 WMD131068 WMD131074:WMD131092 WMD196604 WMD196610:WMD196628 WMD262140 WMD262146:WMD262164 WMD327676 WMD327682:WMD327700 WMD393212 WMD393218:WMD393236 WMD458748 WMD458754:WMD458772 WMD524284 WMD524290:WMD524308 WMD589820 WMD589826:WMD589844 WMD655356 WMD655362:WMD655380 WMD720892 WMD720898:WMD720916 WMD786428 WMD786434:WMD786452 WMD851964 WMD851970:WMD851988 WMD917500 WMD917506:WMD917524 WMD983036 WMD983042:WMD983060 WVZ2 WVZ8:WVZ26 WVZ65532 WVZ65538:WVZ65556 WVZ131068 WVZ131074:WVZ131092 WVZ196604 WVZ196610:WVZ196628 WVZ262140 WVZ262146:WVZ262164 WVZ327676 WVZ327682:WVZ327700 WVZ393212 WVZ393218:WVZ393236 WVZ458748 WVZ458754:WVZ458772 WVZ524284 WVZ524290:WVZ524308 WVZ589820 WVZ589826:WVZ589844 WVZ655356 WVZ655362:WVZ655380 WVZ720892 WVZ720898:WVZ720916 WVZ786428 WVZ786434:WVZ786452 WVZ851964 WVZ851970:WVZ851988 WVZ917500 WVZ917506:WVZ917524 WVZ983036 WVZ983042:WVZ983060" xr:uid="{00000000-0002-0000-0800-000013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2 S8:S26 S65532 S65538:S65556 S131068 S131074:S131092 S196604 S196610:S196628 S262140 S262146:S262164 S327676 S327682:S327700 S393212 S393218:S393236 S458748 S458754:S458772 S524284 S524290:S524308 S589820 S589826:S589844 S655356 S655362:S655380 S720892 S720898:S720916 S786428 S786434:S786452 S851964 S851970:S851988 S917500 S917506:S917524 S983036 S983042:S983060 JO2 JO8:JO26 JO65532 JO65538:JO65556 JO131068 JO131074:JO131092 JO196604 JO196610:JO196628 JO262140 JO262146:JO262164 JO327676 JO327682:JO327700 JO393212 JO393218:JO393236 JO458748 JO458754:JO458772 JO524284 JO524290:JO524308 JO589820 JO589826:JO589844 JO655356 JO655362:JO655380 JO720892 JO720898:JO720916 JO786428 JO786434:JO786452 JO851964 JO851970:JO851988 JO917500 JO917506:JO917524 JO983036 JO983042:JO983060 TK2 TK8:TK26 TK65532 TK65538:TK65556 TK131068 TK131074:TK131092 TK196604 TK196610:TK196628 TK262140 TK262146:TK262164 TK327676 TK327682:TK327700 TK393212 TK393218:TK393236 TK458748 TK458754:TK458772 TK524284 TK524290:TK524308 TK589820 TK589826:TK589844 TK655356 TK655362:TK655380 TK720892 TK720898:TK720916 TK786428 TK786434:TK786452 TK851964 TK851970:TK851988 TK917500 TK917506:TK917524 TK983036 TK983042:TK983060 ADG2 ADG8:ADG26 ADG65532 ADG65538:ADG65556 ADG131068 ADG131074:ADG131092 ADG196604 ADG196610:ADG196628 ADG262140 ADG262146:ADG262164 ADG327676 ADG327682:ADG327700 ADG393212 ADG393218:ADG393236 ADG458748 ADG458754:ADG458772 ADG524284 ADG524290:ADG524308 ADG589820 ADG589826:ADG589844 ADG655356 ADG655362:ADG655380 ADG720892 ADG720898:ADG720916 ADG786428 ADG786434:ADG786452 ADG851964 ADG851970:ADG851988 ADG917500 ADG917506:ADG917524 ADG983036 ADG983042:ADG983060 ANC2 ANC8:ANC26 ANC65532 ANC65538:ANC65556 ANC131068 ANC131074:ANC131092 ANC196604 ANC196610:ANC196628 ANC262140 ANC262146:ANC262164 ANC327676 ANC327682:ANC327700 ANC393212 ANC393218:ANC393236 ANC458748 ANC458754:ANC458772 ANC524284 ANC524290:ANC524308 ANC589820 ANC589826:ANC589844 ANC655356 ANC655362:ANC655380 ANC720892 ANC720898:ANC720916 ANC786428 ANC786434:ANC786452 ANC851964 ANC851970:ANC851988 ANC917500 ANC917506:ANC917524 ANC983036 ANC983042:ANC983060 AWY2 AWY8:AWY26 AWY65532 AWY65538:AWY65556 AWY131068 AWY131074:AWY131092 AWY196604 AWY196610:AWY196628 AWY262140 AWY262146:AWY262164 AWY327676 AWY327682:AWY327700 AWY393212 AWY393218:AWY393236 AWY458748 AWY458754:AWY458772 AWY524284 AWY524290:AWY524308 AWY589820 AWY589826:AWY589844 AWY655356 AWY655362:AWY655380 AWY720892 AWY720898:AWY720916 AWY786428 AWY786434:AWY786452 AWY851964 AWY851970:AWY851988 AWY917500 AWY917506:AWY917524 AWY983036 AWY983042:AWY983060 BGU2 BGU8:BGU26 BGU65532 BGU65538:BGU65556 BGU131068 BGU131074:BGU131092 BGU196604 BGU196610:BGU196628 BGU262140 BGU262146:BGU262164 BGU327676 BGU327682:BGU327700 BGU393212 BGU393218:BGU393236 BGU458748 BGU458754:BGU458772 BGU524284 BGU524290:BGU524308 BGU589820 BGU589826:BGU589844 BGU655356 BGU655362:BGU655380 BGU720892 BGU720898:BGU720916 BGU786428 BGU786434:BGU786452 BGU851964 BGU851970:BGU851988 BGU917500 BGU917506:BGU917524 BGU983036 BGU983042:BGU983060 BQQ2 BQQ8:BQQ26 BQQ65532 BQQ65538:BQQ65556 BQQ131068 BQQ131074:BQQ131092 BQQ196604 BQQ196610:BQQ196628 BQQ262140 BQQ262146:BQQ262164 BQQ327676 BQQ327682:BQQ327700 BQQ393212 BQQ393218:BQQ393236 BQQ458748 BQQ458754:BQQ458772 BQQ524284 BQQ524290:BQQ524308 BQQ589820 BQQ589826:BQQ589844 BQQ655356 BQQ655362:BQQ655380 BQQ720892 BQQ720898:BQQ720916 BQQ786428 BQQ786434:BQQ786452 BQQ851964 BQQ851970:BQQ851988 BQQ917500 BQQ917506:BQQ917524 BQQ983036 BQQ983042:BQQ983060 CAM2 CAM8:CAM26 CAM65532 CAM65538:CAM65556 CAM131068 CAM131074:CAM131092 CAM196604 CAM196610:CAM196628 CAM262140 CAM262146:CAM262164 CAM327676 CAM327682:CAM327700 CAM393212 CAM393218:CAM393236 CAM458748 CAM458754:CAM458772 CAM524284 CAM524290:CAM524308 CAM589820 CAM589826:CAM589844 CAM655356 CAM655362:CAM655380 CAM720892 CAM720898:CAM720916 CAM786428 CAM786434:CAM786452 CAM851964 CAM851970:CAM851988 CAM917500 CAM917506:CAM917524 CAM983036 CAM983042:CAM983060 CKI2 CKI8:CKI26 CKI65532 CKI65538:CKI65556 CKI131068 CKI131074:CKI131092 CKI196604 CKI196610:CKI196628 CKI262140 CKI262146:CKI262164 CKI327676 CKI327682:CKI327700 CKI393212 CKI393218:CKI393236 CKI458748 CKI458754:CKI458772 CKI524284 CKI524290:CKI524308 CKI589820 CKI589826:CKI589844 CKI655356 CKI655362:CKI655380 CKI720892 CKI720898:CKI720916 CKI786428 CKI786434:CKI786452 CKI851964 CKI851970:CKI851988 CKI917500 CKI917506:CKI917524 CKI983036 CKI983042:CKI983060 CUE2 CUE8:CUE26 CUE65532 CUE65538:CUE65556 CUE131068 CUE131074:CUE131092 CUE196604 CUE196610:CUE196628 CUE262140 CUE262146:CUE262164 CUE327676 CUE327682:CUE327700 CUE393212 CUE393218:CUE393236 CUE458748 CUE458754:CUE458772 CUE524284 CUE524290:CUE524308 CUE589820 CUE589826:CUE589844 CUE655356 CUE655362:CUE655380 CUE720892 CUE720898:CUE720916 CUE786428 CUE786434:CUE786452 CUE851964 CUE851970:CUE851988 CUE917500 CUE917506:CUE917524 CUE983036 CUE983042:CUE983060 DEA2 DEA8:DEA26 DEA65532 DEA65538:DEA65556 DEA131068 DEA131074:DEA131092 DEA196604 DEA196610:DEA196628 DEA262140 DEA262146:DEA262164 DEA327676 DEA327682:DEA327700 DEA393212 DEA393218:DEA393236 DEA458748 DEA458754:DEA458772 DEA524284 DEA524290:DEA524308 DEA589820 DEA589826:DEA589844 DEA655356 DEA655362:DEA655380 DEA720892 DEA720898:DEA720916 DEA786428 DEA786434:DEA786452 DEA851964 DEA851970:DEA851988 DEA917500 DEA917506:DEA917524 DEA983036 DEA983042:DEA983060 DNW2 DNW8:DNW26 DNW65532 DNW65538:DNW65556 DNW131068 DNW131074:DNW131092 DNW196604 DNW196610:DNW196628 DNW262140 DNW262146:DNW262164 DNW327676 DNW327682:DNW327700 DNW393212 DNW393218:DNW393236 DNW458748 DNW458754:DNW458772 DNW524284 DNW524290:DNW524308 DNW589820 DNW589826:DNW589844 DNW655356 DNW655362:DNW655380 DNW720892 DNW720898:DNW720916 DNW786428 DNW786434:DNW786452 DNW851964 DNW851970:DNW851988 DNW917500 DNW917506:DNW917524 DNW983036 DNW983042:DNW983060 DXS2 DXS8:DXS26 DXS65532 DXS65538:DXS65556 DXS131068 DXS131074:DXS131092 DXS196604 DXS196610:DXS196628 DXS262140 DXS262146:DXS262164 DXS327676 DXS327682:DXS327700 DXS393212 DXS393218:DXS393236 DXS458748 DXS458754:DXS458772 DXS524284 DXS524290:DXS524308 DXS589820 DXS589826:DXS589844 DXS655356 DXS655362:DXS655380 DXS720892 DXS720898:DXS720916 DXS786428 DXS786434:DXS786452 DXS851964 DXS851970:DXS851988 DXS917500 DXS917506:DXS917524 DXS983036 DXS983042:DXS983060 EHO2 EHO8:EHO26 EHO65532 EHO65538:EHO65556 EHO131068 EHO131074:EHO131092 EHO196604 EHO196610:EHO196628 EHO262140 EHO262146:EHO262164 EHO327676 EHO327682:EHO327700 EHO393212 EHO393218:EHO393236 EHO458748 EHO458754:EHO458772 EHO524284 EHO524290:EHO524308 EHO589820 EHO589826:EHO589844 EHO655356 EHO655362:EHO655380 EHO720892 EHO720898:EHO720916 EHO786428 EHO786434:EHO786452 EHO851964 EHO851970:EHO851988 EHO917500 EHO917506:EHO917524 EHO983036 EHO983042:EHO983060 ERK2 ERK8:ERK26 ERK65532 ERK65538:ERK65556 ERK131068 ERK131074:ERK131092 ERK196604 ERK196610:ERK196628 ERK262140 ERK262146:ERK262164 ERK327676 ERK327682:ERK327700 ERK393212 ERK393218:ERK393236 ERK458748 ERK458754:ERK458772 ERK524284 ERK524290:ERK524308 ERK589820 ERK589826:ERK589844 ERK655356 ERK655362:ERK655380 ERK720892 ERK720898:ERK720916 ERK786428 ERK786434:ERK786452 ERK851964 ERK851970:ERK851988 ERK917500 ERK917506:ERK917524 ERK983036 ERK983042:ERK983060 FBG2 FBG8:FBG26 FBG65532 FBG65538:FBG65556 FBG131068 FBG131074:FBG131092 FBG196604 FBG196610:FBG196628 FBG262140 FBG262146:FBG262164 FBG327676 FBG327682:FBG327700 FBG393212 FBG393218:FBG393236 FBG458748 FBG458754:FBG458772 FBG524284 FBG524290:FBG524308 FBG589820 FBG589826:FBG589844 FBG655356 FBG655362:FBG655380 FBG720892 FBG720898:FBG720916 FBG786428 FBG786434:FBG786452 FBG851964 FBG851970:FBG851988 FBG917500 FBG917506:FBG917524 FBG983036 FBG983042:FBG983060 FLC2 FLC8:FLC26 FLC65532 FLC65538:FLC65556 FLC131068 FLC131074:FLC131092 FLC196604 FLC196610:FLC196628 FLC262140 FLC262146:FLC262164 FLC327676 FLC327682:FLC327700 FLC393212 FLC393218:FLC393236 FLC458748 FLC458754:FLC458772 FLC524284 FLC524290:FLC524308 FLC589820 FLC589826:FLC589844 FLC655356 FLC655362:FLC655380 FLC720892 FLC720898:FLC720916 FLC786428 FLC786434:FLC786452 FLC851964 FLC851970:FLC851988 FLC917500 FLC917506:FLC917524 FLC983036 FLC983042:FLC983060 FUY2 FUY8:FUY26 FUY65532 FUY65538:FUY65556 FUY131068 FUY131074:FUY131092 FUY196604 FUY196610:FUY196628 FUY262140 FUY262146:FUY262164 FUY327676 FUY327682:FUY327700 FUY393212 FUY393218:FUY393236 FUY458748 FUY458754:FUY458772 FUY524284 FUY524290:FUY524308 FUY589820 FUY589826:FUY589844 FUY655356 FUY655362:FUY655380 FUY720892 FUY720898:FUY720916 FUY786428 FUY786434:FUY786452 FUY851964 FUY851970:FUY851988 FUY917500 FUY917506:FUY917524 FUY983036 FUY983042:FUY983060 GEU2 GEU8:GEU26 GEU65532 GEU65538:GEU65556 GEU131068 GEU131074:GEU131092 GEU196604 GEU196610:GEU196628 GEU262140 GEU262146:GEU262164 GEU327676 GEU327682:GEU327700 GEU393212 GEU393218:GEU393236 GEU458748 GEU458754:GEU458772 GEU524284 GEU524290:GEU524308 GEU589820 GEU589826:GEU589844 GEU655356 GEU655362:GEU655380 GEU720892 GEU720898:GEU720916 GEU786428 GEU786434:GEU786452 GEU851964 GEU851970:GEU851988 GEU917500 GEU917506:GEU917524 GEU983036 GEU983042:GEU983060 GOQ2 GOQ8:GOQ26 GOQ65532 GOQ65538:GOQ65556 GOQ131068 GOQ131074:GOQ131092 GOQ196604 GOQ196610:GOQ196628 GOQ262140 GOQ262146:GOQ262164 GOQ327676 GOQ327682:GOQ327700 GOQ393212 GOQ393218:GOQ393236 GOQ458748 GOQ458754:GOQ458772 GOQ524284 GOQ524290:GOQ524308 GOQ589820 GOQ589826:GOQ589844 GOQ655356 GOQ655362:GOQ655380 GOQ720892 GOQ720898:GOQ720916 GOQ786428 GOQ786434:GOQ786452 GOQ851964 GOQ851970:GOQ851988 GOQ917500 GOQ917506:GOQ917524 GOQ983036 GOQ983042:GOQ983060 GYM2 GYM8:GYM26 GYM65532 GYM65538:GYM65556 GYM131068 GYM131074:GYM131092 GYM196604 GYM196610:GYM196628 GYM262140 GYM262146:GYM262164 GYM327676 GYM327682:GYM327700 GYM393212 GYM393218:GYM393236 GYM458748 GYM458754:GYM458772 GYM524284 GYM524290:GYM524308 GYM589820 GYM589826:GYM589844 GYM655356 GYM655362:GYM655380 GYM720892 GYM720898:GYM720916 GYM786428 GYM786434:GYM786452 GYM851964 GYM851970:GYM851988 GYM917500 GYM917506:GYM917524 GYM983036 GYM983042:GYM983060 HII2 HII8:HII26 HII65532 HII65538:HII65556 HII131068 HII131074:HII131092 HII196604 HII196610:HII196628 HII262140 HII262146:HII262164 HII327676 HII327682:HII327700 HII393212 HII393218:HII393236 HII458748 HII458754:HII458772 HII524284 HII524290:HII524308 HII589820 HII589826:HII589844 HII655356 HII655362:HII655380 HII720892 HII720898:HII720916 HII786428 HII786434:HII786452 HII851964 HII851970:HII851988 HII917500 HII917506:HII917524 HII983036 HII983042:HII983060 HSE2 HSE8:HSE26 HSE65532 HSE65538:HSE65556 HSE131068 HSE131074:HSE131092 HSE196604 HSE196610:HSE196628 HSE262140 HSE262146:HSE262164 HSE327676 HSE327682:HSE327700 HSE393212 HSE393218:HSE393236 HSE458748 HSE458754:HSE458772 HSE524284 HSE524290:HSE524308 HSE589820 HSE589826:HSE589844 HSE655356 HSE655362:HSE655380 HSE720892 HSE720898:HSE720916 HSE786428 HSE786434:HSE786452 HSE851964 HSE851970:HSE851988 HSE917500 HSE917506:HSE917524 HSE983036 HSE983042:HSE983060 ICA2 ICA8:ICA26 ICA65532 ICA65538:ICA65556 ICA131068 ICA131074:ICA131092 ICA196604 ICA196610:ICA196628 ICA262140 ICA262146:ICA262164 ICA327676 ICA327682:ICA327700 ICA393212 ICA393218:ICA393236 ICA458748 ICA458754:ICA458772 ICA524284 ICA524290:ICA524308 ICA589820 ICA589826:ICA589844 ICA655356 ICA655362:ICA655380 ICA720892 ICA720898:ICA720916 ICA786428 ICA786434:ICA786452 ICA851964 ICA851970:ICA851988 ICA917500 ICA917506:ICA917524 ICA983036 ICA983042:ICA983060 ILW2 ILW8:ILW26 ILW65532 ILW65538:ILW65556 ILW131068 ILW131074:ILW131092 ILW196604 ILW196610:ILW196628 ILW262140 ILW262146:ILW262164 ILW327676 ILW327682:ILW327700 ILW393212 ILW393218:ILW393236 ILW458748 ILW458754:ILW458772 ILW524284 ILW524290:ILW524308 ILW589820 ILW589826:ILW589844 ILW655356 ILW655362:ILW655380 ILW720892 ILW720898:ILW720916 ILW786428 ILW786434:ILW786452 ILW851964 ILW851970:ILW851988 ILW917500 ILW917506:ILW917524 ILW983036 ILW983042:ILW983060 IVS2 IVS8:IVS26 IVS65532 IVS65538:IVS65556 IVS131068 IVS131074:IVS131092 IVS196604 IVS196610:IVS196628 IVS262140 IVS262146:IVS262164 IVS327676 IVS327682:IVS327700 IVS393212 IVS393218:IVS393236 IVS458748 IVS458754:IVS458772 IVS524284 IVS524290:IVS524308 IVS589820 IVS589826:IVS589844 IVS655356 IVS655362:IVS655380 IVS720892 IVS720898:IVS720916 IVS786428 IVS786434:IVS786452 IVS851964 IVS851970:IVS851988 IVS917500 IVS917506:IVS917524 IVS983036 IVS983042:IVS983060 JFO2 JFO8:JFO26 JFO65532 JFO65538:JFO65556 JFO131068 JFO131074:JFO131092 JFO196604 JFO196610:JFO196628 JFO262140 JFO262146:JFO262164 JFO327676 JFO327682:JFO327700 JFO393212 JFO393218:JFO393236 JFO458748 JFO458754:JFO458772 JFO524284 JFO524290:JFO524308 JFO589820 JFO589826:JFO589844 JFO655356 JFO655362:JFO655380 JFO720892 JFO720898:JFO720916 JFO786428 JFO786434:JFO786452 JFO851964 JFO851970:JFO851988 JFO917500 JFO917506:JFO917524 JFO983036 JFO983042:JFO983060 JPK2 JPK8:JPK26 JPK65532 JPK65538:JPK65556 JPK131068 JPK131074:JPK131092 JPK196604 JPK196610:JPK196628 JPK262140 JPK262146:JPK262164 JPK327676 JPK327682:JPK327700 JPK393212 JPK393218:JPK393236 JPK458748 JPK458754:JPK458772 JPK524284 JPK524290:JPK524308 JPK589820 JPK589826:JPK589844 JPK655356 JPK655362:JPK655380 JPK720892 JPK720898:JPK720916 JPK786428 JPK786434:JPK786452 JPK851964 JPK851970:JPK851988 JPK917500 JPK917506:JPK917524 JPK983036 JPK983042:JPK983060 JZG2 JZG8:JZG26 JZG65532 JZG65538:JZG65556 JZG131068 JZG131074:JZG131092 JZG196604 JZG196610:JZG196628 JZG262140 JZG262146:JZG262164 JZG327676 JZG327682:JZG327700 JZG393212 JZG393218:JZG393236 JZG458748 JZG458754:JZG458772 JZG524284 JZG524290:JZG524308 JZG589820 JZG589826:JZG589844 JZG655356 JZG655362:JZG655380 JZG720892 JZG720898:JZG720916 JZG786428 JZG786434:JZG786452 JZG851964 JZG851970:JZG851988 JZG917500 JZG917506:JZG917524 JZG983036 JZG983042:JZG983060 KJC2 KJC8:KJC26 KJC65532 KJC65538:KJC65556 KJC131068 KJC131074:KJC131092 KJC196604 KJC196610:KJC196628 KJC262140 KJC262146:KJC262164 KJC327676 KJC327682:KJC327700 KJC393212 KJC393218:KJC393236 KJC458748 KJC458754:KJC458772 KJC524284 KJC524290:KJC524308 KJC589820 KJC589826:KJC589844 KJC655356 KJC655362:KJC655380 KJC720892 KJC720898:KJC720916 KJC786428 KJC786434:KJC786452 KJC851964 KJC851970:KJC851988 KJC917500 KJC917506:KJC917524 KJC983036 KJC983042:KJC983060 KSY2 KSY8:KSY26 KSY65532 KSY65538:KSY65556 KSY131068 KSY131074:KSY131092 KSY196604 KSY196610:KSY196628 KSY262140 KSY262146:KSY262164 KSY327676 KSY327682:KSY327700 KSY393212 KSY393218:KSY393236 KSY458748 KSY458754:KSY458772 KSY524284 KSY524290:KSY524308 KSY589820 KSY589826:KSY589844 KSY655356 KSY655362:KSY655380 KSY720892 KSY720898:KSY720916 KSY786428 KSY786434:KSY786452 KSY851964 KSY851970:KSY851988 KSY917500 KSY917506:KSY917524 KSY983036 KSY983042:KSY983060 LCU2 LCU8:LCU26 LCU65532 LCU65538:LCU65556 LCU131068 LCU131074:LCU131092 LCU196604 LCU196610:LCU196628 LCU262140 LCU262146:LCU262164 LCU327676 LCU327682:LCU327700 LCU393212 LCU393218:LCU393236 LCU458748 LCU458754:LCU458772 LCU524284 LCU524290:LCU524308 LCU589820 LCU589826:LCU589844 LCU655356 LCU655362:LCU655380 LCU720892 LCU720898:LCU720916 LCU786428 LCU786434:LCU786452 LCU851964 LCU851970:LCU851988 LCU917500 LCU917506:LCU917524 LCU983036 LCU983042:LCU983060 LMQ2 LMQ8:LMQ26 LMQ65532 LMQ65538:LMQ65556 LMQ131068 LMQ131074:LMQ131092 LMQ196604 LMQ196610:LMQ196628 LMQ262140 LMQ262146:LMQ262164 LMQ327676 LMQ327682:LMQ327700 LMQ393212 LMQ393218:LMQ393236 LMQ458748 LMQ458754:LMQ458772 LMQ524284 LMQ524290:LMQ524308 LMQ589820 LMQ589826:LMQ589844 LMQ655356 LMQ655362:LMQ655380 LMQ720892 LMQ720898:LMQ720916 LMQ786428 LMQ786434:LMQ786452 LMQ851964 LMQ851970:LMQ851988 LMQ917500 LMQ917506:LMQ917524 LMQ983036 LMQ983042:LMQ983060 LWM2 LWM8:LWM26 LWM65532 LWM65538:LWM65556 LWM131068 LWM131074:LWM131092 LWM196604 LWM196610:LWM196628 LWM262140 LWM262146:LWM262164 LWM327676 LWM327682:LWM327700 LWM393212 LWM393218:LWM393236 LWM458748 LWM458754:LWM458772 LWM524284 LWM524290:LWM524308 LWM589820 LWM589826:LWM589844 LWM655356 LWM655362:LWM655380 LWM720892 LWM720898:LWM720916 LWM786428 LWM786434:LWM786452 LWM851964 LWM851970:LWM851988 LWM917500 LWM917506:LWM917524 LWM983036 LWM983042:LWM983060 MGI2 MGI8:MGI26 MGI65532 MGI65538:MGI65556 MGI131068 MGI131074:MGI131092 MGI196604 MGI196610:MGI196628 MGI262140 MGI262146:MGI262164 MGI327676 MGI327682:MGI327700 MGI393212 MGI393218:MGI393236 MGI458748 MGI458754:MGI458772 MGI524284 MGI524290:MGI524308 MGI589820 MGI589826:MGI589844 MGI655356 MGI655362:MGI655380 MGI720892 MGI720898:MGI720916 MGI786428 MGI786434:MGI786452 MGI851964 MGI851970:MGI851988 MGI917500 MGI917506:MGI917524 MGI983036 MGI983042:MGI983060 MQE2 MQE8:MQE26 MQE65532 MQE65538:MQE65556 MQE131068 MQE131074:MQE131092 MQE196604 MQE196610:MQE196628 MQE262140 MQE262146:MQE262164 MQE327676 MQE327682:MQE327700 MQE393212 MQE393218:MQE393236 MQE458748 MQE458754:MQE458772 MQE524284 MQE524290:MQE524308 MQE589820 MQE589826:MQE589844 MQE655356 MQE655362:MQE655380 MQE720892 MQE720898:MQE720916 MQE786428 MQE786434:MQE786452 MQE851964 MQE851970:MQE851988 MQE917500 MQE917506:MQE917524 MQE983036 MQE983042:MQE983060 NAA2 NAA8:NAA26 NAA65532 NAA65538:NAA65556 NAA131068 NAA131074:NAA131092 NAA196604 NAA196610:NAA196628 NAA262140 NAA262146:NAA262164 NAA327676 NAA327682:NAA327700 NAA393212 NAA393218:NAA393236 NAA458748 NAA458754:NAA458772 NAA524284 NAA524290:NAA524308 NAA589820 NAA589826:NAA589844 NAA655356 NAA655362:NAA655380 NAA720892 NAA720898:NAA720916 NAA786428 NAA786434:NAA786452 NAA851964 NAA851970:NAA851988 NAA917500 NAA917506:NAA917524 NAA983036 NAA983042:NAA983060 NJW2 NJW8:NJW26 NJW65532 NJW65538:NJW65556 NJW131068 NJW131074:NJW131092 NJW196604 NJW196610:NJW196628 NJW262140 NJW262146:NJW262164 NJW327676 NJW327682:NJW327700 NJW393212 NJW393218:NJW393236 NJW458748 NJW458754:NJW458772 NJW524284 NJW524290:NJW524308 NJW589820 NJW589826:NJW589844 NJW655356 NJW655362:NJW655380 NJW720892 NJW720898:NJW720916 NJW786428 NJW786434:NJW786452 NJW851964 NJW851970:NJW851988 NJW917500 NJW917506:NJW917524 NJW983036 NJW983042:NJW983060 NTS2 NTS8:NTS26 NTS65532 NTS65538:NTS65556 NTS131068 NTS131074:NTS131092 NTS196604 NTS196610:NTS196628 NTS262140 NTS262146:NTS262164 NTS327676 NTS327682:NTS327700 NTS393212 NTS393218:NTS393236 NTS458748 NTS458754:NTS458772 NTS524284 NTS524290:NTS524308 NTS589820 NTS589826:NTS589844 NTS655356 NTS655362:NTS655380 NTS720892 NTS720898:NTS720916 NTS786428 NTS786434:NTS786452 NTS851964 NTS851970:NTS851988 NTS917500 NTS917506:NTS917524 NTS983036 NTS983042:NTS983060 ODO2 ODO8:ODO26 ODO65532 ODO65538:ODO65556 ODO131068 ODO131074:ODO131092 ODO196604 ODO196610:ODO196628 ODO262140 ODO262146:ODO262164 ODO327676 ODO327682:ODO327700 ODO393212 ODO393218:ODO393236 ODO458748 ODO458754:ODO458772 ODO524284 ODO524290:ODO524308 ODO589820 ODO589826:ODO589844 ODO655356 ODO655362:ODO655380 ODO720892 ODO720898:ODO720916 ODO786428 ODO786434:ODO786452 ODO851964 ODO851970:ODO851988 ODO917500 ODO917506:ODO917524 ODO983036 ODO983042:ODO983060 ONK2 ONK8:ONK26 ONK65532 ONK65538:ONK65556 ONK131068 ONK131074:ONK131092 ONK196604 ONK196610:ONK196628 ONK262140 ONK262146:ONK262164 ONK327676 ONK327682:ONK327700 ONK393212 ONK393218:ONK393236 ONK458748 ONK458754:ONK458772 ONK524284 ONK524290:ONK524308 ONK589820 ONK589826:ONK589844 ONK655356 ONK655362:ONK655380 ONK720892 ONK720898:ONK720916 ONK786428 ONK786434:ONK786452 ONK851964 ONK851970:ONK851988 ONK917500 ONK917506:ONK917524 ONK983036 ONK983042:ONK983060 OXG2 OXG8:OXG26 OXG65532 OXG65538:OXG65556 OXG131068 OXG131074:OXG131092 OXG196604 OXG196610:OXG196628 OXG262140 OXG262146:OXG262164 OXG327676 OXG327682:OXG327700 OXG393212 OXG393218:OXG393236 OXG458748 OXG458754:OXG458772 OXG524284 OXG524290:OXG524308 OXG589820 OXG589826:OXG589844 OXG655356 OXG655362:OXG655380 OXG720892 OXG720898:OXG720916 OXG786428 OXG786434:OXG786452 OXG851964 OXG851970:OXG851988 OXG917500 OXG917506:OXG917524 OXG983036 OXG983042:OXG983060 PHC2 PHC8:PHC26 PHC65532 PHC65538:PHC65556 PHC131068 PHC131074:PHC131092 PHC196604 PHC196610:PHC196628 PHC262140 PHC262146:PHC262164 PHC327676 PHC327682:PHC327700 PHC393212 PHC393218:PHC393236 PHC458748 PHC458754:PHC458772 PHC524284 PHC524290:PHC524308 PHC589820 PHC589826:PHC589844 PHC655356 PHC655362:PHC655380 PHC720892 PHC720898:PHC720916 PHC786428 PHC786434:PHC786452 PHC851964 PHC851970:PHC851988 PHC917500 PHC917506:PHC917524 PHC983036 PHC983042:PHC983060 PQY2 PQY8:PQY26 PQY65532 PQY65538:PQY65556 PQY131068 PQY131074:PQY131092 PQY196604 PQY196610:PQY196628 PQY262140 PQY262146:PQY262164 PQY327676 PQY327682:PQY327700 PQY393212 PQY393218:PQY393236 PQY458748 PQY458754:PQY458772 PQY524284 PQY524290:PQY524308 PQY589820 PQY589826:PQY589844 PQY655356 PQY655362:PQY655380 PQY720892 PQY720898:PQY720916 PQY786428 PQY786434:PQY786452 PQY851964 PQY851970:PQY851988 PQY917500 PQY917506:PQY917524 PQY983036 PQY983042:PQY983060 QAU2 QAU8:QAU26 QAU65532 QAU65538:QAU65556 QAU131068 QAU131074:QAU131092 QAU196604 QAU196610:QAU196628 QAU262140 QAU262146:QAU262164 QAU327676 QAU327682:QAU327700 QAU393212 QAU393218:QAU393236 QAU458748 QAU458754:QAU458772 QAU524284 QAU524290:QAU524308 QAU589820 QAU589826:QAU589844 QAU655356 QAU655362:QAU655380 QAU720892 QAU720898:QAU720916 QAU786428 QAU786434:QAU786452 QAU851964 QAU851970:QAU851988 QAU917500 QAU917506:QAU917524 QAU983036 QAU983042:QAU983060 QKQ2 QKQ8:QKQ26 QKQ65532 QKQ65538:QKQ65556 QKQ131068 QKQ131074:QKQ131092 QKQ196604 QKQ196610:QKQ196628 QKQ262140 QKQ262146:QKQ262164 QKQ327676 QKQ327682:QKQ327700 QKQ393212 QKQ393218:QKQ393236 QKQ458748 QKQ458754:QKQ458772 QKQ524284 QKQ524290:QKQ524308 QKQ589820 QKQ589826:QKQ589844 QKQ655356 QKQ655362:QKQ655380 QKQ720892 QKQ720898:QKQ720916 QKQ786428 QKQ786434:QKQ786452 QKQ851964 QKQ851970:QKQ851988 QKQ917500 QKQ917506:QKQ917524 QKQ983036 QKQ983042:QKQ983060 QUM2 QUM8:QUM26 QUM65532 QUM65538:QUM65556 QUM131068 QUM131074:QUM131092 QUM196604 QUM196610:QUM196628 QUM262140 QUM262146:QUM262164 QUM327676 QUM327682:QUM327700 QUM393212 QUM393218:QUM393236 QUM458748 QUM458754:QUM458772 QUM524284 QUM524290:QUM524308 QUM589820 QUM589826:QUM589844 QUM655356 QUM655362:QUM655380 QUM720892 QUM720898:QUM720916 QUM786428 QUM786434:QUM786452 QUM851964 QUM851970:QUM851988 QUM917500 QUM917506:QUM917524 QUM983036 QUM983042:QUM983060 REI2 REI8:REI26 REI65532 REI65538:REI65556 REI131068 REI131074:REI131092 REI196604 REI196610:REI196628 REI262140 REI262146:REI262164 REI327676 REI327682:REI327700 REI393212 REI393218:REI393236 REI458748 REI458754:REI458772 REI524284 REI524290:REI524308 REI589820 REI589826:REI589844 REI655356 REI655362:REI655380 REI720892 REI720898:REI720916 REI786428 REI786434:REI786452 REI851964 REI851970:REI851988 REI917500 REI917506:REI917524 REI983036 REI983042:REI983060 ROE2 ROE8:ROE26 ROE65532 ROE65538:ROE65556 ROE131068 ROE131074:ROE131092 ROE196604 ROE196610:ROE196628 ROE262140 ROE262146:ROE262164 ROE327676 ROE327682:ROE327700 ROE393212 ROE393218:ROE393236 ROE458748 ROE458754:ROE458772 ROE524284 ROE524290:ROE524308 ROE589820 ROE589826:ROE589844 ROE655356 ROE655362:ROE655380 ROE720892 ROE720898:ROE720916 ROE786428 ROE786434:ROE786452 ROE851964 ROE851970:ROE851988 ROE917500 ROE917506:ROE917524 ROE983036 ROE983042:ROE983060 RYA2 RYA8:RYA26 RYA65532 RYA65538:RYA65556 RYA131068 RYA131074:RYA131092 RYA196604 RYA196610:RYA196628 RYA262140 RYA262146:RYA262164 RYA327676 RYA327682:RYA327700 RYA393212 RYA393218:RYA393236 RYA458748 RYA458754:RYA458772 RYA524284 RYA524290:RYA524308 RYA589820 RYA589826:RYA589844 RYA655356 RYA655362:RYA655380 RYA720892 RYA720898:RYA720916 RYA786428 RYA786434:RYA786452 RYA851964 RYA851970:RYA851988 RYA917500 RYA917506:RYA917524 RYA983036 RYA983042:RYA983060 SHW2 SHW8:SHW26 SHW65532 SHW65538:SHW65556 SHW131068 SHW131074:SHW131092 SHW196604 SHW196610:SHW196628 SHW262140 SHW262146:SHW262164 SHW327676 SHW327682:SHW327700 SHW393212 SHW393218:SHW393236 SHW458748 SHW458754:SHW458772 SHW524284 SHW524290:SHW524308 SHW589820 SHW589826:SHW589844 SHW655356 SHW655362:SHW655380 SHW720892 SHW720898:SHW720916 SHW786428 SHW786434:SHW786452 SHW851964 SHW851970:SHW851988 SHW917500 SHW917506:SHW917524 SHW983036 SHW983042:SHW983060 SRS2 SRS8:SRS26 SRS65532 SRS65538:SRS65556 SRS131068 SRS131074:SRS131092 SRS196604 SRS196610:SRS196628 SRS262140 SRS262146:SRS262164 SRS327676 SRS327682:SRS327700 SRS393212 SRS393218:SRS393236 SRS458748 SRS458754:SRS458772 SRS524284 SRS524290:SRS524308 SRS589820 SRS589826:SRS589844 SRS655356 SRS655362:SRS655380 SRS720892 SRS720898:SRS720916 SRS786428 SRS786434:SRS786452 SRS851964 SRS851970:SRS851988 SRS917500 SRS917506:SRS917524 SRS983036 SRS983042:SRS983060 TBO2 TBO8:TBO26 TBO65532 TBO65538:TBO65556 TBO131068 TBO131074:TBO131092 TBO196604 TBO196610:TBO196628 TBO262140 TBO262146:TBO262164 TBO327676 TBO327682:TBO327700 TBO393212 TBO393218:TBO393236 TBO458748 TBO458754:TBO458772 TBO524284 TBO524290:TBO524308 TBO589820 TBO589826:TBO589844 TBO655356 TBO655362:TBO655380 TBO720892 TBO720898:TBO720916 TBO786428 TBO786434:TBO786452 TBO851964 TBO851970:TBO851988 TBO917500 TBO917506:TBO917524 TBO983036 TBO983042:TBO983060 TLK2 TLK8:TLK26 TLK65532 TLK65538:TLK65556 TLK131068 TLK131074:TLK131092 TLK196604 TLK196610:TLK196628 TLK262140 TLK262146:TLK262164 TLK327676 TLK327682:TLK327700 TLK393212 TLK393218:TLK393236 TLK458748 TLK458754:TLK458772 TLK524284 TLK524290:TLK524308 TLK589820 TLK589826:TLK589844 TLK655356 TLK655362:TLK655380 TLK720892 TLK720898:TLK720916 TLK786428 TLK786434:TLK786452 TLK851964 TLK851970:TLK851988 TLK917500 TLK917506:TLK917524 TLK983036 TLK983042:TLK983060 TVG2 TVG8:TVG26 TVG65532 TVG65538:TVG65556 TVG131068 TVG131074:TVG131092 TVG196604 TVG196610:TVG196628 TVG262140 TVG262146:TVG262164 TVG327676 TVG327682:TVG327700 TVG393212 TVG393218:TVG393236 TVG458748 TVG458754:TVG458772 TVG524284 TVG524290:TVG524308 TVG589820 TVG589826:TVG589844 TVG655356 TVG655362:TVG655380 TVG720892 TVG720898:TVG720916 TVG786428 TVG786434:TVG786452 TVG851964 TVG851970:TVG851988 TVG917500 TVG917506:TVG917524 TVG983036 TVG983042:TVG983060 UFC2 UFC8:UFC26 UFC65532 UFC65538:UFC65556 UFC131068 UFC131074:UFC131092 UFC196604 UFC196610:UFC196628 UFC262140 UFC262146:UFC262164 UFC327676 UFC327682:UFC327700 UFC393212 UFC393218:UFC393236 UFC458748 UFC458754:UFC458772 UFC524284 UFC524290:UFC524308 UFC589820 UFC589826:UFC589844 UFC655356 UFC655362:UFC655380 UFC720892 UFC720898:UFC720916 UFC786428 UFC786434:UFC786452 UFC851964 UFC851970:UFC851988 UFC917500 UFC917506:UFC917524 UFC983036 UFC983042:UFC983060 UOY2 UOY8:UOY26 UOY65532 UOY65538:UOY65556 UOY131068 UOY131074:UOY131092 UOY196604 UOY196610:UOY196628 UOY262140 UOY262146:UOY262164 UOY327676 UOY327682:UOY327700 UOY393212 UOY393218:UOY393236 UOY458748 UOY458754:UOY458772 UOY524284 UOY524290:UOY524308 UOY589820 UOY589826:UOY589844 UOY655356 UOY655362:UOY655380 UOY720892 UOY720898:UOY720916 UOY786428 UOY786434:UOY786452 UOY851964 UOY851970:UOY851988 UOY917500 UOY917506:UOY917524 UOY983036 UOY983042:UOY983060 UYU2 UYU8:UYU26 UYU65532 UYU65538:UYU65556 UYU131068 UYU131074:UYU131092 UYU196604 UYU196610:UYU196628 UYU262140 UYU262146:UYU262164 UYU327676 UYU327682:UYU327700 UYU393212 UYU393218:UYU393236 UYU458748 UYU458754:UYU458772 UYU524284 UYU524290:UYU524308 UYU589820 UYU589826:UYU589844 UYU655356 UYU655362:UYU655380 UYU720892 UYU720898:UYU720916 UYU786428 UYU786434:UYU786452 UYU851964 UYU851970:UYU851988 UYU917500 UYU917506:UYU917524 UYU983036 UYU983042:UYU983060 VIQ2 VIQ8:VIQ26 VIQ65532 VIQ65538:VIQ65556 VIQ131068 VIQ131074:VIQ131092 VIQ196604 VIQ196610:VIQ196628 VIQ262140 VIQ262146:VIQ262164 VIQ327676 VIQ327682:VIQ327700 VIQ393212 VIQ393218:VIQ393236 VIQ458748 VIQ458754:VIQ458772 VIQ524284 VIQ524290:VIQ524308 VIQ589820 VIQ589826:VIQ589844 VIQ655356 VIQ655362:VIQ655380 VIQ720892 VIQ720898:VIQ720916 VIQ786428 VIQ786434:VIQ786452 VIQ851964 VIQ851970:VIQ851988 VIQ917500 VIQ917506:VIQ917524 VIQ983036 VIQ983042:VIQ983060 VSM2 VSM8:VSM26 VSM65532 VSM65538:VSM65556 VSM131068 VSM131074:VSM131092 VSM196604 VSM196610:VSM196628 VSM262140 VSM262146:VSM262164 VSM327676 VSM327682:VSM327700 VSM393212 VSM393218:VSM393236 VSM458748 VSM458754:VSM458772 VSM524284 VSM524290:VSM524308 VSM589820 VSM589826:VSM589844 VSM655356 VSM655362:VSM655380 VSM720892 VSM720898:VSM720916 VSM786428 VSM786434:VSM786452 VSM851964 VSM851970:VSM851988 VSM917500 VSM917506:VSM917524 VSM983036 VSM983042:VSM983060 WCI2 WCI8:WCI26 WCI65532 WCI65538:WCI65556 WCI131068 WCI131074:WCI131092 WCI196604 WCI196610:WCI196628 WCI262140 WCI262146:WCI262164 WCI327676 WCI327682:WCI327700 WCI393212 WCI393218:WCI393236 WCI458748 WCI458754:WCI458772 WCI524284 WCI524290:WCI524308 WCI589820 WCI589826:WCI589844 WCI655356 WCI655362:WCI655380 WCI720892 WCI720898:WCI720916 WCI786428 WCI786434:WCI786452 WCI851964 WCI851970:WCI851988 WCI917500 WCI917506:WCI917524 WCI983036 WCI983042:WCI983060 WME2 WME8:WME26 WME65532 WME65538:WME65556 WME131068 WME131074:WME131092 WME196604 WME196610:WME196628 WME262140 WME262146:WME262164 WME327676 WME327682:WME327700 WME393212 WME393218:WME393236 WME458748 WME458754:WME458772 WME524284 WME524290:WME524308 WME589820 WME589826:WME589844 WME655356 WME655362:WME655380 WME720892 WME720898:WME720916 WME786428 WME786434:WME786452 WME851964 WME851970:WME851988 WME917500 WME917506:WME917524 WME983036 WME983042:WME983060 WWA2 WWA8:WWA26 WWA65532 WWA65538:WWA65556 WWA131068 WWA131074:WWA131092 WWA196604 WWA196610:WWA196628 WWA262140 WWA262146:WWA262164 WWA327676 WWA327682:WWA327700 WWA393212 WWA393218:WWA393236 WWA458748 WWA458754:WWA458772 WWA524284 WWA524290:WWA524308 WWA589820 WWA589826:WWA589844 WWA655356 WWA655362:WWA655380 WWA720892 WWA720898:WWA720916 WWA786428 WWA786434:WWA786452 WWA851964 WWA851970:WWA851988 WWA917500 WWA917506:WWA917524 WWA983036 WWA983042:WWA983060" xr:uid="{00000000-0002-0000-0800-000014000000}"/>
    <dataValidation allowBlank="1" showInputMessage="1" showErrorMessage="1" promptTitle="Do not change" prompt="This field is automatically calculated from your inputs." sqref="Y8:AH26 Y65538:AH65556 Y131074:AH131092 Y196610:AH196628 Y262146:AH262164 Y327682:AH327700 Y393218:AH393236 Y458754:AH458772 Y524290:AH524308 Y589826:AH589844 Y655362:AH655380 Y720898:AH720916 Y786434:AH786452 Y851970:AH851988 Y917506:AH917524 Y983042:AH983060 JU8:KD26 JU65538:KD65556 JU131074:KD131092 JU196610:KD196628 JU262146:KD262164 JU327682:KD327700 JU393218:KD393236 JU458754:KD458772 JU524290:KD524308 JU589826:KD589844 JU655362:KD655380 JU720898:KD720916 JU786434:KD786452 JU851970:KD851988 JU917506:KD917524 JU983042:KD983060 TQ8:TZ26 TQ65538:TZ65556 TQ131074:TZ131092 TQ196610:TZ196628 TQ262146:TZ262164 TQ327682:TZ327700 TQ393218:TZ393236 TQ458754:TZ458772 TQ524290:TZ524308 TQ589826:TZ589844 TQ655362:TZ655380 TQ720898:TZ720916 TQ786434:TZ786452 TQ851970:TZ851988 TQ917506:TZ917524 TQ983042:TZ983060 ADM8:ADV26 ADM65538:ADV65556 ADM131074:ADV131092 ADM196610:ADV196628 ADM262146:ADV262164 ADM327682:ADV327700 ADM393218:ADV393236 ADM458754:ADV458772 ADM524290:ADV524308 ADM589826:ADV589844 ADM655362:ADV655380 ADM720898:ADV720916 ADM786434:ADV786452 ADM851970:ADV851988 ADM917506:ADV917524 ADM983042:ADV983060 ANI8:ANR26 ANI65538:ANR65556 ANI131074:ANR131092 ANI196610:ANR196628 ANI262146:ANR262164 ANI327682:ANR327700 ANI393218:ANR393236 ANI458754:ANR458772 ANI524290:ANR524308 ANI589826:ANR589844 ANI655362:ANR655380 ANI720898:ANR720916 ANI786434:ANR786452 ANI851970:ANR851988 ANI917506:ANR917524 ANI983042:ANR983060 AXE8:AXN26 AXE65538:AXN65556 AXE131074:AXN131092 AXE196610:AXN196628 AXE262146:AXN262164 AXE327682:AXN327700 AXE393218:AXN393236 AXE458754:AXN458772 AXE524290:AXN524308 AXE589826:AXN589844 AXE655362:AXN655380 AXE720898:AXN720916 AXE786434:AXN786452 AXE851970:AXN851988 AXE917506:AXN917524 AXE983042:AXN983060 BHA8:BHJ26 BHA65538:BHJ65556 BHA131074:BHJ131092 BHA196610:BHJ196628 BHA262146:BHJ262164 BHA327682:BHJ327700 BHA393218:BHJ393236 BHA458754:BHJ458772 BHA524290:BHJ524308 BHA589826:BHJ589844 BHA655362:BHJ655380 BHA720898:BHJ720916 BHA786434:BHJ786452 BHA851970:BHJ851988 BHA917506:BHJ917524 BHA983042:BHJ983060 BQW8:BRF26 BQW65538:BRF65556 BQW131074:BRF131092 BQW196610:BRF196628 BQW262146:BRF262164 BQW327682:BRF327700 BQW393218:BRF393236 BQW458754:BRF458772 BQW524290:BRF524308 BQW589826:BRF589844 BQW655362:BRF655380 BQW720898:BRF720916 BQW786434:BRF786452 BQW851970:BRF851988 BQW917506:BRF917524 BQW983042:BRF983060 CAS8:CBB26 CAS65538:CBB65556 CAS131074:CBB131092 CAS196610:CBB196628 CAS262146:CBB262164 CAS327682:CBB327700 CAS393218:CBB393236 CAS458754:CBB458772 CAS524290:CBB524308 CAS589826:CBB589844 CAS655362:CBB655380 CAS720898:CBB720916 CAS786434:CBB786452 CAS851970:CBB851988 CAS917506:CBB917524 CAS983042:CBB983060 CKO8:CKX26 CKO65538:CKX65556 CKO131074:CKX131092 CKO196610:CKX196628 CKO262146:CKX262164 CKO327682:CKX327700 CKO393218:CKX393236 CKO458754:CKX458772 CKO524290:CKX524308 CKO589826:CKX589844 CKO655362:CKX655380 CKO720898:CKX720916 CKO786434:CKX786452 CKO851970:CKX851988 CKO917506:CKX917524 CKO983042:CKX983060 CUK8:CUT26 CUK65538:CUT65556 CUK131074:CUT131092 CUK196610:CUT196628 CUK262146:CUT262164 CUK327682:CUT327700 CUK393218:CUT393236 CUK458754:CUT458772 CUK524290:CUT524308 CUK589826:CUT589844 CUK655362:CUT655380 CUK720898:CUT720916 CUK786434:CUT786452 CUK851970:CUT851988 CUK917506:CUT917524 CUK983042:CUT983060 DEG8:DEP26 DEG65538:DEP65556 DEG131074:DEP131092 DEG196610:DEP196628 DEG262146:DEP262164 DEG327682:DEP327700 DEG393218:DEP393236 DEG458754:DEP458772 DEG524290:DEP524308 DEG589826:DEP589844 DEG655362:DEP655380 DEG720898:DEP720916 DEG786434:DEP786452 DEG851970:DEP851988 DEG917506:DEP917524 DEG983042:DEP983060 DOC8:DOL26 DOC65538:DOL65556 DOC131074:DOL131092 DOC196610:DOL196628 DOC262146:DOL262164 DOC327682:DOL327700 DOC393218:DOL393236 DOC458754:DOL458772 DOC524290:DOL524308 DOC589826:DOL589844 DOC655362:DOL655380 DOC720898:DOL720916 DOC786434:DOL786452 DOC851970:DOL851988 DOC917506:DOL917524 DOC983042:DOL983060 DXY8:DYH26 DXY65538:DYH65556 DXY131074:DYH131092 DXY196610:DYH196628 DXY262146:DYH262164 DXY327682:DYH327700 DXY393218:DYH393236 DXY458754:DYH458772 DXY524290:DYH524308 DXY589826:DYH589844 DXY655362:DYH655380 DXY720898:DYH720916 DXY786434:DYH786452 DXY851970:DYH851988 DXY917506:DYH917524 DXY983042:DYH983060 EHU8:EID26 EHU65538:EID65556 EHU131074:EID131092 EHU196610:EID196628 EHU262146:EID262164 EHU327682:EID327700 EHU393218:EID393236 EHU458754:EID458772 EHU524290:EID524308 EHU589826:EID589844 EHU655362:EID655380 EHU720898:EID720916 EHU786434:EID786452 EHU851970:EID851988 EHU917506:EID917524 EHU983042:EID983060 ERQ8:ERZ26 ERQ65538:ERZ65556 ERQ131074:ERZ131092 ERQ196610:ERZ196628 ERQ262146:ERZ262164 ERQ327682:ERZ327700 ERQ393218:ERZ393236 ERQ458754:ERZ458772 ERQ524290:ERZ524308 ERQ589826:ERZ589844 ERQ655362:ERZ655380 ERQ720898:ERZ720916 ERQ786434:ERZ786452 ERQ851970:ERZ851988 ERQ917506:ERZ917524 ERQ983042:ERZ983060 FBM8:FBV26 FBM65538:FBV65556 FBM131074:FBV131092 FBM196610:FBV196628 FBM262146:FBV262164 FBM327682:FBV327700 FBM393218:FBV393236 FBM458754:FBV458772 FBM524290:FBV524308 FBM589826:FBV589844 FBM655362:FBV655380 FBM720898:FBV720916 FBM786434:FBV786452 FBM851970:FBV851988 FBM917506:FBV917524 FBM983042:FBV983060 FLI8:FLR26 FLI65538:FLR65556 FLI131074:FLR131092 FLI196610:FLR196628 FLI262146:FLR262164 FLI327682:FLR327700 FLI393218:FLR393236 FLI458754:FLR458772 FLI524290:FLR524308 FLI589826:FLR589844 FLI655362:FLR655380 FLI720898:FLR720916 FLI786434:FLR786452 FLI851970:FLR851988 FLI917506:FLR917524 FLI983042:FLR983060 FVE8:FVN26 FVE65538:FVN65556 FVE131074:FVN131092 FVE196610:FVN196628 FVE262146:FVN262164 FVE327682:FVN327700 FVE393218:FVN393236 FVE458754:FVN458772 FVE524290:FVN524308 FVE589826:FVN589844 FVE655362:FVN655380 FVE720898:FVN720916 FVE786434:FVN786452 FVE851970:FVN851988 FVE917506:FVN917524 FVE983042:FVN983060 GFA8:GFJ26 GFA65538:GFJ65556 GFA131074:GFJ131092 GFA196610:GFJ196628 GFA262146:GFJ262164 GFA327682:GFJ327700 GFA393218:GFJ393236 GFA458754:GFJ458772 GFA524290:GFJ524308 GFA589826:GFJ589844 GFA655362:GFJ655380 GFA720898:GFJ720916 GFA786434:GFJ786452 GFA851970:GFJ851988 GFA917506:GFJ917524 GFA983042:GFJ983060 GOW8:GPF26 GOW65538:GPF65556 GOW131074:GPF131092 GOW196610:GPF196628 GOW262146:GPF262164 GOW327682:GPF327700 GOW393218:GPF393236 GOW458754:GPF458772 GOW524290:GPF524308 GOW589826:GPF589844 GOW655362:GPF655380 GOW720898:GPF720916 GOW786434:GPF786452 GOW851970:GPF851988 GOW917506:GPF917524 GOW983042:GPF983060 GYS8:GZB26 GYS65538:GZB65556 GYS131074:GZB131092 GYS196610:GZB196628 GYS262146:GZB262164 GYS327682:GZB327700 GYS393218:GZB393236 GYS458754:GZB458772 GYS524290:GZB524308 GYS589826:GZB589844 GYS655362:GZB655380 GYS720898:GZB720916 GYS786434:GZB786452 GYS851970:GZB851988 GYS917506:GZB917524 GYS983042:GZB983060 HIO8:HIX26 HIO65538:HIX65556 HIO131074:HIX131092 HIO196610:HIX196628 HIO262146:HIX262164 HIO327682:HIX327700 HIO393218:HIX393236 HIO458754:HIX458772 HIO524290:HIX524308 HIO589826:HIX589844 HIO655362:HIX655380 HIO720898:HIX720916 HIO786434:HIX786452 HIO851970:HIX851988 HIO917506:HIX917524 HIO983042:HIX983060 HSK8:HST26 HSK65538:HST65556 HSK131074:HST131092 HSK196610:HST196628 HSK262146:HST262164 HSK327682:HST327700 HSK393218:HST393236 HSK458754:HST458772 HSK524290:HST524308 HSK589826:HST589844 HSK655362:HST655380 HSK720898:HST720916 HSK786434:HST786452 HSK851970:HST851988 HSK917506:HST917524 HSK983042:HST983060 ICG8:ICP26 ICG65538:ICP65556 ICG131074:ICP131092 ICG196610:ICP196628 ICG262146:ICP262164 ICG327682:ICP327700 ICG393218:ICP393236 ICG458754:ICP458772 ICG524290:ICP524308 ICG589826:ICP589844 ICG655362:ICP655380 ICG720898:ICP720916 ICG786434:ICP786452 ICG851970:ICP851988 ICG917506:ICP917524 ICG983042:ICP983060 IMC8:IML26 IMC65538:IML65556 IMC131074:IML131092 IMC196610:IML196628 IMC262146:IML262164 IMC327682:IML327700 IMC393218:IML393236 IMC458754:IML458772 IMC524290:IML524308 IMC589826:IML589844 IMC655362:IML655380 IMC720898:IML720916 IMC786434:IML786452 IMC851970:IML851988 IMC917506:IML917524 IMC983042:IML983060 IVY8:IWH26 IVY65538:IWH65556 IVY131074:IWH131092 IVY196610:IWH196628 IVY262146:IWH262164 IVY327682:IWH327700 IVY393218:IWH393236 IVY458754:IWH458772 IVY524290:IWH524308 IVY589826:IWH589844 IVY655362:IWH655380 IVY720898:IWH720916 IVY786434:IWH786452 IVY851970:IWH851988 IVY917506:IWH917524 IVY983042:IWH983060 JFU8:JGD26 JFU65538:JGD65556 JFU131074:JGD131092 JFU196610:JGD196628 JFU262146:JGD262164 JFU327682:JGD327700 JFU393218:JGD393236 JFU458754:JGD458772 JFU524290:JGD524308 JFU589826:JGD589844 JFU655362:JGD655380 JFU720898:JGD720916 JFU786434:JGD786452 JFU851970:JGD851988 JFU917506:JGD917524 JFU983042:JGD983060 JPQ8:JPZ26 JPQ65538:JPZ65556 JPQ131074:JPZ131092 JPQ196610:JPZ196628 JPQ262146:JPZ262164 JPQ327682:JPZ327700 JPQ393218:JPZ393236 JPQ458754:JPZ458772 JPQ524290:JPZ524308 JPQ589826:JPZ589844 JPQ655362:JPZ655380 JPQ720898:JPZ720916 JPQ786434:JPZ786452 JPQ851970:JPZ851988 JPQ917506:JPZ917524 JPQ983042:JPZ983060 JZM8:JZV26 JZM65538:JZV65556 JZM131074:JZV131092 JZM196610:JZV196628 JZM262146:JZV262164 JZM327682:JZV327700 JZM393218:JZV393236 JZM458754:JZV458772 JZM524290:JZV524308 JZM589826:JZV589844 JZM655362:JZV655380 JZM720898:JZV720916 JZM786434:JZV786452 JZM851970:JZV851988 JZM917506:JZV917524 JZM983042:JZV983060 KJI8:KJR26 KJI65538:KJR65556 KJI131074:KJR131092 KJI196610:KJR196628 KJI262146:KJR262164 KJI327682:KJR327700 KJI393218:KJR393236 KJI458754:KJR458772 KJI524290:KJR524308 KJI589826:KJR589844 KJI655362:KJR655380 KJI720898:KJR720916 KJI786434:KJR786452 KJI851970:KJR851988 KJI917506:KJR917524 KJI983042:KJR983060 KTE8:KTN26 KTE65538:KTN65556 KTE131074:KTN131092 KTE196610:KTN196628 KTE262146:KTN262164 KTE327682:KTN327700 KTE393218:KTN393236 KTE458754:KTN458772 KTE524290:KTN524308 KTE589826:KTN589844 KTE655362:KTN655380 KTE720898:KTN720916 KTE786434:KTN786452 KTE851970:KTN851988 KTE917506:KTN917524 KTE983042:KTN983060 LDA8:LDJ26 LDA65538:LDJ65556 LDA131074:LDJ131092 LDA196610:LDJ196628 LDA262146:LDJ262164 LDA327682:LDJ327700 LDA393218:LDJ393236 LDA458754:LDJ458772 LDA524290:LDJ524308 LDA589826:LDJ589844 LDA655362:LDJ655380 LDA720898:LDJ720916 LDA786434:LDJ786452 LDA851970:LDJ851988 LDA917506:LDJ917524 LDA983042:LDJ983060 LMW8:LNF26 LMW65538:LNF65556 LMW131074:LNF131092 LMW196610:LNF196628 LMW262146:LNF262164 LMW327682:LNF327700 LMW393218:LNF393236 LMW458754:LNF458772 LMW524290:LNF524308 LMW589826:LNF589844 LMW655362:LNF655380 LMW720898:LNF720916 LMW786434:LNF786452 LMW851970:LNF851988 LMW917506:LNF917524 LMW983042:LNF983060 LWS8:LXB26 LWS65538:LXB65556 LWS131074:LXB131092 LWS196610:LXB196628 LWS262146:LXB262164 LWS327682:LXB327700 LWS393218:LXB393236 LWS458754:LXB458772 LWS524290:LXB524308 LWS589826:LXB589844 LWS655362:LXB655380 LWS720898:LXB720916 LWS786434:LXB786452 LWS851970:LXB851988 LWS917506:LXB917524 LWS983042:LXB983060 MGO8:MGX26 MGO65538:MGX65556 MGO131074:MGX131092 MGO196610:MGX196628 MGO262146:MGX262164 MGO327682:MGX327700 MGO393218:MGX393236 MGO458754:MGX458772 MGO524290:MGX524308 MGO589826:MGX589844 MGO655362:MGX655380 MGO720898:MGX720916 MGO786434:MGX786452 MGO851970:MGX851988 MGO917506:MGX917524 MGO983042:MGX983060 MQK8:MQT26 MQK65538:MQT65556 MQK131074:MQT131092 MQK196610:MQT196628 MQK262146:MQT262164 MQK327682:MQT327700 MQK393218:MQT393236 MQK458754:MQT458772 MQK524290:MQT524308 MQK589826:MQT589844 MQK655362:MQT655380 MQK720898:MQT720916 MQK786434:MQT786452 MQK851970:MQT851988 MQK917506:MQT917524 MQK983042:MQT983060 NAG8:NAP26 NAG65538:NAP65556 NAG131074:NAP131092 NAG196610:NAP196628 NAG262146:NAP262164 NAG327682:NAP327700 NAG393218:NAP393236 NAG458754:NAP458772 NAG524290:NAP524308 NAG589826:NAP589844 NAG655362:NAP655380 NAG720898:NAP720916 NAG786434:NAP786452 NAG851970:NAP851988 NAG917506:NAP917524 NAG983042:NAP983060 NKC8:NKL26 NKC65538:NKL65556 NKC131074:NKL131092 NKC196610:NKL196628 NKC262146:NKL262164 NKC327682:NKL327700 NKC393218:NKL393236 NKC458754:NKL458772 NKC524290:NKL524308 NKC589826:NKL589844 NKC655362:NKL655380 NKC720898:NKL720916 NKC786434:NKL786452 NKC851970:NKL851988 NKC917506:NKL917524 NKC983042:NKL983060 NTY8:NUH26 NTY65538:NUH65556 NTY131074:NUH131092 NTY196610:NUH196628 NTY262146:NUH262164 NTY327682:NUH327700 NTY393218:NUH393236 NTY458754:NUH458772 NTY524290:NUH524308 NTY589826:NUH589844 NTY655362:NUH655380 NTY720898:NUH720916 NTY786434:NUH786452 NTY851970:NUH851988 NTY917506:NUH917524 NTY983042:NUH983060 ODU8:OED26 ODU65538:OED65556 ODU131074:OED131092 ODU196610:OED196628 ODU262146:OED262164 ODU327682:OED327700 ODU393218:OED393236 ODU458754:OED458772 ODU524290:OED524308 ODU589826:OED589844 ODU655362:OED655380 ODU720898:OED720916 ODU786434:OED786452 ODU851970:OED851988 ODU917506:OED917524 ODU983042:OED983060 ONQ8:ONZ26 ONQ65538:ONZ65556 ONQ131074:ONZ131092 ONQ196610:ONZ196628 ONQ262146:ONZ262164 ONQ327682:ONZ327700 ONQ393218:ONZ393236 ONQ458754:ONZ458772 ONQ524290:ONZ524308 ONQ589826:ONZ589844 ONQ655362:ONZ655380 ONQ720898:ONZ720916 ONQ786434:ONZ786452 ONQ851970:ONZ851988 ONQ917506:ONZ917524 ONQ983042:ONZ983060 OXM8:OXV26 OXM65538:OXV65556 OXM131074:OXV131092 OXM196610:OXV196628 OXM262146:OXV262164 OXM327682:OXV327700 OXM393218:OXV393236 OXM458754:OXV458772 OXM524290:OXV524308 OXM589826:OXV589844 OXM655362:OXV655380 OXM720898:OXV720916 OXM786434:OXV786452 OXM851970:OXV851988 OXM917506:OXV917524 OXM983042:OXV983060 PHI8:PHR26 PHI65538:PHR65556 PHI131074:PHR131092 PHI196610:PHR196628 PHI262146:PHR262164 PHI327682:PHR327700 PHI393218:PHR393236 PHI458754:PHR458772 PHI524290:PHR524308 PHI589826:PHR589844 PHI655362:PHR655380 PHI720898:PHR720916 PHI786434:PHR786452 PHI851970:PHR851988 PHI917506:PHR917524 PHI983042:PHR983060 PRE8:PRN26 PRE65538:PRN65556 PRE131074:PRN131092 PRE196610:PRN196628 PRE262146:PRN262164 PRE327682:PRN327700 PRE393218:PRN393236 PRE458754:PRN458772 PRE524290:PRN524308 PRE589826:PRN589844 PRE655362:PRN655380 PRE720898:PRN720916 PRE786434:PRN786452 PRE851970:PRN851988 PRE917506:PRN917524 PRE983042:PRN983060 QBA8:QBJ26 QBA65538:QBJ65556 QBA131074:QBJ131092 QBA196610:QBJ196628 QBA262146:QBJ262164 QBA327682:QBJ327700 QBA393218:QBJ393236 QBA458754:QBJ458772 QBA524290:QBJ524308 QBA589826:QBJ589844 QBA655362:QBJ655380 QBA720898:QBJ720916 QBA786434:QBJ786452 QBA851970:QBJ851988 QBA917506:QBJ917524 QBA983042:QBJ983060 QKW8:QLF26 QKW65538:QLF65556 QKW131074:QLF131092 QKW196610:QLF196628 QKW262146:QLF262164 QKW327682:QLF327700 QKW393218:QLF393236 QKW458754:QLF458772 QKW524290:QLF524308 QKW589826:QLF589844 QKW655362:QLF655380 QKW720898:QLF720916 QKW786434:QLF786452 QKW851970:QLF851988 QKW917506:QLF917524 QKW983042:QLF983060 QUS8:QVB26 QUS65538:QVB65556 QUS131074:QVB131092 QUS196610:QVB196628 QUS262146:QVB262164 QUS327682:QVB327700 QUS393218:QVB393236 QUS458754:QVB458772 QUS524290:QVB524308 QUS589826:QVB589844 QUS655362:QVB655380 QUS720898:QVB720916 QUS786434:QVB786452 QUS851970:QVB851988 QUS917506:QVB917524 QUS983042:QVB983060 REO8:REX26 REO65538:REX65556 REO131074:REX131092 REO196610:REX196628 REO262146:REX262164 REO327682:REX327700 REO393218:REX393236 REO458754:REX458772 REO524290:REX524308 REO589826:REX589844 REO655362:REX655380 REO720898:REX720916 REO786434:REX786452 REO851970:REX851988 REO917506:REX917524 REO983042:REX983060 ROK8:ROT26 ROK65538:ROT65556 ROK131074:ROT131092 ROK196610:ROT196628 ROK262146:ROT262164 ROK327682:ROT327700 ROK393218:ROT393236 ROK458754:ROT458772 ROK524290:ROT524308 ROK589826:ROT589844 ROK655362:ROT655380 ROK720898:ROT720916 ROK786434:ROT786452 ROK851970:ROT851988 ROK917506:ROT917524 ROK983042:ROT983060 RYG8:RYP26 RYG65538:RYP65556 RYG131074:RYP131092 RYG196610:RYP196628 RYG262146:RYP262164 RYG327682:RYP327700 RYG393218:RYP393236 RYG458754:RYP458772 RYG524290:RYP524308 RYG589826:RYP589844 RYG655362:RYP655380 RYG720898:RYP720916 RYG786434:RYP786452 RYG851970:RYP851988 RYG917506:RYP917524 RYG983042:RYP983060 SIC8:SIL26 SIC65538:SIL65556 SIC131074:SIL131092 SIC196610:SIL196628 SIC262146:SIL262164 SIC327682:SIL327700 SIC393218:SIL393236 SIC458754:SIL458772 SIC524290:SIL524308 SIC589826:SIL589844 SIC655362:SIL655380 SIC720898:SIL720916 SIC786434:SIL786452 SIC851970:SIL851988 SIC917506:SIL917524 SIC983042:SIL983060 SRY8:SSH26 SRY65538:SSH65556 SRY131074:SSH131092 SRY196610:SSH196628 SRY262146:SSH262164 SRY327682:SSH327700 SRY393218:SSH393236 SRY458754:SSH458772 SRY524290:SSH524308 SRY589826:SSH589844 SRY655362:SSH655380 SRY720898:SSH720916 SRY786434:SSH786452 SRY851970:SSH851988 SRY917506:SSH917524 SRY983042:SSH983060 TBU8:TCD26 TBU65538:TCD65556 TBU131074:TCD131092 TBU196610:TCD196628 TBU262146:TCD262164 TBU327682:TCD327700 TBU393218:TCD393236 TBU458754:TCD458772 TBU524290:TCD524308 TBU589826:TCD589844 TBU655362:TCD655380 TBU720898:TCD720916 TBU786434:TCD786452 TBU851970:TCD851988 TBU917506:TCD917524 TBU983042:TCD983060 TLQ8:TLZ26 TLQ65538:TLZ65556 TLQ131074:TLZ131092 TLQ196610:TLZ196628 TLQ262146:TLZ262164 TLQ327682:TLZ327700 TLQ393218:TLZ393236 TLQ458754:TLZ458772 TLQ524290:TLZ524308 TLQ589826:TLZ589844 TLQ655362:TLZ655380 TLQ720898:TLZ720916 TLQ786434:TLZ786452 TLQ851970:TLZ851988 TLQ917506:TLZ917524 TLQ983042:TLZ983060 TVM8:TVV26 TVM65538:TVV65556 TVM131074:TVV131092 TVM196610:TVV196628 TVM262146:TVV262164 TVM327682:TVV327700 TVM393218:TVV393236 TVM458754:TVV458772 TVM524290:TVV524308 TVM589826:TVV589844 TVM655362:TVV655380 TVM720898:TVV720916 TVM786434:TVV786452 TVM851970:TVV851988 TVM917506:TVV917524 TVM983042:TVV983060 UFI8:UFR26 UFI65538:UFR65556 UFI131074:UFR131092 UFI196610:UFR196628 UFI262146:UFR262164 UFI327682:UFR327700 UFI393218:UFR393236 UFI458754:UFR458772 UFI524290:UFR524308 UFI589826:UFR589844 UFI655362:UFR655380 UFI720898:UFR720916 UFI786434:UFR786452 UFI851970:UFR851988 UFI917506:UFR917524 UFI983042:UFR983060 UPE8:UPN26 UPE65538:UPN65556 UPE131074:UPN131092 UPE196610:UPN196628 UPE262146:UPN262164 UPE327682:UPN327700 UPE393218:UPN393236 UPE458754:UPN458772 UPE524290:UPN524308 UPE589826:UPN589844 UPE655362:UPN655380 UPE720898:UPN720916 UPE786434:UPN786452 UPE851970:UPN851988 UPE917506:UPN917524 UPE983042:UPN983060 UZA8:UZJ26 UZA65538:UZJ65556 UZA131074:UZJ131092 UZA196610:UZJ196628 UZA262146:UZJ262164 UZA327682:UZJ327700 UZA393218:UZJ393236 UZA458754:UZJ458772 UZA524290:UZJ524308 UZA589826:UZJ589844 UZA655362:UZJ655380 UZA720898:UZJ720916 UZA786434:UZJ786452 UZA851970:UZJ851988 UZA917506:UZJ917524 UZA983042:UZJ983060 VIW8:VJF26 VIW65538:VJF65556 VIW131074:VJF131092 VIW196610:VJF196628 VIW262146:VJF262164 VIW327682:VJF327700 VIW393218:VJF393236 VIW458754:VJF458772 VIW524290:VJF524308 VIW589826:VJF589844 VIW655362:VJF655380 VIW720898:VJF720916 VIW786434:VJF786452 VIW851970:VJF851988 VIW917506:VJF917524 VIW983042:VJF983060 VSS8:VTB26 VSS65538:VTB65556 VSS131074:VTB131092 VSS196610:VTB196628 VSS262146:VTB262164 VSS327682:VTB327700 VSS393218:VTB393236 VSS458754:VTB458772 VSS524290:VTB524308 VSS589826:VTB589844 VSS655362:VTB655380 VSS720898:VTB720916 VSS786434:VTB786452 VSS851970:VTB851988 VSS917506:VTB917524 VSS983042:VTB983060 WCO8:WCX26 WCO65538:WCX65556 WCO131074:WCX131092 WCO196610:WCX196628 WCO262146:WCX262164 WCO327682:WCX327700 WCO393218:WCX393236 WCO458754:WCX458772 WCO524290:WCX524308 WCO589826:WCX589844 WCO655362:WCX655380 WCO720898:WCX720916 WCO786434:WCX786452 WCO851970:WCX851988 WCO917506:WCX917524 WCO983042:WCX983060 WMK8:WMT26 WMK65538:WMT65556 WMK131074:WMT131092 WMK196610:WMT196628 WMK262146:WMT262164 WMK327682:WMT327700 WMK393218:WMT393236 WMK458754:WMT458772 WMK524290:WMT524308 WMK589826:WMT589844 WMK655362:WMT655380 WMK720898:WMT720916 WMK786434:WMT786452 WMK851970:WMT851988 WMK917506:WMT917524 WMK983042:WMT983060 WWG8:WWP26 WWG65538:WWP65556 WWG131074:WWP131092 WWG196610:WWP196628 WWG262146:WWP262164 WWG327682:WWP327700 WWG393218:WWP393236 WWG458754:WWP458772 WWG524290:WWP524308 WWG589826:WWP589844 WWG655362:WWP655380 WWG720898:WWP720916 WWG786434:WWP786452 WWG851970:WWP851988 WWG917506:WWP917524 WWG983042:WWP983060" xr:uid="{00000000-0002-0000-0800-000015000000}"/>
    <dataValidation allowBlank="1" showInputMessage="1" showErrorMessage="1" promptTitle="Remarks" prompt="A general comment (data source, calculation procedure, ...) can be made about each individual exchange. The remarks are added to the GeneralComment-field." sqref="Q2:Q3 Q8:Q26 Q65532:Q65533 Q65538:Q65556 Q131068:Q131069 Q131074:Q131092 Q196604:Q196605 Q196610:Q196628 Q262140:Q262141 Q262146:Q262164 Q327676:Q327677 Q327682:Q327700 Q393212:Q393213 Q393218:Q393236 Q458748:Q458749 Q458754:Q458772 Q524284:Q524285 Q524290:Q524308 Q589820:Q589821 Q589826:Q589844 Q655356:Q655357 Q655362:Q655380 Q720892:Q720893 Q720898:Q720916 Q786428:Q786429 Q786434:Q786452 Q851964:Q851965 Q851970:Q851988 Q917500:Q917501 Q917506:Q917524 Q983036:Q983037 Q983042:Q983060 JM2:JM3 JM8:JM26 JM65532:JM65533 JM65538:JM65556 JM131068:JM131069 JM131074:JM131092 JM196604:JM196605 JM196610:JM196628 JM262140:JM262141 JM262146:JM262164 JM327676:JM327677 JM327682:JM327700 JM393212:JM393213 JM393218:JM393236 JM458748:JM458749 JM458754:JM458772 JM524284:JM524285 JM524290:JM524308 JM589820:JM589821 JM589826:JM589844 JM655356:JM655357 JM655362:JM655380 JM720892:JM720893 JM720898:JM720916 JM786428:JM786429 JM786434:JM786452 JM851964:JM851965 JM851970:JM851988 JM917500:JM917501 JM917506:JM917524 JM983036:JM983037 JM983042:JM983060 TI2:TI3 TI8:TI26 TI65532:TI65533 TI65538:TI65556 TI131068:TI131069 TI131074:TI131092 TI196604:TI196605 TI196610:TI196628 TI262140:TI262141 TI262146:TI262164 TI327676:TI327677 TI327682:TI327700 TI393212:TI393213 TI393218:TI393236 TI458748:TI458749 TI458754:TI458772 TI524284:TI524285 TI524290:TI524308 TI589820:TI589821 TI589826:TI589844 TI655356:TI655357 TI655362:TI655380 TI720892:TI720893 TI720898:TI720916 TI786428:TI786429 TI786434:TI786452 TI851964:TI851965 TI851970:TI851988 TI917500:TI917501 TI917506:TI917524 TI983036:TI983037 TI983042:TI983060 ADE2:ADE3 ADE8:ADE26 ADE65532:ADE65533 ADE65538:ADE65556 ADE131068:ADE131069 ADE131074:ADE131092 ADE196604:ADE196605 ADE196610:ADE196628 ADE262140:ADE262141 ADE262146:ADE262164 ADE327676:ADE327677 ADE327682:ADE327700 ADE393212:ADE393213 ADE393218:ADE393236 ADE458748:ADE458749 ADE458754:ADE458772 ADE524284:ADE524285 ADE524290:ADE524308 ADE589820:ADE589821 ADE589826:ADE589844 ADE655356:ADE655357 ADE655362:ADE655380 ADE720892:ADE720893 ADE720898:ADE720916 ADE786428:ADE786429 ADE786434:ADE786452 ADE851964:ADE851965 ADE851970:ADE851988 ADE917500:ADE917501 ADE917506:ADE917524 ADE983036:ADE983037 ADE983042:ADE983060 ANA2:ANA3 ANA8:ANA26 ANA65532:ANA65533 ANA65538:ANA65556 ANA131068:ANA131069 ANA131074:ANA131092 ANA196604:ANA196605 ANA196610:ANA196628 ANA262140:ANA262141 ANA262146:ANA262164 ANA327676:ANA327677 ANA327682:ANA327700 ANA393212:ANA393213 ANA393218:ANA393236 ANA458748:ANA458749 ANA458754:ANA458772 ANA524284:ANA524285 ANA524290:ANA524308 ANA589820:ANA589821 ANA589826:ANA589844 ANA655356:ANA655357 ANA655362:ANA655380 ANA720892:ANA720893 ANA720898:ANA720916 ANA786428:ANA786429 ANA786434:ANA786452 ANA851964:ANA851965 ANA851970:ANA851988 ANA917500:ANA917501 ANA917506:ANA917524 ANA983036:ANA983037 ANA983042:ANA983060 AWW2:AWW3 AWW8:AWW26 AWW65532:AWW65533 AWW65538:AWW65556 AWW131068:AWW131069 AWW131074:AWW131092 AWW196604:AWW196605 AWW196610:AWW196628 AWW262140:AWW262141 AWW262146:AWW262164 AWW327676:AWW327677 AWW327682:AWW327700 AWW393212:AWW393213 AWW393218:AWW393236 AWW458748:AWW458749 AWW458754:AWW458772 AWW524284:AWW524285 AWW524290:AWW524308 AWW589820:AWW589821 AWW589826:AWW589844 AWW655356:AWW655357 AWW655362:AWW655380 AWW720892:AWW720893 AWW720898:AWW720916 AWW786428:AWW786429 AWW786434:AWW786452 AWW851964:AWW851965 AWW851970:AWW851988 AWW917500:AWW917501 AWW917506:AWW917524 AWW983036:AWW983037 AWW983042:AWW983060 BGS2:BGS3 BGS8:BGS26 BGS65532:BGS65533 BGS65538:BGS65556 BGS131068:BGS131069 BGS131074:BGS131092 BGS196604:BGS196605 BGS196610:BGS196628 BGS262140:BGS262141 BGS262146:BGS262164 BGS327676:BGS327677 BGS327682:BGS327700 BGS393212:BGS393213 BGS393218:BGS393236 BGS458748:BGS458749 BGS458754:BGS458772 BGS524284:BGS524285 BGS524290:BGS524308 BGS589820:BGS589821 BGS589826:BGS589844 BGS655356:BGS655357 BGS655362:BGS655380 BGS720892:BGS720893 BGS720898:BGS720916 BGS786428:BGS786429 BGS786434:BGS786452 BGS851964:BGS851965 BGS851970:BGS851988 BGS917500:BGS917501 BGS917506:BGS917524 BGS983036:BGS983037 BGS983042:BGS983060 BQO2:BQO3 BQO8:BQO26 BQO65532:BQO65533 BQO65538:BQO65556 BQO131068:BQO131069 BQO131074:BQO131092 BQO196604:BQO196605 BQO196610:BQO196628 BQO262140:BQO262141 BQO262146:BQO262164 BQO327676:BQO327677 BQO327682:BQO327700 BQO393212:BQO393213 BQO393218:BQO393236 BQO458748:BQO458749 BQO458754:BQO458772 BQO524284:BQO524285 BQO524290:BQO524308 BQO589820:BQO589821 BQO589826:BQO589844 BQO655356:BQO655357 BQO655362:BQO655380 BQO720892:BQO720893 BQO720898:BQO720916 BQO786428:BQO786429 BQO786434:BQO786452 BQO851964:BQO851965 BQO851970:BQO851988 BQO917500:BQO917501 BQO917506:BQO917524 BQO983036:BQO983037 BQO983042:BQO983060 CAK2:CAK3 CAK8:CAK26 CAK65532:CAK65533 CAK65538:CAK65556 CAK131068:CAK131069 CAK131074:CAK131092 CAK196604:CAK196605 CAK196610:CAK196628 CAK262140:CAK262141 CAK262146:CAK262164 CAK327676:CAK327677 CAK327682:CAK327700 CAK393212:CAK393213 CAK393218:CAK393236 CAK458748:CAK458749 CAK458754:CAK458772 CAK524284:CAK524285 CAK524290:CAK524308 CAK589820:CAK589821 CAK589826:CAK589844 CAK655356:CAK655357 CAK655362:CAK655380 CAK720892:CAK720893 CAK720898:CAK720916 CAK786428:CAK786429 CAK786434:CAK786452 CAK851964:CAK851965 CAK851970:CAK851988 CAK917500:CAK917501 CAK917506:CAK917524 CAK983036:CAK983037 CAK983042:CAK983060 CKG2:CKG3 CKG8:CKG26 CKG65532:CKG65533 CKG65538:CKG65556 CKG131068:CKG131069 CKG131074:CKG131092 CKG196604:CKG196605 CKG196610:CKG196628 CKG262140:CKG262141 CKG262146:CKG262164 CKG327676:CKG327677 CKG327682:CKG327700 CKG393212:CKG393213 CKG393218:CKG393236 CKG458748:CKG458749 CKG458754:CKG458772 CKG524284:CKG524285 CKG524290:CKG524308 CKG589820:CKG589821 CKG589826:CKG589844 CKG655356:CKG655357 CKG655362:CKG655380 CKG720892:CKG720893 CKG720898:CKG720916 CKG786428:CKG786429 CKG786434:CKG786452 CKG851964:CKG851965 CKG851970:CKG851988 CKG917500:CKG917501 CKG917506:CKG917524 CKG983036:CKG983037 CKG983042:CKG983060 CUC2:CUC3 CUC8:CUC26 CUC65532:CUC65533 CUC65538:CUC65556 CUC131068:CUC131069 CUC131074:CUC131092 CUC196604:CUC196605 CUC196610:CUC196628 CUC262140:CUC262141 CUC262146:CUC262164 CUC327676:CUC327677 CUC327682:CUC327700 CUC393212:CUC393213 CUC393218:CUC393236 CUC458748:CUC458749 CUC458754:CUC458772 CUC524284:CUC524285 CUC524290:CUC524308 CUC589820:CUC589821 CUC589826:CUC589844 CUC655356:CUC655357 CUC655362:CUC655380 CUC720892:CUC720893 CUC720898:CUC720916 CUC786428:CUC786429 CUC786434:CUC786452 CUC851964:CUC851965 CUC851970:CUC851988 CUC917500:CUC917501 CUC917506:CUC917524 CUC983036:CUC983037 CUC983042:CUC983060 DDY2:DDY3 DDY8:DDY26 DDY65532:DDY65533 DDY65538:DDY65556 DDY131068:DDY131069 DDY131074:DDY131092 DDY196604:DDY196605 DDY196610:DDY196628 DDY262140:DDY262141 DDY262146:DDY262164 DDY327676:DDY327677 DDY327682:DDY327700 DDY393212:DDY393213 DDY393218:DDY393236 DDY458748:DDY458749 DDY458754:DDY458772 DDY524284:DDY524285 DDY524290:DDY524308 DDY589820:DDY589821 DDY589826:DDY589844 DDY655356:DDY655357 DDY655362:DDY655380 DDY720892:DDY720893 DDY720898:DDY720916 DDY786428:DDY786429 DDY786434:DDY786452 DDY851964:DDY851965 DDY851970:DDY851988 DDY917500:DDY917501 DDY917506:DDY917524 DDY983036:DDY983037 DDY983042:DDY983060 DNU2:DNU3 DNU8:DNU26 DNU65532:DNU65533 DNU65538:DNU65556 DNU131068:DNU131069 DNU131074:DNU131092 DNU196604:DNU196605 DNU196610:DNU196628 DNU262140:DNU262141 DNU262146:DNU262164 DNU327676:DNU327677 DNU327682:DNU327700 DNU393212:DNU393213 DNU393218:DNU393236 DNU458748:DNU458749 DNU458754:DNU458772 DNU524284:DNU524285 DNU524290:DNU524308 DNU589820:DNU589821 DNU589826:DNU589844 DNU655356:DNU655357 DNU655362:DNU655380 DNU720892:DNU720893 DNU720898:DNU720916 DNU786428:DNU786429 DNU786434:DNU786452 DNU851964:DNU851965 DNU851970:DNU851988 DNU917500:DNU917501 DNU917506:DNU917524 DNU983036:DNU983037 DNU983042:DNU983060 DXQ2:DXQ3 DXQ8:DXQ26 DXQ65532:DXQ65533 DXQ65538:DXQ65556 DXQ131068:DXQ131069 DXQ131074:DXQ131092 DXQ196604:DXQ196605 DXQ196610:DXQ196628 DXQ262140:DXQ262141 DXQ262146:DXQ262164 DXQ327676:DXQ327677 DXQ327682:DXQ327700 DXQ393212:DXQ393213 DXQ393218:DXQ393236 DXQ458748:DXQ458749 DXQ458754:DXQ458772 DXQ524284:DXQ524285 DXQ524290:DXQ524308 DXQ589820:DXQ589821 DXQ589826:DXQ589844 DXQ655356:DXQ655357 DXQ655362:DXQ655380 DXQ720892:DXQ720893 DXQ720898:DXQ720916 DXQ786428:DXQ786429 DXQ786434:DXQ786452 DXQ851964:DXQ851965 DXQ851970:DXQ851988 DXQ917500:DXQ917501 DXQ917506:DXQ917524 DXQ983036:DXQ983037 DXQ983042:DXQ983060 EHM2:EHM3 EHM8:EHM26 EHM65532:EHM65533 EHM65538:EHM65556 EHM131068:EHM131069 EHM131074:EHM131092 EHM196604:EHM196605 EHM196610:EHM196628 EHM262140:EHM262141 EHM262146:EHM262164 EHM327676:EHM327677 EHM327682:EHM327700 EHM393212:EHM393213 EHM393218:EHM393236 EHM458748:EHM458749 EHM458754:EHM458772 EHM524284:EHM524285 EHM524290:EHM524308 EHM589820:EHM589821 EHM589826:EHM589844 EHM655356:EHM655357 EHM655362:EHM655380 EHM720892:EHM720893 EHM720898:EHM720916 EHM786428:EHM786429 EHM786434:EHM786452 EHM851964:EHM851965 EHM851970:EHM851988 EHM917500:EHM917501 EHM917506:EHM917524 EHM983036:EHM983037 EHM983042:EHM983060 ERI2:ERI3 ERI8:ERI26 ERI65532:ERI65533 ERI65538:ERI65556 ERI131068:ERI131069 ERI131074:ERI131092 ERI196604:ERI196605 ERI196610:ERI196628 ERI262140:ERI262141 ERI262146:ERI262164 ERI327676:ERI327677 ERI327682:ERI327700 ERI393212:ERI393213 ERI393218:ERI393236 ERI458748:ERI458749 ERI458754:ERI458772 ERI524284:ERI524285 ERI524290:ERI524308 ERI589820:ERI589821 ERI589826:ERI589844 ERI655356:ERI655357 ERI655362:ERI655380 ERI720892:ERI720893 ERI720898:ERI720916 ERI786428:ERI786429 ERI786434:ERI786452 ERI851964:ERI851965 ERI851970:ERI851988 ERI917500:ERI917501 ERI917506:ERI917524 ERI983036:ERI983037 ERI983042:ERI983060 FBE2:FBE3 FBE8:FBE26 FBE65532:FBE65533 FBE65538:FBE65556 FBE131068:FBE131069 FBE131074:FBE131092 FBE196604:FBE196605 FBE196610:FBE196628 FBE262140:FBE262141 FBE262146:FBE262164 FBE327676:FBE327677 FBE327682:FBE327700 FBE393212:FBE393213 FBE393218:FBE393236 FBE458748:FBE458749 FBE458754:FBE458772 FBE524284:FBE524285 FBE524290:FBE524308 FBE589820:FBE589821 FBE589826:FBE589844 FBE655356:FBE655357 FBE655362:FBE655380 FBE720892:FBE720893 FBE720898:FBE720916 FBE786428:FBE786429 FBE786434:FBE786452 FBE851964:FBE851965 FBE851970:FBE851988 FBE917500:FBE917501 FBE917506:FBE917524 FBE983036:FBE983037 FBE983042:FBE983060 FLA2:FLA3 FLA8:FLA26 FLA65532:FLA65533 FLA65538:FLA65556 FLA131068:FLA131069 FLA131074:FLA131092 FLA196604:FLA196605 FLA196610:FLA196628 FLA262140:FLA262141 FLA262146:FLA262164 FLA327676:FLA327677 FLA327682:FLA327700 FLA393212:FLA393213 FLA393218:FLA393236 FLA458748:FLA458749 FLA458754:FLA458772 FLA524284:FLA524285 FLA524290:FLA524308 FLA589820:FLA589821 FLA589826:FLA589844 FLA655356:FLA655357 FLA655362:FLA655380 FLA720892:FLA720893 FLA720898:FLA720916 FLA786428:FLA786429 FLA786434:FLA786452 FLA851964:FLA851965 FLA851970:FLA851988 FLA917500:FLA917501 FLA917506:FLA917524 FLA983036:FLA983037 FLA983042:FLA983060 FUW2:FUW3 FUW8:FUW26 FUW65532:FUW65533 FUW65538:FUW65556 FUW131068:FUW131069 FUW131074:FUW131092 FUW196604:FUW196605 FUW196610:FUW196628 FUW262140:FUW262141 FUW262146:FUW262164 FUW327676:FUW327677 FUW327682:FUW327700 FUW393212:FUW393213 FUW393218:FUW393236 FUW458748:FUW458749 FUW458754:FUW458772 FUW524284:FUW524285 FUW524290:FUW524308 FUW589820:FUW589821 FUW589826:FUW589844 FUW655356:FUW655357 FUW655362:FUW655380 FUW720892:FUW720893 FUW720898:FUW720916 FUW786428:FUW786429 FUW786434:FUW786452 FUW851964:FUW851965 FUW851970:FUW851988 FUW917500:FUW917501 FUW917506:FUW917524 FUW983036:FUW983037 FUW983042:FUW983060 GES2:GES3 GES8:GES26 GES65532:GES65533 GES65538:GES65556 GES131068:GES131069 GES131074:GES131092 GES196604:GES196605 GES196610:GES196628 GES262140:GES262141 GES262146:GES262164 GES327676:GES327677 GES327682:GES327700 GES393212:GES393213 GES393218:GES393236 GES458748:GES458749 GES458754:GES458772 GES524284:GES524285 GES524290:GES524308 GES589820:GES589821 GES589826:GES589844 GES655356:GES655357 GES655362:GES655380 GES720892:GES720893 GES720898:GES720916 GES786428:GES786429 GES786434:GES786452 GES851964:GES851965 GES851970:GES851988 GES917500:GES917501 GES917506:GES917524 GES983036:GES983037 GES983042:GES983060 GOO2:GOO3 GOO8:GOO26 GOO65532:GOO65533 GOO65538:GOO65556 GOO131068:GOO131069 GOO131074:GOO131092 GOO196604:GOO196605 GOO196610:GOO196628 GOO262140:GOO262141 GOO262146:GOO262164 GOO327676:GOO327677 GOO327682:GOO327700 GOO393212:GOO393213 GOO393218:GOO393236 GOO458748:GOO458749 GOO458754:GOO458772 GOO524284:GOO524285 GOO524290:GOO524308 GOO589820:GOO589821 GOO589826:GOO589844 GOO655356:GOO655357 GOO655362:GOO655380 GOO720892:GOO720893 GOO720898:GOO720916 GOO786428:GOO786429 GOO786434:GOO786452 GOO851964:GOO851965 GOO851970:GOO851988 GOO917500:GOO917501 GOO917506:GOO917524 GOO983036:GOO983037 GOO983042:GOO983060 GYK2:GYK3 GYK8:GYK26 GYK65532:GYK65533 GYK65538:GYK65556 GYK131068:GYK131069 GYK131074:GYK131092 GYK196604:GYK196605 GYK196610:GYK196628 GYK262140:GYK262141 GYK262146:GYK262164 GYK327676:GYK327677 GYK327682:GYK327700 GYK393212:GYK393213 GYK393218:GYK393236 GYK458748:GYK458749 GYK458754:GYK458772 GYK524284:GYK524285 GYK524290:GYK524308 GYK589820:GYK589821 GYK589826:GYK589844 GYK655356:GYK655357 GYK655362:GYK655380 GYK720892:GYK720893 GYK720898:GYK720916 GYK786428:GYK786429 GYK786434:GYK786452 GYK851964:GYK851965 GYK851970:GYK851988 GYK917500:GYK917501 GYK917506:GYK917524 GYK983036:GYK983037 GYK983042:GYK983060 HIG2:HIG3 HIG8:HIG26 HIG65532:HIG65533 HIG65538:HIG65556 HIG131068:HIG131069 HIG131074:HIG131092 HIG196604:HIG196605 HIG196610:HIG196628 HIG262140:HIG262141 HIG262146:HIG262164 HIG327676:HIG327677 HIG327682:HIG327700 HIG393212:HIG393213 HIG393218:HIG393236 HIG458748:HIG458749 HIG458754:HIG458772 HIG524284:HIG524285 HIG524290:HIG524308 HIG589820:HIG589821 HIG589826:HIG589844 HIG655356:HIG655357 HIG655362:HIG655380 HIG720892:HIG720893 HIG720898:HIG720916 HIG786428:HIG786429 HIG786434:HIG786452 HIG851964:HIG851965 HIG851970:HIG851988 HIG917500:HIG917501 HIG917506:HIG917524 HIG983036:HIG983037 HIG983042:HIG983060 HSC2:HSC3 HSC8:HSC26 HSC65532:HSC65533 HSC65538:HSC65556 HSC131068:HSC131069 HSC131074:HSC131092 HSC196604:HSC196605 HSC196610:HSC196628 HSC262140:HSC262141 HSC262146:HSC262164 HSC327676:HSC327677 HSC327682:HSC327700 HSC393212:HSC393213 HSC393218:HSC393236 HSC458748:HSC458749 HSC458754:HSC458772 HSC524284:HSC524285 HSC524290:HSC524308 HSC589820:HSC589821 HSC589826:HSC589844 HSC655356:HSC655357 HSC655362:HSC655380 HSC720892:HSC720893 HSC720898:HSC720916 HSC786428:HSC786429 HSC786434:HSC786452 HSC851964:HSC851965 HSC851970:HSC851988 HSC917500:HSC917501 HSC917506:HSC917524 HSC983036:HSC983037 HSC983042:HSC983060 IBY2:IBY3 IBY8:IBY26 IBY65532:IBY65533 IBY65538:IBY65556 IBY131068:IBY131069 IBY131074:IBY131092 IBY196604:IBY196605 IBY196610:IBY196628 IBY262140:IBY262141 IBY262146:IBY262164 IBY327676:IBY327677 IBY327682:IBY327700 IBY393212:IBY393213 IBY393218:IBY393236 IBY458748:IBY458749 IBY458754:IBY458772 IBY524284:IBY524285 IBY524290:IBY524308 IBY589820:IBY589821 IBY589826:IBY589844 IBY655356:IBY655357 IBY655362:IBY655380 IBY720892:IBY720893 IBY720898:IBY720916 IBY786428:IBY786429 IBY786434:IBY786452 IBY851964:IBY851965 IBY851970:IBY851988 IBY917500:IBY917501 IBY917506:IBY917524 IBY983036:IBY983037 IBY983042:IBY983060 ILU2:ILU3 ILU8:ILU26 ILU65532:ILU65533 ILU65538:ILU65556 ILU131068:ILU131069 ILU131074:ILU131092 ILU196604:ILU196605 ILU196610:ILU196628 ILU262140:ILU262141 ILU262146:ILU262164 ILU327676:ILU327677 ILU327682:ILU327700 ILU393212:ILU393213 ILU393218:ILU393236 ILU458748:ILU458749 ILU458754:ILU458772 ILU524284:ILU524285 ILU524290:ILU524308 ILU589820:ILU589821 ILU589826:ILU589844 ILU655356:ILU655357 ILU655362:ILU655380 ILU720892:ILU720893 ILU720898:ILU720916 ILU786428:ILU786429 ILU786434:ILU786452 ILU851964:ILU851965 ILU851970:ILU851988 ILU917500:ILU917501 ILU917506:ILU917524 ILU983036:ILU983037 ILU983042:ILU983060 IVQ2:IVQ3 IVQ8:IVQ26 IVQ65532:IVQ65533 IVQ65538:IVQ65556 IVQ131068:IVQ131069 IVQ131074:IVQ131092 IVQ196604:IVQ196605 IVQ196610:IVQ196628 IVQ262140:IVQ262141 IVQ262146:IVQ262164 IVQ327676:IVQ327677 IVQ327682:IVQ327700 IVQ393212:IVQ393213 IVQ393218:IVQ393236 IVQ458748:IVQ458749 IVQ458754:IVQ458772 IVQ524284:IVQ524285 IVQ524290:IVQ524308 IVQ589820:IVQ589821 IVQ589826:IVQ589844 IVQ655356:IVQ655357 IVQ655362:IVQ655380 IVQ720892:IVQ720893 IVQ720898:IVQ720916 IVQ786428:IVQ786429 IVQ786434:IVQ786452 IVQ851964:IVQ851965 IVQ851970:IVQ851988 IVQ917500:IVQ917501 IVQ917506:IVQ917524 IVQ983036:IVQ983037 IVQ983042:IVQ983060 JFM2:JFM3 JFM8:JFM26 JFM65532:JFM65533 JFM65538:JFM65556 JFM131068:JFM131069 JFM131074:JFM131092 JFM196604:JFM196605 JFM196610:JFM196628 JFM262140:JFM262141 JFM262146:JFM262164 JFM327676:JFM327677 JFM327682:JFM327700 JFM393212:JFM393213 JFM393218:JFM393236 JFM458748:JFM458749 JFM458754:JFM458772 JFM524284:JFM524285 JFM524290:JFM524308 JFM589820:JFM589821 JFM589826:JFM589844 JFM655356:JFM655357 JFM655362:JFM655380 JFM720892:JFM720893 JFM720898:JFM720916 JFM786428:JFM786429 JFM786434:JFM786452 JFM851964:JFM851965 JFM851970:JFM851988 JFM917500:JFM917501 JFM917506:JFM917524 JFM983036:JFM983037 JFM983042:JFM983060 JPI2:JPI3 JPI8:JPI26 JPI65532:JPI65533 JPI65538:JPI65556 JPI131068:JPI131069 JPI131074:JPI131092 JPI196604:JPI196605 JPI196610:JPI196628 JPI262140:JPI262141 JPI262146:JPI262164 JPI327676:JPI327677 JPI327682:JPI327700 JPI393212:JPI393213 JPI393218:JPI393236 JPI458748:JPI458749 JPI458754:JPI458772 JPI524284:JPI524285 JPI524290:JPI524308 JPI589820:JPI589821 JPI589826:JPI589844 JPI655356:JPI655357 JPI655362:JPI655380 JPI720892:JPI720893 JPI720898:JPI720916 JPI786428:JPI786429 JPI786434:JPI786452 JPI851964:JPI851965 JPI851970:JPI851988 JPI917500:JPI917501 JPI917506:JPI917524 JPI983036:JPI983037 JPI983042:JPI983060 JZE2:JZE3 JZE8:JZE26 JZE65532:JZE65533 JZE65538:JZE65556 JZE131068:JZE131069 JZE131074:JZE131092 JZE196604:JZE196605 JZE196610:JZE196628 JZE262140:JZE262141 JZE262146:JZE262164 JZE327676:JZE327677 JZE327682:JZE327700 JZE393212:JZE393213 JZE393218:JZE393236 JZE458748:JZE458749 JZE458754:JZE458772 JZE524284:JZE524285 JZE524290:JZE524308 JZE589820:JZE589821 JZE589826:JZE589844 JZE655356:JZE655357 JZE655362:JZE655380 JZE720892:JZE720893 JZE720898:JZE720916 JZE786428:JZE786429 JZE786434:JZE786452 JZE851964:JZE851965 JZE851970:JZE851988 JZE917500:JZE917501 JZE917506:JZE917524 JZE983036:JZE983037 JZE983042:JZE983060 KJA2:KJA3 KJA8:KJA26 KJA65532:KJA65533 KJA65538:KJA65556 KJA131068:KJA131069 KJA131074:KJA131092 KJA196604:KJA196605 KJA196610:KJA196628 KJA262140:KJA262141 KJA262146:KJA262164 KJA327676:KJA327677 KJA327682:KJA327700 KJA393212:KJA393213 KJA393218:KJA393236 KJA458748:KJA458749 KJA458754:KJA458772 KJA524284:KJA524285 KJA524290:KJA524308 KJA589820:KJA589821 KJA589826:KJA589844 KJA655356:KJA655357 KJA655362:KJA655380 KJA720892:KJA720893 KJA720898:KJA720916 KJA786428:KJA786429 KJA786434:KJA786452 KJA851964:KJA851965 KJA851970:KJA851988 KJA917500:KJA917501 KJA917506:KJA917524 KJA983036:KJA983037 KJA983042:KJA983060 KSW2:KSW3 KSW8:KSW26 KSW65532:KSW65533 KSW65538:KSW65556 KSW131068:KSW131069 KSW131074:KSW131092 KSW196604:KSW196605 KSW196610:KSW196628 KSW262140:KSW262141 KSW262146:KSW262164 KSW327676:KSW327677 KSW327682:KSW327700 KSW393212:KSW393213 KSW393218:KSW393236 KSW458748:KSW458749 KSW458754:KSW458772 KSW524284:KSW524285 KSW524290:KSW524308 KSW589820:KSW589821 KSW589826:KSW589844 KSW655356:KSW655357 KSW655362:KSW655380 KSW720892:KSW720893 KSW720898:KSW720916 KSW786428:KSW786429 KSW786434:KSW786452 KSW851964:KSW851965 KSW851970:KSW851988 KSW917500:KSW917501 KSW917506:KSW917524 KSW983036:KSW983037 KSW983042:KSW983060 LCS2:LCS3 LCS8:LCS26 LCS65532:LCS65533 LCS65538:LCS65556 LCS131068:LCS131069 LCS131074:LCS131092 LCS196604:LCS196605 LCS196610:LCS196628 LCS262140:LCS262141 LCS262146:LCS262164 LCS327676:LCS327677 LCS327682:LCS327700 LCS393212:LCS393213 LCS393218:LCS393236 LCS458748:LCS458749 LCS458754:LCS458772 LCS524284:LCS524285 LCS524290:LCS524308 LCS589820:LCS589821 LCS589826:LCS589844 LCS655356:LCS655357 LCS655362:LCS655380 LCS720892:LCS720893 LCS720898:LCS720916 LCS786428:LCS786429 LCS786434:LCS786452 LCS851964:LCS851965 LCS851970:LCS851988 LCS917500:LCS917501 LCS917506:LCS917524 LCS983036:LCS983037 LCS983042:LCS983060 LMO2:LMO3 LMO8:LMO26 LMO65532:LMO65533 LMO65538:LMO65556 LMO131068:LMO131069 LMO131074:LMO131092 LMO196604:LMO196605 LMO196610:LMO196628 LMO262140:LMO262141 LMO262146:LMO262164 LMO327676:LMO327677 LMO327682:LMO327700 LMO393212:LMO393213 LMO393218:LMO393236 LMO458748:LMO458749 LMO458754:LMO458772 LMO524284:LMO524285 LMO524290:LMO524308 LMO589820:LMO589821 LMO589826:LMO589844 LMO655356:LMO655357 LMO655362:LMO655380 LMO720892:LMO720893 LMO720898:LMO720916 LMO786428:LMO786429 LMO786434:LMO786452 LMO851964:LMO851965 LMO851970:LMO851988 LMO917500:LMO917501 LMO917506:LMO917524 LMO983036:LMO983037 LMO983042:LMO983060 LWK2:LWK3 LWK8:LWK26 LWK65532:LWK65533 LWK65538:LWK65556 LWK131068:LWK131069 LWK131074:LWK131092 LWK196604:LWK196605 LWK196610:LWK196628 LWK262140:LWK262141 LWK262146:LWK262164 LWK327676:LWK327677 LWK327682:LWK327700 LWK393212:LWK393213 LWK393218:LWK393236 LWK458748:LWK458749 LWK458754:LWK458772 LWK524284:LWK524285 LWK524290:LWK524308 LWK589820:LWK589821 LWK589826:LWK589844 LWK655356:LWK655357 LWK655362:LWK655380 LWK720892:LWK720893 LWK720898:LWK720916 LWK786428:LWK786429 LWK786434:LWK786452 LWK851964:LWK851965 LWK851970:LWK851988 LWK917500:LWK917501 LWK917506:LWK917524 LWK983036:LWK983037 LWK983042:LWK983060 MGG2:MGG3 MGG8:MGG26 MGG65532:MGG65533 MGG65538:MGG65556 MGG131068:MGG131069 MGG131074:MGG131092 MGG196604:MGG196605 MGG196610:MGG196628 MGG262140:MGG262141 MGG262146:MGG262164 MGG327676:MGG327677 MGG327682:MGG327700 MGG393212:MGG393213 MGG393218:MGG393236 MGG458748:MGG458749 MGG458754:MGG458772 MGG524284:MGG524285 MGG524290:MGG524308 MGG589820:MGG589821 MGG589826:MGG589844 MGG655356:MGG655357 MGG655362:MGG655380 MGG720892:MGG720893 MGG720898:MGG720916 MGG786428:MGG786429 MGG786434:MGG786452 MGG851964:MGG851965 MGG851970:MGG851988 MGG917500:MGG917501 MGG917506:MGG917524 MGG983036:MGG983037 MGG983042:MGG983060 MQC2:MQC3 MQC8:MQC26 MQC65532:MQC65533 MQC65538:MQC65556 MQC131068:MQC131069 MQC131074:MQC131092 MQC196604:MQC196605 MQC196610:MQC196628 MQC262140:MQC262141 MQC262146:MQC262164 MQC327676:MQC327677 MQC327682:MQC327700 MQC393212:MQC393213 MQC393218:MQC393236 MQC458748:MQC458749 MQC458754:MQC458772 MQC524284:MQC524285 MQC524290:MQC524308 MQC589820:MQC589821 MQC589826:MQC589844 MQC655356:MQC655357 MQC655362:MQC655380 MQC720892:MQC720893 MQC720898:MQC720916 MQC786428:MQC786429 MQC786434:MQC786452 MQC851964:MQC851965 MQC851970:MQC851988 MQC917500:MQC917501 MQC917506:MQC917524 MQC983036:MQC983037 MQC983042:MQC983060 MZY2:MZY3 MZY8:MZY26 MZY65532:MZY65533 MZY65538:MZY65556 MZY131068:MZY131069 MZY131074:MZY131092 MZY196604:MZY196605 MZY196610:MZY196628 MZY262140:MZY262141 MZY262146:MZY262164 MZY327676:MZY327677 MZY327682:MZY327700 MZY393212:MZY393213 MZY393218:MZY393236 MZY458748:MZY458749 MZY458754:MZY458772 MZY524284:MZY524285 MZY524290:MZY524308 MZY589820:MZY589821 MZY589826:MZY589844 MZY655356:MZY655357 MZY655362:MZY655380 MZY720892:MZY720893 MZY720898:MZY720916 MZY786428:MZY786429 MZY786434:MZY786452 MZY851964:MZY851965 MZY851970:MZY851988 MZY917500:MZY917501 MZY917506:MZY917524 MZY983036:MZY983037 MZY983042:MZY983060 NJU2:NJU3 NJU8:NJU26 NJU65532:NJU65533 NJU65538:NJU65556 NJU131068:NJU131069 NJU131074:NJU131092 NJU196604:NJU196605 NJU196610:NJU196628 NJU262140:NJU262141 NJU262146:NJU262164 NJU327676:NJU327677 NJU327682:NJU327700 NJU393212:NJU393213 NJU393218:NJU393236 NJU458748:NJU458749 NJU458754:NJU458772 NJU524284:NJU524285 NJU524290:NJU524308 NJU589820:NJU589821 NJU589826:NJU589844 NJU655356:NJU655357 NJU655362:NJU655380 NJU720892:NJU720893 NJU720898:NJU720916 NJU786428:NJU786429 NJU786434:NJU786452 NJU851964:NJU851965 NJU851970:NJU851988 NJU917500:NJU917501 NJU917506:NJU917524 NJU983036:NJU983037 NJU983042:NJU983060 NTQ2:NTQ3 NTQ8:NTQ26 NTQ65532:NTQ65533 NTQ65538:NTQ65556 NTQ131068:NTQ131069 NTQ131074:NTQ131092 NTQ196604:NTQ196605 NTQ196610:NTQ196628 NTQ262140:NTQ262141 NTQ262146:NTQ262164 NTQ327676:NTQ327677 NTQ327682:NTQ327700 NTQ393212:NTQ393213 NTQ393218:NTQ393236 NTQ458748:NTQ458749 NTQ458754:NTQ458772 NTQ524284:NTQ524285 NTQ524290:NTQ524308 NTQ589820:NTQ589821 NTQ589826:NTQ589844 NTQ655356:NTQ655357 NTQ655362:NTQ655380 NTQ720892:NTQ720893 NTQ720898:NTQ720916 NTQ786428:NTQ786429 NTQ786434:NTQ786452 NTQ851964:NTQ851965 NTQ851970:NTQ851988 NTQ917500:NTQ917501 NTQ917506:NTQ917524 NTQ983036:NTQ983037 NTQ983042:NTQ983060 ODM2:ODM3 ODM8:ODM26 ODM65532:ODM65533 ODM65538:ODM65556 ODM131068:ODM131069 ODM131074:ODM131092 ODM196604:ODM196605 ODM196610:ODM196628 ODM262140:ODM262141 ODM262146:ODM262164 ODM327676:ODM327677 ODM327682:ODM327700 ODM393212:ODM393213 ODM393218:ODM393236 ODM458748:ODM458749 ODM458754:ODM458772 ODM524284:ODM524285 ODM524290:ODM524308 ODM589820:ODM589821 ODM589826:ODM589844 ODM655356:ODM655357 ODM655362:ODM655380 ODM720892:ODM720893 ODM720898:ODM720916 ODM786428:ODM786429 ODM786434:ODM786452 ODM851964:ODM851965 ODM851970:ODM851988 ODM917500:ODM917501 ODM917506:ODM917524 ODM983036:ODM983037 ODM983042:ODM983060 ONI2:ONI3 ONI8:ONI26 ONI65532:ONI65533 ONI65538:ONI65556 ONI131068:ONI131069 ONI131074:ONI131092 ONI196604:ONI196605 ONI196610:ONI196628 ONI262140:ONI262141 ONI262146:ONI262164 ONI327676:ONI327677 ONI327682:ONI327700 ONI393212:ONI393213 ONI393218:ONI393236 ONI458748:ONI458749 ONI458754:ONI458772 ONI524284:ONI524285 ONI524290:ONI524308 ONI589820:ONI589821 ONI589826:ONI589844 ONI655356:ONI655357 ONI655362:ONI655380 ONI720892:ONI720893 ONI720898:ONI720916 ONI786428:ONI786429 ONI786434:ONI786452 ONI851964:ONI851965 ONI851970:ONI851988 ONI917500:ONI917501 ONI917506:ONI917524 ONI983036:ONI983037 ONI983042:ONI983060 OXE2:OXE3 OXE8:OXE26 OXE65532:OXE65533 OXE65538:OXE65556 OXE131068:OXE131069 OXE131074:OXE131092 OXE196604:OXE196605 OXE196610:OXE196628 OXE262140:OXE262141 OXE262146:OXE262164 OXE327676:OXE327677 OXE327682:OXE327700 OXE393212:OXE393213 OXE393218:OXE393236 OXE458748:OXE458749 OXE458754:OXE458772 OXE524284:OXE524285 OXE524290:OXE524308 OXE589820:OXE589821 OXE589826:OXE589844 OXE655356:OXE655357 OXE655362:OXE655380 OXE720892:OXE720893 OXE720898:OXE720916 OXE786428:OXE786429 OXE786434:OXE786452 OXE851964:OXE851965 OXE851970:OXE851988 OXE917500:OXE917501 OXE917506:OXE917524 OXE983036:OXE983037 OXE983042:OXE983060 PHA2:PHA3 PHA8:PHA26 PHA65532:PHA65533 PHA65538:PHA65556 PHA131068:PHA131069 PHA131074:PHA131092 PHA196604:PHA196605 PHA196610:PHA196628 PHA262140:PHA262141 PHA262146:PHA262164 PHA327676:PHA327677 PHA327682:PHA327700 PHA393212:PHA393213 PHA393218:PHA393236 PHA458748:PHA458749 PHA458754:PHA458772 PHA524284:PHA524285 PHA524290:PHA524308 PHA589820:PHA589821 PHA589826:PHA589844 PHA655356:PHA655357 PHA655362:PHA655380 PHA720892:PHA720893 PHA720898:PHA720916 PHA786428:PHA786429 PHA786434:PHA786452 PHA851964:PHA851965 PHA851970:PHA851988 PHA917500:PHA917501 PHA917506:PHA917524 PHA983036:PHA983037 PHA983042:PHA983060 PQW2:PQW3 PQW8:PQW26 PQW65532:PQW65533 PQW65538:PQW65556 PQW131068:PQW131069 PQW131074:PQW131092 PQW196604:PQW196605 PQW196610:PQW196628 PQW262140:PQW262141 PQW262146:PQW262164 PQW327676:PQW327677 PQW327682:PQW327700 PQW393212:PQW393213 PQW393218:PQW393236 PQW458748:PQW458749 PQW458754:PQW458772 PQW524284:PQW524285 PQW524290:PQW524308 PQW589820:PQW589821 PQW589826:PQW589844 PQW655356:PQW655357 PQW655362:PQW655380 PQW720892:PQW720893 PQW720898:PQW720916 PQW786428:PQW786429 PQW786434:PQW786452 PQW851964:PQW851965 PQW851970:PQW851988 PQW917500:PQW917501 PQW917506:PQW917524 PQW983036:PQW983037 PQW983042:PQW983060 QAS2:QAS3 QAS8:QAS26 QAS65532:QAS65533 QAS65538:QAS65556 QAS131068:QAS131069 QAS131074:QAS131092 QAS196604:QAS196605 QAS196610:QAS196628 QAS262140:QAS262141 QAS262146:QAS262164 QAS327676:QAS327677 QAS327682:QAS327700 QAS393212:QAS393213 QAS393218:QAS393236 QAS458748:QAS458749 QAS458754:QAS458772 QAS524284:QAS524285 QAS524290:QAS524308 QAS589820:QAS589821 QAS589826:QAS589844 QAS655356:QAS655357 QAS655362:QAS655380 QAS720892:QAS720893 QAS720898:QAS720916 QAS786428:QAS786429 QAS786434:QAS786452 QAS851964:QAS851965 QAS851970:QAS851988 QAS917500:QAS917501 QAS917506:QAS917524 QAS983036:QAS983037 QAS983042:QAS983060 QKO2:QKO3 QKO8:QKO26 QKO65532:QKO65533 QKO65538:QKO65556 QKO131068:QKO131069 QKO131074:QKO131092 QKO196604:QKO196605 QKO196610:QKO196628 QKO262140:QKO262141 QKO262146:QKO262164 QKO327676:QKO327677 QKO327682:QKO327700 QKO393212:QKO393213 QKO393218:QKO393236 QKO458748:QKO458749 QKO458754:QKO458772 QKO524284:QKO524285 QKO524290:QKO524308 QKO589820:QKO589821 QKO589826:QKO589844 QKO655356:QKO655357 QKO655362:QKO655380 QKO720892:QKO720893 QKO720898:QKO720916 QKO786428:QKO786429 QKO786434:QKO786452 QKO851964:QKO851965 QKO851970:QKO851988 QKO917500:QKO917501 QKO917506:QKO917524 QKO983036:QKO983037 QKO983042:QKO983060 QUK2:QUK3 QUK8:QUK26 QUK65532:QUK65533 QUK65538:QUK65556 QUK131068:QUK131069 QUK131074:QUK131092 QUK196604:QUK196605 QUK196610:QUK196628 QUK262140:QUK262141 QUK262146:QUK262164 QUK327676:QUK327677 QUK327682:QUK327700 QUK393212:QUK393213 QUK393218:QUK393236 QUK458748:QUK458749 QUK458754:QUK458772 QUK524284:QUK524285 QUK524290:QUK524308 QUK589820:QUK589821 QUK589826:QUK589844 QUK655356:QUK655357 QUK655362:QUK655380 QUK720892:QUK720893 QUK720898:QUK720916 QUK786428:QUK786429 QUK786434:QUK786452 QUK851964:QUK851965 QUK851970:QUK851988 QUK917500:QUK917501 QUK917506:QUK917524 QUK983036:QUK983037 QUK983042:QUK983060 REG2:REG3 REG8:REG26 REG65532:REG65533 REG65538:REG65556 REG131068:REG131069 REG131074:REG131092 REG196604:REG196605 REG196610:REG196628 REG262140:REG262141 REG262146:REG262164 REG327676:REG327677 REG327682:REG327700 REG393212:REG393213 REG393218:REG393236 REG458748:REG458749 REG458754:REG458772 REG524284:REG524285 REG524290:REG524308 REG589820:REG589821 REG589826:REG589844 REG655356:REG655357 REG655362:REG655380 REG720892:REG720893 REG720898:REG720916 REG786428:REG786429 REG786434:REG786452 REG851964:REG851965 REG851970:REG851988 REG917500:REG917501 REG917506:REG917524 REG983036:REG983037 REG983042:REG983060 ROC2:ROC3 ROC8:ROC26 ROC65532:ROC65533 ROC65538:ROC65556 ROC131068:ROC131069 ROC131074:ROC131092 ROC196604:ROC196605 ROC196610:ROC196628 ROC262140:ROC262141 ROC262146:ROC262164 ROC327676:ROC327677 ROC327682:ROC327700 ROC393212:ROC393213 ROC393218:ROC393236 ROC458748:ROC458749 ROC458754:ROC458772 ROC524284:ROC524285 ROC524290:ROC524308 ROC589820:ROC589821 ROC589826:ROC589844 ROC655356:ROC655357 ROC655362:ROC655380 ROC720892:ROC720893 ROC720898:ROC720916 ROC786428:ROC786429 ROC786434:ROC786452 ROC851964:ROC851965 ROC851970:ROC851988 ROC917500:ROC917501 ROC917506:ROC917524 ROC983036:ROC983037 ROC983042:ROC983060 RXY2:RXY3 RXY8:RXY26 RXY65532:RXY65533 RXY65538:RXY65556 RXY131068:RXY131069 RXY131074:RXY131092 RXY196604:RXY196605 RXY196610:RXY196628 RXY262140:RXY262141 RXY262146:RXY262164 RXY327676:RXY327677 RXY327682:RXY327700 RXY393212:RXY393213 RXY393218:RXY393236 RXY458748:RXY458749 RXY458754:RXY458772 RXY524284:RXY524285 RXY524290:RXY524308 RXY589820:RXY589821 RXY589826:RXY589844 RXY655356:RXY655357 RXY655362:RXY655380 RXY720892:RXY720893 RXY720898:RXY720916 RXY786428:RXY786429 RXY786434:RXY786452 RXY851964:RXY851965 RXY851970:RXY851988 RXY917500:RXY917501 RXY917506:RXY917524 RXY983036:RXY983037 RXY983042:RXY983060 SHU2:SHU3 SHU8:SHU26 SHU65532:SHU65533 SHU65538:SHU65556 SHU131068:SHU131069 SHU131074:SHU131092 SHU196604:SHU196605 SHU196610:SHU196628 SHU262140:SHU262141 SHU262146:SHU262164 SHU327676:SHU327677 SHU327682:SHU327700 SHU393212:SHU393213 SHU393218:SHU393236 SHU458748:SHU458749 SHU458754:SHU458772 SHU524284:SHU524285 SHU524290:SHU524308 SHU589820:SHU589821 SHU589826:SHU589844 SHU655356:SHU655357 SHU655362:SHU655380 SHU720892:SHU720893 SHU720898:SHU720916 SHU786428:SHU786429 SHU786434:SHU786452 SHU851964:SHU851965 SHU851970:SHU851988 SHU917500:SHU917501 SHU917506:SHU917524 SHU983036:SHU983037 SHU983042:SHU983060 SRQ2:SRQ3 SRQ8:SRQ26 SRQ65532:SRQ65533 SRQ65538:SRQ65556 SRQ131068:SRQ131069 SRQ131074:SRQ131092 SRQ196604:SRQ196605 SRQ196610:SRQ196628 SRQ262140:SRQ262141 SRQ262146:SRQ262164 SRQ327676:SRQ327677 SRQ327682:SRQ327700 SRQ393212:SRQ393213 SRQ393218:SRQ393236 SRQ458748:SRQ458749 SRQ458754:SRQ458772 SRQ524284:SRQ524285 SRQ524290:SRQ524308 SRQ589820:SRQ589821 SRQ589826:SRQ589844 SRQ655356:SRQ655357 SRQ655362:SRQ655380 SRQ720892:SRQ720893 SRQ720898:SRQ720916 SRQ786428:SRQ786429 SRQ786434:SRQ786452 SRQ851964:SRQ851965 SRQ851970:SRQ851988 SRQ917500:SRQ917501 SRQ917506:SRQ917524 SRQ983036:SRQ983037 SRQ983042:SRQ983060 TBM2:TBM3 TBM8:TBM26 TBM65532:TBM65533 TBM65538:TBM65556 TBM131068:TBM131069 TBM131074:TBM131092 TBM196604:TBM196605 TBM196610:TBM196628 TBM262140:TBM262141 TBM262146:TBM262164 TBM327676:TBM327677 TBM327682:TBM327700 TBM393212:TBM393213 TBM393218:TBM393236 TBM458748:TBM458749 TBM458754:TBM458772 TBM524284:TBM524285 TBM524290:TBM524308 TBM589820:TBM589821 TBM589826:TBM589844 TBM655356:TBM655357 TBM655362:TBM655380 TBM720892:TBM720893 TBM720898:TBM720916 TBM786428:TBM786429 TBM786434:TBM786452 TBM851964:TBM851965 TBM851970:TBM851988 TBM917500:TBM917501 TBM917506:TBM917524 TBM983036:TBM983037 TBM983042:TBM983060 TLI2:TLI3 TLI8:TLI26 TLI65532:TLI65533 TLI65538:TLI65556 TLI131068:TLI131069 TLI131074:TLI131092 TLI196604:TLI196605 TLI196610:TLI196628 TLI262140:TLI262141 TLI262146:TLI262164 TLI327676:TLI327677 TLI327682:TLI327700 TLI393212:TLI393213 TLI393218:TLI393236 TLI458748:TLI458749 TLI458754:TLI458772 TLI524284:TLI524285 TLI524290:TLI524308 TLI589820:TLI589821 TLI589826:TLI589844 TLI655356:TLI655357 TLI655362:TLI655380 TLI720892:TLI720893 TLI720898:TLI720916 TLI786428:TLI786429 TLI786434:TLI786452 TLI851964:TLI851965 TLI851970:TLI851988 TLI917500:TLI917501 TLI917506:TLI917524 TLI983036:TLI983037 TLI983042:TLI983060 TVE2:TVE3 TVE8:TVE26 TVE65532:TVE65533 TVE65538:TVE65556 TVE131068:TVE131069 TVE131074:TVE131092 TVE196604:TVE196605 TVE196610:TVE196628 TVE262140:TVE262141 TVE262146:TVE262164 TVE327676:TVE327677 TVE327682:TVE327700 TVE393212:TVE393213 TVE393218:TVE393236 TVE458748:TVE458749 TVE458754:TVE458772 TVE524284:TVE524285 TVE524290:TVE524308 TVE589820:TVE589821 TVE589826:TVE589844 TVE655356:TVE655357 TVE655362:TVE655380 TVE720892:TVE720893 TVE720898:TVE720916 TVE786428:TVE786429 TVE786434:TVE786452 TVE851964:TVE851965 TVE851970:TVE851988 TVE917500:TVE917501 TVE917506:TVE917524 TVE983036:TVE983037 TVE983042:TVE983060 UFA2:UFA3 UFA8:UFA26 UFA65532:UFA65533 UFA65538:UFA65556 UFA131068:UFA131069 UFA131074:UFA131092 UFA196604:UFA196605 UFA196610:UFA196628 UFA262140:UFA262141 UFA262146:UFA262164 UFA327676:UFA327677 UFA327682:UFA327700 UFA393212:UFA393213 UFA393218:UFA393236 UFA458748:UFA458749 UFA458754:UFA458772 UFA524284:UFA524285 UFA524290:UFA524308 UFA589820:UFA589821 UFA589826:UFA589844 UFA655356:UFA655357 UFA655362:UFA655380 UFA720892:UFA720893 UFA720898:UFA720916 UFA786428:UFA786429 UFA786434:UFA786452 UFA851964:UFA851965 UFA851970:UFA851988 UFA917500:UFA917501 UFA917506:UFA917524 UFA983036:UFA983037 UFA983042:UFA983060 UOW2:UOW3 UOW8:UOW26 UOW65532:UOW65533 UOW65538:UOW65556 UOW131068:UOW131069 UOW131074:UOW131092 UOW196604:UOW196605 UOW196610:UOW196628 UOW262140:UOW262141 UOW262146:UOW262164 UOW327676:UOW327677 UOW327682:UOW327700 UOW393212:UOW393213 UOW393218:UOW393236 UOW458748:UOW458749 UOW458754:UOW458772 UOW524284:UOW524285 UOW524290:UOW524308 UOW589820:UOW589821 UOW589826:UOW589844 UOW655356:UOW655357 UOW655362:UOW655380 UOW720892:UOW720893 UOW720898:UOW720916 UOW786428:UOW786429 UOW786434:UOW786452 UOW851964:UOW851965 UOW851970:UOW851988 UOW917500:UOW917501 UOW917506:UOW917524 UOW983036:UOW983037 UOW983042:UOW983060 UYS2:UYS3 UYS8:UYS26 UYS65532:UYS65533 UYS65538:UYS65556 UYS131068:UYS131069 UYS131074:UYS131092 UYS196604:UYS196605 UYS196610:UYS196628 UYS262140:UYS262141 UYS262146:UYS262164 UYS327676:UYS327677 UYS327682:UYS327700 UYS393212:UYS393213 UYS393218:UYS393236 UYS458748:UYS458749 UYS458754:UYS458772 UYS524284:UYS524285 UYS524290:UYS524308 UYS589820:UYS589821 UYS589826:UYS589844 UYS655356:UYS655357 UYS655362:UYS655380 UYS720892:UYS720893 UYS720898:UYS720916 UYS786428:UYS786429 UYS786434:UYS786452 UYS851964:UYS851965 UYS851970:UYS851988 UYS917500:UYS917501 UYS917506:UYS917524 UYS983036:UYS983037 UYS983042:UYS983060 VIO2:VIO3 VIO8:VIO26 VIO65532:VIO65533 VIO65538:VIO65556 VIO131068:VIO131069 VIO131074:VIO131092 VIO196604:VIO196605 VIO196610:VIO196628 VIO262140:VIO262141 VIO262146:VIO262164 VIO327676:VIO327677 VIO327682:VIO327700 VIO393212:VIO393213 VIO393218:VIO393236 VIO458748:VIO458749 VIO458754:VIO458772 VIO524284:VIO524285 VIO524290:VIO524308 VIO589820:VIO589821 VIO589826:VIO589844 VIO655356:VIO655357 VIO655362:VIO655380 VIO720892:VIO720893 VIO720898:VIO720916 VIO786428:VIO786429 VIO786434:VIO786452 VIO851964:VIO851965 VIO851970:VIO851988 VIO917500:VIO917501 VIO917506:VIO917524 VIO983036:VIO983037 VIO983042:VIO983060 VSK2:VSK3 VSK8:VSK26 VSK65532:VSK65533 VSK65538:VSK65556 VSK131068:VSK131069 VSK131074:VSK131092 VSK196604:VSK196605 VSK196610:VSK196628 VSK262140:VSK262141 VSK262146:VSK262164 VSK327676:VSK327677 VSK327682:VSK327700 VSK393212:VSK393213 VSK393218:VSK393236 VSK458748:VSK458749 VSK458754:VSK458772 VSK524284:VSK524285 VSK524290:VSK524308 VSK589820:VSK589821 VSK589826:VSK589844 VSK655356:VSK655357 VSK655362:VSK655380 VSK720892:VSK720893 VSK720898:VSK720916 VSK786428:VSK786429 VSK786434:VSK786452 VSK851964:VSK851965 VSK851970:VSK851988 VSK917500:VSK917501 VSK917506:VSK917524 VSK983036:VSK983037 VSK983042:VSK983060 WCG2:WCG3 WCG8:WCG26 WCG65532:WCG65533 WCG65538:WCG65556 WCG131068:WCG131069 WCG131074:WCG131092 WCG196604:WCG196605 WCG196610:WCG196628 WCG262140:WCG262141 WCG262146:WCG262164 WCG327676:WCG327677 WCG327682:WCG327700 WCG393212:WCG393213 WCG393218:WCG393236 WCG458748:WCG458749 WCG458754:WCG458772 WCG524284:WCG524285 WCG524290:WCG524308 WCG589820:WCG589821 WCG589826:WCG589844 WCG655356:WCG655357 WCG655362:WCG655380 WCG720892:WCG720893 WCG720898:WCG720916 WCG786428:WCG786429 WCG786434:WCG786452 WCG851964:WCG851965 WCG851970:WCG851988 WCG917500:WCG917501 WCG917506:WCG917524 WCG983036:WCG983037 WCG983042:WCG983060 WMC2:WMC3 WMC8:WMC26 WMC65532:WMC65533 WMC65538:WMC65556 WMC131068:WMC131069 WMC131074:WMC131092 WMC196604:WMC196605 WMC196610:WMC196628 WMC262140:WMC262141 WMC262146:WMC262164 WMC327676:WMC327677 WMC327682:WMC327700 WMC393212:WMC393213 WMC393218:WMC393236 WMC458748:WMC458749 WMC458754:WMC458772 WMC524284:WMC524285 WMC524290:WMC524308 WMC589820:WMC589821 WMC589826:WMC589844 WMC655356:WMC655357 WMC655362:WMC655380 WMC720892:WMC720893 WMC720898:WMC720916 WMC786428:WMC786429 WMC786434:WMC786452 WMC851964:WMC851965 WMC851970:WMC851988 WMC917500:WMC917501 WMC917506:WMC917524 WMC983036:WMC983037 WMC983042:WMC983060 WVY2:WVY3 WVY8:WVY26 WVY65532:WVY65533 WVY65538:WVY65556 WVY131068:WVY131069 WVY131074:WVY131092 WVY196604:WVY196605 WVY196610:WVY196628 WVY262140:WVY262141 WVY262146:WVY262164 WVY327676:WVY327677 WVY327682:WVY327700 WVY393212:WVY393213 WVY393218:WVY393236 WVY458748:WVY458749 WVY458754:WVY458772 WVY524284:WVY524285 WVY524290:WVY524308 WVY589820:WVY589821 WVY589826:WVY589844 WVY655356:WVY655357 WVY655362:WVY655380 WVY720892:WVY720893 WVY720898:WVY720916 WVY786428:WVY786429 WVY786434:WVY786452 WVY851964:WVY851965 WVY851970:WVY851988 WVY917500:WVY917501 WVY917506:WVY917524 WVY983036:WVY983037 WVY983042:WVY983060" xr:uid="{00000000-0002-0000-0800-000016000000}"/>
    <dataValidation allowBlank="1" showInputMessage="1" showErrorMessage="1" prompt="Mean amount of elementary flow or intermediate product flow. Enter your values (or the respective equation) here." sqref="L8:L26 L65538:L65556 L131074:L131092 L196610:L196628 L262146:L262164 L327682:L327700 L393218:L393236 L458754:L458772 L524290:L524308 L589826:L589844 L655362:L655380 L720898:L720916 L786434:L786452 L851970:L851988 L917506:L917524 L983042:L983060 JI8:JI26 JI65538:JI65556 JI131074:JI131092 JI196610:JI196628 JI262146:JI262164 JI327682:JI327700 JI393218:JI393236 JI458754:JI458772 JI524290:JI524308 JI589826:JI589844 JI655362:JI655380 JI720898:JI720916 JI786434:JI786452 JI851970:JI851988 JI917506:JI917524 JI983042:JI983060 TE8:TE26 TE65538:TE65556 TE131074:TE131092 TE196610:TE196628 TE262146:TE262164 TE327682:TE327700 TE393218:TE393236 TE458754:TE458772 TE524290:TE524308 TE589826:TE589844 TE655362:TE655380 TE720898:TE720916 TE786434:TE786452 TE851970:TE851988 TE917506:TE917524 TE983042:TE983060 ADA8:ADA26 ADA65538:ADA65556 ADA131074:ADA131092 ADA196610:ADA196628 ADA262146:ADA262164 ADA327682:ADA327700 ADA393218:ADA393236 ADA458754:ADA458772 ADA524290:ADA524308 ADA589826:ADA589844 ADA655362:ADA655380 ADA720898:ADA720916 ADA786434:ADA786452 ADA851970:ADA851988 ADA917506:ADA917524 ADA983042:ADA983060 AMW8:AMW26 AMW65538:AMW65556 AMW131074:AMW131092 AMW196610:AMW196628 AMW262146:AMW262164 AMW327682:AMW327700 AMW393218:AMW393236 AMW458754:AMW458772 AMW524290:AMW524308 AMW589826:AMW589844 AMW655362:AMW655380 AMW720898:AMW720916 AMW786434:AMW786452 AMW851970:AMW851988 AMW917506:AMW917524 AMW983042:AMW983060 AWS8:AWS26 AWS65538:AWS65556 AWS131074:AWS131092 AWS196610:AWS196628 AWS262146:AWS262164 AWS327682:AWS327700 AWS393218:AWS393236 AWS458754:AWS458772 AWS524290:AWS524308 AWS589826:AWS589844 AWS655362:AWS655380 AWS720898:AWS720916 AWS786434:AWS786452 AWS851970:AWS851988 AWS917506:AWS917524 AWS983042:AWS983060 BGO8:BGO26 BGO65538:BGO65556 BGO131074:BGO131092 BGO196610:BGO196628 BGO262146:BGO262164 BGO327682:BGO327700 BGO393218:BGO393236 BGO458754:BGO458772 BGO524290:BGO524308 BGO589826:BGO589844 BGO655362:BGO655380 BGO720898:BGO720916 BGO786434:BGO786452 BGO851970:BGO851988 BGO917506:BGO917524 BGO983042:BGO983060 BQK8:BQK26 BQK65538:BQK65556 BQK131074:BQK131092 BQK196610:BQK196628 BQK262146:BQK262164 BQK327682:BQK327700 BQK393218:BQK393236 BQK458754:BQK458772 BQK524290:BQK524308 BQK589826:BQK589844 BQK655362:BQK655380 BQK720898:BQK720916 BQK786434:BQK786452 BQK851970:BQK851988 BQK917506:BQK917524 BQK983042:BQK983060 CAG8:CAG26 CAG65538:CAG65556 CAG131074:CAG131092 CAG196610:CAG196628 CAG262146:CAG262164 CAG327682:CAG327700 CAG393218:CAG393236 CAG458754:CAG458772 CAG524290:CAG524308 CAG589826:CAG589844 CAG655362:CAG655380 CAG720898:CAG720916 CAG786434:CAG786452 CAG851970:CAG851988 CAG917506:CAG917524 CAG983042:CAG983060 CKC8:CKC26 CKC65538:CKC65556 CKC131074:CKC131092 CKC196610:CKC196628 CKC262146:CKC262164 CKC327682:CKC327700 CKC393218:CKC393236 CKC458754:CKC458772 CKC524290:CKC524308 CKC589826:CKC589844 CKC655362:CKC655380 CKC720898:CKC720916 CKC786434:CKC786452 CKC851970:CKC851988 CKC917506:CKC917524 CKC983042:CKC983060 CTY8:CTY26 CTY65538:CTY65556 CTY131074:CTY131092 CTY196610:CTY196628 CTY262146:CTY262164 CTY327682:CTY327700 CTY393218:CTY393236 CTY458754:CTY458772 CTY524290:CTY524308 CTY589826:CTY589844 CTY655362:CTY655380 CTY720898:CTY720916 CTY786434:CTY786452 CTY851970:CTY851988 CTY917506:CTY917524 CTY983042:CTY983060 DDU8:DDU26 DDU65538:DDU65556 DDU131074:DDU131092 DDU196610:DDU196628 DDU262146:DDU262164 DDU327682:DDU327700 DDU393218:DDU393236 DDU458754:DDU458772 DDU524290:DDU524308 DDU589826:DDU589844 DDU655362:DDU655380 DDU720898:DDU720916 DDU786434:DDU786452 DDU851970:DDU851988 DDU917506:DDU917524 DDU983042:DDU983060 DNQ8:DNQ26 DNQ65538:DNQ65556 DNQ131074:DNQ131092 DNQ196610:DNQ196628 DNQ262146:DNQ262164 DNQ327682:DNQ327700 DNQ393218:DNQ393236 DNQ458754:DNQ458772 DNQ524290:DNQ524308 DNQ589826:DNQ589844 DNQ655362:DNQ655380 DNQ720898:DNQ720916 DNQ786434:DNQ786452 DNQ851970:DNQ851988 DNQ917506:DNQ917524 DNQ983042:DNQ983060 DXM8:DXM26 DXM65538:DXM65556 DXM131074:DXM131092 DXM196610:DXM196628 DXM262146:DXM262164 DXM327682:DXM327700 DXM393218:DXM393236 DXM458754:DXM458772 DXM524290:DXM524308 DXM589826:DXM589844 DXM655362:DXM655380 DXM720898:DXM720916 DXM786434:DXM786452 DXM851970:DXM851988 DXM917506:DXM917524 DXM983042:DXM983060 EHI8:EHI26 EHI65538:EHI65556 EHI131074:EHI131092 EHI196610:EHI196628 EHI262146:EHI262164 EHI327682:EHI327700 EHI393218:EHI393236 EHI458754:EHI458772 EHI524290:EHI524308 EHI589826:EHI589844 EHI655362:EHI655380 EHI720898:EHI720916 EHI786434:EHI786452 EHI851970:EHI851988 EHI917506:EHI917524 EHI983042:EHI983060 ERE8:ERE26 ERE65538:ERE65556 ERE131074:ERE131092 ERE196610:ERE196628 ERE262146:ERE262164 ERE327682:ERE327700 ERE393218:ERE393236 ERE458754:ERE458772 ERE524290:ERE524308 ERE589826:ERE589844 ERE655362:ERE655380 ERE720898:ERE720916 ERE786434:ERE786452 ERE851970:ERE851988 ERE917506:ERE917524 ERE983042:ERE983060 FBA8:FBA26 FBA65538:FBA65556 FBA131074:FBA131092 FBA196610:FBA196628 FBA262146:FBA262164 FBA327682:FBA327700 FBA393218:FBA393236 FBA458754:FBA458772 FBA524290:FBA524308 FBA589826:FBA589844 FBA655362:FBA655380 FBA720898:FBA720916 FBA786434:FBA786452 FBA851970:FBA851988 FBA917506:FBA917524 FBA983042:FBA983060 FKW8:FKW26 FKW65538:FKW65556 FKW131074:FKW131092 FKW196610:FKW196628 FKW262146:FKW262164 FKW327682:FKW327700 FKW393218:FKW393236 FKW458754:FKW458772 FKW524290:FKW524308 FKW589826:FKW589844 FKW655362:FKW655380 FKW720898:FKW720916 FKW786434:FKW786452 FKW851970:FKW851988 FKW917506:FKW917524 FKW983042:FKW983060 FUS8:FUS26 FUS65538:FUS65556 FUS131074:FUS131092 FUS196610:FUS196628 FUS262146:FUS262164 FUS327682:FUS327700 FUS393218:FUS393236 FUS458754:FUS458772 FUS524290:FUS524308 FUS589826:FUS589844 FUS655362:FUS655380 FUS720898:FUS720916 FUS786434:FUS786452 FUS851970:FUS851988 FUS917506:FUS917524 FUS983042:FUS983060 GEO8:GEO26 GEO65538:GEO65556 GEO131074:GEO131092 GEO196610:GEO196628 GEO262146:GEO262164 GEO327682:GEO327700 GEO393218:GEO393236 GEO458754:GEO458772 GEO524290:GEO524308 GEO589826:GEO589844 GEO655362:GEO655380 GEO720898:GEO720916 GEO786434:GEO786452 GEO851970:GEO851988 GEO917506:GEO917524 GEO983042:GEO983060 GOK8:GOK26 GOK65538:GOK65556 GOK131074:GOK131092 GOK196610:GOK196628 GOK262146:GOK262164 GOK327682:GOK327700 GOK393218:GOK393236 GOK458754:GOK458772 GOK524290:GOK524308 GOK589826:GOK589844 GOK655362:GOK655380 GOK720898:GOK720916 GOK786434:GOK786452 GOK851970:GOK851988 GOK917506:GOK917524 GOK983042:GOK983060 GYG8:GYG26 GYG65538:GYG65556 GYG131074:GYG131092 GYG196610:GYG196628 GYG262146:GYG262164 GYG327682:GYG327700 GYG393218:GYG393236 GYG458754:GYG458772 GYG524290:GYG524308 GYG589826:GYG589844 GYG655362:GYG655380 GYG720898:GYG720916 GYG786434:GYG786452 GYG851970:GYG851988 GYG917506:GYG917524 GYG983042:GYG983060 HIC8:HIC26 HIC65538:HIC65556 HIC131074:HIC131092 HIC196610:HIC196628 HIC262146:HIC262164 HIC327682:HIC327700 HIC393218:HIC393236 HIC458754:HIC458772 HIC524290:HIC524308 HIC589826:HIC589844 HIC655362:HIC655380 HIC720898:HIC720916 HIC786434:HIC786452 HIC851970:HIC851988 HIC917506:HIC917524 HIC983042:HIC983060 HRY8:HRY26 HRY65538:HRY65556 HRY131074:HRY131092 HRY196610:HRY196628 HRY262146:HRY262164 HRY327682:HRY327700 HRY393218:HRY393236 HRY458754:HRY458772 HRY524290:HRY524308 HRY589826:HRY589844 HRY655362:HRY655380 HRY720898:HRY720916 HRY786434:HRY786452 HRY851970:HRY851988 HRY917506:HRY917524 HRY983042:HRY983060 IBU8:IBU26 IBU65538:IBU65556 IBU131074:IBU131092 IBU196610:IBU196628 IBU262146:IBU262164 IBU327682:IBU327700 IBU393218:IBU393236 IBU458754:IBU458772 IBU524290:IBU524308 IBU589826:IBU589844 IBU655362:IBU655380 IBU720898:IBU720916 IBU786434:IBU786452 IBU851970:IBU851988 IBU917506:IBU917524 IBU983042:IBU983060 ILQ8:ILQ26 ILQ65538:ILQ65556 ILQ131074:ILQ131092 ILQ196610:ILQ196628 ILQ262146:ILQ262164 ILQ327682:ILQ327700 ILQ393218:ILQ393236 ILQ458754:ILQ458772 ILQ524290:ILQ524308 ILQ589826:ILQ589844 ILQ655362:ILQ655380 ILQ720898:ILQ720916 ILQ786434:ILQ786452 ILQ851970:ILQ851988 ILQ917506:ILQ917524 ILQ983042:ILQ983060 IVM8:IVM26 IVM65538:IVM65556 IVM131074:IVM131092 IVM196610:IVM196628 IVM262146:IVM262164 IVM327682:IVM327700 IVM393218:IVM393236 IVM458754:IVM458772 IVM524290:IVM524308 IVM589826:IVM589844 IVM655362:IVM655380 IVM720898:IVM720916 IVM786434:IVM786452 IVM851970:IVM851988 IVM917506:IVM917524 IVM983042:IVM983060 JFI8:JFI26 JFI65538:JFI65556 JFI131074:JFI131092 JFI196610:JFI196628 JFI262146:JFI262164 JFI327682:JFI327700 JFI393218:JFI393236 JFI458754:JFI458772 JFI524290:JFI524308 JFI589826:JFI589844 JFI655362:JFI655380 JFI720898:JFI720916 JFI786434:JFI786452 JFI851970:JFI851988 JFI917506:JFI917524 JFI983042:JFI983060 JPE8:JPE26 JPE65538:JPE65556 JPE131074:JPE131092 JPE196610:JPE196628 JPE262146:JPE262164 JPE327682:JPE327700 JPE393218:JPE393236 JPE458754:JPE458772 JPE524290:JPE524308 JPE589826:JPE589844 JPE655362:JPE655380 JPE720898:JPE720916 JPE786434:JPE786452 JPE851970:JPE851988 JPE917506:JPE917524 JPE983042:JPE983060 JZA8:JZA26 JZA65538:JZA65556 JZA131074:JZA131092 JZA196610:JZA196628 JZA262146:JZA262164 JZA327682:JZA327700 JZA393218:JZA393236 JZA458754:JZA458772 JZA524290:JZA524308 JZA589826:JZA589844 JZA655362:JZA655380 JZA720898:JZA720916 JZA786434:JZA786452 JZA851970:JZA851988 JZA917506:JZA917524 JZA983042:JZA983060 KIW8:KIW26 KIW65538:KIW65556 KIW131074:KIW131092 KIW196610:KIW196628 KIW262146:KIW262164 KIW327682:KIW327700 KIW393218:KIW393236 KIW458754:KIW458772 KIW524290:KIW524308 KIW589826:KIW589844 KIW655362:KIW655380 KIW720898:KIW720916 KIW786434:KIW786452 KIW851970:KIW851988 KIW917506:KIW917524 KIW983042:KIW983060 KSS8:KSS26 KSS65538:KSS65556 KSS131074:KSS131092 KSS196610:KSS196628 KSS262146:KSS262164 KSS327682:KSS327700 KSS393218:KSS393236 KSS458754:KSS458772 KSS524290:KSS524308 KSS589826:KSS589844 KSS655362:KSS655380 KSS720898:KSS720916 KSS786434:KSS786452 KSS851970:KSS851988 KSS917506:KSS917524 KSS983042:KSS983060 LCO8:LCO26 LCO65538:LCO65556 LCO131074:LCO131092 LCO196610:LCO196628 LCO262146:LCO262164 LCO327682:LCO327700 LCO393218:LCO393236 LCO458754:LCO458772 LCO524290:LCO524308 LCO589826:LCO589844 LCO655362:LCO655380 LCO720898:LCO720916 LCO786434:LCO786452 LCO851970:LCO851988 LCO917506:LCO917524 LCO983042:LCO983060 LMK8:LMK26 LMK65538:LMK65556 LMK131074:LMK131092 LMK196610:LMK196628 LMK262146:LMK262164 LMK327682:LMK327700 LMK393218:LMK393236 LMK458754:LMK458772 LMK524290:LMK524308 LMK589826:LMK589844 LMK655362:LMK655380 LMK720898:LMK720916 LMK786434:LMK786452 LMK851970:LMK851988 LMK917506:LMK917524 LMK983042:LMK983060 LWG8:LWG26 LWG65538:LWG65556 LWG131074:LWG131092 LWG196610:LWG196628 LWG262146:LWG262164 LWG327682:LWG327700 LWG393218:LWG393236 LWG458754:LWG458772 LWG524290:LWG524308 LWG589826:LWG589844 LWG655362:LWG655380 LWG720898:LWG720916 LWG786434:LWG786452 LWG851970:LWG851988 LWG917506:LWG917524 LWG983042:LWG983060 MGC8:MGC26 MGC65538:MGC65556 MGC131074:MGC131092 MGC196610:MGC196628 MGC262146:MGC262164 MGC327682:MGC327700 MGC393218:MGC393236 MGC458754:MGC458772 MGC524290:MGC524308 MGC589826:MGC589844 MGC655362:MGC655380 MGC720898:MGC720916 MGC786434:MGC786452 MGC851970:MGC851988 MGC917506:MGC917524 MGC983042:MGC983060 MPY8:MPY26 MPY65538:MPY65556 MPY131074:MPY131092 MPY196610:MPY196628 MPY262146:MPY262164 MPY327682:MPY327700 MPY393218:MPY393236 MPY458754:MPY458772 MPY524290:MPY524308 MPY589826:MPY589844 MPY655362:MPY655380 MPY720898:MPY720916 MPY786434:MPY786452 MPY851970:MPY851988 MPY917506:MPY917524 MPY983042:MPY983060 MZU8:MZU26 MZU65538:MZU65556 MZU131074:MZU131092 MZU196610:MZU196628 MZU262146:MZU262164 MZU327682:MZU327700 MZU393218:MZU393236 MZU458754:MZU458772 MZU524290:MZU524308 MZU589826:MZU589844 MZU655362:MZU655380 MZU720898:MZU720916 MZU786434:MZU786452 MZU851970:MZU851988 MZU917506:MZU917524 MZU983042:MZU983060 NJQ8:NJQ26 NJQ65538:NJQ65556 NJQ131074:NJQ131092 NJQ196610:NJQ196628 NJQ262146:NJQ262164 NJQ327682:NJQ327700 NJQ393218:NJQ393236 NJQ458754:NJQ458772 NJQ524290:NJQ524308 NJQ589826:NJQ589844 NJQ655362:NJQ655380 NJQ720898:NJQ720916 NJQ786434:NJQ786452 NJQ851970:NJQ851988 NJQ917506:NJQ917524 NJQ983042:NJQ983060 NTM8:NTM26 NTM65538:NTM65556 NTM131074:NTM131092 NTM196610:NTM196628 NTM262146:NTM262164 NTM327682:NTM327700 NTM393218:NTM393236 NTM458754:NTM458772 NTM524290:NTM524308 NTM589826:NTM589844 NTM655362:NTM655380 NTM720898:NTM720916 NTM786434:NTM786452 NTM851970:NTM851988 NTM917506:NTM917524 NTM983042:NTM983060 ODI8:ODI26 ODI65538:ODI65556 ODI131074:ODI131092 ODI196610:ODI196628 ODI262146:ODI262164 ODI327682:ODI327700 ODI393218:ODI393236 ODI458754:ODI458772 ODI524290:ODI524308 ODI589826:ODI589844 ODI655362:ODI655380 ODI720898:ODI720916 ODI786434:ODI786452 ODI851970:ODI851988 ODI917506:ODI917524 ODI983042:ODI983060 ONE8:ONE26 ONE65538:ONE65556 ONE131074:ONE131092 ONE196610:ONE196628 ONE262146:ONE262164 ONE327682:ONE327700 ONE393218:ONE393236 ONE458754:ONE458772 ONE524290:ONE524308 ONE589826:ONE589844 ONE655362:ONE655380 ONE720898:ONE720916 ONE786434:ONE786452 ONE851970:ONE851988 ONE917506:ONE917524 ONE983042:ONE983060 OXA8:OXA26 OXA65538:OXA65556 OXA131074:OXA131092 OXA196610:OXA196628 OXA262146:OXA262164 OXA327682:OXA327700 OXA393218:OXA393236 OXA458754:OXA458772 OXA524290:OXA524308 OXA589826:OXA589844 OXA655362:OXA655380 OXA720898:OXA720916 OXA786434:OXA786452 OXA851970:OXA851988 OXA917506:OXA917524 OXA983042:OXA983060 PGW8:PGW26 PGW65538:PGW65556 PGW131074:PGW131092 PGW196610:PGW196628 PGW262146:PGW262164 PGW327682:PGW327700 PGW393218:PGW393236 PGW458754:PGW458772 PGW524290:PGW524308 PGW589826:PGW589844 PGW655362:PGW655380 PGW720898:PGW720916 PGW786434:PGW786452 PGW851970:PGW851988 PGW917506:PGW917524 PGW983042:PGW983060 PQS8:PQS26 PQS65538:PQS65556 PQS131074:PQS131092 PQS196610:PQS196628 PQS262146:PQS262164 PQS327682:PQS327700 PQS393218:PQS393236 PQS458754:PQS458772 PQS524290:PQS524308 PQS589826:PQS589844 PQS655362:PQS655380 PQS720898:PQS720916 PQS786434:PQS786452 PQS851970:PQS851988 PQS917506:PQS917524 PQS983042:PQS983060 QAO8:QAO26 QAO65538:QAO65556 QAO131074:QAO131092 QAO196610:QAO196628 QAO262146:QAO262164 QAO327682:QAO327700 QAO393218:QAO393236 QAO458754:QAO458772 QAO524290:QAO524308 QAO589826:QAO589844 QAO655362:QAO655380 QAO720898:QAO720916 QAO786434:QAO786452 QAO851970:QAO851988 QAO917506:QAO917524 QAO983042:QAO983060 QKK8:QKK26 QKK65538:QKK65556 QKK131074:QKK131092 QKK196610:QKK196628 QKK262146:QKK262164 QKK327682:QKK327700 QKK393218:QKK393236 QKK458754:QKK458772 QKK524290:QKK524308 QKK589826:QKK589844 QKK655362:QKK655380 QKK720898:QKK720916 QKK786434:QKK786452 QKK851970:QKK851988 QKK917506:QKK917524 QKK983042:QKK983060 QUG8:QUG26 QUG65538:QUG65556 QUG131074:QUG131092 QUG196610:QUG196628 QUG262146:QUG262164 QUG327682:QUG327700 QUG393218:QUG393236 QUG458754:QUG458772 QUG524290:QUG524308 QUG589826:QUG589844 QUG655362:QUG655380 QUG720898:QUG720916 QUG786434:QUG786452 QUG851970:QUG851988 QUG917506:QUG917524 QUG983042:QUG983060 REC8:REC26 REC65538:REC65556 REC131074:REC131092 REC196610:REC196628 REC262146:REC262164 REC327682:REC327700 REC393218:REC393236 REC458754:REC458772 REC524290:REC524308 REC589826:REC589844 REC655362:REC655380 REC720898:REC720916 REC786434:REC786452 REC851970:REC851988 REC917506:REC917524 REC983042:REC983060 RNY8:RNY26 RNY65538:RNY65556 RNY131074:RNY131092 RNY196610:RNY196628 RNY262146:RNY262164 RNY327682:RNY327700 RNY393218:RNY393236 RNY458754:RNY458772 RNY524290:RNY524308 RNY589826:RNY589844 RNY655362:RNY655380 RNY720898:RNY720916 RNY786434:RNY786452 RNY851970:RNY851988 RNY917506:RNY917524 RNY983042:RNY983060 RXU8:RXU26 RXU65538:RXU65556 RXU131074:RXU131092 RXU196610:RXU196628 RXU262146:RXU262164 RXU327682:RXU327700 RXU393218:RXU393236 RXU458754:RXU458772 RXU524290:RXU524308 RXU589826:RXU589844 RXU655362:RXU655380 RXU720898:RXU720916 RXU786434:RXU786452 RXU851970:RXU851988 RXU917506:RXU917524 RXU983042:RXU983060 SHQ8:SHQ26 SHQ65538:SHQ65556 SHQ131074:SHQ131092 SHQ196610:SHQ196628 SHQ262146:SHQ262164 SHQ327682:SHQ327700 SHQ393218:SHQ393236 SHQ458754:SHQ458772 SHQ524290:SHQ524308 SHQ589826:SHQ589844 SHQ655362:SHQ655380 SHQ720898:SHQ720916 SHQ786434:SHQ786452 SHQ851970:SHQ851988 SHQ917506:SHQ917524 SHQ983042:SHQ983060 SRM8:SRM26 SRM65538:SRM65556 SRM131074:SRM131092 SRM196610:SRM196628 SRM262146:SRM262164 SRM327682:SRM327700 SRM393218:SRM393236 SRM458754:SRM458772 SRM524290:SRM524308 SRM589826:SRM589844 SRM655362:SRM655380 SRM720898:SRM720916 SRM786434:SRM786452 SRM851970:SRM851988 SRM917506:SRM917524 SRM983042:SRM983060 TBI8:TBI26 TBI65538:TBI65556 TBI131074:TBI131092 TBI196610:TBI196628 TBI262146:TBI262164 TBI327682:TBI327700 TBI393218:TBI393236 TBI458754:TBI458772 TBI524290:TBI524308 TBI589826:TBI589844 TBI655362:TBI655380 TBI720898:TBI720916 TBI786434:TBI786452 TBI851970:TBI851988 TBI917506:TBI917524 TBI983042:TBI983060 TLE8:TLE26 TLE65538:TLE65556 TLE131074:TLE131092 TLE196610:TLE196628 TLE262146:TLE262164 TLE327682:TLE327700 TLE393218:TLE393236 TLE458754:TLE458772 TLE524290:TLE524308 TLE589826:TLE589844 TLE655362:TLE655380 TLE720898:TLE720916 TLE786434:TLE786452 TLE851970:TLE851988 TLE917506:TLE917524 TLE983042:TLE983060 TVA8:TVA26 TVA65538:TVA65556 TVA131074:TVA131092 TVA196610:TVA196628 TVA262146:TVA262164 TVA327682:TVA327700 TVA393218:TVA393236 TVA458754:TVA458772 TVA524290:TVA524308 TVA589826:TVA589844 TVA655362:TVA655380 TVA720898:TVA720916 TVA786434:TVA786452 TVA851970:TVA851988 TVA917506:TVA917524 TVA983042:TVA983060 UEW8:UEW26 UEW65538:UEW65556 UEW131074:UEW131092 UEW196610:UEW196628 UEW262146:UEW262164 UEW327682:UEW327700 UEW393218:UEW393236 UEW458754:UEW458772 UEW524290:UEW524308 UEW589826:UEW589844 UEW655362:UEW655380 UEW720898:UEW720916 UEW786434:UEW786452 UEW851970:UEW851988 UEW917506:UEW917524 UEW983042:UEW983060 UOS8:UOS26 UOS65538:UOS65556 UOS131074:UOS131092 UOS196610:UOS196628 UOS262146:UOS262164 UOS327682:UOS327700 UOS393218:UOS393236 UOS458754:UOS458772 UOS524290:UOS524308 UOS589826:UOS589844 UOS655362:UOS655380 UOS720898:UOS720916 UOS786434:UOS786452 UOS851970:UOS851988 UOS917506:UOS917524 UOS983042:UOS983060 UYO8:UYO26 UYO65538:UYO65556 UYO131074:UYO131092 UYO196610:UYO196628 UYO262146:UYO262164 UYO327682:UYO327700 UYO393218:UYO393236 UYO458754:UYO458772 UYO524290:UYO524308 UYO589826:UYO589844 UYO655362:UYO655380 UYO720898:UYO720916 UYO786434:UYO786452 UYO851970:UYO851988 UYO917506:UYO917524 UYO983042:UYO983060 VIK8:VIK26 VIK65538:VIK65556 VIK131074:VIK131092 VIK196610:VIK196628 VIK262146:VIK262164 VIK327682:VIK327700 VIK393218:VIK393236 VIK458754:VIK458772 VIK524290:VIK524308 VIK589826:VIK589844 VIK655362:VIK655380 VIK720898:VIK720916 VIK786434:VIK786452 VIK851970:VIK851988 VIK917506:VIK917524 VIK983042:VIK983060 VSG8:VSG26 VSG65538:VSG65556 VSG131074:VSG131092 VSG196610:VSG196628 VSG262146:VSG262164 VSG327682:VSG327700 VSG393218:VSG393236 VSG458754:VSG458772 VSG524290:VSG524308 VSG589826:VSG589844 VSG655362:VSG655380 VSG720898:VSG720916 VSG786434:VSG786452 VSG851970:VSG851988 VSG917506:VSG917524 VSG983042:VSG983060 WCC8:WCC26 WCC65538:WCC65556 WCC131074:WCC131092 WCC196610:WCC196628 WCC262146:WCC262164 WCC327682:WCC327700 WCC393218:WCC393236 WCC458754:WCC458772 WCC524290:WCC524308 WCC589826:WCC589844 WCC655362:WCC655380 WCC720898:WCC720916 WCC786434:WCC786452 WCC851970:WCC851988 WCC917506:WCC917524 WCC983042:WCC983060 WLY8:WLY26 WLY65538:WLY65556 WLY131074:WLY131092 WLY196610:WLY196628 WLY262146:WLY262164 WLY327682:WLY327700 WLY393218:WLY393236 WLY458754:WLY458772 WLY524290:WLY524308 WLY589826:WLY589844 WLY655362:WLY655380 WLY720898:WLY720916 WLY786434:WLY786452 WLY851970:WLY851988 WLY917506:WLY917524 WLY983042:WLY983060 WVU8:WVU26 WVU65538:WVU65556 WVU131074:WVU131092 WVU196610:WVU196628 WVU262146:WVU262164 WVU327682:WVU327700 WVU393218:WVU393236 WVU458754:WVU458772 WVU524290:WVU524308 WVU589826:WVU589844 WVU655362:WVU655380 WVU720898:WVU720916 WVU786434:WVU786452 WVU851970:WVU851988 WVU917506:WVU917524 WVU983042:WVU983060" xr:uid="{00000000-0002-0000-0800-000017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2 W8:W11 W65532 W65538:W65541 W131068 W131074:W131077 W196604 W196610:W196613 W262140 W262146:W262149 W327676 W327682:W327685 W393212 W393218:W393221 W458748 W458754:W458757 W524284 W524290:W524293 W589820 W589826:W589829 W655356 W655362:W655365 W720892 W720898:W720901 W786428 W786434:W786437 W851964 W851970:W851973 W917500 W917506:W917509 W983036 W983042:W983045 JS2 JS8:JS11 JS65532 JS65538:JS65541 JS131068 JS131074:JS131077 JS196604 JS196610:JS196613 JS262140 JS262146:JS262149 JS327676 JS327682:JS327685 JS393212 JS393218:JS393221 JS458748 JS458754:JS458757 JS524284 JS524290:JS524293 JS589820 JS589826:JS589829 JS655356 JS655362:JS655365 JS720892 JS720898:JS720901 JS786428 JS786434:JS786437 JS851964 JS851970:JS851973 JS917500 JS917506:JS917509 JS983036 JS983042:JS983045 TO2 TO8:TO11 TO65532 TO65538:TO65541 TO131068 TO131074:TO131077 TO196604 TO196610:TO196613 TO262140 TO262146:TO262149 TO327676 TO327682:TO327685 TO393212 TO393218:TO393221 TO458748 TO458754:TO458757 TO524284 TO524290:TO524293 TO589820 TO589826:TO589829 TO655356 TO655362:TO655365 TO720892 TO720898:TO720901 TO786428 TO786434:TO786437 TO851964 TO851970:TO851973 TO917500 TO917506:TO917509 TO983036 TO983042:TO983045 ADK2 ADK8:ADK11 ADK65532 ADK65538:ADK65541 ADK131068 ADK131074:ADK131077 ADK196604 ADK196610:ADK196613 ADK262140 ADK262146:ADK262149 ADK327676 ADK327682:ADK327685 ADK393212 ADK393218:ADK393221 ADK458748 ADK458754:ADK458757 ADK524284 ADK524290:ADK524293 ADK589820 ADK589826:ADK589829 ADK655356 ADK655362:ADK655365 ADK720892 ADK720898:ADK720901 ADK786428 ADK786434:ADK786437 ADK851964 ADK851970:ADK851973 ADK917500 ADK917506:ADK917509 ADK983036 ADK983042:ADK983045 ANG2 ANG8:ANG11 ANG65532 ANG65538:ANG65541 ANG131068 ANG131074:ANG131077 ANG196604 ANG196610:ANG196613 ANG262140 ANG262146:ANG262149 ANG327676 ANG327682:ANG327685 ANG393212 ANG393218:ANG393221 ANG458748 ANG458754:ANG458757 ANG524284 ANG524290:ANG524293 ANG589820 ANG589826:ANG589829 ANG655356 ANG655362:ANG655365 ANG720892 ANG720898:ANG720901 ANG786428 ANG786434:ANG786437 ANG851964 ANG851970:ANG851973 ANG917500 ANG917506:ANG917509 ANG983036 ANG983042:ANG983045 AXC2 AXC8:AXC11 AXC65532 AXC65538:AXC65541 AXC131068 AXC131074:AXC131077 AXC196604 AXC196610:AXC196613 AXC262140 AXC262146:AXC262149 AXC327676 AXC327682:AXC327685 AXC393212 AXC393218:AXC393221 AXC458748 AXC458754:AXC458757 AXC524284 AXC524290:AXC524293 AXC589820 AXC589826:AXC589829 AXC655356 AXC655362:AXC655365 AXC720892 AXC720898:AXC720901 AXC786428 AXC786434:AXC786437 AXC851964 AXC851970:AXC851973 AXC917500 AXC917506:AXC917509 AXC983036 AXC983042:AXC983045 BGY2 BGY8:BGY11 BGY65532 BGY65538:BGY65541 BGY131068 BGY131074:BGY131077 BGY196604 BGY196610:BGY196613 BGY262140 BGY262146:BGY262149 BGY327676 BGY327682:BGY327685 BGY393212 BGY393218:BGY393221 BGY458748 BGY458754:BGY458757 BGY524284 BGY524290:BGY524293 BGY589820 BGY589826:BGY589829 BGY655356 BGY655362:BGY655365 BGY720892 BGY720898:BGY720901 BGY786428 BGY786434:BGY786437 BGY851964 BGY851970:BGY851973 BGY917500 BGY917506:BGY917509 BGY983036 BGY983042:BGY983045 BQU2 BQU8:BQU11 BQU65532 BQU65538:BQU65541 BQU131068 BQU131074:BQU131077 BQU196604 BQU196610:BQU196613 BQU262140 BQU262146:BQU262149 BQU327676 BQU327682:BQU327685 BQU393212 BQU393218:BQU393221 BQU458748 BQU458754:BQU458757 BQU524284 BQU524290:BQU524293 BQU589820 BQU589826:BQU589829 BQU655356 BQU655362:BQU655365 BQU720892 BQU720898:BQU720901 BQU786428 BQU786434:BQU786437 BQU851964 BQU851970:BQU851973 BQU917500 BQU917506:BQU917509 BQU983036 BQU983042:BQU983045 CAQ2 CAQ8:CAQ11 CAQ65532 CAQ65538:CAQ65541 CAQ131068 CAQ131074:CAQ131077 CAQ196604 CAQ196610:CAQ196613 CAQ262140 CAQ262146:CAQ262149 CAQ327676 CAQ327682:CAQ327685 CAQ393212 CAQ393218:CAQ393221 CAQ458748 CAQ458754:CAQ458757 CAQ524284 CAQ524290:CAQ524293 CAQ589820 CAQ589826:CAQ589829 CAQ655356 CAQ655362:CAQ655365 CAQ720892 CAQ720898:CAQ720901 CAQ786428 CAQ786434:CAQ786437 CAQ851964 CAQ851970:CAQ851973 CAQ917500 CAQ917506:CAQ917509 CAQ983036 CAQ983042:CAQ983045 CKM2 CKM8:CKM11 CKM65532 CKM65538:CKM65541 CKM131068 CKM131074:CKM131077 CKM196604 CKM196610:CKM196613 CKM262140 CKM262146:CKM262149 CKM327676 CKM327682:CKM327685 CKM393212 CKM393218:CKM393221 CKM458748 CKM458754:CKM458757 CKM524284 CKM524290:CKM524293 CKM589820 CKM589826:CKM589829 CKM655356 CKM655362:CKM655365 CKM720892 CKM720898:CKM720901 CKM786428 CKM786434:CKM786437 CKM851964 CKM851970:CKM851973 CKM917500 CKM917506:CKM917509 CKM983036 CKM983042:CKM983045 CUI2 CUI8:CUI11 CUI65532 CUI65538:CUI65541 CUI131068 CUI131074:CUI131077 CUI196604 CUI196610:CUI196613 CUI262140 CUI262146:CUI262149 CUI327676 CUI327682:CUI327685 CUI393212 CUI393218:CUI393221 CUI458748 CUI458754:CUI458757 CUI524284 CUI524290:CUI524293 CUI589820 CUI589826:CUI589829 CUI655356 CUI655362:CUI655365 CUI720892 CUI720898:CUI720901 CUI786428 CUI786434:CUI786437 CUI851964 CUI851970:CUI851973 CUI917500 CUI917506:CUI917509 CUI983036 CUI983042:CUI983045 DEE2 DEE8:DEE11 DEE65532 DEE65538:DEE65541 DEE131068 DEE131074:DEE131077 DEE196604 DEE196610:DEE196613 DEE262140 DEE262146:DEE262149 DEE327676 DEE327682:DEE327685 DEE393212 DEE393218:DEE393221 DEE458748 DEE458754:DEE458757 DEE524284 DEE524290:DEE524293 DEE589820 DEE589826:DEE589829 DEE655356 DEE655362:DEE655365 DEE720892 DEE720898:DEE720901 DEE786428 DEE786434:DEE786437 DEE851964 DEE851970:DEE851973 DEE917500 DEE917506:DEE917509 DEE983036 DEE983042:DEE983045 DOA2 DOA8:DOA11 DOA65532 DOA65538:DOA65541 DOA131068 DOA131074:DOA131077 DOA196604 DOA196610:DOA196613 DOA262140 DOA262146:DOA262149 DOA327676 DOA327682:DOA327685 DOA393212 DOA393218:DOA393221 DOA458748 DOA458754:DOA458757 DOA524284 DOA524290:DOA524293 DOA589820 DOA589826:DOA589829 DOA655356 DOA655362:DOA655365 DOA720892 DOA720898:DOA720901 DOA786428 DOA786434:DOA786437 DOA851964 DOA851970:DOA851973 DOA917500 DOA917506:DOA917509 DOA983036 DOA983042:DOA983045 DXW2 DXW8:DXW11 DXW65532 DXW65538:DXW65541 DXW131068 DXW131074:DXW131077 DXW196604 DXW196610:DXW196613 DXW262140 DXW262146:DXW262149 DXW327676 DXW327682:DXW327685 DXW393212 DXW393218:DXW393221 DXW458748 DXW458754:DXW458757 DXW524284 DXW524290:DXW524293 DXW589820 DXW589826:DXW589829 DXW655356 DXW655362:DXW655365 DXW720892 DXW720898:DXW720901 DXW786428 DXW786434:DXW786437 DXW851964 DXW851970:DXW851973 DXW917500 DXW917506:DXW917509 DXW983036 DXW983042:DXW983045 EHS2 EHS8:EHS11 EHS65532 EHS65538:EHS65541 EHS131068 EHS131074:EHS131077 EHS196604 EHS196610:EHS196613 EHS262140 EHS262146:EHS262149 EHS327676 EHS327682:EHS327685 EHS393212 EHS393218:EHS393221 EHS458748 EHS458754:EHS458757 EHS524284 EHS524290:EHS524293 EHS589820 EHS589826:EHS589829 EHS655356 EHS655362:EHS655365 EHS720892 EHS720898:EHS720901 EHS786428 EHS786434:EHS786437 EHS851964 EHS851970:EHS851973 EHS917500 EHS917506:EHS917509 EHS983036 EHS983042:EHS983045 ERO2 ERO8:ERO11 ERO65532 ERO65538:ERO65541 ERO131068 ERO131074:ERO131077 ERO196604 ERO196610:ERO196613 ERO262140 ERO262146:ERO262149 ERO327676 ERO327682:ERO327685 ERO393212 ERO393218:ERO393221 ERO458748 ERO458754:ERO458757 ERO524284 ERO524290:ERO524293 ERO589820 ERO589826:ERO589829 ERO655356 ERO655362:ERO655365 ERO720892 ERO720898:ERO720901 ERO786428 ERO786434:ERO786437 ERO851964 ERO851970:ERO851973 ERO917500 ERO917506:ERO917509 ERO983036 ERO983042:ERO983045 FBK2 FBK8:FBK11 FBK65532 FBK65538:FBK65541 FBK131068 FBK131074:FBK131077 FBK196604 FBK196610:FBK196613 FBK262140 FBK262146:FBK262149 FBK327676 FBK327682:FBK327685 FBK393212 FBK393218:FBK393221 FBK458748 FBK458754:FBK458757 FBK524284 FBK524290:FBK524293 FBK589820 FBK589826:FBK589829 FBK655356 FBK655362:FBK655365 FBK720892 FBK720898:FBK720901 FBK786428 FBK786434:FBK786437 FBK851964 FBK851970:FBK851973 FBK917500 FBK917506:FBK917509 FBK983036 FBK983042:FBK983045 FLG2 FLG8:FLG11 FLG65532 FLG65538:FLG65541 FLG131068 FLG131074:FLG131077 FLG196604 FLG196610:FLG196613 FLG262140 FLG262146:FLG262149 FLG327676 FLG327682:FLG327685 FLG393212 FLG393218:FLG393221 FLG458748 FLG458754:FLG458757 FLG524284 FLG524290:FLG524293 FLG589820 FLG589826:FLG589829 FLG655356 FLG655362:FLG655365 FLG720892 FLG720898:FLG720901 FLG786428 FLG786434:FLG786437 FLG851964 FLG851970:FLG851973 FLG917500 FLG917506:FLG917509 FLG983036 FLG983042:FLG983045 FVC2 FVC8:FVC11 FVC65532 FVC65538:FVC65541 FVC131068 FVC131074:FVC131077 FVC196604 FVC196610:FVC196613 FVC262140 FVC262146:FVC262149 FVC327676 FVC327682:FVC327685 FVC393212 FVC393218:FVC393221 FVC458748 FVC458754:FVC458757 FVC524284 FVC524290:FVC524293 FVC589820 FVC589826:FVC589829 FVC655356 FVC655362:FVC655365 FVC720892 FVC720898:FVC720901 FVC786428 FVC786434:FVC786437 FVC851964 FVC851970:FVC851973 FVC917500 FVC917506:FVC917509 FVC983036 FVC983042:FVC983045 GEY2 GEY8:GEY11 GEY65532 GEY65538:GEY65541 GEY131068 GEY131074:GEY131077 GEY196604 GEY196610:GEY196613 GEY262140 GEY262146:GEY262149 GEY327676 GEY327682:GEY327685 GEY393212 GEY393218:GEY393221 GEY458748 GEY458754:GEY458757 GEY524284 GEY524290:GEY524293 GEY589820 GEY589826:GEY589829 GEY655356 GEY655362:GEY655365 GEY720892 GEY720898:GEY720901 GEY786428 GEY786434:GEY786437 GEY851964 GEY851970:GEY851973 GEY917500 GEY917506:GEY917509 GEY983036 GEY983042:GEY983045 GOU2 GOU8:GOU11 GOU65532 GOU65538:GOU65541 GOU131068 GOU131074:GOU131077 GOU196604 GOU196610:GOU196613 GOU262140 GOU262146:GOU262149 GOU327676 GOU327682:GOU327685 GOU393212 GOU393218:GOU393221 GOU458748 GOU458754:GOU458757 GOU524284 GOU524290:GOU524293 GOU589820 GOU589826:GOU589829 GOU655356 GOU655362:GOU655365 GOU720892 GOU720898:GOU720901 GOU786428 GOU786434:GOU786437 GOU851964 GOU851970:GOU851973 GOU917500 GOU917506:GOU917509 GOU983036 GOU983042:GOU983045 GYQ2 GYQ8:GYQ11 GYQ65532 GYQ65538:GYQ65541 GYQ131068 GYQ131074:GYQ131077 GYQ196604 GYQ196610:GYQ196613 GYQ262140 GYQ262146:GYQ262149 GYQ327676 GYQ327682:GYQ327685 GYQ393212 GYQ393218:GYQ393221 GYQ458748 GYQ458754:GYQ458757 GYQ524284 GYQ524290:GYQ524293 GYQ589820 GYQ589826:GYQ589829 GYQ655356 GYQ655362:GYQ655365 GYQ720892 GYQ720898:GYQ720901 GYQ786428 GYQ786434:GYQ786437 GYQ851964 GYQ851970:GYQ851973 GYQ917500 GYQ917506:GYQ917509 GYQ983036 GYQ983042:GYQ983045 HIM2 HIM8:HIM11 HIM65532 HIM65538:HIM65541 HIM131068 HIM131074:HIM131077 HIM196604 HIM196610:HIM196613 HIM262140 HIM262146:HIM262149 HIM327676 HIM327682:HIM327685 HIM393212 HIM393218:HIM393221 HIM458748 HIM458754:HIM458757 HIM524284 HIM524290:HIM524293 HIM589820 HIM589826:HIM589829 HIM655356 HIM655362:HIM655365 HIM720892 HIM720898:HIM720901 HIM786428 HIM786434:HIM786437 HIM851964 HIM851970:HIM851973 HIM917500 HIM917506:HIM917509 HIM983036 HIM983042:HIM983045 HSI2 HSI8:HSI11 HSI65532 HSI65538:HSI65541 HSI131068 HSI131074:HSI131077 HSI196604 HSI196610:HSI196613 HSI262140 HSI262146:HSI262149 HSI327676 HSI327682:HSI327685 HSI393212 HSI393218:HSI393221 HSI458748 HSI458754:HSI458757 HSI524284 HSI524290:HSI524293 HSI589820 HSI589826:HSI589829 HSI655356 HSI655362:HSI655365 HSI720892 HSI720898:HSI720901 HSI786428 HSI786434:HSI786437 HSI851964 HSI851970:HSI851973 HSI917500 HSI917506:HSI917509 HSI983036 HSI983042:HSI983045 ICE2 ICE8:ICE11 ICE65532 ICE65538:ICE65541 ICE131068 ICE131074:ICE131077 ICE196604 ICE196610:ICE196613 ICE262140 ICE262146:ICE262149 ICE327676 ICE327682:ICE327685 ICE393212 ICE393218:ICE393221 ICE458748 ICE458754:ICE458757 ICE524284 ICE524290:ICE524293 ICE589820 ICE589826:ICE589829 ICE655356 ICE655362:ICE655365 ICE720892 ICE720898:ICE720901 ICE786428 ICE786434:ICE786437 ICE851964 ICE851970:ICE851973 ICE917500 ICE917506:ICE917509 ICE983036 ICE983042:ICE983045 IMA2 IMA8:IMA11 IMA65532 IMA65538:IMA65541 IMA131068 IMA131074:IMA131077 IMA196604 IMA196610:IMA196613 IMA262140 IMA262146:IMA262149 IMA327676 IMA327682:IMA327685 IMA393212 IMA393218:IMA393221 IMA458748 IMA458754:IMA458757 IMA524284 IMA524290:IMA524293 IMA589820 IMA589826:IMA589829 IMA655356 IMA655362:IMA655365 IMA720892 IMA720898:IMA720901 IMA786428 IMA786434:IMA786437 IMA851964 IMA851970:IMA851973 IMA917500 IMA917506:IMA917509 IMA983036 IMA983042:IMA983045 IVW2 IVW8:IVW11 IVW65532 IVW65538:IVW65541 IVW131068 IVW131074:IVW131077 IVW196604 IVW196610:IVW196613 IVW262140 IVW262146:IVW262149 IVW327676 IVW327682:IVW327685 IVW393212 IVW393218:IVW393221 IVW458748 IVW458754:IVW458757 IVW524284 IVW524290:IVW524293 IVW589820 IVW589826:IVW589829 IVW655356 IVW655362:IVW655365 IVW720892 IVW720898:IVW720901 IVW786428 IVW786434:IVW786437 IVW851964 IVW851970:IVW851973 IVW917500 IVW917506:IVW917509 IVW983036 IVW983042:IVW983045 JFS2 JFS8:JFS11 JFS65532 JFS65538:JFS65541 JFS131068 JFS131074:JFS131077 JFS196604 JFS196610:JFS196613 JFS262140 JFS262146:JFS262149 JFS327676 JFS327682:JFS327685 JFS393212 JFS393218:JFS393221 JFS458748 JFS458754:JFS458757 JFS524284 JFS524290:JFS524293 JFS589820 JFS589826:JFS589829 JFS655356 JFS655362:JFS655365 JFS720892 JFS720898:JFS720901 JFS786428 JFS786434:JFS786437 JFS851964 JFS851970:JFS851973 JFS917500 JFS917506:JFS917509 JFS983036 JFS983042:JFS983045 JPO2 JPO8:JPO11 JPO65532 JPO65538:JPO65541 JPO131068 JPO131074:JPO131077 JPO196604 JPO196610:JPO196613 JPO262140 JPO262146:JPO262149 JPO327676 JPO327682:JPO327685 JPO393212 JPO393218:JPO393221 JPO458748 JPO458754:JPO458757 JPO524284 JPO524290:JPO524293 JPO589820 JPO589826:JPO589829 JPO655356 JPO655362:JPO655365 JPO720892 JPO720898:JPO720901 JPO786428 JPO786434:JPO786437 JPO851964 JPO851970:JPO851973 JPO917500 JPO917506:JPO917509 JPO983036 JPO983042:JPO983045 JZK2 JZK8:JZK11 JZK65532 JZK65538:JZK65541 JZK131068 JZK131074:JZK131077 JZK196604 JZK196610:JZK196613 JZK262140 JZK262146:JZK262149 JZK327676 JZK327682:JZK327685 JZK393212 JZK393218:JZK393221 JZK458748 JZK458754:JZK458757 JZK524284 JZK524290:JZK524293 JZK589820 JZK589826:JZK589829 JZK655356 JZK655362:JZK655365 JZK720892 JZK720898:JZK720901 JZK786428 JZK786434:JZK786437 JZK851964 JZK851970:JZK851973 JZK917500 JZK917506:JZK917509 JZK983036 JZK983042:JZK983045 KJG2 KJG8:KJG11 KJG65532 KJG65538:KJG65541 KJG131068 KJG131074:KJG131077 KJG196604 KJG196610:KJG196613 KJG262140 KJG262146:KJG262149 KJG327676 KJG327682:KJG327685 KJG393212 KJG393218:KJG393221 KJG458748 KJG458754:KJG458757 KJG524284 KJG524290:KJG524293 KJG589820 KJG589826:KJG589829 KJG655356 KJG655362:KJG655365 KJG720892 KJG720898:KJG720901 KJG786428 KJG786434:KJG786437 KJG851964 KJG851970:KJG851973 KJG917500 KJG917506:KJG917509 KJG983036 KJG983042:KJG983045 KTC2 KTC8:KTC11 KTC65532 KTC65538:KTC65541 KTC131068 KTC131074:KTC131077 KTC196604 KTC196610:KTC196613 KTC262140 KTC262146:KTC262149 KTC327676 KTC327682:KTC327685 KTC393212 KTC393218:KTC393221 KTC458748 KTC458754:KTC458757 KTC524284 KTC524290:KTC524293 KTC589820 KTC589826:KTC589829 KTC655356 KTC655362:KTC655365 KTC720892 KTC720898:KTC720901 KTC786428 KTC786434:KTC786437 KTC851964 KTC851970:KTC851973 KTC917500 KTC917506:KTC917509 KTC983036 KTC983042:KTC983045 LCY2 LCY8:LCY11 LCY65532 LCY65538:LCY65541 LCY131068 LCY131074:LCY131077 LCY196604 LCY196610:LCY196613 LCY262140 LCY262146:LCY262149 LCY327676 LCY327682:LCY327685 LCY393212 LCY393218:LCY393221 LCY458748 LCY458754:LCY458757 LCY524284 LCY524290:LCY524293 LCY589820 LCY589826:LCY589829 LCY655356 LCY655362:LCY655365 LCY720892 LCY720898:LCY720901 LCY786428 LCY786434:LCY786437 LCY851964 LCY851970:LCY851973 LCY917500 LCY917506:LCY917509 LCY983036 LCY983042:LCY983045 LMU2 LMU8:LMU11 LMU65532 LMU65538:LMU65541 LMU131068 LMU131074:LMU131077 LMU196604 LMU196610:LMU196613 LMU262140 LMU262146:LMU262149 LMU327676 LMU327682:LMU327685 LMU393212 LMU393218:LMU393221 LMU458748 LMU458754:LMU458757 LMU524284 LMU524290:LMU524293 LMU589820 LMU589826:LMU589829 LMU655356 LMU655362:LMU655365 LMU720892 LMU720898:LMU720901 LMU786428 LMU786434:LMU786437 LMU851964 LMU851970:LMU851973 LMU917500 LMU917506:LMU917509 LMU983036 LMU983042:LMU983045 LWQ2 LWQ8:LWQ11 LWQ65532 LWQ65538:LWQ65541 LWQ131068 LWQ131074:LWQ131077 LWQ196604 LWQ196610:LWQ196613 LWQ262140 LWQ262146:LWQ262149 LWQ327676 LWQ327682:LWQ327685 LWQ393212 LWQ393218:LWQ393221 LWQ458748 LWQ458754:LWQ458757 LWQ524284 LWQ524290:LWQ524293 LWQ589820 LWQ589826:LWQ589829 LWQ655356 LWQ655362:LWQ655365 LWQ720892 LWQ720898:LWQ720901 LWQ786428 LWQ786434:LWQ786437 LWQ851964 LWQ851970:LWQ851973 LWQ917500 LWQ917506:LWQ917509 LWQ983036 LWQ983042:LWQ983045 MGM2 MGM8:MGM11 MGM65532 MGM65538:MGM65541 MGM131068 MGM131074:MGM131077 MGM196604 MGM196610:MGM196613 MGM262140 MGM262146:MGM262149 MGM327676 MGM327682:MGM327685 MGM393212 MGM393218:MGM393221 MGM458748 MGM458754:MGM458757 MGM524284 MGM524290:MGM524293 MGM589820 MGM589826:MGM589829 MGM655356 MGM655362:MGM655365 MGM720892 MGM720898:MGM720901 MGM786428 MGM786434:MGM786437 MGM851964 MGM851970:MGM851973 MGM917500 MGM917506:MGM917509 MGM983036 MGM983042:MGM983045 MQI2 MQI8:MQI11 MQI65532 MQI65538:MQI65541 MQI131068 MQI131074:MQI131077 MQI196604 MQI196610:MQI196613 MQI262140 MQI262146:MQI262149 MQI327676 MQI327682:MQI327685 MQI393212 MQI393218:MQI393221 MQI458748 MQI458754:MQI458757 MQI524284 MQI524290:MQI524293 MQI589820 MQI589826:MQI589829 MQI655356 MQI655362:MQI655365 MQI720892 MQI720898:MQI720901 MQI786428 MQI786434:MQI786437 MQI851964 MQI851970:MQI851973 MQI917500 MQI917506:MQI917509 MQI983036 MQI983042:MQI983045 NAE2 NAE8:NAE11 NAE65532 NAE65538:NAE65541 NAE131068 NAE131074:NAE131077 NAE196604 NAE196610:NAE196613 NAE262140 NAE262146:NAE262149 NAE327676 NAE327682:NAE327685 NAE393212 NAE393218:NAE393221 NAE458748 NAE458754:NAE458757 NAE524284 NAE524290:NAE524293 NAE589820 NAE589826:NAE589829 NAE655356 NAE655362:NAE655365 NAE720892 NAE720898:NAE720901 NAE786428 NAE786434:NAE786437 NAE851964 NAE851970:NAE851973 NAE917500 NAE917506:NAE917509 NAE983036 NAE983042:NAE983045 NKA2 NKA8:NKA11 NKA65532 NKA65538:NKA65541 NKA131068 NKA131074:NKA131077 NKA196604 NKA196610:NKA196613 NKA262140 NKA262146:NKA262149 NKA327676 NKA327682:NKA327685 NKA393212 NKA393218:NKA393221 NKA458748 NKA458754:NKA458757 NKA524284 NKA524290:NKA524293 NKA589820 NKA589826:NKA589829 NKA655356 NKA655362:NKA655365 NKA720892 NKA720898:NKA720901 NKA786428 NKA786434:NKA786437 NKA851964 NKA851970:NKA851973 NKA917500 NKA917506:NKA917509 NKA983036 NKA983042:NKA983045 NTW2 NTW8:NTW11 NTW65532 NTW65538:NTW65541 NTW131068 NTW131074:NTW131077 NTW196604 NTW196610:NTW196613 NTW262140 NTW262146:NTW262149 NTW327676 NTW327682:NTW327685 NTW393212 NTW393218:NTW393221 NTW458748 NTW458754:NTW458757 NTW524284 NTW524290:NTW524293 NTW589820 NTW589826:NTW589829 NTW655356 NTW655362:NTW655365 NTW720892 NTW720898:NTW720901 NTW786428 NTW786434:NTW786437 NTW851964 NTW851970:NTW851973 NTW917500 NTW917506:NTW917509 NTW983036 NTW983042:NTW983045 ODS2 ODS8:ODS11 ODS65532 ODS65538:ODS65541 ODS131068 ODS131074:ODS131077 ODS196604 ODS196610:ODS196613 ODS262140 ODS262146:ODS262149 ODS327676 ODS327682:ODS327685 ODS393212 ODS393218:ODS393221 ODS458748 ODS458754:ODS458757 ODS524284 ODS524290:ODS524293 ODS589820 ODS589826:ODS589829 ODS655356 ODS655362:ODS655365 ODS720892 ODS720898:ODS720901 ODS786428 ODS786434:ODS786437 ODS851964 ODS851970:ODS851973 ODS917500 ODS917506:ODS917509 ODS983036 ODS983042:ODS983045 ONO2 ONO8:ONO11 ONO65532 ONO65538:ONO65541 ONO131068 ONO131074:ONO131077 ONO196604 ONO196610:ONO196613 ONO262140 ONO262146:ONO262149 ONO327676 ONO327682:ONO327685 ONO393212 ONO393218:ONO393221 ONO458748 ONO458754:ONO458757 ONO524284 ONO524290:ONO524293 ONO589820 ONO589826:ONO589829 ONO655356 ONO655362:ONO655365 ONO720892 ONO720898:ONO720901 ONO786428 ONO786434:ONO786437 ONO851964 ONO851970:ONO851973 ONO917500 ONO917506:ONO917509 ONO983036 ONO983042:ONO983045 OXK2 OXK8:OXK11 OXK65532 OXK65538:OXK65541 OXK131068 OXK131074:OXK131077 OXK196604 OXK196610:OXK196613 OXK262140 OXK262146:OXK262149 OXK327676 OXK327682:OXK327685 OXK393212 OXK393218:OXK393221 OXK458748 OXK458754:OXK458757 OXK524284 OXK524290:OXK524293 OXK589820 OXK589826:OXK589829 OXK655356 OXK655362:OXK655365 OXK720892 OXK720898:OXK720901 OXK786428 OXK786434:OXK786437 OXK851964 OXK851970:OXK851973 OXK917500 OXK917506:OXK917509 OXK983036 OXK983042:OXK983045 PHG2 PHG8:PHG11 PHG65532 PHG65538:PHG65541 PHG131068 PHG131074:PHG131077 PHG196604 PHG196610:PHG196613 PHG262140 PHG262146:PHG262149 PHG327676 PHG327682:PHG327685 PHG393212 PHG393218:PHG393221 PHG458748 PHG458754:PHG458757 PHG524284 PHG524290:PHG524293 PHG589820 PHG589826:PHG589829 PHG655356 PHG655362:PHG655365 PHG720892 PHG720898:PHG720901 PHG786428 PHG786434:PHG786437 PHG851964 PHG851970:PHG851973 PHG917500 PHG917506:PHG917509 PHG983036 PHG983042:PHG983045 PRC2 PRC8:PRC11 PRC65532 PRC65538:PRC65541 PRC131068 PRC131074:PRC131077 PRC196604 PRC196610:PRC196613 PRC262140 PRC262146:PRC262149 PRC327676 PRC327682:PRC327685 PRC393212 PRC393218:PRC393221 PRC458748 PRC458754:PRC458757 PRC524284 PRC524290:PRC524293 PRC589820 PRC589826:PRC589829 PRC655356 PRC655362:PRC655365 PRC720892 PRC720898:PRC720901 PRC786428 PRC786434:PRC786437 PRC851964 PRC851970:PRC851973 PRC917500 PRC917506:PRC917509 PRC983036 PRC983042:PRC983045 QAY2 QAY8:QAY11 QAY65532 QAY65538:QAY65541 QAY131068 QAY131074:QAY131077 QAY196604 QAY196610:QAY196613 QAY262140 QAY262146:QAY262149 QAY327676 QAY327682:QAY327685 QAY393212 QAY393218:QAY393221 QAY458748 QAY458754:QAY458757 QAY524284 QAY524290:QAY524293 QAY589820 QAY589826:QAY589829 QAY655356 QAY655362:QAY655365 QAY720892 QAY720898:QAY720901 QAY786428 QAY786434:QAY786437 QAY851964 QAY851970:QAY851973 QAY917500 QAY917506:QAY917509 QAY983036 QAY983042:QAY983045 QKU2 QKU8:QKU11 QKU65532 QKU65538:QKU65541 QKU131068 QKU131074:QKU131077 QKU196604 QKU196610:QKU196613 QKU262140 QKU262146:QKU262149 QKU327676 QKU327682:QKU327685 QKU393212 QKU393218:QKU393221 QKU458748 QKU458754:QKU458757 QKU524284 QKU524290:QKU524293 QKU589820 QKU589826:QKU589829 QKU655356 QKU655362:QKU655365 QKU720892 QKU720898:QKU720901 QKU786428 QKU786434:QKU786437 QKU851964 QKU851970:QKU851973 QKU917500 QKU917506:QKU917509 QKU983036 QKU983042:QKU983045 QUQ2 QUQ8:QUQ11 QUQ65532 QUQ65538:QUQ65541 QUQ131068 QUQ131074:QUQ131077 QUQ196604 QUQ196610:QUQ196613 QUQ262140 QUQ262146:QUQ262149 QUQ327676 QUQ327682:QUQ327685 QUQ393212 QUQ393218:QUQ393221 QUQ458748 QUQ458754:QUQ458757 QUQ524284 QUQ524290:QUQ524293 QUQ589820 QUQ589826:QUQ589829 QUQ655356 QUQ655362:QUQ655365 QUQ720892 QUQ720898:QUQ720901 QUQ786428 QUQ786434:QUQ786437 QUQ851964 QUQ851970:QUQ851973 QUQ917500 QUQ917506:QUQ917509 QUQ983036 QUQ983042:QUQ983045 REM2 REM8:REM11 REM65532 REM65538:REM65541 REM131068 REM131074:REM131077 REM196604 REM196610:REM196613 REM262140 REM262146:REM262149 REM327676 REM327682:REM327685 REM393212 REM393218:REM393221 REM458748 REM458754:REM458757 REM524284 REM524290:REM524293 REM589820 REM589826:REM589829 REM655356 REM655362:REM655365 REM720892 REM720898:REM720901 REM786428 REM786434:REM786437 REM851964 REM851970:REM851973 REM917500 REM917506:REM917509 REM983036 REM983042:REM983045 ROI2 ROI8:ROI11 ROI65532 ROI65538:ROI65541 ROI131068 ROI131074:ROI131077 ROI196604 ROI196610:ROI196613 ROI262140 ROI262146:ROI262149 ROI327676 ROI327682:ROI327685 ROI393212 ROI393218:ROI393221 ROI458748 ROI458754:ROI458757 ROI524284 ROI524290:ROI524293 ROI589820 ROI589826:ROI589829 ROI655356 ROI655362:ROI655365 ROI720892 ROI720898:ROI720901 ROI786428 ROI786434:ROI786437 ROI851964 ROI851970:ROI851973 ROI917500 ROI917506:ROI917509 ROI983036 ROI983042:ROI983045 RYE2 RYE8:RYE11 RYE65532 RYE65538:RYE65541 RYE131068 RYE131074:RYE131077 RYE196604 RYE196610:RYE196613 RYE262140 RYE262146:RYE262149 RYE327676 RYE327682:RYE327685 RYE393212 RYE393218:RYE393221 RYE458748 RYE458754:RYE458757 RYE524284 RYE524290:RYE524293 RYE589820 RYE589826:RYE589829 RYE655356 RYE655362:RYE655365 RYE720892 RYE720898:RYE720901 RYE786428 RYE786434:RYE786437 RYE851964 RYE851970:RYE851973 RYE917500 RYE917506:RYE917509 RYE983036 RYE983042:RYE983045 SIA2 SIA8:SIA11 SIA65532 SIA65538:SIA65541 SIA131068 SIA131074:SIA131077 SIA196604 SIA196610:SIA196613 SIA262140 SIA262146:SIA262149 SIA327676 SIA327682:SIA327685 SIA393212 SIA393218:SIA393221 SIA458748 SIA458754:SIA458757 SIA524284 SIA524290:SIA524293 SIA589820 SIA589826:SIA589829 SIA655356 SIA655362:SIA655365 SIA720892 SIA720898:SIA720901 SIA786428 SIA786434:SIA786437 SIA851964 SIA851970:SIA851973 SIA917500 SIA917506:SIA917509 SIA983036 SIA983042:SIA983045 SRW2 SRW8:SRW11 SRW65532 SRW65538:SRW65541 SRW131068 SRW131074:SRW131077 SRW196604 SRW196610:SRW196613 SRW262140 SRW262146:SRW262149 SRW327676 SRW327682:SRW327685 SRW393212 SRW393218:SRW393221 SRW458748 SRW458754:SRW458757 SRW524284 SRW524290:SRW524293 SRW589820 SRW589826:SRW589829 SRW655356 SRW655362:SRW655365 SRW720892 SRW720898:SRW720901 SRW786428 SRW786434:SRW786437 SRW851964 SRW851970:SRW851973 SRW917500 SRW917506:SRW917509 SRW983036 SRW983042:SRW983045 TBS2 TBS8:TBS11 TBS65532 TBS65538:TBS65541 TBS131068 TBS131074:TBS131077 TBS196604 TBS196610:TBS196613 TBS262140 TBS262146:TBS262149 TBS327676 TBS327682:TBS327685 TBS393212 TBS393218:TBS393221 TBS458748 TBS458754:TBS458757 TBS524284 TBS524290:TBS524293 TBS589820 TBS589826:TBS589829 TBS655356 TBS655362:TBS655365 TBS720892 TBS720898:TBS720901 TBS786428 TBS786434:TBS786437 TBS851964 TBS851970:TBS851973 TBS917500 TBS917506:TBS917509 TBS983036 TBS983042:TBS983045 TLO2 TLO8:TLO11 TLO65532 TLO65538:TLO65541 TLO131068 TLO131074:TLO131077 TLO196604 TLO196610:TLO196613 TLO262140 TLO262146:TLO262149 TLO327676 TLO327682:TLO327685 TLO393212 TLO393218:TLO393221 TLO458748 TLO458754:TLO458757 TLO524284 TLO524290:TLO524293 TLO589820 TLO589826:TLO589829 TLO655356 TLO655362:TLO655365 TLO720892 TLO720898:TLO720901 TLO786428 TLO786434:TLO786437 TLO851964 TLO851970:TLO851973 TLO917500 TLO917506:TLO917509 TLO983036 TLO983042:TLO983045 TVK2 TVK8:TVK11 TVK65532 TVK65538:TVK65541 TVK131068 TVK131074:TVK131077 TVK196604 TVK196610:TVK196613 TVK262140 TVK262146:TVK262149 TVK327676 TVK327682:TVK327685 TVK393212 TVK393218:TVK393221 TVK458748 TVK458754:TVK458757 TVK524284 TVK524290:TVK524293 TVK589820 TVK589826:TVK589829 TVK655356 TVK655362:TVK655365 TVK720892 TVK720898:TVK720901 TVK786428 TVK786434:TVK786437 TVK851964 TVK851970:TVK851973 TVK917500 TVK917506:TVK917509 TVK983036 TVK983042:TVK983045 UFG2 UFG8:UFG11 UFG65532 UFG65538:UFG65541 UFG131068 UFG131074:UFG131077 UFG196604 UFG196610:UFG196613 UFG262140 UFG262146:UFG262149 UFG327676 UFG327682:UFG327685 UFG393212 UFG393218:UFG393221 UFG458748 UFG458754:UFG458757 UFG524284 UFG524290:UFG524293 UFG589820 UFG589826:UFG589829 UFG655356 UFG655362:UFG655365 UFG720892 UFG720898:UFG720901 UFG786428 UFG786434:UFG786437 UFG851964 UFG851970:UFG851973 UFG917500 UFG917506:UFG917509 UFG983036 UFG983042:UFG983045 UPC2 UPC8:UPC11 UPC65532 UPC65538:UPC65541 UPC131068 UPC131074:UPC131077 UPC196604 UPC196610:UPC196613 UPC262140 UPC262146:UPC262149 UPC327676 UPC327682:UPC327685 UPC393212 UPC393218:UPC393221 UPC458748 UPC458754:UPC458757 UPC524284 UPC524290:UPC524293 UPC589820 UPC589826:UPC589829 UPC655356 UPC655362:UPC655365 UPC720892 UPC720898:UPC720901 UPC786428 UPC786434:UPC786437 UPC851964 UPC851970:UPC851973 UPC917500 UPC917506:UPC917509 UPC983036 UPC983042:UPC983045 UYY2 UYY8:UYY11 UYY65532 UYY65538:UYY65541 UYY131068 UYY131074:UYY131077 UYY196604 UYY196610:UYY196613 UYY262140 UYY262146:UYY262149 UYY327676 UYY327682:UYY327685 UYY393212 UYY393218:UYY393221 UYY458748 UYY458754:UYY458757 UYY524284 UYY524290:UYY524293 UYY589820 UYY589826:UYY589829 UYY655356 UYY655362:UYY655365 UYY720892 UYY720898:UYY720901 UYY786428 UYY786434:UYY786437 UYY851964 UYY851970:UYY851973 UYY917500 UYY917506:UYY917509 UYY983036 UYY983042:UYY983045 VIU2 VIU8:VIU11 VIU65532 VIU65538:VIU65541 VIU131068 VIU131074:VIU131077 VIU196604 VIU196610:VIU196613 VIU262140 VIU262146:VIU262149 VIU327676 VIU327682:VIU327685 VIU393212 VIU393218:VIU393221 VIU458748 VIU458754:VIU458757 VIU524284 VIU524290:VIU524293 VIU589820 VIU589826:VIU589829 VIU655356 VIU655362:VIU655365 VIU720892 VIU720898:VIU720901 VIU786428 VIU786434:VIU786437 VIU851964 VIU851970:VIU851973 VIU917500 VIU917506:VIU917509 VIU983036 VIU983042:VIU983045 VSQ2 VSQ8:VSQ11 VSQ65532 VSQ65538:VSQ65541 VSQ131068 VSQ131074:VSQ131077 VSQ196604 VSQ196610:VSQ196613 VSQ262140 VSQ262146:VSQ262149 VSQ327676 VSQ327682:VSQ327685 VSQ393212 VSQ393218:VSQ393221 VSQ458748 VSQ458754:VSQ458757 VSQ524284 VSQ524290:VSQ524293 VSQ589820 VSQ589826:VSQ589829 VSQ655356 VSQ655362:VSQ655365 VSQ720892 VSQ720898:VSQ720901 VSQ786428 VSQ786434:VSQ786437 VSQ851964 VSQ851970:VSQ851973 VSQ917500 VSQ917506:VSQ917509 VSQ983036 VSQ983042:VSQ983045 WCM2 WCM8:WCM11 WCM65532 WCM65538:WCM65541 WCM131068 WCM131074:WCM131077 WCM196604 WCM196610:WCM196613 WCM262140 WCM262146:WCM262149 WCM327676 WCM327682:WCM327685 WCM393212 WCM393218:WCM393221 WCM458748 WCM458754:WCM458757 WCM524284 WCM524290:WCM524293 WCM589820 WCM589826:WCM589829 WCM655356 WCM655362:WCM655365 WCM720892 WCM720898:WCM720901 WCM786428 WCM786434:WCM786437 WCM851964 WCM851970:WCM851973 WCM917500 WCM917506:WCM917509 WCM983036 WCM983042:WCM983045 WMI2 WMI8:WMI11 WMI65532 WMI65538:WMI65541 WMI131068 WMI131074:WMI131077 WMI196604 WMI196610:WMI196613 WMI262140 WMI262146:WMI262149 WMI327676 WMI327682:WMI327685 WMI393212 WMI393218:WMI393221 WMI458748 WMI458754:WMI458757 WMI524284 WMI524290:WMI524293 WMI589820 WMI589826:WMI589829 WMI655356 WMI655362:WMI655365 WMI720892 WMI720898:WMI720901 WMI786428 WMI786434:WMI786437 WMI851964 WMI851970:WMI851973 WMI917500 WMI917506:WMI917509 WMI983036 WMI983042:WMI983045 WWE2 WWE8:WWE11 WWE65532 WWE65538:WWE65541 WWE131068 WWE131074:WWE131077 WWE196604 WWE196610:WWE196613 WWE262140 WWE262146:WWE262149 WWE327676 WWE327682:WWE327685 WWE393212 WWE393218:WWE393221 WWE458748 WWE458754:WWE458757 WWE524284 WWE524290:WWE524293 WWE589820 WWE589826:WWE589829 WWE655356 WWE655362:WWE655365 WWE720892 WWE720898:WWE720901 WWE786428 WWE786434:WWE786437 WWE851964 WWE851970:WWE851973 WWE917500 WWE917506:WWE917509 WWE983036 WWE983042:WWE983045" xr:uid="{00000000-0002-0000-0800-000018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2 V8:V11 V65532 V65538:V65541 V131068 V131074:V131077 V196604 V196610:V196613 V262140 V262146:V262149 V327676 V327682:V327685 V393212 V393218:V393221 V458748 V458754:V458757 V524284 V524290:V524293 V589820 V589826:V589829 V655356 V655362:V655365 V720892 V720898:V720901 V786428 V786434:V786437 V851964 V851970:V851973 V917500 V917506:V917509 V983036 V983042:V983045 JR2 JR8:JR11 JR65532 JR65538:JR65541 JR131068 JR131074:JR131077 JR196604 JR196610:JR196613 JR262140 JR262146:JR262149 JR327676 JR327682:JR327685 JR393212 JR393218:JR393221 JR458748 JR458754:JR458757 JR524284 JR524290:JR524293 JR589820 JR589826:JR589829 JR655356 JR655362:JR655365 JR720892 JR720898:JR720901 JR786428 JR786434:JR786437 JR851964 JR851970:JR851973 JR917500 JR917506:JR917509 JR983036 JR983042:JR983045 TN2 TN8:TN11 TN65532 TN65538:TN65541 TN131068 TN131074:TN131077 TN196604 TN196610:TN196613 TN262140 TN262146:TN262149 TN327676 TN327682:TN327685 TN393212 TN393218:TN393221 TN458748 TN458754:TN458757 TN524284 TN524290:TN524293 TN589820 TN589826:TN589829 TN655356 TN655362:TN655365 TN720892 TN720898:TN720901 TN786428 TN786434:TN786437 TN851964 TN851970:TN851973 TN917500 TN917506:TN917509 TN983036 TN983042:TN983045 ADJ2 ADJ8:ADJ11 ADJ65532 ADJ65538:ADJ65541 ADJ131068 ADJ131074:ADJ131077 ADJ196604 ADJ196610:ADJ196613 ADJ262140 ADJ262146:ADJ262149 ADJ327676 ADJ327682:ADJ327685 ADJ393212 ADJ393218:ADJ393221 ADJ458748 ADJ458754:ADJ458757 ADJ524284 ADJ524290:ADJ524293 ADJ589820 ADJ589826:ADJ589829 ADJ655356 ADJ655362:ADJ655365 ADJ720892 ADJ720898:ADJ720901 ADJ786428 ADJ786434:ADJ786437 ADJ851964 ADJ851970:ADJ851973 ADJ917500 ADJ917506:ADJ917509 ADJ983036 ADJ983042:ADJ983045 ANF2 ANF8:ANF11 ANF65532 ANF65538:ANF65541 ANF131068 ANF131074:ANF131077 ANF196604 ANF196610:ANF196613 ANF262140 ANF262146:ANF262149 ANF327676 ANF327682:ANF327685 ANF393212 ANF393218:ANF393221 ANF458748 ANF458754:ANF458757 ANF524284 ANF524290:ANF524293 ANF589820 ANF589826:ANF589829 ANF655356 ANF655362:ANF655365 ANF720892 ANF720898:ANF720901 ANF786428 ANF786434:ANF786437 ANF851964 ANF851970:ANF851973 ANF917500 ANF917506:ANF917509 ANF983036 ANF983042:ANF983045 AXB2 AXB8:AXB11 AXB65532 AXB65538:AXB65541 AXB131068 AXB131074:AXB131077 AXB196604 AXB196610:AXB196613 AXB262140 AXB262146:AXB262149 AXB327676 AXB327682:AXB327685 AXB393212 AXB393218:AXB393221 AXB458748 AXB458754:AXB458757 AXB524284 AXB524290:AXB524293 AXB589820 AXB589826:AXB589829 AXB655356 AXB655362:AXB655365 AXB720892 AXB720898:AXB720901 AXB786428 AXB786434:AXB786437 AXB851964 AXB851970:AXB851973 AXB917500 AXB917506:AXB917509 AXB983036 AXB983042:AXB983045 BGX2 BGX8:BGX11 BGX65532 BGX65538:BGX65541 BGX131068 BGX131074:BGX131077 BGX196604 BGX196610:BGX196613 BGX262140 BGX262146:BGX262149 BGX327676 BGX327682:BGX327685 BGX393212 BGX393218:BGX393221 BGX458748 BGX458754:BGX458757 BGX524284 BGX524290:BGX524293 BGX589820 BGX589826:BGX589829 BGX655356 BGX655362:BGX655365 BGX720892 BGX720898:BGX720901 BGX786428 BGX786434:BGX786437 BGX851964 BGX851970:BGX851973 BGX917500 BGX917506:BGX917509 BGX983036 BGX983042:BGX983045 BQT2 BQT8:BQT11 BQT65532 BQT65538:BQT65541 BQT131068 BQT131074:BQT131077 BQT196604 BQT196610:BQT196613 BQT262140 BQT262146:BQT262149 BQT327676 BQT327682:BQT327685 BQT393212 BQT393218:BQT393221 BQT458748 BQT458754:BQT458757 BQT524284 BQT524290:BQT524293 BQT589820 BQT589826:BQT589829 BQT655356 BQT655362:BQT655365 BQT720892 BQT720898:BQT720901 BQT786428 BQT786434:BQT786437 BQT851964 BQT851970:BQT851973 BQT917500 BQT917506:BQT917509 BQT983036 BQT983042:BQT983045 CAP2 CAP8:CAP11 CAP65532 CAP65538:CAP65541 CAP131068 CAP131074:CAP131077 CAP196604 CAP196610:CAP196613 CAP262140 CAP262146:CAP262149 CAP327676 CAP327682:CAP327685 CAP393212 CAP393218:CAP393221 CAP458748 CAP458754:CAP458757 CAP524284 CAP524290:CAP524293 CAP589820 CAP589826:CAP589829 CAP655356 CAP655362:CAP655365 CAP720892 CAP720898:CAP720901 CAP786428 CAP786434:CAP786437 CAP851964 CAP851970:CAP851973 CAP917500 CAP917506:CAP917509 CAP983036 CAP983042:CAP983045 CKL2 CKL8:CKL11 CKL65532 CKL65538:CKL65541 CKL131068 CKL131074:CKL131077 CKL196604 CKL196610:CKL196613 CKL262140 CKL262146:CKL262149 CKL327676 CKL327682:CKL327685 CKL393212 CKL393218:CKL393221 CKL458748 CKL458754:CKL458757 CKL524284 CKL524290:CKL524293 CKL589820 CKL589826:CKL589829 CKL655356 CKL655362:CKL655365 CKL720892 CKL720898:CKL720901 CKL786428 CKL786434:CKL786437 CKL851964 CKL851970:CKL851973 CKL917500 CKL917506:CKL917509 CKL983036 CKL983042:CKL983045 CUH2 CUH8:CUH11 CUH65532 CUH65538:CUH65541 CUH131068 CUH131074:CUH131077 CUH196604 CUH196610:CUH196613 CUH262140 CUH262146:CUH262149 CUH327676 CUH327682:CUH327685 CUH393212 CUH393218:CUH393221 CUH458748 CUH458754:CUH458757 CUH524284 CUH524290:CUH524293 CUH589820 CUH589826:CUH589829 CUH655356 CUH655362:CUH655365 CUH720892 CUH720898:CUH720901 CUH786428 CUH786434:CUH786437 CUH851964 CUH851970:CUH851973 CUH917500 CUH917506:CUH917509 CUH983036 CUH983042:CUH983045 DED2 DED8:DED11 DED65532 DED65538:DED65541 DED131068 DED131074:DED131077 DED196604 DED196610:DED196613 DED262140 DED262146:DED262149 DED327676 DED327682:DED327685 DED393212 DED393218:DED393221 DED458748 DED458754:DED458757 DED524284 DED524290:DED524293 DED589820 DED589826:DED589829 DED655356 DED655362:DED655365 DED720892 DED720898:DED720901 DED786428 DED786434:DED786437 DED851964 DED851970:DED851973 DED917500 DED917506:DED917509 DED983036 DED983042:DED983045 DNZ2 DNZ8:DNZ11 DNZ65532 DNZ65538:DNZ65541 DNZ131068 DNZ131074:DNZ131077 DNZ196604 DNZ196610:DNZ196613 DNZ262140 DNZ262146:DNZ262149 DNZ327676 DNZ327682:DNZ327685 DNZ393212 DNZ393218:DNZ393221 DNZ458748 DNZ458754:DNZ458757 DNZ524284 DNZ524290:DNZ524293 DNZ589820 DNZ589826:DNZ589829 DNZ655356 DNZ655362:DNZ655365 DNZ720892 DNZ720898:DNZ720901 DNZ786428 DNZ786434:DNZ786437 DNZ851964 DNZ851970:DNZ851973 DNZ917500 DNZ917506:DNZ917509 DNZ983036 DNZ983042:DNZ983045 DXV2 DXV8:DXV11 DXV65532 DXV65538:DXV65541 DXV131068 DXV131074:DXV131077 DXV196604 DXV196610:DXV196613 DXV262140 DXV262146:DXV262149 DXV327676 DXV327682:DXV327685 DXV393212 DXV393218:DXV393221 DXV458748 DXV458754:DXV458757 DXV524284 DXV524290:DXV524293 DXV589820 DXV589826:DXV589829 DXV655356 DXV655362:DXV655365 DXV720892 DXV720898:DXV720901 DXV786428 DXV786434:DXV786437 DXV851964 DXV851970:DXV851973 DXV917500 DXV917506:DXV917509 DXV983036 DXV983042:DXV983045 EHR2 EHR8:EHR11 EHR65532 EHR65538:EHR65541 EHR131068 EHR131074:EHR131077 EHR196604 EHR196610:EHR196613 EHR262140 EHR262146:EHR262149 EHR327676 EHR327682:EHR327685 EHR393212 EHR393218:EHR393221 EHR458748 EHR458754:EHR458757 EHR524284 EHR524290:EHR524293 EHR589820 EHR589826:EHR589829 EHR655356 EHR655362:EHR655365 EHR720892 EHR720898:EHR720901 EHR786428 EHR786434:EHR786437 EHR851964 EHR851970:EHR851973 EHR917500 EHR917506:EHR917509 EHR983036 EHR983042:EHR983045 ERN2 ERN8:ERN11 ERN65532 ERN65538:ERN65541 ERN131068 ERN131074:ERN131077 ERN196604 ERN196610:ERN196613 ERN262140 ERN262146:ERN262149 ERN327676 ERN327682:ERN327685 ERN393212 ERN393218:ERN393221 ERN458748 ERN458754:ERN458757 ERN524284 ERN524290:ERN524293 ERN589820 ERN589826:ERN589829 ERN655356 ERN655362:ERN655365 ERN720892 ERN720898:ERN720901 ERN786428 ERN786434:ERN786437 ERN851964 ERN851970:ERN851973 ERN917500 ERN917506:ERN917509 ERN983036 ERN983042:ERN983045 FBJ2 FBJ8:FBJ11 FBJ65532 FBJ65538:FBJ65541 FBJ131068 FBJ131074:FBJ131077 FBJ196604 FBJ196610:FBJ196613 FBJ262140 FBJ262146:FBJ262149 FBJ327676 FBJ327682:FBJ327685 FBJ393212 FBJ393218:FBJ393221 FBJ458748 FBJ458754:FBJ458757 FBJ524284 FBJ524290:FBJ524293 FBJ589820 FBJ589826:FBJ589829 FBJ655356 FBJ655362:FBJ655365 FBJ720892 FBJ720898:FBJ720901 FBJ786428 FBJ786434:FBJ786437 FBJ851964 FBJ851970:FBJ851973 FBJ917500 FBJ917506:FBJ917509 FBJ983036 FBJ983042:FBJ983045 FLF2 FLF8:FLF11 FLF65532 FLF65538:FLF65541 FLF131068 FLF131074:FLF131077 FLF196604 FLF196610:FLF196613 FLF262140 FLF262146:FLF262149 FLF327676 FLF327682:FLF327685 FLF393212 FLF393218:FLF393221 FLF458748 FLF458754:FLF458757 FLF524284 FLF524290:FLF524293 FLF589820 FLF589826:FLF589829 FLF655356 FLF655362:FLF655365 FLF720892 FLF720898:FLF720901 FLF786428 FLF786434:FLF786437 FLF851964 FLF851970:FLF851973 FLF917500 FLF917506:FLF917509 FLF983036 FLF983042:FLF983045 FVB2 FVB8:FVB11 FVB65532 FVB65538:FVB65541 FVB131068 FVB131074:FVB131077 FVB196604 FVB196610:FVB196613 FVB262140 FVB262146:FVB262149 FVB327676 FVB327682:FVB327685 FVB393212 FVB393218:FVB393221 FVB458748 FVB458754:FVB458757 FVB524284 FVB524290:FVB524293 FVB589820 FVB589826:FVB589829 FVB655356 FVB655362:FVB655365 FVB720892 FVB720898:FVB720901 FVB786428 FVB786434:FVB786437 FVB851964 FVB851970:FVB851973 FVB917500 FVB917506:FVB917509 FVB983036 FVB983042:FVB983045 GEX2 GEX8:GEX11 GEX65532 GEX65538:GEX65541 GEX131068 GEX131074:GEX131077 GEX196604 GEX196610:GEX196613 GEX262140 GEX262146:GEX262149 GEX327676 GEX327682:GEX327685 GEX393212 GEX393218:GEX393221 GEX458748 GEX458754:GEX458757 GEX524284 GEX524290:GEX524293 GEX589820 GEX589826:GEX589829 GEX655356 GEX655362:GEX655365 GEX720892 GEX720898:GEX720901 GEX786428 GEX786434:GEX786437 GEX851964 GEX851970:GEX851973 GEX917500 GEX917506:GEX917509 GEX983036 GEX983042:GEX983045 GOT2 GOT8:GOT11 GOT65532 GOT65538:GOT65541 GOT131068 GOT131074:GOT131077 GOT196604 GOT196610:GOT196613 GOT262140 GOT262146:GOT262149 GOT327676 GOT327682:GOT327685 GOT393212 GOT393218:GOT393221 GOT458748 GOT458754:GOT458757 GOT524284 GOT524290:GOT524293 GOT589820 GOT589826:GOT589829 GOT655356 GOT655362:GOT655365 GOT720892 GOT720898:GOT720901 GOT786428 GOT786434:GOT786437 GOT851964 GOT851970:GOT851973 GOT917500 GOT917506:GOT917509 GOT983036 GOT983042:GOT983045 GYP2 GYP8:GYP11 GYP65532 GYP65538:GYP65541 GYP131068 GYP131074:GYP131077 GYP196604 GYP196610:GYP196613 GYP262140 GYP262146:GYP262149 GYP327676 GYP327682:GYP327685 GYP393212 GYP393218:GYP393221 GYP458748 GYP458754:GYP458757 GYP524284 GYP524290:GYP524293 GYP589820 GYP589826:GYP589829 GYP655356 GYP655362:GYP655365 GYP720892 GYP720898:GYP720901 GYP786428 GYP786434:GYP786437 GYP851964 GYP851970:GYP851973 GYP917500 GYP917506:GYP917509 GYP983036 GYP983042:GYP983045 HIL2 HIL8:HIL11 HIL65532 HIL65538:HIL65541 HIL131068 HIL131074:HIL131077 HIL196604 HIL196610:HIL196613 HIL262140 HIL262146:HIL262149 HIL327676 HIL327682:HIL327685 HIL393212 HIL393218:HIL393221 HIL458748 HIL458754:HIL458757 HIL524284 HIL524290:HIL524293 HIL589820 HIL589826:HIL589829 HIL655356 HIL655362:HIL655365 HIL720892 HIL720898:HIL720901 HIL786428 HIL786434:HIL786437 HIL851964 HIL851970:HIL851973 HIL917500 HIL917506:HIL917509 HIL983036 HIL983042:HIL983045 HSH2 HSH8:HSH11 HSH65532 HSH65538:HSH65541 HSH131068 HSH131074:HSH131077 HSH196604 HSH196610:HSH196613 HSH262140 HSH262146:HSH262149 HSH327676 HSH327682:HSH327685 HSH393212 HSH393218:HSH393221 HSH458748 HSH458754:HSH458757 HSH524284 HSH524290:HSH524293 HSH589820 HSH589826:HSH589829 HSH655356 HSH655362:HSH655365 HSH720892 HSH720898:HSH720901 HSH786428 HSH786434:HSH786437 HSH851964 HSH851970:HSH851973 HSH917500 HSH917506:HSH917509 HSH983036 HSH983042:HSH983045 ICD2 ICD8:ICD11 ICD65532 ICD65538:ICD65541 ICD131068 ICD131074:ICD131077 ICD196604 ICD196610:ICD196613 ICD262140 ICD262146:ICD262149 ICD327676 ICD327682:ICD327685 ICD393212 ICD393218:ICD393221 ICD458748 ICD458754:ICD458757 ICD524284 ICD524290:ICD524293 ICD589820 ICD589826:ICD589829 ICD655356 ICD655362:ICD655365 ICD720892 ICD720898:ICD720901 ICD786428 ICD786434:ICD786437 ICD851964 ICD851970:ICD851973 ICD917500 ICD917506:ICD917509 ICD983036 ICD983042:ICD983045 ILZ2 ILZ8:ILZ11 ILZ65532 ILZ65538:ILZ65541 ILZ131068 ILZ131074:ILZ131077 ILZ196604 ILZ196610:ILZ196613 ILZ262140 ILZ262146:ILZ262149 ILZ327676 ILZ327682:ILZ327685 ILZ393212 ILZ393218:ILZ393221 ILZ458748 ILZ458754:ILZ458757 ILZ524284 ILZ524290:ILZ524293 ILZ589820 ILZ589826:ILZ589829 ILZ655356 ILZ655362:ILZ655365 ILZ720892 ILZ720898:ILZ720901 ILZ786428 ILZ786434:ILZ786437 ILZ851964 ILZ851970:ILZ851973 ILZ917500 ILZ917506:ILZ917509 ILZ983036 ILZ983042:ILZ983045 IVV2 IVV8:IVV11 IVV65532 IVV65538:IVV65541 IVV131068 IVV131074:IVV131077 IVV196604 IVV196610:IVV196613 IVV262140 IVV262146:IVV262149 IVV327676 IVV327682:IVV327685 IVV393212 IVV393218:IVV393221 IVV458748 IVV458754:IVV458757 IVV524284 IVV524290:IVV524293 IVV589820 IVV589826:IVV589829 IVV655356 IVV655362:IVV655365 IVV720892 IVV720898:IVV720901 IVV786428 IVV786434:IVV786437 IVV851964 IVV851970:IVV851973 IVV917500 IVV917506:IVV917509 IVV983036 IVV983042:IVV983045 JFR2 JFR8:JFR11 JFR65532 JFR65538:JFR65541 JFR131068 JFR131074:JFR131077 JFR196604 JFR196610:JFR196613 JFR262140 JFR262146:JFR262149 JFR327676 JFR327682:JFR327685 JFR393212 JFR393218:JFR393221 JFR458748 JFR458754:JFR458757 JFR524284 JFR524290:JFR524293 JFR589820 JFR589826:JFR589829 JFR655356 JFR655362:JFR655365 JFR720892 JFR720898:JFR720901 JFR786428 JFR786434:JFR786437 JFR851964 JFR851970:JFR851973 JFR917500 JFR917506:JFR917509 JFR983036 JFR983042:JFR983045 JPN2 JPN8:JPN11 JPN65532 JPN65538:JPN65541 JPN131068 JPN131074:JPN131077 JPN196604 JPN196610:JPN196613 JPN262140 JPN262146:JPN262149 JPN327676 JPN327682:JPN327685 JPN393212 JPN393218:JPN393221 JPN458748 JPN458754:JPN458757 JPN524284 JPN524290:JPN524293 JPN589820 JPN589826:JPN589829 JPN655356 JPN655362:JPN655365 JPN720892 JPN720898:JPN720901 JPN786428 JPN786434:JPN786437 JPN851964 JPN851970:JPN851973 JPN917500 JPN917506:JPN917509 JPN983036 JPN983042:JPN983045 JZJ2 JZJ8:JZJ11 JZJ65532 JZJ65538:JZJ65541 JZJ131068 JZJ131074:JZJ131077 JZJ196604 JZJ196610:JZJ196613 JZJ262140 JZJ262146:JZJ262149 JZJ327676 JZJ327682:JZJ327685 JZJ393212 JZJ393218:JZJ393221 JZJ458748 JZJ458754:JZJ458757 JZJ524284 JZJ524290:JZJ524293 JZJ589820 JZJ589826:JZJ589829 JZJ655356 JZJ655362:JZJ655365 JZJ720892 JZJ720898:JZJ720901 JZJ786428 JZJ786434:JZJ786437 JZJ851964 JZJ851970:JZJ851973 JZJ917500 JZJ917506:JZJ917509 JZJ983036 JZJ983042:JZJ983045 KJF2 KJF8:KJF11 KJF65532 KJF65538:KJF65541 KJF131068 KJF131074:KJF131077 KJF196604 KJF196610:KJF196613 KJF262140 KJF262146:KJF262149 KJF327676 KJF327682:KJF327685 KJF393212 KJF393218:KJF393221 KJF458748 KJF458754:KJF458757 KJF524284 KJF524290:KJF524293 KJF589820 KJF589826:KJF589829 KJF655356 KJF655362:KJF655365 KJF720892 KJF720898:KJF720901 KJF786428 KJF786434:KJF786437 KJF851964 KJF851970:KJF851973 KJF917500 KJF917506:KJF917509 KJF983036 KJF983042:KJF983045 KTB2 KTB8:KTB11 KTB65532 KTB65538:KTB65541 KTB131068 KTB131074:KTB131077 KTB196604 KTB196610:KTB196613 KTB262140 KTB262146:KTB262149 KTB327676 KTB327682:KTB327685 KTB393212 KTB393218:KTB393221 KTB458748 KTB458754:KTB458757 KTB524284 KTB524290:KTB524293 KTB589820 KTB589826:KTB589829 KTB655356 KTB655362:KTB655365 KTB720892 KTB720898:KTB720901 KTB786428 KTB786434:KTB786437 KTB851964 KTB851970:KTB851973 KTB917500 KTB917506:KTB917509 KTB983036 KTB983042:KTB983045 LCX2 LCX8:LCX11 LCX65532 LCX65538:LCX65541 LCX131068 LCX131074:LCX131077 LCX196604 LCX196610:LCX196613 LCX262140 LCX262146:LCX262149 LCX327676 LCX327682:LCX327685 LCX393212 LCX393218:LCX393221 LCX458748 LCX458754:LCX458757 LCX524284 LCX524290:LCX524293 LCX589820 LCX589826:LCX589829 LCX655356 LCX655362:LCX655365 LCX720892 LCX720898:LCX720901 LCX786428 LCX786434:LCX786437 LCX851964 LCX851970:LCX851973 LCX917500 LCX917506:LCX917509 LCX983036 LCX983042:LCX983045 LMT2 LMT8:LMT11 LMT65532 LMT65538:LMT65541 LMT131068 LMT131074:LMT131077 LMT196604 LMT196610:LMT196613 LMT262140 LMT262146:LMT262149 LMT327676 LMT327682:LMT327685 LMT393212 LMT393218:LMT393221 LMT458748 LMT458754:LMT458757 LMT524284 LMT524290:LMT524293 LMT589820 LMT589826:LMT589829 LMT655356 LMT655362:LMT655365 LMT720892 LMT720898:LMT720901 LMT786428 LMT786434:LMT786437 LMT851964 LMT851970:LMT851973 LMT917500 LMT917506:LMT917509 LMT983036 LMT983042:LMT983045 LWP2 LWP8:LWP11 LWP65532 LWP65538:LWP65541 LWP131068 LWP131074:LWP131077 LWP196604 LWP196610:LWP196613 LWP262140 LWP262146:LWP262149 LWP327676 LWP327682:LWP327685 LWP393212 LWP393218:LWP393221 LWP458748 LWP458754:LWP458757 LWP524284 LWP524290:LWP524293 LWP589820 LWP589826:LWP589829 LWP655356 LWP655362:LWP655365 LWP720892 LWP720898:LWP720901 LWP786428 LWP786434:LWP786437 LWP851964 LWP851970:LWP851973 LWP917500 LWP917506:LWP917509 LWP983036 LWP983042:LWP983045 MGL2 MGL8:MGL11 MGL65532 MGL65538:MGL65541 MGL131068 MGL131074:MGL131077 MGL196604 MGL196610:MGL196613 MGL262140 MGL262146:MGL262149 MGL327676 MGL327682:MGL327685 MGL393212 MGL393218:MGL393221 MGL458748 MGL458754:MGL458757 MGL524284 MGL524290:MGL524293 MGL589820 MGL589826:MGL589829 MGL655356 MGL655362:MGL655365 MGL720892 MGL720898:MGL720901 MGL786428 MGL786434:MGL786437 MGL851964 MGL851970:MGL851973 MGL917500 MGL917506:MGL917509 MGL983036 MGL983042:MGL983045 MQH2 MQH8:MQH11 MQH65532 MQH65538:MQH65541 MQH131068 MQH131074:MQH131077 MQH196604 MQH196610:MQH196613 MQH262140 MQH262146:MQH262149 MQH327676 MQH327682:MQH327685 MQH393212 MQH393218:MQH393221 MQH458748 MQH458754:MQH458757 MQH524284 MQH524290:MQH524293 MQH589820 MQH589826:MQH589829 MQH655356 MQH655362:MQH655365 MQH720892 MQH720898:MQH720901 MQH786428 MQH786434:MQH786437 MQH851964 MQH851970:MQH851973 MQH917500 MQH917506:MQH917509 MQH983036 MQH983042:MQH983045 NAD2 NAD8:NAD11 NAD65532 NAD65538:NAD65541 NAD131068 NAD131074:NAD131077 NAD196604 NAD196610:NAD196613 NAD262140 NAD262146:NAD262149 NAD327676 NAD327682:NAD327685 NAD393212 NAD393218:NAD393221 NAD458748 NAD458754:NAD458757 NAD524284 NAD524290:NAD524293 NAD589820 NAD589826:NAD589829 NAD655356 NAD655362:NAD655365 NAD720892 NAD720898:NAD720901 NAD786428 NAD786434:NAD786437 NAD851964 NAD851970:NAD851973 NAD917500 NAD917506:NAD917509 NAD983036 NAD983042:NAD983045 NJZ2 NJZ8:NJZ11 NJZ65532 NJZ65538:NJZ65541 NJZ131068 NJZ131074:NJZ131077 NJZ196604 NJZ196610:NJZ196613 NJZ262140 NJZ262146:NJZ262149 NJZ327676 NJZ327682:NJZ327685 NJZ393212 NJZ393218:NJZ393221 NJZ458748 NJZ458754:NJZ458757 NJZ524284 NJZ524290:NJZ524293 NJZ589820 NJZ589826:NJZ589829 NJZ655356 NJZ655362:NJZ655365 NJZ720892 NJZ720898:NJZ720901 NJZ786428 NJZ786434:NJZ786437 NJZ851964 NJZ851970:NJZ851973 NJZ917500 NJZ917506:NJZ917509 NJZ983036 NJZ983042:NJZ983045 NTV2 NTV8:NTV11 NTV65532 NTV65538:NTV65541 NTV131068 NTV131074:NTV131077 NTV196604 NTV196610:NTV196613 NTV262140 NTV262146:NTV262149 NTV327676 NTV327682:NTV327685 NTV393212 NTV393218:NTV393221 NTV458748 NTV458754:NTV458757 NTV524284 NTV524290:NTV524293 NTV589820 NTV589826:NTV589829 NTV655356 NTV655362:NTV655365 NTV720892 NTV720898:NTV720901 NTV786428 NTV786434:NTV786437 NTV851964 NTV851970:NTV851973 NTV917500 NTV917506:NTV917509 NTV983036 NTV983042:NTV983045 ODR2 ODR8:ODR11 ODR65532 ODR65538:ODR65541 ODR131068 ODR131074:ODR131077 ODR196604 ODR196610:ODR196613 ODR262140 ODR262146:ODR262149 ODR327676 ODR327682:ODR327685 ODR393212 ODR393218:ODR393221 ODR458748 ODR458754:ODR458757 ODR524284 ODR524290:ODR524293 ODR589820 ODR589826:ODR589829 ODR655356 ODR655362:ODR655365 ODR720892 ODR720898:ODR720901 ODR786428 ODR786434:ODR786437 ODR851964 ODR851970:ODR851973 ODR917500 ODR917506:ODR917509 ODR983036 ODR983042:ODR983045 ONN2 ONN8:ONN11 ONN65532 ONN65538:ONN65541 ONN131068 ONN131074:ONN131077 ONN196604 ONN196610:ONN196613 ONN262140 ONN262146:ONN262149 ONN327676 ONN327682:ONN327685 ONN393212 ONN393218:ONN393221 ONN458748 ONN458754:ONN458757 ONN524284 ONN524290:ONN524293 ONN589820 ONN589826:ONN589829 ONN655356 ONN655362:ONN655365 ONN720892 ONN720898:ONN720901 ONN786428 ONN786434:ONN786437 ONN851964 ONN851970:ONN851973 ONN917500 ONN917506:ONN917509 ONN983036 ONN983042:ONN983045 OXJ2 OXJ8:OXJ11 OXJ65532 OXJ65538:OXJ65541 OXJ131068 OXJ131074:OXJ131077 OXJ196604 OXJ196610:OXJ196613 OXJ262140 OXJ262146:OXJ262149 OXJ327676 OXJ327682:OXJ327685 OXJ393212 OXJ393218:OXJ393221 OXJ458748 OXJ458754:OXJ458757 OXJ524284 OXJ524290:OXJ524293 OXJ589820 OXJ589826:OXJ589829 OXJ655356 OXJ655362:OXJ655365 OXJ720892 OXJ720898:OXJ720901 OXJ786428 OXJ786434:OXJ786437 OXJ851964 OXJ851970:OXJ851973 OXJ917500 OXJ917506:OXJ917509 OXJ983036 OXJ983042:OXJ983045 PHF2 PHF8:PHF11 PHF65532 PHF65538:PHF65541 PHF131068 PHF131074:PHF131077 PHF196604 PHF196610:PHF196613 PHF262140 PHF262146:PHF262149 PHF327676 PHF327682:PHF327685 PHF393212 PHF393218:PHF393221 PHF458748 PHF458754:PHF458757 PHF524284 PHF524290:PHF524293 PHF589820 PHF589826:PHF589829 PHF655356 PHF655362:PHF655365 PHF720892 PHF720898:PHF720901 PHF786428 PHF786434:PHF786437 PHF851964 PHF851970:PHF851973 PHF917500 PHF917506:PHF917509 PHF983036 PHF983042:PHF983045 PRB2 PRB8:PRB11 PRB65532 PRB65538:PRB65541 PRB131068 PRB131074:PRB131077 PRB196604 PRB196610:PRB196613 PRB262140 PRB262146:PRB262149 PRB327676 PRB327682:PRB327685 PRB393212 PRB393218:PRB393221 PRB458748 PRB458754:PRB458757 PRB524284 PRB524290:PRB524293 PRB589820 PRB589826:PRB589829 PRB655356 PRB655362:PRB655365 PRB720892 PRB720898:PRB720901 PRB786428 PRB786434:PRB786437 PRB851964 PRB851970:PRB851973 PRB917500 PRB917506:PRB917509 PRB983036 PRB983042:PRB983045 QAX2 QAX8:QAX11 QAX65532 QAX65538:QAX65541 QAX131068 QAX131074:QAX131077 QAX196604 QAX196610:QAX196613 QAX262140 QAX262146:QAX262149 QAX327676 QAX327682:QAX327685 QAX393212 QAX393218:QAX393221 QAX458748 QAX458754:QAX458757 QAX524284 QAX524290:QAX524293 QAX589820 QAX589826:QAX589829 QAX655356 QAX655362:QAX655365 QAX720892 QAX720898:QAX720901 QAX786428 QAX786434:QAX786437 QAX851964 QAX851970:QAX851973 QAX917500 QAX917506:QAX917509 QAX983036 QAX983042:QAX983045 QKT2 QKT8:QKT11 QKT65532 QKT65538:QKT65541 QKT131068 QKT131074:QKT131077 QKT196604 QKT196610:QKT196613 QKT262140 QKT262146:QKT262149 QKT327676 QKT327682:QKT327685 QKT393212 QKT393218:QKT393221 QKT458748 QKT458754:QKT458757 QKT524284 QKT524290:QKT524293 QKT589820 QKT589826:QKT589829 QKT655356 QKT655362:QKT655365 QKT720892 QKT720898:QKT720901 QKT786428 QKT786434:QKT786437 QKT851964 QKT851970:QKT851973 QKT917500 QKT917506:QKT917509 QKT983036 QKT983042:QKT983045 QUP2 QUP8:QUP11 QUP65532 QUP65538:QUP65541 QUP131068 QUP131074:QUP131077 QUP196604 QUP196610:QUP196613 QUP262140 QUP262146:QUP262149 QUP327676 QUP327682:QUP327685 QUP393212 QUP393218:QUP393221 QUP458748 QUP458754:QUP458757 QUP524284 QUP524290:QUP524293 QUP589820 QUP589826:QUP589829 QUP655356 QUP655362:QUP655365 QUP720892 QUP720898:QUP720901 QUP786428 QUP786434:QUP786437 QUP851964 QUP851970:QUP851973 QUP917500 QUP917506:QUP917509 QUP983036 QUP983042:QUP983045 REL2 REL8:REL11 REL65532 REL65538:REL65541 REL131068 REL131074:REL131077 REL196604 REL196610:REL196613 REL262140 REL262146:REL262149 REL327676 REL327682:REL327685 REL393212 REL393218:REL393221 REL458748 REL458754:REL458757 REL524284 REL524290:REL524293 REL589820 REL589826:REL589829 REL655356 REL655362:REL655365 REL720892 REL720898:REL720901 REL786428 REL786434:REL786437 REL851964 REL851970:REL851973 REL917500 REL917506:REL917509 REL983036 REL983042:REL983045 ROH2 ROH8:ROH11 ROH65532 ROH65538:ROH65541 ROH131068 ROH131074:ROH131077 ROH196604 ROH196610:ROH196613 ROH262140 ROH262146:ROH262149 ROH327676 ROH327682:ROH327685 ROH393212 ROH393218:ROH393221 ROH458748 ROH458754:ROH458757 ROH524284 ROH524290:ROH524293 ROH589820 ROH589826:ROH589829 ROH655356 ROH655362:ROH655365 ROH720892 ROH720898:ROH720901 ROH786428 ROH786434:ROH786437 ROH851964 ROH851970:ROH851973 ROH917500 ROH917506:ROH917509 ROH983036 ROH983042:ROH983045 RYD2 RYD8:RYD11 RYD65532 RYD65538:RYD65541 RYD131068 RYD131074:RYD131077 RYD196604 RYD196610:RYD196613 RYD262140 RYD262146:RYD262149 RYD327676 RYD327682:RYD327685 RYD393212 RYD393218:RYD393221 RYD458748 RYD458754:RYD458757 RYD524284 RYD524290:RYD524293 RYD589820 RYD589826:RYD589829 RYD655356 RYD655362:RYD655365 RYD720892 RYD720898:RYD720901 RYD786428 RYD786434:RYD786437 RYD851964 RYD851970:RYD851973 RYD917500 RYD917506:RYD917509 RYD983036 RYD983042:RYD983045 SHZ2 SHZ8:SHZ11 SHZ65532 SHZ65538:SHZ65541 SHZ131068 SHZ131074:SHZ131077 SHZ196604 SHZ196610:SHZ196613 SHZ262140 SHZ262146:SHZ262149 SHZ327676 SHZ327682:SHZ327685 SHZ393212 SHZ393218:SHZ393221 SHZ458748 SHZ458754:SHZ458757 SHZ524284 SHZ524290:SHZ524293 SHZ589820 SHZ589826:SHZ589829 SHZ655356 SHZ655362:SHZ655365 SHZ720892 SHZ720898:SHZ720901 SHZ786428 SHZ786434:SHZ786437 SHZ851964 SHZ851970:SHZ851973 SHZ917500 SHZ917506:SHZ917509 SHZ983036 SHZ983042:SHZ983045 SRV2 SRV8:SRV11 SRV65532 SRV65538:SRV65541 SRV131068 SRV131074:SRV131077 SRV196604 SRV196610:SRV196613 SRV262140 SRV262146:SRV262149 SRV327676 SRV327682:SRV327685 SRV393212 SRV393218:SRV393221 SRV458748 SRV458754:SRV458757 SRV524284 SRV524290:SRV524293 SRV589820 SRV589826:SRV589829 SRV655356 SRV655362:SRV655365 SRV720892 SRV720898:SRV720901 SRV786428 SRV786434:SRV786437 SRV851964 SRV851970:SRV851973 SRV917500 SRV917506:SRV917509 SRV983036 SRV983042:SRV983045 TBR2 TBR8:TBR11 TBR65532 TBR65538:TBR65541 TBR131068 TBR131074:TBR131077 TBR196604 TBR196610:TBR196613 TBR262140 TBR262146:TBR262149 TBR327676 TBR327682:TBR327685 TBR393212 TBR393218:TBR393221 TBR458748 TBR458754:TBR458757 TBR524284 TBR524290:TBR524293 TBR589820 TBR589826:TBR589829 TBR655356 TBR655362:TBR655365 TBR720892 TBR720898:TBR720901 TBR786428 TBR786434:TBR786437 TBR851964 TBR851970:TBR851973 TBR917500 TBR917506:TBR917509 TBR983036 TBR983042:TBR983045 TLN2 TLN8:TLN11 TLN65532 TLN65538:TLN65541 TLN131068 TLN131074:TLN131077 TLN196604 TLN196610:TLN196613 TLN262140 TLN262146:TLN262149 TLN327676 TLN327682:TLN327685 TLN393212 TLN393218:TLN393221 TLN458748 TLN458754:TLN458757 TLN524284 TLN524290:TLN524293 TLN589820 TLN589826:TLN589829 TLN655356 TLN655362:TLN655365 TLN720892 TLN720898:TLN720901 TLN786428 TLN786434:TLN786437 TLN851964 TLN851970:TLN851973 TLN917500 TLN917506:TLN917509 TLN983036 TLN983042:TLN983045 TVJ2 TVJ8:TVJ11 TVJ65532 TVJ65538:TVJ65541 TVJ131068 TVJ131074:TVJ131077 TVJ196604 TVJ196610:TVJ196613 TVJ262140 TVJ262146:TVJ262149 TVJ327676 TVJ327682:TVJ327685 TVJ393212 TVJ393218:TVJ393221 TVJ458748 TVJ458754:TVJ458757 TVJ524284 TVJ524290:TVJ524293 TVJ589820 TVJ589826:TVJ589829 TVJ655356 TVJ655362:TVJ655365 TVJ720892 TVJ720898:TVJ720901 TVJ786428 TVJ786434:TVJ786437 TVJ851964 TVJ851970:TVJ851973 TVJ917500 TVJ917506:TVJ917509 TVJ983036 TVJ983042:TVJ983045 UFF2 UFF8:UFF11 UFF65532 UFF65538:UFF65541 UFF131068 UFF131074:UFF131077 UFF196604 UFF196610:UFF196613 UFF262140 UFF262146:UFF262149 UFF327676 UFF327682:UFF327685 UFF393212 UFF393218:UFF393221 UFF458748 UFF458754:UFF458757 UFF524284 UFF524290:UFF524293 UFF589820 UFF589826:UFF589829 UFF655356 UFF655362:UFF655365 UFF720892 UFF720898:UFF720901 UFF786428 UFF786434:UFF786437 UFF851964 UFF851970:UFF851973 UFF917500 UFF917506:UFF917509 UFF983036 UFF983042:UFF983045 UPB2 UPB8:UPB11 UPB65532 UPB65538:UPB65541 UPB131068 UPB131074:UPB131077 UPB196604 UPB196610:UPB196613 UPB262140 UPB262146:UPB262149 UPB327676 UPB327682:UPB327685 UPB393212 UPB393218:UPB393221 UPB458748 UPB458754:UPB458757 UPB524284 UPB524290:UPB524293 UPB589820 UPB589826:UPB589829 UPB655356 UPB655362:UPB655365 UPB720892 UPB720898:UPB720901 UPB786428 UPB786434:UPB786437 UPB851964 UPB851970:UPB851973 UPB917500 UPB917506:UPB917509 UPB983036 UPB983042:UPB983045 UYX2 UYX8:UYX11 UYX65532 UYX65538:UYX65541 UYX131068 UYX131074:UYX131077 UYX196604 UYX196610:UYX196613 UYX262140 UYX262146:UYX262149 UYX327676 UYX327682:UYX327685 UYX393212 UYX393218:UYX393221 UYX458748 UYX458754:UYX458757 UYX524284 UYX524290:UYX524293 UYX589820 UYX589826:UYX589829 UYX655356 UYX655362:UYX655365 UYX720892 UYX720898:UYX720901 UYX786428 UYX786434:UYX786437 UYX851964 UYX851970:UYX851973 UYX917500 UYX917506:UYX917509 UYX983036 UYX983042:UYX983045 VIT2 VIT8:VIT11 VIT65532 VIT65538:VIT65541 VIT131068 VIT131074:VIT131077 VIT196604 VIT196610:VIT196613 VIT262140 VIT262146:VIT262149 VIT327676 VIT327682:VIT327685 VIT393212 VIT393218:VIT393221 VIT458748 VIT458754:VIT458757 VIT524284 VIT524290:VIT524293 VIT589820 VIT589826:VIT589829 VIT655356 VIT655362:VIT655365 VIT720892 VIT720898:VIT720901 VIT786428 VIT786434:VIT786437 VIT851964 VIT851970:VIT851973 VIT917500 VIT917506:VIT917509 VIT983036 VIT983042:VIT983045 VSP2 VSP8:VSP11 VSP65532 VSP65538:VSP65541 VSP131068 VSP131074:VSP131077 VSP196604 VSP196610:VSP196613 VSP262140 VSP262146:VSP262149 VSP327676 VSP327682:VSP327685 VSP393212 VSP393218:VSP393221 VSP458748 VSP458754:VSP458757 VSP524284 VSP524290:VSP524293 VSP589820 VSP589826:VSP589829 VSP655356 VSP655362:VSP655365 VSP720892 VSP720898:VSP720901 VSP786428 VSP786434:VSP786437 VSP851964 VSP851970:VSP851973 VSP917500 VSP917506:VSP917509 VSP983036 VSP983042:VSP983045 WCL2 WCL8:WCL11 WCL65532 WCL65538:WCL65541 WCL131068 WCL131074:WCL131077 WCL196604 WCL196610:WCL196613 WCL262140 WCL262146:WCL262149 WCL327676 WCL327682:WCL327685 WCL393212 WCL393218:WCL393221 WCL458748 WCL458754:WCL458757 WCL524284 WCL524290:WCL524293 WCL589820 WCL589826:WCL589829 WCL655356 WCL655362:WCL655365 WCL720892 WCL720898:WCL720901 WCL786428 WCL786434:WCL786437 WCL851964 WCL851970:WCL851973 WCL917500 WCL917506:WCL917509 WCL983036 WCL983042:WCL983045 WMH2 WMH8:WMH11 WMH65532 WMH65538:WMH65541 WMH131068 WMH131074:WMH131077 WMH196604 WMH196610:WMH196613 WMH262140 WMH262146:WMH262149 WMH327676 WMH327682:WMH327685 WMH393212 WMH393218:WMH393221 WMH458748 WMH458754:WMH458757 WMH524284 WMH524290:WMH524293 WMH589820 WMH589826:WMH589829 WMH655356 WMH655362:WMH655365 WMH720892 WMH720898:WMH720901 WMH786428 WMH786434:WMH786437 WMH851964 WMH851970:WMH851973 WMH917500 WMH917506:WMH917509 WMH983036 WMH983042:WMH983045 WWD2 WWD8:WWD11 WWD65532 WWD65538:WWD65541 WWD131068 WWD131074:WWD131077 WWD196604 WWD196610:WWD196613 WWD262140 WWD262146:WWD262149 WWD327676 WWD327682:WWD327685 WWD393212 WWD393218:WWD393221 WWD458748 WWD458754:WWD458757 WWD524284 WWD524290:WWD524293 WWD589820 WWD589826:WWD589829 WWD655356 WWD655362:WWD655365 WWD720892 WWD720898:WWD720901 WWD786428 WWD786434:WWD786437 WWD851964 WWD851970:WWD851973 WWD917500 WWD917506:WWD917509 WWD983036 WWD983042:WWD983045" xr:uid="{00000000-0002-0000-0800-000019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2 U8:U11 U65532 U65538:U65541 U131068 U131074:U131077 U196604 U196610:U196613 U262140 U262146:U262149 U327676 U327682:U327685 U393212 U393218:U393221 U458748 U458754:U458757 U524284 U524290:U524293 U589820 U589826:U589829 U655356 U655362:U655365 U720892 U720898:U720901 U786428 U786434:U786437 U851964 U851970:U851973 U917500 U917506:U917509 U983036 U983042:U983045 JQ2 JQ8:JQ11 JQ65532 JQ65538:JQ65541 JQ131068 JQ131074:JQ131077 JQ196604 JQ196610:JQ196613 JQ262140 JQ262146:JQ262149 JQ327676 JQ327682:JQ327685 JQ393212 JQ393218:JQ393221 JQ458748 JQ458754:JQ458757 JQ524284 JQ524290:JQ524293 JQ589820 JQ589826:JQ589829 JQ655356 JQ655362:JQ655365 JQ720892 JQ720898:JQ720901 JQ786428 JQ786434:JQ786437 JQ851964 JQ851970:JQ851973 JQ917500 JQ917506:JQ917509 JQ983036 JQ983042:JQ983045 TM2 TM8:TM11 TM65532 TM65538:TM65541 TM131068 TM131074:TM131077 TM196604 TM196610:TM196613 TM262140 TM262146:TM262149 TM327676 TM327682:TM327685 TM393212 TM393218:TM393221 TM458748 TM458754:TM458757 TM524284 TM524290:TM524293 TM589820 TM589826:TM589829 TM655356 TM655362:TM655365 TM720892 TM720898:TM720901 TM786428 TM786434:TM786437 TM851964 TM851970:TM851973 TM917500 TM917506:TM917509 TM983036 TM983042:TM983045 ADI2 ADI8:ADI11 ADI65532 ADI65538:ADI65541 ADI131068 ADI131074:ADI131077 ADI196604 ADI196610:ADI196613 ADI262140 ADI262146:ADI262149 ADI327676 ADI327682:ADI327685 ADI393212 ADI393218:ADI393221 ADI458748 ADI458754:ADI458757 ADI524284 ADI524290:ADI524293 ADI589820 ADI589826:ADI589829 ADI655356 ADI655362:ADI655365 ADI720892 ADI720898:ADI720901 ADI786428 ADI786434:ADI786437 ADI851964 ADI851970:ADI851973 ADI917500 ADI917506:ADI917509 ADI983036 ADI983042:ADI983045 ANE2 ANE8:ANE11 ANE65532 ANE65538:ANE65541 ANE131068 ANE131074:ANE131077 ANE196604 ANE196610:ANE196613 ANE262140 ANE262146:ANE262149 ANE327676 ANE327682:ANE327685 ANE393212 ANE393218:ANE393221 ANE458748 ANE458754:ANE458757 ANE524284 ANE524290:ANE524293 ANE589820 ANE589826:ANE589829 ANE655356 ANE655362:ANE655365 ANE720892 ANE720898:ANE720901 ANE786428 ANE786434:ANE786437 ANE851964 ANE851970:ANE851973 ANE917500 ANE917506:ANE917509 ANE983036 ANE983042:ANE983045 AXA2 AXA8:AXA11 AXA65532 AXA65538:AXA65541 AXA131068 AXA131074:AXA131077 AXA196604 AXA196610:AXA196613 AXA262140 AXA262146:AXA262149 AXA327676 AXA327682:AXA327685 AXA393212 AXA393218:AXA393221 AXA458748 AXA458754:AXA458757 AXA524284 AXA524290:AXA524293 AXA589820 AXA589826:AXA589829 AXA655356 AXA655362:AXA655365 AXA720892 AXA720898:AXA720901 AXA786428 AXA786434:AXA786437 AXA851964 AXA851970:AXA851973 AXA917500 AXA917506:AXA917509 AXA983036 AXA983042:AXA983045 BGW2 BGW8:BGW11 BGW65532 BGW65538:BGW65541 BGW131068 BGW131074:BGW131077 BGW196604 BGW196610:BGW196613 BGW262140 BGW262146:BGW262149 BGW327676 BGW327682:BGW327685 BGW393212 BGW393218:BGW393221 BGW458748 BGW458754:BGW458757 BGW524284 BGW524290:BGW524293 BGW589820 BGW589826:BGW589829 BGW655356 BGW655362:BGW655365 BGW720892 BGW720898:BGW720901 BGW786428 BGW786434:BGW786437 BGW851964 BGW851970:BGW851973 BGW917500 BGW917506:BGW917509 BGW983036 BGW983042:BGW983045 BQS2 BQS8:BQS11 BQS65532 BQS65538:BQS65541 BQS131068 BQS131074:BQS131077 BQS196604 BQS196610:BQS196613 BQS262140 BQS262146:BQS262149 BQS327676 BQS327682:BQS327685 BQS393212 BQS393218:BQS393221 BQS458748 BQS458754:BQS458757 BQS524284 BQS524290:BQS524293 BQS589820 BQS589826:BQS589829 BQS655356 BQS655362:BQS655365 BQS720892 BQS720898:BQS720901 BQS786428 BQS786434:BQS786437 BQS851964 BQS851970:BQS851973 BQS917500 BQS917506:BQS917509 BQS983036 BQS983042:BQS983045 CAO2 CAO8:CAO11 CAO65532 CAO65538:CAO65541 CAO131068 CAO131074:CAO131077 CAO196604 CAO196610:CAO196613 CAO262140 CAO262146:CAO262149 CAO327676 CAO327682:CAO327685 CAO393212 CAO393218:CAO393221 CAO458748 CAO458754:CAO458757 CAO524284 CAO524290:CAO524293 CAO589820 CAO589826:CAO589829 CAO655356 CAO655362:CAO655365 CAO720892 CAO720898:CAO720901 CAO786428 CAO786434:CAO786437 CAO851964 CAO851970:CAO851973 CAO917500 CAO917506:CAO917509 CAO983036 CAO983042:CAO983045 CKK2 CKK8:CKK11 CKK65532 CKK65538:CKK65541 CKK131068 CKK131074:CKK131077 CKK196604 CKK196610:CKK196613 CKK262140 CKK262146:CKK262149 CKK327676 CKK327682:CKK327685 CKK393212 CKK393218:CKK393221 CKK458748 CKK458754:CKK458757 CKK524284 CKK524290:CKK524293 CKK589820 CKK589826:CKK589829 CKK655356 CKK655362:CKK655365 CKK720892 CKK720898:CKK720901 CKK786428 CKK786434:CKK786437 CKK851964 CKK851970:CKK851973 CKK917500 CKK917506:CKK917509 CKK983036 CKK983042:CKK983045 CUG2 CUG8:CUG11 CUG65532 CUG65538:CUG65541 CUG131068 CUG131074:CUG131077 CUG196604 CUG196610:CUG196613 CUG262140 CUG262146:CUG262149 CUG327676 CUG327682:CUG327685 CUG393212 CUG393218:CUG393221 CUG458748 CUG458754:CUG458757 CUG524284 CUG524290:CUG524293 CUG589820 CUG589826:CUG589829 CUG655356 CUG655362:CUG655365 CUG720892 CUG720898:CUG720901 CUG786428 CUG786434:CUG786437 CUG851964 CUG851970:CUG851973 CUG917500 CUG917506:CUG917509 CUG983036 CUG983042:CUG983045 DEC2 DEC8:DEC11 DEC65532 DEC65538:DEC65541 DEC131068 DEC131074:DEC131077 DEC196604 DEC196610:DEC196613 DEC262140 DEC262146:DEC262149 DEC327676 DEC327682:DEC327685 DEC393212 DEC393218:DEC393221 DEC458748 DEC458754:DEC458757 DEC524284 DEC524290:DEC524293 DEC589820 DEC589826:DEC589829 DEC655356 DEC655362:DEC655365 DEC720892 DEC720898:DEC720901 DEC786428 DEC786434:DEC786437 DEC851964 DEC851970:DEC851973 DEC917500 DEC917506:DEC917509 DEC983036 DEC983042:DEC983045 DNY2 DNY8:DNY11 DNY65532 DNY65538:DNY65541 DNY131068 DNY131074:DNY131077 DNY196604 DNY196610:DNY196613 DNY262140 DNY262146:DNY262149 DNY327676 DNY327682:DNY327685 DNY393212 DNY393218:DNY393221 DNY458748 DNY458754:DNY458757 DNY524284 DNY524290:DNY524293 DNY589820 DNY589826:DNY589829 DNY655356 DNY655362:DNY655365 DNY720892 DNY720898:DNY720901 DNY786428 DNY786434:DNY786437 DNY851964 DNY851970:DNY851973 DNY917500 DNY917506:DNY917509 DNY983036 DNY983042:DNY983045 DXU2 DXU8:DXU11 DXU65532 DXU65538:DXU65541 DXU131068 DXU131074:DXU131077 DXU196604 DXU196610:DXU196613 DXU262140 DXU262146:DXU262149 DXU327676 DXU327682:DXU327685 DXU393212 DXU393218:DXU393221 DXU458748 DXU458754:DXU458757 DXU524284 DXU524290:DXU524293 DXU589820 DXU589826:DXU589829 DXU655356 DXU655362:DXU655365 DXU720892 DXU720898:DXU720901 DXU786428 DXU786434:DXU786437 DXU851964 DXU851970:DXU851973 DXU917500 DXU917506:DXU917509 DXU983036 DXU983042:DXU983045 EHQ2 EHQ8:EHQ11 EHQ65532 EHQ65538:EHQ65541 EHQ131068 EHQ131074:EHQ131077 EHQ196604 EHQ196610:EHQ196613 EHQ262140 EHQ262146:EHQ262149 EHQ327676 EHQ327682:EHQ327685 EHQ393212 EHQ393218:EHQ393221 EHQ458748 EHQ458754:EHQ458757 EHQ524284 EHQ524290:EHQ524293 EHQ589820 EHQ589826:EHQ589829 EHQ655356 EHQ655362:EHQ655365 EHQ720892 EHQ720898:EHQ720901 EHQ786428 EHQ786434:EHQ786437 EHQ851964 EHQ851970:EHQ851973 EHQ917500 EHQ917506:EHQ917509 EHQ983036 EHQ983042:EHQ983045 ERM2 ERM8:ERM11 ERM65532 ERM65538:ERM65541 ERM131068 ERM131074:ERM131077 ERM196604 ERM196610:ERM196613 ERM262140 ERM262146:ERM262149 ERM327676 ERM327682:ERM327685 ERM393212 ERM393218:ERM393221 ERM458748 ERM458754:ERM458757 ERM524284 ERM524290:ERM524293 ERM589820 ERM589826:ERM589829 ERM655356 ERM655362:ERM655365 ERM720892 ERM720898:ERM720901 ERM786428 ERM786434:ERM786437 ERM851964 ERM851970:ERM851973 ERM917500 ERM917506:ERM917509 ERM983036 ERM983042:ERM983045 FBI2 FBI8:FBI11 FBI65532 FBI65538:FBI65541 FBI131068 FBI131074:FBI131077 FBI196604 FBI196610:FBI196613 FBI262140 FBI262146:FBI262149 FBI327676 FBI327682:FBI327685 FBI393212 FBI393218:FBI393221 FBI458748 FBI458754:FBI458757 FBI524284 FBI524290:FBI524293 FBI589820 FBI589826:FBI589829 FBI655356 FBI655362:FBI655365 FBI720892 FBI720898:FBI720901 FBI786428 FBI786434:FBI786437 FBI851964 FBI851970:FBI851973 FBI917500 FBI917506:FBI917509 FBI983036 FBI983042:FBI983045 FLE2 FLE8:FLE11 FLE65532 FLE65538:FLE65541 FLE131068 FLE131074:FLE131077 FLE196604 FLE196610:FLE196613 FLE262140 FLE262146:FLE262149 FLE327676 FLE327682:FLE327685 FLE393212 FLE393218:FLE393221 FLE458748 FLE458754:FLE458757 FLE524284 FLE524290:FLE524293 FLE589820 FLE589826:FLE589829 FLE655356 FLE655362:FLE655365 FLE720892 FLE720898:FLE720901 FLE786428 FLE786434:FLE786437 FLE851964 FLE851970:FLE851973 FLE917500 FLE917506:FLE917509 FLE983036 FLE983042:FLE983045 FVA2 FVA8:FVA11 FVA65532 FVA65538:FVA65541 FVA131068 FVA131074:FVA131077 FVA196604 FVA196610:FVA196613 FVA262140 FVA262146:FVA262149 FVA327676 FVA327682:FVA327685 FVA393212 FVA393218:FVA393221 FVA458748 FVA458754:FVA458757 FVA524284 FVA524290:FVA524293 FVA589820 FVA589826:FVA589829 FVA655356 FVA655362:FVA655365 FVA720892 FVA720898:FVA720901 FVA786428 FVA786434:FVA786437 FVA851964 FVA851970:FVA851973 FVA917500 FVA917506:FVA917509 FVA983036 FVA983042:FVA983045 GEW2 GEW8:GEW11 GEW65532 GEW65538:GEW65541 GEW131068 GEW131074:GEW131077 GEW196604 GEW196610:GEW196613 GEW262140 GEW262146:GEW262149 GEW327676 GEW327682:GEW327685 GEW393212 GEW393218:GEW393221 GEW458748 GEW458754:GEW458757 GEW524284 GEW524290:GEW524293 GEW589820 GEW589826:GEW589829 GEW655356 GEW655362:GEW655365 GEW720892 GEW720898:GEW720901 GEW786428 GEW786434:GEW786437 GEW851964 GEW851970:GEW851973 GEW917500 GEW917506:GEW917509 GEW983036 GEW983042:GEW983045 GOS2 GOS8:GOS11 GOS65532 GOS65538:GOS65541 GOS131068 GOS131074:GOS131077 GOS196604 GOS196610:GOS196613 GOS262140 GOS262146:GOS262149 GOS327676 GOS327682:GOS327685 GOS393212 GOS393218:GOS393221 GOS458748 GOS458754:GOS458757 GOS524284 GOS524290:GOS524293 GOS589820 GOS589826:GOS589829 GOS655356 GOS655362:GOS655365 GOS720892 GOS720898:GOS720901 GOS786428 GOS786434:GOS786437 GOS851964 GOS851970:GOS851973 GOS917500 GOS917506:GOS917509 GOS983036 GOS983042:GOS983045 GYO2 GYO8:GYO11 GYO65532 GYO65538:GYO65541 GYO131068 GYO131074:GYO131077 GYO196604 GYO196610:GYO196613 GYO262140 GYO262146:GYO262149 GYO327676 GYO327682:GYO327685 GYO393212 GYO393218:GYO393221 GYO458748 GYO458754:GYO458757 GYO524284 GYO524290:GYO524293 GYO589820 GYO589826:GYO589829 GYO655356 GYO655362:GYO655365 GYO720892 GYO720898:GYO720901 GYO786428 GYO786434:GYO786437 GYO851964 GYO851970:GYO851973 GYO917500 GYO917506:GYO917509 GYO983036 GYO983042:GYO983045 HIK2 HIK8:HIK11 HIK65532 HIK65538:HIK65541 HIK131068 HIK131074:HIK131077 HIK196604 HIK196610:HIK196613 HIK262140 HIK262146:HIK262149 HIK327676 HIK327682:HIK327685 HIK393212 HIK393218:HIK393221 HIK458748 HIK458754:HIK458757 HIK524284 HIK524290:HIK524293 HIK589820 HIK589826:HIK589829 HIK655356 HIK655362:HIK655365 HIK720892 HIK720898:HIK720901 HIK786428 HIK786434:HIK786437 HIK851964 HIK851970:HIK851973 HIK917500 HIK917506:HIK917509 HIK983036 HIK983042:HIK983045 HSG2 HSG8:HSG11 HSG65532 HSG65538:HSG65541 HSG131068 HSG131074:HSG131077 HSG196604 HSG196610:HSG196613 HSG262140 HSG262146:HSG262149 HSG327676 HSG327682:HSG327685 HSG393212 HSG393218:HSG393221 HSG458748 HSG458754:HSG458757 HSG524284 HSG524290:HSG524293 HSG589820 HSG589826:HSG589829 HSG655356 HSG655362:HSG655365 HSG720892 HSG720898:HSG720901 HSG786428 HSG786434:HSG786437 HSG851964 HSG851970:HSG851973 HSG917500 HSG917506:HSG917509 HSG983036 HSG983042:HSG983045 ICC2 ICC8:ICC11 ICC65532 ICC65538:ICC65541 ICC131068 ICC131074:ICC131077 ICC196604 ICC196610:ICC196613 ICC262140 ICC262146:ICC262149 ICC327676 ICC327682:ICC327685 ICC393212 ICC393218:ICC393221 ICC458748 ICC458754:ICC458757 ICC524284 ICC524290:ICC524293 ICC589820 ICC589826:ICC589829 ICC655356 ICC655362:ICC655365 ICC720892 ICC720898:ICC720901 ICC786428 ICC786434:ICC786437 ICC851964 ICC851970:ICC851973 ICC917500 ICC917506:ICC917509 ICC983036 ICC983042:ICC983045 ILY2 ILY8:ILY11 ILY65532 ILY65538:ILY65541 ILY131068 ILY131074:ILY131077 ILY196604 ILY196610:ILY196613 ILY262140 ILY262146:ILY262149 ILY327676 ILY327682:ILY327685 ILY393212 ILY393218:ILY393221 ILY458748 ILY458754:ILY458757 ILY524284 ILY524290:ILY524293 ILY589820 ILY589826:ILY589829 ILY655356 ILY655362:ILY655365 ILY720892 ILY720898:ILY720901 ILY786428 ILY786434:ILY786437 ILY851964 ILY851970:ILY851973 ILY917500 ILY917506:ILY917509 ILY983036 ILY983042:ILY983045 IVU2 IVU8:IVU11 IVU65532 IVU65538:IVU65541 IVU131068 IVU131074:IVU131077 IVU196604 IVU196610:IVU196613 IVU262140 IVU262146:IVU262149 IVU327676 IVU327682:IVU327685 IVU393212 IVU393218:IVU393221 IVU458748 IVU458754:IVU458757 IVU524284 IVU524290:IVU524293 IVU589820 IVU589826:IVU589829 IVU655356 IVU655362:IVU655365 IVU720892 IVU720898:IVU720901 IVU786428 IVU786434:IVU786437 IVU851964 IVU851970:IVU851973 IVU917500 IVU917506:IVU917509 IVU983036 IVU983042:IVU983045 JFQ2 JFQ8:JFQ11 JFQ65532 JFQ65538:JFQ65541 JFQ131068 JFQ131074:JFQ131077 JFQ196604 JFQ196610:JFQ196613 JFQ262140 JFQ262146:JFQ262149 JFQ327676 JFQ327682:JFQ327685 JFQ393212 JFQ393218:JFQ393221 JFQ458748 JFQ458754:JFQ458757 JFQ524284 JFQ524290:JFQ524293 JFQ589820 JFQ589826:JFQ589829 JFQ655356 JFQ655362:JFQ655365 JFQ720892 JFQ720898:JFQ720901 JFQ786428 JFQ786434:JFQ786437 JFQ851964 JFQ851970:JFQ851973 JFQ917500 JFQ917506:JFQ917509 JFQ983036 JFQ983042:JFQ983045 JPM2 JPM8:JPM11 JPM65532 JPM65538:JPM65541 JPM131068 JPM131074:JPM131077 JPM196604 JPM196610:JPM196613 JPM262140 JPM262146:JPM262149 JPM327676 JPM327682:JPM327685 JPM393212 JPM393218:JPM393221 JPM458748 JPM458754:JPM458757 JPM524284 JPM524290:JPM524293 JPM589820 JPM589826:JPM589829 JPM655356 JPM655362:JPM655365 JPM720892 JPM720898:JPM720901 JPM786428 JPM786434:JPM786437 JPM851964 JPM851970:JPM851973 JPM917500 JPM917506:JPM917509 JPM983036 JPM983042:JPM983045 JZI2 JZI8:JZI11 JZI65532 JZI65538:JZI65541 JZI131068 JZI131074:JZI131077 JZI196604 JZI196610:JZI196613 JZI262140 JZI262146:JZI262149 JZI327676 JZI327682:JZI327685 JZI393212 JZI393218:JZI393221 JZI458748 JZI458754:JZI458757 JZI524284 JZI524290:JZI524293 JZI589820 JZI589826:JZI589829 JZI655356 JZI655362:JZI655365 JZI720892 JZI720898:JZI720901 JZI786428 JZI786434:JZI786437 JZI851964 JZI851970:JZI851973 JZI917500 JZI917506:JZI917509 JZI983036 JZI983042:JZI983045 KJE2 KJE8:KJE11 KJE65532 KJE65538:KJE65541 KJE131068 KJE131074:KJE131077 KJE196604 KJE196610:KJE196613 KJE262140 KJE262146:KJE262149 KJE327676 KJE327682:KJE327685 KJE393212 KJE393218:KJE393221 KJE458748 KJE458754:KJE458757 KJE524284 KJE524290:KJE524293 KJE589820 KJE589826:KJE589829 KJE655356 KJE655362:KJE655365 KJE720892 KJE720898:KJE720901 KJE786428 KJE786434:KJE786437 KJE851964 KJE851970:KJE851973 KJE917500 KJE917506:KJE917509 KJE983036 KJE983042:KJE983045 KTA2 KTA8:KTA11 KTA65532 KTA65538:KTA65541 KTA131068 KTA131074:KTA131077 KTA196604 KTA196610:KTA196613 KTA262140 KTA262146:KTA262149 KTA327676 KTA327682:KTA327685 KTA393212 KTA393218:KTA393221 KTA458748 KTA458754:KTA458757 KTA524284 KTA524290:KTA524293 KTA589820 KTA589826:KTA589829 KTA655356 KTA655362:KTA655365 KTA720892 KTA720898:KTA720901 KTA786428 KTA786434:KTA786437 KTA851964 KTA851970:KTA851973 KTA917500 KTA917506:KTA917509 KTA983036 KTA983042:KTA983045 LCW2 LCW8:LCW11 LCW65532 LCW65538:LCW65541 LCW131068 LCW131074:LCW131077 LCW196604 LCW196610:LCW196613 LCW262140 LCW262146:LCW262149 LCW327676 LCW327682:LCW327685 LCW393212 LCW393218:LCW393221 LCW458748 LCW458754:LCW458757 LCW524284 LCW524290:LCW524293 LCW589820 LCW589826:LCW589829 LCW655356 LCW655362:LCW655365 LCW720892 LCW720898:LCW720901 LCW786428 LCW786434:LCW786437 LCW851964 LCW851970:LCW851973 LCW917500 LCW917506:LCW917509 LCW983036 LCW983042:LCW983045 LMS2 LMS8:LMS11 LMS65532 LMS65538:LMS65541 LMS131068 LMS131074:LMS131077 LMS196604 LMS196610:LMS196613 LMS262140 LMS262146:LMS262149 LMS327676 LMS327682:LMS327685 LMS393212 LMS393218:LMS393221 LMS458748 LMS458754:LMS458757 LMS524284 LMS524290:LMS524293 LMS589820 LMS589826:LMS589829 LMS655356 LMS655362:LMS655365 LMS720892 LMS720898:LMS720901 LMS786428 LMS786434:LMS786437 LMS851964 LMS851970:LMS851973 LMS917500 LMS917506:LMS917509 LMS983036 LMS983042:LMS983045 LWO2 LWO8:LWO11 LWO65532 LWO65538:LWO65541 LWO131068 LWO131074:LWO131077 LWO196604 LWO196610:LWO196613 LWO262140 LWO262146:LWO262149 LWO327676 LWO327682:LWO327685 LWO393212 LWO393218:LWO393221 LWO458748 LWO458754:LWO458757 LWO524284 LWO524290:LWO524293 LWO589820 LWO589826:LWO589829 LWO655356 LWO655362:LWO655365 LWO720892 LWO720898:LWO720901 LWO786428 LWO786434:LWO786437 LWO851964 LWO851970:LWO851973 LWO917500 LWO917506:LWO917509 LWO983036 LWO983042:LWO983045 MGK2 MGK8:MGK11 MGK65532 MGK65538:MGK65541 MGK131068 MGK131074:MGK131077 MGK196604 MGK196610:MGK196613 MGK262140 MGK262146:MGK262149 MGK327676 MGK327682:MGK327685 MGK393212 MGK393218:MGK393221 MGK458748 MGK458754:MGK458757 MGK524284 MGK524290:MGK524293 MGK589820 MGK589826:MGK589829 MGK655356 MGK655362:MGK655365 MGK720892 MGK720898:MGK720901 MGK786428 MGK786434:MGK786437 MGK851964 MGK851970:MGK851973 MGK917500 MGK917506:MGK917509 MGK983036 MGK983042:MGK983045 MQG2 MQG8:MQG11 MQG65532 MQG65538:MQG65541 MQG131068 MQG131074:MQG131077 MQG196604 MQG196610:MQG196613 MQG262140 MQG262146:MQG262149 MQG327676 MQG327682:MQG327685 MQG393212 MQG393218:MQG393221 MQG458748 MQG458754:MQG458757 MQG524284 MQG524290:MQG524293 MQG589820 MQG589826:MQG589829 MQG655356 MQG655362:MQG655365 MQG720892 MQG720898:MQG720901 MQG786428 MQG786434:MQG786437 MQG851964 MQG851970:MQG851973 MQG917500 MQG917506:MQG917509 MQG983036 MQG983042:MQG983045 NAC2 NAC8:NAC11 NAC65532 NAC65538:NAC65541 NAC131068 NAC131074:NAC131077 NAC196604 NAC196610:NAC196613 NAC262140 NAC262146:NAC262149 NAC327676 NAC327682:NAC327685 NAC393212 NAC393218:NAC393221 NAC458748 NAC458754:NAC458757 NAC524284 NAC524290:NAC524293 NAC589820 NAC589826:NAC589829 NAC655356 NAC655362:NAC655365 NAC720892 NAC720898:NAC720901 NAC786428 NAC786434:NAC786437 NAC851964 NAC851970:NAC851973 NAC917500 NAC917506:NAC917509 NAC983036 NAC983042:NAC983045 NJY2 NJY8:NJY11 NJY65532 NJY65538:NJY65541 NJY131068 NJY131074:NJY131077 NJY196604 NJY196610:NJY196613 NJY262140 NJY262146:NJY262149 NJY327676 NJY327682:NJY327685 NJY393212 NJY393218:NJY393221 NJY458748 NJY458754:NJY458757 NJY524284 NJY524290:NJY524293 NJY589820 NJY589826:NJY589829 NJY655356 NJY655362:NJY655365 NJY720892 NJY720898:NJY720901 NJY786428 NJY786434:NJY786437 NJY851964 NJY851970:NJY851973 NJY917500 NJY917506:NJY917509 NJY983036 NJY983042:NJY983045 NTU2 NTU8:NTU11 NTU65532 NTU65538:NTU65541 NTU131068 NTU131074:NTU131077 NTU196604 NTU196610:NTU196613 NTU262140 NTU262146:NTU262149 NTU327676 NTU327682:NTU327685 NTU393212 NTU393218:NTU393221 NTU458748 NTU458754:NTU458757 NTU524284 NTU524290:NTU524293 NTU589820 NTU589826:NTU589829 NTU655356 NTU655362:NTU655365 NTU720892 NTU720898:NTU720901 NTU786428 NTU786434:NTU786437 NTU851964 NTU851970:NTU851973 NTU917500 NTU917506:NTU917509 NTU983036 NTU983042:NTU983045 ODQ2 ODQ8:ODQ11 ODQ65532 ODQ65538:ODQ65541 ODQ131068 ODQ131074:ODQ131077 ODQ196604 ODQ196610:ODQ196613 ODQ262140 ODQ262146:ODQ262149 ODQ327676 ODQ327682:ODQ327685 ODQ393212 ODQ393218:ODQ393221 ODQ458748 ODQ458754:ODQ458757 ODQ524284 ODQ524290:ODQ524293 ODQ589820 ODQ589826:ODQ589829 ODQ655356 ODQ655362:ODQ655365 ODQ720892 ODQ720898:ODQ720901 ODQ786428 ODQ786434:ODQ786437 ODQ851964 ODQ851970:ODQ851973 ODQ917500 ODQ917506:ODQ917509 ODQ983036 ODQ983042:ODQ983045 ONM2 ONM8:ONM11 ONM65532 ONM65538:ONM65541 ONM131068 ONM131074:ONM131077 ONM196604 ONM196610:ONM196613 ONM262140 ONM262146:ONM262149 ONM327676 ONM327682:ONM327685 ONM393212 ONM393218:ONM393221 ONM458748 ONM458754:ONM458757 ONM524284 ONM524290:ONM524293 ONM589820 ONM589826:ONM589829 ONM655356 ONM655362:ONM655365 ONM720892 ONM720898:ONM720901 ONM786428 ONM786434:ONM786437 ONM851964 ONM851970:ONM851973 ONM917500 ONM917506:ONM917509 ONM983036 ONM983042:ONM983045 OXI2 OXI8:OXI11 OXI65532 OXI65538:OXI65541 OXI131068 OXI131074:OXI131077 OXI196604 OXI196610:OXI196613 OXI262140 OXI262146:OXI262149 OXI327676 OXI327682:OXI327685 OXI393212 OXI393218:OXI393221 OXI458748 OXI458754:OXI458757 OXI524284 OXI524290:OXI524293 OXI589820 OXI589826:OXI589829 OXI655356 OXI655362:OXI655365 OXI720892 OXI720898:OXI720901 OXI786428 OXI786434:OXI786437 OXI851964 OXI851970:OXI851973 OXI917500 OXI917506:OXI917509 OXI983036 OXI983042:OXI983045 PHE2 PHE8:PHE11 PHE65532 PHE65538:PHE65541 PHE131068 PHE131074:PHE131077 PHE196604 PHE196610:PHE196613 PHE262140 PHE262146:PHE262149 PHE327676 PHE327682:PHE327685 PHE393212 PHE393218:PHE393221 PHE458748 PHE458754:PHE458757 PHE524284 PHE524290:PHE524293 PHE589820 PHE589826:PHE589829 PHE655356 PHE655362:PHE655365 PHE720892 PHE720898:PHE720901 PHE786428 PHE786434:PHE786437 PHE851964 PHE851970:PHE851973 PHE917500 PHE917506:PHE917509 PHE983036 PHE983042:PHE983045 PRA2 PRA8:PRA11 PRA65532 PRA65538:PRA65541 PRA131068 PRA131074:PRA131077 PRA196604 PRA196610:PRA196613 PRA262140 PRA262146:PRA262149 PRA327676 PRA327682:PRA327685 PRA393212 PRA393218:PRA393221 PRA458748 PRA458754:PRA458757 PRA524284 PRA524290:PRA524293 PRA589820 PRA589826:PRA589829 PRA655356 PRA655362:PRA655365 PRA720892 PRA720898:PRA720901 PRA786428 PRA786434:PRA786437 PRA851964 PRA851970:PRA851973 PRA917500 PRA917506:PRA917509 PRA983036 PRA983042:PRA983045 QAW2 QAW8:QAW11 QAW65532 QAW65538:QAW65541 QAW131068 QAW131074:QAW131077 QAW196604 QAW196610:QAW196613 QAW262140 QAW262146:QAW262149 QAW327676 QAW327682:QAW327685 QAW393212 QAW393218:QAW393221 QAW458748 QAW458754:QAW458757 QAW524284 QAW524290:QAW524293 QAW589820 QAW589826:QAW589829 QAW655356 QAW655362:QAW655365 QAW720892 QAW720898:QAW720901 QAW786428 QAW786434:QAW786437 QAW851964 QAW851970:QAW851973 QAW917500 QAW917506:QAW917509 QAW983036 QAW983042:QAW983045 QKS2 QKS8:QKS11 QKS65532 QKS65538:QKS65541 QKS131068 QKS131074:QKS131077 QKS196604 QKS196610:QKS196613 QKS262140 QKS262146:QKS262149 QKS327676 QKS327682:QKS327685 QKS393212 QKS393218:QKS393221 QKS458748 QKS458754:QKS458757 QKS524284 QKS524290:QKS524293 QKS589820 QKS589826:QKS589829 QKS655356 QKS655362:QKS655365 QKS720892 QKS720898:QKS720901 QKS786428 QKS786434:QKS786437 QKS851964 QKS851970:QKS851973 QKS917500 QKS917506:QKS917509 QKS983036 QKS983042:QKS983045 QUO2 QUO8:QUO11 QUO65532 QUO65538:QUO65541 QUO131068 QUO131074:QUO131077 QUO196604 QUO196610:QUO196613 QUO262140 QUO262146:QUO262149 QUO327676 QUO327682:QUO327685 QUO393212 QUO393218:QUO393221 QUO458748 QUO458754:QUO458757 QUO524284 QUO524290:QUO524293 QUO589820 QUO589826:QUO589829 QUO655356 QUO655362:QUO655365 QUO720892 QUO720898:QUO720901 QUO786428 QUO786434:QUO786437 QUO851964 QUO851970:QUO851973 QUO917500 QUO917506:QUO917509 QUO983036 QUO983042:QUO983045 REK2 REK8:REK11 REK65532 REK65538:REK65541 REK131068 REK131074:REK131077 REK196604 REK196610:REK196613 REK262140 REK262146:REK262149 REK327676 REK327682:REK327685 REK393212 REK393218:REK393221 REK458748 REK458754:REK458757 REK524284 REK524290:REK524293 REK589820 REK589826:REK589829 REK655356 REK655362:REK655365 REK720892 REK720898:REK720901 REK786428 REK786434:REK786437 REK851964 REK851970:REK851973 REK917500 REK917506:REK917509 REK983036 REK983042:REK983045 ROG2 ROG8:ROG11 ROG65532 ROG65538:ROG65541 ROG131068 ROG131074:ROG131077 ROG196604 ROG196610:ROG196613 ROG262140 ROG262146:ROG262149 ROG327676 ROG327682:ROG327685 ROG393212 ROG393218:ROG393221 ROG458748 ROG458754:ROG458757 ROG524284 ROG524290:ROG524293 ROG589820 ROG589826:ROG589829 ROG655356 ROG655362:ROG655365 ROG720892 ROG720898:ROG720901 ROG786428 ROG786434:ROG786437 ROG851964 ROG851970:ROG851973 ROG917500 ROG917506:ROG917509 ROG983036 ROG983042:ROG983045 RYC2 RYC8:RYC11 RYC65532 RYC65538:RYC65541 RYC131068 RYC131074:RYC131077 RYC196604 RYC196610:RYC196613 RYC262140 RYC262146:RYC262149 RYC327676 RYC327682:RYC327685 RYC393212 RYC393218:RYC393221 RYC458748 RYC458754:RYC458757 RYC524284 RYC524290:RYC524293 RYC589820 RYC589826:RYC589829 RYC655356 RYC655362:RYC655365 RYC720892 RYC720898:RYC720901 RYC786428 RYC786434:RYC786437 RYC851964 RYC851970:RYC851973 RYC917500 RYC917506:RYC917509 RYC983036 RYC983042:RYC983045 SHY2 SHY8:SHY11 SHY65532 SHY65538:SHY65541 SHY131068 SHY131074:SHY131077 SHY196604 SHY196610:SHY196613 SHY262140 SHY262146:SHY262149 SHY327676 SHY327682:SHY327685 SHY393212 SHY393218:SHY393221 SHY458748 SHY458754:SHY458757 SHY524284 SHY524290:SHY524293 SHY589820 SHY589826:SHY589829 SHY655356 SHY655362:SHY655365 SHY720892 SHY720898:SHY720901 SHY786428 SHY786434:SHY786437 SHY851964 SHY851970:SHY851973 SHY917500 SHY917506:SHY917509 SHY983036 SHY983042:SHY983045 SRU2 SRU8:SRU11 SRU65532 SRU65538:SRU65541 SRU131068 SRU131074:SRU131077 SRU196604 SRU196610:SRU196613 SRU262140 SRU262146:SRU262149 SRU327676 SRU327682:SRU327685 SRU393212 SRU393218:SRU393221 SRU458748 SRU458754:SRU458757 SRU524284 SRU524290:SRU524293 SRU589820 SRU589826:SRU589829 SRU655356 SRU655362:SRU655365 SRU720892 SRU720898:SRU720901 SRU786428 SRU786434:SRU786437 SRU851964 SRU851970:SRU851973 SRU917500 SRU917506:SRU917509 SRU983036 SRU983042:SRU983045 TBQ2 TBQ8:TBQ11 TBQ65532 TBQ65538:TBQ65541 TBQ131068 TBQ131074:TBQ131077 TBQ196604 TBQ196610:TBQ196613 TBQ262140 TBQ262146:TBQ262149 TBQ327676 TBQ327682:TBQ327685 TBQ393212 TBQ393218:TBQ393221 TBQ458748 TBQ458754:TBQ458757 TBQ524284 TBQ524290:TBQ524293 TBQ589820 TBQ589826:TBQ589829 TBQ655356 TBQ655362:TBQ655365 TBQ720892 TBQ720898:TBQ720901 TBQ786428 TBQ786434:TBQ786437 TBQ851964 TBQ851970:TBQ851973 TBQ917500 TBQ917506:TBQ917509 TBQ983036 TBQ983042:TBQ983045 TLM2 TLM8:TLM11 TLM65532 TLM65538:TLM65541 TLM131068 TLM131074:TLM131077 TLM196604 TLM196610:TLM196613 TLM262140 TLM262146:TLM262149 TLM327676 TLM327682:TLM327685 TLM393212 TLM393218:TLM393221 TLM458748 TLM458754:TLM458757 TLM524284 TLM524290:TLM524293 TLM589820 TLM589826:TLM589829 TLM655356 TLM655362:TLM655365 TLM720892 TLM720898:TLM720901 TLM786428 TLM786434:TLM786437 TLM851964 TLM851970:TLM851973 TLM917500 TLM917506:TLM917509 TLM983036 TLM983042:TLM983045 TVI2 TVI8:TVI11 TVI65532 TVI65538:TVI65541 TVI131068 TVI131074:TVI131077 TVI196604 TVI196610:TVI196613 TVI262140 TVI262146:TVI262149 TVI327676 TVI327682:TVI327685 TVI393212 TVI393218:TVI393221 TVI458748 TVI458754:TVI458757 TVI524284 TVI524290:TVI524293 TVI589820 TVI589826:TVI589829 TVI655356 TVI655362:TVI655365 TVI720892 TVI720898:TVI720901 TVI786428 TVI786434:TVI786437 TVI851964 TVI851970:TVI851973 TVI917500 TVI917506:TVI917509 TVI983036 TVI983042:TVI983045 UFE2 UFE8:UFE11 UFE65532 UFE65538:UFE65541 UFE131068 UFE131074:UFE131077 UFE196604 UFE196610:UFE196613 UFE262140 UFE262146:UFE262149 UFE327676 UFE327682:UFE327685 UFE393212 UFE393218:UFE393221 UFE458748 UFE458754:UFE458757 UFE524284 UFE524290:UFE524293 UFE589820 UFE589826:UFE589829 UFE655356 UFE655362:UFE655365 UFE720892 UFE720898:UFE720901 UFE786428 UFE786434:UFE786437 UFE851964 UFE851970:UFE851973 UFE917500 UFE917506:UFE917509 UFE983036 UFE983042:UFE983045 UPA2 UPA8:UPA11 UPA65532 UPA65538:UPA65541 UPA131068 UPA131074:UPA131077 UPA196604 UPA196610:UPA196613 UPA262140 UPA262146:UPA262149 UPA327676 UPA327682:UPA327685 UPA393212 UPA393218:UPA393221 UPA458748 UPA458754:UPA458757 UPA524284 UPA524290:UPA524293 UPA589820 UPA589826:UPA589829 UPA655356 UPA655362:UPA655365 UPA720892 UPA720898:UPA720901 UPA786428 UPA786434:UPA786437 UPA851964 UPA851970:UPA851973 UPA917500 UPA917506:UPA917509 UPA983036 UPA983042:UPA983045 UYW2 UYW8:UYW11 UYW65532 UYW65538:UYW65541 UYW131068 UYW131074:UYW131077 UYW196604 UYW196610:UYW196613 UYW262140 UYW262146:UYW262149 UYW327676 UYW327682:UYW327685 UYW393212 UYW393218:UYW393221 UYW458748 UYW458754:UYW458757 UYW524284 UYW524290:UYW524293 UYW589820 UYW589826:UYW589829 UYW655356 UYW655362:UYW655365 UYW720892 UYW720898:UYW720901 UYW786428 UYW786434:UYW786437 UYW851964 UYW851970:UYW851973 UYW917500 UYW917506:UYW917509 UYW983036 UYW983042:UYW983045 VIS2 VIS8:VIS11 VIS65532 VIS65538:VIS65541 VIS131068 VIS131074:VIS131077 VIS196604 VIS196610:VIS196613 VIS262140 VIS262146:VIS262149 VIS327676 VIS327682:VIS327685 VIS393212 VIS393218:VIS393221 VIS458748 VIS458754:VIS458757 VIS524284 VIS524290:VIS524293 VIS589820 VIS589826:VIS589829 VIS655356 VIS655362:VIS655365 VIS720892 VIS720898:VIS720901 VIS786428 VIS786434:VIS786437 VIS851964 VIS851970:VIS851973 VIS917500 VIS917506:VIS917509 VIS983036 VIS983042:VIS983045 VSO2 VSO8:VSO11 VSO65532 VSO65538:VSO65541 VSO131068 VSO131074:VSO131077 VSO196604 VSO196610:VSO196613 VSO262140 VSO262146:VSO262149 VSO327676 VSO327682:VSO327685 VSO393212 VSO393218:VSO393221 VSO458748 VSO458754:VSO458757 VSO524284 VSO524290:VSO524293 VSO589820 VSO589826:VSO589829 VSO655356 VSO655362:VSO655365 VSO720892 VSO720898:VSO720901 VSO786428 VSO786434:VSO786437 VSO851964 VSO851970:VSO851973 VSO917500 VSO917506:VSO917509 VSO983036 VSO983042:VSO983045 WCK2 WCK8:WCK11 WCK65532 WCK65538:WCK65541 WCK131068 WCK131074:WCK131077 WCK196604 WCK196610:WCK196613 WCK262140 WCK262146:WCK262149 WCK327676 WCK327682:WCK327685 WCK393212 WCK393218:WCK393221 WCK458748 WCK458754:WCK458757 WCK524284 WCK524290:WCK524293 WCK589820 WCK589826:WCK589829 WCK655356 WCK655362:WCK655365 WCK720892 WCK720898:WCK720901 WCK786428 WCK786434:WCK786437 WCK851964 WCK851970:WCK851973 WCK917500 WCK917506:WCK917509 WCK983036 WCK983042:WCK983045 WMG2 WMG8:WMG11 WMG65532 WMG65538:WMG65541 WMG131068 WMG131074:WMG131077 WMG196604 WMG196610:WMG196613 WMG262140 WMG262146:WMG262149 WMG327676 WMG327682:WMG327685 WMG393212 WMG393218:WMG393221 WMG458748 WMG458754:WMG458757 WMG524284 WMG524290:WMG524293 WMG589820 WMG589826:WMG589829 WMG655356 WMG655362:WMG655365 WMG720892 WMG720898:WMG720901 WMG786428 WMG786434:WMG786437 WMG851964 WMG851970:WMG851973 WMG917500 WMG917506:WMG917509 WMG983036 WMG983042:WMG983045 WWC2 WWC8:WWC11 WWC65532 WWC65538:WWC65541 WWC131068 WWC131074:WWC131077 WWC196604 WWC196610:WWC196613 WWC262140 WWC262146:WWC262149 WWC327676 WWC327682:WWC327685 WWC393212 WWC393218:WWC393221 WWC458748 WWC458754:WWC458757 WWC524284 WWC524290:WWC524293 WWC589820 WWC589826:WWC589829 WWC655356 WWC655362:WWC655365 WWC720892 WWC720898:WWC720901 WWC786428 WWC786434:WWC786437 WWC851964 WWC851970:WWC851973 WWC917500 WWC917506:WWC917509 WWC983036 WWC983042:WWC983045" xr:uid="{00000000-0002-0000-0800-00001A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2 T8:T11 T12:W26 T65532 T65538:T65541 T65542:W65556 T131068 T131074:T131077 T131078:W131092 T196604 T196610:T196613 T196614:W196628 T262140 T262146:T262149 T262150:W262164 T327676 T327682:T327685 T327686:W327700 T393212 T393218:T393221 T393222:W393236 T458748 T458754:T458757 T458758:W458772 T524284 T524290:T524293 T524294:W524308 T589820 T589826:T589829 T589830:W589844 T655356 T655362:T655365 T655366:W655380 T720892 T720898:T720901 T720902:W720916 T786428 T786434:T786437 T786438:W786452 T851964 T851970:T851973 T851974:W851988 T917500 T917506:T917509 T917510:W917524 T983036 T983042:T983045 T983046:W983060 JP2 JP8:JP11 JP12:JS26 JP65532 JP65538:JP65541 JP65542:JS65556 JP131068 JP131074:JP131077 JP131078:JS131092 JP196604 JP196610:JP196613 JP196614:JS196628 JP262140 JP262146:JP262149 JP262150:JS262164 JP327676 JP327682:JP327685 JP327686:JS327700 JP393212 JP393218:JP393221 JP393222:JS393236 JP458748 JP458754:JP458757 JP458758:JS458772 JP524284 JP524290:JP524293 JP524294:JS524308 JP589820 JP589826:JP589829 JP589830:JS589844 JP655356 JP655362:JP655365 JP655366:JS655380 JP720892 JP720898:JP720901 JP720902:JS720916 JP786428 JP786434:JP786437 JP786438:JS786452 JP851964 JP851970:JP851973 JP851974:JS851988 JP917500 JP917506:JP917509 JP917510:JS917524 JP983036 JP983042:JP983045 JP983046:JS983060 TL2 TL8:TL11 TL12:TO26 TL65532 TL65538:TL65541 TL65542:TO65556 TL131068 TL131074:TL131077 TL131078:TO131092 TL196604 TL196610:TL196613 TL196614:TO196628 TL262140 TL262146:TL262149 TL262150:TO262164 TL327676 TL327682:TL327685 TL327686:TO327700 TL393212 TL393218:TL393221 TL393222:TO393236 TL458748 TL458754:TL458757 TL458758:TO458772 TL524284 TL524290:TL524293 TL524294:TO524308 TL589820 TL589826:TL589829 TL589830:TO589844 TL655356 TL655362:TL655365 TL655366:TO655380 TL720892 TL720898:TL720901 TL720902:TO720916 TL786428 TL786434:TL786437 TL786438:TO786452 TL851964 TL851970:TL851973 TL851974:TO851988 TL917500 TL917506:TL917509 TL917510:TO917524 TL983036 TL983042:TL983045 TL983046:TO983060 ADH2 ADH8:ADH11 ADH12:ADK26 ADH65532 ADH65538:ADH65541 ADH65542:ADK65556 ADH131068 ADH131074:ADH131077 ADH131078:ADK131092 ADH196604 ADH196610:ADH196613 ADH196614:ADK196628 ADH262140 ADH262146:ADH262149 ADH262150:ADK262164 ADH327676 ADH327682:ADH327685 ADH327686:ADK327700 ADH393212 ADH393218:ADH393221 ADH393222:ADK393236 ADH458748 ADH458754:ADH458757 ADH458758:ADK458772 ADH524284 ADH524290:ADH524293 ADH524294:ADK524308 ADH589820 ADH589826:ADH589829 ADH589830:ADK589844 ADH655356 ADH655362:ADH655365 ADH655366:ADK655380 ADH720892 ADH720898:ADH720901 ADH720902:ADK720916 ADH786428 ADH786434:ADH786437 ADH786438:ADK786452 ADH851964 ADH851970:ADH851973 ADH851974:ADK851988 ADH917500 ADH917506:ADH917509 ADH917510:ADK917524 ADH983036 ADH983042:ADH983045 ADH983046:ADK983060 AND2 AND8:AND11 AND12:ANG26 AND65532 AND65538:AND65541 AND65542:ANG65556 AND131068 AND131074:AND131077 AND131078:ANG131092 AND196604 AND196610:AND196613 AND196614:ANG196628 AND262140 AND262146:AND262149 AND262150:ANG262164 AND327676 AND327682:AND327685 AND327686:ANG327700 AND393212 AND393218:AND393221 AND393222:ANG393236 AND458748 AND458754:AND458757 AND458758:ANG458772 AND524284 AND524290:AND524293 AND524294:ANG524308 AND589820 AND589826:AND589829 AND589830:ANG589844 AND655356 AND655362:AND655365 AND655366:ANG655380 AND720892 AND720898:AND720901 AND720902:ANG720916 AND786428 AND786434:AND786437 AND786438:ANG786452 AND851964 AND851970:AND851973 AND851974:ANG851988 AND917500 AND917506:AND917509 AND917510:ANG917524 AND983036 AND983042:AND983045 AND983046:ANG983060 AWZ2 AWZ8:AWZ11 AWZ12:AXC26 AWZ65532 AWZ65538:AWZ65541 AWZ65542:AXC65556 AWZ131068 AWZ131074:AWZ131077 AWZ131078:AXC131092 AWZ196604 AWZ196610:AWZ196613 AWZ196614:AXC196628 AWZ262140 AWZ262146:AWZ262149 AWZ262150:AXC262164 AWZ327676 AWZ327682:AWZ327685 AWZ327686:AXC327700 AWZ393212 AWZ393218:AWZ393221 AWZ393222:AXC393236 AWZ458748 AWZ458754:AWZ458757 AWZ458758:AXC458772 AWZ524284 AWZ524290:AWZ524293 AWZ524294:AXC524308 AWZ589820 AWZ589826:AWZ589829 AWZ589830:AXC589844 AWZ655356 AWZ655362:AWZ655365 AWZ655366:AXC655380 AWZ720892 AWZ720898:AWZ720901 AWZ720902:AXC720916 AWZ786428 AWZ786434:AWZ786437 AWZ786438:AXC786452 AWZ851964 AWZ851970:AWZ851973 AWZ851974:AXC851988 AWZ917500 AWZ917506:AWZ917509 AWZ917510:AXC917524 AWZ983036 AWZ983042:AWZ983045 AWZ983046:AXC983060 BGV2 BGV8:BGV11 BGV12:BGY26 BGV65532 BGV65538:BGV65541 BGV65542:BGY65556 BGV131068 BGV131074:BGV131077 BGV131078:BGY131092 BGV196604 BGV196610:BGV196613 BGV196614:BGY196628 BGV262140 BGV262146:BGV262149 BGV262150:BGY262164 BGV327676 BGV327682:BGV327685 BGV327686:BGY327700 BGV393212 BGV393218:BGV393221 BGV393222:BGY393236 BGV458748 BGV458754:BGV458757 BGV458758:BGY458772 BGV524284 BGV524290:BGV524293 BGV524294:BGY524308 BGV589820 BGV589826:BGV589829 BGV589830:BGY589844 BGV655356 BGV655362:BGV655365 BGV655366:BGY655380 BGV720892 BGV720898:BGV720901 BGV720902:BGY720916 BGV786428 BGV786434:BGV786437 BGV786438:BGY786452 BGV851964 BGV851970:BGV851973 BGV851974:BGY851988 BGV917500 BGV917506:BGV917509 BGV917510:BGY917524 BGV983036 BGV983042:BGV983045 BGV983046:BGY983060 BQR2 BQR8:BQR11 BQR12:BQU26 BQR65532 BQR65538:BQR65541 BQR65542:BQU65556 BQR131068 BQR131074:BQR131077 BQR131078:BQU131092 BQR196604 BQR196610:BQR196613 BQR196614:BQU196628 BQR262140 BQR262146:BQR262149 BQR262150:BQU262164 BQR327676 BQR327682:BQR327685 BQR327686:BQU327700 BQR393212 BQR393218:BQR393221 BQR393222:BQU393236 BQR458748 BQR458754:BQR458757 BQR458758:BQU458772 BQR524284 BQR524290:BQR524293 BQR524294:BQU524308 BQR589820 BQR589826:BQR589829 BQR589830:BQU589844 BQR655356 BQR655362:BQR655365 BQR655366:BQU655380 BQR720892 BQR720898:BQR720901 BQR720902:BQU720916 BQR786428 BQR786434:BQR786437 BQR786438:BQU786452 BQR851964 BQR851970:BQR851973 BQR851974:BQU851988 BQR917500 BQR917506:BQR917509 BQR917510:BQU917524 BQR983036 BQR983042:BQR983045 BQR983046:BQU983060 CAN2 CAN8:CAN11 CAN12:CAQ26 CAN65532 CAN65538:CAN65541 CAN65542:CAQ65556 CAN131068 CAN131074:CAN131077 CAN131078:CAQ131092 CAN196604 CAN196610:CAN196613 CAN196614:CAQ196628 CAN262140 CAN262146:CAN262149 CAN262150:CAQ262164 CAN327676 CAN327682:CAN327685 CAN327686:CAQ327700 CAN393212 CAN393218:CAN393221 CAN393222:CAQ393236 CAN458748 CAN458754:CAN458757 CAN458758:CAQ458772 CAN524284 CAN524290:CAN524293 CAN524294:CAQ524308 CAN589820 CAN589826:CAN589829 CAN589830:CAQ589844 CAN655356 CAN655362:CAN655365 CAN655366:CAQ655380 CAN720892 CAN720898:CAN720901 CAN720902:CAQ720916 CAN786428 CAN786434:CAN786437 CAN786438:CAQ786452 CAN851964 CAN851970:CAN851973 CAN851974:CAQ851988 CAN917500 CAN917506:CAN917509 CAN917510:CAQ917524 CAN983036 CAN983042:CAN983045 CAN983046:CAQ983060 CKJ2 CKJ8:CKJ11 CKJ12:CKM26 CKJ65532 CKJ65538:CKJ65541 CKJ65542:CKM65556 CKJ131068 CKJ131074:CKJ131077 CKJ131078:CKM131092 CKJ196604 CKJ196610:CKJ196613 CKJ196614:CKM196628 CKJ262140 CKJ262146:CKJ262149 CKJ262150:CKM262164 CKJ327676 CKJ327682:CKJ327685 CKJ327686:CKM327700 CKJ393212 CKJ393218:CKJ393221 CKJ393222:CKM393236 CKJ458748 CKJ458754:CKJ458757 CKJ458758:CKM458772 CKJ524284 CKJ524290:CKJ524293 CKJ524294:CKM524308 CKJ589820 CKJ589826:CKJ589829 CKJ589830:CKM589844 CKJ655356 CKJ655362:CKJ655365 CKJ655366:CKM655380 CKJ720892 CKJ720898:CKJ720901 CKJ720902:CKM720916 CKJ786428 CKJ786434:CKJ786437 CKJ786438:CKM786452 CKJ851964 CKJ851970:CKJ851973 CKJ851974:CKM851988 CKJ917500 CKJ917506:CKJ917509 CKJ917510:CKM917524 CKJ983036 CKJ983042:CKJ983045 CKJ983046:CKM983060 CUF2 CUF8:CUF11 CUF12:CUI26 CUF65532 CUF65538:CUF65541 CUF65542:CUI65556 CUF131068 CUF131074:CUF131077 CUF131078:CUI131092 CUF196604 CUF196610:CUF196613 CUF196614:CUI196628 CUF262140 CUF262146:CUF262149 CUF262150:CUI262164 CUF327676 CUF327682:CUF327685 CUF327686:CUI327700 CUF393212 CUF393218:CUF393221 CUF393222:CUI393236 CUF458748 CUF458754:CUF458757 CUF458758:CUI458772 CUF524284 CUF524290:CUF524293 CUF524294:CUI524308 CUF589820 CUF589826:CUF589829 CUF589830:CUI589844 CUF655356 CUF655362:CUF655365 CUF655366:CUI655380 CUF720892 CUF720898:CUF720901 CUF720902:CUI720916 CUF786428 CUF786434:CUF786437 CUF786438:CUI786452 CUF851964 CUF851970:CUF851973 CUF851974:CUI851988 CUF917500 CUF917506:CUF917509 CUF917510:CUI917524 CUF983036 CUF983042:CUF983045 CUF983046:CUI983060 DEB2 DEB8:DEB11 DEB12:DEE26 DEB65532 DEB65538:DEB65541 DEB65542:DEE65556 DEB131068 DEB131074:DEB131077 DEB131078:DEE131092 DEB196604 DEB196610:DEB196613 DEB196614:DEE196628 DEB262140 DEB262146:DEB262149 DEB262150:DEE262164 DEB327676 DEB327682:DEB327685 DEB327686:DEE327700 DEB393212 DEB393218:DEB393221 DEB393222:DEE393236 DEB458748 DEB458754:DEB458757 DEB458758:DEE458772 DEB524284 DEB524290:DEB524293 DEB524294:DEE524308 DEB589820 DEB589826:DEB589829 DEB589830:DEE589844 DEB655356 DEB655362:DEB655365 DEB655366:DEE655380 DEB720892 DEB720898:DEB720901 DEB720902:DEE720916 DEB786428 DEB786434:DEB786437 DEB786438:DEE786452 DEB851964 DEB851970:DEB851973 DEB851974:DEE851988 DEB917500 DEB917506:DEB917509 DEB917510:DEE917524 DEB983036 DEB983042:DEB983045 DEB983046:DEE983060 DNX2 DNX8:DNX11 DNX12:DOA26 DNX65532 DNX65538:DNX65541 DNX65542:DOA65556 DNX131068 DNX131074:DNX131077 DNX131078:DOA131092 DNX196604 DNX196610:DNX196613 DNX196614:DOA196628 DNX262140 DNX262146:DNX262149 DNX262150:DOA262164 DNX327676 DNX327682:DNX327685 DNX327686:DOA327700 DNX393212 DNX393218:DNX393221 DNX393222:DOA393236 DNX458748 DNX458754:DNX458757 DNX458758:DOA458772 DNX524284 DNX524290:DNX524293 DNX524294:DOA524308 DNX589820 DNX589826:DNX589829 DNX589830:DOA589844 DNX655356 DNX655362:DNX655365 DNX655366:DOA655380 DNX720892 DNX720898:DNX720901 DNX720902:DOA720916 DNX786428 DNX786434:DNX786437 DNX786438:DOA786452 DNX851964 DNX851970:DNX851973 DNX851974:DOA851988 DNX917500 DNX917506:DNX917509 DNX917510:DOA917524 DNX983036 DNX983042:DNX983045 DNX983046:DOA983060 DXT2 DXT8:DXT11 DXT12:DXW26 DXT65532 DXT65538:DXT65541 DXT65542:DXW65556 DXT131068 DXT131074:DXT131077 DXT131078:DXW131092 DXT196604 DXT196610:DXT196613 DXT196614:DXW196628 DXT262140 DXT262146:DXT262149 DXT262150:DXW262164 DXT327676 DXT327682:DXT327685 DXT327686:DXW327700 DXT393212 DXT393218:DXT393221 DXT393222:DXW393236 DXT458748 DXT458754:DXT458757 DXT458758:DXW458772 DXT524284 DXT524290:DXT524293 DXT524294:DXW524308 DXT589820 DXT589826:DXT589829 DXT589830:DXW589844 DXT655356 DXT655362:DXT655365 DXT655366:DXW655380 DXT720892 DXT720898:DXT720901 DXT720902:DXW720916 DXT786428 DXT786434:DXT786437 DXT786438:DXW786452 DXT851964 DXT851970:DXT851973 DXT851974:DXW851988 DXT917500 DXT917506:DXT917509 DXT917510:DXW917524 DXT983036 DXT983042:DXT983045 DXT983046:DXW983060 EHP2 EHP8:EHP11 EHP12:EHS26 EHP65532 EHP65538:EHP65541 EHP65542:EHS65556 EHP131068 EHP131074:EHP131077 EHP131078:EHS131092 EHP196604 EHP196610:EHP196613 EHP196614:EHS196628 EHP262140 EHP262146:EHP262149 EHP262150:EHS262164 EHP327676 EHP327682:EHP327685 EHP327686:EHS327700 EHP393212 EHP393218:EHP393221 EHP393222:EHS393236 EHP458748 EHP458754:EHP458757 EHP458758:EHS458772 EHP524284 EHP524290:EHP524293 EHP524294:EHS524308 EHP589820 EHP589826:EHP589829 EHP589830:EHS589844 EHP655356 EHP655362:EHP655365 EHP655366:EHS655380 EHP720892 EHP720898:EHP720901 EHP720902:EHS720916 EHP786428 EHP786434:EHP786437 EHP786438:EHS786452 EHP851964 EHP851970:EHP851973 EHP851974:EHS851988 EHP917500 EHP917506:EHP917509 EHP917510:EHS917524 EHP983036 EHP983042:EHP983045 EHP983046:EHS983060 ERL2 ERL8:ERL11 ERL12:ERO26 ERL65532 ERL65538:ERL65541 ERL65542:ERO65556 ERL131068 ERL131074:ERL131077 ERL131078:ERO131092 ERL196604 ERL196610:ERL196613 ERL196614:ERO196628 ERL262140 ERL262146:ERL262149 ERL262150:ERO262164 ERL327676 ERL327682:ERL327685 ERL327686:ERO327700 ERL393212 ERL393218:ERL393221 ERL393222:ERO393236 ERL458748 ERL458754:ERL458757 ERL458758:ERO458772 ERL524284 ERL524290:ERL524293 ERL524294:ERO524308 ERL589820 ERL589826:ERL589829 ERL589830:ERO589844 ERL655356 ERL655362:ERL655365 ERL655366:ERO655380 ERL720892 ERL720898:ERL720901 ERL720902:ERO720916 ERL786428 ERL786434:ERL786437 ERL786438:ERO786452 ERL851964 ERL851970:ERL851973 ERL851974:ERO851988 ERL917500 ERL917506:ERL917509 ERL917510:ERO917524 ERL983036 ERL983042:ERL983045 ERL983046:ERO983060 FBH2 FBH8:FBH11 FBH12:FBK26 FBH65532 FBH65538:FBH65541 FBH65542:FBK65556 FBH131068 FBH131074:FBH131077 FBH131078:FBK131092 FBH196604 FBH196610:FBH196613 FBH196614:FBK196628 FBH262140 FBH262146:FBH262149 FBH262150:FBK262164 FBH327676 FBH327682:FBH327685 FBH327686:FBK327700 FBH393212 FBH393218:FBH393221 FBH393222:FBK393236 FBH458748 FBH458754:FBH458757 FBH458758:FBK458772 FBH524284 FBH524290:FBH524293 FBH524294:FBK524308 FBH589820 FBH589826:FBH589829 FBH589830:FBK589844 FBH655356 FBH655362:FBH655365 FBH655366:FBK655380 FBH720892 FBH720898:FBH720901 FBH720902:FBK720916 FBH786428 FBH786434:FBH786437 FBH786438:FBK786452 FBH851964 FBH851970:FBH851973 FBH851974:FBK851988 FBH917500 FBH917506:FBH917509 FBH917510:FBK917524 FBH983036 FBH983042:FBH983045 FBH983046:FBK983060 FLD2 FLD8:FLD11 FLD12:FLG26 FLD65532 FLD65538:FLD65541 FLD65542:FLG65556 FLD131068 FLD131074:FLD131077 FLD131078:FLG131092 FLD196604 FLD196610:FLD196613 FLD196614:FLG196628 FLD262140 FLD262146:FLD262149 FLD262150:FLG262164 FLD327676 FLD327682:FLD327685 FLD327686:FLG327700 FLD393212 FLD393218:FLD393221 FLD393222:FLG393236 FLD458748 FLD458754:FLD458757 FLD458758:FLG458772 FLD524284 FLD524290:FLD524293 FLD524294:FLG524308 FLD589820 FLD589826:FLD589829 FLD589830:FLG589844 FLD655356 FLD655362:FLD655365 FLD655366:FLG655380 FLD720892 FLD720898:FLD720901 FLD720902:FLG720916 FLD786428 FLD786434:FLD786437 FLD786438:FLG786452 FLD851964 FLD851970:FLD851973 FLD851974:FLG851988 FLD917500 FLD917506:FLD917509 FLD917510:FLG917524 FLD983036 FLD983042:FLD983045 FLD983046:FLG983060 FUZ2 FUZ8:FUZ11 FUZ12:FVC26 FUZ65532 FUZ65538:FUZ65541 FUZ65542:FVC65556 FUZ131068 FUZ131074:FUZ131077 FUZ131078:FVC131092 FUZ196604 FUZ196610:FUZ196613 FUZ196614:FVC196628 FUZ262140 FUZ262146:FUZ262149 FUZ262150:FVC262164 FUZ327676 FUZ327682:FUZ327685 FUZ327686:FVC327700 FUZ393212 FUZ393218:FUZ393221 FUZ393222:FVC393236 FUZ458748 FUZ458754:FUZ458757 FUZ458758:FVC458772 FUZ524284 FUZ524290:FUZ524293 FUZ524294:FVC524308 FUZ589820 FUZ589826:FUZ589829 FUZ589830:FVC589844 FUZ655356 FUZ655362:FUZ655365 FUZ655366:FVC655380 FUZ720892 FUZ720898:FUZ720901 FUZ720902:FVC720916 FUZ786428 FUZ786434:FUZ786437 FUZ786438:FVC786452 FUZ851964 FUZ851970:FUZ851973 FUZ851974:FVC851988 FUZ917500 FUZ917506:FUZ917509 FUZ917510:FVC917524 FUZ983036 FUZ983042:FUZ983045 FUZ983046:FVC983060 GEV2 GEV8:GEV11 GEV12:GEY26 GEV65532 GEV65538:GEV65541 GEV65542:GEY65556 GEV131068 GEV131074:GEV131077 GEV131078:GEY131092 GEV196604 GEV196610:GEV196613 GEV196614:GEY196628 GEV262140 GEV262146:GEV262149 GEV262150:GEY262164 GEV327676 GEV327682:GEV327685 GEV327686:GEY327700 GEV393212 GEV393218:GEV393221 GEV393222:GEY393236 GEV458748 GEV458754:GEV458757 GEV458758:GEY458772 GEV524284 GEV524290:GEV524293 GEV524294:GEY524308 GEV589820 GEV589826:GEV589829 GEV589830:GEY589844 GEV655356 GEV655362:GEV655365 GEV655366:GEY655380 GEV720892 GEV720898:GEV720901 GEV720902:GEY720916 GEV786428 GEV786434:GEV786437 GEV786438:GEY786452 GEV851964 GEV851970:GEV851973 GEV851974:GEY851988 GEV917500 GEV917506:GEV917509 GEV917510:GEY917524 GEV983036 GEV983042:GEV983045 GEV983046:GEY983060 GOR2 GOR8:GOR11 GOR12:GOU26 GOR65532 GOR65538:GOR65541 GOR65542:GOU65556 GOR131068 GOR131074:GOR131077 GOR131078:GOU131092 GOR196604 GOR196610:GOR196613 GOR196614:GOU196628 GOR262140 GOR262146:GOR262149 GOR262150:GOU262164 GOR327676 GOR327682:GOR327685 GOR327686:GOU327700 GOR393212 GOR393218:GOR393221 GOR393222:GOU393236 GOR458748 GOR458754:GOR458757 GOR458758:GOU458772 GOR524284 GOR524290:GOR524293 GOR524294:GOU524308 GOR589820 GOR589826:GOR589829 GOR589830:GOU589844 GOR655356 GOR655362:GOR655365 GOR655366:GOU655380 GOR720892 GOR720898:GOR720901 GOR720902:GOU720916 GOR786428 GOR786434:GOR786437 GOR786438:GOU786452 GOR851964 GOR851970:GOR851973 GOR851974:GOU851988 GOR917500 GOR917506:GOR917509 GOR917510:GOU917524 GOR983036 GOR983042:GOR983045 GOR983046:GOU983060 GYN2 GYN8:GYN11 GYN12:GYQ26 GYN65532 GYN65538:GYN65541 GYN65542:GYQ65556 GYN131068 GYN131074:GYN131077 GYN131078:GYQ131092 GYN196604 GYN196610:GYN196613 GYN196614:GYQ196628 GYN262140 GYN262146:GYN262149 GYN262150:GYQ262164 GYN327676 GYN327682:GYN327685 GYN327686:GYQ327700 GYN393212 GYN393218:GYN393221 GYN393222:GYQ393236 GYN458748 GYN458754:GYN458757 GYN458758:GYQ458772 GYN524284 GYN524290:GYN524293 GYN524294:GYQ524308 GYN589820 GYN589826:GYN589829 GYN589830:GYQ589844 GYN655356 GYN655362:GYN655365 GYN655366:GYQ655380 GYN720892 GYN720898:GYN720901 GYN720902:GYQ720916 GYN786428 GYN786434:GYN786437 GYN786438:GYQ786452 GYN851964 GYN851970:GYN851973 GYN851974:GYQ851988 GYN917500 GYN917506:GYN917509 GYN917510:GYQ917524 GYN983036 GYN983042:GYN983045 GYN983046:GYQ983060 HIJ2 HIJ8:HIJ11 HIJ12:HIM26 HIJ65532 HIJ65538:HIJ65541 HIJ65542:HIM65556 HIJ131068 HIJ131074:HIJ131077 HIJ131078:HIM131092 HIJ196604 HIJ196610:HIJ196613 HIJ196614:HIM196628 HIJ262140 HIJ262146:HIJ262149 HIJ262150:HIM262164 HIJ327676 HIJ327682:HIJ327685 HIJ327686:HIM327700 HIJ393212 HIJ393218:HIJ393221 HIJ393222:HIM393236 HIJ458748 HIJ458754:HIJ458757 HIJ458758:HIM458772 HIJ524284 HIJ524290:HIJ524293 HIJ524294:HIM524308 HIJ589820 HIJ589826:HIJ589829 HIJ589830:HIM589844 HIJ655356 HIJ655362:HIJ655365 HIJ655366:HIM655380 HIJ720892 HIJ720898:HIJ720901 HIJ720902:HIM720916 HIJ786428 HIJ786434:HIJ786437 HIJ786438:HIM786452 HIJ851964 HIJ851970:HIJ851973 HIJ851974:HIM851988 HIJ917500 HIJ917506:HIJ917509 HIJ917510:HIM917524 HIJ983036 HIJ983042:HIJ983045 HIJ983046:HIM983060 HSF2 HSF8:HSF11 HSF12:HSI26 HSF65532 HSF65538:HSF65541 HSF65542:HSI65556 HSF131068 HSF131074:HSF131077 HSF131078:HSI131092 HSF196604 HSF196610:HSF196613 HSF196614:HSI196628 HSF262140 HSF262146:HSF262149 HSF262150:HSI262164 HSF327676 HSF327682:HSF327685 HSF327686:HSI327700 HSF393212 HSF393218:HSF393221 HSF393222:HSI393236 HSF458748 HSF458754:HSF458757 HSF458758:HSI458772 HSF524284 HSF524290:HSF524293 HSF524294:HSI524308 HSF589820 HSF589826:HSF589829 HSF589830:HSI589844 HSF655356 HSF655362:HSF655365 HSF655366:HSI655380 HSF720892 HSF720898:HSF720901 HSF720902:HSI720916 HSF786428 HSF786434:HSF786437 HSF786438:HSI786452 HSF851964 HSF851970:HSF851973 HSF851974:HSI851988 HSF917500 HSF917506:HSF917509 HSF917510:HSI917524 HSF983036 HSF983042:HSF983045 HSF983046:HSI983060 ICB2 ICB8:ICB11 ICB12:ICE26 ICB65532 ICB65538:ICB65541 ICB65542:ICE65556 ICB131068 ICB131074:ICB131077 ICB131078:ICE131092 ICB196604 ICB196610:ICB196613 ICB196614:ICE196628 ICB262140 ICB262146:ICB262149 ICB262150:ICE262164 ICB327676 ICB327682:ICB327685 ICB327686:ICE327700 ICB393212 ICB393218:ICB393221 ICB393222:ICE393236 ICB458748 ICB458754:ICB458757 ICB458758:ICE458772 ICB524284 ICB524290:ICB524293 ICB524294:ICE524308 ICB589820 ICB589826:ICB589829 ICB589830:ICE589844 ICB655356 ICB655362:ICB655365 ICB655366:ICE655380 ICB720892 ICB720898:ICB720901 ICB720902:ICE720916 ICB786428 ICB786434:ICB786437 ICB786438:ICE786452 ICB851964 ICB851970:ICB851973 ICB851974:ICE851988 ICB917500 ICB917506:ICB917509 ICB917510:ICE917524 ICB983036 ICB983042:ICB983045 ICB983046:ICE983060 ILX2 ILX8:ILX11 ILX12:IMA26 ILX65532 ILX65538:ILX65541 ILX65542:IMA65556 ILX131068 ILX131074:ILX131077 ILX131078:IMA131092 ILX196604 ILX196610:ILX196613 ILX196614:IMA196628 ILX262140 ILX262146:ILX262149 ILX262150:IMA262164 ILX327676 ILX327682:ILX327685 ILX327686:IMA327700 ILX393212 ILX393218:ILX393221 ILX393222:IMA393236 ILX458748 ILX458754:ILX458757 ILX458758:IMA458772 ILX524284 ILX524290:ILX524293 ILX524294:IMA524308 ILX589820 ILX589826:ILX589829 ILX589830:IMA589844 ILX655356 ILX655362:ILX655365 ILX655366:IMA655380 ILX720892 ILX720898:ILX720901 ILX720902:IMA720916 ILX786428 ILX786434:ILX786437 ILX786438:IMA786452 ILX851964 ILX851970:ILX851973 ILX851974:IMA851988 ILX917500 ILX917506:ILX917509 ILX917510:IMA917524 ILX983036 ILX983042:ILX983045 ILX983046:IMA983060 IVT2 IVT8:IVT11 IVT12:IVW26 IVT65532 IVT65538:IVT65541 IVT65542:IVW65556 IVT131068 IVT131074:IVT131077 IVT131078:IVW131092 IVT196604 IVT196610:IVT196613 IVT196614:IVW196628 IVT262140 IVT262146:IVT262149 IVT262150:IVW262164 IVT327676 IVT327682:IVT327685 IVT327686:IVW327700 IVT393212 IVT393218:IVT393221 IVT393222:IVW393236 IVT458748 IVT458754:IVT458757 IVT458758:IVW458772 IVT524284 IVT524290:IVT524293 IVT524294:IVW524308 IVT589820 IVT589826:IVT589829 IVT589830:IVW589844 IVT655356 IVT655362:IVT655365 IVT655366:IVW655380 IVT720892 IVT720898:IVT720901 IVT720902:IVW720916 IVT786428 IVT786434:IVT786437 IVT786438:IVW786452 IVT851964 IVT851970:IVT851973 IVT851974:IVW851988 IVT917500 IVT917506:IVT917509 IVT917510:IVW917524 IVT983036 IVT983042:IVT983045 IVT983046:IVW983060 JFP2 JFP8:JFP11 JFP12:JFS26 JFP65532 JFP65538:JFP65541 JFP65542:JFS65556 JFP131068 JFP131074:JFP131077 JFP131078:JFS131092 JFP196604 JFP196610:JFP196613 JFP196614:JFS196628 JFP262140 JFP262146:JFP262149 JFP262150:JFS262164 JFP327676 JFP327682:JFP327685 JFP327686:JFS327700 JFP393212 JFP393218:JFP393221 JFP393222:JFS393236 JFP458748 JFP458754:JFP458757 JFP458758:JFS458772 JFP524284 JFP524290:JFP524293 JFP524294:JFS524308 JFP589820 JFP589826:JFP589829 JFP589830:JFS589844 JFP655356 JFP655362:JFP655365 JFP655366:JFS655380 JFP720892 JFP720898:JFP720901 JFP720902:JFS720916 JFP786428 JFP786434:JFP786437 JFP786438:JFS786452 JFP851964 JFP851970:JFP851973 JFP851974:JFS851988 JFP917500 JFP917506:JFP917509 JFP917510:JFS917524 JFP983036 JFP983042:JFP983045 JFP983046:JFS983060 JPL2 JPL8:JPL11 JPL12:JPO26 JPL65532 JPL65538:JPL65541 JPL65542:JPO65556 JPL131068 JPL131074:JPL131077 JPL131078:JPO131092 JPL196604 JPL196610:JPL196613 JPL196614:JPO196628 JPL262140 JPL262146:JPL262149 JPL262150:JPO262164 JPL327676 JPL327682:JPL327685 JPL327686:JPO327700 JPL393212 JPL393218:JPL393221 JPL393222:JPO393236 JPL458748 JPL458754:JPL458757 JPL458758:JPO458772 JPL524284 JPL524290:JPL524293 JPL524294:JPO524308 JPL589820 JPL589826:JPL589829 JPL589830:JPO589844 JPL655356 JPL655362:JPL655365 JPL655366:JPO655380 JPL720892 JPL720898:JPL720901 JPL720902:JPO720916 JPL786428 JPL786434:JPL786437 JPL786438:JPO786452 JPL851964 JPL851970:JPL851973 JPL851974:JPO851988 JPL917500 JPL917506:JPL917509 JPL917510:JPO917524 JPL983036 JPL983042:JPL983045 JPL983046:JPO983060 JZH2 JZH8:JZH11 JZH12:JZK26 JZH65532 JZH65538:JZH65541 JZH65542:JZK65556 JZH131068 JZH131074:JZH131077 JZH131078:JZK131092 JZH196604 JZH196610:JZH196613 JZH196614:JZK196628 JZH262140 JZH262146:JZH262149 JZH262150:JZK262164 JZH327676 JZH327682:JZH327685 JZH327686:JZK327700 JZH393212 JZH393218:JZH393221 JZH393222:JZK393236 JZH458748 JZH458754:JZH458757 JZH458758:JZK458772 JZH524284 JZH524290:JZH524293 JZH524294:JZK524308 JZH589820 JZH589826:JZH589829 JZH589830:JZK589844 JZH655356 JZH655362:JZH655365 JZH655366:JZK655380 JZH720892 JZH720898:JZH720901 JZH720902:JZK720916 JZH786428 JZH786434:JZH786437 JZH786438:JZK786452 JZH851964 JZH851970:JZH851973 JZH851974:JZK851988 JZH917500 JZH917506:JZH917509 JZH917510:JZK917524 JZH983036 JZH983042:JZH983045 JZH983046:JZK983060 KJD2 KJD8:KJD11 KJD12:KJG26 KJD65532 KJD65538:KJD65541 KJD65542:KJG65556 KJD131068 KJD131074:KJD131077 KJD131078:KJG131092 KJD196604 KJD196610:KJD196613 KJD196614:KJG196628 KJD262140 KJD262146:KJD262149 KJD262150:KJG262164 KJD327676 KJD327682:KJD327685 KJD327686:KJG327700 KJD393212 KJD393218:KJD393221 KJD393222:KJG393236 KJD458748 KJD458754:KJD458757 KJD458758:KJG458772 KJD524284 KJD524290:KJD524293 KJD524294:KJG524308 KJD589820 KJD589826:KJD589829 KJD589830:KJG589844 KJD655356 KJD655362:KJD655365 KJD655366:KJG655380 KJD720892 KJD720898:KJD720901 KJD720902:KJG720916 KJD786428 KJD786434:KJD786437 KJD786438:KJG786452 KJD851964 KJD851970:KJD851973 KJD851974:KJG851988 KJD917500 KJD917506:KJD917509 KJD917510:KJG917524 KJD983036 KJD983042:KJD983045 KJD983046:KJG983060 KSZ2 KSZ8:KSZ11 KSZ12:KTC26 KSZ65532 KSZ65538:KSZ65541 KSZ65542:KTC65556 KSZ131068 KSZ131074:KSZ131077 KSZ131078:KTC131092 KSZ196604 KSZ196610:KSZ196613 KSZ196614:KTC196628 KSZ262140 KSZ262146:KSZ262149 KSZ262150:KTC262164 KSZ327676 KSZ327682:KSZ327685 KSZ327686:KTC327700 KSZ393212 KSZ393218:KSZ393221 KSZ393222:KTC393236 KSZ458748 KSZ458754:KSZ458757 KSZ458758:KTC458772 KSZ524284 KSZ524290:KSZ524293 KSZ524294:KTC524308 KSZ589820 KSZ589826:KSZ589829 KSZ589830:KTC589844 KSZ655356 KSZ655362:KSZ655365 KSZ655366:KTC655380 KSZ720892 KSZ720898:KSZ720901 KSZ720902:KTC720916 KSZ786428 KSZ786434:KSZ786437 KSZ786438:KTC786452 KSZ851964 KSZ851970:KSZ851973 KSZ851974:KTC851988 KSZ917500 KSZ917506:KSZ917509 KSZ917510:KTC917524 KSZ983036 KSZ983042:KSZ983045 KSZ983046:KTC983060 LCV2 LCV8:LCV11 LCV12:LCY26 LCV65532 LCV65538:LCV65541 LCV65542:LCY65556 LCV131068 LCV131074:LCV131077 LCV131078:LCY131092 LCV196604 LCV196610:LCV196613 LCV196614:LCY196628 LCV262140 LCV262146:LCV262149 LCV262150:LCY262164 LCV327676 LCV327682:LCV327685 LCV327686:LCY327700 LCV393212 LCV393218:LCV393221 LCV393222:LCY393236 LCV458748 LCV458754:LCV458757 LCV458758:LCY458772 LCV524284 LCV524290:LCV524293 LCV524294:LCY524308 LCV589820 LCV589826:LCV589829 LCV589830:LCY589844 LCV655356 LCV655362:LCV655365 LCV655366:LCY655380 LCV720892 LCV720898:LCV720901 LCV720902:LCY720916 LCV786428 LCV786434:LCV786437 LCV786438:LCY786452 LCV851964 LCV851970:LCV851973 LCV851974:LCY851988 LCV917500 LCV917506:LCV917509 LCV917510:LCY917524 LCV983036 LCV983042:LCV983045 LCV983046:LCY983060 LMR2 LMR8:LMR11 LMR12:LMU26 LMR65532 LMR65538:LMR65541 LMR65542:LMU65556 LMR131068 LMR131074:LMR131077 LMR131078:LMU131092 LMR196604 LMR196610:LMR196613 LMR196614:LMU196628 LMR262140 LMR262146:LMR262149 LMR262150:LMU262164 LMR327676 LMR327682:LMR327685 LMR327686:LMU327700 LMR393212 LMR393218:LMR393221 LMR393222:LMU393236 LMR458748 LMR458754:LMR458757 LMR458758:LMU458772 LMR524284 LMR524290:LMR524293 LMR524294:LMU524308 LMR589820 LMR589826:LMR589829 LMR589830:LMU589844 LMR655356 LMR655362:LMR655365 LMR655366:LMU655380 LMR720892 LMR720898:LMR720901 LMR720902:LMU720916 LMR786428 LMR786434:LMR786437 LMR786438:LMU786452 LMR851964 LMR851970:LMR851973 LMR851974:LMU851988 LMR917500 LMR917506:LMR917509 LMR917510:LMU917524 LMR983036 LMR983042:LMR983045 LMR983046:LMU983060 LWN2 LWN8:LWN11 LWN12:LWQ26 LWN65532 LWN65538:LWN65541 LWN65542:LWQ65556 LWN131068 LWN131074:LWN131077 LWN131078:LWQ131092 LWN196604 LWN196610:LWN196613 LWN196614:LWQ196628 LWN262140 LWN262146:LWN262149 LWN262150:LWQ262164 LWN327676 LWN327682:LWN327685 LWN327686:LWQ327700 LWN393212 LWN393218:LWN393221 LWN393222:LWQ393236 LWN458748 LWN458754:LWN458757 LWN458758:LWQ458772 LWN524284 LWN524290:LWN524293 LWN524294:LWQ524308 LWN589820 LWN589826:LWN589829 LWN589830:LWQ589844 LWN655356 LWN655362:LWN655365 LWN655366:LWQ655380 LWN720892 LWN720898:LWN720901 LWN720902:LWQ720916 LWN786428 LWN786434:LWN786437 LWN786438:LWQ786452 LWN851964 LWN851970:LWN851973 LWN851974:LWQ851988 LWN917500 LWN917506:LWN917509 LWN917510:LWQ917524 LWN983036 LWN983042:LWN983045 LWN983046:LWQ983060 MGJ2 MGJ8:MGJ11 MGJ12:MGM26 MGJ65532 MGJ65538:MGJ65541 MGJ65542:MGM65556 MGJ131068 MGJ131074:MGJ131077 MGJ131078:MGM131092 MGJ196604 MGJ196610:MGJ196613 MGJ196614:MGM196628 MGJ262140 MGJ262146:MGJ262149 MGJ262150:MGM262164 MGJ327676 MGJ327682:MGJ327685 MGJ327686:MGM327700 MGJ393212 MGJ393218:MGJ393221 MGJ393222:MGM393236 MGJ458748 MGJ458754:MGJ458757 MGJ458758:MGM458772 MGJ524284 MGJ524290:MGJ524293 MGJ524294:MGM524308 MGJ589820 MGJ589826:MGJ589829 MGJ589830:MGM589844 MGJ655356 MGJ655362:MGJ655365 MGJ655366:MGM655380 MGJ720892 MGJ720898:MGJ720901 MGJ720902:MGM720916 MGJ786428 MGJ786434:MGJ786437 MGJ786438:MGM786452 MGJ851964 MGJ851970:MGJ851973 MGJ851974:MGM851988 MGJ917500 MGJ917506:MGJ917509 MGJ917510:MGM917524 MGJ983036 MGJ983042:MGJ983045 MGJ983046:MGM983060 MQF2 MQF8:MQF11 MQF12:MQI26 MQF65532 MQF65538:MQF65541 MQF65542:MQI65556 MQF131068 MQF131074:MQF131077 MQF131078:MQI131092 MQF196604 MQF196610:MQF196613 MQF196614:MQI196628 MQF262140 MQF262146:MQF262149 MQF262150:MQI262164 MQF327676 MQF327682:MQF327685 MQF327686:MQI327700 MQF393212 MQF393218:MQF393221 MQF393222:MQI393236 MQF458748 MQF458754:MQF458757 MQF458758:MQI458772 MQF524284 MQF524290:MQF524293 MQF524294:MQI524308 MQF589820 MQF589826:MQF589829 MQF589830:MQI589844 MQF655356 MQF655362:MQF655365 MQF655366:MQI655380 MQF720892 MQF720898:MQF720901 MQF720902:MQI720916 MQF786428 MQF786434:MQF786437 MQF786438:MQI786452 MQF851964 MQF851970:MQF851973 MQF851974:MQI851988 MQF917500 MQF917506:MQF917509 MQF917510:MQI917524 MQF983036 MQF983042:MQF983045 MQF983046:MQI983060 NAB2 NAB8:NAB11 NAB12:NAE26 NAB65532 NAB65538:NAB65541 NAB65542:NAE65556 NAB131068 NAB131074:NAB131077 NAB131078:NAE131092 NAB196604 NAB196610:NAB196613 NAB196614:NAE196628 NAB262140 NAB262146:NAB262149 NAB262150:NAE262164 NAB327676 NAB327682:NAB327685 NAB327686:NAE327700 NAB393212 NAB393218:NAB393221 NAB393222:NAE393236 NAB458748 NAB458754:NAB458757 NAB458758:NAE458772 NAB524284 NAB524290:NAB524293 NAB524294:NAE524308 NAB589820 NAB589826:NAB589829 NAB589830:NAE589844 NAB655356 NAB655362:NAB655365 NAB655366:NAE655380 NAB720892 NAB720898:NAB720901 NAB720902:NAE720916 NAB786428 NAB786434:NAB786437 NAB786438:NAE786452 NAB851964 NAB851970:NAB851973 NAB851974:NAE851988 NAB917500 NAB917506:NAB917509 NAB917510:NAE917524 NAB983036 NAB983042:NAB983045 NAB983046:NAE983060 NJX2 NJX8:NJX11 NJX12:NKA26 NJX65532 NJX65538:NJX65541 NJX65542:NKA65556 NJX131068 NJX131074:NJX131077 NJX131078:NKA131092 NJX196604 NJX196610:NJX196613 NJX196614:NKA196628 NJX262140 NJX262146:NJX262149 NJX262150:NKA262164 NJX327676 NJX327682:NJX327685 NJX327686:NKA327700 NJX393212 NJX393218:NJX393221 NJX393222:NKA393236 NJX458748 NJX458754:NJX458757 NJX458758:NKA458772 NJX524284 NJX524290:NJX524293 NJX524294:NKA524308 NJX589820 NJX589826:NJX589829 NJX589830:NKA589844 NJX655356 NJX655362:NJX655365 NJX655366:NKA655380 NJX720892 NJX720898:NJX720901 NJX720902:NKA720916 NJX786428 NJX786434:NJX786437 NJX786438:NKA786452 NJX851964 NJX851970:NJX851973 NJX851974:NKA851988 NJX917500 NJX917506:NJX917509 NJX917510:NKA917524 NJX983036 NJX983042:NJX983045 NJX983046:NKA983060 NTT2 NTT8:NTT11 NTT12:NTW26 NTT65532 NTT65538:NTT65541 NTT65542:NTW65556 NTT131068 NTT131074:NTT131077 NTT131078:NTW131092 NTT196604 NTT196610:NTT196613 NTT196614:NTW196628 NTT262140 NTT262146:NTT262149 NTT262150:NTW262164 NTT327676 NTT327682:NTT327685 NTT327686:NTW327700 NTT393212 NTT393218:NTT393221 NTT393222:NTW393236 NTT458748 NTT458754:NTT458757 NTT458758:NTW458772 NTT524284 NTT524290:NTT524293 NTT524294:NTW524308 NTT589820 NTT589826:NTT589829 NTT589830:NTW589844 NTT655356 NTT655362:NTT655365 NTT655366:NTW655380 NTT720892 NTT720898:NTT720901 NTT720902:NTW720916 NTT786428 NTT786434:NTT786437 NTT786438:NTW786452 NTT851964 NTT851970:NTT851973 NTT851974:NTW851988 NTT917500 NTT917506:NTT917509 NTT917510:NTW917524 NTT983036 NTT983042:NTT983045 NTT983046:NTW983060 ODP2 ODP8:ODP11 ODP12:ODS26 ODP65532 ODP65538:ODP65541 ODP65542:ODS65556 ODP131068 ODP131074:ODP131077 ODP131078:ODS131092 ODP196604 ODP196610:ODP196613 ODP196614:ODS196628 ODP262140 ODP262146:ODP262149 ODP262150:ODS262164 ODP327676 ODP327682:ODP327685 ODP327686:ODS327700 ODP393212 ODP393218:ODP393221 ODP393222:ODS393236 ODP458748 ODP458754:ODP458757 ODP458758:ODS458772 ODP524284 ODP524290:ODP524293 ODP524294:ODS524308 ODP589820 ODP589826:ODP589829 ODP589830:ODS589844 ODP655356 ODP655362:ODP655365 ODP655366:ODS655380 ODP720892 ODP720898:ODP720901 ODP720902:ODS720916 ODP786428 ODP786434:ODP786437 ODP786438:ODS786452 ODP851964 ODP851970:ODP851973 ODP851974:ODS851988 ODP917500 ODP917506:ODP917509 ODP917510:ODS917524 ODP983036 ODP983042:ODP983045 ODP983046:ODS983060 ONL2 ONL8:ONL11 ONL12:ONO26 ONL65532 ONL65538:ONL65541 ONL65542:ONO65556 ONL131068 ONL131074:ONL131077 ONL131078:ONO131092 ONL196604 ONL196610:ONL196613 ONL196614:ONO196628 ONL262140 ONL262146:ONL262149 ONL262150:ONO262164 ONL327676 ONL327682:ONL327685 ONL327686:ONO327700 ONL393212 ONL393218:ONL393221 ONL393222:ONO393236 ONL458748 ONL458754:ONL458757 ONL458758:ONO458772 ONL524284 ONL524290:ONL524293 ONL524294:ONO524308 ONL589820 ONL589826:ONL589829 ONL589830:ONO589844 ONL655356 ONL655362:ONL655365 ONL655366:ONO655380 ONL720892 ONL720898:ONL720901 ONL720902:ONO720916 ONL786428 ONL786434:ONL786437 ONL786438:ONO786452 ONL851964 ONL851970:ONL851973 ONL851974:ONO851988 ONL917500 ONL917506:ONL917509 ONL917510:ONO917524 ONL983036 ONL983042:ONL983045 ONL983046:ONO983060 OXH2 OXH8:OXH11 OXH12:OXK26 OXH65532 OXH65538:OXH65541 OXH65542:OXK65556 OXH131068 OXH131074:OXH131077 OXH131078:OXK131092 OXH196604 OXH196610:OXH196613 OXH196614:OXK196628 OXH262140 OXH262146:OXH262149 OXH262150:OXK262164 OXH327676 OXH327682:OXH327685 OXH327686:OXK327700 OXH393212 OXH393218:OXH393221 OXH393222:OXK393236 OXH458748 OXH458754:OXH458757 OXH458758:OXK458772 OXH524284 OXH524290:OXH524293 OXH524294:OXK524308 OXH589820 OXH589826:OXH589829 OXH589830:OXK589844 OXH655356 OXH655362:OXH655365 OXH655366:OXK655380 OXH720892 OXH720898:OXH720901 OXH720902:OXK720916 OXH786428 OXH786434:OXH786437 OXH786438:OXK786452 OXH851964 OXH851970:OXH851973 OXH851974:OXK851988 OXH917500 OXH917506:OXH917509 OXH917510:OXK917524 OXH983036 OXH983042:OXH983045 OXH983046:OXK983060 PHD2 PHD8:PHD11 PHD12:PHG26 PHD65532 PHD65538:PHD65541 PHD65542:PHG65556 PHD131068 PHD131074:PHD131077 PHD131078:PHG131092 PHD196604 PHD196610:PHD196613 PHD196614:PHG196628 PHD262140 PHD262146:PHD262149 PHD262150:PHG262164 PHD327676 PHD327682:PHD327685 PHD327686:PHG327700 PHD393212 PHD393218:PHD393221 PHD393222:PHG393236 PHD458748 PHD458754:PHD458757 PHD458758:PHG458772 PHD524284 PHD524290:PHD524293 PHD524294:PHG524308 PHD589820 PHD589826:PHD589829 PHD589830:PHG589844 PHD655356 PHD655362:PHD655365 PHD655366:PHG655380 PHD720892 PHD720898:PHD720901 PHD720902:PHG720916 PHD786428 PHD786434:PHD786437 PHD786438:PHG786452 PHD851964 PHD851970:PHD851973 PHD851974:PHG851988 PHD917500 PHD917506:PHD917509 PHD917510:PHG917524 PHD983036 PHD983042:PHD983045 PHD983046:PHG983060 PQZ2 PQZ8:PQZ11 PQZ12:PRC26 PQZ65532 PQZ65538:PQZ65541 PQZ65542:PRC65556 PQZ131068 PQZ131074:PQZ131077 PQZ131078:PRC131092 PQZ196604 PQZ196610:PQZ196613 PQZ196614:PRC196628 PQZ262140 PQZ262146:PQZ262149 PQZ262150:PRC262164 PQZ327676 PQZ327682:PQZ327685 PQZ327686:PRC327700 PQZ393212 PQZ393218:PQZ393221 PQZ393222:PRC393236 PQZ458748 PQZ458754:PQZ458757 PQZ458758:PRC458772 PQZ524284 PQZ524290:PQZ524293 PQZ524294:PRC524308 PQZ589820 PQZ589826:PQZ589829 PQZ589830:PRC589844 PQZ655356 PQZ655362:PQZ655365 PQZ655366:PRC655380 PQZ720892 PQZ720898:PQZ720901 PQZ720902:PRC720916 PQZ786428 PQZ786434:PQZ786437 PQZ786438:PRC786452 PQZ851964 PQZ851970:PQZ851973 PQZ851974:PRC851988 PQZ917500 PQZ917506:PQZ917509 PQZ917510:PRC917524 PQZ983036 PQZ983042:PQZ983045 PQZ983046:PRC983060 QAV2 QAV8:QAV11 QAV12:QAY26 QAV65532 QAV65538:QAV65541 QAV65542:QAY65556 QAV131068 QAV131074:QAV131077 QAV131078:QAY131092 QAV196604 QAV196610:QAV196613 QAV196614:QAY196628 QAV262140 QAV262146:QAV262149 QAV262150:QAY262164 QAV327676 QAV327682:QAV327685 QAV327686:QAY327700 QAV393212 QAV393218:QAV393221 QAV393222:QAY393236 QAV458748 QAV458754:QAV458757 QAV458758:QAY458772 QAV524284 QAV524290:QAV524293 QAV524294:QAY524308 QAV589820 QAV589826:QAV589829 QAV589830:QAY589844 QAV655356 QAV655362:QAV655365 QAV655366:QAY655380 QAV720892 QAV720898:QAV720901 QAV720902:QAY720916 QAV786428 QAV786434:QAV786437 QAV786438:QAY786452 QAV851964 QAV851970:QAV851973 QAV851974:QAY851988 QAV917500 QAV917506:QAV917509 QAV917510:QAY917524 QAV983036 QAV983042:QAV983045 QAV983046:QAY983060 QKR2 QKR8:QKR11 QKR12:QKU26 QKR65532 QKR65538:QKR65541 QKR65542:QKU65556 QKR131068 QKR131074:QKR131077 QKR131078:QKU131092 QKR196604 QKR196610:QKR196613 QKR196614:QKU196628 QKR262140 QKR262146:QKR262149 QKR262150:QKU262164 QKR327676 QKR327682:QKR327685 QKR327686:QKU327700 QKR393212 QKR393218:QKR393221 QKR393222:QKU393236 QKR458748 QKR458754:QKR458757 QKR458758:QKU458772 QKR524284 QKR524290:QKR524293 QKR524294:QKU524308 QKR589820 QKR589826:QKR589829 QKR589830:QKU589844 QKR655356 QKR655362:QKR655365 QKR655366:QKU655380 QKR720892 QKR720898:QKR720901 QKR720902:QKU720916 QKR786428 QKR786434:QKR786437 QKR786438:QKU786452 QKR851964 QKR851970:QKR851973 QKR851974:QKU851988 QKR917500 QKR917506:QKR917509 QKR917510:QKU917524 QKR983036 QKR983042:QKR983045 QKR983046:QKU983060 QUN2 QUN8:QUN11 QUN12:QUQ26 QUN65532 QUN65538:QUN65541 QUN65542:QUQ65556 QUN131068 QUN131074:QUN131077 QUN131078:QUQ131092 QUN196604 QUN196610:QUN196613 QUN196614:QUQ196628 QUN262140 QUN262146:QUN262149 QUN262150:QUQ262164 QUN327676 QUN327682:QUN327685 QUN327686:QUQ327700 QUN393212 QUN393218:QUN393221 QUN393222:QUQ393236 QUN458748 QUN458754:QUN458757 QUN458758:QUQ458772 QUN524284 QUN524290:QUN524293 QUN524294:QUQ524308 QUN589820 QUN589826:QUN589829 QUN589830:QUQ589844 QUN655356 QUN655362:QUN655365 QUN655366:QUQ655380 QUN720892 QUN720898:QUN720901 QUN720902:QUQ720916 QUN786428 QUN786434:QUN786437 QUN786438:QUQ786452 QUN851964 QUN851970:QUN851973 QUN851974:QUQ851988 QUN917500 QUN917506:QUN917509 QUN917510:QUQ917524 QUN983036 QUN983042:QUN983045 QUN983046:QUQ983060 REJ2 REJ8:REJ11 REJ12:REM26 REJ65532 REJ65538:REJ65541 REJ65542:REM65556 REJ131068 REJ131074:REJ131077 REJ131078:REM131092 REJ196604 REJ196610:REJ196613 REJ196614:REM196628 REJ262140 REJ262146:REJ262149 REJ262150:REM262164 REJ327676 REJ327682:REJ327685 REJ327686:REM327700 REJ393212 REJ393218:REJ393221 REJ393222:REM393236 REJ458748 REJ458754:REJ458757 REJ458758:REM458772 REJ524284 REJ524290:REJ524293 REJ524294:REM524308 REJ589820 REJ589826:REJ589829 REJ589830:REM589844 REJ655356 REJ655362:REJ655365 REJ655366:REM655380 REJ720892 REJ720898:REJ720901 REJ720902:REM720916 REJ786428 REJ786434:REJ786437 REJ786438:REM786452 REJ851964 REJ851970:REJ851973 REJ851974:REM851988 REJ917500 REJ917506:REJ917509 REJ917510:REM917524 REJ983036 REJ983042:REJ983045 REJ983046:REM983060 ROF2 ROF8:ROF11 ROF12:ROI26 ROF65532 ROF65538:ROF65541 ROF65542:ROI65556 ROF131068 ROF131074:ROF131077 ROF131078:ROI131092 ROF196604 ROF196610:ROF196613 ROF196614:ROI196628 ROF262140 ROF262146:ROF262149 ROF262150:ROI262164 ROF327676 ROF327682:ROF327685 ROF327686:ROI327700 ROF393212 ROF393218:ROF393221 ROF393222:ROI393236 ROF458748 ROF458754:ROF458757 ROF458758:ROI458772 ROF524284 ROF524290:ROF524293 ROF524294:ROI524308 ROF589820 ROF589826:ROF589829 ROF589830:ROI589844 ROF655356 ROF655362:ROF655365 ROF655366:ROI655380 ROF720892 ROF720898:ROF720901 ROF720902:ROI720916 ROF786428 ROF786434:ROF786437 ROF786438:ROI786452 ROF851964 ROF851970:ROF851973 ROF851974:ROI851988 ROF917500 ROF917506:ROF917509 ROF917510:ROI917524 ROF983036 ROF983042:ROF983045 ROF983046:ROI983060 RYB2 RYB8:RYB11 RYB12:RYE26 RYB65532 RYB65538:RYB65541 RYB65542:RYE65556 RYB131068 RYB131074:RYB131077 RYB131078:RYE131092 RYB196604 RYB196610:RYB196613 RYB196614:RYE196628 RYB262140 RYB262146:RYB262149 RYB262150:RYE262164 RYB327676 RYB327682:RYB327685 RYB327686:RYE327700 RYB393212 RYB393218:RYB393221 RYB393222:RYE393236 RYB458748 RYB458754:RYB458757 RYB458758:RYE458772 RYB524284 RYB524290:RYB524293 RYB524294:RYE524308 RYB589820 RYB589826:RYB589829 RYB589830:RYE589844 RYB655356 RYB655362:RYB655365 RYB655366:RYE655380 RYB720892 RYB720898:RYB720901 RYB720902:RYE720916 RYB786428 RYB786434:RYB786437 RYB786438:RYE786452 RYB851964 RYB851970:RYB851973 RYB851974:RYE851988 RYB917500 RYB917506:RYB917509 RYB917510:RYE917524 RYB983036 RYB983042:RYB983045 RYB983046:RYE983060 SHX2 SHX8:SHX11 SHX12:SIA26 SHX65532 SHX65538:SHX65541 SHX65542:SIA65556 SHX131068 SHX131074:SHX131077 SHX131078:SIA131092 SHX196604 SHX196610:SHX196613 SHX196614:SIA196628 SHX262140 SHX262146:SHX262149 SHX262150:SIA262164 SHX327676 SHX327682:SHX327685 SHX327686:SIA327700 SHX393212 SHX393218:SHX393221 SHX393222:SIA393236 SHX458748 SHX458754:SHX458757 SHX458758:SIA458772 SHX524284 SHX524290:SHX524293 SHX524294:SIA524308 SHX589820 SHX589826:SHX589829 SHX589830:SIA589844 SHX655356 SHX655362:SHX655365 SHX655366:SIA655380 SHX720892 SHX720898:SHX720901 SHX720902:SIA720916 SHX786428 SHX786434:SHX786437 SHX786438:SIA786452 SHX851964 SHX851970:SHX851973 SHX851974:SIA851988 SHX917500 SHX917506:SHX917509 SHX917510:SIA917524 SHX983036 SHX983042:SHX983045 SHX983046:SIA983060 SRT2 SRT8:SRT11 SRT12:SRW26 SRT65532 SRT65538:SRT65541 SRT65542:SRW65556 SRT131068 SRT131074:SRT131077 SRT131078:SRW131092 SRT196604 SRT196610:SRT196613 SRT196614:SRW196628 SRT262140 SRT262146:SRT262149 SRT262150:SRW262164 SRT327676 SRT327682:SRT327685 SRT327686:SRW327700 SRT393212 SRT393218:SRT393221 SRT393222:SRW393236 SRT458748 SRT458754:SRT458757 SRT458758:SRW458772 SRT524284 SRT524290:SRT524293 SRT524294:SRW524308 SRT589820 SRT589826:SRT589829 SRT589830:SRW589844 SRT655356 SRT655362:SRT655365 SRT655366:SRW655380 SRT720892 SRT720898:SRT720901 SRT720902:SRW720916 SRT786428 SRT786434:SRT786437 SRT786438:SRW786452 SRT851964 SRT851970:SRT851973 SRT851974:SRW851988 SRT917500 SRT917506:SRT917509 SRT917510:SRW917524 SRT983036 SRT983042:SRT983045 SRT983046:SRW983060 TBP2 TBP8:TBP11 TBP12:TBS26 TBP65532 TBP65538:TBP65541 TBP65542:TBS65556 TBP131068 TBP131074:TBP131077 TBP131078:TBS131092 TBP196604 TBP196610:TBP196613 TBP196614:TBS196628 TBP262140 TBP262146:TBP262149 TBP262150:TBS262164 TBP327676 TBP327682:TBP327685 TBP327686:TBS327700 TBP393212 TBP393218:TBP393221 TBP393222:TBS393236 TBP458748 TBP458754:TBP458757 TBP458758:TBS458772 TBP524284 TBP524290:TBP524293 TBP524294:TBS524308 TBP589820 TBP589826:TBP589829 TBP589830:TBS589844 TBP655356 TBP655362:TBP655365 TBP655366:TBS655380 TBP720892 TBP720898:TBP720901 TBP720902:TBS720916 TBP786428 TBP786434:TBP786437 TBP786438:TBS786452 TBP851964 TBP851970:TBP851973 TBP851974:TBS851988 TBP917500 TBP917506:TBP917509 TBP917510:TBS917524 TBP983036 TBP983042:TBP983045 TBP983046:TBS983060 TLL2 TLL8:TLL11 TLL12:TLO26 TLL65532 TLL65538:TLL65541 TLL65542:TLO65556 TLL131068 TLL131074:TLL131077 TLL131078:TLO131092 TLL196604 TLL196610:TLL196613 TLL196614:TLO196628 TLL262140 TLL262146:TLL262149 TLL262150:TLO262164 TLL327676 TLL327682:TLL327685 TLL327686:TLO327700 TLL393212 TLL393218:TLL393221 TLL393222:TLO393236 TLL458748 TLL458754:TLL458757 TLL458758:TLO458772 TLL524284 TLL524290:TLL524293 TLL524294:TLO524308 TLL589820 TLL589826:TLL589829 TLL589830:TLO589844 TLL655356 TLL655362:TLL655365 TLL655366:TLO655380 TLL720892 TLL720898:TLL720901 TLL720902:TLO720916 TLL786428 TLL786434:TLL786437 TLL786438:TLO786452 TLL851964 TLL851970:TLL851973 TLL851974:TLO851988 TLL917500 TLL917506:TLL917509 TLL917510:TLO917524 TLL983036 TLL983042:TLL983045 TLL983046:TLO983060 TVH2 TVH8:TVH11 TVH12:TVK26 TVH65532 TVH65538:TVH65541 TVH65542:TVK65556 TVH131068 TVH131074:TVH131077 TVH131078:TVK131092 TVH196604 TVH196610:TVH196613 TVH196614:TVK196628 TVH262140 TVH262146:TVH262149 TVH262150:TVK262164 TVH327676 TVH327682:TVH327685 TVH327686:TVK327700 TVH393212 TVH393218:TVH393221 TVH393222:TVK393236 TVH458748 TVH458754:TVH458757 TVH458758:TVK458772 TVH524284 TVH524290:TVH524293 TVH524294:TVK524308 TVH589820 TVH589826:TVH589829 TVH589830:TVK589844 TVH655356 TVH655362:TVH655365 TVH655366:TVK655380 TVH720892 TVH720898:TVH720901 TVH720902:TVK720916 TVH786428 TVH786434:TVH786437 TVH786438:TVK786452 TVH851964 TVH851970:TVH851973 TVH851974:TVK851988 TVH917500 TVH917506:TVH917509 TVH917510:TVK917524 TVH983036 TVH983042:TVH983045 TVH983046:TVK983060 UFD2 UFD8:UFD11 UFD12:UFG26 UFD65532 UFD65538:UFD65541 UFD65542:UFG65556 UFD131068 UFD131074:UFD131077 UFD131078:UFG131092 UFD196604 UFD196610:UFD196613 UFD196614:UFG196628 UFD262140 UFD262146:UFD262149 UFD262150:UFG262164 UFD327676 UFD327682:UFD327685 UFD327686:UFG327700 UFD393212 UFD393218:UFD393221 UFD393222:UFG393236 UFD458748 UFD458754:UFD458757 UFD458758:UFG458772 UFD524284 UFD524290:UFD524293 UFD524294:UFG524308 UFD589820 UFD589826:UFD589829 UFD589830:UFG589844 UFD655356 UFD655362:UFD655365 UFD655366:UFG655380 UFD720892 UFD720898:UFD720901 UFD720902:UFG720916 UFD786428 UFD786434:UFD786437 UFD786438:UFG786452 UFD851964 UFD851970:UFD851973 UFD851974:UFG851988 UFD917500 UFD917506:UFD917509 UFD917510:UFG917524 UFD983036 UFD983042:UFD983045 UFD983046:UFG983060 UOZ2 UOZ8:UOZ11 UOZ12:UPC26 UOZ65532 UOZ65538:UOZ65541 UOZ65542:UPC65556 UOZ131068 UOZ131074:UOZ131077 UOZ131078:UPC131092 UOZ196604 UOZ196610:UOZ196613 UOZ196614:UPC196628 UOZ262140 UOZ262146:UOZ262149 UOZ262150:UPC262164 UOZ327676 UOZ327682:UOZ327685 UOZ327686:UPC327700 UOZ393212 UOZ393218:UOZ393221 UOZ393222:UPC393236 UOZ458748 UOZ458754:UOZ458757 UOZ458758:UPC458772 UOZ524284 UOZ524290:UOZ524293 UOZ524294:UPC524308 UOZ589820 UOZ589826:UOZ589829 UOZ589830:UPC589844 UOZ655356 UOZ655362:UOZ655365 UOZ655366:UPC655380 UOZ720892 UOZ720898:UOZ720901 UOZ720902:UPC720916 UOZ786428 UOZ786434:UOZ786437 UOZ786438:UPC786452 UOZ851964 UOZ851970:UOZ851973 UOZ851974:UPC851988 UOZ917500 UOZ917506:UOZ917509 UOZ917510:UPC917524 UOZ983036 UOZ983042:UOZ983045 UOZ983046:UPC983060 UYV2 UYV8:UYV11 UYV12:UYY26 UYV65532 UYV65538:UYV65541 UYV65542:UYY65556 UYV131068 UYV131074:UYV131077 UYV131078:UYY131092 UYV196604 UYV196610:UYV196613 UYV196614:UYY196628 UYV262140 UYV262146:UYV262149 UYV262150:UYY262164 UYV327676 UYV327682:UYV327685 UYV327686:UYY327700 UYV393212 UYV393218:UYV393221 UYV393222:UYY393236 UYV458748 UYV458754:UYV458757 UYV458758:UYY458772 UYV524284 UYV524290:UYV524293 UYV524294:UYY524308 UYV589820 UYV589826:UYV589829 UYV589830:UYY589844 UYV655356 UYV655362:UYV655365 UYV655366:UYY655380 UYV720892 UYV720898:UYV720901 UYV720902:UYY720916 UYV786428 UYV786434:UYV786437 UYV786438:UYY786452 UYV851964 UYV851970:UYV851973 UYV851974:UYY851988 UYV917500 UYV917506:UYV917509 UYV917510:UYY917524 UYV983036 UYV983042:UYV983045 UYV983046:UYY983060 VIR2 VIR8:VIR11 VIR12:VIU26 VIR65532 VIR65538:VIR65541 VIR65542:VIU65556 VIR131068 VIR131074:VIR131077 VIR131078:VIU131092 VIR196604 VIR196610:VIR196613 VIR196614:VIU196628 VIR262140 VIR262146:VIR262149 VIR262150:VIU262164 VIR327676 VIR327682:VIR327685 VIR327686:VIU327700 VIR393212 VIR393218:VIR393221 VIR393222:VIU393236 VIR458748 VIR458754:VIR458757 VIR458758:VIU458772 VIR524284 VIR524290:VIR524293 VIR524294:VIU524308 VIR589820 VIR589826:VIR589829 VIR589830:VIU589844 VIR655356 VIR655362:VIR655365 VIR655366:VIU655380 VIR720892 VIR720898:VIR720901 VIR720902:VIU720916 VIR786428 VIR786434:VIR786437 VIR786438:VIU786452 VIR851964 VIR851970:VIR851973 VIR851974:VIU851988 VIR917500 VIR917506:VIR917509 VIR917510:VIU917524 VIR983036 VIR983042:VIR983045 VIR983046:VIU983060 VSN2 VSN8:VSN11 VSN12:VSQ26 VSN65532 VSN65538:VSN65541 VSN65542:VSQ65556 VSN131068 VSN131074:VSN131077 VSN131078:VSQ131092 VSN196604 VSN196610:VSN196613 VSN196614:VSQ196628 VSN262140 VSN262146:VSN262149 VSN262150:VSQ262164 VSN327676 VSN327682:VSN327685 VSN327686:VSQ327700 VSN393212 VSN393218:VSN393221 VSN393222:VSQ393236 VSN458748 VSN458754:VSN458757 VSN458758:VSQ458772 VSN524284 VSN524290:VSN524293 VSN524294:VSQ524308 VSN589820 VSN589826:VSN589829 VSN589830:VSQ589844 VSN655356 VSN655362:VSN655365 VSN655366:VSQ655380 VSN720892 VSN720898:VSN720901 VSN720902:VSQ720916 VSN786428 VSN786434:VSN786437 VSN786438:VSQ786452 VSN851964 VSN851970:VSN851973 VSN851974:VSQ851988 VSN917500 VSN917506:VSN917509 VSN917510:VSQ917524 VSN983036 VSN983042:VSN983045 VSN983046:VSQ983060 WCJ2 WCJ8:WCJ11 WCJ12:WCM26 WCJ65532 WCJ65538:WCJ65541 WCJ65542:WCM65556 WCJ131068 WCJ131074:WCJ131077 WCJ131078:WCM131092 WCJ196604 WCJ196610:WCJ196613 WCJ196614:WCM196628 WCJ262140 WCJ262146:WCJ262149 WCJ262150:WCM262164 WCJ327676 WCJ327682:WCJ327685 WCJ327686:WCM327700 WCJ393212 WCJ393218:WCJ393221 WCJ393222:WCM393236 WCJ458748 WCJ458754:WCJ458757 WCJ458758:WCM458772 WCJ524284 WCJ524290:WCJ524293 WCJ524294:WCM524308 WCJ589820 WCJ589826:WCJ589829 WCJ589830:WCM589844 WCJ655356 WCJ655362:WCJ655365 WCJ655366:WCM655380 WCJ720892 WCJ720898:WCJ720901 WCJ720902:WCM720916 WCJ786428 WCJ786434:WCJ786437 WCJ786438:WCM786452 WCJ851964 WCJ851970:WCJ851973 WCJ851974:WCM851988 WCJ917500 WCJ917506:WCJ917509 WCJ917510:WCM917524 WCJ983036 WCJ983042:WCJ983045 WCJ983046:WCM983060 WMF2 WMF8:WMF11 WMF12:WMI26 WMF65532 WMF65538:WMF65541 WMF65542:WMI65556 WMF131068 WMF131074:WMF131077 WMF131078:WMI131092 WMF196604 WMF196610:WMF196613 WMF196614:WMI196628 WMF262140 WMF262146:WMF262149 WMF262150:WMI262164 WMF327676 WMF327682:WMF327685 WMF327686:WMI327700 WMF393212 WMF393218:WMF393221 WMF393222:WMI393236 WMF458748 WMF458754:WMF458757 WMF458758:WMI458772 WMF524284 WMF524290:WMF524293 WMF524294:WMI524308 WMF589820 WMF589826:WMF589829 WMF589830:WMI589844 WMF655356 WMF655362:WMF655365 WMF655366:WMI655380 WMF720892 WMF720898:WMF720901 WMF720902:WMI720916 WMF786428 WMF786434:WMF786437 WMF786438:WMI786452 WMF851964 WMF851970:WMF851973 WMF851974:WMI851988 WMF917500 WMF917506:WMF917509 WMF917510:WMI917524 WMF983036 WMF983042:WMF983045 WMF983046:WMI983060 WWB2 WWB8:WWB11 WWB12:WWE26 WWB65532 WWB65538:WWB65541 WWB65542:WWE65556 WWB131068 WWB131074:WWB131077 WWB131078:WWE131092 WWB196604 WWB196610:WWB196613 WWB196614:WWE196628 WWB262140 WWB262146:WWB262149 WWB262150:WWE262164 WWB327676 WWB327682:WWB327685 WWB327686:WWE327700 WWB393212 WWB393218:WWB393221 WWB393222:WWE393236 WWB458748 WWB458754:WWB458757 WWB458758:WWE458772 WWB524284 WWB524290:WWB524293 WWB524294:WWE524308 WWB589820 WWB589826:WWB589829 WWB589830:WWE589844 WWB655356 WWB655362:WWB655365 WWB655366:WWE655380 WWB720892 WWB720898:WWB720901 WWB720902:WWE720916 WWB786428 WWB786434:WWB786437 WWB786438:WWE786452 WWB851964 WWB851970:WWB851973 WWB851974:WWE851988 WWB917500 WWB917506:WWB917509 WWB917510:WWE917524 WWB983036 WWB983042:WWB983045 WWB983046:WWE983060" xr:uid="{00000000-0002-0000-0800-00001B000000}"/>
  </dataValidations>
  <printOptions horizontalCentered="1" verticalCentered="1"/>
  <pageMargins left="0.78740157480314965" right="0.78740157480314965" top="0.98425196850393704" bottom="0.98425196850393704" header="0.51181102362204722" footer="0.51181102362204722"/>
  <pageSetup paperSize="9" scale="74" orientation="landscape" r:id="rId1"/>
  <headerFooter alignWithMargins="0">
    <oddHeader>&amp;L&amp;C&amp;R</oddHeader>
    <oddFooter>&amp;L&amp;D&amp;C&amp;F&amp;RSeite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2">
    <tabColor rgb="FF9CD9F0"/>
    <pageSetUpPr fitToPage="1"/>
  </sheetPr>
  <dimension ref="A1:AH28"/>
  <sheetViews>
    <sheetView showGridLines="0" workbookViewId="0"/>
  </sheetViews>
  <sheetFormatPr baseColWidth="10" defaultColWidth="11.42578125" defaultRowHeight="12" outlineLevelCol="1"/>
  <cols>
    <col min="1" max="1" width="10.7109375" style="45" customWidth="1"/>
    <col min="2" max="2" width="16" style="47" customWidth="1"/>
    <col min="3" max="3" width="3.7109375" style="48" customWidth="1" outlineLevel="1"/>
    <col min="4" max="4" width="4.140625" style="45" customWidth="1" outlineLevel="1"/>
    <col min="5" max="5" width="4" style="45" customWidth="1" outlineLevel="1"/>
    <col min="6" max="6" width="56.85546875" style="45" customWidth="1"/>
    <col min="7" max="7" width="6" style="45" customWidth="1"/>
    <col min="8" max="8" width="8.28515625" style="45" customWidth="1" outlineLevel="1"/>
    <col min="9" max="9" width="19.5703125" style="45" customWidth="1" outlineLevel="1"/>
    <col min="10" max="10" width="2.7109375" style="45" customWidth="1"/>
    <col min="11" max="11" width="5.140625" style="45" customWidth="1"/>
    <col min="12" max="12" width="14" style="45" customWidth="1"/>
    <col min="13" max="13" width="3.5703125" style="37" customWidth="1" outlineLevel="1"/>
    <col min="14" max="14" width="6.5703125" style="37" customWidth="1" outlineLevel="1"/>
    <col min="15" max="15" width="36.5703125" style="37" customWidth="1" outlineLevel="1"/>
    <col min="16" max="16" width="2.7109375" style="37" customWidth="1" outlineLevel="1"/>
    <col min="17" max="17" width="57.85546875" style="391" customWidth="1"/>
    <col min="18" max="18" width="4.140625" style="391" customWidth="1"/>
    <col min="19" max="19" width="4.42578125" style="391" customWidth="1"/>
    <col min="20" max="20" width="4.28515625" style="391" customWidth="1"/>
    <col min="21" max="21" width="4" style="391" customWidth="1"/>
    <col min="22" max="22" width="3.7109375" style="391" customWidth="1"/>
    <col min="23" max="23" width="4.28515625" style="391" customWidth="1"/>
    <col min="24" max="24" width="3.42578125" style="391" customWidth="1" outlineLevel="1"/>
    <col min="25" max="25" width="4.7109375" style="45" customWidth="1" outlineLevel="1"/>
    <col min="26" max="27" width="5.42578125" style="45" customWidth="1" outlineLevel="1"/>
    <col min="28" max="28" width="10.28515625" style="45" customWidth="1" outlineLevel="1"/>
    <col min="29" max="29" width="4.42578125" style="45" customWidth="1" outlineLevel="1"/>
    <col min="30" max="30" width="5.85546875" style="45" bestFit="1" customWidth="1" outlineLevel="1"/>
    <col min="31" max="31" width="5.5703125" style="45" bestFit="1" customWidth="1" outlineLevel="1"/>
    <col min="32" max="32" width="4.42578125" style="45" customWidth="1" outlineLevel="1"/>
    <col min="33" max="33" width="4.85546875" style="45" bestFit="1" customWidth="1" outlineLevel="1"/>
    <col min="34" max="34" width="5.7109375" style="45" bestFit="1" customWidth="1" outlineLevel="1"/>
    <col min="35" max="257" width="11.42578125" style="45" customWidth="1"/>
    <col min="258" max="258" width="10.7109375" style="45" customWidth="1"/>
    <col min="259" max="259" width="16" style="45" customWidth="1"/>
    <col min="260" max="262" width="0" style="45" hidden="1"/>
    <col min="263" max="263" width="56.85546875" style="45" customWidth="1"/>
    <col min="264" max="264" width="6" style="45" customWidth="1"/>
    <col min="265" max="266" width="0" style="45" hidden="1"/>
    <col min="267" max="267" width="2.7109375" style="45" customWidth="1"/>
    <col min="268" max="268" width="5.140625" style="45" customWidth="1"/>
    <col min="269" max="269" width="14" style="45" customWidth="1"/>
    <col min="270" max="270" width="3.5703125" style="45" customWidth="1"/>
    <col min="271" max="271" width="6.5703125" style="45" customWidth="1"/>
    <col min="272" max="272" width="36.5703125" style="45" customWidth="1"/>
    <col min="273" max="273" width="57.85546875" style="45" customWidth="1"/>
    <col min="274" max="274" width="4.140625" style="45" customWidth="1"/>
    <col min="275" max="275" width="4.42578125" style="45" customWidth="1"/>
    <col min="276" max="276" width="4.28515625" style="45" customWidth="1"/>
    <col min="277" max="277" width="4" style="45" customWidth="1"/>
    <col min="278" max="278" width="3.7109375" style="45" customWidth="1"/>
    <col min="279" max="279" width="4.28515625" style="45" customWidth="1"/>
    <col min="280" max="280" width="3.42578125" style="45" customWidth="1"/>
    <col min="281" max="281" width="4.7109375" style="45" customWidth="1"/>
    <col min="282" max="283" width="5.42578125" style="45" customWidth="1"/>
    <col min="284" max="284" width="10.28515625" style="45" customWidth="1"/>
    <col min="285" max="285" width="4.42578125" style="45" customWidth="1"/>
    <col min="286" max="286" width="4.28515625" style="45" customWidth="1"/>
    <col min="287" max="287" width="4" style="45" customWidth="1"/>
    <col min="288" max="288" width="4.42578125" style="45" customWidth="1"/>
    <col min="289" max="289" width="3.85546875" style="45" customWidth="1"/>
    <col min="290" max="290" width="4.28515625" style="45" customWidth="1"/>
    <col min="291" max="513" width="11.42578125" style="45" customWidth="1"/>
    <col min="514" max="514" width="10.7109375" style="45" customWidth="1"/>
    <col min="515" max="515" width="16" style="45" customWidth="1"/>
    <col min="516" max="518" width="0" style="45" hidden="1"/>
    <col min="519" max="519" width="56.85546875" style="45" customWidth="1"/>
    <col min="520" max="520" width="6" style="45" customWidth="1"/>
    <col min="521" max="522" width="0" style="45" hidden="1"/>
    <col min="523" max="523" width="2.7109375" style="45" customWidth="1"/>
    <col min="524" max="524" width="5.140625" style="45" customWidth="1"/>
    <col min="525" max="525" width="14" style="45" customWidth="1"/>
    <col min="526" max="526" width="3.5703125" style="45" customWidth="1"/>
    <col min="527" max="527" width="6.5703125" style="45" customWidth="1"/>
    <col min="528" max="528" width="36.5703125" style="45" customWidth="1"/>
    <col min="529" max="529" width="57.85546875" style="45" customWidth="1"/>
    <col min="530" max="530" width="4.140625" style="45" customWidth="1"/>
    <col min="531" max="531" width="4.42578125" style="45" customWidth="1"/>
    <col min="532" max="532" width="4.28515625" style="45" customWidth="1"/>
    <col min="533" max="533" width="4" style="45" customWidth="1"/>
    <col min="534" max="534" width="3.7109375" style="45" customWidth="1"/>
    <col min="535" max="535" width="4.28515625" style="45" customWidth="1"/>
    <col min="536" max="536" width="3.42578125" style="45" customWidth="1"/>
    <col min="537" max="537" width="4.7109375" style="45" customWidth="1"/>
    <col min="538" max="539" width="5.42578125" style="45" customWidth="1"/>
    <col min="540" max="540" width="10.28515625" style="45" customWidth="1"/>
    <col min="541" max="541" width="4.42578125" style="45" customWidth="1"/>
    <col min="542" max="542" width="4.28515625" style="45" customWidth="1"/>
    <col min="543" max="543" width="4" style="45" customWidth="1"/>
    <col min="544" max="544" width="4.42578125" style="45" customWidth="1"/>
    <col min="545" max="545" width="3.85546875" style="45" customWidth="1"/>
    <col min="546" max="546" width="4.28515625" style="45" customWidth="1"/>
    <col min="547" max="769" width="11.42578125" style="45" customWidth="1"/>
    <col min="770" max="770" width="10.7109375" style="45" customWidth="1"/>
    <col min="771" max="771" width="16" style="45" customWidth="1"/>
    <col min="772" max="774" width="0" style="45" hidden="1"/>
    <col min="775" max="775" width="56.85546875" style="45" customWidth="1"/>
    <col min="776" max="776" width="6" style="45" customWidth="1"/>
    <col min="777" max="778" width="0" style="45" hidden="1"/>
    <col min="779" max="779" width="2.7109375" style="45" customWidth="1"/>
    <col min="780" max="780" width="5.140625" style="45" customWidth="1"/>
    <col min="781" max="781" width="14" style="45" customWidth="1"/>
    <col min="782" max="782" width="3.5703125" style="45" customWidth="1"/>
    <col min="783" max="783" width="6.5703125" style="45" customWidth="1"/>
    <col min="784" max="784" width="36.5703125" style="45" customWidth="1"/>
    <col min="785" max="785" width="57.85546875" style="45" customWidth="1"/>
    <col min="786" max="786" width="4.140625" style="45" customWidth="1"/>
    <col min="787" max="787" width="4.42578125" style="45" customWidth="1"/>
    <col min="788" max="788" width="4.28515625" style="45" customWidth="1"/>
    <col min="789" max="789" width="4" style="45" customWidth="1"/>
    <col min="790" max="790" width="3.7109375" style="45" customWidth="1"/>
    <col min="791" max="791" width="4.28515625" style="45" customWidth="1"/>
    <col min="792" max="792" width="3.42578125" style="45" customWidth="1"/>
    <col min="793" max="793" width="4.7109375" style="45" customWidth="1"/>
    <col min="794" max="795" width="5.42578125" style="45" customWidth="1"/>
    <col min="796" max="796" width="10.28515625" style="45" customWidth="1"/>
    <col min="797" max="797" width="4.42578125" style="45" customWidth="1"/>
    <col min="798" max="798" width="4.28515625" style="45" customWidth="1"/>
    <col min="799" max="799" width="4" style="45" customWidth="1"/>
    <col min="800" max="800" width="4.42578125" style="45" customWidth="1"/>
    <col min="801" max="801" width="3.85546875" style="45" customWidth="1"/>
    <col min="802" max="802" width="4.28515625" style="45" customWidth="1"/>
    <col min="803" max="1025" width="11.42578125" style="45" customWidth="1"/>
    <col min="1026" max="1026" width="10.7109375" style="45" customWidth="1"/>
    <col min="1027" max="1027" width="16" style="45" customWidth="1"/>
    <col min="1028" max="1030" width="0" style="45" hidden="1"/>
    <col min="1031" max="1031" width="56.85546875" style="45" customWidth="1"/>
    <col min="1032" max="1032" width="6" style="45" customWidth="1"/>
    <col min="1033" max="1034" width="0" style="45" hidden="1"/>
    <col min="1035" max="1035" width="2.7109375" style="45" customWidth="1"/>
    <col min="1036" max="1036" width="5.140625" style="45" customWidth="1"/>
    <col min="1037" max="1037" width="14" style="45" customWidth="1"/>
    <col min="1038" max="1038" width="3.5703125" style="45" customWidth="1"/>
    <col min="1039" max="1039" width="6.5703125" style="45" customWidth="1"/>
    <col min="1040" max="1040" width="36.5703125" style="45" customWidth="1"/>
    <col min="1041" max="1041" width="57.85546875" style="45" customWidth="1"/>
    <col min="1042" max="1042" width="4.140625" style="45" customWidth="1"/>
    <col min="1043" max="1043" width="4.42578125" style="45" customWidth="1"/>
    <col min="1044" max="1044" width="4.28515625" style="45" customWidth="1"/>
    <col min="1045" max="1045" width="4" style="45" customWidth="1"/>
    <col min="1046" max="1046" width="3.7109375" style="45" customWidth="1"/>
    <col min="1047" max="1047" width="4.28515625" style="45" customWidth="1"/>
    <col min="1048" max="1048" width="3.42578125" style="45" customWidth="1"/>
    <col min="1049" max="1049" width="4.7109375" style="45" customWidth="1"/>
    <col min="1050" max="1051" width="5.42578125" style="45" customWidth="1"/>
    <col min="1052" max="1052" width="10.28515625" style="45" customWidth="1"/>
    <col min="1053" max="1053" width="4.42578125" style="45" customWidth="1"/>
    <col min="1054" max="1054" width="4.28515625" style="45" customWidth="1"/>
    <col min="1055" max="1055" width="4" style="45" customWidth="1"/>
    <col min="1056" max="1056" width="4.42578125" style="45" customWidth="1"/>
    <col min="1057" max="1057" width="3.85546875" style="45" customWidth="1"/>
    <col min="1058" max="1058" width="4.28515625" style="45" customWidth="1"/>
    <col min="1059" max="1281" width="11.42578125" style="45" customWidth="1"/>
    <col min="1282" max="1282" width="10.7109375" style="45" customWidth="1"/>
    <col min="1283" max="1283" width="16" style="45" customWidth="1"/>
    <col min="1284" max="1286" width="0" style="45" hidden="1"/>
    <col min="1287" max="1287" width="56.85546875" style="45" customWidth="1"/>
    <col min="1288" max="1288" width="6" style="45" customWidth="1"/>
    <col min="1289" max="1290" width="0" style="45" hidden="1"/>
    <col min="1291" max="1291" width="2.7109375" style="45" customWidth="1"/>
    <col min="1292" max="1292" width="5.140625" style="45" customWidth="1"/>
    <col min="1293" max="1293" width="14" style="45" customWidth="1"/>
    <col min="1294" max="1294" width="3.5703125" style="45" customWidth="1"/>
    <col min="1295" max="1295" width="6.5703125" style="45" customWidth="1"/>
    <col min="1296" max="1296" width="36.5703125" style="45" customWidth="1"/>
    <col min="1297" max="1297" width="57.85546875" style="45" customWidth="1"/>
    <col min="1298" max="1298" width="4.140625" style="45" customWidth="1"/>
    <col min="1299" max="1299" width="4.42578125" style="45" customWidth="1"/>
    <col min="1300" max="1300" width="4.28515625" style="45" customWidth="1"/>
    <col min="1301" max="1301" width="4" style="45" customWidth="1"/>
    <col min="1302" max="1302" width="3.7109375" style="45" customWidth="1"/>
    <col min="1303" max="1303" width="4.28515625" style="45" customWidth="1"/>
    <col min="1304" max="1304" width="3.42578125" style="45" customWidth="1"/>
    <col min="1305" max="1305" width="4.7109375" style="45" customWidth="1"/>
    <col min="1306" max="1307" width="5.42578125" style="45" customWidth="1"/>
    <col min="1308" max="1308" width="10.28515625" style="45" customWidth="1"/>
    <col min="1309" max="1309" width="4.42578125" style="45" customWidth="1"/>
    <col min="1310" max="1310" width="4.28515625" style="45" customWidth="1"/>
    <col min="1311" max="1311" width="4" style="45" customWidth="1"/>
    <col min="1312" max="1312" width="4.42578125" style="45" customWidth="1"/>
    <col min="1313" max="1313" width="3.85546875" style="45" customWidth="1"/>
    <col min="1314" max="1314" width="4.28515625" style="45" customWidth="1"/>
    <col min="1315" max="1537" width="11.42578125" style="45" customWidth="1"/>
    <col min="1538" max="1538" width="10.7109375" style="45" customWidth="1"/>
    <col min="1539" max="1539" width="16" style="45" customWidth="1"/>
    <col min="1540" max="1542" width="0" style="45" hidden="1"/>
    <col min="1543" max="1543" width="56.85546875" style="45" customWidth="1"/>
    <col min="1544" max="1544" width="6" style="45" customWidth="1"/>
    <col min="1545" max="1546" width="0" style="45" hidden="1"/>
    <col min="1547" max="1547" width="2.7109375" style="45" customWidth="1"/>
    <col min="1548" max="1548" width="5.140625" style="45" customWidth="1"/>
    <col min="1549" max="1549" width="14" style="45" customWidth="1"/>
    <col min="1550" max="1550" width="3.5703125" style="45" customWidth="1"/>
    <col min="1551" max="1551" width="6.5703125" style="45" customWidth="1"/>
    <col min="1552" max="1552" width="36.5703125" style="45" customWidth="1"/>
    <col min="1553" max="1553" width="57.85546875" style="45" customWidth="1"/>
    <col min="1554" max="1554" width="4.140625" style="45" customWidth="1"/>
    <col min="1555" max="1555" width="4.42578125" style="45" customWidth="1"/>
    <col min="1556" max="1556" width="4.28515625" style="45" customWidth="1"/>
    <col min="1557" max="1557" width="4" style="45" customWidth="1"/>
    <col min="1558" max="1558" width="3.7109375" style="45" customWidth="1"/>
    <col min="1559" max="1559" width="4.28515625" style="45" customWidth="1"/>
    <col min="1560" max="1560" width="3.42578125" style="45" customWidth="1"/>
    <col min="1561" max="1561" width="4.7109375" style="45" customWidth="1"/>
    <col min="1562" max="1563" width="5.42578125" style="45" customWidth="1"/>
    <col min="1564" max="1564" width="10.28515625" style="45" customWidth="1"/>
    <col min="1565" max="1565" width="4.42578125" style="45" customWidth="1"/>
    <col min="1566" max="1566" width="4.28515625" style="45" customWidth="1"/>
    <col min="1567" max="1567" width="4" style="45" customWidth="1"/>
    <col min="1568" max="1568" width="4.42578125" style="45" customWidth="1"/>
    <col min="1569" max="1569" width="3.85546875" style="45" customWidth="1"/>
    <col min="1570" max="1570" width="4.28515625" style="45" customWidth="1"/>
    <col min="1571" max="1793" width="11.42578125" style="45" customWidth="1"/>
    <col min="1794" max="1794" width="10.7109375" style="45" customWidth="1"/>
    <col min="1795" max="1795" width="16" style="45" customWidth="1"/>
    <col min="1796" max="1798" width="0" style="45" hidden="1"/>
    <col min="1799" max="1799" width="56.85546875" style="45" customWidth="1"/>
    <col min="1800" max="1800" width="6" style="45" customWidth="1"/>
    <col min="1801" max="1802" width="0" style="45" hidden="1"/>
    <col min="1803" max="1803" width="2.7109375" style="45" customWidth="1"/>
    <col min="1804" max="1804" width="5.140625" style="45" customWidth="1"/>
    <col min="1805" max="1805" width="14" style="45" customWidth="1"/>
    <col min="1806" max="1806" width="3.5703125" style="45" customWidth="1"/>
    <col min="1807" max="1807" width="6.5703125" style="45" customWidth="1"/>
    <col min="1808" max="1808" width="36.5703125" style="45" customWidth="1"/>
    <col min="1809" max="1809" width="57.85546875" style="45" customWidth="1"/>
    <col min="1810" max="1810" width="4.140625" style="45" customWidth="1"/>
    <col min="1811" max="1811" width="4.42578125" style="45" customWidth="1"/>
    <col min="1812" max="1812" width="4.28515625" style="45" customWidth="1"/>
    <col min="1813" max="1813" width="4" style="45" customWidth="1"/>
    <col min="1814" max="1814" width="3.7109375" style="45" customWidth="1"/>
    <col min="1815" max="1815" width="4.28515625" style="45" customWidth="1"/>
    <col min="1816" max="1816" width="3.42578125" style="45" customWidth="1"/>
    <col min="1817" max="1817" width="4.7109375" style="45" customWidth="1"/>
    <col min="1818" max="1819" width="5.42578125" style="45" customWidth="1"/>
    <col min="1820" max="1820" width="10.28515625" style="45" customWidth="1"/>
    <col min="1821" max="1821" width="4.42578125" style="45" customWidth="1"/>
    <col min="1822" max="1822" width="4.28515625" style="45" customWidth="1"/>
    <col min="1823" max="1823" width="4" style="45" customWidth="1"/>
    <col min="1824" max="1824" width="4.42578125" style="45" customWidth="1"/>
    <col min="1825" max="1825" width="3.85546875" style="45" customWidth="1"/>
    <col min="1826" max="1826" width="4.28515625" style="45" customWidth="1"/>
    <col min="1827" max="2049" width="11.42578125" style="45" customWidth="1"/>
    <col min="2050" max="2050" width="10.7109375" style="45" customWidth="1"/>
    <col min="2051" max="2051" width="16" style="45" customWidth="1"/>
    <col min="2052" max="2054" width="0" style="45" hidden="1"/>
    <col min="2055" max="2055" width="56.85546875" style="45" customWidth="1"/>
    <col min="2056" max="2056" width="6" style="45" customWidth="1"/>
    <col min="2057" max="2058" width="0" style="45" hidden="1"/>
    <col min="2059" max="2059" width="2.7109375" style="45" customWidth="1"/>
    <col min="2060" max="2060" width="5.140625" style="45" customWidth="1"/>
    <col min="2061" max="2061" width="14" style="45" customWidth="1"/>
    <col min="2062" max="2062" width="3.5703125" style="45" customWidth="1"/>
    <col min="2063" max="2063" width="6.5703125" style="45" customWidth="1"/>
    <col min="2064" max="2064" width="36.5703125" style="45" customWidth="1"/>
    <col min="2065" max="2065" width="57.85546875" style="45" customWidth="1"/>
    <col min="2066" max="2066" width="4.140625" style="45" customWidth="1"/>
    <col min="2067" max="2067" width="4.42578125" style="45" customWidth="1"/>
    <col min="2068" max="2068" width="4.28515625" style="45" customWidth="1"/>
    <col min="2069" max="2069" width="4" style="45" customWidth="1"/>
    <col min="2070" max="2070" width="3.7109375" style="45" customWidth="1"/>
    <col min="2071" max="2071" width="4.28515625" style="45" customWidth="1"/>
    <col min="2072" max="2072" width="3.42578125" style="45" customWidth="1"/>
    <col min="2073" max="2073" width="4.7109375" style="45" customWidth="1"/>
    <col min="2074" max="2075" width="5.42578125" style="45" customWidth="1"/>
    <col min="2076" max="2076" width="10.28515625" style="45" customWidth="1"/>
    <col min="2077" max="2077" width="4.42578125" style="45" customWidth="1"/>
    <col min="2078" max="2078" width="4.28515625" style="45" customWidth="1"/>
    <col min="2079" max="2079" width="4" style="45" customWidth="1"/>
    <col min="2080" max="2080" width="4.42578125" style="45" customWidth="1"/>
    <col min="2081" max="2081" width="3.85546875" style="45" customWidth="1"/>
    <col min="2082" max="2082" width="4.28515625" style="45" customWidth="1"/>
    <col min="2083" max="2305" width="11.42578125" style="45" customWidth="1"/>
    <col min="2306" max="2306" width="10.7109375" style="45" customWidth="1"/>
    <col min="2307" max="2307" width="16" style="45" customWidth="1"/>
    <col min="2308" max="2310" width="0" style="45" hidden="1"/>
    <col min="2311" max="2311" width="56.85546875" style="45" customWidth="1"/>
    <col min="2312" max="2312" width="6" style="45" customWidth="1"/>
    <col min="2313" max="2314" width="0" style="45" hidden="1"/>
    <col min="2315" max="2315" width="2.7109375" style="45" customWidth="1"/>
    <col min="2316" max="2316" width="5.140625" style="45" customWidth="1"/>
    <col min="2317" max="2317" width="14" style="45" customWidth="1"/>
    <col min="2318" max="2318" width="3.5703125" style="45" customWidth="1"/>
    <col min="2319" max="2319" width="6.5703125" style="45" customWidth="1"/>
    <col min="2320" max="2320" width="36.5703125" style="45" customWidth="1"/>
    <col min="2321" max="2321" width="57.85546875" style="45" customWidth="1"/>
    <col min="2322" max="2322" width="4.140625" style="45" customWidth="1"/>
    <col min="2323" max="2323" width="4.42578125" style="45" customWidth="1"/>
    <col min="2324" max="2324" width="4.28515625" style="45" customWidth="1"/>
    <col min="2325" max="2325" width="4" style="45" customWidth="1"/>
    <col min="2326" max="2326" width="3.7109375" style="45" customWidth="1"/>
    <col min="2327" max="2327" width="4.28515625" style="45" customWidth="1"/>
    <col min="2328" max="2328" width="3.42578125" style="45" customWidth="1"/>
    <col min="2329" max="2329" width="4.7109375" style="45" customWidth="1"/>
    <col min="2330" max="2331" width="5.42578125" style="45" customWidth="1"/>
    <col min="2332" max="2332" width="10.28515625" style="45" customWidth="1"/>
    <col min="2333" max="2333" width="4.42578125" style="45" customWidth="1"/>
    <col min="2334" max="2334" width="4.28515625" style="45" customWidth="1"/>
    <col min="2335" max="2335" width="4" style="45" customWidth="1"/>
    <col min="2336" max="2336" width="4.42578125" style="45" customWidth="1"/>
    <col min="2337" max="2337" width="3.85546875" style="45" customWidth="1"/>
    <col min="2338" max="2338" width="4.28515625" style="45" customWidth="1"/>
    <col min="2339" max="2561" width="11.42578125" style="45" customWidth="1"/>
    <col min="2562" max="2562" width="10.7109375" style="45" customWidth="1"/>
    <col min="2563" max="2563" width="16" style="45" customWidth="1"/>
    <col min="2564" max="2566" width="0" style="45" hidden="1"/>
    <col min="2567" max="2567" width="56.85546875" style="45" customWidth="1"/>
    <col min="2568" max="2568" width="6" style="45" customWidth="1"/>
    <col min="2569" max="2570" width="0" style="45" hidden="1"/>
    <col min="2571" max="2571" width="2.7109375" style="45" customWidth="1"/>
    <col min="2572" max="2572" width="5.140625" style="45" customWidth="1"/>
    <col min="2573" max="2573" width="14" style="45" customWidth="1"/>
    <col min="2574" max="2574" width="3.5703125" style="45" customWidth="1"/>
    <col min="2575" max="2575" width="6.5703125" style="45" customWidth="1"/>
    <col min="2576" max="2576" width="36.5703125" style="45" customWidth="1"/>
    <col min="2577" max="2577" width="57.85546875" style="45" customWidth="1"/>
    <col min="2578" max="2578" width="4.140625" style="45" customWidth="1"/>
    <col min="2579" max="2579" width="4.42578125" style="45" customWidth="1"/>
    <col min="2580" max="2580" width="4.28515625" style="45" customWidth="1"/>
    <col min="2581" max="2581" width="4" style="45" customWidth="1"/>
    <col min="2582" max="2582" width="3.7109375" style="45" customWidth="1"/>
    <col min="2583" max="2583" width="4.28515625" style="45" customWidth="1"/>
    <col min="2584" max="2584" width="3.42578125" style="45" customWidth="1"/>
    <col min="2585" max="2585" width="4.7109375" style="45" customWidth="1"/>
    <col min="2586" max="2587" width="5.42578125" style="45" customWidth="1"/>
    <col min="2588" max="2588" width="10.28515625" style="45" customWidth="1"/>
    <col min="2589" max="2589" width="4.42578125" style="45" customWidth="1"/>
    <col min="2590" max="2590" width="4.28515625" style="45" customWidth="1"/>
    <col min="2591" max="2591" width="4" style="45" customWidth="1"/>
    <col min="2592" max="2592" width="4.42578125" style="45" customWidth="1"/>
    <col min="2593" max="2593" width="3.85546875" style="45" customWidth="1"/>
    <col min="2594" max="2594" width="4.28515625" style="45" customWidth="1"/>
    <col min="2595" max="2817" width="11.42578125" style="45" customWidth="1"/>
    <col min="2818" max="2818" width="10.7109375" style="45" customWidth="1"/>
    <col min="2819" max="2819" width="16" style="45" customWidth="1"/>
    <col min="2820" max="2822" width="0" style="45" hidden="1"/>
    <col min="2823" max="2823" width="56.85546875" style="45" customWidth="1"/>
    <col min="2824" max="2824" width="6" style="45" customWidth="1"/>
    <col min="2825" max="2826" width="0" style="45" hidden="1"/>
    <col min="2827" max="2827" width="2.7109375" style="45" customWidth="1"/>
    <col min="2828" max="2828" width="5.140625" style="45" customWidth="1"/>
    <col min="2829" max="2829" width="14" style="45" customWidth="1"/>
    <col min="2830" max="2830" width="3.5703125" style="45" customWidth="1"/>
    <col min="2831" max="2831" width="6.5703125" style="45" customWidth="1"/>
    <col min="2832" max="2832" width="36.5703125" style="45" customWidth="1"/>
    <col min="2833" max="2833" width="57.85546875" style="45" customWidth="1"/>
    <col min="2834" max="2834" width="4.140625" style="45" customWidth="1"/>
    <col min="2835" max="2835" width="4.42578125" style="45" customWidth="1"/>
    <col min="2836" max="2836" width="4.28515625" style="45" customWidth="1"/>
    <col min="2837" max="2837" width="4" style="45" customWidth="1"/>
    <col min="2838" max="2838" width="3.7109375" style="45" customWidth="1"/>
    <col min="2839" max="2839" width="4.28515625" style="45" customWidth="1"/>
    <col min="2840" max="2840" width="3.42578125" style="45" customWidth="1"/>
    <col min="2841" max="2841" width="4.7109375" style="45" customWidth="1"/>
    <col min="2842" max="2843" width="5.42578125" style="45" customWidth="1"/>
    <col min="2844" max="2844" width="10.28515625" style="45" customWidth="1"/>
    <col min="2845" max="2845" width="4.42578125" style="45" customWidth="1"/>
    <col min="2846" max="2846" width="4.28515625" style="45" customWidth="1"/>
    <col min="2847" max="2847" width="4" style="45" customWidth="1"/>
    <col min="2848" max="2848" width="4.42578125" style="45" customWidth="1"/>
    <col min="2849" max="2849" width="3.85546875" style="45" customWidth="1"/>
    <col min="2850" max="2850" width="4.28515625" style="45" customWidth="1"/>
    <col min="2851" max="3073" width="11.42578125" style="45" customWidth="1"/>
    <col min="3074" max="3074" width="10.7109375" style="45" customWidth="1"/>
    <col min="3075" max="3075" width="16" style="45" customWidth="1"/>
    <col min="3076" max="3078" width="0" style="45" hidden="1"/>
    <col min="3079" max="3079" width="56.85546875" style="45" customWidth="1"/>
    <col min="3080" max="3080" width="6" style="45" customWidth="1"/>
    <col min="3081" max="3082" width="0" style="45" hidden="1"/>
    <col min="3083" max="3083" width="2.7109375" style="45" customWidth="1"/>
    <col min="3084" max="3084" width="5.140625" style="45" customWidth="1"/>
    <col min="3085" max="3085" width="14" style="45" customWidth="1"/>
    <col min="3086" max="3086" width="3.5703125" style="45" customWidth="1"/>
    <col min="3087" max="3087" width="6.5703125" style="45" customWidth="1"/>
    <col min="3088" max="3088" width="36.5703125" style="45" customWidth="1"/>
    <col min="3089" max="3089" width="57.85546875" style="45" customWidth="1"/>
    <col min="3090" max="3090" width="4.140625" style="45" customWidth="1"/>
    <col min="3091" max="3091" width="4.42578125" style="45" customWidth="1"/>
    <col min="3092" max="3092" width="4.28515625" style="45" customWidth="1"/>
    <col min="3093" max="3093" width="4" style="45" customWidth="1"/>
    <col min="3094" max="3094" width="3.7109375" style="45" customWidth="1"/>
    <col min="3095" max="3095" width="4.28515625" style="45" customWidth="1"/>
    <col min="3096" max="3096" width="3.42578125" style="45" customWidth="1"/>
    <col min="3097" max="3097" width="4.7109375" style="45" customWidth="1"/>
    <col min="3098" max="3099" width="5.42578125" style="45" customWidth="1"/>
    <col min="3100" max="3100" width="10.28515625" style="45" customWidth="1"/>
    <col min="3101" max="3101" width="4.42578125" style="45" customWidth="1"/>
    <col min="3102" max="3102" width="4.28515625" style="45" customWidth="1"/>
    <col min="3103" max="3103" width="4" style="45" customWidth="1"/>
    <col min="3104" max="3104" width="4.42578125" style="45" customWidth="1"/>
    <col min="3105" max="3105" width="3.85546875" style="45" customWidth="1"/>
    <col min="3106" max="3106" width="4.28515625" style="45" customWidth="1"/>
    <col min="3107" max="3329" width="11.42578125" style="45" customWidth="1"/>
    <col min="3330" max="3330" width="10.7109375" style="45" customWidth="1"/>
    <col min="3331" max="3331" width="16" style="45" customWidth="1"/>
    <col min="3332" max="3334" width="0" style="45" hidden="1"/>
    <col min="3335" max="3335" width="56.85546875" style="45" customWidth="1"/>
    <col min="3336" max="3336" width="6" style="45" customWidth="1"/>
    <col min="3337" max="3338" width="0" style="45" hidden="1"/>
    <col min="3339" max="3339" width="2.7109375" style="45" customWidth="1"/>
    <col min="3340" max="3340" width="5.140625" style="45" customWidth="1"/>
    <col min="3341" max="3341" width="14" style="45" customWidth="1"/>
    <col min="3342" max="3342" width="3.5703125" style="45" customWidth="1"/>
    <col min="3343" max="3343" width="6.5703125" style="45" customWidth="1"/>
    <col min="3344" max="3344" width="36.5703125" style="45" customWidth="1"/>
    <col min="3345" max="3345" width="57.85546875" style="45" customWidth="1"/>
    <col min="3346" max="3346" width="4.140625" style="45" customWidth="1"/>
    <col min="3347" max="3347" width="4.42578125" style="45" customWidth="1"/>
    <col min="3348" max="3348" width="4.28515625" style="45" customWidth="1"/>
    <col min="3349" max="3349" width="4" style="45" customWidth="1"/>
    <col min="3350" max="3350" width="3.7109375" style="45" customWidth="1"/>
    <col min="3351" max="3351" width="4.28515625" style="45" customWidth="1"/>
    <col min="3352" max="3352" width="3.42578125" style="45" customWidth="1"/>
    <col min="3353" max="3353" width="4.7109375" style="45" customWidth="1"/>
    <col min="3354" max="3355" width="5.42578125" style="45" customWidth="1"/>
    <col min="3356" max="3356" width="10.28515625" style="45" customWidth="1"/>
    <col min="3357" max="3357" width="4.42578125" style="45" customWidth="1"/>
    <col min="3358" max="3358" width="4.28515625" style="45" customWidth="1"/>
    <col min="3359" max="3359" width="4" style="45" customWidth="1"/>
    <col min="3360" max="3360" width="4.42578125" style="45" customWidth="1"/>
    <col min="3361" max="3361" width="3.85546875" style="45" customWidth="1"/>
    <col min="3362" max="3362" width="4.28515625" style="45" customWidth="1"/>
    <col min="3363" max="3585" width="11.42578125" style="45" customWidth="1"/>
    <col min="3586" max="3586" width="10.7109375" style="45" customWidth="1"/>
    <col min="3587" max="3587" width="16" style="45" customWidth="1"/>
    <col min="3588" max="3590" width="0" style="45" hidden="1"/>
    <col min="3591" max="3591" width="56.85546875" style="45" customWidth="1"/>
    <col min="3592" max="3592" width="6" style="45" customWidth="1"/>
    <col min="3593" max="3594" width="0" style="45" hidden="1"/>
    <col min="3595" max="3595" width="2.7109375" style="45" customWidth="1"/>
    <col min="3596" max="3596" width="5.140625" style="45" customWidth="1"/>
    <col min="3597" max="3597" width="14" style="45" customWidth="1"/>
    <col min="3598" max="3598" width="3.5703125" style="45" customWidth="1"/>
    <col min="3599" max="3599" width="6.5703125" style="45" customWidth="1"/>
    <col min="3600" max="3600" width="36.5703125" style="45" customWidth="1"/>
    <col min="3601" max="3601" width="57.85546875" style="45" customWidth="1"/>
    <col min="3602" max="3602" width="4.140625" style="45" customWidth="1"/>
    <col min="3603" max="3603" width="4.42578125" style="45" customWidth="1"/>
    <col min="3604" max="3604" width="4.28515625" style="45" customWidth="1"/>
    <col min="3605" max="3605" width="4" style="45" customWidth="1"/>
    <col min="3606" max="3606" width="3.7109375" style="45" customWidth="1"/>
    <col min="3607" max="3607" width="4.28515625" style="45" customWidth="1"/>
    <col min="3608" max="3608" width="3.42578125" style="45" customWidth="1"/>
    <col min="3609" max="3609" width="4.7109375" style="45" customWidth="1"/>
    <col min="3610" max="3611" width="5.42578125" style="45" customWidth="1"/>
    <col min="3612" max="3612" width="10.28515625" style="45" customWidth="1"/>
    <col min="3613" max="3613" width="4.42578125" style="45" customWidth="1"/>
    <col min="3614" max="3614" width="4.28515625" style="45" customWidth="1"/>
    <col min="3615" max="3615" width="4" style="45" customWidth="1"/>
    <col min="3616" max="3616" width="4.42578125" style="45" customWidth="1"/>
    <col min="3617" max="3617" width="3.85546875" style="45" customWidth="1"/>
    <col min="3618" max="3618" width="4.28515625" style="45" customWidth="1"/>
    <col min="3619" max="3841" width="11.42578125" style="45" customWidth="1"/>
    <col min="3842" max="3842" width="10.7109375" style="45" customWidth="1"/>
    <col min="3843" max="3843" width="16" style="45" customWidth="1"/>
    <col min="3844" max="3846" width="0" style="45" hidden="1"/>
    <col min="3847" max="3847" width="56.85546875" style="45" customWidth="1"/>
    <col min="3848" max="3848" width="6" style="45" customWidth="1"/>
    <col min="3849" max="3850" width="0" style="45" hidden="1"/>
    <col min="3851" max="3851" width="2.7109375" style="45" customWidth="1"/>
    <col min="3852" max="3852" width="5.140625" style="45" customWidth="1"/>
    <col min="3853" max="3853" width="14" style="45" customWidth="1"/>
    <col min="3854" max="3854" width="3.5703125" style="45" customWidth="1"/>
    <col min="3855" max="3855" width="6.5703125" style="45" customWidth="1"/>
    <col min="3856" max="3856" width="36.5703125" style="45" customWidth="1"/>
    <col min="3857" max="3857" width="57.85546875" style="45" customWidth="1"/>
    <col min="3858" max="3858" width="4.140625" style="45" customWidth="1"/>
    <col min="3859" max="3859" width="4.42578125" style="45" customWidth="1"/>
    <col min="3860" max="3860" width="4.28515625" style="45" customWidth="1"/>
    <col min="3861" max="3861" width="4" style="45" customWidth="1"/>
    <col min="3862" max="3862" width="3.7109375" style="45" customWidth="1"/>
    <col min="3863" max="3863" width="4.28515625" style="45" customWidth="1"/>
    <col min="3864" max="3864" width="3.42578125" style="45" customWidth="1"/>
    <col min="3865" max="3865" width="4.7109375" style="45" customWidth="1"/>
    <col min="3866" max="3867" width="5.42578125" style="45" customWidth="1"/>
    <col min="3868" max="3868" width="10.28515625" style="45" customWidth="1"/>
    <col min="3869" max="3869" width="4.42578125" style="45" customWidth="1"/>
    <col min="3870" max="3870" width="4.28515625" style="45" customWidth="1"/>
    <col min="3871" max="3871" width="4" style="45" customWidth="1"/>
    <col min="3872" max="3872" width="4.42578125" style="45" customWidth="1"/>
    <col min="3873" max="3873" width="3.85546875" style="45" customWidth="1"/>
    <col min="3874" max="3874" width="4.28515625" style="45" customWidth="1"/>
    <col min="3875" max="4097" width="11.42578125" style="45" customWidth="1"/>
    <col min="4098" max="4098" width="10.7109375" style="45" customWidth="1"/>
    <col min="4099" max="4099" width="16" style="45" customWidth="1"/>
    <col min="4100" max="4102" width="0" style="45" hidden="1"/>
    <col min="4103" max="4103" width="56.85546875" style="45" customWidth="1"/>
    <col min="4104" max="4104" width="6" style="45" customWidth="1"/>
    <col min="4105" max="4106" width="0" style="45" hidden="1"/>
    <col min="4107" max="4107" width="2.7109375" style="45" customWidth="1"/>
    <col min="4108" max="4108" width="5.140625" style="45" customWidth="1"/>
    <col min="4109" max="4109" width="14" style="45" customWidth="1"/>
    <col min="4110" max="4110" width="3.5703125" style="45" customWidth="1"/>
    <col min="4111" max="4111" width="6.5703125" style="45" customWidth="1"/>
    <col min="4112" max="4112" width="36.5703125" style="45" customWidth="1"/>
    <col min="4113" max="4113" width="57.85546875" style="45" customWidth="1"/>
    <col min="4114" max="4114" width="4.140625" style="45" customWidth="1"/>
    <col min="4115" max="4115" width="4.42578125" style="45" customWidth="1"/>
    <col min="4116" max="4116" width="4.28515625" style="45" customWidth="1"/>
    <col min="4117" max="4117" width="4" style="45" customWidth="1"/>
    <col min="4118" max="4118" width="3.7109375" style="45" customWidth="1"/>
    <col min="4119" max="4119" width="4.28515625" style="45" customWidth="1"/>
    <col min="4120" max="4120" width="3.42578125" style="45" customWidth="1"/>
    <col min="4121" max="4121" width="4.7109375" style="45" customWidth="1"/>
    <col min="4122" max="4123" width="5.42578125" style="45" customWidth="1"/>
    <col min="4124" max="4124" width="10.28515625" style="45" customWidth="1"/>
    <col min="4125" max="4125" width="4.42578125" style="45" customWidth="1"/>
    <col min="4126" max="4126" width="4.28515625" style="45" customWidth="1"/>
    <col min="4127" max="4127" width="4" style="45" customWidth="1"/>
    <col min="4128" max="4128" width="4.42578125" style="45" customWidth="1"/>
    <col min="4129" max="4129" width="3.85546875" style="45" customWidth="1"/>
    <col min="4130" max="4130" width="4.28515625" style="45" customWidth="1"/>
    <col min="4131" max="4353" width="11.42578125" style="45" customWidth="1"/>
    <col min="4354" max="4354" width="10.7109375" style="45" customWidth="1"/>
    <col min="4355" max="4355" width="16" style="45" customWidth="1"/>
    <col min="4356" max="4358" width="0" style="45" hidden="1"/>
    <col min="4359" max="4359" width="56.85546875" style="45" customWidth="1"/>
    <col min="4360" max="4360" width="6" style="45" customWidth="1"/>
    <col min="4361" max="4362" width="0" style="45" hidden="1"/>
    <col min="4363" max="4363" width="2.7109375" style="45" customWidth="1"/>
    <col min="4364" max="4364" width="5.140625" style="45" customWidth="1"/>
    <col min="4365" max="4365" width="14" style="45" customWidth="1"/>
    <col min="4366" max="4366" width="3.5703125" style="45" customWidth="1"/>
    <col min="4367" max="4367" width="6.5703125" style="45" customWidth="1"/>
    <col min="4368" max="4368" width="36.5703125" style="45" customWidth="1"/>
    <col min="4369" max="4369" width="57.85546875" style="45" customWidth="1"/>
    <col min="4370" max="4370" width="4.140625" style="45" customWidth="1"/>
    <col min="4371" max="4371" width="4.42578125" style="45" customWidth="1"/>
    <col min="4372" max="4372" width="4.28515625" style="45" customWidth="1"/>
    <col min="4373" max="4373" width="4" style="45" customWidth="1"/>
    <col min="4374" max="4374" width="3.7109375" style="45" customWidth="1"/>
    <col min="4375" max="4375" width="4.28515625" style="45" customWidth="1"/>
    <col min="4376" max="4376" width="3.42578125" style="45" customWidth="1"/>
    <col min="4377" max="4377" width="4.7109375" style="45" customWidth="1"/>
    <col min="4378" max="4379" width="5.42578125" style="45" customWidth="1"/>
    <col min="4380" max="4380" width="10.28515625" style="45" customWidth="1"/>
    <col min="4381" max="4381" width="4.42578125" style="45" customWidth="1"/>
    <col min="4382" max="4382" width="4.28515625" style="45" customWidth="1"/>
    <col min="4383" max="4383" width="4" style="45" customWidth="1"/>
    <col min="4384" max="4384" width="4.42578125" style="45" customWidth="1"/>
    <col min="4385" max="4385" width="3.85546875" style="45" customWidth="1"/>
    <col min="4386" max="4386" width="4.28515625" style="45" customWidth="1"/>
    <col min="4387" max="4609" width="11.42578125" style="45" customWidth="1"/>
    <col min="4610" max="4610" width="10.7109375" style="45" customWidth="1"/>
    <col min="4611" max="4611" width="16" style="45" customWidth="1"/>
    <col min="4612" max="4614" width="0" style="45" hidden="1"/>
    <col min="4615" max="4615" width="56.85546875" style="45" customWidth="1"/>
    <col min="4616" max="4616" width="6" style="45" customWidth="1"/>
    <col min="4617" max="4618" width="0" style="45" hidden="1"/>
    <col min="4619" max="4619" width="2.7109375" style="45" customWidth="1"/>
    <col min="4620" max="4620" width="5.140625" style="45" customWidth="1"/>
    <col min="4621" max="4621" width="14" style="45" customWidth="1"/>
    <col min="4622" max="4622" width="3.5703125" style="45" customWidth="1"/>
    <col min="4623" max="4623" width="6.5703125" style="45" customWidth="1"/>
    <col min="4624" max="4624" width="36.5703125" style="45" customWidth="1"/>
    <col min="4625" max="4625" width="57.85546875" style="45" customWidth="1"/>
    <col min="4626" max="4626" width="4.140625" style="45" customWidth="1"/>
    <col min="4627" max="4627" width="4.42578125" style="45" customWidth="1"/>
    <col min="4628" max="4628" width="4.28515625" style="45" customWidth="1"/>
    <col min="4629" max="4629" width="4" style="45" customWidth="1"/>
    <col min="4630" max="4630" width="3.7109375" style="45" customWidth="1"/>
    <col min="4631" max="4631" width="4.28515625" style="45" customWidth="1"/>
    <col min="4632" max="4632" width="3.42578125" style="45" customWidth="1"/>
    <col min="4633" max="4633" width="4.7109375" style="45" customWidth="1"/>
    <col min="4634" max="4635" width="5.42578125" style="45" customWidth="1"/>
    <col min="4636" max="4636" width="10.28515625" style="45" customWidth="1"/>
    <col min="4637" max="4637" width="4.42578125" style="45" customWidth="1"/>
    <col min="4638" max="4638" width="4.28515625" style="45" customWidth="1"/>
    <col min="4639" max="4639" width="4" style="45" customWidth="1"/>
    <col min="4640" max="4640" width="4.42578125" style="45" customWidth="1"/>
    <col min="4641" max="4641" width="3.85546875" style="45" customWidth="1"/>
    <col min="4642" max="4642" width="4.28515625" style="45" customWidth="1"/>
    <col min="4643" max="4865" width="11.42578125" style="45" customWidth="1"/>
    <col min="4866" max="4866" width="10.7109375" style="45" customWidth="1"/>
    <col min="4867" max="4867" width="16" style="45" customWidth="1"/>
    <col min="4868" max="4870" width="0" style="45" hidden="1"/>
    <col min="4871" max="4871" width="56.85546875" style="45" customWidth="1"/>
    <col min="4872" max="4872" width="6" style="45" customWidth="1"/>
    <col min="4873" max="4874" width="0" style="45" hidden="1"/>
    <col min="4875" max="4875" width="2.7109375" style="45" customWidth="1"/>
    <col min="4876" max="4876" width="5.140625" style="45" customWidth="1"/>
    <col min="4877" max="4877" width="14" style="45" customWidth="1"/>
    <col min="4878" max="4878" width="3.5703125" style="45" customWidth="1"/>
    <col min="4879" max="4879" width="6.5703125" style="45" customWidth="1"/>
    <col min="4880" max="4880" width="36.5703125" style="45" customWidth="1"/>
    <col min="4881" max="4881" width="57.85546875" style="45" customWidth="1"/>
    <col min="4882" max="4882" width="4.140625" style="45" customWidth="1"/>
    <col min="4883" max="4883" width="4.42578125" style="45" customWidth="1"/>
    <col min="4884" max="4884" width="4.28515625" style="45" customWidth="1"/>
    <col min="4885" max="4885" width="4" style="45" customWidth="1"/>
    <col min="4886" max="4886" width="3.7109375" style="45" customWidth="1"/>
    <col min="4887" max="4887" width="4.28515625" style="45" customWidth="1"/>
    <col min="4888" max="4888" width="3.42578125" style="45" customWidth="1"/>
    <col min="4889" max="4889" width="4.7109375" style="45" customWidth="1"/>
    <col min="4890" max="4891" width="5.42578125" style="45" customWidth="1"/>
    <col min="4892" max="4892" width="10.28515625" style="45" customWidth="1"/>
    <col min="4893" max="4893" width="4.42578125" style="45" customWidth="1"/>
    <col min="4894" max="4894" width="4.28515625" style="45" customWidth="1"/>
    <col min="4895" max="4895" width="4" style="45" customWidth="1"/>
    <col min="4896" max="4896" width="4.42578125" style="45" customWidth="1"/>
    <col min="4897" max="4897" width="3.85546875" style="45" customWidth="1"/>
    <col min="4898" max="4898" width="4.28515625" style="45" customWidth="1"/>
    <col min="4899" max="5121" width="11.42578125" style="45" customWidth="1"/>
    <col min="5122" max="5122" width="10.7109375" style="45" customWidth="1"/>
    <col min="5123" max="5123" width="16" style="45" customWidth="1"/>
    <col min="5124" max="5126" width="0" style="45" hidden="1"/>
    <col min="5127" max="5127" width="56.85546875" style="45" customWidth="1"/>
    <col min="5128" max="5128" width="6" style="45" customWidth="1"/>
    <col min="5129" max="5130" width="0" style="45" hidden="1"/>
    <col min="5131" max="5131" width="2.7109375" style="45" customWidth="1"/>
    <col min="5132" max="5132" width="5.140625" style="45" customWidth="1"/>
    <col min="5133" max="5133" width="14" style="45" customWidth="1"/>
    <col min="5134" max="5134" width="3.5703125" style="45" customWidth="1"/>
    <col min="5135" max="5135" width="6.5703125" style="45" customWidth="1"/>
    <col min="5136" max="5136" width="36.5703125" style="45" customWidth="1"/>
    <col min="5137" max="5137" width="57.85546875" style="45" customWidth="1"/>
    <col min="5138" max="5138" width="4.140625" style="45" customWidth="1"/>
    <col min="5139" max="5139" width="4.42578125" style="45" customWidth="1"/>
    <col min="5140" max="5140" width="4.28515625" style="45" customWidth="1"/>
    <col min="5141" max="5141" width="4" style="45" customWidth="1"/>
    <col min="5142" max="5142" width="3.7109375" style="45" customWidth="1"/>
    <col min="5143" max="5143" width="4.28515625" style="45" customWidth="1"/>
    <col min="5144" max="5144" width="3.42578125" style="45" customWidth="1"/>
    <col min="5145" max="5145" width="4.7109375" style="45" customWidth="1"/>
    <col min="5146" max="5147" width="5.42578125" style="45" customWidth="1"/>
    <col min="5148" max="5148" width="10.28515625" style="45" customWidth="1"/>
    <col min="5149" max="5149" width="4.42578125" style="45" customWidth="1"/>
    <col min="5150" max="5150" width="4.28515625" style="45" customWidth="1"/>
    <col min="5151" max="5151" width="4" style="45" customWidth="1"/>
    <col min="5152" max="5152" width="4.42578125" style="45" customWidth="1"/>
    <col min="5153" max="5153" width="3.85546875" style="45" customWidth="1"/>
    <col min="5154" max="5154" width="4.28515625" style="45" customWidth="1"/>
    <col min="5155" max="5377" width="11.42578125" style="45" customWidth="1"/>
    <col min="5378" max="5378" width="10.7109375" style="45" customWidth="1"/>
    <col min="5379" max="5379" width="16" style="45" customWidth="1"/>
    <col min="5380" max="5382" width="0" style="45" hidden="1"/>
    <col min="5383" max="5383" width="56.85546875" style="45" customWidth="1"/>
    <col min="5384" max="5384" width="6" style="45" customWidth="1"/>
    <col min="5385" max="5386" width="0" style="45" hidden="1"/>
    <col min="5387" max="5387" width="2.7109375" style="45" customWidth="1"/>
    <col min="5388" max="5388" width="5.140625" style="45" customWidth="1"/>
    <col min="5389" max="5389" width="14" style="45" customWidth="1"/>
    <col min="5390" max="5390" width="3.5703125" style="45" customWidth="1"/>
    <col min="5391" max="5391" width="6.5703125" style="45" customWidth="1"/>
    <col min="5392" max="5392" width="36.5703125" style="45" customWidth="1"/>
    <col min="5393" max="5393" width="57.85546875" style="45" customWidth="1"/>
    <col min="5394" max="5394" width="4.140625" style="45" customWidth="1"/>
    <col min="5395" max="5395" width="4.42578125" style="45" customWidth="1"/>
    <col min="5396" max="5396" width="4.28515625" style="45" customWidth="1"/>
    <col min="5397" max="5397" width="4" style="45" customWidth="1"/>
    <col min="5398" max="5398" width="3.7109375" style="45" customWidth="1"/>
    <col min="5399" max="5399" width="4.28515625" style="45" customWidth="1"/>
    <col min="5400" max="5400" width="3.42578125" style="45" customWidth="1"/>
    <col min="5401" max="5401" width="4.7109375" style="45" customWidth="1"/>
    <col min="5402" max="5403" width="5.42578125" style="45" customWidth="1"/>
    <col min="5404" max="5404" width="10.28515625" style="45" customWidth="1"/>
    <col min="5405" max="5405" width="4.42578125" style="45" customWidth="1"/>
    <col min="5406" max="5406" width="4.28515625" style="45" customWidth="1"/>
    <col min="5407" max="5407" width="4" style="45" customWidth="1"/>
    <col min="5408" max="5408" width="4.42578125" style="45" customWidth="1"/>
    <col min="5409" max="5409" width="3.85546875" style="45" customWidth="1"/>
    <col min="5410" max="5410" width="4.28515625" style="45" customWidth="1"/>
    <col min="5411" max="5633" width="11.42578125" style="45" customWidth="1"/>
    <col min="5634" max="5634" width="10.7109375" style="45" customWidth="1"/>
    <col min="5635" max="5635" width="16" style="45" customWidth="1"/>
    <col min="5636" max="5638" width="0" style="45" hidden="1"/>
    <col min="5639" max="5639" width="56.85546875" style="45" customWidth="1"/>
    <col min="5640" max="5640" width="6" style="45" customWidth="1"/>
    <col min="5641" max="5642" width="0" style="45" hidden="1"/>
    <col min="5643" max="5643" width="2.7109375" style="45" customWidth="1"/>
    <col min="5644" max="5644" width="5.140625" style="45" customWidth="1"/>
    <col min="5645" max="5645" width="14" style="45" customWidth="1"/>
    <col min="5646" max="5646" width="3.5703125" style="45" customWidth="1"/>
    <col min="5647" max="5647" width="6.5703125" style="45" customWidth="1"/>
    <col min="5648" max="5648" width="36.5703125" style="45" customWidth="1"/>
    <col min="5649" max="5649" width="57.85546875" style="45" customWidth="1"/>
    <col min="5650" max="5650" width="4.140625" style="45" customWidth="1"/>
    <col min="5651" max="5651" width="4.42578125" style="45" customWidth="1"/>
    <col min="5652" max="5652" width="4.28515625" style="45" customWidth="1"/>
    <col min="5653" max="5653" width="4" style="45" customWidth="1"/>
    <col min="5654" max="5654" width="3.7109375" style="45" customWidth="1"/>
    <col min="5655" max="5655" width="4.28515625" style="45" customWidth="1"/>
    <col min="5656" max="5656" width="3.42578125" style="45" customWidth="1"/>
    <col min="5657" max="5657" width="4.7109375" style="45" customWidth="1"/>
    <col min="5658" max="5659" width="5.42578125" style="45" customWidth="1"/>
    <col min="5660" max="5660" width="10.28515625" style="45" customWidth="1"/>
    <col min="5661" max="5661" width="4.42578125" style="45" customWidth="1"/>
    <col min="5662" max="5662" width="4.28515625" style="45" customWidth="1"/>
    <col min="5663" max="5663" width="4" style="45" customWidth="1"/>
    <col min="5664" max="5664" width="4.42578125" style="45" customWidth="1"/>
    <col min="5665" max="5665" width="3.85546875" style="45" customWidth="1"/>
    <col min="5666" max="5666" width="4.28515625" style="45" customWidth="1"/>
    <col min="5667" max="5889" width="11.42578125" style="45" customWidth="1"/>
    <col min="5890" max="5890" width="10.7109375" style="45" customWidth="1"/>
    <col min="5891" max="5891" width="16" style="45" customWidth="1"/>
    <col min="5892" max="5894" width="0" style="45" hidden="1"/>
    <col min="5895" max="5895" width="56.85546875" style="45" customWidth="1"/>
    <col min="5896" max="5896" width="6" style="45" customWidth="1"/>
    <col min="5897" max="5898" width="0" style="45" hidden="1"/>
    <col min="5899" max="5899" width="2.7109375" style="45" customWidth="1"/>
    <col min="5900" max="5900" width="5.140625" style="45" customWidth="1"/>
    <col min="5901" max="5901" width="14" style="45" customWidth="1"/>
    <col min="5902" max="5902" width="3.5703125" style="45" customWidth="1"/>
    <col min="5903" max="5903" width="6.5703125" style="45" customWidth="1"/>
    <col min="5904" max="5904" width="36.5703125" style="45" customWidth="1"/>
    <col min="5905" max="5905" width="57.85546875" style="45" customWidth="1"/>
    <col min="5906" max="5906" width="4.140625" style="45" customWidth="1"/>
    <col min="5907" max="5907" width="4.42578125" style="45" customWidth="1"/>
    <col min="5908" max="5908" width="4.28515625" style="45" customWidth="1"/>
    <col min="5909" max="5909" width="4" style="45" customWidth="1"/>
    <col min="5910" max="5910" width="3.7109375" style="45" customWidth="1"/>
    <col min="5911" max="5911" width="4.28515625" style="45" customWidth="1"/>
    <col min="5912" max="5912" width="3.42578125" style="45" customWidth="1"/>
    <col min="5913" max="5913" width="4.7109375" style="45" customWidth="1"/>
    <col min="5914" max="5915" width="5.42578125" style="45" customWidth="1"/>
    <col min="5916" max="5916" width="10.28515625" style="45" customWidth="1"/>
    <col min="5917" max="5917" width="4.42578125" style="45" customWidth="1"/>
    <col min="5918" max="5918" width="4.28515625" style="45" customWidth="1"/>
    <col min="5919" max="5919" width="4" style="45" customWidth="1"/>
    <col min="5920" max="5920" width="4.42578125" style="45" customWidth="1"/>
    <col min="5921" max="5921" width="3.85546875" style="45" customWidth="1"/>
    <col min="5922" max="5922" width="4.28515625" style="45" customWidth="1"/>
    <col min="5923" max="6145" width="11.42578125" style="45" customWidth="1"/>
    <col min="6146" max="6146" width="10.7109375" style="45" customWidth="1"/>
    <col min="6147" max="6147" width="16" style="45" customWidth="1"/>
    <col min="6148" max="6150" width="0" style="45" hidden="1"/>
    <col min="6151" max="6151" width="56.85546875" style="45" customWidth="1"/>
    <col min="6152" max="6152" width="6" style="45" customWidth="1"/>
    <col min="6153" max="6154" width="0" style="45" hidden="1"/>
    <col min="6155" max="6155" width="2.7109375" style="45" customWidth="1"/>
    <col min="6156" max="6156" width="5.140625" style="45" customWidth="1"/>
    <col min="6157" max="6157" width="14" style="45" customWidth="1"/>
    <col min="6158" max="6158" width="3.5703125" style="45" customWidth="1"/>
    <col min="6159" max="6159" width="6.5703125" style="45" customWidth="1"/>
    <col min="6160" max="6160" width="36.5703125" style="45" customWidth="1"/>
    <col min="6161" max="6161" width="57.85546875" style="45" customWidth="1"/>
    <col min="6162" max="6162" width="4.140625" style="45" customWidth="1"/>
    <col min="6163" max="6163" width="4.42578125" style="45" customWidth="1"/>
    <col min="6164" max="6164" width="4.28515625" style="45" customWidth="1"/>
    <col min="6165" max="6165" width="4" style="45" customWidth="1"/>
    <col min="6166" max="6166" width="3.7109375" style="45" customWidth="1"/>
    <col min="6167" max="6167" width="4.28515625" style="45" customWidth="1"/>
    <col min="6168" max="6168" width="3.42578125" style="45" customWidth="1"/>
    <col min="6169" max="6169" width="4.7109375" style="45" customWidth="1"/>
    <col min="6170" max="6171" width="5.42578125" style="45" customWidth="1"/>
    <col min="6172" max="6172" width="10.28515625" style="45" customWidth="1"/>
    <col min="6173" max="6173" width="4.42578125" style="45" customWidth="1"/>
    <col min="6174" max="6174" width="4.28515625" style="45" customWidth="1"/>
    <col min="6175" max="6175" width="4" style="45" customWidth="1"/>
    <col min="6176" max="6176" width="4.42578125" style="45" customWidth="1"/>
    <col min="6177" max="6177" width="3.85546875" style="45" customWidth="1"/>
    <col min="6178" max="6178" width="4.28515625" style="45" customWidth="1"/>
    <col min="6179" max="6401" width="11.42578125" style="45" customWidth="1"/>
    <col min="6402" max="6402" width="10.7109375" style="45" customWidth="1"/>
    <col min="6403" max="6403" width="16" style="45" customWidth="1"/>
    <col min="6404" max="6406" width="0" style="45" hidden="1"/>
    <col min="6407" max="6407" width="56.85546875" style="45" customWidth="1"/>
    <col min="6408" max="6408" width="6" style="45" customWidth="1"/>
    <col min="6409" max="6410" width="0" style="45" hidden="1"/>
    <col min="6411" max="6411" width="2.7109375" style="45" customWidth="1"/>
    <col min="6412" max="6412" width="5.140625" style="45" customWidth="1"/>
    <col min="6413" max="6413" width="14" style="45" customWidth="1"/>
    <col min="6414" max="6414" width="3.5703125" style="45" customWidth="1"/>
    <col min="6415" max="6415" width="6.5703125" style="45" customWidth="1"/>
    <col min="6416" max="6416" width="36.5703125" style="45" customWidth="1"/>
    <col min="6417" max="6417" width="57.85546875" style="45" customWidth="1"/>
    <col min="6418" max="6418" width="4.140625" style="45" customWidth="1"/>
    <col min="6419" max="6419" width="4.42578125" style="45" customWidth="1"/>
    <col min="6420" max="6420" width="4.28515625" style="45" customWidth="1"/>
    <col min="6421" max="6421" width="4" style="45" customWidth="1"/>
    <col min="6422" max="6422" width="3.7109375" style="45" customWidth="1"/>
    <col min="6423" max="6423" width="4.28515625" style="45" customWidth="1"/>
    <col min="6424" max="6424" width="3.42578125" style="45" customWidth="1"/>
    <col min="6425" max="6425" width="4.7109375" style="45" customWidth="1"/>
    <col min="6426" max="6427" width="5.42578125" style="45" customWidth="1"/>
    <col min="6428" max="6428" width="10.28515625" style="45" customWidth="1"/>
    <col min="6429" max="6429" width="4.42578125" style="45" customWidth="1"/>
    <col min="6430" max="6430" width="4.28515625" style="45" customWidth="1"/>
    <col min="6431" max="6431" width="4" style="45" customWidth="1"/>
    <col min="6432" max="6432" width="4.42578125" style="45" customWidth="1"/>
    <col min="6433" max="6433" width="3.85546875" style="45" customWidth="1"/>
    <col min="6434" max="6434" width="4.28515625" style="45" customWidth="1"/>
    <col min="6435" max="6657" width="11.42578125" style="45" customWidth="1"/>
    <col min="6658" max="6658" width="10.7109375" style="45" customWidth="1"/>
    <col min="6659" max="6659" width="16" style="45" customWidth="1"/>
    <col min="6660" max="6662" width="0" style="45" hidden="1"/>
    <col min="6663" max="6663" width="56.85546875" style="45" customWidth="1"/>
    <col min="6664" max="6664" width="6" style="45" customWidth="1"/>
    <col min="6665" max="6666" width="0" style="45" hidden="1"/>
    <col min="6667" max="6667" width="2.7109375" style="45" customWidth="1"/>
    <col min="6668" max="6668" width="5.140625" style="45" customWidth="1"/>
    <col min="6669" max="6669" width="14" style="45" customWidth="1"/>
    <col min="6670" max="6670" width="3.5703125" style="45" customWidth="1"/>
    <col min="6671" max="6671" width="6.5703125" style="45" customWidth="1"/>
    <col min="6672" max="6672" width="36.5703125" style="45" customWidth="1"/>
    <col min="6673" max="6673" width="57.85546875" style="45" customWidth="1"/>
    <col min="6674" max="6674" width="4.140625" style="45" customWidth="1"/>
    <col min="6675" max="6675" width="4.42578125" style="45" customWidth="1"/>
    <col min="6676" max="6676" width="4.28515625" style="45" customWidth="1"/>
    <col min="6677" max="6677" width="4" style="45" customWidth="1"/>
    <col min="6678" max="6678" width="3.7109375" style="45" customWidth="1"/>
    <col min="6679" max="6679" width="4.28515625" style="45" customWidth="1"/>
    <col min="6680" max="6680" width="3.42578125" style="45" customWidth="1"/>
    <col min="6681" max="6681" width="4.7109375" style="45" customWidth="1"/>
    <col min="6682" max="6683" width="5.42578125" style="45" customWidth="1"/>
    <col min="6684" max="6684" width="10.28515625" style="45" customWidth="1"/>
    <col min="6685" max="6685" width="4.42578125" style="45" customWidth="1"/>
    <col min="6686" max="6686" width="4.28515625" style="45" customWidth="1"/>
    <col min="6687" max="6687" width="4" style="45" customWidth="1"/>
    <col min="6688" max="6688" width="4.42578125" style="45" customWidth="1"/>
    <col min="6689" max="6689" width="3.85546875" style="45" customWidth="1"/>
    <col min="6690" max="6690" width="4.28515625" style="45" customWidth="1"/>
    <col min="6691" max="6913" width="11.42578125" style="45" customWidth="1"/>
    <col min="6914" max="6914" width="10.7109375" style="45" customWidth="1"/>
    <col min="6915" max="6915" width="16" style="45" customWidth="1"/>
    <col min="6916" max="6918" width="0" style="45" hidden="1"/>
    <col min="6919" max="6919" width="56.85546875" style="45" customWidth="1"/>
    <col min="6920" max="6920" width="6" style="45" customWidth="1"/>
    <col min="6921" max="6922" width="0" style="45" hidden="1"/>
    <col min="6923" max="6923" width="2.7109375" style="45" customWidth="1"/>
    <col min="6924" max="6924" width="5.140625" style="45" customWidth="1"/>
    <col min="6925" max="6925" width="14" style="45" customWidth="1"/>
    <col min="6926" max="6926" width="3.5703125" style="45" customWidth="1"/>
    <col min="6927" max="6927" width="6.5703125" style="45" customWidth="1"/>
    <col min="6928" max="6928" width="36.5703125" style="45" customWidth="1"/>
    <col min="6929" max="6929" width="57.85546875" style="45" customWidth="1"/>
    <col min="6930" max="6930" width="4.140625" style="45" customWidth="1"/>
    <col min="6931" max="6931" width="4.42578125" style="45" customWidth="1"/>
    <col min="6932" max="6932" width="4.28515625" style="45" customWidth="1"/>
    <col min="6933" max="6933" width="4" style="45" customWidth="1"/>
    <col min="6934" max="6934" width="3.7109375" style="45" customWidth="1"/>
    <col min="6935" max="6935" width="4.28515625" style="45" customWidth="1"/>
    <col min="6936" max="6936" width="3.42578125" style="45" customWidth="1"/>
    <col min="6937" max="6937" width="4.7109375" style="45" customWidth="1"/>
    <col min="6938" max="6939" width="5.42578125" style="45" customWidth="1"/>
    <col min="6940" max="6940" width="10.28515625" style="45" customWidth="1"/>
    <col min="6941" max="6941" width="4.42578125" style="45" customWidth="1"/>
    <col min="6942" max="6942" width="4.28515625" style="45" customWidth="1"/>
    <col min="6943" max="6943" width="4" style="45" customWidth="1"/>
    <col min="6944" max="6944" width="4.42578125" style="45" customWidth="1"/>
    <col min="6945" max="6945" width="3.85546875" style="45" customWidth="1"/>
    <col min="6946" max="6946" width="4.28515625" style="45" customWidth="1"/>
    <col min="6947" max="7169" width="11.42578125" style="45" customWidth="1"/>
    <col min="7170" max="7170" width="10.7109375" style="45" customWidth="1"/>
    <col min="7171" max="7171" width="16" style="45" customWidth="1"/>
    <col min="7172" max="7174" width="0" style="45" hidden="1"/>
    <col min="7175" max="7175" width="56.85546875" style="45" customWidth="1"/>
    <col min="7176" max="7176" width="6" style="45" customWidth="1"/>
    <col min="7177" max="7178" width="0" style="45" hidden="1"/>
    <col min="7179" max="7179" width="2.7109375" style="45" customWidth="1"/>
    <col min="7180" max="7180" width="5.140625" style="45" customWidth="1"/>
    <col min="7181" max="7181" width="14" style="45" customWidth="1"/>
    <col min="7182" max="7182" width="3.5703125" style="45" customWidth="1"/>
    <col min="7183" max="7183" width="6.5703125" style="45" customWidth="1"/>
    <col min="7184" max="7184" width="36.5703125" style="45" customWidth="1"/>
    <col min="7185" max="7185" width="57.85546875" style="45" customWidth="1"/>
    <col min="7186" max="7186" width="4.140625" style="45" customWidth="1"/>
    <col min="7187" max="7187" width="4.42578125" style="45" customWidth="1"/>
    <col min="7188" max="7188" width="4.28515625" style="45" customWidth="1"/>
    <col min="7189" max="7189" width="4" style="45" customWidth="1"/>
    <col min="7190" max="7190" width="3.7109375" style="45" customWidth="1"/>
    <col min="7191" max="7191" width="4.28515625" style="45" customWidth="1"/>
    <col min="7192" max="7192" width="3.42578125" style="45" customWidth="1"/>
    <col min="7193" max="7193" width="4.7109375" style="45" customWidth="1"/>
    <col min="7194" max="7195" width="5.42578125" style="45" customWidth="1"/>
    <col min="7196" max="7196" width="10.28515625" style="45" customWidth="1"/>
    <col min="7197" max="7197" width="4.42578125" style="45" customWidth="1"/>
    <col min="7198" max="7198" width="4.28515625" style="45" customWidth="1"/>
    <col min="7199" max="7199" width="4" style="45" customWidth="1"/>
    <col min="7200" max="7200" width="4.42578125" style="45" customWidth="1"/>
    <col min="7201" max="7201" width="3.85546875" style="45" customWidth="1"/>
    <col min="7202" max="7202" width="4.28515625" style="45" customWidth="1"/>
    <col min="7203" max="7425" width="11.42578125" style="45" customWidth="1"/>
    <col min="7426" max="7426" width="10.7109375" style="45" customWidth="1"/>
    <col min="7427" max="7427" width="16" style="45" customWidth="1"/>
    <col min="7428" max="7430" width="0" style="45" hidden="1"/>
    <col min="7431" max="7431" width="56.85546875" style="45" customWidth="1"/>
    <col min="7432" max="7432" width="6" style="45" customWidth="1"/>
    <col min="7433" max="7434" width="0" style="45" hidden="1"/>
    <col min="7435" max="7435" width="2.7109375" style="45" customWidth="1"/>
    <col min="7436" max="7436" width="5.140625" style="45" customWidth="1"/>
    <col min="7437" max="7437" width="14" style="45" customWidth="1"/>
    <col min="7438" max="7438" width="3.5703125" style="45" customWidth="1"/>
    <col min="7439" max="7439" width="6.5703125" style="45" customWidth="1"/>
    <col min="7440" max="7440" width="36.5703125" style="45" customWidth="1"/>
    <col min="7441" max="7441" width="57.85546875" style="45" customWidth="1"/>
    <col min="7442" max="7442" width="4.140625" style="45" customWidth="1"/>
    <col min="7443" max="7443" width="4.42578125" style="45" customWidth="1"/>
    <col min="7444" max="7444" width="4.28515625" style="45" customWidth="1"/>
    <col min="7445" max="7445" width="4" style="45" customWidth="1"/>
    <col min="7446" max="7446" width="3.7109375" style="45" customWidth="1"/>
    <col min="7447" max="7447" width="4.28515625" style="45" customWidth="1"/>
    <col min="7448" max="7448" width="3.42578125" style="45" customWidth="1"/>
    <col min="7449" max="7449" width="4.7109375" style="45" customWidth="1"/>
    <col min="7450" max="7451" width="5.42578125" style="45" customWidth="1"/>
    <col min="7452" max="7452" width="10.28515625" style="45" customWidth="1"/>
    <col min="7453" max="7453" width="4.42578125" style="45" customWidth="1"/>
    <col min="7454" max="7454" width="4.28515625" style="45" customWidth="1"/>
    <col min="7455" max="7455" width="4" style="45" customWidth="1"/>
    <col min="7456" max="7456" width="4.42578125" style="45" customWidth="1"/>
    <col min="7457" max="7457" width="3.85546875" style="45" customWidth="1"/>
    <col min="7458" max="7458" width="4.28515625" style="45" customWidth="1"/>
    <col min="7459" max="7681" width="11.42578125" style="45" customWidth="1"/>
    <col min="7682" max="7682" width="10.7109375" style="45" customWidth="1"/>
    <col min="7683" max="7683" width="16" style="45" customWidth="1"/>
    <col min="7684" max="7686" width="0" style="45" hidden="1"/>
    <col min="7687" max="7687" width="56.85546875" style="45" customWidth="1"/>
    <col min="7688" max="7688" width="6" style="45" customWidth="1"/>
    <col min="7689" max="7690" width="0" style="45" hidden="1"/>
    <col min="7691" max="7691" width="2.7109375" style="45" customWidth="1"/>
    <col min="7692" max="7692" width="5.140625" style="45" customWidth="1"/>
    <col min="7693" max="7693" width="14" style="45" customWidth="1"/>
    <col min="7694" max="7694" width="3.5703125" style="45" customWidth="1"/>
    <col min="7695" max="7695" width="6.5703125" style="45" customWidth="1"/>
    <col min="7696" max="7696" width="36.5703125" style="45" customWidth="1"/>
    <col min="7697" max="7697" width="57.85546875" style="45" customWidth="1"/>
    <col min="7698" max="7698" width="4.140625" style="45" customWidth="1"/>
    <col min="7699" max="7699" width="4.42578125" style="45" customWidth="1"/>
    <col min="7700" max="7700" width="4.28515625" style="45" customWidth="1"/>
    <col min="7701" max="7701" width="4" style="45" customWidth="1"/>
    <col min="7702" max="7702" width="3.7109375" style="45" customWidth="1"/>
    <col min="7703" max="7703" width="4.28515625" style="45" customWidth="1"/>
    <col min="7704" max="7704" width="3.42578125" style="45" customWidth="1"/>
    <col min="7705" max="7705" width="4.7109375" style="45" customWidth="1"/>
    <col min="7706" max="7707" width="5.42578125" style="45" customWidth="1"/>
    <col min="7708" max="7708" width="10.28515625" style="45" customWidth="1"/>
    <col min="7709" max="7709" width="4.42578125" style="45" customWidth="1"/>
    <col min="7710" max="7710" width="4.28515625" style="45" customWidth="1"/>
    <col min="7711" max="7711" width="4" style="45" customWidth="1"/>
    <col min="7712" max="7712" width="4.42578125" style="45" customWidth="1"/>
    <col min="7713" max="7713" width="3.85546875" style="45" customWidth="1"/>
    <col min="7714" max="7714" width="4.28515625" style="45" customWidth="1"/>
    <col min="7715" max="7937" width="11.42578125" style="45" customWidth="1"/>
    <col min="7938" max="7938" width="10.7109375" style="45" customWidth="1"/>
    <col min="7939" max="7939" width="16" style="45" customWidth="1"/>
    <col min="7940" max="7942" width="0" style="45" hidden="1"/>
    <col min="7943" max="7943" width="56.85546875" style="45" customWidth="1"/>
    <col min="7944" max="7944" width="6" style="45" customWidth="1"/>
    <col min="7945" max="7946" width="0" style="45" hidden="1"/>
    <col min="7947" max="7947" width="2.7109375" style="45" customWidth="1"/>
    <col min="7948" max="7948" width="5.140625" style="45" customWidth="1"/>
    <col min="7949" max="7949" width="14" style="45" customWidth="1"/>
    <col min="7950" max="7950" width="3.5703125" style="45" customWidth="1"/>
    <col min="7951" max="7951" width="6.5703125" style="45" customWidth="1"/>
    <col min="7952" max="7952" width="36.5703125" style="45" customWidth="1"/>
    <col min="7953" max="7953" width="57.85546875" style="45" customWidth="1"/>
    <col min="7954" max="7954" width="4.140625" style="45" customWidth="1"/>
    <col min="7955" max="7955" width="4.42578125" style="45" customWidth="1"/>
    <col min="7956" max="7956" width="4.28515625" style="45" customWidth="1"/>
    <col min="7957" max="7957" width="4" style="45" customWidth="1"/>
    <col min="7958" max="7958" width="3.7109375" style="45" customWidth="1"/>
    <col min="7959" max="7959" width="4.28515625" style="45" customWidth="1"/>
    <col min="7960" max="7960" width="3.42578125" style="45" customWidth="1"/>
    <col min="7961" max="7961" width="4.7109375" style="45" customWidth="1"/>
    <col min="7962" max="7963" width="5.42578125" style="45" customWidth="1"/>
    <col min="7964" max="7964" width="10.28515625" style="45" customWidth="1"/>
    <col min="7965" max="7965" width="4.42578125" style="45" customWidth="1"/>
    <col min="7966" max="7966" width="4.28515625" style="45" customWidth="1"/>
    <col min="7967" max="7967" width="4" style="45" customWidth="1"/>
    <col min="7968" max="7968" width="4.42578125" style="45" customWidth="1"/>
    <col min="7969" max="7969" width="3.85546875" style="45" customWidth="1"/>
    <col min="7970" max="7970" width="4.28515625" style="45" customWidth="1"/>
    <col min="7971" max="8193" width="11.42578125" style="45" customWidth="1"/>
    <col min="8194" max="8194" width="10.7109375" style="45" customWidth="1"/>
    <col min="8195" max="8195" width="16" style="45" customWidth="1"/>
    <col min="8196" max="8198" width="0" style="45" hidden="1"/>
    <col min="8199" max="8199" width="56.85546875" style="45" customWidth="1"/>
    <col min="8200" max="8200" width="6" style="45" customWidth="1"/>
    <col min="8201" max="8202" width="0" style="45" hidden="1"/>
    <col min="8203" max="8203" width="2.7109375" style="45" customWidth="1"/>
    <col min="8204" max="8204" width="5.140625" style="45" customWidth="1"/>
    <col min="8205" max="8205" width="14" style="45" customWidth="1"/>
    <col min="8206" max="8206" width="3.5703125" style="45" customWidth="1"/>
    <col min="8207" max="8207" width="6.5703125" style="45" customWidth="1"/>
    <col min="8208" max="8208" width="36.5703125" style="45" customWidth="1"/>
    <col min="8209" max="8209" width="57.85546875" style="45" customWidth="1"/>
    <col min="8210" max="8210" width="4.140625" style="45" customWidth="1"/>
    <col min="8211" max="8211" width="4.42578125" style="45" customWidth="1"/>
    <col min="8212" max="8212" width="4.28515625" style="45" customWidth="1"/>
    <col min="8213" max="8213" width="4" style="45" customWidth="1"/>
    <col min="8214" max="8214" width="3.7109375" style="45" customWidth="1"/>
    <col min="8215" max="8215" width="4.28515625" style="45" customWidth="1"/>
    <col min="8216" max="8216" width="3.42578125" style="45" customWidth="1"/>
    <col min="8217" max="8217" width="4.7109375" style="45" customWidth="1"/>
    <col min="8218" max="8219" width="5.42578125" style="45" customWidth="1"/>
    <col min="8220" max="8220" width="10.28515625" style="45" customWidth="1"/>
    <col min="8221" max="8221" width="4.42578125" style="45" customWidth="1"/>
    <col min="8222" max="8222" width="4.28515625" style="45" customWidth="1"/>
    <col min="8223" max="8223" width="4" style="45" customWidth="1"/>
    <col min="8224" max="8224" width="4.42578125" style="45" customWidth="1"/>
    <col min="8225" max="8225" width="3.85546875" style="45" customWidth="1"/>
    <col min="8226" max="8226" width="4.28515625" style="45" customWidth="1"/>
    <col min="8227" max="8449" width="11.42578125" style="45" customWidth="1"/>
    <col min="8450" max="8450" width="10.7109375" style="45" customWidth="1"/>
    <col min="8451" max="8451" width="16" style="45" customWidth="1"/>
    <col min="8452" max="8454" width="0" style="45" hidden="1"/>
    <col min="8455" max="8455" width="56.85546875" style="45" customWidth="1"/>
    <col min="8456" max="8456" width="6" style="45" customWidth="1"/>
    <col min="8457" max="8458" width="0" style="45" hidden="1"/>
    <col min="8459" max="8459" width="2.7109375" style="45" customWidth="1"/>
    <col min="8460" max="8460" width="5.140625" style="45" customWidth="1"/>
    <col min="8461" max="8461" width="14" style="45" customWidth="1"/>
    <col min="8462" max="8462" width="3.5703125" style="45" customWidth="1"/>
    <col min="8463" max="8463" width="6.5703125" style="45" customWidth="1"/>
    <col min="8464" max="8464" width="36.5703125" style="45" customWidth="1"/>
    <col min="8465" max="8465" width="57.85546875" style="45" customWidth="1"/>
    <col min="8466" max="8466" width="4.140625" style="45" customWidth="1"/>
    <col min="8467" max="8467" width="4.42578125" style="45" customWidth="1"/>
    <col min="8468" max="8468" width="4.28515625" style="45" customWidth="1"/>
    <col min="8469" max="8469" width="4" style="45" customWidth="1"/>
    <col min="8470" max="8470" width="3.7109375" style="45" customWidth="1"/>
    <col min="8471" max="8471" width="4.28515625" style="45" customWidth="1"/>
    <col min="8472" max="8472" width="3.42578125" style="45" customWidth="1"/>
    <col min="8473" max="8473" width="4.7109375" style="45" customWidth="1"/>
    <col min="8474" max="8475" width="5.42578125" style="45" customWidth="1"/>
    <col min="8476" max="8476" width="10.28515625" style="45" customWidth="1"/>
    <col min="8477" max="8477" width="4.42578125" style="45" customWidth="1"/>
    <col min="8478" max="8478" width="4.28515625" style="45" customWidth="1"/>
    <col min="8479" max="8479" width="4" style="45" customWidth="1"/>
    <col min="8480" max="8480" width="4.42578125" style="45" customWidth="1"/>
    <col min="8481" max="8481" width="3.85546875" style="45" customWidth="1"/>
    <col min="8482" max="8482" width="4.28515625" style="45" customWidth="1"/>
    <col min="8483" max="8705" width="11.42578125" style="45" customWidth="1"/>
    <col min="8706" max="8706" width="10.7109375" style="45" customWidth="1"/>
    <col min="8707" max="8707" width="16" style="45" customWidth="1"/>
    <col min="8708" max="8710" width="0" style="45" hidden="1"/>
    <col min="8711" max="8711" width="56.85546875" style="45" customWidth="1"/>
    <col min="8712" max="8712" width="6" style="45" customWidth="1"/>
    <col min="8713" max="8714" width="0" style="45" hidden="1"/>
    <col min="8715" max="8715" width="2.7109375" style="45" customWidth="1"/>
    <col min="8716" max="8716" width="5.140625" style="45" customWidth="1"/>
    <col min="8717" max="8717" width="14" style="45" customWidth="1"/>
    <col min="8718" max="8718" width="3.5703125" style="45" customWidth="1"/>
    <col min="8719" max="8719" width="6.5703125" style="45" customWidth="1"/>
    <col min="8720" max="8720" width="36.5703125" style="45" customWidth="1"/>
    <col min="8721" max="8721" width="57.85546875" style="45" customWidth="1"/>
    <col min="8722" max="8722" width="4.140625" style="45" customWidth="1"/>
    <col min="8723" max="8723" width="4.42578125" style="45" customWidth="1"/>
    <col min="8724" max="8724" width="4.28515625" style="45" customWidth="1"/>
    <col min="8725" max="8725" width="4" style="45" customWidth="1"/>
    <col min="8726" max="8726" width="3.7109375" style="45" customWidth="1"/>
    <col min="8727" max="8727" width="4.28515625" style="45" customWidth="1"/>
    <col min="8728" max="8728" width="3.42578125" style="45" customWidth="1"/>
    <col min="8729" max="8729" width="4.7109375" style="45" customWidth="1"/>
    <col min="8730" max="8731" width="5.42578125" style="45" customWidth="1"/>
    <col min="8732" max="8732" width="10.28515625" style="45" customWidth="1"/>
    <col min="8733" max="8733" width="4.42578125" style="45" customWidth="1"/>
    <col min="8734" max="8734" width="4.28515625" style="45" customWidth="1"/>
    <col min="8735" max="8735" width="4" style="45" customWidth="1"/>
    <col min="8736" max="8736" width="4.42578125" style="45" customWidth="1"/>
    <col min="8737" max="8737" width="3.85546875" style="45" customWidth="1"/>
    <col min="8738" max="8738" width="4.28515625" style="45" customWidth="1"/>
    <col min="8739" max="8961" width="11.42578125" style="45" customWidth="1"/>
    <col min="8962" max="8962" width="10.7109375" style="45" customWidth="1"/>
    <col min="8963" max="8963" width="16" style="45" customWidth="1"/>
    <col min="8964" max="8966" width="0" style="45" hidden="1"/>
    <col min="8967" max="8967" width="56.85546875" style="45" customWidth="1"/>
    <col min="8968" max="8968" width="6" style="45" customWidth="1"/>
    <col min="8969" max="8970" width="0" style="45" hidden="1"/>
    <col min="8971" max="8971" width="2.7109375" style="45" customWidth="1"/>
    <col min="8972" max="8972" width="5.140625" style="45" customWidth="1"/>
    <col min="8973" max="8973" width="14" style="45" customWidth="1"/>
    <col min="8974" max="8974" width="3.5703125" style="45" customWidth="1"/>
    <col min="8975" max="8975" width="6.5703125" style="45" customWidth="1"/>
    <col min="8976" max="8976" width="36.5703125" style="45" customWidth="1"/>
    <col min="8977" max="8977" width="57.85546875" style="45" customWidth="1"/>
    <col min="8978" max="8978" width="4.140625" style="45" customWidth="1"/>
    <col min="8979" max="8979" width="4.42578125" style="45" customWidth="1"/>
    <col min="8980" max="8980" width="4.28515625" style="45" customWidth="1"/>
    <col min="8981" max="8981" width="4" style="45" customWidth="1"/>
    <col min="8982" max="8982" width="3.7109375" style="45" customWidth="1"/>
    <col min="8983" max="8983" width="4.28515625" style="45" customWidth="1"/>
    <col min="8984" max="8984" width="3.42578125" style="45" customWidth="1"/>
    <col min="8985" max="8985" width="4.7109375" style="45" customWidth="1"/>
    <col min="8986" max="8987" width="5.42578125" style="45" customWidth="1"/>
    <col min="8988" max="8988" width="10.28515625" style="45" customWidth="1"/>
    <col min="8989" max="8989" width="4.42578125" style="45" customWidth="1"/>
    <col min="8990" max="8990" width="4.28515625" style="45" customWidth="1"/>
    <col min="8991" max="8991" width="4" style="45" customWidth="1"/>
    <col min="8992" max="8992" width="4.42578125" style="45" customWidth="1"/>
    <col min="8993" max="8993" width="3.85546875" style="45" customWidth="1"/>
    <col min="8994" max="8994" width="4.28515625" style="45" customWidth="1"/>
    <col min="8995" max="9217" width="11.42578125" style="45" customWidth="1"/>
    <col min="9218" max="9218" width="10.7109375" style="45" customWidth="1"/>
    <col min="9219" max="9219" width="16" style="45" customWidth="1"/>
    <col min="9220" max="9222" width="0" style="45" hidden="1"/>
    <col min="9223" max="9223" width="56.85546875" style="45" customWidth="1"/>
    <col min="9224" max="9224" width="6" style="45" customWidth="1"/>
    <col min="9225" max="9226" width="0" style="45" hidden="1"/>
    <col min="9227" max="9227" width="2.7109375" style="45" customWidth="1"/>
    <col min="9228" max="9228" width="5.140625" style="45" customWidth="1"/>
    <col min="9229" max="9229" width="14" style="45" customWidth="1"/>
    <col min="9230" max="9230" width="3.5703125" style="45" customWidth="1"/>
    <col min="9231" max="9231" width="6.5703125" style="45" customWidth="1"/>
    <col min="9232" max="9232" width="36.5703125" style="45" customWidth="1"/>
    <col min="9233" max="9233" width="57.85546875" style="45" customWidth="1"/>
    <col min="9234" max="9234" width="4.140625" style="45" customWidth="1"/>
    <col min="9235" max="9235" width="4.42578125" style="45" customWidth="1"/>
    <col min="9236" max="9236" width="4.28515625" style="45" customWidth="1"/>
    <col min="9237" max="9237" width="4" style="45" customWidth="1"/>
    <col min="9238" max="9238" width="3.7109375" style="45" customWidth="1"/>
    <col min="9239" max="9239" width="4.28515625" style="45" customWidth="1"/>
    <col min="9240" max="9240" width="3.42578125" style="45" customWidth="1"/>
    <col min="9241" max="9241" width="4.7109375" style="45" customWidth="1"/>
    <col min="9242" max="9243" width="5.42578125" style="45" customWidth="1"/>
    <col min="9244" max="9244" width="10.28515625" style="45" customWidth="1"/>
    <col min="9245" max="9245" width="4.42578125" style="45" customWidth="1"/>
    <col min="9246" max="9246" width="4.28515625" style="45" customWidth="1"/>
    <col min="9247" max="9247" width="4" style="45" customWidth="1"/>
    <col min="9248" max="9248" width="4.42578125" style="45" customWidth="1"/>
    <col min="9249" max="9249" width="3.85546875" style="45" customWidth="1"/>
    <col min="9250" max="9250" width="4.28515625" style="45" customWidth="1"/>
    <col min="9251" max="9473" width="11.42578125" style="45" customWidth="1"/>
    <col min="9474" max="9474" width="10.7109375" style="45" customWidth="1"/>
    <col min="9475" max="9475" width="16" style="45" customWidth="1"/>
    <col min="9476" max="9478" width="0" style="45" hidden="1"/>
    <col min="9479" max="9479" width="56.85546875" style="45" customWidth="1"/>
    <col min="9480" max="9480" width="6" style="45" customWidth="1"/>
    <col min="9481" max="9482" width="0" style="45" hidden="1"/>
    <col min="9483" max="9483" width="2.7109375" style="45" customWidth="1"/>
    <col min="9484" max="9484" width="5.140625" style="45" customWidth="1"/>
    <col min="9485" max="9485" width="14" style="45" customWidth="1"/>
    <col min="9486" max="9486" width="3.5703125" style="45" customWidth="1"/>
    <col min="9487" max="9487" width="6.5703125" style="45" customWidth="1"/>
    <col min="9488" max="9488" width="36.5703125" style="45" customWidth="1"/>
    <col min="9489" max="9489" width="57.85546875" style="45" customWidth="1"/>
    <col min="9490" max="9490" width="4.140625" style="45" customWidth="1"/>
    <col min="9491" max="9491" width="4.42578125" style="45" customWidth="1"/>
    <col min="9492" max="9492" width="4.28515625" style="45" customWidth="1"/>
    <col min="9493" max="9493" width="4" style="45" customWidth="1"/>
    <col min="9494" max="9494" width="3.7109375" style="45" customWidth="1"/>
    <col min="9495" max="9495" width="4.28515625" style="45" customWidth="1"/>
    <col min="9496" max="9496" width="3.42578125" style="45" customWidth="1"/>
    <col min="9497" max="9497" width="4.7109375" style="45" customWidth="1"/>
    <col min="9498" max="9499" width="5.42578125" style="45" customWidth="1"/>
    <col min="9500" max="9500" width="10.28515625" style="45" customWidth="1"/>
    <col min="9501" max="9501" width="4.42578125" style="45" customWidth="1"/>
    <col min="9502" max="9502" width="4.28515625" style="45" customWidth="1"/>
    <col min="9503" max="9503" width="4" style="45" customWidth="1"/>
    <col min="9504" max="9504" width="4.42578125" style="45" customWidth="1"/>
    <col min="9505" max="9505" width="3.85546875" style="45" customWidth="1"/>
    <col min="9506" max="9506" width="4.28515625" style="45" customWidth="1"/>
    <col min="9507" max="9729" width="11.42578125" style="45" customWidth="1"/>
    <col min="9730" max="9730" width="10.7109375" style="45" customWidth="1"/>
    <col min="9731" max="9731" width="16" style="45" customWidth="1"/>
    <col min="9732" max="9734" width="0" style="45" hidden="1"/>
    <col min="9735" max="9735" width="56.85546875" style="45" customWidth="1"/>
    <col min="9736" max="9736" width="6" style="45" customWidth="1"/>
    <col min="9737" max="9738" width="0" style="45" hidden="1"/>
    <col min="9739" max="9739" width="2.7109375" style="45" customWidth="1"/>
    <col min="9740" max="9740" width="5.140625" style="45" customWidth="1"/>
    <col min="9741" max="9741" width="14" style="45" customWidth="1"/>
    <col min="9742" max="9742" width="3.5703125" style="45" customWidth="1"/>
    <col min="9743" max="9743" width="6.5703125" style="45" customWidth="1"/>
    <col min="9744" max="9744" width="36.5703125" style="45" customWidth="1"/>
    <col min="9745" max="9745" width="57.85546875" style="45" customWidth="1"/>
    <col min="9746" max="9746" width="4.140625" style="45" customWidth="1"/>
    <col min="9747" max="9747" width="4.42578125" style="45" customWidth="1"/>
    <col min="9748" max="9748" width="4.28515625" style="45" customWidth="1"/>
    <col min="9749" max="9749" width="4" style="45" customWidth="1"/>
    <col min="9750" max="9750" width="3.7109375" style="45" customWidth="1"/>
    <col min="9751" max="9751" width="4.28515625" style="45" customWidth="1"/>
    <col min="9752" max="9752" width="3.42578125" style="45" customWidth="1"/>
    <col min="9753" max="9753" width="4.7109375" style="45" customWidth="1"/>
    <col min="9754" max="9755" width="5.42578125" style="45" customWidth="1"/>
    <col min="9756" max="9756" width="10.28515625" style="45" customWidth="1"/>
    <col min="9757" max="9757" width="4.42578125" style="45" customWidth="1"/>
    <col min="9758" max="9758" width="4.28515625" style="45" customWidth="1"/>
    <col min="9759" max="9759" width="4" style="45" customWidth="1"/>
    <col min="9760" max="9760" width="4.42578125" style="45" customWidth="1"/>
    <col min="9761" max="9761" width="3.85546875" style="45" customWidth="1"/>
    <col min="9762" max="9762" width="4.28515625" style="45" customWidth="1"/>
    <col min="9763" max="9985" width="11.42578125" style="45" customWidth="1"/>
    <col min="9986" max="9986" width="10.7109375" style="45" customWidth="1"/>
    <col min="9987" max="9987" width="16" style="45" customWidth="1"/>
    <col min="9988" max="9990" width="0" style="45" hidden="1"/>
    <col min="9991" max="9991" width="56.85546875" style="45" customWidth="1"/>
    <col min="9992" max="9992" width="6" style="45" customWidth="1"/>
    <col min="9993" max="9994" width="0" style="45" hidden="1"/>
    <col min="9995" max="9995" width="2.7109375" style="45" customWidth="1"/>
    <col min="9996" max="9996" width="5.140625" style="45" customWidth="1"/>
    <col min="9997" max="9997" width="14" style="45" customWidth="1"/>
    <col min="9998" max="9998" width="3.5703125" style="45" customWidth="1"/>
    <col min="9999" max="9999" width="6.5703125" style="45" customWidth="1"/>
    <col min="10000" max="10000" width="36.5703125" style="45" customWidth="1"/>
    <col min="10001" max="10001" width="57.85546875" style="45" customWidth="1"/>
    <col min="10002" max="10002" width="4.140625" style="45" customWidth="1"/>
    <col min="10003" max="10003" width="4.42578125" style="45" customWidth="1"/>
    <col min="10004" max="10004" width="4.28515625" style="45" customWidth="1"/>
    <col min="10005" max="10005" width="4" style="45" customWidth="1"/>
    <col min="10006" max="10006" width="3.7109375" style="45" customWidth="1"/>
    <col min="10007" max="10007" width="4.28515625" style="45" customWidth="1"/>
    <col min="10008" max="10008" width="3.42578125" style="45" customWidth="1"/>
    <col min="10009" max="10009" width="4.7109375" style="45" customWidth="1"/>
    <col min="10010" max="10011" width="5.42578125" style="45" customWidth="1"/>
    <col min="10012" max="10012" width="10.28515625" style="45" customWidth="1"/>
    <col min="10013" max="10013" width="4.42578125" style="45" customWidth="1"/>
    <col min="10014" max="10014" width="4.28515625" style="45" customWidth="1"/>
    <col min="10015" max="10015" width="4" style="45" customWidth="1"/>
    <col min="10016" max="10016" width="4.42578125" style="45" customWidth="1"/>
    <col min="10017" max="10017" width="3.85546875" style="45" customWidth="1"/>
    <col min="10018" max="10018" width="4.28515625" style="45" customWidth="1"/>
    <col min="10019" max="10241" width="11.42578125" style="45" customWidth="1"/>
    <col min="10242" max="10242" width="10.7109375" style="45" customWidth="1"/>
    <col min="10243" max="10243" width="16" style="45" customWidth="1"/>
    <col min="10244" max="10246" width="0" style="45" hidden="1"/>
    <col min="10247" max="10247" width="56.85546875" style="45" customWidth="1"/>
    <col min="10248" max="10248" width="6" style="45" customWidth="1"/>
    <col min="10249" max="10250" width="0" style="45" hidden="1"/>
    <col min="10251" max="10251" width="2.7109375" style="45" customWidth="1"/>
    <col min="10252" max="10252" width="5.140625" style="45" customWidth="1"/>
    <col min="10253" max="10253" width="14" style="45" customWidth="1"/>
    <col min="10254" max="10254" width="3.5703125" style="45" customWidth="1"/>
    <col min="10255" max="10255" width="6.5703125" style="45" customWidth="1"/>
    <col min="10256" max="10256" width="36.5703125" style="45" customWidth="1"/>
    <col min="10257" max="10257" width="57.85546875" style="45" customWidth="1"/>
    <col min="10258" max="10258" width="4.140625" style="45" customWidth="1"/>
    <col min="10259" max="10259" width="4.42578125" style="45" customWidth="1"/>
    <col min="10260" max="10260" width="4.28515625" style="45" customWidth="1"/>
    <col min="10261" max="10261" width="4" style="45" customWidth="1"/>
    <col min="10262" max="10262" width="3.7109375" style="45" customWidth="1"/>
    <col min="10263" max="10263" width="4.28515625" style="45" customWidth="1"/>
    <col min="10264" max="10264" width="3.42578125" style="45" customWidth="1"/>
    <col min="10265" max="10265" width="4.7109375" style="45" customWidth="1"/>
    <col min="10266" max="10267" width="5.42578125" style="45" customWidth="1"/>
    <col min="10268" max="10268" width="10.28515625" style="45" customWidth="1"/>
    <col min="10269" max="10269" width="4.42578125" style="45" customWidth="1"/>
    <col min="10270" max="10270" width="4.28515625" style="45" customWidth="1"/>
    <col min="10271" max="10271" width="4" style="45" customWidth="1"/>
    <col min="10272" max="10272" width="4.42578125" style="45" customWidth="1"/>
    <col min="10273" max="10273" width="3.85546875" style="45" customWidth="1"/>
    <col min="10274" max="10274" width="4.28515625" style="45" customWidth="1"/>
    <col min="10275" max="10497" width="11.42578125" style="45" customWidth="1"/>
    <col min="10498" max="10498" width="10.7109375" style="45" customWidth="1"/>
    <col min="10499" max="10499" width="16" style="45" customWidth="1"/>
    <col min="10500" max="10502" width="0" style="45" hidden="1"/>
    <col min="10503" max="10503" width="56.85546875" style="45" customWidth="1"/>
    <col min="10504" max="10504" width="6" style="45" customWidth="1"/>
    <col min="10505" max="10506" width="0" style="45" hidden="1"/>
    <col min="10507" max="10507" width="2.7109375" style="45" customWidth="1"/>
    <col min="10508" max="10508" width="5.140625" style="45" customWidth="1"/>
    <col min="10509" max="10509" width="14" style="45" customWidth="1"/>
    <col min="10510" max="10510" width="3.5703125" style="45" customWidth="1"/>
    <col min="10511" max="10511" width="6.5703125" style="45" customWidth="1"/>
    <col min="10512" max="10512" width="36.5703125" style="45" customWidth="1"/>
    <col min="10513" max="10513" width="57.85546875" style="45" customWidth="1"/>
    <col min="10514" max="10514" width="4.140625" style="45" customWidth="1"/>
    <col min="10515" max="10515" width="4.42578125" style="45" customWidth="1"/>
    <col min="10516" max="10516" width="4.28515625" style="45" customWidth="1"/>
    <col min="10517" max="10517" width="4" style="45" customWidth="1"/>
    <col min="10518" max="10518" width="3.7109375" style="45" customWidth="1"/>
    <col min="10519" max="10519" width="4.28515625" style="45" customWidth="1"/>
    <col min="10520" max="10520" width="3.42578125" style="45" customWidth="1"/>
    <col min="10521" max="10521" width="4.7109375" style="45" customWidth="1"/>
    <col min="10522" max="10523" width="5.42578125" style="45" customWidth="1"/>
    <col min="10524" max="10524" width="10.28515625" style="45" customWidth="1"/>
    <col min="10525" max="10525" width="4.42578125" style="45" customWidth="1"/>
    <col min="10526" max="10526" width="4.28515625" style="45" customWidth="1"/>
    <col min="10527" max="10527" width="4" style="45" customWidth="1"/>
    <col min="10528" max="10528" width="4.42578125" style="45" customWidth="1"/>
    <col min="10529" max="10529" width="3.85546875" style="45" customWidth="1"/>
    <col min="10530" max="10530" width="4.28515625" style="45" customWidth="1"/>
    <col min="10531" max="10753" width="11.42578125" style="45" customWidth="1"/>
    <col min="10754" max="10754" width="10.7109375" style="45" customWidth="1"/>
    <col min="10755" max="10755" width="16" style="45" customWidth="1"/>
    <col min="10756" max="10758" width="0" style="45" hidden="1"/>
    <col min="10759" max="10759" width="56.85546875" style="45" customWidth="1"/>
    <col min="10760" max="10760" width="6" style="45" customWidth="1"/>
    <col min="10761" max="10762" width="0" style="45" hidden="1"/>
    <col min="10763" max="10763" width="2.7109375" style="45" customWidth="1"/>
    <col min="10764" max="10764" width="5.140625" style="45" customWidth="1"/>
    <col min="10765" max="10765" width="14" style="45" customWidth="1"/>
    <col min="10766" max="10766" width="3.5703125" style="45" customWidth="1"/>
    <col min="10767" max="10767" width="6.5703125" style="45" customWidth="1"/>
    <col min="10768" max="10768" width="36.5703125" style="45" customWidth="1"/>
    <col min="10769" max="10769" width="57.85546875" style="45" customWidth="1"/>
    <col min="10770" max="10770" width="4.140625" style="45" customWidth="1"/>
    <col min="10771" max="10771" width="4.42578125" style="45" customWidth="1"/>
    <col min="10772" max="10772" width="4.28515625" style="45" customWidth="1"/>
    <col min="10773" max="10773" width="4" style="45" customWidth="1"/>
    <col min="10774" max="10774" width="3.7109375" style="45" customWidth="1"/>
    <col min="10775" max="10775" width="4.28515625" style="45" customWidth="1"/>
    <col min="10776" max="10776" width="3.42578125" style="45" customWidth="1"/>
    <col min="10777" max="10777" width="4.7109375" style="45" customWidth="1"/>
    <col min="10778" max="10779" width="5.42578125" style="45" customWidth="1"/>
    <col min="10780" max="10780" width="10.28515625" style="45" customWidth="1"/>
    <col min="10781" max="10781" width="4.42578125" style="45" customWidth="1"/>
    <col min="10782" max="10782" width="4.28515625" style="45" customWidth="1"/>
    <col min="10783" max="10783" width="4" style="45" customWidth="1"/>
    <col min="10784" max="10784" width="4.42578125" style="45" customWidth="1"/>
    <col min="10785" max="10785" width="3.85546875" style="45" customWidth="1"/>
    <col min="10786" max="10786" width="4.28515625" style="45" customWidth="1"/>
    <col min="10787" max="11009" width="11.42578125" style="45" customWidth="1"/>
    <col min="11010" max="11010" width="10.7109375" style="45" customWidth="1"/>
    <col min="11011" max="11011" width="16" style="45" customWidth="1"/>
    <col min="11012" max="11014" width="0" style="45" hidden="1"/>
    <col min="11015" max="11015" width="56.85546875" style="45" customWidth="1"/>
    <col min="11016" max="11016" width="6" style="45" customWidth="1"/>
    <col min="11017" max="11018" width="0" style="45" hidden="1"/>
    <col min="11019" max="11019" width="2.7109375" style="45" customWidth="1"/>
    <col min="11020" max="11020" width="5.140625" style="45" customWidth="1"/>
    <col min="11021" max="11021" width="14" style="45" customWidth="1"/>
    <col min="11022" max="11022" width="3.5703125" style="45" customWidth="1"/>
    <col min="11023" max="11023" width="6.5703125" style="45" customWidth="1"/>
    <col min="11024" max="11024" width="36.5703125" style="45" customWidth="1"/>
    <col min="11025" max="11025" width="57.85546875" style="45" customWidth="1"/>
    <col min="11026" max="11026" width="4.140625" style="45" customWidth="1"/>
    <col min="11027" max="11027" width="4.42578125" style="45" customWidth="1"/>
    <col min="11028" max="11028" width="4.28515625" style="45" customWidth="1"/>
    <col min="11029" max="11029" width="4" style="45" customWidth="1"/>
    <col min="11030" max="11030" width="3.7109375" style="45" customWidth="1"/>
    <col min="11031" max="11031" width="4.28515625" style="45" customWidth="1"/>
    <col min="11032" max="11032" width="3.42578125" style="45" customWidth="1"/>
    <col min="11033" max="11033" width="4.7109375" style="45" customWidth="1"/>
    <col min="11034" max="11035" width="5.42578125" style="45" customWidth="1"/>
    <col min="11036" max="11036" width="10.28515625" style="45" customWidth="1"/>
    <col min="11037" max="11037" width="4.42578125" style="45" customWidth="1"/>
    <col min="11038" max="11038" width="4.28515625" style="45" customWidth="1"/>
    <col min="11039" max="11039" width="4" style="45" customWidth="1"/>
    <col min="11040" max="11040" width="4.42578125" style="45" customWidth="1"/>
    <col min="11041" max="11041" width="3.85546875" style="45" customWidth="1"/>
    <col min="11042" max="11042" width="4.28515625" style="45" customWidth="1"/>
    <col min="11043" max="11265" width="11.42578125" style="45" customWidth="1"/>
    <col min="11266" max="11266" width="10.7109375" style="45" customWidth="1"/>
    <col min="11267" max="11267" width="16" style="45" customWidth="1"/>
    <col min="11268" max="11270" width="0" style="45" hidden="1"/>
    <col min="11271" max="11271" width="56.85546875" style="45" customWidth="1"/>
    <col min="11272" max="11272" width="6" style="45" customWidth="1"/>
    <col min="11273" max="11274" width="0" style="45" hidden="1"/>
    <col min="11275" max="11275" width="2.7109375" style="45" customWidth="1"/>
    <col min="11276" max="11276" width="5.140625" style="45" customWidth="1"/>
    <col min="11277" max="11277" width="14" style="45" customWidth="1"/>
    <col min="11278" max="11278" width="3.5703125" style="45" customWidth="1"/>
    <col min="11279" max="11279" width="6.5703125" style="45" customWidth="1"/>
    <col min="11280" max="11280" width="36.5703125" style="45" customWidth="1"/>
    <col min="11281" max="11281" width="57.85546875" style="45" customWidth="1"/>
    <col min="11282" max="11282" width="4.140625" style="45" customWidth="1"/>
    <col min="11283" max="11283" width="4.42578125" style="45" customWidth="1"/>
    <col min="11284" max="11284" width="4.28515625" style="45" customWidth="1"/>
    <col min="11285" max="11285" width="4" style="45" customWidth="1"/>
    <col min="11286" max="11286" width="3.7109375" style="45" customWidth="1"/>
    <col min="11287" max="11287" width="4.28515625" style="45" customWidth="1"/>
    <col min="11288" max="11288" width="3.42578125" style="45" customWidth="1"/>
    <col min="11289" max="11289" width="4.7109375" style="45" customWidth="1"/>
    <col min="11290" max="11291" width="5.42578125" style="45" customWidth="1"/>
    <col min="11292" max="11292" width="10.28515625" style="45" customWidth="1"/>
    <col min="11293" max="11293" width="4.42578125" style="45" customWidth="1"/>
    <col min="11294" max="11294" width="4.28515625" style="45" customWidth="1"/>
    <col min="11295" max="11295" width="4" style="45" customWidth="1"/>
    <col min="11296" max="11296" width="4.42578125" style="45" customWidth="1"/>
    <col min="11297" max="11297" width="3.85546875" style="45" customWidth="1"/>
    <col min="11298" max="11298" width="4.28515625" style="45" customWidth="1"/>
    <col min="11299" max="11521" width="11.42578125" style="45" customWidth="1"/>
    <col min="11522" max="11522" width="10.7109375" style="45" customWidth="1"/>
    <col min="11523" max="11523" width="16" style="45" customWidth="1"/>
    <col min="11524" max="11526" width="0" style="45" hidden="1"/>
    <col min="11527" max="11527" width="56.85546875" style="45" customWidth="1"/>
    <col min="11528" max="11528" width="6" style="45" customWidth="1"/>
    <col min="11529" max="11530" width="0" style="45" hidden="1"/>
    <col min="11531" max="11531" width="2.7109375" style="45" customWidth="1"/>
    <col min="11532" max="11532" width="5.140625" style="45" customWidth="1"/>
    <col min="11533" max="11533" width="14" style="45" customWidth="1"/>
    <col min="11534" max="11534" width="3.5703125" style="45" customWidth="1"/>
    <col min="11535" max="11535" width="6.5703125" style="45" customWidth="1"/>
    <col min="11536" max="11536" width="36.5703125" style="45" customWidth="1"/>
    <col min="11537" max="11537" width="57.85546875" style="45" customWidth="1"/>
    <col min="11538" max="11538" width="4.140625" style="45" customWidth="1"/>
    <col min="11539" max="11539" width="4.42578125" style="45" customWidth="1"/>
    <col min="11540" max="11540" width="4.28515625" style="45" customWidth="1"/>
    <col min="11541" max="11541" width="4" style="45" customWidth="1"/>
    <col min="11542" max="11542" width="3.7109375" style="45" customWidth="1"/>
    <col min="11543" max="11543" width="4.28515625" style="45" customWidth="1"/>
    <col min="11544" max="11544" width="3.42578125" style="45" customWidth="1"/>
    <col min="11545" max="11545" width="4.7109375" style="45" customWidth="1"/>
    <col min="11546" max="11547" width="5.42578125" style="45" customWidth="1"/>
    <col min="11548" max="11548" width="10.28515625" style="45" customWidth="1"/>
    <col min="11549" max="11549" width="4.42578125" style="45" customWidth="1"/>
    <col min="11550" max="11550" width="4.28515625" style="45" customWidth="1"/>
    <col min="11551" max="11551" width="4" style="45" customWidth="1"/>
    <col min="11552" max="11552" width="4.42578125" style="45" customWidth="1"/>
    <col min="11553" max="11553" width="3.85546875" style="45" customWidth="1"/>
    <col min="11554" max="11554" width="4.28515625" style="45" customWidth="1"/>
    <col min="11555" max="11777" width="11.42578125" style="45" customWidth="1"/>
    <col min="11778" max="11778" width="10.7109375" style="45" customWidth="1"/>
    <col min="11779" max="11779" width="16" style="45" customWidth="1"/>
    <col min="11780" max="11782" width="0" style="45" hidden="1"/>
    <col min="11783" max="11783" width="56.85546875" style="45" customWidth="1"/>
    <col min="11784" max="11784" width="6" style="45" customWidth="1"/>
    <col min="11785" max="11786" width="0" style="45" hidden="1"/>
    <col min="11787" max="11787" width="2.7109375" style="45" customWidth="1"/>
    <col min="11788" max="11788" width="5.140625" style="45" customWidth="1"/>
    <col min="11789" max="11789" width="14" style="45" customWidth="1"/>
    <col min="11790" max="11790" width="3.5703125" style="45" customWidth="1"/>
    <col min="11791" max="11791" width="6.5703125" style="45" customWidth="1"/>
    <col min="11792" max="11792" width="36.5703125" style="45" customWidth="1"/>
    <col min="11793" max="11793" width="57.85546875" style="45" customWidth="1"/>
    <col min="11794" max="11794" width="4.140625" style="45" customWidth="1"/>
    <col min="11795" max="11795" width="4.42578125" style="45" customWidth="1"/>
    <col min="11796" max="11796" width="4.28515625" style="45" customWidth="1"/>
    <col min="11797" max="11797" width="4" style="45" customWidth="1"/>
    <col min="11798" max="11798" width="3.7109375" style="45" customWidth="1"/>
    <col min="11799" max="11799" width="4.28515625" style="45" customWidth="1"/>
    <col min="11800" max="11800" width="3.42578125" style="45" customWidth="1"/>
    <col min="11801" max="11801" width="4.7109375" style="45" customWidth="1"/>
    <col min="11802" max="11803" width="5.42578125" style="45" customWidth="1"/>
    <col min="11804" max="11804" width="10.28515625" style="45" customWidth="1"/>
    <col min="11805" max="11805" width="4.42578125" style="45" customWidth="1"/>
    <col min="11806" max="11806" width="4.28515625" style="45" customWidth="1"/>
    <col min="11807" max="11807" width="4" style="45" customWidth="1"/>
    <col min="11808" max="11808" width="4.42578125" style="45" customWidth="1"/>
    <col min="11809" max="11809" width="3.85546875" style="45" customWidth="1"/>
    <col min="11810" max="11810" width="4.28515625" style="45" customWidth="1"/>
    <col min="11811" max="12033" width="11.42578125" style="45" customWidth="1"/>
    <col min="12034" max="12034" width="10.7109375" style="45" customWidth="1"/>
    <col min="12035" max="12035" width="16" style="45" customWidth="1"/>
    <col min="12036" max="12038" width="0" style="45" hidden="1"/>
    <col min="12039" max="12039" width="56.85546875" style="45" customWidth="1"/>
    <col min="12040" max="12040" width="6" style="45" customWidth="1"/>
    <col min="12041" max="12042" width="0" style="45" hidden="1"/>
    <col min="12043" max="12043" width="2.7109375" style="45" customWidth="1"/>
    <col min="12044" max="12044" width="5.140625" style="45" customWidth="1"/>
    <col min="12045" max="12045" width="14" style="45" customWidth="1"/>
    <col min="12046" max="12046" width="3.5703125" style="45" customWidth="1"/>
    <col min="12047" max="12047" width="6.5703125" style="45" customWidth="1"/>
    <col min="12048" max="12048" width="36.5703125" style="45" customWidth="1"/>
    <col min="12049" max="12049" width="57.85546875" style="45" customWidth="1"/>
    <col min="12050" max="12050" width="4.140625" style="45" customWidth="1"/>
    <col min="12051" max="12051" width="4.42578125" style="45" customWidth="1"/>
    <col min="12052" max="12052" width="4.28515625" style="45" customWidth="1"/>
    <col min="12053" max="12053" width="4" style="45" customWidth="1"/>
    <col min="12054" max="12054" width="3.7109375" style="45" customWidth="1"/>
    <col min="12055" max="12055" width="4.28515625" style="45" customWidth="1"/>
    <col min="12056" max="12056" width="3.42578125" style="45" customWidth="1"/>
    <col min="12057" max="12057" width="4.7109375" style="45" customWidth="1"/>
    <col min="12058" max="12059" width="5.42578125" style="45" customWidth="1"/>
    <col min="12060" max="12060" width="10.28515625" style="45" customWidth="1"/>
    <col min="12061" max="12061" width="4.42578125" style="45" customWidth="1"/>
    <col min="12062" max="12062" width="4.28515625" style="45" customWidth="1"/>
    <col min="12063" max="12063" width="4" style="45" customWidth="1"/>
    <col min="12064" max="12064" width="4.42578125" style="45" customWidth="1"/>
    <col min="12065" max="12065" width="3.85546875" style="45" customWidth="1"/>
    <col min="12066" max="12066" width="4.28515625" style="45" customWidth="1"/>
    <col min="12067" max="12289" width="11.42578125" style="45" customWidth="1"/>
    <col min="12290" max="12290" width="10.7109375" style="45" customWidth="1"/>
    <col min="12291" max="12291" width="16" style="45" customWidth="1"/>
    <col min="12292" max="12294" width="0" style="45" hidden="1"/>
    <col min="12295" max="12295" width="56.85546875" style="45" customWidth="1"/>
    <col min="12296" max="12296" width="6" style="45" customWidth="1"/>
    <col min="12297" max="12298" width="0" style="45" hidden="1"/>
    <col min="12299" max="12299" width="2.7109375" style="45" customWidth="1"/>
    <col min="12300" max="12300" width="5.140625" style="45" customWidth="1"/>
    <col min="12301" max="12301" width="14" style="45" customWidth="1"/>
    <col min="12302" max="12302" width="3.5703125" style="45" customWidth="1"/>
    <col min="12303" max="12303" width="6.5703125" style="45" customWidth="1"/>
    <col min="12304" max="12304" width="36.5703125" style="45" customWidth="1"/>
    <col min="12305" max="12305" width="57.85546875" style="45" customWidth="1"/>
    <col min="12306" max="12306" width="4.140625" style="45" customWidth="1"/>
    <col min="12307" max="12307" width="4.42578125" style="45" customWidth="1"/>
    <col min="12308" max="12308" width="4.28515625" style="45" customWidth="1"/>
    <col min="12309" max="12309" width="4" style="45" customWidth="1"/>
    <col min="12310" max="12310" width="3.7109375" style="45" customWidth="1"/>
    <col min="12311" max="12311" width="4.28515625" style="45" customWidth="1"/>
    <col min="12312" max="12312" width="3.42578125" style="45" customWidth="1"/>
    <col min="12313" max="12313" width="4.7109375" style="45" customWidth="1"/>
    <col min="12314" max="12315" width="5.42578125" style="45" customWidth="1"/>
    <col min="12316" max="12316" width="10.28515625" style="45" customWidth="1"/>
    <col min="12317" max="12317" width="4.42578125" style="45" customWidth="1"/>
    <col min="12318" max="12318" width="4.28515625" style="45" customWidth="1"/>
    <col min="12319" max="12319" width="4" style="45" customWidth="1"/>
    <col min="12320" max="12320" width="4.42578125" style="45" customWidth="1"/>
    <col min="12321" max="12321" width="3.85546875" style="45" customWidth="1"/>
    <col min="12322" max="12322" width="4.28515625" style="45" customWidth="1"/>
    <col min="12323" max="12545" width="11.42578125" style="45" customWidth="1"/>
    <col min="12546" max="12546" width="10.7109375" style="45" customWidth="1"/>
    <col min="12547" max="12547" width="16" style="45" customWidth="1"/>
    <col min="12548" max="12550" width="0" style="45" hidden="1"/>
    <col min="12551" max="12551" width="56.85546875" style="45" customWidth="1"/>
    <col min="12552" max="12552" width="6" style="45" customWidth="1"/>
    <col min="12553" max="12554" width="0" style="45" hidden="1"/>
    <col min="12555" max="12555" width="2.7109375" style="45" customWidth="1"/>
    <col min="12556" max="12556" width="5.140625" style="45" customWidth="1"/>
    <col min="12557" max="12557" width="14" style="45" customWidth="1"/>
    <col min="12558" max="12558" width="3.5703125" style="45" customWidth="1"/>
    <col min="12559" max="12559" width="6.5703125" style="45" customWidth="1"/>
    <col min="12560" max="12560" width="36.5703125" style="45" customWidth="1"/>
    <col min="12561" max="12561" width="57.85546875" style="45" customWidth="1"/>
    <col min="12562" max="12562" width="4.140625" style="45" customWidth="1"/>
    <col min="12563" max="12563" width="4.42578125" style="45" customWidth="1"/>
    <col min="12564" max="12564" width="4.28515625" style="45" customWidth="1"/>
    <col min="12565" max="12565" width="4" style="45" customWidth="1"/>
    <col min="12566" max="12566" width="3.7109375" style="45" customWidth="1"/>
    <col min="12567" max="12567" width="4.28515625" style="45" customWidth="1"/>
    <col min="12568" max="12568" width="3.42578125" style="45" customWidth="1"/>
    <col min="12569" max="12569" width="4.7109375" style="45" customWidth="1"/>
    <col min="12570" max="12571" width="5.42578125" style="45" customWidth="1"/>
    <col min="12572" max="12572" width="10.28515625" style="45" customWidth="1"/>
    <col min="12573" max="12573" width="4.42578125" style="45" customWidth="1"/>
    <col min="12574" max="12574" width="4.28515625" style="45" customWidth="1"/>
    <col min="12575" max="12575" width="4" style="45" customWidth="1"/>
    <col min="12576" max="12576" width="4.42578125" style="45" customWidth="1"/>
    <col min="12577" max="12577" width="3.85546875" style="45" customWidth="1"/>
    <col min="12578" max="12578" width="4.28515625" style="45" customWidth="1"/>
    <col min="12579" max="12801" width="11.42578125" style="45" customWidth="1"/>
    <col min="12802" max="12802" width="10.7109375" style="45" customWidth="1"/>
    <col min="12803" max="12803" width="16" style="45" customWidth="1"/>
    <col min="12804" max="12806" width="0" style="45" hidden="1"/>
    <col min="12807" max="12807" width="56.85546875" style="45" customWidth="1"/>
    <col min="12808" max="12808" width="6" style="45" customWidth="1"/>
    <col min="12809" max="12810" width="0" style="45" hidden="1"/>
    <col min="12811" max="12811" width="2.7109375" style="45" customWidth="1"/>
    <col min="12812" max="12812" width="5.140625" style="45" customWidth="1"/>
    <col min="12813" max="12813" width="14" style="45" customWidth="1"/>
    <col min="12814" max="12814" width="3.5703125" style="45" customWidth="1"/>
    <col min="12815" max="12815" width="6.5703125" style="45" customWidth="1"/>
    <col min="12816" max="12816" width="36.5703125" style="45" customWidth="1"/>
    <col min="12817" max="12817" width="57.85546875" style="45" customWidth="1"/>
    <col min="12818" max="12818" width="4.140625" style="45" customWidth="1"/>
    <col min="12819" max="12819" width="4.42578125" style="45" customWidth="1"/>
    <col min="12820" max="12820" width="4.28515625" style="45" customWidth="1"/>
    <col min="12821" max="12821" width="4" style="45" customWidth="1"/>
    <col min="12822" max="12822" width="3.7109375" style="45" customWidth="1"/>
    <col min="12823" max="12823" width="4.28515625" style="45" customWidth="1"/>
    <col min="12824" max="12824" width="3.42578125" style="45" customWidth="1"/>
    <col min="12825" max="12825" width="4.7109375" style="45" customWidth="1"/>
    <col min="12826" max="12827" width="5.42578125" style="45" customWidth="1"/>
    <col min="12828" max="12828" width="10.28515625" style="45" customWidth="1"/>
    <col min="12829" max="12829" width="4.42578125" style="45" customWidth="1"/>
    <col min="12830" max="12830" width="4.28515625" style="45" customWidth="1"/>
    <col min="12831" max="12831" width="4" style="45" customWidth="1"/>
    <col min="12832" max="12832" width="4.42578125" style="45" customWidth="1"/>
    <col min="12833" max="12833" width="3.85546875" style="45" customWidth="1"/>
    <col min="12834" max="12834" width="4.28515625" style="45" customWidth="1"/>
    <col min="12835" max="13057" width="11.42578125" style="45" customWidth="1"/>
    <col min="13058" max="13058" width="10.7109375" style="45" customWidth="1"/>
    <col min="13059" max="13059" width="16" style="45" customWidth="1"/>
    <col min="13060" max="13062" width="0" style="45" hidden="1"/>
    <col min="13063" max="13063" width="56.85546875" style="45" customWidth="1"/>
    <col min="13064" max="13064" width="6" style="45" customWidth="1"/>
    <col min="13065" max="13066" width="0" style="45" hidden="1"/>
    <col min="13067" max="13067" width="2.7109375" style="45" customWidth="1"/>
    <col min="13068" max="13068" width="5.140625" style="45" customWidth="1"/>
    <col min="13069" max="13069" width="14" style="45" customWidth="1"/>
    <col min="13070" max="13070" width="3.5703125" style="45" customWidth="1"/>
    <col min="13071" max="13071" width="6.5703125" style="45" customWidth="1"/>
    <col min="13072" max="13072" width="36.5703125" style="45" customWidth="1"/>
    <col min="13073" max="13073" width="57.85546875" style="45" customWidth="1"/>
    <col min="13074" max="13074" width="4.140625" style="45" customWidth="1"/>
    <col min="13075" max="13075" width="4.42578125" style="45" customWidth="1"/>
    <col min="13076" max="13076" width="4.28515625" style="45" customWidth="1"/>
    <col min="13077" max="13077" width="4" style="45" customWidth="1"/>
    <col min="13078" max="13078" width="3.7109375" style="45" customWidth="1"/>
    <col min="13079" max="13079" width="4.28515625" style="45" customWidth="1"/>
    <col min="13080" max="13080" width="3.42578125" style="45" customWidth="1"/>
    <col min="13081" max="13081" width="4.7109375" style="45" customWidth="1"/>
    <col min="13082" max="13083" width="5.42578125" style="45" customWidth="1"/>
    <col min="13084" max="13084" width="10.28515625" style="45" customWidth="1"/>
    <col min="13085" max="13085" width="4.42578125" style="45" customWidth="1"/>
    <col min="13086" max="13086" width="4.28515625" style="45" customWidth="1"/>
    <col min="13087" max="13087" width="4" style="45" customWidth="1"/>
    <col min="13088" max="13088" width="4.42578125" style="45" customWidth="1"/>
    <col min="13089" max="13089" width="3.85546875" style="45" customWidth="1"/>
    <col min="13090" max="13090" width="4.28515625" style="45" customWidth="1"/>
    <col min="13091" max="13313" width="11.42578125" style="45" customWidth="1"/>
    <col min="13314" max="13314" width="10.7109375" style="45" customWidth="1"/>
    <col min="13315" max="13315" width="16" style="45" customWidth="1"/>
    <col min="13316" max="13318" width="0" style="45" hidden="1"/>
    <col min="13319" max="13319" width="56.85546875" style="45" customWidth="1"/>
    <col min="13320" max="13320" width="6" style="45" customWidth="1"/>
    <col min="13321" max="13322" width="0" style="45" hidden="1"/>
    <col min="13323" max="13323" width="2.7109375" style="45" customWidth="1"/>
    <col min="13324" max="13324" width="5.140625" style="45" customWidth="1"/>
    <col min="13325" max="13325" width="14" style="45" customWidth="1"/>
    <col min="13326" max="13326" width="3.5703125" style="45" customWidth="1"/>
    <col min="13327" max="13327" width="6.5703125" style="45" customWidth="1"/>
    <col min="13328" max="13328" width="36.5703125" style="45" customWidth="1"/>
    <col min="13329" max="13329" width="57.85546875" style="45" customWidth="1"/>
    <col min="13330" max="13330" width="4.140625" style="45" customWidth="1"/>
    <col min="13331" max="13331" width="4.42578125" style="45" customWidth="1"/>
    <col min="13332" max="13332" width="4.28515625" style="45" customWidth="1"/>
    <col min="13333" max="13333" width="4" style="45" customWidth="1"/>
    <col min="13334" max="13334" width="3.7109375" style="45" customWidth="1"/>
    <col min="13335" max="13335" width="4.28515625" style="45" customWidth="1"/>
    <col min="13336" max="13336" width="3.42578125" style="45" customWidth="1"/>
    <col min="13337" max="13337" width="4.7109375" style="45" customWidth="1"/>
    <col min="13338" max="13339" width="5.42578125" style="45" customWidth="1"/>
    <col min="13340" max="13340" width="10.28515625" style="45" customWidth="1"/>
    <col min="13341" max="13341" width="4.42578125" style="45" customWidth="1"/>
    <col min="13342" max="13342" width="4.28515625" style="45" customWidth="1"/>
    <col min="13343" max="13343" width="4" style="45" customWidth="1"/>
    <col min="13344" max="13344" width="4.42578125" style="45" customWidth="1"/>
    <col min="13345" max="13345" width="3.85546875" style="45" customWidth="1"/>
    <col min="13346" max="13346" width="4.28515625" style="45" customWidth="1"/>
    <col min="13347" max="13569" width="11.42578125" style="45" customWidth="1"/>
    <col min="13570" max="13570" width="10.7109375" style="45" customWidth="1"/>
    <col min="13571" max="13571" width="16" style="45" customWidth="1"/>
    <col min="13572" max="13574" width="0" style="45" hidden="1"/>
    <col min="13575" max="13575" width="56.85546875" style="45" customWidth="1"/>
    <col min="13576" max="13576" width="6" style="45" customWidth="1"/>
    <col min="13577" max="13578" width="0" style="45" hidden="1"/>
    <col min="13579" max="13579" width="2.7109375" style="45" customWidth="1"/>
    <col min="13580" max="13580" width="5.140625" style="45" customWidth="1"/>
    <col min="13581" max="13581" width="14" style="45" customWidth="1"/>
    <col min="13582" max="13582" width="3.5703125" style="45" customWidth="1"/>
    <col min="13583" max="13583" width="6.5703125" style="45" customWidth="1"/>
    <col min="13584" max="13584" width="36.5703125" style="45" customWidth="1"/>
    <col min="13585" max="13585" width="57.85546875" style="45" customWidth="1"/>
    <col min="13586" max="13586" width="4.140625" style="45" customWidth="1"/>
    <col min="13587" max="13587" width="4.42578125" style="45" customWidth="1"/>
    <col min="13588" max="13588" width="4.28515625" style="45" customWidth="1"/>
    <col min="13589" max="13589" width="4" style="45" customWidth="1"/>
    <col min="13590" max="13590" width="3.7109375" style="45" customWidth="1"/>
    <col min="13591" max="13591" width="4.28515625" style="45" customWidth="1"/>
    <col min="13592" max="13592" width="3.42578125" style="45" customWidth="1"/>
    <col min="13593" max="13593" width="4.7109375" style="45" customWidth="1"/>
    <col min="13594" max="13595" width="5.42578125" style="45" customWidth="1"/>
    <col min="13596" max="13596" width="10.28515625" style="45" customWidth="1"/>
    <col min="13597" max="13597" width="4.42578125" style="45" customWidth="1"/>
    <col min="13598" max="13598" width="4.28515625" style="45" customWidth="1"/>
    <col min="13599" max="13599" width="4" style="45" customWidth="1"/>
    <col min="13600" max="13600" width="4.42578125" style="45" customWidth="1"/>
    <col min="13601" max="13601" width="3.85546875" style="45" customWidth="1"/>
    <col min="13602" max="13602" width="4.28515625" style="45" customWidth="1"/>
    <col min="13603" max="13825" width="11.42578125" style="45" customWidth="1"/>
    <col min="13826" max="13826" width="10.7109375" style="45" customWidth="1"/>
    <col min="13827" max="13827" width="16" style="45" customWidth="1"/>
    <col min="13828" max="13830" width="0" style="45" hidden="1"/>
    <col min="13831" max="13831" width="56.85546875" style="45" customWidth="1"/>
    <col min="13832" max="13832" width="6" style="45" customWidth="1"/>
    <col min="13833" max="13834" width="0" style="45" hidden="1"/>
    <col min="13835" max="13835" width="2.7109375" style="45" customWidth="1"/>
    <col min="13836" max="13836" width="5.140625" style="45" customWidth="1"/>
    <col min="13837" max="13837" width="14" style="45" customWidth="1"/>
    <col min="13838" max="13838" width="3.5703125" style="45" customWidth="1"/>
    <col min="13839" max="13839" width="6.5703125" style="45" customWidth="1"/>
    <col min="13840" max="13840" width="36.5703125" style="45" customWidth="1"/>
    <col min="13841" max="13841" width="57.85546875" style="45" customWidth="1"/>
    <col min="13842" max="13842" width="4.140625" style="45" customWidth="1"/>
    <col min="13843" max="13843" width="4.42578125" style="45" customWidth="1"/>
    <col min="13844" max="13844" width="4.28515625" style="45" customWidth="1"/>
    <col min="13845" max="13845" width="4" style="45" customWidth="1"/>
    <col min="13846" max="13846" width="3.7109375" style="45" customWidth="1"/>
    <col min="13847" max="13847" width="4.28515625" style="45" customWidth="1"/>
    <col min="13848" max="13848" width="3.42578125" style="45" customWidth="1"/>
    <col min="13849" max="13849" width="4.7109375" style="45" customWidth="1"/>
    <col min="13850" max="13851" width="5.42578125" style="45" customWidth="1"/>
    <col min="13852" max="13852" width="10.28515625" style="45" customWidth="1"/>
    <col min="13853" max="13853" width="4.42578125" style="45" customWidth="1"/>
    <col min="13854" max="13854" width="4.28515625" style="45" customWidth="1"/>
    <col min="13855" max="13855" width="4" style="45" customWidth="1"/>
    <col min="13856" max="13856" width="4.42578125" style="45" customWidth="1"/>
    <col min="13857" max="13857" width="3.85546875" style="45" customWidth="1"/>
    <col min="13858" max="13858" width="4.28515625" style="45" customWidth="1"/>
    <col min="13859" max="14081" width="11.42578125" style="45" customWidth="1"/>
    <col min="14082" max="14082" width="10.7109375" style="45" customWidth="1"/>
    <col min="14083" max="14083" width="16" style="45" customWidth="1"/>
    <col min="14084" max="14086" width="0" style="45" hidden="1"/>
    <col min="14087" max="14087" width="56.85546875" style="45" customWidth="1"/>
    <col min="14088" max="14088" width="6" style="45" customWidth="1"/>
    <col min="14089" max="14090" width="0" style="45" hidden="1"/>
    <col min="14091" max="14091" width="2.7109375" style="45" customWidth="1"/>
    <col min="14092" max="14092" width="5.140625" style="45" customWidth="1"/>
    <col min="14093" max="14093" width="14" style="45" customWidth="1"/>
    <col min="14094" max="14094" width="3.5703125" style="45" customWidth="1"/>
    <col min="14095" max="14095" width="6.5703125" style="45" customWidth="1"/>
    <col min="14096" max="14096" width="36.5703125" style="45" customWidth="1"/>
    <col min="14097" max="14097" width="57.85546875" style="45" customWidth="1"/>
    <col min="14098" max="14098" width="4.140625" style="45" customWidth="1"/>
    <col min="14099" max="14099" width="4.42578125" style="45" customWidth="1"/>
    <col min="14100" max="14100" width="4.28515625" style="45" customWidth="1"/>
    <col min="14101" max="14101" width="4" style="45" customWidth="1"/>
    <col min="14102" max="14102" width="3.7109375" style="45" customWidth="1"/>
    <col min="14103" max="14103" width="4.28515625" style="45" customWidth="1"/>
    <col min="14104" max="14104" width="3.42578125" style="45" customWidth="1"/>
    <col min="14105" max="14105" width="4.7109375" style="45" customWidth="1"/>
    <col min="14106" max="14107" width="5.42578125" style="45" customWidth="1"/>
    <col min="14108" max="14108" width="10.28515625" style="45" customWidth="1"/>
    <col min="14109" max="14109" width="4.42578125" style="45" customWidth="1"/>
    <col min="14110" max="14110" width="4.28515625" style="45" customWidth="1"/>
    <col min="14111" max="14111" width="4" style="45" customWidth="1"/>
    <col min="14112" max="14112" width="4.42578125" style="45" customWidth="1"/>
    <col min="14113" max="14113" width="3.85546875" style="45" customWidth="1"/>
    <col min="14114" max="14114" width="4.28515625" style="45" customWidth="1"/>
    <col min="14115" max="14337" width="11.42578125" style="45" customWidth="1"/>
    <col min="14338" max="14338" width="10.7109375" style="45" customWidth="1"/>
    <col min="14339" max="14339" width="16" style="45" customWidth="1"/>
    <col min="14340" max="14342" width="0" style="45" hidden="1"/>
    <col min="14343" max="14343" width="56.85546875" style="45" customWidth="1"/>
    <col min="14344" max="14344" width="6" style="45" customWidth="1"/>
    <col min="14345" max="14346" width="0" style="45" hidden="1"/>
    <col min="14347" max="14347" width="2.7109375" style="45" customWidth="1"/>
    <col min="14348" max="14348" width="5.140625" style="45" customWidth="1"/>
    <col min="14349" max="14349" width="14" style="45" customWidth="1"/>
    <col min="14350" max="14350" width="3.5703125" style="45" customWidth="1"/>
    <col min="14351" max="14351" width="6.5703125" style="45" customWidth="1"/>
    <col min="14352" max="14352" width="36.5703125" style="45" customWidth="1"/>
    <col min="14353" max="14353" width="57.85546875" style="45" customWidth="1"/>
    <col min="14354" max="14354" width="4.140625" style="45" customWidth="1"/>
    <col min="14355" max="14355" width="4.42578125" style="45" customWidth="1"/>
    <col min="14356" max="14356" width="4.28515625" style="45" customWidth="1"/>
    <col min="14357" max="14357" width="4" style="45" customWidth="1"/>
    <col min="14358" max="14358" width="3.7109375" style="45" customWidth="1"/>
    <col min="14359" max="14359" width="4.28515625" style="45" customWidth="1"/>
    <col min="14360" max="14360" width="3.42578125" style="45" customWidth="1"/>
    <col min="14361" max="14361" width="4.7109375" style="45" customWidth="1"/>
    <col min="14362" max="14363" width="5.42578125" style="45" customWidth="1"/>
    <col min="14364" max="14364" width="10.28515625" style="45" customWidth="1"/>
    <col min="14365" max="14365" width="4.42578125" style="45" customWidth="1"/>
    <col min="14366" max="14366" width="4.28515625" style="45" customWidth="1"/>
    <col min="14367" max="14367" width="4" style="45" customWidth="1"/>
    <col min="14368" max="14368" width="4.42578125" style="45" customWidth="1"/>
    <col min="14369" max="14369" width="3.85546875" style="45" customWidth="1"/>
    <col min="14370" max="14370" width="4.28515625" style="45" customWidth="1"/>
    <col min="14371" max="14593" width="11.42578125" style="45" customWidth="1"/>
    <col min="14594" max="14594" width="10.7109375" style="45" customWidth="1"/>
    <col min="14595" max="14595" width="16" style="45" customWidth="1"/>
    <col min="14596" max="14598" width="0" style="45" hidden="1"/>
    <col min="14599" max="14599" width="56.85546875" style="45" customWidth="1"/>
    <col min="14600" max="14600" width="6" style="45" customWidth="1"/>
    <col min="14601" max="14602" width="0" style="45" hidden="1"/>
    <col min="14603" max="14603" width="2.7109375" style="45" customWidth="1"/>
    <col min="14604" max="14604" width="5.140625" style="45" customWidth="1"/>
    <col min="14605" max="14605" width="14" style="45" customWidth="1"/>
    <col min="14606" max="14606" width="3.5703125" style="45" customWidth="1"/>
    <col min="14607" max="14607" width="6.5703125" style="45" customWidth="1"/>
    <col min="14608" max="14608" width="36.5703125" style="45" customWidth="1"/>
    <col min="14609" max="14609" width="57.85546875" style="45" customWidth="1"/>
    <col min="14610" max="14610" width="4.140625" style="45" customWidth="1"/>
    <col min="14611" max="14611" width="4.42578125" style="45" customWidth="1"/>
    <col min="14612" max="14612" width="4.28515625" style="45" customWidth="1"/>
    <col min="14613" max="14613" width="4" style="45" customWidth="1"/>
    <col min="14614" max="14614" width="3.7109375" style="45" customWidth="1"/>
    <col min="14615" max="14615" width="4.28515625" style="45" customWidth="1"/>
    <col min="14616" max="14616" width="3.42578125" style="45" customWidth="1"/>
    <col min="14617" max="14617" width="4.7109375" style="45" customWidth="1"/>
    <col min="14618" max="14619" width="5.42578125" style="45" customWidth="1"/>
    <col min="14620" max="14620" width="10.28515625" style="45" customWidth="1"/>
    <col min="14621" max="14621" width="4.42578125" style="45" customWidth="1"/>
    <col min="14622" max="14622" width="4.28515625" style="45" customWidth="1"/>
    <col min="14623" max="14623" width="4" style="45" customWidth="1"/>
    <col min="14624" max="14624" width="4.42578125" style="45" customWidth="1"/>
    <col min="14625" max="14625" width="3.85546875" style="45" customWidth="1"/>
    <col min="14626" max="14626" width="4.28515625" style="45" customWidth="1"/>
    <col min="14627" max="14849" width="11.42578125" style="45" customWidth="1"/>
    <col min="14850" max="14850" width="10.7109375" style="45" customWidth="1"/>
    <col min="14851" max="14851" width="16" style="45" customWidth="1"/>
    <col min="14852" max="14854" width="0" style="45" hidden="1"/>
    <col min="14855" max="14855" width="56.85546875" style="45" customWidth="1"/>
    <col min="14856" max="14856" width="6" style="45" customWidth="1"/>
    <col min="14857" max="14858" width="0" style="45" hidden="1"/>
    <col min="14859" max="14859" width="2.7109375" style="45" customWidth="1"/>
    <col min="14860" max="14860" width="5.140625" style="45" customWidth="1"/>
    <col min="14861" max="14861" width="14" style="45" customWidth="1"/>
    <col min="14862" max="14862" width="3.5703125" style="45" customWidth="1"/>
    <col min="14863" max="14863" width="6.5703125" style="45" customWidth="1"/>
    <col min="14864" max="14864" width="36.5703125" style="45" customWidth="1"/>
    <col min="14865" max="14865" width="57.85546875" style="45" customWidth="1"/>
    <col min="14866" max="14866" width="4.140625" style="45" customWidth="1"/>
    <col min="14867" max="14867" width="4.42578125" style="45" customWidth="1"/>
    <col min="14868" max="14868" width="4.28515625" style="45" customWidth="1"/>
    <col min="14869" max="14869" width="4" style="45" customWidth="1"/>
    <col min="14870" max="14870" width="3.7109375" style="45" customWidth="1"/>
    <col min="14871" max="14871" width="4.28515625" style="45" customWidth="1"/>
    <col min="14872" max="14872" width="3.42578125" style="45" customWidth="1"/>
    <col min="14873" max="14873" width="4.7109375" style="45" customWidth="1"/>
    <col min="14874" max="14875" width="5.42578125" style="45" customWidth="1"/>
    <col min="14876" max="14876" width="10.28515625" style="45" customWidth="1"/>
    <col min="14877" max="14877" width="4.42578125" style="45" customWidth="1"/>
    <col min="14878" max="14878" width="4.28515625" style="45" customWidth="1"/>
    <col min="14879" max="14879" width="4" style="45" customWidth="1"/>
    <col min="14880" max="14880" width="4.42578125" style="45" customWidth="1"/>
    <col min="14881" max="14881" width="3.85546875" style="45" customWidth="1"/>
    <col min="14882" max="14882" width="4.28515625" style="45" customWidth="1"/>
    <col min="14883" max="15105" width="11.42578125" style="45" customWidth="1"/>
    <col min="15106" max="15106" width="10.7109375" style="45" customWidth="1"/>
    <col min="15107" max="15107" width="16" style="45" customWidth="1"/>
    <col min="15108" max="15110" width="0" style="45" hidden="1"/>
    <col min="15111" max="15111" width="56.85546875" style="45" customWidth="1"/>
    <col min="15112" max="15112" width="6" style="45" customWidth="1"/>
    <col min="15113" max="15114" width="0" style="45" hidden="1"/>
    <col min="15115" max="15115" width="2.7109375" style="45" customWidth="1"/>
    <col min="15116" max="15116" width="5.140625" style="45" customWidth="1"/>
    <col min="15117" max="15117" width="14" style="45" customWidth="1"/>
    <col min="15118" max="15118" width="3.5703125" style="45" customWidth="1"/>
    <col min="15119" max="15119" width="6.5703125" style="45" customWidth="1"/>
    <col min="15120" max="15120" width="36.5703125" style="45" customWidth="1"/>
    <col min="15121" max="15121" width="57.85546875" style="45" customWidth="1"/>
    <col min="15122" max="15122" width="4.140625" style="45" customWidth="1"/>
    <col min="15123" max="15123" width="4.42578125" style="45" customWidth="1"/>
    <col min="15124" max="15124" width="4.28515625" style="45" customWidth="1"/>
    <col min="15125" max="15125" width="4" style="45" customWidth="1"/>
    <col min="15126" max="15126" width="3.7109375" style="45" customWidth="1"/>
    <col min="15127" max="15127" width="4.28515625" style="45" customWidth="1"/>
    <col min="15128" max="15128" width="3.42578125" style="45" customWidth="1"/>
    <col min="15129" max="15129" width="4.7109375" style="45" customWidth="1"/>
    <col min="15130" max="15131" width="5.42578125" style="45" customWidth="1"/>
    <col min="15132" max="15132" width="10.28515625" style="45" customWidth="1"/>
    <col min="15133" max="15133" width="4.42578125" style="45" customWidth="1"/>
    <col min="15134" max="15134" width="4.28515625" style="45" customWidth="1"/>
    <col min="15135" max="15135" width="4" style="45" customWidth="1"/>
    <col min="15136" max="15136" width="4.42578125" style="45" customWidth="1"/>
    <col min="15137" max="15137" width="3.85546875" style="45" customWidth="1"/>
    <col min="15138" max="15138" width="4.28515625" style="45" customWidth="1"/>
    <col min="15139" max="15361" width="11.42578125" style="45" customWidth="1"/>
    <col min="15362" max="15362" width="10.7109375" style="45" customWidth="1"/>
    <col min="15363" max="15363" width="16" style="45" customWidth="1"/>
    <col min="15364" max="15366" width="0" style="45" hidden="1"/>
    <col min="15367" max="15367" width="56.85546875" style="45" customWidth="1"/>
    <col min="15368" max="15368" width="6" style="45" customWidth="1"/>
    <col min="15369" max="15370" width="0" style="45" hidden="1"/>
    <col min="15371" max="15371" width="2.7109375" style="45" customWidth="1"/>
    <col min="15372" max="15372" width="5.140625" style="45" customWidth="1"/>
    <col min="15373" max="15373" width="14" style="45" customWidth="1"/>
    <col min="15374" max="15374" width="3.5703125" style="45" customWidth="1"/>
    <col min="15375" max="15375" width="6.5703125" style="45" customWidth="1"/>
    <col min="15376" max="15376" width="36.5703125" style="45" customWidth="1"/>
    <col min="15377" max="15377" width="57.85546875" style="45" customWidth="1"/>
    <col min="15378" max="15378" width="4.140625" style="45" customWidth="1"/>
    <col min="15379" max="15379" width="4.42578125" style="45" customWidth="1"/>
    <col min="15380" max="15380" width="4.28515625" style="45" customWidth="1"/>
    <col min="15381" max="15381" width="4" style="45" customWidth="1"/>
    <col min="15382" max="15382" width="3.7109375" style="45" customWidth="1"/>
    <col min="15383" max="15383" width="4.28515625" style="45" customWidth="1"/>
    <col min="15384" max="15384" width="3.42578125" style="45" customWidth="1"/>
    <col min="15385" max="15385" width="4.7109375" style="45" customWidth="1"/>
    <col min="15386" max="15387" width="5.42578125" style="45" customWidth="1"/>
    <col min="15388" max="15388" width="10.28515625" style="45" customWidth="1"/>
    <col min="15389" max="15389" width="4.42578125" style="45" customWidth="1"/>
    <col min="15390" max="15390" width="4.28515625" style="45" customWidth="1"/>
    <col min="15391" max="15391" width="4" style="45" customWidth="1"/>
    <col min="15392" max="15392" width="4.42578125" style="45" customWidth="1"/>
    <col min="15393" max="15393" width="3.85546875" style="45" customWidth="1"/>
    <col min="15394" max="15394" width="4.28515625" style="45" customWidth="1"/>
    <col min="15395" max="15617" width="11.42578125" style="45" customWidth="1"/>
    <col min="15618" max="15618" width="10.7109375" style="45" customWidth="1"/>
    <col min="15619" max="15619" width="16" style="45" customWidth="1"/>
    <col min="15620" max="15622" width="0" style="45" hidden="1"/>
    <col min="15623" max="15623" width="56.85546875" style="45" customWidth="1"/>
    <col min="15624" max="15624" width="6" style="45" customWidth="1"/>
    <col min="15625" max="15626" width="0" style="45" hidden="1"/>
    <col min="15627" max="15627" width="2.7109375" style="45" customWidth="1"/>
    <col min="15628" max="15628" width="5.140625" style="45" customWidth="1"/>
    <col min="15629" max="15629" width="14" style="45" customWidth="1"/>
    <col min="15630" max="15630" width="3.5703125" style="45" customWidth="1"/>
    <col min="15631" max="15631" width="6.5703125" style="45" customWidth="1"/>
    <col min="15632" max="15632" width="36.5703125" style="45" customWidth="1"/>
    <col min="15633" max="15633" width="57.85546875" style="45" customWidth="1"/>
    <col min="15634" max="15634" width="4.140625" style="45" customWidth="1"/>
    <col min="15635" max="15635" width="4.42578125" style="45" customWidth="1"/>
    <col min="15636" max="15636" width="4.28515625" style="45" customWidth="1"/>
    <col min="15637" max="15637" width="4" style="45" customWidth="1"/>
    <col min="15638" max="15638" width="3.7109375" style="45" customWidth="1"/>
    <col min="15639" max="15639" width="4.28515625" style="45" customWidth="1"/>
    <col min="15640" max="15640" width="3.42578125" style="45" customWidth="1"/>
    <col min="15641" max="15641" width="4.7109375" style="45" customWidth="1"/>
    <col min="15642" max="15643" width="5.42578125" style="45" customWidth="1"/>
    <col min="15644" max="15644" width="10.28515625" style="45" customWidth="1"/>
    <col min="15645" max="15645" width="4.42578125" style="45" customWidth="1"/>
    <col min="15646" max="15646" width="4.28515625" style="45" customWidth="1"/>
    <col min="15647" max="15647" width="4" style="45" customWidth="1"/>
    <col min="15648" max="15648" width="4.42578125" style="45" customWidth="1"/>
    <col min="15649" max="15649" width="3.85546875" style="45" customWidth="1"/>
    <col min="15650" max="15650" width="4.28515625" style="45" customWidth="1"/>
    <col min="15651" max="15873" width="11.42578125" style="45" customWidth="1"/>
    <col min="15874" max="15874" width="10.7109375" style="45" customWidth="1"/>
    <col min="15875" max="15875" width="16" style="45" customWidth="1"/>
    <col min="15876" max="15878" width="0" style="45" hidden="1"/>
    <col min="15879" max="15879" width="56.85546875" style="45" customWidth="1"/>
    <col min="15880" max="15880" width="6" style="45" customWidth="1"/>
    <col min="15881" max="15882" width="0" style="45" hidden="1"/>
    <col min="15883" max="15883" width="2.7109375" style="45" customWidth="1"/>
    <col min="15884" max="15884" width="5.140625" style="45" customWidth="1"/>
    <col min="15885" max="15885" width="14" style="45" customWidth="1"/>
    <col min="15886" max="15886" width="3.5703125" style="45" customWidth="1"/>
    <col min="15887" max="15887" width="6.5703125" style="45" customWidth="1"/>
    <col min="15888" max="15888" width="36.5703125" style="45" customWidth="1"/>
    <col min="15889" max="15889" width="57.85546875" style="45" customWidth="1"/>
    <col min="15890" max="15890" width="4.140625" style="45" customWidth="1"/>
    <col min="15891" max="15891" width="4.42578125" style="45" customWidth="1"/>
    <col min="15892" max="15892" width="4.28515625" style="45" customWidth="1"/>
    <col min="15893" max="15893" width="4" style="45" customWidth="1"/>
    <col min="15894" max="15894" width="3.7109375" style="45" customWidth="1"/>
    <col min="15895" max="15895" width="4.28515625" style="45" customWidth="1"/>
    <col min="15896" max="15896" width="3.42578125" style="45" customWidth="1"/>
    <col min="15897" max="15897" width="4.7109375" style="45" customWidth="1"/>
    <col min="15898" max="15899" width="5.42578125" style="45" customWidth="1"/>
    <col min="15900" max="15900" width="10.28515625" style="45" customWidth="1"/>
    <col min="15901" max="15901" width="4.42578125" style="45" customWidth="1"/>
    <col min="15902" max="15902" width="4.28515625" style="45" customWidth="1"/>
    <col min="15903" max="15903" width="4" style="45" customWidth="1"/>
    <col min="15904" max="15904" width="4.42578125" style="45" customWidth="1"/>
    <col min="15905" max="15905" width="3.85546875" style="45" customWidth="1"/>
    <col min="15906" max="15906" width="4.28515625" style="45" customWidth="1"/>
    <col min="15907" max="16129" width="11.42578125" style="45" customWidth="1"/>
    <col min="16130" max="16130" width="10.7109375" style="45" customWidth="1"/>
    <col min="16131" max="16131" width="16" style="45" customWidth="1"/>
    <col min="16132" max="16134" width="0" style="45" hidden="1"/>
    <col min="16135" max="16135" width="56.85546875" style="45" customWidth="1"/>
    <col min="16136" max="16136" width="6" style="45" customWidth="1"/>
    <col min="16137" max="16138" width="0" style="45" hidden="1"/>
    <col min="16139" max="16139" width="2.7109375" style="45" customWidth="1"/>
    <col min="16140" max="16140" width="5.140625" style="45" customWidth="1"/>
    <col min="16141" max="16141" width="14" style="45" customWidth="1"/>
    <col min="16142" max="16142" width="3.5703125" style="45" customWidth="1"/>
    <col min="16143" max="16143" width="6.5703125" style="45" customWidth="1"/>
    <col min="16144" max="16144" width="36.5703125" style="45" customWidth="1"/>
    <col min="16145" max="16145" width="57.85546875" style="45" customWidth="1"/>
    <col min="16146" max="16146" width="4.140625" style="45" customWidth="1"/>
    <col min="16147" max="16147" width="4.42578125" style="45" customWidth="1"/>
    <col min="16148" max="16148" width="4.28515625" style="45" customWidth="1"/>
    <col min="16149" max="16149" width="4" style="45" customWidth="1"/>
    <col min="16150" max="16150" width="3.7109375" style="45" customWidth="1"/>
    <col min="16151" max="16151" width="4.28515625" style="45" customWidth="1"/>
    <col min="16152" max="16152" width="3.42578125" style="45" customWidth="1"/>
    <col min="16153" max="16153" width="4.7109375" style="45" customWidth="1"/>
    <col min="16154" max="16155" width="5.42578125" style="45" customWidth="1"/>
    <col min="16156" max="16156" width="10.28515625" style="45" customWidth="1"/>
    <col min="16157" max="16157" width="4.42578125" style="45" customWidth="1"/>
    <col min="16158" max="16158" width="4.28515625" style="45" customWidth="1"/>
    <col min="16159" max="16159" width="4" style="45" customWidth="1"/>
    <col min="16160" max="16160" width="4.42578125" style="45" customWidth="1"/>
    <col min="16161" max="16161" width="3.85546875" style="45" customWidth="1"/>
    <col min="16162" max="16162" width="4.28515625" style="45" customWidth="1"/>
    <col min="16163" max="16384" width="11.42578125" style="45" customWidth="1"/>
  </cols>
  <sheetData>
    <row r="1" spans="1:34">
      <c r="A1" s="981"/>
      <c r="B1" s="982"/>
      <c r="C1" s="983"/>
      <c r="D1" s="981"/>
      <c r="E1" s="981"/>
      <c r="F1" s="986" t="s">
        <v>65</v>
      </c>
      <c r="G1" s="981"/>
      <c r="H1" s="981"/>
      <c r="I1" s="981"/>
      <c r="J1" s="981"/>
      <c r="K1" s="981"/>
      <c r="L1" s="988">
        <v>266279</v>
      </c>
      <c r="M1" s="896"/>
      <c r="N1" s="896"/>
      <c r="O1" s="896"/>
      <c r="P1" s="116"/>
      <c r="Q1" s="992"/>
      <c r="R1" s="1584" t="s">
        <v>66</v>
      </c>
      <c r="S1" s="1585"/>
      <c r="T1" s="1585"/>
      <c r="U1" s="1585"/>
      <c r="V1" s="1585"/>
      <c r="W1" s="1585"/>
      <c r="X1" s="1000"/>
      <c r="Y1" s="1000"/>
      <c r="Z1" s="1000"/>
      <c r="AA1" s="1000"/>
      <c r="AB1" s="1000"/>
      <c r="AC1" s="1001"/>
      <c r="AD1" s="1001"/>
      <c r="AE1" s="1001"/>
      <c r="AF1" s="1001"/>
      <c r="AG1" s="1001"/>
      <c r="AH1" s="1001"/>
    </row>
    <row r="2" spans="1:34" ht="48" customHeight="1">
      <c r="A2" s="981"/>
      <c r="B2" s="984"/>
      <c r="C2" s="983" t="s">
        <v>67</v>
      </c>
      <c r="D2" s="746">
        <v>3503</v>
      </c>
      <c r="E2" s="746">
        <v>3504</v>
      </c>
      <c r="F2" s="746">
        <v>3702</v>
      </c>
      <c r="G2" s="746">
        <v>3703</v>
      </c>
      <c r="H2" s="746">
        <v>3506</v>
      </c>
      <c r="I2" s="746">
        <v>3507</v>
      </c>
      <c r="J2" s="746">
        <v>3508</v>
      </c>
      <c r="K2" s="746">
        <v>3706</v>
      </c>
      <c r="L2" s="746">
        <v>3707</v>
      </c>
      <c r="M2" s="989">
        <v>3708</v>
      </c>
      <c r="N2" s="989">
        <v>3709</v>
      </c>
      <c r="O2" s="495">
        <v>3792</v>
      </c>
      <c r="P2" s="495"/>
      <c r="Q2" s="406" t="s">
        <v>81</v>
      </c>
      <c r="R2" s="834" t="s">
        <v>82</v>
      </c>
      <c r="S2" s="834" t="s">
        <v>83</v>
      </c>
      <c r="T2" s="834" t="s">
        <v>84</v>
      </c>
      <c r="U2" s="834" t="s">
        <v>85</v>
      </c>
      <c r="V2" s="834" t="s">
        <v>86</v>
      </c>
      <c r="W2" s="834" t="s">
        <v>87</v>
      </c>
      <c r="X2" s="999" t="s">
        <v>88</v>
      </c>
      <c r="Y2" s="999" t="s">
        <v>89</v>
      </c>
      <c r="Z2" s="999" t="s">
        <v>90</v>
      </c>
      <c r="AA2" s="999" t="s">
        <v>91</v>
      </c>
      <c r="AB2" s="999" t="s">
        <v>92</v>
      </c>
      <c r="AC2" s="1014" t="s">
        <v>82</v>
      </c>
      <c r="AD2" s="1014" t="s">
        <v>83</v>
      </c>
      <c r="AE2" s="1014" t="s">
        <v>84</v>
      </c>
      <c r="AF2" s="1014" t="s">
        <v>85</v>
      </c>
      <c r="AG2" s="1014" t="s">
        <v>86</v>
      </c>
      <c r="AH2" s="1014" t="s">
        <v>87</v>
      </c>
    </row>
    <row r="3" spans="1:34" ht="71.25" customHeight="1">
      <c r="A3" s="981" t="s">
        <v>68</v>
      </c>
      <c r="B3" s="985"/>
      <c r="C3" s="983">
        <v>401</v>
      </c>
      <c r="D3" s="85" t="s">
        <v>69</v>
      </c>
      <c r="E3" s="85" t="s">
        <v>70</v>
      </c>
      <c r="F3" s="86" t="s">
        <v>71</v>
      </c>
      <c r="G3" s="85" t="s">
        <v>72</v>
      </c>
      <c r="H3" s="85" t="s">
        <v>73</v>
      </c>
      <c r="I3" s="85" t="s">
        <v>74</v>
      </c>
      <c r="J3" s="85" t="s">
        <v>75</v>
      </c>
      <c r="K3" s="85" t="s">
        <v>76</v>
      </c>
      <c r="L3" s="987" t="s">
        <v>275</v>
      </c>
      <c r="M3" s="422" t="s">
        <v>78</v>
      </c>
      <c r="N3" s="422" t="s">
        <v>79</v>
      </c>
      <c r="O3" s="423" t="s">
        <v>80</v>
      </c>
      <c r="P3" s="423"/>
      <c r="Q3" s="992"/>
      <c r="R3" s="1075"/>
      <c r="S3" s="834"/>
      <c r="T3" s="834"/>
      <c r="U3" s="834"/>
      <c r="V3" s="834"/>
      <c r="W3" s="834"/>
      <c r="X3" s="999"/>
      <c r="Y3" s="999"/>
      <c r="Z3" s="999" t="s">
        <v>95</v>
      </c>
      <c r="AA3" s="999" t="s">
        <v>95</v>
      </c>
      <c r="AB3" s="1000"/>
      <c r="AC3" s="1001"/>
      <c r="AD3" s="1001"/>
      <c r="AE3" s="1001"/>
      <c r="AF3" s="1001"/>
      <c r="AG3" s="1001"/>
      <c r="AH3" s="1001"/>
    </row>
    <row r="4" spans="1:34" ht="12.75" customHeight="1">
      <c r="A4" s="981"/>
      <c r="B4" s="985"/>
      <c r="C4" s="983">
        <v>662</v>
      </c>
      <c r="D4" s="86"/>
      <c r="E4" s="86"/>
      <c r="F4" s="86" t="s">
        <v>72</v>
      </c>
      <c r="G4" s="86"/>
      <c r="H4" s="86"/>
      <c r="I4" s="86"/>
      <c r="J4" s="86"/>
      <c r="K4" s="86"/>
      <c r="L4" s="987" t="s">
        <v>93</v>
      </c>
      <c r="M4" s="425"/>
      <c r="N4" s="425"/>
      <c r="O4" s="426"/>
      <c r="P4" s="426"/>
      <c r="Q4" s="992"/>
      <c r="R4" s="994" t="s">
        <v>94</v>
      </c>
      <c r="S4" s="995"/>
      <c r="T4" s="995"/>
      <c r="U4" s="995"/>
      <c r="V4" s="995"/>
      <c r="W4" s="995"/>
      <c r="X4" s="1000"/>
      <c r="Y4" s="1000"/>
      <c r="Z4" s="1003"/>
      <c r="AA4" s="1003"/>
      <c r="AB4" s="1003"/>
      <c r="AC4" s="1001"/>
      <c r="AD4" s="1001"/>
      <c r="AE4" s="1001"/>
      <c r="AF4" s="1001"/>
      <c r="AG4" s="1001"/>
      <c r="AH4" s="1001"/>
    </row>
    <row r="5" spans="1:34">
      <c r="A5" s="981"/>
      <c r="B5" s="985"/>
      <c r="C5" s="983">
        <v>493</v>
      </c>
      <c r="D5" s="86"/>
      <c r="E5" s="86"/>
      <c r="F5" s="86" t="s">
        <v>75</v>
      </c>
      <c r="G5" s="86"/>
      <c r="H5" s="86"/>
      <c r="I5" s="86"/>
      <c r="J5" s="86"/>
      <c r="K5" s="86"/>
      <c r="L5" s="987">
        <v>0</v>
      </c>
      <c r="M5" s="425"/>
      <c r="N5" s="425"/>
      <c r="O5" s="426"/>
      <c r="P5" s="426"/>
      <c r="Q5" s="992"/>
      <c r="R5" s="995"/>
      <c r="S5" s="995"/>
      <c r="T5" s="995"/>
      <c r="U5" s="995"/>
      <c r="V5" s="995"/>
      <c r="W5" s="995"/>
      <c r="X5" s="1000"/>
      <c r="Y5" s="1000"/>
      <c r="Z5" s="1000"/>
      <c r="AA5" s="1000"/>
      <c r="AB5" s="1000"/>
      <c r="AC5" s="1001"/>
      <c r="AD5" s="1001"/>
      <c r="AE5" s="1001"/>
      <c r="AF5" s="1001"/>
      <c r="AG5" s="1001"/>
      <c r="AH5" s="1001"/>
    </row>
    <row r="6" spans="1:34" ht="12.75" customHeight="1">
      <c r="A6" s="981"/>
      <c r="B6" s="985"/>
      <c r="C6" s="983">
        <v>403</v>
      </c>
      <c r="D6" s="86"/>
      <c r="E6" s="86"/>
      <c r="F6" s="86" t="s">
        <v>76</v>
      </c>
      <c r="G6" s="86"/>
      <c r="H6" s="86"/>
      <c r="I6" s="86"/>
      <c r="J6" s="86"/>
      <c r="K6" s="86"/>
      <c r="L6" s="987" t="s">
        <v>96</v>
      </c>
      <c r="M6" s="425"/>
      <c r="N6" s="425"/>
      <c r="O6" s="426"/>
      <c r="P6" s="426"/>
      <c r="Q6" s="992"/>
      <c r="R6" s="996"/>
      <c r="S6" s="996"/>
      <c r="T6" s="996"/>
      <c r="U6" s="996"/>
      <c r="V6" s="996"/>
      <c r="W6" s="996"/>
      <c r="X6" s="1000"/>
      <c r="Y6" s="1000"/>
      <c r="Z6" s="1002"/>
      <c r="AA6" s="1002"/>
      <c r="AB6" s="1003"/>
      <c r="AC6" s="1001"/>
      <c r="AD6" s="1001"/>
      <c r="AE6" s="1001"/>
      <c r="AF6" s="1001"/>
      <c r="AG6" s="1001"/>
      <c r="AH6" s="1001"/>
    </row>
    <row r="7" spans="1:34">
      <c r="A7" s="810">
        <v>266279</v>
      </c>
      <c r="B7" s="1006" t="s">
        <v>97</v>
      </c>
      <c r="C7" s="1007"/>
      <c r="D7" s="1008" t="s">
        <v>98</v>
      </c>
      <c r="E7" s="1009">
        <v>0</v>
      </c>
      <c r="F7" s="1010" t="s">
        <v>275</v>
      </c>
      <c r="G7" s="811" t="s">
        <v>93</v>
      </c>
      <c r="H7" s="1011" t="s">
        <v>98</v>
      </c>
      <c r="I7" s="1011" t="s">
        <v>98</v>
      </c>
      <c r="J7" s="812">
        <v>0</v>
      </c>
      <c r="K7" s="811" t="s">
        <v>96</v>
      </c>
      <c r="L7" s="1076">
        <v>1</v>
      </c>
      <c r="M7" s="91"/>
      <c r="N7" s="92"/>
      <c r="O7" s="93"/>
      <c r="P7" s="93"/>
      <c r="Q7" s="378"/>
      <c r="R7" s="853"/>
      <c r="S7" s="853"/>
      <c r="T7" s="853"/>
      <c r="U7" s="853"/>
      <c r="V7" s="853"/>
      <c r="W7" s="853"/>
      <c r="X7" s="1025"/>
      <c r="Y7" s="1015"/>
      <c r="Z7" s="1015"/>
      <c r="AA7" s="1015"/>
      <c r="AB7" s="1015"/>
      <c r="AC7" s="1016"/>
      <c r="AD7" s="1016"/>
      <c r="AE7" s="1016"/>
      <c r="AF7" s="1016"/>
      <c r="AG7" s="1016"/>
      <c r="AH7" s="1016"/>
    </row>
    <row r="8" spans="1:34" ht="24" customHeight="1">
      <c r="A8" s="810">
        <v>268439</v>
      </c>
      <c r="B8" s="1006" t="s">
        <v>221</v>
      </c>
      <c r="C8" s="1007"/>
      <c r="D8" s="1081">
        <v>5</v>
      </c>
      <c r="E8" s="1082" t="s">
        <v>98</v>
      </c>
      <c r="F8" s="1092" t="s">
        <v>303</v>
      </c>
      <c r="G8" s="814" t="s">
        <v>93</v>
      </c>
      <c r="H8" s="822" t="s">
        <v>98</v>
      </c>
      <c r="I8" s="822" t="s">
        <v>98</v>
      </c>
      <c r="J8" s="815">
        <v>0</v>
      </c>
      <c r="K8" s="814" t="s">
        <v>96</v>
      </c>
      <c r="L8" s="1084">
        <v>1.97298</v>
      </c>
      <c r="M8" s="816">
        <v>1</v>
      </c>
      <c r="N8" s="817">
        <v>1.57103133454336</v>
      </c>
      <c r="O8" s="1096" t="s">
        <v>304</v>
      </c>
      <c r="P8" s="206"/>
      <c r="Q8" s="378" t="s">
        <v>305</v>
      </c>
      <c r="R8" s="1087">
        <v>2</v>
      </c>
      <c r="S8" s="1087">
        <v>2</v>
      </c>
      <c r="T8" s="1087">
        <v>2</v>
      </c>
      <c r="U8" s="1087">
        <v>3</v>
      </c>
      <c r="V8" s="1087">
        <v>4</v>
      </c>
      <c r="W8" s="1087">
        <v>5</v>
      </c>
      <c r="X8" s="1087">
        <v>3</v>
      </c>
      <c r="Y8" s="1088">
        <v>1.05</v>
      </c>
      <c r="Z8" s="1088">
        <v>1.5668852638663999</v>
      </c>
      <c r="AA8" s="1088">
        <v>1.57103133454336</v>
      </c>
      <c r="AB8" s="1088" t="s">
        <v>306</v>
      </c>
      <c r="AC8" s="1089">
        <v>1.05</v>
      </c>
      <c r="AD8" s="1089">
        <v>1.02</v>
      </c>
      <c r="AE8" s="1089">
        <v>1.03</v>
      </c>
      <c r="AF8" s="1089">
        <v>1.02</v>
      </c>
      <c r="AG8" s="1089">
        <v>1.5</v>
      </c>
      <c r="AH8" s="1089">
        <v>1.2</v>
      </c>
    </row>
    <row r="9" spans="1:34" ht="24" customHeight="1">
      <c r="A9" s="1116">
        <v>266277</v>
      </c>
      <c r="B9" s="1006"/>
      <c r="C9" s="1007"/>
      <c r="D9" s="1018">
        <v>5</v>
      </c>
      <c r="E9" s="1019" t="s">
        <v>98</v>
      </c>
      <c r="F9" s="1023" t="s">
        <v>307</v>
      </c>
      <c r="G9" s="818" t="s">
        <v>93</v>
      </c>
      <c r="H9" s="821" t="s">
        <v>98</v>
      </c>
      <c r="I9" s="821" t="s">
        <v>98</v>
      </c>
      <c r="J9" s="819">
        <v>0</v>
      </c>
      <c r="K9" s="818" t="s">
        <v>96</v>
      </c>
      <c r="L9" s="1021">
        <v>1.94</v>
      </c>
      <c r="M9" s="820">
        <v>1</v>
      </c>
      <c r="N9" s="813">
        <v>1.57103133454336</v>
      </c>
      <c r="O9" s="1051" t="s">
        <v>308</v>
      </c>
      <c r="P9" s="206"/>
      <c r="Q9" s="378" t="s">
        <v>309</v>
      </c>
      <c r="R9" s="838">
        <v>2</v>
      </c>
      <c r="S9" s="838">
        <v>2</v>
      </c>
      <c r="T9" s="838">
        <v>2</v>
      </c>
      <c r="U9" s="838">
        <v>3</v>
      </c>
      <c r="V9" s="838">
        <v>4</v>
      </c>
      <c r="W9" s="838">
        <v>5</v>
      </c>
      <c r="X9" s="838">
        <v>3</v>
      </c>
      <c r="Y9" s="1090">
        <v>1.05</v>
      </c>
      <c r="Z9" s="1090">
        <v>1.5668852638663999</v>
      </c>
      <c r="AA9" s="1090">
        <v>1.57103133454336</v>
      </c>
      <c r="AB9" s="1090" t="s">
        <v>306</v>
      </c>
      <c r="AC9" s="1091">
        <v>1.05</v>
      </c>
      <c r="AD9" s="1091">
        <v>1.02</v>
      </c>
      <c r="AE9" s="1091">
        <v>1.03</v>
      </c>
      <c r="AF9" s="1091">
        <v>1.02</v>
      </c>
      <c r="AG9" s="1091">
        <v>1.5</v>
      </c>
      <c r="AH9" s="1091">
        <v>1.2</v>
      </c>
    </row>
    <row r="10" spans="1:34">
      <c r="A10" s="810">
        <v>268445</v>
      </c>
      <c r="B10" s="1006"/>
      <c r="C10" s="1007"/>
      <c r="D10" s="1081">
        <v>5</v>
      </c>
      <c r="E10" s="1082" t="s">
        <v>98</v>
      </c>
      <c r="F10" s="1092" t="s">
        <v>310</v>
      </c>
      <c r="G10" s="814" t="s">
        <v>103</v>
      </c>
      <c r="H10" s="822" t="s">
        <v>98</v>
      </c>
      <c r="I10" s="822" t="s">
        <v>98</v>
      </c>
      <c r="J10" s="815">
        <v>0</v>
      </c>
      <c r="K10" s="814" t="s">
        <v>96</v>
      </c>
      <c r="L10" s="1084">
        <v>5.0000000000000001E-3</v>
      </c>
      <c r="M10" s="816">
        <v>1</v>
      </c>
      <c r="N10" s="817">
        <v>1.23659599190809</v>
      </c>
      <c r="O10" s="1096" t="s">
        <v>276</v>
      </c>
      <c r="P10" s="206"/>
      <c r="Q10" s="378" t="s">
        <v>277</v>
      </c>
      <c r="R10" s="1087">
        <v>1</v>
      </c>
      <c r="S10" s="1087">
        <v>4</v>
      </c>
      <c r="T10" s="1087">
        <v>1</v>
      </c>
      <c r="U10" s="1087">
        <v>3</v>
      </c>
      <c r="V10" s="1087">
        <v>1</v>
      </c>
      <c r="W10" s="1087">
        <v>5</v>
      </c>
      <c r="X10" s="1087">
        <v>3</v>
      </c>
      <c r="Y10" s="1088">
        <v>1.05</v>
      </c>
      <c r="Z10" s="1088">
        <v>1.2295911287822301</v>
      </c>
      <c r="AA10" s="1088">
        <v>1.23659599190809</v>
      </c>
      <c r="AB10" s="1088" t="s">
        <v>278</v>
      </c>
      <c r="AC10" s="1089">
        <v>1</v>
      </c>
      <c r="AD10" s="1089">
        <v>1.1000000000000001</v>
      </c>
      <c r="AE10" s="1089">
        <v>1</v>
      </c>
      <c r="AF10" s="1089">
        <v>1.02</v>
      </c>
      <c r="AG10" s="1089">
        <v>1</v>
      </c>
      <c r="AH10" s="1089">
        <v>1.2</v>
      </c>
    </row>
    <row r="11" spans="1:34">
      <c r="A11" s="810">
        <v>269497</v>
      </c>
      <c r="B11" s="1006"/>
      <c r="C11" s="1007"/>
      <c r="D11" s="1018">
        <v>5</v>
      </c>
      <c r="E11" s="1019" t="s">
        <v>98</v>
      </c>
      <c r="F11" s="1023" t="s">
        <v>150</v>
      </c>
      <c r="G11" s="818" t="s">
        <v>93</v>
      </c>
      <c r="H11" s="821" t="s">
        <v>98</v>
      </c>
      <c r="I11" s="821" t="s">
        <v>98</v>
      </c>
      <c r="J11" s="819">
        <v>0</v>
      </c>
      <c r="K11" s="818" t="s">
        <v>96</v>
      </c>
      <c r="L11" s="1021">
        <v>0.01</v>
      </c>
      <c r="M11" s="820">
        <v>1</v>
      </c>
      <c r="N11" s="813">
        <v>1.23659599190809</v>
      </c>
      <c r="O11" s="1051" t="s">
        <v>276</v>
      </c>
      <c r="P11" s="206"/>
      <c r="Q11" s="378" t="s">
        <v>277</v>
      </c>
      <c r="R11" s="838">
        <v>1</v>
      </c>
      <c r="S11" s="838">
        <v>4</v>
      </c>
      <c r="T11" s="838">
        <v>1</v>
      </c>
      <c r="U11" s="838">
        <v>3</v>
      </c>
      <c r="V11" s="838">
        <v>1</v>
      </c>
      <c r="W11" s="838">
        <v>5</v>
      </c>
      <c r="X11" s="838">
        <v>3</v>
      </c>
      <c r="Y11" s="1090">
        <v>1.05</v>
      </c>
      <c r="Z11" s="1090">
        <v>1.2295911287822301</v>
      </c>
      <c r="AA11" s="1090">
        <v>1.23659599190809</v>
      </c>
      <c r="AB11" s="1090" t="s">
        <v>278</v>
      </c>
      <c r="AC11" s="1091">
        <v>1</v>
      </c>
      <c r="AD11" s="1091">
        <v>1.1000000000000001</v>
      </c>
      <c r="AE11" s="1091">
        <v>1</v>
      </c>
      <c r="AF11" s="1091">
        <v>1.02</v>
      </c>
      <c r="AG11" s="1091">
        <v>1</v>
      </c>
      <c r="AH11" s="1091">
        <v>1.2</v>
      </c>
    </row>
    <row r="12" spans="1:34">
      <c r="A12" s="810">
        <v>268199</v>
      </c>
      <c r="B12" s="1006"/>
      <c r="C12" s="1007"/>
      <c r="D12" s="1081">
        <v>5</v>
      </c>
      <c r="E12" s="1082" t="s">
        <v>98</v>
      </c>
      <c r="F12" s="1092" t="s">
        <v>311</v>
      </c>
      <c r="G12" s="814" t="s">
        <v>93</v>
      </c>
      <c r="H12" s="822" t="s">
        <v>98</v>
      </c>
      <c r="I12" s="822" t="s">
        <v>98</v>
      </c>
      <c r="J12" s="815">
        <v>0</v>
      </c>
      <c r="K12" s="814" t="s">
        <v>96</v>
      </c>
      <c r="L12" s="1084">
        <v>0.01</v>
      </c>
      <c r="M12" s="816">
        <v>1</v>
      </c>
      <c r="N12" s="817">
        <v>1.23659599190809</v>
      </c>
      <c r="O12" s="1096" t="s">
        <v>276</v>
      </c>
      <c r="P12" s="206"/>
      <c r="Q12" s="378" t="s">
        <v>277</v>
      </c>
      <c r="R12" s="1087">
        <v>1</v>
      </c>
      <c r="S12" s="1087">
        <v>4</v>
      </c>
      <c r="T12" s="1087">
        <v>1</v>
      </c>
      <c r="U12" s="1087">
        <v>3</v>
      </c>
      <c r="V12" s="1087">
        <v>1</v>
      </c>
      <c r="W12" s="1087">
        <v>5</v>
      </c>
      <c r="X12" s="1087">
        <v>3</v>
      </c>
      <c r="Y12" s="1088">
        <v>1.05</v>
      </c>
      <c r="Z12" s="1088">
        <v>1.2295911287822301</v>
      </c>
      <c r="AA12" s="1088">
        <v>1.23659599190809</v>
      </c>
      <c r="AB12" s="1088" t="s">
        <v>278</v>
      </c>
      <c r="AC12" s="1089">
        <v>1</v>
      </c>
      <c r="AD12" s="1089">
        <v>1.1000000000000001</v>
      </c>
      <c r="AE12" s="1089">
        <v>1</v>
      </c>
      <c r="AF12" s="1089">
        <v>1.02</v>
      </c>
      <c r="AG12" s="1089">
        <v>1</v>
      </c>
      <c r="AH12" s="1089">
        <v>1.2</v>
      </c>
    </row>
    <row r="13" spans="1:34" s="46" customFormat="1" ht="24" customHeight="1">
      <c r="A13" s="810">
        <v>269447</v>
      </c>
      <c r="B13" s="1006"/>
      <c r="C13" s="1007"/>
      <c r="D13" s="1078">
        <v>5</v>
      </c>
      <c r="E13" s="1079" t="s">
        <v>98</v>
      </c>
      <c r="F13" s="1023" t="s">
        <v>158</v>
      </c>
      <c r="G13" s="818" t="s">
        <v>103</v>
      </c>
      <c r="H13" s="821" t="s">
        <v>98</v>
      </c>
      <c r="I13" s="821" t="s">
        <v>98</v>
      </c>
      <c r="J13" s="819">
        <v>0</v>
      </c>
      <c r="K13" s="818" t="s">
        <v>104</v>
      </c>
      <c r="L13" s="1021">
        <v>2</v>
      </c>
      <c r="M13" s="820">
        <v>1</v>
      </c>
      <c r="N13" s="813">
        <v>1.3000688016831099</v>
      </c>
      <c r="O13" s="1080" t="s">
        <v>283</v>
      </c>
      <c r="P13" s="790"/>
      <c r="Q13" s="378" t="s">
        <v>133</v>
      </c>
      <c r="R13" s="838">
        <v>4</v>
      </c>
      <c r="S13" s="838">
        <v>5</v>
      </c>
      <c r="T13" s="838" t="s">
        <v>106</v>
      </c>
      <c r="U13" s="838" t="s">
        <v>106</v>
      </c>
      <c r="V13" s="838" t="s">
        <v>106</v>
      </c>
      <c r="W13" s="838" t="s">
        <v>106</v>
      </c>
      <c r="X13" s="838">
        <v>1</v>
      </c>
      <c r="Y13" s="1090">
        <v>1.05</v>
      </c>
      <c r="Z13" s="1090">
        <v>1.2941338353151</v>
      </c>
      <c r="AA13" s="1090">
        <v>1.3000688016831099</v>
      </c>
      <c r="AB13" s="1090" t="s">
        <v>274</v>
      </c>
      <c r="AC13" s="1091">
        <v>1.2</v>
      </c>
      <c r="AD13" s="1091">
        <v>1.2</v>
      </c>
      <c r="AE13" s="1091">
        <v>1</v>
      </c>
      <c r="AF13" s="1091">
        <v>1</v>
      </c>
      <c r="AG13" s="1091">
        <v>1</v>
      </c>
      <c r="AH13" s="1091">
        <v>1</v>
      </c>
    </row>
    <row r="14" spans="1:34" s="46" customFormat="1" ht="24" customHeight="1">
      <c r="A14" s="794">
        <v>269603</v>
      </c>
      <c r="B14" s="1064" t="s">
        <v>221</v>
      </c>
      <c r="C14" s="1065"/>
      <c r="D14" s="1117">
        <v>5</v>
      </c>
      <c r="E14" s="1118" t="s">
        <v>98</v>
      </c>
      <c r="F14" s="899" t="s">
        <v>222</v>
      </c>
      <c r="G14" s="900" t="s">
        <v>223</v>
      </c>
      <c r="H14" s="906" t="s">
        <v>98</v>
      </c>
      <c r="I14" s="901" t="s">
        <v>98</v>
      </c>
      <c r="J14" s="902">
        <v>0</v>
      </c>
      <c r="K14" s="900" t="s">
        <v>109</v>
      </c>
      <c r="L14" s="1084">
        <v>0.33</v>
      </c>
      <c r="M14" s="816">
        <v>1</v>
      </c>
      <c r="N14" s="817">
        <v>1.3000688016831099</v>
      </c>
      <c r="O14" s="1111" t="s">
        <v>283</v>
      </c>
      <c r="P14" s="790"/>
      <c r="Q14" s="378" t="s">
        <v>133</v>
      </c>
      <c r="R14" s="1087">
        <v>4</v>
      </c>
      <c r="S14" s="1087">
        <v>5</v>
      </c>
      <c r="T14" s="1087" t="s">
        <v>106</v>
      </c>
      <c r="U14" s="1087" t="s">
        <v>106</v>
      </c>
      <c r="V14" s="1087" t="s">
        <v>106</v>
      </c>
      <c r="W14" s="1087" t="s">
        <v>106</v>
      </c>
      <c r="X14" s="1087">
        <v>2</v>
      </c>
      <c r="Y14" s="1088">
        <v>1.05</v>
      </c>
      <c r="Z14" s="1088">
        <v>1.2941338353151</v>
      </c>
      <c r="AA14" s="1088">
        <v>1.3000688016831099</v>
      </c>
      <c r="AB14" s="1088" t="s">
        <v>274</v>
      </c>
      <c r="AC14" s="1089">
        <v>1.2</v>
      </c>
      <c r="AD14" s="1089">
        <v>1.2</v>
      </c>
      <c r="AE14" s="1089">
        <v>1</v>
      </c>
      <c r="AF14" s="1089">
        <v>1</v>
      </c>
      <c r="AG14" s="1089">
        <v>1</v>
      </c>
      <c r="AH14" s="1089">
        <v>1</v>
      </c>
    </row>
    <row r="15" spans="1:34" s="46" customFormat="1">
      <c r="A15" s="810">
        <v>269641</v>
      </c>
      <c r="B15" s="1006"/>
      <c r="C15" s="1007"/>
      <c r="D15" s="1078">
        <v>5</v>
      </c>
      <c r="E15" s="1079" t="s">
        <v>98</v>
      </c>
      <c r="F15" s="1023" t="s">
        <v>114</v>
      </c>
      <c r="G15" s="818" t="s">
        <v>93</v>
      </c>
      <c r="H15" s="821" t="s">
        <v>98</v>
      </c>
      <c r="I15" s="821" t="s">
        <v>98</v>
      </c>
      <c r="J15" s="819">
        <v>0</v>
      </c>
      <c r="K15" s="818" t="s">
        <v>115</v>
      </c>
      <c r="L15" s="1021">
        <v>0.39279799999999998</v>
      </c>
      <c r="M15" s="820">
        <v>1</v>
      </c>
      <c r="N15" s="813">
        <v>2.09499413010681</v>
      </c>
      <c r="O15" s="1080" t="s">
        <v>273</v>
      </c>
      <c r="P15" s="790"/>
      <c r="Q15" s="378" t="s">
        <v>116</v>
      </c>
      <c r="R15" s="838">
        <v>4</v>
      </c>
      <c r="S15" s="838">
        <v>5</v>
      </c>
      <c r="T15" s="838" t="s">
        <v>106</v>
      </c>
      <c r="U15" s="838" t="s">
        <v>106</v>
      </c>
      <c r="V15" s="838" t="s">
        <v>106</v>
      </c>
      <c r="W15" s="838" t="s">
        <v>106</v>
      </c>
      <c r="X15" s="838">
        <v>5</v>
      </c>
      <c r="Y15" s="1090">
        <v>2</v>
      </c>
      <c r="Z15" s="1090">
        <v>1.2941338353151</v>
      </c>
      <c r="AA15" s="1090">
        <v>2.09499413010681</v>
      </c>
      <c r="AB15" s="1090" t="s">
        <v>274</v>
      </c>
      <c r="AC15" s="1091">
        <v>1.2</v>
      </c>
      <c r="AD15" s="1091">
        <v>1.2</v>
      </c>
      <c r="AE15" s="1091">
        <v>1</v>
      </c>
      <c r="AF15" s="1091">
        <v>1</v>
      </c>
      <c r="AG15" s="1091">
        <v>1</v>
      </c>
      <c r="AH15" s="1091">
        <v>1</v>
      </c>
    </row>
    <row r="16" spans="1:34" s="46" customFormat="1">
      <c r="A16" s="810">
        <v>160371</v>
      </c>
      <c r="B16" s="1006"/>
      <c r="C16" s="1007"/>
      <c r="D16" s="1109">
        <v>5</v>
      </c>
      <c r="E16" s="1110" t="s">
        <v>98</v>
      </c>
      <c r="F16" s="1092" t="s">
        <v>117</v>
      </c>
      <c r="G16" s="814" t="s">
        <v>93</v>
      </c>
      <c r="H16" s="822" t="s">
        <v>98</v>
      </c>
      <c r="I16" s="822" t="s">
        <v>98</v>
      </c>
      <c r="J16" s="815">
        <v>0</v>
      </c>
      <c r="K16" s="814" t="s">
        <v>115</v>
      </c>
      <c r="L16" s="1084">
        <v>1.198788</v>
      </c>
      <c r="M16" s="816">
        <v>1</v>
      </c>
      <c r="N16" s="817">
        <v>2.09499413010681</v>
      </c>
      <c r="O16" s="1111" t="s">
        <v>273</v>
      </c>
      <c r="P16" s="790"/>
      <c r="Q16" s="378" t="s">
        <v>116</v>
      </c>
      <c r="R16" s="1087">
        <v>4</v>
      </c>
      <c r="S16" s="1087">
        <v>5</v>
      </c>
      <c r="T16" s="1087" t="s">
        <v>106</v>
      </c>
      <c r="U16" s="1087" t="s">
        <v>106</v>
      </c>
      <c r="V16" s="1087" t="s">
        <v>106</v>
      </c>
      <c r="W16" s="1087" t="s">
        <v>106</v>
      </c>
      <c r="X16" s="1087">
        <v>5</v>
      </c>
      <c r="Y16" s="1088">
        <v>2</v>
      </c>
      <c r="Z16" s="1088">
        <v>1.2941338353151</v>
      </c>
      <c r="AA16" s="1088">
        <v>2.09499413010681</v>
      </c>
      <c r="AB16" s="1088" t="s">
        <v>274</v>
      </c>
      <c r="AC16" s="1089">
        <v>1.2</v>
      </c>
      <c r="AD16" s="1089">
        <v>1.2</v>
      </c>
      <c r="AE16" s="1089">
        <v>1</v>
      </c>
      <c r="AF16" s="1089">
        <v>1</v>
      </c>
      <c r="AG16" s="1089">
        <v>1</v>
      </c>
      <c r="AH16" s="1089">
        <v>1</v>
      </c>
    </row>
    <row r="17" spans="1:34" s="46" customFormat="1" ht="24" customHeight="1">
      <c r="A17" s="810">
        <v>269525</v>
      </c>
      <c r="B17" s="1006"/>
      <c r="C17" s="1007"/>
      <c r="D17" s="1078">
        <v>5</v>
      </c>
      <c r="E17" s="1079" t="s">
        <v>98</v>
      </c>
      <c r="F17" s="1023" t="s">
        <v>111</v>
      </c>
      <c r="G17" s="818" t="s">
        <v>93</v>
      </c>
      <c r="H17" s="821" t="s">
        <v>98</v>
      </c>
      <c r="I17" s="821" t="s">
        <v>98</v>
      </c>
      <c r="J17" s="819">
        <v>1</v>
      </c>
      <c r="K17" s="818" t="s">
        <v>112</v>
      </c>
      <c r="L17" s="1021">
        <v>4.0000000000000001E-10</v>
      </c>
      <c r="M17" s="820">
        <v>1</v>
      </c>
      <c r="N17" s="813">
        <v>3.0909055800049701</v>
      </c>
      <c r="O17" s="1080" t="s">
        <v>283</v>
      </c>
      <c r="P17" s="790"/>
      <c r="Q17" s="378" t="s">
        <v>133</v>
      </c>
      <c r="R17" s="838">
        <v>4</v>
      </c>
      <c r="S17" s="838">
        <v>5</v>
      </c>
      <c r="T17" s="838" t="s">
        <v>106</v>
      </c>
      <c r="U17" s="838" t="s">
        <v>106</v>
      </c>
      <c r="V17" s="838" t="s">
        <v>106</v>
      </c>
      <c r="W17" s="838" t="s">
        <v>106</v>
      </c>
      <c r="X17" s="838">
        <v>9</v>
      </c>
      <c r="Y17" s="1090">
        <v>3</v>
      </c>
      <c r="Z17" s="1090">
        <v>1.2941338353151</v>
      </c>
      <c r="AA17" s="1090">
        <v>3.0909055800049701</v>
      </c>
      <c r="AB17" s="1090" t="s">
        <v>274</v>
      </c>
      <c r="AC17" s="1091">
        <v>1.2</v>
      </c>
      <c r="AD17" s="1091">
        <v>1.2</v>
      </c>
      <c r="AE17" s="1091">
        <v>1</v>
      </c>
      <c r="AF17" s="1091">
        <v>1</v>
      </c>
      <c r="AG17" s="1091">
        <v>1</v>
      </c>
      <c r="AH17" s="1091">
        <v>1</v>
      </c>
    </row>
    <row r="18" spans="1:34" s="46" customFormat="1" ht="24" customHeight="1">
      <c r="A18" s="810">
        <v>29019</v>
      </c>
      <c r="B18" s="1006"/>
      <c r="C18" s="1007"/>
      <c r="D18" s="1114">
        <v>4</v>
      </c>
      <c r="E18" s="1110" t="s">
        <v>98</v>
      </c>
      <c r="F18" s="1092" t="s">
        <v>130</v>
      </c>
      <c r="G18" s="814" t="s">
        <v>98</v>
      </c>
      <c r="H18" s="822" t="s">
        <v>131</v>
      </c>
      <c r="I18" s="822" t="s">
        <v>132</v>
      </c>
      <c r="J18" s="815" t="s">
        <v>98</v>
      </c>
      <c r="K18" s="814" t="s">
        <v>119</v>
      </c>
      <c r="L18" s="1084">
        <v>2.4E-2</v>
      </c>
      <c r="M18" s="816">
        <v>1</v>
      </c>
      <c r="N18" s="817">
        <v>1.3000688016831099</v>
      </c>
      <c r="O18" s="1111" t="s">
        <v>283</v>
      </c>
      <c r="P18" s="790"/>
      <c r="Q18" s="378" t="s">
        <v>133</v>
      </c>
      <c r="R18" s="1087">
        <v>4</v>
      </c>
      <c r="S18" s="1087">
        <v>5</v>
      </c>
      <c r="T18" s="1087" t="s">
        <v>106</v>
      </c>
      <c r="U18" s="1087" t="s">
        <v>106</v>
      </c>
      <c r="V18" s="1087" t="s">
        <v>106</v>
      </c>
      <c r="W18" s="1087" t="s">
        <v>106</v>
      </c>
      <c r="X18" s="1087">
        <v>12</v>
      </c>
      <c r="Y18" s="1088">
        <v>1.05</v>
      </c>
      <c r="Z18" s="1088">
        <v>1.2941338353151</v>
      </c>
      <c r="AA18" s="1088">
        <v>1.3000688016831099</v>
      </c>
      <c r="AB18" s="1088" t="s">
        <v>274</v>
      </c>
      <c r="AC18" s="1089">
        <v>1.2</v>
      </c>
      <c r="AD18" s="1089">
        <v>1.2</v>
      </c>
      <c r="AE18" s="1089">
        <v>1</v>
      </c>
      <c r="AF18" s="1089">
        <v>1</v>
      </c>
      <c r="AG18" s="1089">
        <v>1</v>
      </c>
      <c r="AH18" s="1089">
        <v>1</v>
      </c>
    </row>
    <row r="19" spans="1:34" s="46" customFormat="1" ht="24" customHeight="1">
      <c r="A19" s="810">
        <v>21844</v>
      </c>
      <c r="B19" s="1006" t="s">
        <v>287</v>
      </c>
      <c r="C19" s="1007"/>
      <c r="D19" s="1115" t="s">
        <v>98</v>
      </c>
      <c r="E19" s="1079">
        <v>4</v>
      </c>
      <c r="F19" s="1023" t="s">
        <v>121</v>
      </c>
      <c r="G19" s="818" t="s">
        <v>98</v>
      </c>
      <c r="H19" s="821" t="s">
        <v>122</v>
      </c>
      <c r="I19" s="821" t="s">
        <v>123</v>
      </c>
      <c r="J19" s="819" t="s">
        <v>98</v>
      </c>
      <c r="K19" s="818" t="s">
        <v>104</v>
      </c>
      <c r="L19" s="1021">
        <v>1.1879999999999999</v>
      </c>
      <c r="M19" s="820">
        <v>1</v>
      </c>
      <c r="N19" s="813">
        <v>1.3000688016831099</v>
      </c>
      <c r="O19" s="1080" t="s">
        <v>288</v>
      </c>
      <c r="P19" s="790"/>
      <c r="Q19" s="378" t="s">
        <v>124</v>
      </c>
      <c r="R19" s="838">
        <v>4</v>
      </c>
      <c r="S19" s="838">
        <v>5</v>
      </c>
      <c r="T19" s="838" t="s">
        <v>106</v>
      </c>
      <c r="U19" s="838" t="s">
        <v>106</v>
      </c>
      <c r="V19" s="838" t="s">
        <v>106</v>
      </c>
      <c r="W19" s="838" t="s">
        <v>106</v>
      </c>
      <c r="X19" s="838">
        <v>13</v>
      </c>
      <c r="Y19" s="1090">
        <v>1.05</v>
      </c>
      <c r="Z19" s="1090">
        <v>1.2941338353151</v>
      </c>
      <c r="AA19" s="1090">
        <v>1.3000688016831099</v>
      </c>
      <c r="AB19" s="1090" t="s">
        <v>274</v>
      </c>
      <c r="AC19" s="1091">
        <v>1.2</v>
      </c>
      <c r="AD19" s="1091">
        <v>1.2</v>
      </c>
      <c r="AE19" s="1091">
        <v>1</v>
      </c>
      <c r="AF19" s="1091">
        <v>1</v>
      </c>
      <c r="AG19" s="1091">
        <v>1</v>
      </c>
      <c r="AH19" s="1091">
        <v>1</v>
      </c>
    </row>
    <row r="20" spans="1:34" s="46" customFormat="1" ht="24" customHeight="1">
      <c r="A20" s="810">
        <v>90275</v>
      </c>
      <c r="B20" s="1006"/>
      <c r="C20" s="1007"/>
      <c r="D20" s="1114" t="s">
        <v>98</v>
      </c>
      <c r="E20" s="1110">
        <v>4</v>
      </c>
      <c r="F20" s="1092" t="s">
        <v>259</v>
      </c>
      <c r="G20" s="814" t="s">
        <v>98</v>
      </c>
      <c r="H20" s="822" t="s">
        <v>122</v>
      </c>
      <c r="I20" s="822" t="s">
        <v>123</v>
      </c>
      <c r="J20" s="815" t="s">
        <v>98</v>
      </c>
      <c r="K20" s="814" t="s">
        <v>96</v>
      </c>
      <c r="L20" s="1084">
        <v>1.5333545065304901E-3</v>
      </c>
      <c r="M20" s="816">
        <v>1</v>
      </c>
      <c r="N20" s="817">
        <v>1.3000688016831099</v>
      </c>
      <c r="O20" s="1111" t="s">
        <v>289</v>
      </c>
      <c r="P20" s="790"/>
      <c r="Q20" s="378" t="s">
        <v>290</v>
      </c>
      <c r="R20" s="1087">
        <v>4</v>
      </c>
      <c r="S20" s="1087">
        <v>5</v>
      </c>
      <c r="T20" s="1087" t="s">
        <v>106</v>
      </c>
      <c r="U20" s="1087" t="s">
        <v>106</v>
      </c>
      <c r="V20" s="1087" t="s">
        <v>106</v>
      </c>
      <c r="W20" s="1087" t="s">
        <v>106</v>
      </c>
      <c r="X20" s="1087">
        <v>14</v>
      </c>
      <c r="Y20" s="1088">
        <v>1.05</v>
      </c>
      <c r="Z20" s="1088">
        <v>1.2941338353151</v>
      </c>
      <c r="AA20" s="1088">
        <v>1.3000688016831099</v>
      </c>
      <c r="AB20" s="1088" t="s">
        <v>274</v>
      </c>
      <c r="AC20" s="1089">
        <v>1.2</v>
      </c>
      <c r="AD20" s="1089">
        <v>1.2</v>
      </c>
      <c r="AE20" s="1089">
        <v>1</v>
      </c>
      <c r="AF20" s="1089">
        <v>1</v>
      </c>
      <c r="AG20" s="1089">
        <v>1</v>
      </c>
      <c r="AH20" s="1089">
        <v>1</v>
      </c>
    </row>
    <row r="21" spans="1:34" s="46" customFormat="1" ht="24" customHeight="1">
      <c r="A21" s="810" t="s">
        <v>292</v>
      </c>
      <c r="B21" s="1006" t="s">
        <v>189</v>
      </c>
      <c r="C21" s="1007"/>
      <c r="D21" s="1115">
        <v>4</v>
      </c>
      <c r="E21" s="1079" t="s">
        <v>98</v>
      </c>
      <c r="F21" s="1023" t="s">
        <v>293</v>
      </c>
      <c r="G21" s="818" t="s">
        <v>98</v>
      </c>
      <c r="H21" s="821" t="s">
        <v>191</v>
      </c>
      <c r="I21" s="821" t="s">
        <v>192</v>
      </c>
      <c r="J21" s="819" t="s">
        <v>98</v>
      </c>
      <c r="K21" s="818" t="s">
        <v>96</v>
      </c>
      <c r="L21" s="1021">
        <v>4.7240604098466596E-3</v>
      </c>
      <c r="M21" s="820">
        <v>1</v>
      </c>
      <c r="N21" s="813">
        <v>1.61688937821414</v>
      </c>
      <c r="O21" s="1080" t="s">
        <v>294</v>
      </c>
      <c r="P21" s="790"/>
      <c r="Q21" s="378" t="s">
        <v>295</v>
      </c>
      <c r="R21" s="838">
        <v>4</v>
      </c>
      <c r="S21" s="838">
        <v>5</v>
      </c>
      <c r="T21" s="838" t="s">
        <v>106</v>
      </c>
      <c r="U21" s="838" t="s">
        <v>106</v>
      </c>
      <c r="V21" s="838" t="s">
        <v>106</v>
      </c>
      <c r="W21" s="838" t="s">
        <v>106</v>
      </c>
      <c r="X21" s="838">
        <v>32</v>
      </c>
      <c r="Y21" s="1090">
        <v>1.5</v>
      </c>
      <c r="Z21" s="1090">
        <v>1.2941338353151</v>
      </c>
      <c r="AA21" s="1090">
        <v>1.61688937821414</v>
      </c>
      <c r="AB21" s="1090" t="s">
        <v>274</v>
      </c>
      <c r="AC21" s="1091">
        <v>1.2</v>
      </c>
      <c r="AD21" s="1091">
        <v>1.2</v>
      </c>
      <c r="AE21" s="1091">
        <v>1</v>
      </c>
      <c r="AF21" s="1091">
        <v>1</v>
      </c>
      <c r="AG21" s="1091">
        <v>1</v>
      </c>
      <c r="AH21" s="1091">
        <v>1</v>
      </c>
    </row>
    <row r="22" spans="1:34" s="46" customFormat="1" ht="24" customHeight="1">
      <c r="A22" s="810">
        <v>68218</v>
      </c>
      <c r="B22" s="1006"/>
      <c r="C22" s="1007"/>
      <c r="D22" s="1114">
        <v>4</v>
      </c>
      <c r="E22" s="1110" t="s">
        <v>98</v>
      </c>
      <c r="F22" s="1092" t="s">
        <v>296</v>
      </c>
      <c r="G22" s="814" t="s">
        <v>98</v>
      </c>
      <c r="H22" s="822" t="s">
        <v>191</v>
      </c>
      <c r="I22" s="822" t="s">
        <v>192</v>
      </c>
      <c r="J22" s="815" t="s">
        <v>98</v>
      </c>
      <c r="K22" s="814" t="s">
        <v>96</v>
      </c>
      <c r="L22" s="1084">
        <v>6.2533392574552499E-3</v>
      </c>
      <c r="M22" s="816">
        <v>1</v>
      </c>
      <c r="N22" s="817">
        <v>1.61688937821414</v>
      </c>
      <c r="O22" s="1111" t="s">
        <v>294</v>
      </c>
      <c r="P22" s="790"/>
      <c r="Q22" s="378" t="s">
        <v>295</v>
      </c>
      <c r="R22" s="1087">
        <v>4</v>
      </c>
      <c r="S22" s="1087">
        <v>5</v>
      </c>
      <c r="T22" s="1087" t="s">
        <v>106</v>
      </c>
      <c r="U22" s="1087" t="s">
        <v>106</v>
      </c>
      <c r="V22" s="1087" t="s">
        <v>106</v>
      </c>
      <c r="W22" s="1087" t="s">
        <v>106</v>
      </c>
      <c r="X22" s="1087">
        <v>32</v>
      </c>
      <c r="Y22" s="1088">
        <v>1.5</v>
      </c>
      <c r="Z22" s="1088">
        <v>1.2941338353151</v>
      </c>
      <c r="AA22" s="1088">
        <v>1.61688937821414</v>
      </c>
      <c r="AB22" s="1088" t="s">
        <v>274</v>
      </c>
      <c r="AC22" s="1089">
        <v>1.2</v>
      </c>
      <c r="AD22" s="1089">
        <v>1.2</v>
      </c>
      <c r="AE22" s="1089">
        <v>1</v>
      </c>
      <c r="AF22" s="1089">
        <v>1</v>
      </c>
      <c r="AG22" s="1089">
        <v>1</v>
      </c>
      <c r="AH22" s="1089">
        <v>1</v>
      </c>
    </row>
    <row r="23" spans="1:34" s="46" customFormat="1" ht="24" customHeight="1">
      <c r="A23" s="810">
        <v>13296</v>
      </c>
      <c r="B23" s="1006"/>
      <c r="C23" s="1007"/>
      <c r="D23" s="1115">
        <v>4</v>
      </c>
      <c r="E23" s="1079" t="s">
        <v>98</v>
      </c>
      <c r="F23" s="1023" t="s">
        <v>297</v>
      </c>
      <c r="G23" s="818" t="s">
        <v>98</v>
      </c>
      <c r="H23" s="821" t="s">
        <v>191</v>
      </c>
      <c r="I23" s="821" t="s">
        <v>192</v>
      </c>
      <c r="J23" s="819" t="s">
        <v>98</v>
      </c>
      <c r="K23" s="818" t="s">
        <v>96</v>
      </c>
      <c r="L23" s="1021">
        <v>6.2533392574552499E-3</v>
      </c>
      <c r="M23" s="820">
        <v>1</v>
      </c>
      <c r="N23" s="813">
        <v>1.61688937821414</v>
      </c>
      <c r="O23" s="1080" t="s">
        <v>294</v>
      </c>
      <c r="P23" s="790"/>
      <c r="Q23" s="378" t="s">
        <v>295</v>
      </c>
      <c r="R23" s="838">
        <v>4</v>
      </c>
      <c r="S23" s="838">
        <v>5</v>
      </c>
      <c r="T23" s="838" t="s">
        <v>106</v>
      </c>
      <c r="U23" s="838" t="s">
        <v>106</v>
      </c>
      <c r="V23" s="838" t="s">
        <v>106</v>
      </c>
      <c r="W23" s="838" t="s">
        <v>106</v>
      </c>
      <c r="X23" s="838">
        <v>32</v>
      </c>
      <c r="Y23" s="1090">
        <v>1.5</v>
      </c>
      <c r="Z23" s="1090">
        <v>1.2941338353151</v>
      </c>
      <c r="AA23" s="1090">
        <v>1.61688937821414</v>
      </c>
      <c r="AB23" s="1090" t="s">
        <v>274</v>
      </c>
      <c r="AC23" s="1091">
        <v>1.2</v>
      </c>
      <c r="AD23" s="1091">
        <v>1.2</v>
      </c>
      <c r="AE23" s="1091">
        <v>1</v>
      </c>
      <c r="AF23" s="1091">
        <v>1</v>
      </c>
      <c r="AG23" s="1091">
        <v>1</v>
      </c>
      <c r="AH23" s="1091">
        <v>1</v>
      </c>
    </row>
    <row r="24" spans="1:34" s="46" customFormat="1" ht="24" customHeight="1">
      <c r="A24" s="810">
        <v>2278</v>
      </c>
      <c r="B24" s="1006"/>
      <c r="C24" s="1007"/>
      <c r="D24" s="1114">
        <v>4</v>
      </c>
      <c r="E24" s="1110" t="s">
        <v>98</v>
      </c>
      <c r="F24" s="1092" t="s">
        <v>298</v>
      </c>
      <c r="G24" s="814" t="s">
        <v>98</v>
      </c>
      <c r="H24" s="822" t="s">
        <v>191</v>
      </c>
      <c r="I24" s="822" t="s">
        <v>192</v>
      </c>
      <c r="J24" s="815" t="s">
        <v>98</v>
      </c>
      <c r="K24" s="814" t="s">
        <v>96</v>
      </c>
      <c r="L24" s="1084">
        <v>4.7240604098466596E-3</v>
      </c>
      <c r="M24" s="816">
        <v>1</v>
      </c>
      <c r="N24" s="817">
        <v>1.61688937821414</v>
      </c>
      <c r="O24" s="1111" t="s">
        <v>294</v>
      </c>
      <c r="P24" s="790"/>
      <c r="Q24" s="378" t="s">
        <v>295</v>
      </c>
      <c r="R24" s="1087">
        <v>4</v>
      </c>
      <c r="S24" s="1087">
        <v>5</v>
      </c>
      <c r="T24" s="1087" t="s">
        <v>106</v>
      </c>
      <c r="U24" s="1087" t="s">
        <v>106</v>
      </c>
      <c r="V24" s="1087" t="s">
        <v>106</v>
      </c>
      <c r="W24" s="1087" t="s">
        <v>106</v>
      </c>
      <c r="X24" s="1087">
        <v>32</v>
      </c>
      <c r="Y24" s="1088">
        <v>1.5</v>
      </c>
      <c r="Z24" s="1088">
        <v>1.2941338353151</v>
      </c>
      <c r="AA24" s="1088">
        <v>1.61688937821414</v>
      </c>
      <c r="AB24" s="1088" t="s">
        <v>274</v>
      </c>
      <c r="AC24" s="1089">
        <v>1.2</v>
      </c>
      <c r="AD24" s="1089">
        <v>1.2</v>
      </c>
      <c r="AE24" s="1089">
        <v>1</v>
      </c>
      <c r="AF24" s="1089">
        <v>1</v>
      </c>
      <c r="AG24" s="1089">
        <v>1</v>
      </c>
      <c r="AH24" s="1089">
        <v>1</v>
      </c>
    </row>
    <row r="25" spans="1:34" s="46" customFormat="1" ht="24" customHeight="1">
      <c r="A25" s="810">
        <v>53354</v>
      </c>
      <c r="B25" s="1006"/>
      <c r="C25" s="1007"/>
      <c r="D25" s="1115">
        <v>4</v>
      </c>
      <c r="E25" s="1079" t="s">
        <v>98</v>
      </c>
      <c r="F25" s="1023" t="s">
        <v>299</v>
      </c>
      <c r="G25" s="818" t="s">
        <v>98</v>
      </c>
      <c r="H25" s="821" t="s">
        <v>191</v>
      </c>
      <c r="I25" s="821" t="s">
        <v>192</v>
      </c>
      <c r="J25" s="819" t="s">
        <v>98</v>
      </c>
      <c r="K25" s="818" t="s">
        <v>96</v>
      </c>
      <c r="L25" s="1021">
        <v>1.9829800000000001E-3</v>
      </c>
      <c r="M25" s="820">
        <v>1</v>
      </c>
      <c r="N25" s="813">
        <v>1.61688937821414</v>
      </c>
      <c r="O25" s="1080" t="s">
        <v>294</v>
      </c>
      <c r="P25" s="790"/>
      <c r="Q25" s="378" t="s">
        <v>295</v>
      </c>
      <c r="R25" s="838">
        <v>4</v>
      </c>
      <c r="S25" s="838">
        <v>5</v>
      </c>
      <c r="T25" s="838" t="s">
        <v>106</v>
      </c>
      <c r="U25" s="838" t="s">
        <v>106</v>
      </c>
      <c r="V25" s="838" t="s">
        <v>106</v>
      </c>
      <c r="W25" s="838" t="s">
        <v>106</v>
      </c>
      <c r="X25" s="838">
        <v>32</v>
      </c>
      <c r="Y25" s="1090">
        <v>1.5</v>
      </c>
      <c r="Z25" s="1090">
        <v>1.2941338353151</v>
      </c>
      <c r="AA25" s="1090">
        <v>1.61688937821414</v>
      </c>
      <c r="AB25" s="1090" t="s">
        <v>274</v>
      </c>
      <c r="AC25" s="1091">
        <v>1.2</v>
      </c>
      <c r="AD25" s="1091">
        <v>1.2</v>
      </c>
      <c r="AE25" s="1091">
        <v>1</v>
      </c>
      <c r="AF25" s="1091">
        <v>1</v>
      </c>
      <c r="AG25" s="1091">
        <v>1</v>
      </c>
      <c r="AH25" s="1091">
        <v>1</v>
      </c>
    </row>
    <row r="26" spans="1:34" s="46" customFormat="1" ht="24" customHeight="1">
      <c r="A26" s="810">
        <v>30529</v>
      </c>
      <c r="B26" s="1006"/>
      <c r="C26" s="1007"/>
      <c r="D26" s="1114">
        <v>4</v>
      </c>
      <c r="E26" s="1110" t="s">
        <v>98</v>
      </c>
      <c r="F26" s="1092" t="s">
        <v>312</v>
      </c>
      <c r="G26" s="814" t="s">
        <v>98</v>
      </c>
      <c r="H26" s="822" t="s">
        <v>191</v>
      </c>
      <c r="I26" s="822" t="s">
        <v>192</v>
      </c>
      <c r="J26" s="815" t="s">
        <v>98</v>
      </c>
      <c r="K26" s="814" t="s">
        <v>96</v>
      </c>
      <c r="L26" s="1084">
        <v>5.0000000000000004E-6</v>
      </c>
      <c r="M26" s="816">
        <v>1</v>
      </c>
      <c r="N26" s="817">
        <v>3.0909055800049701</v>
      </c>
      <c r="O26" s="1111" t="s">
        <v>294</v>
      </c>
      <c r="P26" s="790"/>
      <c r="Q26" s="378" t="s">
        <v>295</v>
      </c>
      <c r="R26" s="1087">
        <v>4</v>
      </c>
      <c r="S26" s="1087">
        <v>5</v>
      </c>
      <c r="T26" s="1087" t="s">
        <v>106</v>
      </c>
      <c r="U26" s="1087" t="s">
        <v>106</v>
      </c>
      <c r="V26" s="1087" t="s">
        <v>106</v>
      </c>
      <c r="W26" s="1087" t="s">
        <v>106</v>
      </c>
      <c r="X26" s="1087">
        <v>34</v>
      </c>
      <c r="Y26" s="1088">
        <v>3</v>
      </c>
      <c r="Z26" s="1088">
        <v>1.2941338353151</v>
      </c>
      <c r="AA26" s="1088">
        <v>3.0909055800049701</v>
      </c>
      <c r="AB26" s="1088" t="s">
        <v>274</v>
      </c>
      <c r="AC26" s="1089">
        <v>1.2</v>
      </c>
      <c r="AD26" s="1089">
        <v>1.2</v>
      </c>
      <c r="AE26" s="1089">
        <v>1</v>
      </c>
      <c r="AF26" s="1089">
        <v>1</v>
      </c>
      <c r="AG26" s="1089">
        <v>1</v>
      </c>
      <c r="AH26" s="1089">
        <v>1</v>
      </c>
    </row>
    <row r="27" spans="1:34">
      <c r="A27" s="810"/>
      <c r="B27" s="982"/>
      <c r="C27" s="983"/>
      <c r="D27" s="981"/>
      <c r="E27" s="981"/>
      <c r="F27" s="981" t="s">
        <v>313</v>
      </c>
      <c r="G27" s="1119">
        <v>0.99</v>
      </c>
      <c r="H27" s="981"/>
      <c r="I27" s="981"/>
      <c r="J27" s="981"/>
      <c r="K27" s="981"/>
      <c r="L27" s="981"/>
      <c r="M27" s="896"/>
      <c r="N27" s="896"/>
      <c r="O27" s="896"/>
      <c r="P27" s="116"/>
      <c r="Q27" s="407"/>
      <c r="R27" s="1122"/>
      <c r="S27" s="1122"/>
      <c r="T27" s="1122"/>
      <c r="U27" s="1122"/>
      <c r="V27" s="1122"/>
      <c r="W27" s="1122"/>
      <c r="X27" s="1122"/>
      <c r="Y27" s="1091"/>
      <c r="Z27" s="1091"/>
      <c r="AA27" s="1091"/>
      <c r="AB27" s="981"/>
      <c r="AC27" s="1091"/>
      <c r="AD27" s="1091"/>
      <c r="AE27" s="1091"/>
      <c r="AF27" s="1091"/>
      <c r="AG27" s="1091"/>
      <c r="AH27" s="1091"/>
    </row>
    <row r="28" spans="1:34">
      <c r="A28" s="810">
        <v>30529</v>
      </c>
      <c r="B28" s="982"/>
      <c r="C28" s="983"/>
      <c r="D28" s="1120"/>
      <c r="E28" s="1120"/>
      <c r="F28" s="1120"/>
      <c r="G28" s="1120"/>
      <c r="H28" s="1120"/>
      <c r="I28" s="1120"/>
      <c r="J28" s="1120"/>
      <c r="K28" s="1120"/>
      <c r="L28" s="1120"/>
      <c r="M28" s="1121"/>
      <c r="N28" s="1121"/>
      <c r="O28" s="1121"/>
      <c r="P28" s="116"/>
      <c r="Q28" s="407"/>
      <c r="R28" s="1123"/>
      <c r="S28" s="1123"/>
      <c r="T28" s="1123"/>
      <c r="U28" s="1123"/>
      <c r="V28" s="1123"/>
      <c r="W28" s="1123"/>
      <c r="X28" s="1123"/>
      <c r="Y28" s="1089"/>
      <c r="Z28" s="1089"/>
      <c r="AA28" s="1089"/>
      <c r="AB28" s="1120"/>
      <c r="AC28" s="1089"/>
      <c r="AD28" s="1089"/>
      <c r="AE28" s="1089"/>
      <c r="AF28" s="1089"/>
      <c r="AG28" s="1089"/>
      <c r="AH28" s="1089"/>
    </row>
  </sheetData>
  <mergeCells count="1">
    <mergeCell ref="R1:W1"/>
  </mergeCells>
  <dataValidations count="28">
    <dataValidation allowBlank="1" showInputMessage="1" showErrorMessage="1" prompt="always 1" sqref="L7 L65543 L131079 L196615 L262151 L327687 L393223 L458759 L524295 L589831 L655367 L720903 L786439 L851975 L917511 L983047 JI7 JI65543 JI131079 JI196615 JI262151 JI327687 JI393223 JI458759 JI524295 JI589831 JI655367 JI720903 JI786439 JI851975 JI917511 JI983047 TE7 TE65543 TE131079 TE196615 TE262151 TE327687 TE393223 TE458759 TE524295 TE589831 TE655367 TE720903 TE786439 TE851975 TE917511 TE983047 ADA7 ADA65543 ADA131079 ADA196615 ADA262151 ADA327687 ADA393223 ADA458759 ADA524295 ADA589831 ADA655367 ADA720903 ADA786439 ADA851975 ADA917511 ADA983047 AMW7 AMW65543 AMW131079 AMW196615 AMW262151 AMW327687 AMW393223 AMW458759 AMW524295 AMW589831 AMW655367 AMW720903 AMW786439 AMW851975 AMW917511 AMW983047 AWS7 AWS65543 AWS131079 AWS196615 AWS262151 AWS327687 AWS393223 AWS458759 AWS524295 AWS589831 AWS655367 AWS720903 AWS786439 AWS851975 AWS917511 AWS983047 BGO7 BGO65543 BGO131079 BGO196615 BGO262151 BGO327687 BGO393223 BGO458759 BGO524295 BGO589831 BGO655367 BGO720903 BGO786439 BGO851975 BGO917511 BGO983047 BQK7 BQK65543 BQK131079 BQK196615 BQK262151 BQK327687 BQK393223 BQK458759 BQK524295 BQK589831 BQK655367 BQK720903 BQK786439 BQK851975 BQK917511 BQK983047 CAG7 CAG65543 CAG131079 CAG196615 CAG262151 CAG327687 CAG393223 CAG458759 CAG524295 CAG589831 CAG655367 CAG720903 CAG786439 CAG851975 CAG917511 CAG983047 CKC7 CKC65543 CKC131079 CKC196615 CKC262151 CKC327687 CKC393223 CKC458759 CKC524295 CKC589831 CKC655367 CKC720903 CKC786439 CKC851975 CKC917511 CKC983047 CTY7 CTY65543 CTY131079 CTY196615 CTY262151 CTY327687 CTY393223 CTY458759 CTY524295 CTY589831 CTY655367 CTY720903 CTY786439 CTY851975 CTY917511 CTY983047 DDU7 DDU65543 DDU131079 DDU196615 DDU262151 DDU327687 DDU393223 DDU458759 DDU524295 DDU589831 DDU655367 DDU720903 DDU786439 DDU851975 DDU917511 DDU983047 DNQ7 DNQ65543 DNQ131079 DNQ196615 DNQ262151 DNQ327687 DNQ393223 DNQ458759 DNQ524295 DNQ589831 DNQ655367 DNQ720903 DNQ786439 DNQ851975 DNQ917511 DNQ983047 DXM7 DXM65543 DXM131079 DXM196615 DXM262151 DXM327687 DXM393223 DXM458759 DXM524295 DXM589831 DXM655367 DXM720903 DXM786439 DXM851975 DXM917511 DXM983047 EHI7 EHI65543 EHI131079 EHI196615 EHI262151 EHI327687 EHI393223 EHI458759 EHI524295 EHI589831 EHI655367 EHI720903 EHI786439 EHI851975 EHI917511 EHI983047 ERE7 ERE65543 ERE131079 ERE196615 ERE262151 ERE327687 ERE393223 ERE458759 ERE524295 ERE589831 ERE655367 ERE720903 ERE786439 ERE851975 ERE917511 ERE983047 FBA7 FBA65543 FBA131079 FBA196615 FBA262151 FBA327687 FBA393223 FBA458759 FBA524295 FBA589831 FBA655367 FBA720903 FBA786439 FBA851975 FBA917511 FBA983047 FKW7 FKW65543 FKW131079 FKW196615 FKW262151 FKW327687 FKW393223 FKW458759 FKW524295 FKW589831 FKW655367 FKW720903 FKW786439 FKW851975 FKW917511 FKW983047 FUS7 FUS65543 FUS131079 FUS196615 FUS262151 FUS327687 FUS393223 FUS458759 FUS524295 FUS589831 FUS655367 FUS720903 FUS786439 FUS851975 FUS917511 FUS983047 GEO7 GEO65543 GEO131079 GEO196615 GEO262151 GEO327687 GEO393223 GEO458759 GEO524295 GEO589831 GEO655367 GEO720903 GEO786439 GEO851975 GEO917511 GEO983047 GOK7 GOK65543 GOK131079 GOK196615 GOK262151 GOK327687 GOK393223 GOK458759 GOK524295 GOK589831 GOK655367 GOK720903 GOK786439 GOK851975 GOK917511 GOK983047 GYG7 GYG65543 GYG131079 GYG196615 GYG262151 GYG327687 GYG393223 GYG458759 GYG524295 GYG589831 GYG655367 GYG720903 GYG786439 GYG851975 GYG917511 GYG983047 HIC7 HIC65543 HIC131079 HIC196615 HIC262151 HIC327687 HIC393223 HIC458759 HIC524295 HIC589831 HIC655367 HIC720903 HIC786439 HIC851975 HIC917511 HIC983047 HRY7 HRY65543 HRY131079 HRY196615 HRY262151 HRY327687 HRY393223 HRY458759 HRY524295 HRY589831 HRY655367 HRY720903 HRY786439 HRY851975 HRY917511 HRY983047 IBU7 IBU65543 IBU131079 IBU196615 IBU262151 IBU327687 IBU393223 IBU458759 IBU524295 IBU589831 IBU655367 IBU720903 IBU786439 IBU851975 IBU917511 IBU983047 ILQ7 ILQ65543 ILQ131079 ILQ196615 ILQ262151 ILQ327687 ILQ393223 ILQ458759 ILQ524295 ILQ589831 ILQ655367 ILQ720903 ILQ786439 ILQ851975 ILQ917511 ILQ983047 IVM7 IVM65543 IVM131079 IVM196615 IVM262151 IVM327687 IVM393223 IVM458759 IVM524295 IVM589831 IVM655367 IVM720903 IVM786439 IVM851975 IVM917511 IVM983047 JFI7 JFI65543 JFI131079 JFI196615 JFI262151 JFI327687 JFI393223 JFI458759 JFI524295 JFI589831 JFI655367 JFI720903 JFI786439 JFI851975 JFI917511 JFI983047 JPE7 JPE65543 JPE131079 JPE196615 JPE262151 JPE327687 JPE393223 JPE458759 JPE524295 JPE589831 JPE655367 JPE720903 JPE786439 JPE851975 JPE917511 JPE983047 JZA7 JZA65543 JZA131079 JZA196615 JZA262151 JZA327687 JZA393223 JZA458759 JZA524295 JZA589831 JZA655367 JZA720903 JZA786439 JZA851975 JZA917511 JZA983047 KIW7 KIW65543 KIW131079 KIW196615 KIW262151 KIW327687 KIW393223 KIW458759 KIW524295 KIW589831 KIW655367 KIW720903 KIW786439 KIW851975 KIW917511 KIW983047 KSS7 KSS65543 KSS131079 KSS196615 KSS262151 KSS327687 KSS393223 KSS458759 KSS524295 KSS589831 KSS655367 KSS720903 KSS786439 KSS851975 KSS917511 KSS983047 LCO7 LCO65543 LCO131079 LCO196615 LCO262151 LCO327687 LCO393223 LCO458759 LCO524295 LCO589831 LCO655367 LCO720903 LCO786439 LCO851975 LCO917511 LCO983047 LMK7 LMK65543 LMK131079 LMK196615 LMK262151 LMK327687 LMK393223 LMK458759 LMK524295 LMK589831 LMK655367 LMK720903 LMK786439 LMK851975 LMK917511 LMK983047 LWG7 LWG65543 LWG131079 LWG196615 LWG262151 LWG327687 LWG393223 LWG458759 LWG524295 LWG589831 LWG655367 LWG720903 LWG786439 LWG851975 LWG917511 LWG983047 MGC7 MGC65543 MGC131079 MGC196615 MGC262151 MGC327687 MGC393223 MGC458759 MGC524295 MGC589831 MGC655367 MGC720903 MGC786439 MGC851975 MGC917511 MGC983047 MPY7 MPY65543 MPY131079 MPY196615 MPY262151 MPY327687 MPY393223 MPY458759 MPY524295 MPY589831 MPY655367 MPY720903 MPY786439 MPY851975 MPY917511 MPY983047 MZU7 MZU65543 MZU131079 MZU196615 MZU262151 MZU327687 MZU393223 MZU458759 MZU524295 MZU589831 MZU655367 MZU720903 MZU786439 MZU851975 MZU917511 MZU983047 NJQ7 NJQ65543 NJQ131079 NJQ196615 NJQ262151 NJQ327687 NJQ393223 NJQ458759 NJQ524295 NJQ589831 NJQ655367 NJQ720903 NJQ786439 NJQ851975 NJQ917511 NJQ983047 NTM7 NTM65543 NTM131079 NTM196615 NTM262151 NTM327687 NTM393223 NTM458759 NTM524295 NTM589831 NTM655367 NTM720903 NTM786439 NTM851975 NTM917511 NTM983047 ODI7 ODI65543 ODI131079 ODI196615 ODI262151 ODI327687 ODI393223 ODI458759 ODI524295 ODI589831 ODI655367 ODI720903 ODI786439 ODI851975 ODI917511 ODI983047 ONE7 ONE65543 ONE131079 ONE196615 ONE262151 ONE327687 ONE393223 ONE458759 ONE524295 ONE589831 ONE655367 ONE720903 ONE786439 ONE851975 ONE917511 ONE983047 OXA7 OXA65543 OXA131079 OXA196615 OXA262151 OXA327687 OXA393223 OXA458759 OXA524295 OXA589831 OXA655367 OXA720903 OXA786439 OXA851975 OXA917511 OXA983047 PGW7 PGW65543 PGW131079 PGW196615 PGW262151 PGW327687 PGW393223 PGW458759 PGW524295 PGW589831 PGW655367 PGW720903 PGW786439 PGW851975 PGW917511 PGW983047 PQS7 PQS65543 PQS131079 PQS196615 PQS262151 PQS327687 PQS393223 PQS458759 PQS524295 PQS589831 PQS655367 PQS720903 PQS786439 PQS851975 PQS917511 PQS983047 QAO7 QAO65543 QAO131079 QAO196615 QAO262151 QAO327687 QAO393223 QAO458759 QAO524295 QAO589831 QAO655367 QAO720903 QAO786439 QAO851975 QAO917511 QAO983047 QKK7 QKK65543 QKK131079 QKK196615 QKK262151 QKK327687 QKK393223 QKK458759 QKK524295 QKK589831 QKK655367 QKK720903 QKK786439 QKK851975 QKK917511 QKK983047 QUG7 QUG65543 QUG131079 QUG196615 QUG262151 QUG327687 QUG393223 QUG458759 QUG524295 QUG589831 QUG655367 QUG720903 QUG786439 QUG851975 QUG917511 QUG983047 REC7 REC65543 REC131079 REC196615 REC262151 REC327687 REC393223 REC458759 REC524295 REC589831 REC655367 REC720903 REC786439 REC851975 REC917511 REC983047 RNY7 RNY65543 RNY131079 RNY196615 RNY262151 RNY327687 RNY393223 RNY458759 RNY524295 RNY589831 RNY655367 RNY720903 RNY786439 RNY851975 RNY917511 RNY983047 RXU7 RXU65543 RXU131079 RXU196615 RXU262151 RXU327687 RXU393223 RXU458759 RXU524295 RXU589831 RXU655367 RXU720903 RXU786439 RXU851975 RXU917511 RXU983047 SHQ7 SHQ65543 SHQ131079 SHQ196615 SHQ262151 SHQ327687 SHQ393223 SHQ458759 SHQ524295 SHQ589831 SHQ655367 SHQ720903 SHQ786439 SHQ851975 SHQ917511 SHQ983047 SRM7 SRM65543 SRM131079 SRM196615 SRM262151 SRM327687 SRM393223 SRM458759 SRM524295 SRM589831 SRM655367 SRM720903 SRM786439 SRM851975 SRM917511 SRM983047 TBI7 TBI65543 TBI131079 TBI196615 TBI262151 TBI327687 TBI393223 TBI458759 TBI524295 TBI589831 TBI655367 TBI720903 TBI786439 TBI851975 TBI917511 TBI983047 TLE7 TLE65543 TLE131079 TLE196615 TLE262151 TLE327687 TLE393223 TLE458759 TLE524295 TLE589831 TLE655367 TLE720903 TLE786439 TLE851975 TLE917511 TLE983047 TVA7 TVA65543 TVA131079 TVA196615 TVA262151 TVA327687 TVA393223 TVA458759 TVA524295 TVA589831 TVA655367 TVA720903 TVA786439 TVA851975 TVA917511 TVA983047 UEW7 UEW65543 UEW131079 UEW196615 UEW262151 UEW327687 UEW393223 UEW458759 UEW524295 UEW589831 UEW655367 UEW720903 UEW786439 UEW851975 UEW917511 UEW983047 UOS7 UOS65543 UOS131079 UOS196615 UOS262151 UOS327687 UOS393223 UOS458759 UOS524295 UOS589831 UOS655367 UOS720903 UOS786439 UOS851975 UOS917511 UOS983047 UYO7 UYO65543 UYO131079 UYO196615 UYO262151 UYO327687 UYO393223 UYO458759 UYO524295 UYO589831 UYO655367 UYO720903 UYO786439 UYO851975 UYO917511 UYO983047 VIK7 VIK65543 VIK131079 VIK196615 VIK262151 VIK327687 VIK393223 VIK458759 VIK524295 VIK589831 VIK655367 VIK720903 VIK786439 VIK851975 VIK917511 VIK983047 VSG7 VSG65543 VSG131079 VSG196615 VSG262151 VSG327687 VSG393223 VSG458759 VSG524295 VSG589831 VSG655367 VSG720903 VSG786439 VSG851975 VSG917511 VSG983047 WCC7 WCC65543 WCC131079 WCC196615 WCC262151 WCC327687 WCC393223 WCC458759 WCC524295 WCC589831 WCC655367 WCC720903 WCC786439 WCC851975 WCC917511 WCC983047 WLY7 WLY65543 WLY131079 WLY196615 WLY262151 WLY327687 WLY393223 WLY458759 WLY524295 WLY589831 WLY655367 WLY720903 WLY786439 WLY851975 WLY917511 WLY983047 WVU7 WVU65543 WVU131079 WVU196615 WVU262151 WVU327687 WVU393223 WVU458759 WVU524295 WVU589831 WVU655367 WVU720903 WVU786439 WVU851975 WVU917511 WVU983047" xr:uid="{00000000-0002-0000-0900-000000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I65538:I65539 I131074:I131075 I196610:I196611 I262146:I262147 I327682:I327683 I393218:I393219 I458754:I458755 I524290:I524291 I589826:I589827 I655362:I655363 I720898:I720899 I786434:I786435 I851970:I851971 I917506:I917507 I983042:I983043 JF2:JF3 JF65538:JF65539 JF131074:JF131075 JF196610:JF196611 JF262146:JF262147 JF327682:JF327683 JF393218:JF393219 JF458754:JF458755 JF524290:JF524291 JF589826:JF589827 JF655362:JF655363 JF720898:JF720899 JF786434:JF786435 JF851970:JF851971 JF917506:JF917507 JF983042:JF983043 TB2:TB3 TB65538:TB65539 TB131074:TB131075 TB196610:TB196611 TB262146:TB262147 TB327682:TB327683 TB393218:TB393219 TB458754:TB458755 TB524290:TB524291 TB589826:TB589827 TB655362:TB655363 TB720898:TB720899 TB786434:TB786435 TB851970:TB851971 TB917506:TB917507 TB983042:TB983043 ACX2:ACX3 ACX65538:ACX65539 ACX131074:ACX131075 ACX196610:ACX196611 ACX262146:ACX262147 ACX327682:ACX327683 ACX393218:ACX393219 ACX458754:ACX458755 ACX524290:ACX524291 ACX589826:ACX589827 ACX655362:ACX655363 ACX720898:ACX720899 ACX786434:ACX786435 ACX851970:ACX851971 ACX917506:ACX917507 ACX983042:ACX983043 AMT2:AMT3 AMT65538:AMT65539 AMT131074:AMT131075 AMT196610:AMT196611 AMT262146:AMT262147 AMT327682:AMT327683 AMT393218:AMT393219 AMT458754:AMT458755 AMT524290:AMT524291 AMT589826:AMT589827 AMT655362:AMT655363 AMT720898:AMT720899 AMT786434:AMT786435 AMT851970:AMT851971 AMT917506:AMT917507 AMT983042:AMT983043 AWP2:AWP3 AWP65538:AWP65539 AWP131074:AWP131075 AWP196610:AWP196611 AWP262146:AWP262147 AWP327682:AWP327683 AWP393218:AWP393219 AWP458754:AWP458755 AWP524290:AWP524291 AWP589826:AWP589827 AWP655362:AWP655363 AWP720898:AWP720899 AWP786434:AWP786435 AWP851970:AWP851971 AWP917506:AWP917507 AWP983042:AWP983043 BGL2:BGL3 BGL65538:BGL65539 BGL131074:BGL131075 BGL196610:BGL196611 BGL262146:BGL262147 BGL327682:BGL327683 BGL393218:BGL393219 BGL458754:BGL458755 BGL524290:BGL524291 BGL589826:BGL589827 BGL655362:BGL655363 BGL720898:BGL720899 BGL786434:BGL786435 BGL851970:BGL851971 BGL917506:BGL917507 BGL983042:BGL983043 BQH2:BQH3 BQH65538:BQH65539 BQH131074:BQH131075 BQH196610:BQH196611 BQH262146:BQH262147 BQH327682:BQH327683 BQH393218:BQH393219 BQH458754:BQH458755 BQH524290:BQH524291 BQH589826:BQH589827 BQH655362:BQH655363 BQH720898:BQH720899 BQH786434:BQH786435 BQH851970:BQH851971 BQH917506:BQH917507 BQH983042:BQH983043 CAD2:CAD3 CAD65538:CAD65539 CAD131074:CAD131075 CAD196610:CAD196611 CAD262146:CAD262147 CAD327682:CAD327683 CAD393218:CAD393219 CAD458754:CAD458755 CAD524290:CAD524291 CAD589826:CAD589827 CAD655362:CAD655363 CAD720898:CAD720899 CAD786434:CAD786435 CAD851970:CAD851971 CAD917506:CAD917507 CAD983042:CAD983043 CJZ2:CJZ3 CJZ65538:CJZ65539 CJZ131074:CJZ131075 CJZ196610:CJZ196611 CJZ262146:CJZ262147 CJZ327682:CJZ327683 CJZ393218:CJZ393219 CJZ458754:CJZ458755 CJZ524290:CJZ524291 CJZ589826:CJZ589827 CJZ655362:CJZ655363 CJZ720898:CJZ720899 CJZ786434:CJZ786435 CJZ851970:CJZ851971 CJZ917506:CJZ917507 CJZ983042:CJZ983043 CTV2:CTV3 CTV65538:CTV65539 CTV131074:CTV131075 CTV196610:CTV196611 CTV262146:CTV262147 CTV327682:CTV327683 CTV393218:CTV393219 CTV458754:CTV458755 CTV524290:CTV524291 CTV589826:CTV589827 CTV655362:CTV655363 CTV720898:CTV720899 CTV786434:CTV786435 CTV851970:CTV851971 CTV917506:CTV917507 CTV983042:CTV983043 DDR2:DDR3 DDR65538:DDR65539 DDR131074:DDR131075 DDR196610:DDR196611 DDR262146:DDR262147 DDR327682:DDR327683 DDR393218:DDR393219 DDR458754:DDR458755 DDR524290:DDR524291 DDR589826:DDR589827 DDR655362:DDR655363 DDR720898:DDR720899 DDR786434:DDR786435 DDR851970:DDR851971 DDR917506:DDR917507 DDR983042:DDR983043 DNN2:DNN3 DNN65538:DNN65539 DNN131074:DNN131075 DNN196610:DNN196611 DNN262146:DNN262147 DNN327682:DNN327683 DNN393218:DNN393219 DNN458754:DNN458755 DNN524290:DNN524291 DNN589826:DNN589827 DNN655362:DNN655363 DNN720898:DNN720899 DNN786434:DNN786435 DNN851970:DNN851971 DNN917506:DNN917507 DNN983042:DNN983043 DXJ2:DXJ3 DXJ65538:DXJ65539 DXJ131074:DXJ131075 DXJ196610:DXJ196611 DXJ262146:DXJ262147 DXJ327682:DXJ327683 DXJ393218:DXJ393219 DXJ458754:DXJ458755 DXJ524290:DXJ524291 DXJ589826:DXJ589827 DXJ655362:DXJ655363 DXJ720898:DXJ720899 DXJ786434:DXJ786435 DXJ851970:DXJ851971 DXJ917506:DXJ917507 DXJ983042:DXJ983043 EHF2:EHF3 EHF65538:EHF65539 EHF131074:EHF131075 EHF196610:EHF196611 EHF262146:EHF262147 EHF327682:EHF327683 EHF393218:EHF393219 EHF458754:EHF458755 EHF524290:EHF524291 EHF589826:EHF589827 EHF655362:EHF655363 EHF720898:EHF720899 EHF786434:EHF786435 EHF851970:EHF851971 EHF917506:EHF917507 EHF983042:EHF983043 ERB2:ERB3 ERB65538:ERB65539 ERB131074:ERB131075 ERB196610:ERB196611 ERB262146:ERB262147 ERB327682:ERB327683 ERB393218:ERB393219 ERB458754:ERB458755 ERB524290:ERB524291 ERB589826:ERB589827 ERB655362:ERB655363 ERB720898:ERB720899 ERB786434:ERB786435 ERB851970:ERB851971 ERB917506:ERB917507 ERB983042:ERB983043 FAX2:FAX3 FAX65538:FAX65539 FAX131074:FAX131075 FAX196610:FAX196611 FAX262146:FAX262147 FAX327682:FAX327683 FAX393218:FAX393219 FAX458754:FAX458755 FAX524290:FAX524291 FAX589826:FAX589827 FAX655362:FAX655363 FAX720898:FAX720899 FAX786434:FAX786435 FAX851970:FAX851971 FAX917506:FAX917507 FAX983042:FAX983043 FKT2:FKT3 FKT65538:FKT65539 FKT131074:FKT131075 FKT196610:FKT196611 FKT262146:FKT262147 FKT327682:FKT327683 FKT393218:FKT393219 FKT458754:FKT458755 FKT524290:FKT524291 FKT589826:FKT589827 FKT655362:FKT655363 FKT720898:FKT720899 FKT786434:FKT786435 FKT851970:FKT851971 FKT917506:FKT917507 FKT983042:FKT983043 FUP2:FUP3 FUP65538:FUP65539 FUP131074:FUP131075 FUP196610:FUP196611 FUP262146:FUP262147 FUP327682:FUP327683 FUP393218:FUP393219 FUP458754:FUP458755 FUP524290:FUP524291 FUP589826:FUP589827 FUP655362:FUP655363 FUP720898:FUP720899 FUP786434:FUP786435 FUP851970:FUP851971 FUP917506:FUP917507 FUP983042:FUP983043 GEL2:GEL3 GEL65538:GEL65539 GEL131074:GEL131075 GEL196610:GEL196611 GEL262146:GEL262147 GEL327682:GEL327683 GEL393218:GEL393219 GEL458754:GEL458755 GEL524290:GEL524291 GEL589826:GEL589827 GEL655362:GEL655363 GEL720898:GEL720899 GEL786434:GEL786435 GEL851970:GEL851971 GEL917506:GEL917507 GEL983042:GEL983043 GOH2:GOH3 GOH65538:GOH65539 GOH131074:GOH131075 GOH196610:GOH196611 GOH262146:GOH262147 GOH327682:GOH327683 GOH393218:GOH393219 GOH458754:GOH458755 GOH524290:GOH524291 GOH589826:GOH589827 GOH655362:GOH655363 GOH720898:GOH720899 GOH786434:GOH786435 GOH851970:GOH851971 GOH917506:GOH917507 GOH983042:GOH983043 GYD2:GYD3 GYD65538:GYD65539 GYD131074:GYD131075 GYD196610:GYD196611 GYD262146:GYD262147 GYD327682:GYD327683 GYD393218:GYD393219 GYD458754:GYD458755 GYD524290:GYD524291 GYD589826:GYD589827 GYD655362:GYD655363 GYD720898:GYD720899 GYD786434:GYD786435 GYD851970:GYD851971 GYD917506:GYD917507 GYD983042:GYD983043 HHZ2:HHZ3 HHZ65538:HHZ65539 HHZ131074:HHZ131075 HHZ196610:HHZ196611 HHZ262146:HHZ262147 HHZ327682:HHZ327683 HHZ393218:HHZ393219 HHZ458754:HHZ458755 HHZ524290:HHZ524291 HHZ589826:HHZ589827 HHZ655362:HHZ655363 HHZ720898:HHZ720899 HHZ786434:HHZ786435 HHZ851970:HHZ851971 HHZ917506:HHZ917507 HHZ983042:HHZ983043 HRV2:HRV3 HRV65538:HRV65539 HRV131074:HRV131075 HRV196610:HRV196611 HRV262146:HRV262147 HRV327682:HRV327683 HRV393218:HRV393219 HRV458754:HRV458755 HRV524290:HRV524291 HRV589826:HRV589827 HRV655362:HRV655363 HRV720898:HRV720899 HRV786434:HRV786435 HRV851970:HRV851971 HRV917506:HRV917507 HRV983042:HRV983043 IBR2:IBR3 IBR65538:IBR65539 IBR131074:IBR131075 IBR196610:IBR196611 IBR262146:IBR262147 IBR327682:IBR327683 IBR393218:IBR393219 IBR458754:IBR458755 IBR524290:IBR524291 IBR589826:IBR589827 IBR655362:IBR655363 IBR720898:IBR720899 IBR786434:IBR786435 IBR851970:IBR851971 IBR917506:IBR917507 IBR983042:IBR983043 ILN2:ILN3 ILN65538:ILN65539 ILN131074:ILN131075 ILN196610:ILN196611 ILN262146:ILN262147 ILN327682:ILN327683 ILN393218:ILN393219 ILN458754:ILN458755 ILN524290:ILN524291 ILN589826:ILN589827 ILN655362:ILN655363 ILN720898:ILN720899 ILN786434:ILN786435 ILN851970:ILN851971 ILN917506:ILN917507 ILN983042:ILN983043 IVJ2:IVJ3 IVJ65538:IVJ65539 IVJ131074:IVJ131075 IVJ196610:IVJ196611 IVJ262146:IVJ262147 IVJ327682:IVJ327683 IVJ393218:IVJ393219 IVJ458754:IVJ458755 IVJ524290:IVJ524291 IVJ589826:IVJ589827 IVJ655362:IVJ655363 IVJ720898:IVJ720899 IVJ786434:IVJ786435 IVJ851970:IVJ851971 IVJ917506:IVJ917507 IVJ983042:IVJ983043 JFF2:JFF3 JFF65538:JFF65539 JFF131074:JFF131075 JFF196610:JFF196611 JFF262146:JFF262147 JFF327682:JFF327683 JFF393218:JFF393219 JFF458754:JFF458755 JFF524290:JFF524291 JFF589826:JFF589827 JFF655362:JFF655363 JFF720898:JFF720899 JFF786434:JFF786435 JFF851970:JFF851971 JFF917506:JFF917507 JFF983042:JFF983043 JPB2:JPB3 JPB65538:JPB65539 JPB131074:JPB131075 JPB196610:JPB196611 JPB262146:JPB262147 JPB327682:JPB327683 JPB393218:JPB393219 JPB458754:JPB458755 JPB524290:JPB524291 JPB589826:JPB589827 JPB655362:JPB655363 JPB720898:JPB720899 JPB786434:JPB786435 JPB851970:JPB851971 JPB917506:JPB917507 JPB983042:JPB983043 JYX2:JYX3 JYX65538:JYX65539 JYX131074:JYX131075 JYX196610:JYX196611 JYX262146:JYX262147 JYX327682:JYX327683 JYX393218:JYX393219 JYX458754:JYX458755 JYX524290:JYX524291 JYX589826:JYX589827 JYX655362:JYX655363 JYX720898:JYX720899 JYX786434:JYX786435 JYX851970:JYX851971 JYX917506:JYX917507 JYX983042:JYX983043 KIT2:KIT3 KIT65538:KIT65539 KIT131074:KIT131075 KIT196610:KIT196611 KIT262146:KIT262147 KIT327682:KIT327683 KIT393218:KIT393219 KIT458754:KIT458755 KIT524290:KIT524291 KIT589826:KIT589827 KIT655362:KIT655363 KIT720898:KIT720899 KIT786434:KIT786435 KIT851970:KIT851971 KIT917506:KIT917507 KIT983042:KIT983043 KSP2:KSP3 KSP65538:KSP65539 KSP131074:KSP131075 KSP196610:KSP196611 KSP262146:KSP262147 KSP327682:KSP327683 KSP393218:KSP393219 KSP458754:KSP458755 KSP524290:KSP524291 KSP589826:KSP589827 KSP655362:KSP655363 KSP720898:KSP720899 KSP786434:KSP786435 KSP851970:KSP851971 KSP917506:KSP917507 KSP983042:KSP983043 LCL2:LCL3 LCL65538:LCL65539 LCL131074:LCL131075 LCL196610:LCL196611 LCL262146:LCL262147 LCL327682:LCL327683 LCL393218:LCL393219 LCL458754:LCL458755 LCL524290:LCL524291 LCL589826:LCL589827 LCL655362:LCL655363 LCL720898:LCL720899 LCL786434:LCL786435 LCL851970:LCL851971 LCL917506:LCL917507 LCL983042:LCL983043 LMH2:LMH3 LMH65538:LMH65539 LMH131074:LMH131075 LMH196610:LMH196611 LMH262146:LMH262147 LMH327682:LMH327683 LMH393218:LMH393219 LMH458754:LMH458755 LMH524290:LMH524291 LMH589826:LMH589827 LMH655362:LMH655363 LMH720898:LMH720899 LMH786434:LMH786435 LMH851970:LMH851971 LMH917506:LMH917507 LMH983042:LMH983043 LWD2:LWD3 LWD65538:LWD65539 LWD131074:LWD131075 LWD196610:LWD196611 LWD262146:LWD262147 LWD327682:LWD327683 LWD393218:LWD393219 LWD458754:LWD458755 LWD524290:LWD524291 LWD589826:LWD589827 LWD655362:LWD655363 LWD720898:LWD720899 LWD786434:LWD786435 LWD851970:LWD851971 LWD917506:LWD917507 LWD983042:LWD983043 MFZ2:MFZ3 MFZ65538:MFZ65539 MFZ131074:MFZ131075 MFZ196610:MFZ196611 MFZ262146:MFZ262147 MFZ327682:MFZ327683 MFZ393218:MFZ393219 MFZ458754:MFZ458755 MFZ524290:MFZ524291 MFZ589826:MFZ589827 MFZ655362:MFZ655363 MFZ720898:MFZ720899 MFZ786434:MFZ786435 MFZ851970:MFZ851971 MFZ917506:MFZ917507 MFZ983042:MFZ983043 MPV2:MPV3 MPV65538:MPV65539 MPV131074:MPV131075 MPV196610:MPV196611 MPV262146:MPV262147 MPV327682:MPV327683 MPV393218:MPV393219 MPV458754:MPV458755 MPV524290:MPV524291 MPV589826:MPV589827 MPV655362:MPV655363 MPV720898:MPV720899 MPV786434:MPV786435 MPV851970:MPV851971 MPV917506:MPV917507 MPV983042:MPV983043 MZR2:MZR3 MZR65538:MZR65539 MZR131074:MZR131075 MZR196610:MZR196611 MZR262146:MZR262147 MZR327682:MZR327683 MZR393218:MZR393219 MZR458754:MZR458755 MZR524290:MZR524291 MZR589826:MZR589827 MZR655362:MZR655363 MZR720898:MZR720899 MZR786434:MZR786435 MZR851970:MZR851971 MZR917506:MZR917507 MZR983042:MZR983043 NJN2:NJN3 NJN65538:NJN65539 NJN131074:NJN131075 NJN196610:NJN196611 NJN262146:NJN262147 NJN327682:NJN327683 NJN393218:NJN393219 NJN458754:NJN458755 NJN524290:NJN524291 NJN589826:NJN589827 NJN655362:NJN655363 NJN720898:NJN720899 NJN786434:NJN786435 NJN851970:NJN851971 NJN917506:NJN917507 NJN983042:NJN983043 NTJ2:NTJ3 NTJ65538:NTJ65539 NTJ131074:NTJ131075 NTJ196610:NTJ196611 NTJ262146:NTJ262147 NTJ327682:NTJ327683 NTJ393218:NTJ393219 NTJ458754:NTJ458755 NTJ524290:NTJ524291 NTJ589826:NTJ589827 NTJ655362:NTJ655363 NTJ720898:NTJ720899 NTJ786434:NTJ786435 NTJ851970:NTJ851971 NTJ917506:NTJ917507 NTJ983042:NTJ983043 ODF2:ODF3 ODF65538:ODF65539 ODF131074:ODF131075 ODF196610:ODF196611 ODF262146:ODF262147 ODF327682:ODF327683 ODF393218:ODF393219 ODF458754:ODF458755 ODF524290:ODF524291 ODF589826:ODF589827 ODF655362:ODF655363 ODF720898:ODF720899 ODF786434:ODF786435 ODF851970:ODF851971 ODF917506:ODF917507 ODF983042:ODF983043 ONB2:ONB3 ONB65538:ONB65539 ONB131074:ONB131075 ONB196610:ONB196611 ONB262146:ONB262147 ONB327682:ONB327683 ONB393218:ONB393219 ONB458754:ONB458755 ONB524290:ONB524291 ONB589826:ONB589827 ONB655362:ONB655363 ONB720898:ONB720899 ONB786434:ONB786435 ONB851970:ONB851971 ONB917506:ONB917507 ONB983042:ONB983043 OWX2:OWX3 OWX65538:OWX65539 OWX131074:OWX131075 OWX196610:OWX196611 OWX262146:OWX262147 OWX327682:OWX327683 OWX393218:OWX393219 OWX458754:OWX458755 OWX524290:OWX524291 OWX589826:OWX589827 OWX655362:OWX655363 OWX720898:OWX720899 OWX786434:OWX786435 OWX851970:OWX851971 OWX917506:OWX917507 OWX983042:OWX983043 PGT2:PGT3 PGT65538:PGT65539 PGT131074:PGT131075 PGT196610:PGT196611 PGT262146:PGT262147 PGT327682:PGT327683 PGT393218:PGT393219 PGT458754:PGT458755 PGT524290:PGT524291 PGT589826:PGT589827 PGT655362:PGT655363 PGT720898:PGT720899 PGT786434:PGT786435 PGT851970:PGT851971 PGT917506:PGT917507 PGT983042:PGT983043 PQP2:PQP3 PQP65538:PQP65539 PQP131074:PQP131075 PQP196610:PQP196611 PQP262146:PQP262147 PQP327682:PQP327683 PQP393218:PQP393219 PQP458754:PQP458755 PQP524290:PQP524291 PQP589826:PQP589827 PQP655362:PQP655363 PQP720898:PQP720899 PQP786434:PQP786435 PQP851970:PQP851971 PQP917506:PQP917507 PQP983042:PQP983043 QAL2:QAL3 QAL65538:QAL65539 QAL131074:QAL131075 QAL196610:QAL196611 QAL262146:QAL262147 QAL327682:QAL327683 QAL393218:QAL393219 QAL458754:QAL458755 QAL524290:QAL524291 QAL589826:QAL589827 QAL655362:QAL655363 QAL720898:QAL720899 QAL786434:QAL786435 QAL851970:QAL851971 QAL917506:QAL917507 QAL983042:QAL983043 QKH2:QKH3 QKH65538:QKH65539 QKH131074:QKH131075 QKH196610:QKH196611 QKH262146:QKH262147 QKH327682:QKH327683 QKH393218:QKH393219 QKH458754:QKH458755 QKH524290:QKH524291 QKH589826:QKH589827 QKH655362:QKH655363 QKH720898:QKH720899 QKH786434:QKH786435 QKH851970:QKH851971 QKH917506:QKH917507 QKH983042:QKH983043 QUD2:QUD3 QUD65538:QUD65539 QUD131074:QUD131075 QUD196610:QUD196611 QUD262146:QUD262147 QUD327682:QUD327683 QUD393218:QUD393219 QUD458754:QUD458755 QUD524290:QUD524291 QUD589826:QUD589827 QUD655362:QUD655363 QUD720898:QUD720899 QUD786434:QUD786435 QUD851970:QUD851971 QUD917506:QUD917507 QUD983042:QUD983043 RDZ2:RDZ3 RDZ65538:RDZ65539 RDZ131074:RDZ131075 RDZ196610:RDZ196611 RDZ262146:RDZ262147 RDZ327682:RDZ327683 RDZ393218:RDZ393219 RDZ458754:RDZ458755 RDZ524290:RDZ524291 RDZ589826:RDZ589827 RDZ655362:RDZ655363 RDZ720898:RDZ720899 RDZ786434:RDZ786435 RDZ851970:RDZ851971 RDZ917506:RDZ917507 RDZ983042:RDZ983043 RNV2:RNV3 RNV65538:RNV65539 RNV131074:RNV131075 RNV196610:RNV196611 RNV262146:RNV262147 RNV327682:RNV327683 RNV393218:RNV393219 RNV458754:RNV458755 RNV524290:RNV524291 RNV589826:RNV589827 RNV655362:RNV655363 RNV720898:RNV720899 RNV786434:RNV786435 RNV851970:RNV851971 RNV917506:RNV917507 RNV983042:RNV983043 RXR2:RXR3 RXR65538:RXR65539 RXR131074:RXR131075 RXR196610:RXR196611 RXR262146:RXR262147 RXR327682:RXR327683 RXR393218:RXR393219 RXR458754:RXR458755 RXR524290:RXR524291 RXR589826:RXR589827 RXR655362:RXR655363 RXR720898:RXR720899 RXR786434:RXR786435 RXR851970:RXR851971 RXR917506:RXR917507 RXR983042:RXR983043 SHN2:SHN3 SHN65538:SHN65539 SHN131074:SHN131075 SHN196610:SHN196611 SHN262146:SHN262147 SHN327682:SHN327683 SHN393218:SHN393219 SHN458754:SHN458755 SHN524290:SHN524291 SHN589826:SHN589827 SHN655362:SHN655363 SHN720898:SHN720899 SHN786434:SHN786435 SHN851970:SHN851971 SHN917506:SHN917507 SHN983042:SHN983043 SRJ2:SRJ3 SRJ65538:SRJ65539 SRJ131074:SRJ131075 SRJ196610:SRJ196611 SRJ262146:SRJ262147 SRJ327682:SRJ327683 SRJ393218:SRJ393219 SRJ458754:SRJ458755 SRJ524290:SRJ524291 SRJ589826:SRJ589827 SRJ655362:SRJ655363 SRJ720898:SRJ720899 SRJ786434:SRJ786435 SRJ851970:SRJ851971 SRJ917506:SRJ917507 SRJ983042:SRJ983043 TBF2:TBF3 TBF65538:TBF65539 TBF131074:TBF131075 TBF196610:TBF196611 TBF262146:TBF262147 TBF327682:TBF327683 TBF393218:TBF393219 TBF458754:TBF458755 TBF524290:TBF524291 TBF589826:TBF589827 TBF655362:TBF655363 TBF720898:TBF720899 TBF786434:TBF786435 TBF851970:TBF851971 TBF917506:TBF917507 TBF983042:TBF983043 TLB2:TLB3 TLB65538:TLB65539 TLB131074:TLB131075 TLB196610:TLB196611 TLB262146:TLB262147 TLB327682:TLB327683 TLB393218:TLB393219 TLB458754:TLB458755 TLB524290:TLB524291 TLB589826:TLB589827 TLB655362:TLB655363 TLB720898:TLB720899 TLB786434:TLB786435 TLB851970:TLB851971 TLB917506:TLB917507 TLB983042:TLB983043 TUX2:TUX3 TUX65538:TUX65539 TUX131074:TUX131075 TUX196610:TUX196611 TUX262146:TUX262147 TUX327682:TUX327683 TUX393218:TUX393219 TUX458754:TUX458755 TUX524290:TUX524291 TUX589826:TUX589827 TUX655362:TUX655363 TUX720898:TUX720899 TUX786434:TUX786435 TUX851970:TUX851971 TUX917506:TUX917507 TUX983042:TUX983043 UET2:UET3 UET65538:UET65539 UET131074:UET131075 UET196610:UET196611 UET262146:UET262147 UET327682:UET327683 UET393218:UET393219 UET458754:UET458755 UET524290:UET524291 UET589826:UET589827 UET655362:UET655363 UET720898:UET720899 UET786434:UET786435 UET851970:UET851971 UET917506:UET917507 UET983042:UET983043 UOP2:UOP3 UOP65538:UOP65539 UOP131074:UOP131075 UOP196610:UOP196611 UOP262146:UOP262147 UOP327682:UOP327683 UOP393218:UOP393219 UOP458754:UOP458755 UOP524290:UOP524291 UOP589826:UOP589827 UOP655362:UOP655363 UOP720898:UOP720899 UOP786434:UOP786435 UOP851970:UOP851971 UOP917506:UOP917507 UOP983042:UOP983043 UYL2:UYL3 UYL65538:UYL65539 UYL131074:UYL131075 UYL196610:UYL196611 UYL262146:UYL262147 UYL327682:UYL327683 UYL393218:UYL393219 UYL458754:UYL458755 UYL524290:UYL524291 UYL589826:UYL589827 UYL655362:UYL655363 UYL720898:UYL720899 UYL786434:UYL786435 UYL851970:UYL851971 UYL917506:UYL917507 UYL983042:UYL983043 VIH2:VIH3 VIH65538:VIH65539 VIH131074:VIH131075 VIH196610:VIH196611 VIH262146:VIH262147 VIH327682:VIH327683 VIH393218:VIH393219 VIH458754:VIH458755 VIH524290:VIH524291 VIH589826:VIH589827 VIH655362:VIH655363 VIH720898:VIH720899 VIH786434:VIH786435 VIH851970:VIH851971 VIH917506:VIH917507 VIH983042:VIH983043 VSD2:VSD3 VSD65538:VSD65539 VSD131074:VSD131075 VSD196610:VSD196611 VSD262146:VSD262147 VSD327682:VSD327683 VSD393218:VSD393219 VSD458754:VSD458755 VSD524290:VSD524291 VSD589826:VSD589827 VSD655362:VSD655363 VSD720898:VSD720899 VSD786434:VSD786435 VSD851970:VSD851971 VSD917506:VSD917507 VSD983042:VSD983043 WBZ2:WBZ3 WBZ65538:WBZ65539 WBZ131074:WBZ131075 WBZ196610:WBZ196611 WBZ262146:WBZ262147 WBZ327682:WBZ327683 WBZ393218:WBZ393219 WBZ458754:WBZ458755 WBZ524290:WBZ524291 WBZ589826:WBZ589827 WBZ655362:WBZ655363 WBZ720898:WBZ720899 WBZ786434:WBZ786435 WBZ851970:WBZ851971 WBZ917506:WBZ917507 WBZ983042:WBZ983043 WLV2:WLV3 WLV65538:WLV65539 WLV131074:WLV131075 WLV196610:WLV196611 WLV262146:WLV262147 WLV327682:WLV327683 WLV393218:WLV393219 WLV458754:WLV458755 WLV524290:WLV524291 WLV589826:WLV589827 WLV655362:WLV655363 WLV720898:WLV720899 WLV786434:WLV786435 WLV851970:WLV851971 WLV917506:WLV917507 WLV983042:WLV983043 WVR2:WVR3 WVR65538:WVR65539 WVR131074:WVR131075 WVR196610:WVR196611 WVR262146:WVR262147 WVR327682:WVR327683 WVR393218:WVR393219 WVR458754:WVR458755 WVR524290:WVR524291 WVR589826:WVR589827 WVR655362:WVR655363 WVR720898:WVR720899 WVR786434:WVR786435 WVR851970:WVR851971 WVR917506:WVR917507 WVR983042:WVR983043" xr:uid="{00000000-0002-0000-0900-000001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H65538:H65539 H131074:H131075 H196610:H196611 H262146:H262147 H327682:H327683 H393218:H393219 H458754:H458755 H524290:H524291 H589826:H589827 H655362:H655363 H720898:H720899 H786434:H786435 H851970:H851971 H917506:H917507 H983042:H983043 JE2:JE3 JE65538:JE65539 JE131074:JE131075 JE196610:JE196611 JE262146:JE262147 JE327682:JE327683 JE393218:JE393219 JE458754:JE458755 JE524290:JE524291 JE589826:JE589827 JE655362:JE655363 JE720898:JE720899 JE786434:JE786435 JE851970:JE851971 JE917506:JE917507 JE983042:JE983043 TA2:TA3 TA65538:TA65539 TA131074:TA131075 TA196610:TA196611 TA262146:TA262147 TA327682:TA327683 TA393218:TA393219 TA458754:TA458755 TA524290:TA524291 TA589826:TA589827 TA655362:TA655363 TA720898:TA720899 TA786434:TA786435 TA851970:TA851971 TA917506:TA917507 TA983042:TA983043 ACW2:ACW3 ACW65538:ACW65539 ACW131074:ACW131075 ACW196610:ACW196611 ACW262146:ACW262147 ACW327682:ACW327683 ACW393218:ACW393219 ACW458754:ACW458755 ACW524290:ACW524291 ACW589826:ACW589827 ACW655362:ACW655363 ACW720898:ACW720899 ACW786434:ACW786435 ACW851970:ACW851971 ACW917506:ACW917507 ACW983042:ACW983043 AMS2:AMS3 AMS65538:AMS65539 AMS131074:AMS131075 AMS196610:AMS196611 AMS262146:AMS262147 AMS327682:AMS327683 AMS393218:AMS393219 AMS458754:AMS458755 AMS524290:AMS524291 AMS589826:AMS589827 AMS655362:AMS655363 AMS720898:AMS720899 AMS786434:AMS786435 AMS851970:AMS851971 AMS917506:AMS917507 AMS983042:AMS983043 AWO2:AWO3 AWO65538:AWO65539 AWO131074:AWO131075 AWO196610:AWO196611 AWO262146:AWO262147 AWO327682:AWO327683 AWO393218:AWO393219 AWO458754:AWO458755 AWO524290:AWO524291 AWO589826:AWO589827 AWO655362:AWO655363 AWO720898:AWO720899 AWO786434:AWO786435 AWO851970:AWO851971 AWO917506:AWO917507 AWO983042:AWO983043 BGK2:BGK3 BGK65538:BGK65539 BGK131074:BGK131075 BGK196610:BGK196611 BGK262146:BGK262147 BGK327682:BGK327683 BGK393218:BGK393219 BGK458754:BGK458755 BGK524290:BGK524291 BGK589826:BGK589827 BGK655362:BGK655363 BGK720898:BGK720899 BGK786434:BGK786435 BGK851970:BGK851971 BGK917506:BGK917507 BGK983042:BGK983043 BQG2:BQG3 BQG65538:BQG65539 BQG131074:BQG131075 BQG196610:BQG196611 BQG262146:BQG262147 BQG327682:BQG327683 BQG393218:BQG393219 BQG458754:BQG458755 BQG524290:BQG524291 BQG589826:BQG589827 BQG655362:BQG655363 BQG720898:BQG720899 BQG786434:BQG786435 BQG851970:BQG851971 BQG917506:BQG917507 BQG983042:BQG983043 CAC2:CAC3 CAC65538:CAC65539 CAC131074:CAC131075 CAC196610:CAC196611 CAC262146:CAC262147 CAC327682:CAC327683 CAC393218:CAC393219 CAC458754:CAC458755 CAC524290:CAC524291 CAC589826:CAC589827 CAC655362:CAC655363 CAC720898:CAC720899 CAC786434:CAC786435 CAC851970:CAC851971 CAC917506:CAC917507 CAC983042:CAC983043 CJY2:CJY3 CJY65538:CJY65539 CJY131074:CJY131075 CJY196610:CJY196611 CJY262146:CJY262147 CJY327682:CJY327683 CJY393218:CJY393219 CJY458754:CJY458755 CJY524290:CJY524291 CJY589826:CJY589827 CJY655362:CJY655363 CJY720898:CJY720899 CJY786434:CJY786435 CJY851970:CJY851971 CJY917506:CJY917507 CJY983042:CJY983043 CTU2:CTU3 CTU65538:CTU65539 CTU131074:CTU131075 CTU196610:CTU196611 CTU262146:CTU262147 CTU327682:CTU327683 CTU393218:CTU393219 CTU458754:CTU458755 CTU524290:CTU524291 CTU589826:CTU589827 CTU655362:CTU655363 CTU720898:CTU720899 CTU786434:CTU786435 CTU851970:CTU851971 CTU917506:CTU917507 CTU983042:CTU983043 DDQ2:DDQ3 DDQ65538:DDQ65539 DDQ131074:DDQ131075 DDQ196610:DDQ196611 DDQ262146:DDQ262147 DDQ327682:DDQ327683 DDQ393218:DDQ393219 DDQ458754:DDQ458755 DDQ524290:DDQ524291 DDQ589826:DDQ589827 DDQ655362:DDQ655363 DDQ720898:DDQ720899 DDQ786434:DDQ786435 DDQ851970:DDQ851971 DDQ917506:DDQ917507 DDQ983042:DDQ983043 DNM2:DNM3 DNM65538:DNM65539 DNM131074:DNM131075 DNM196610:DNM196611 DNM262146:DNM262147 DNM327682:DNM327683 DNM393218:DNM393219 DNM458754:DNM458755 DNM524290:DNM524291 DNM589826:DNM589827 DNM655362:DNM655363 DNM720898:DNM720899 DNM786434:DNM786435 DNM851970:DNM851971 DNM917506:DNM917507 DNM983042:DNM983043 DXI2:DXI3 DXI65538:DXI65539 DXI131074:DXI131075 DXI196610:DXI196611 DXI262146:DXI262147 DXI327682:DXI327683 DXI393218:DXI393219 DXI458754:DXI458755 DXI524290:DXI524291 DXI589826:DXI589827 DXI655362:DXI655363 DXI720898:DXI720899 DXI786434:DXI786435 DXI851970:DXI851971 DXI917506:DXI917507 DXI983042:DXI983043 EHE2:EHE3 EHE65538:EHE65539 EHE131074:EHE131075 EHE196610:EHE196611 EHE262146:EHE262147 EHE327682:EHE327683 EHE393218:EHE393219 EHE458754:EHE458755 EHE524290:EHE524291 EHE589826:EHE589827 EHE655362:EHE655363 EHE720898:EHE720899 EHE786434:EHE786435 EHE851970:EHE851971 EHE917506:EHE917507 EHE983042:EHE983043 ERA2:ERA3 ERA65538:ERA65539 ERA131074:ERA131075 ERA196610:ERA196611 ERA262146:ERA262147 ERA327682:ERA327683 ERA393218:ERA393219 ERA458754:ERA458755 ERA524290:ERA524291 ERA589826:ERA589827 ERA655362:ERA655363 ERA720898:ERA720899 ERA786434:ERA786435 ERA851970:ERA851971 ERA917506:ERA917507 ERA983042:ERA983043 FAW2:FAW3 FAW65538:FAW65539 FAW131074:FAW131075 FAW196610:FAW196611 FAW262146:FAW262147 FAW327682:FAW327683 FAW393218:FAW393219 FAW458754:FAW458755 FAW524290:FAW524291 FAW589826:FAW589827 FAW655362:FAW655363 FAW720898:FAW720899 FAW786434:FAW786435 FAW851970:FAW851971 FAW917506:FAW917507 FAW983042:FAW983043 FKS2:FKS3 FKS65538:FKS65539 FKS131074:FKS131075 FKS196610:FKS196611 FKS262146:FKS262147 FKS327682:FKS327683 FKS393218:FKS393219 FKS458754:FKS458755 FKS524290:FKS524291 FKS589826:FKS589827 FKS655362:FKS655363 FKS720898:FKS720899 FKS786434:FKS786435 FKS851970:FKS851971 FKS917506:FKS917507 FKS983042:FKS983043 FUO2:FUO3 FUO65538:FUO65539 FUO131074:FUO131075 FUO196610:FUO196611 FUO262146:FUO262147 FUO327682:FUO327683 FUO393218:FUO393219 FUO458754:FUO458755 FUO524290:FUO524291 FUO589826:FUO589827 FUO655362:FUO655363 FUO720898:FUO720899 FUO786434:FUO786435 FUO851970:FUO851971 FUO917506:FUO917507 FUO983042:FUO983043 GEK2:GEK3 GEK65538:GEK65539 GEK131074:GEK131075 GEK196610:GEK196611 GEK262146:GEK262147 GEK327682:GEK327683 GEK393218:GEK393219 GEK458754:GEK458755 GEK524290:GEK524291 GEK589826:GEK589827 GEK655362:GEK655363 GEK720898:GEK720899 GEK786434:GEK786435 GEK851970:GEK851971 GEK917506:GEK917507 GEK983042:GEK983043 GOG2:GOG3 GOG65538:GOG65539 GOG131074:GOG131075 GOG196610:GOG196611 GOG262146:GOG262147 GOG327682:GOG327683 GOG393218:GOG393219 GOG458754:GOG458755 GOG524290:GOG524291 GOG589826:GOG589827 GOG655362:GOG655363 GOG720898:GOG720899 GOG786434:GOG786435 GOG851970:GOG851971 GOG917506:GOG917507 GOG983042:GOG983043 GYC2:GYC3 GYC65538:GYC65539 GYC131074:GYC131075 GYC196610:GYC196611 GYC262146:GYC262147 GYC327682:GYC327683 GYC393218:GYC393219 GYC458754:GYC458755 GYC524290:GYC524291 GYC589826:GYC589827 GYC655362:GYC655363 GYC720898:GYC720899 GYC786434:GYC786435 GYC851970:GYC851971 GYC917506:GYC917507 GYC983042:GYC983043 HHY2:HHY3 HHY65538:HHY65539 HHY131074:HHY131075 HHY196610:HHY196611 HHY262146:HHY262147 HHY327682:HHY327683 HHY393218:HHY393219 HHY458754:HHY458755 HHY524290:HHY524291 HHY589826:HHY589827 HHY655362:HHY655363 HHY720898:HHY720899 HHY786434:HHY786435 HHY851970:HHY851971 HHY917506:HHY917507 HHY983042:HHY983043 HRU2:HRU3 HRU65538:HRU65539 HRU131074:HRU131075 HRU196610:HRU196611 HRU262146:HRU262147 HRU327682:HRU327683 HRU393218:HRU393219 HRU458754:HRU458755 HRU524290:HRU524291 HRU589826:HRU589827 HRU655362:HRU655363 HRU720898:HRU720899 HRU786434:HRU786435 HRU851970:HRU851971 HRU917506:HRU917507 HRU983042:HRU983043 IBQ2:IBQ3 IBQ65538:IBQ65539 IBQ131074:IBQ131075 IBQ196610:IBQ196611 IBQ262146:IBQ262147 IBQ327682:IBQ327683 IBQ393218:IBQ393219 IBQ458754:IBQ458755 IBQ524290:IBQ524291 IBQ589826:IBQ589827 IBQ655362:IBQ655363 IBQ720898:IBQ720899 IBQ786434:IBQ786435 IBQ851970:IBQ851971 IBQ917506:IBQ917507 IBQ983042:IBQ983043 ILM2:ILM3 ILM65538:ILM65539 ILM131074:ILM131075 ILM196610:ILM196611 ILM262146:ILM262147 ILM327682:ILM327683 ILM393218:ILM393219 ILM458754:ILM458755 ILM524290:ILM524291 ILM589826:ILM589827 ILM655362:ILM655363 ILM720898:ILM720899 ILM786434:ILM786435 ILM851970:ILM851971 ILM917506:ILM917507 ILM983042:ILM983043 IVI2:IVI3 IVI65538:IVI65539 IVI131074:IVI131075 IVI196610:IVI196611 IVI262146:IVI262147 IVI327682:IVI327683 IVI393218:IVI393219 IVI458754:IVI458755 IVI524290:IVI524291 IVI589826:IVI589827 IVI655362:IVI655363 IVI720898:IVI720899 IVI786434:IVI786435 IVI851970:IVI851971 IVI917506:IVI917507 IVI983042:IVI983043 JFE2:JFE3 JFE65538:JFE65539 JFE131074:JFE131075 JFE196610:JFE196611 JFE262146:JFE262147 JFE327682:JFE327683 JFE393218:JFE393219 JFE458754:JFE458755 JFE524290:JFE524291 JFE589826:JFE589827 JFE655362:JFE655363 JFE720898:JFE720899 JFE786434:JFE786435 JFE851970:JFE851971 JFE917506:JFE917507 JFE983042:JFE983043 JPA2:JPA3 JPA65538:JPA65539 JPA131074:JPA131075 JPA196610:JPA196611 JPA262146:JPA262147 JPA327682:JPA327683 JPA393218:JPA393219 JPA458754:JPA458755 JPA524290:JPA524291 JPA589826:JPA589827 JPA655362:JPA655363 JPA720898:JPA720899 JPA786434:JPA786435 JPA851970:JPA851971 JPA917506:JPA917507 JPA983042:JPA983043 JYW2:JYW3 JYW65538:JYW65539 JYW131074:JYW131075 JYW196610:JYW196611 JYW262146:JYW262147 JYW327682:JYW327683 JYW393218:JYW393219 JYW458754:JYW458755 JYW524290:JYW524291 JYW589826:JYW589827 JYW655362:JYW655363 JYW720898:JYW720899 JYW786434:JYW786435 JYW851970:JYW851971 JYW917506:JYW917507 JYW983042:JYW983043 KIS2:KIS3 KIS65538:KIS65539 KIS131074:KIS131075 KIS196610:KIS196611 KIS262146:KIS262147 KIS327682:KIS327683 KIS393218:KIS393219 KIS458754:KIS458755 KIS524290:KIS524291 KIS589826:KIS589827 KIS655362:KIS655363 KIS720898:KIS720899 KIS786434:KIS786435 KIS851970:KIS851971 KIS917506:KIS917507 KIS983042:KIS983043 KSO2:KSO3 KSO65538:KSO65539 KSO131074:KSO131075 KSO196610:KSO196611 KSO262146:KSO262147 KSO327682:KSO327683 KSO393218:KSO393219 KSO458754:KSO458755 KSO524290:KSO524291 KSO589826:KSO589827 KSO655362:KSO655363 KSO720898:KSO720899 KSO786434:KSO786435 KSO851970:KSO851971 KSO917506:KSO917507 KSO983042:KSO983043 LCK2:LCK3 LCK65538:LCK65539 LCK131074:LCK131075 LCK196610:LCK196611 LCK262146:LCK262147 LCK327682:LCK327683 LCK393218:LCK393219 LCK458754:LCK458755 LCK524290:LCK524291 LCK589826:LCK589827 LCK655362:LCK655363 LCK720898:LCK720899 LCK786434:LCK786435 LCK851970:LCK851971 LCK917506:LCK917507 LCK983042:LCK983043 LMG2:LMG3 LMG65538:LMG65539 LMG131074:LMG131075 LMG196610:LMG196611 LMG262146:LMG262147 LMG327682:LMG327683 LMG393218:LMG393219 LMG458754:LMG458755 LMG524290:LMG524291 LMG589826:LMG589827 LMG655362:LMG655363 LMG720898:LMG720899 LMG786434:LMG786435 LMG851970:LMG851971 LMG917506:LMG917507 LMG983042:LMG983043 LWC2:LWC3 LWC65538:LWC65539 LWC131074:LWC131075 LWC196610:LWC196611 LWC262146:LWC262147 LWC327682:LWC327683 LWC393218:LWC393219 LWC458754:LWC458755 LWC524290:LWC524291 LWC589826:LWC589827 LWC655362:LWC655363 LWC720898:LWC720899 LWC786434:LWC786435 LWC851970:LWC851971 LWC917506:LWC917507 LWC983042:LWC983043 MFY2:MFY3 MFY65538:MFY65539 MFY131074:MFY131075 MFY196610:MFY196611 MFY262146:MFY262147 MFY327682:MFY327683 MFY393218:MFY393219 MFY458754:MFY458755 MFY524290:MFY524291 MFY589826:MFY589827 MFY655362:MFY655363 MFY720898:MFY720899 MFY786434:MFY786435 MFY851970:MFY851971 MFY917506:MFY917507 MFY983042:MFY983043 MPU2:MPU3 MPU65538:MPU65539 MPU131074:MPU131075 MPU196610:MPU196611 MPU262146:MPU262147 MPU327682:MPU327683 MPU393218:MPU393219 MPU458754:MPU458755 MPU524290:MPU524291 MPU589826:MPU589827 MPU655362:MPU655363 MPU720898:MPU720899 MPU786434:MPU786435 MPU851970:MPU851971 MPU917506:MPU917507 MPU983042:MPU983043 MZQ2:MZQ3 MZQ65538:MZQ65539 MZQ131074:MZQ131075 MZQ196610:MZQ196611 MZQ262146:MZQ262147 MZQ327682:MZQ327683 MZQ393218:MZQ393219 MZQ458754:MZQ458755 MZQ524290:MZQ524291 MZQ589826:MZQ589827 MZQ655362:MZQ655363 MZQ720898:MZQ720899 MZQ786434:MZQ786435 MZQ851970:MZQ851971 MZQ917506:MZQ917507 MZQ983042:MZQ983043 NJM2:NJM3 NJM65538:NJM65539 NJM131074:NJM131075 NJM196610:NJM196611 NJM262146:NJM262147 NJM327682:NJM327683 NJM393218:NJM393219 NJM458754:NJM458755 NJM524290:NJM524291 NJM589826:NJM589827 NJM655362:NJM655363 NJM720898:NJM720899 NJM786434:NJM786435 NJM851970:NJM851971 NJM917506:NJM917507 NJM983042:NJM983043 NTI2:NTI3 NTI65538:NTI65539 NTI131074:NTI131075 NTI196610:NTI196611 NTI262146:NTI262147 NTI327682:NTI327683 NTI393218:NTI393219 NTI458754:NTI458755 NTI524290:NTI524291 NTI589826:NTI589827 NTI655362:NTI655363 NTI720898:NTI720899 NTI786434:NTI786435 NTI851970:NTI851971 NTI917506:NTI917507 NTI983042:NTI983043 ODE2:ODE3 ODE65538:ODE65539 ODE131074:ODE131075 ODE196610:ODE196611 ODE262146:ODE262147 ODE327682:ODE327683 ODE393218:ODE393219 ODE458754:ODE458755 ODE524290:ODE524291 ODE589826:ODE589827 ODE655362:ODE655363 ODE720898:ODE720899 ODE786434:ODE786435 ODE851970:ODE851971 ODE917506:ODE917507 ODE983042:ODE983043 ONA2:ONA3 ONA65538:ONA65539 ONA131074:ONA131075 ONA196610:ONA196611 ONA262146:ONA262147 ONA327682:ONA327683 ONA393218:ONA393219 ONA458754:ONA458755 ONA524290:ONA524291 ONA589826:ONA589827 ONA655362:ONA655363 ONA720898:ONA720899 ONA786434:ONA786435 ONA851970:ONA851971 ONA917506:ONA917507 ONA983042:ONA983043 OWW2:OWW3 OWW65538:OWW65539 OWW131074:OWW131075 OWW196610:OWW196611 OWW262146:OWW262147 OWW327682:OWW327683 OWW393218:OWW393219 OWW458754:OWW458755 OWW524290:OWW524291 OWW589826:OWW589827 OWW655362:OWW655363 OWW720898:OWW720899 OWW786434:OWW786435 OWW851970:OWW851971 OWW917506:OWW917507 OWW983042:OWW983043 PGS2:PGS3 PGS65538:PGS65539 PGS131074:PGS131075 PGS196610:PGS196611 PGS262146:PGS262147 PGS327682:PGS327683 PGS393218:PGS393219 PGS458754:PGS458755 PGS524290:PGS524291 PGS589826:PGS589827 PGS655362:PGS655363 PGS720898:PGS720899 PGS786434:PGS786435 PGS851970:PGS851971 PGS917506:PGS917507 PGS983042:PGS983043 PQO2:PQO3 PQO65538:PQO65539 PQO131074:PQO131075 PQO196610:PQO196611 PQO262146:PQO262147 PQO327682:PQO327683 PQO393218:PQO393219 PQO458754:PQO458755 PQO524290:PQO524291 PQO589826:PQO589827 PQO655362:PQO655363 PQO720898:PQO720899 PQO786434:PQO786435 PQO851970:PQO851971 PQO917506:PQO917507 PQO983042:PQO983043 QAK2:QAK3 QAK65538:QAK65539 QAK131074:QAK131075 QAK196610:QAK196611 QAK262146:QAK262147 QAK327682:QAK327683 QAK393218:QAK393219 QAK458754:QAK458755 QAK524290:QAK524291 QAK589826:QAK589827 QAK655362:QAK655363 QAK720898:QAK720899 QAK786434:QAK786435 QAK851970:QAK851971 QAK917506:QAK917507 QAK983042:QAK983043 QKG2:QKG3 QKG65538:QKG65539 QKG131074:QKG131075 QKG196610:QKG196611 QKG262146:QKG262147 QKG327682:QKG327683 QKG393218:QKG393219 QKG458754:QKG458755 QKG524290:QKG524291 QKG589826:QKG589827 QKG655362:QKG655363 QKG720898:QKG720899 QKG786434:QKG786435 QKG851970:QKG851971 QKG917506:QKG917507 QKG983042:QKG983043 QUC2:QUC3 QUC65538:QUC65539 QUC131074:QUC131075 QUC196610:QUC196611 QUC262146:QUC262147 QUC327682:QUC327683 QUC393218:QUC393219 QUC458754:QUC458755 QUC524290:QUC524291 QUC589826:QUC589827 QUC655362:QUC655363 QUC720898:QUC720899 QUC786434:QUC786435 QUC851970:QUC851971 QUC917506:QUC917507 QUC983042:QUC983043 RDY2:RDY3 RDY65538:RDY65539 RDY131074:RDY131075 RDY196610:RDY196611 RDY262146:RDY262147 RDY327682:RDY327683 RDY393218:RDY393219 RDY458754:RDY458755 RDY524290:RDY524291 RDY589826:RDY589827 RDY655362:RDY655363 RDY720898:RDY720899 RDY786434:RDY786435 RDY851970:RDY851971 RDY917506:RDY917507 RDY983042:RDY983043 RNU2:RNU3 RNU65538:RNU65539 RNU131074:RNU131075 RNU196610:RNU196611 RNU262146:RNU262147 RNU327682:RNU327683 RNU393218:RNU393219 RNU458754:RNU458755 RNU524290:RNU524291 RNU589826:RNU589827 RNU655362:RNU655363 RNU720898:RNU720899 RNU786434:RNU786435 RNU851970:RNU851971 RNU917506:RNU917507 RNU983042:RNU983043 RXQ2:RXQ3 RXQ65538:RXQ65539 RXQ131074:RXQ131075 RXQ196610:RXQ196611 RXQ262146:RXQ262147 RXQ327682:RXQ327683 RXQ393218:RXQ393219 RXQ458754:RXQ458755 RXQ524290:RXQ524291 RXQ589826:RXQ589827 RXQ655362:RXQ655363 RXQ720898:RXQ720899 RXQ786434:RXQ786435 RXQ851970:RXQ851971 RXQ917506:RXQ917507 RXQ983042:RXQ983043 SHM2:SHM3 SHM65538:SHM65539 SHM131074:SHM131075 SHM196610:SHM196611 SHM262146:SHM262147 SHM327682:SHM327683 SHM393218:SHM393219 SHM458754:SHM458755 SHM524290:SHM524291 SHM589826:SHM589827 SHM655362:SHM655363 SHM720898:SHM720899 SHM786434:SHM786435 SHM851970:SHM851971 SHM917506:SHM917507 SHM983042:SHM983043 SRI2:SRI3 SRI65538:SRI65539 SRI131074:SRI131075 SRI196610:SRI196611 SRI262146:SRI262147 SRI327682:SRI327683 SRI393218:SRI393219 SRI458754:SRI458755 SRI524290:SRI524291 SRI589826:SRI589827 SRI655362:SRI655363 SRI720898:SRI720899 SRI786434:SRI786435 SRI851970:SRI851971 SRI917506:SRI917507 SRI983042:SRI983043 TBE2:TBE3 TBE65538:TBE65539 TBE131074:TBE131075 TBE196610:TBE196611 TBE262146:TBE262147 TBE327682:TBE327683 TBE393218:TBE393219 TBE458754:TBE458755 TBE524290:TBE524291 TBE589826:TBE589827 TBE655362:TBE655363 TBE720898:TBE720899 TBE786434:TBE786435 TBE851970:TBE851971 TBE917506:TBE917507 TBE983042:TBE983043 TLA2:TLA3 TLA65538:TLA65539 TLA131074:TLA131075 TLA196610:TLA196611 TLA262146:TLA262147 TLA327682:TLA327683 TLA393218:TLA393219 TLA458754:TLA458755 TLA524290:TLA524291 TLA589826:TLA589827 TLA655362:TLA655363 TLA720898:TLA720899 TLA786434:TLA786435 TLA851970:TLA851971 TLA917506:TLA917507 TLA983042:TLA983043 TUW2:TUW3 TUW65538:TUW65539 TUW131074:TUW131075 TUW196610:TUW196611 TUW262146:TUW262147 TUW327682:TUW327683 TUW393218:TUW393219 TUW458754:TUW458755 TUW524290:TUW524291 TUW589826:TUW589827 TUW655362:TUW655363 TUW720898:TUW720899 TUW786434:TUW786435 TUW851970:TUW851971 TUW917506:TUW917507 TUW983042:TUW983043 UES2:UES3 UES65538:UES65539 UES131074:UES131075 UES196610:UES196611 UES262146:UES262147 UES327682:UES327683 UES393218:UES393219 UES458754:UES458755 UES524290:UES524291 UES589826:UES589827 UES655362:UES655363 UES720898:UES720899 UES786434:UES786435 UES851970:UES851971 UES917506:UES917507 UES983042:UES983043 UOO2:UOO3 UOO65538:UOO65539 UOO131074:UOO131075 UOO196610:UOO196611 UOO262146:UOO262147 UOO327682:UOO327683 UOO393218:UOO393219 UOO458754:UOO458755 UOO524290:UOO524291 UOO589826:UOO589827 UOO655362:UOO655363 UOO720898:UOO720899 UOO786434:UOO786435 UOO851970:UOO851971 UOO917506:UOO917507 UOO983042:UOO983043 UYK2:UYK3 UYK65538:UYK65539 UYK131074:UYK131075 UYK196610:UYK196611 UYK262146:UYK262147 UYK327682:UYK327683 UYK393218:UYK393219 UYK458754:UYK458755 UYK524290:UYK524291 UYK589826:UYK589827 UYK655362:UYK655363 UYK720898:UYK720899 UYK786434:UYK786435 UYK851970:UYK851971 UYK917506:UYK917507 UYK983042:UYK983043 VIG2:VIG3 VIG65538:VIG65539 VIG131074:VIG131075 VIG196610:VIG196611 VIG262146:VIG262147 VIG327682:VIG327683 VIG393218:VIG393219 VIG458754:VIG458755 VIG524290:VIG524291 VIG589826:VIG589827 VIG655362:VIG655363 VIG720898:VIG720899 VIG786434:VIG786435 VIG851970:VIG851971 VIG917506:VIG917507 VIG983042:VIG983043 VSC2:VSC3 VSC65538:VSC65539 VSC131074:VSC131075 VSC196610:VSC196611 VSC262146:VSC262147 VSC327682:VSC327683 VSC393218:VSC393219 VSC458754:VSC458755 VSC524290:VSC524291 VSC589826:VSC589827 VSC655362:VSC655363 VSC720898:VSC720899 VSC786434:VSC786435 VSC851970:VSC851971 VSC917506:VSC917507 VSC983042:VSC983043 WBY2:WBY3 WBY65538:WBY65539 WBY131074:WBY131075 WBY196610:WBY196611 WBY262146:WBY262147 WBY327682:WBY327683 WBY393218:WBY393219 WBY458754:WBY458755 WBY524290:WBY524291 WBY589826:WBY589827 WBY655362:WBY655363 WBY720898:WBY720899 WBY786434:WBY786435 WBY851970:WBY851971 WBY917506:WBY917507 WBY983042:WBY983043 WLU2:WLU3 WLU65538:WLU65539 WLU131074:WLU131075 WLU196610:WLU196611 WLU262146:WLU262147 WLU327682:WLU327683 WLU393218:WLU393219 WLU458754:WLU458755 WLU524290:WLU524291 WLU589826:WLU589827 WLU655362:WLU655363 WLU720898:WLU720899 WLU786434:WLU786435 WLU851970:WLU851971 WLU917506:WLU917507 WLU983042:WLU983043 WVQ2:WVQ3 WVQ65538:WVQ65539 WVQ131074:WVQ131075 WVQ196610:WVQ196611 WVQ262146:WVQ262147 WVQ327682:WVQ327683 WVQ393218:WVQ393219 WVQ458754:WVQ458755 WVQ524290:WVQ524291 WVQ589826:WVQ589827 WVQ655362:WVQ655363 WVQ720898:WVQ720899 WVQ786434:WVQ786435 WVQ851970:WVQ851971 WVQ917506:WVQ917507 WVQ983042:WVQ983043" xr:uid="{00000000-0002-0000-0900-000002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E65538:E65539 E131074:E131075 E196610:E196611 E262146:E262147 E327682:E327683 E393218:E393219 E458754:E458755 E524290:E524291 E589826:E589827 E655362:E655363 E720898:E720899 E786434:E786435 E851970:E851971 E917506:E917507 E983042:E983043 JB2:JB3 JB65538:JB65539 JB131074:JB131075 JB196610:JB196611 JB262146:JB262147 JB327682:JB327683 JB393218:JB393219 JB458754:JB458755 JB524290:JB524291 JB589826:JB589827 JB655362:JB655363 JB720898:JB720899 JB786434:JB786435 JB851970:JB851971 JB917506:JB917507 JB983042:JB983043 SX2:SX3 SX65538:SX65539 SX131074:SX131075 SX196610:SX196611 SX262146:SX262147 SX327682:SX327683 SX393218:SX393219 SX458754:SX458755 SX524290:SX524291 SX589826:SX589827 SX655362:SX655363 SX720898:SX720899 SX786434:SX786435 SX851970:SX851971 SX917506:SX917507 SX983042:SX983043 ACT2:ACT3 ACT65538:ACT65539 ACT131074:ACT131075 ACT196610:ACT196611 ACT262146:ACT262147 ACT327682:ACT327683 ACT393218:ACT393219 ACT458754:ACT458755 ACT524290:ACT524291 ACT589826:ACT589827 ACT655362:ACT655363 ACT720898:ACT720899 ACT786434:ACT786435 ACT851970:ACT851971 ACT917506:ACT917507 ACT983042:ACT983043 AMP2:AMP3 AMP65538:AMP65539 AMP131074:AMP131075 AMP196610:AMP196611 AMP262146:AMP262147 AMP327682:AMP327683 AMP393218:AMP393219 AMP458754:AMP458755 AMP524290:AMP524291 AMP589826:AMP589827 AMP655362:AMP655363 AMP720898:AMP720899 AMP786434:AMP786435 AMP851970:AMP851971 AMP917506:AMP917507 AMP983042:AMP983043 AWL2:AWL3 AWL65538:AWL65539 AWL131074:AWL131075 AWL196610:AWL196611 AWL262146:AWL262147 AWL327682:AWL327683 AWL393218:AWL393219 AWL458754:AWL458755 AWL524290:AWL524291 AWL589826:AWL589827 AWL655362:AWL655363 AWL720898:AWL720899 AWL786434:AWL786435 AWL851970:AWL851971 AWL917506:AWL917507 AWL983042:AWL983043 BGH2:BGH3 BGH65538:BGH65539 BGH131074:BGH131075 BGH196610:BGH196611 BGH262146:BGH262147 BGH327682:BGH327683 BGH393218:BGH393219 BGH458754:BGH458755 BGH524290:BGH524291 BGH589826:BGH589827 BGH655362:BGH655363 BGH720898:BGH720899 BGH786434:BGH786435 BGH851970:BGH851971 BGH917506:BGH917507 BGH983042:BGH983043 BQD2:BQD3 BQD65538:BQD65539 BQD131074:BQD131075 BQD196610:BQD196611 BQD262146:BQD262147 BQD327682:BQD327683 BQD393218:BQD393219 BQD458754:BQD458755 BQD524290:BQD524291 BQD589826:BQD589827 BQD655362:BQD655363 BQD720898:BQD720899 BQD786434:BQD786435 BQD851970:BQD851971 BQD917506:BQD917507 BQD983042:BQD983043 BZZ2:BZZ3 BZZ65538:BZZ65539 BZZ131074:BZZ131075 BZZ196610:BZZ196611 BZZ262146:BZZ262147 BZZ327682:BZZ327683 BZZ393218:BZZ393219 BZZ458754:BZZ458755 BZZ524290:BZZ524291 BZZ589826:BZZ589827 BZZ655362:BZZ655363 BZZ720898:BZZ720899 BZZ786434:BZZ786435 BZZ851970:BZZ851971 BZZ917506:BZZ917507 BZZ983042:BZZ983043 CJV2:CJV3 CJV65538:CJV65539 CJV131074:CJV131075 CJV196610:CJV196611 CJV262146:CJV262147 CJV327682:CJV327683 CJV393218:CJV393219 CJV458754:CJV458755 CJV524290:CJV524291 CJV589826:CJV589827 CJV655362:CJV655363 CJV720898:CJV720899 CJV786434:CJV786435 CJV851970:CJV851971 CJV917506:CJV917507 CJV983042:CJV983043 CTR2:CTR3 CTR65538:CTR65539 CTR131074:CTR131075 CTR196610:CTR196611 CTR262146:CTR262147 CTR327682:CTR327683 CTR393218:CTR393219 CTR458754:CTR458755 CTR524290:CTR524291 CTR589826:CTR589827 CTR655362:CTR655363 CTR720898:CTR720899 CTR786434:CTR786435 CTR851970:CTR851971 CTR917506:CTR917507 CTR983042:CTR983043 DDN2:DDN3 DDN65538:DDN65539 DDN131074:DDN131075 DDN196610:DDN196611 DDN262146:DDN262147 DDN327682:DDN327683 DDN393218:DDN393219 DDN458754:DDN458755 DDN524290:DDN524291 DDN589826:DDN589827 DDN655362:DDN655363 DDN720898:DDN720899 DDN786434:DDN786435 DDN851970:DDN851971 DDN917506:DDN917507 DDN983042:DDN983043 DNJ2:DNJ3 DNJ65538:DNJ65539 DNJ131074:DNJ131075 DNJ196610:DNJ196611 DNJ262146:DNJ262147 DNJ327682:DNJ327683 DNJ393218:DNJ393219 DNJ458754:DNJ458755 DNJ524290:DNJ524291 DNJ589826:DNJ589827 DNJ655362:DNJ655363 DNJ720898:DNJ720899 DNJ786434:DNJ786435 DNJ851970:DNJ851971 DNJ917506:DNJ917507 DNJ983042:DNJ983043 DXF2:DXF3 DXF65538:DXF65539 DXF131074:DXF131075 DXF196610:DXF196611 DXF262146:DXF262147 DXF327682:DXF327683 DXF393218:DXF393219 DXF458754:DXF458755 DXF524290:DXF524291 DXF589826:DXF589827 DXF655362:DXF655363 DXF720898:DXF720899 DXF786434:DXF786435 DXF851970:DXF851971 DXF917506:DXF917507 DXF983042:DXF983043 EHB2:EHB3 EHB65538:EHB65539 EHB131074:EHB131075 EHB196610:EHB196611 EHB262146:EHB262147 EHB327682:EHB327683 EHB393218:EHB393219 EHB458754:EHB458755 EHB524290:EHB524291 EHB589826:EHB589827 EHB655362:EHB655363 EHB720898:EHB720899 EHB786434:EHB786435 EHB851970:EHB851971 EHB917506:EHB917507 EHB983042:EHB983043 EQX2:EQX3 EQX65538:EQX65539 EQX131074:EQX131075 EQX196610:EQX196611 EQX262146:EQX262147 EQX327682:EQX327683 EQX393218:EQX393219 EQX458754:EQX458755 EQX524290:EQX524291 EQX589826:EQX589827 EQX655362:EQX655363 EQX720898:EQX720899 EQX786434:EQX786435 EQX851970:EQX851971 EQX917506:EQX917507 EQX983042:EQX983043 FAT2:FAT3 FAT65538:FAT65539 FAT131074:FAT131075 FAT196610:FAT196611 FAT262146:FAT262147 FAT327682:FAT327683 FAT393218:FAT393219 FAT458754:FAT458755 FAT524290:FAT524291 FAT589826:FAT589827 FAT655362:FAT655363 FAT720898:FAT720899 FAT786434:FAT786435 FAT851970:FAT851971 FAT917506:FAT917507 FAT983042:FAT983043 FKP2:FKP3 FKP65538:FKP65539 FKP131074:FKP131075 FKP196610:FKP196611 FKP262146:FKP262147 FKP327682:FKP327683 FKP393218:FKP393219 FKP458754:FKP458755 FKP524290:FKP524291 FKP589826:FKP589827 FKP655362:FKP655363 FKP720898:FKP720899 FKP786434:FKP786435 FKP851970:FKP851971 FKP917506:FKP917507 FKP983042:FKP983043 FUL2:FUL3 FUL65538:FUL65539 FUL131074:FUL131075 FUL196610:FUL196611 FUL262146:FUL262147 FUL327682:FUL327683 FUL393218:FUL393219 FUL458754:FUL458755 FUL524290:FUL524291 FUL589826:FUL589827 FUL655362:FUL655363 FUL720898:FUL720899 FUL786434:FUL786435 FUL851970:FUL851971 FUL917506:FUL917507 FUL983042:FUL983043 GEH2:GEH3 GEH65538:GEH65539 GEH131074:GEH131075 GEH196610:GEH196611 GEH262146:GEH262147 GEH327682:GEH327683 GEH393218:GEH393219 GEH458754:GEH458755 GEH524290:GEH524291 GEH589826:GEH589827 GEH655362:GEH655363 GEH720898:GEH720899 GEH786434:GEH786435 GEH851970:GEH851971 GEH917506:GEH917507 GEH983042:GEH983043 GOD2:GOD3 GOD65538:GOD65539 GOD131074:GOD131075 GOD196610:GOD196611 GOD262146:GOD262147 GOD327682:GOD327683 GOD393218:GOD393219 GOD458754:GOD458755 GOD524290:GOD524291 GOD589826:GOD589827 GOD655362:GOD655363 GOD720898:GOD720899 GOD786434:GOD786435 GOD851970:GOD851971 GOD917506:GOD917507 GOD983042:GOD983043 GXZ2:GXZ3 GXZ65538:GXZ65539 GXZ131074:GXZ131075 GXZ196610:GXZ196611 GXZ262146:GXZ262147 GXZ327682:GXZ327683 GXZ393218:GXZ393219 GXZ458754:GXZ458755 GXZ524290:GXZ524291 GXZ589826:GXZ589827 GXZ655362:GXZ655363 GXZ720898:GXZ720899 GXZ786434:GXZ786435 GXZ851970:GXZ851971 GXZ917506:GXZ917507 GXZ983042:GXZ983043 HHV2:HHV3 HHV65538:HHV65539 HHV131074:HHV131075 HHV196610:HHV196611 HHV262146:HHV262147 HHV327682:HHV327683 HHV393218:HHV393219 HHV458754:HHV458755 HHV524290:HHV524291 HHV589826:HHV589827 HHV655362:HHV655363 HHV720898:HHV720899 HHV786434:HHV786435 HHV851970:HHV851971 HHV917506:HHV917507 HHV983042:HHV983043 HRR2:HRR3 HRR65538:HRR65539 HRR131074:HRR131075 HRR196610:HRR196611 HRR262146:HRR262147 HRR327682:HRR327683 HRR393218:HRR393219 HRR458754:HRR458755 HRR524290:HRR524291 HRR589826:HRR589827 HRR655362:HRR655363 HRR720898:HRR720899 HRR786434:HRR786435 HRR851970:HRR851971 HRR917506:HRR917507 HRR983042:HRR983043 IBN2:IBN3 IBN65538:IBN65539 IBN131074:IBN131075 IBN196610:IBN196611 IBN262146:IBN262147 IBN327682:IBN327683 IBN393218:IBN393219 IBN458754:IBN458755 IBN524290:IBN524291 IBN589826:IBN589827 IBN655362:IBN655363 IBN720898:IBN720899 IBN786434:IBN786435 IBN851970:IBN851971 IBN917506:IBN917507 IBN983042:IBN983043 ILJ2:ILJ3 ILJ65538:ILJ65539 ILJ131074:ILJ131075 ILJ196610:ILJ196611 ILJ262146:ILJ262147 ILJ327682:ILJ327683 ILJ393218:ILJ393219 ILJ458754:ILJ458755 ILJ524290:ILJ524291 ILJ589826:ILJ589827 ILJ655362:ILJ655363 ILJ720898:ILJ720899 ILJ786434:ILJ786435 ILJ851970:ILJ851971 ILJ917506:ILJ917507 ILJ983042:ILJ983043 IVF2:IVF3 IVF65538:IVF65539 IVF131074:IVF131075 IVF196610:IVF196611 IVF262146:IVF262147 IVF327682:IVF327683 IVF393218:IVF393219 IVF458754:IVF458755 IVF524290:IVF524291 IVF589826:IVF589827 IVF655362:IVF655363 IVF720898:IVF720899 IVF786434:IVF786435 IVF851970:IVF851971 IVF917506:IVF917507 IVF983042:IVF983043 JFB2:JFB3 JFB65538:JFB65539 JFB131074:JFB131075 JFB196610:JFB196611 JFB262146:JFB262147 JFB327682:JFB327683 JFB393218:JFB393219 JFB458754:JFB458755 JFB524290:JFB524291 JFB589826:JFB589827 JFB655362:JFB655363 JFB720898:JFB720899 JFB786434:JFB786435 JFB851970:JFB851971 JFB917506:JFB917507 JFB983042:JFB983043 JOX2:JOX3 JOX65538:JOX65539 JOX131074:JOX131075 JOX196610:JOX196611 JOX262146:JOX262147 JOX327682:JOX327683 JOX393218:JOX393219 JOX458754:JOX458755 JOX524290:JOX524291 JOX589826:JOX589827 JOX655362:JOX655363 JOX720898:JOX720899 JOX786434:JOX786435 JOX851970:JOX851971 JOX917506:JOX917507 JOX983042:JOX983043 JYT2:JYT3 JYT65538:JYT65539 JYT131074:JYT131075 JYT196610:JYT196611 JYT262146:JYT262147 JYT327682:JYT327683 JYT393218:JYT393219 JYT458754:JYT458755 JYT524290:JYT524291 JYT589826:JYT589827 JYT655362:JYT655363 JYT720898:JYT720899 JYT786434:JYT786435 JYT851970:JYT851971 JYT917506:JYT917507 JYT983042:JYT983043 KIP2:KIP3 KIP65538:KIP65539 KIP131074:KIP131075 KIP196610:KIP196611 KIP262146:KIP262147 KIP327682:KIP327683 KIP393218:KIP393219 KIP458754:KIP458755 KIP524290:KIP524291 KIP589826:KIP589827 KIP655362:KIP655363 KIP720898:KIP720899 KIP786434:KIP786435 KIP851970:KIP851971 KIP917506:KIP917507 KIP983042:KIP983043 KSL2:KSL3 KSL65538:KSL65539 KSL131074:KSL131075 KSL196610:KSL196611 KSL262146:KSL262147 KSL327682:KSL327683 KSL393218:KSL393219 KSL458754:KSL458755 KSL524290:KSL524291 KSL589826:KSL589827 KSL655362:KSL655363 KSL720898:KSL720899 KSL786434:KSL786435 KSL851970:KSL851971 KSL917506:KSL917507 KSL983042:KSL983043 LCH2:LCH3 LCH65538:LCH65539 LCH131074:LCH131075 LCH196610:LCH196611 LCH262146:LCH262147 LCH327682:LCH327683 LCH393218:LCH393219 LCH458754:LCH458755 LCH524290:LCH524291 LCH589826:LCH589827 LCH655362:LCH655363 LCH720898:LCH720899 LCH786434:LCH786435 LCH851970:LCH851971 LCH917506:LCH917507 LCH983042:LCH983043 LMD2:LMD3 LMD65538:LMD65539 LMD131074:LMD131075 LMD196610:LMD196611 LMD262146:LMD262147 LMD327682:LMD327683 LMD393218:LMD393219 LMD458754:LMD458755 LMD524290:LMD524291 LMD589826:LMD589827 LMD655362:LMD655363 LMD720898:LMD720899 LMD786434:LMD786435 LMD851970:LMD851971 LMD917506:LMD917507 LMD983042:LMD983043 LVZ2:LVZ3 LVZ65538:LVZ65539 LVZ131074:LVZ131075 LVZ196610:LVZ196611 LVZ262146:LVZ262147 LVZ327682:LVZ327683 LVZ393218:LVZ393219 LVZ458754:LVZ458755 LVZ524290:LVZ524291 LVZ589826:LVZ589827 LVZ655362:LVZ655363 LVZ720898:LVZ720899 LVZ786434:LVZ786435 LVZ851970:LVZ851971 LVZ917506:LVZ917507 LVZ983042:LVZ983043 MFV2:MFV3 MFV65538:MFV65539 MFV131074:MFV131075 MFV196610:MFV196611 MFV262146:MFV262147 MFV327682:MFV327683 MFV393218:MFV393219 MFV458754:MFV458755 MFV524290:MFV524291 MFV589826:MFV589827 MFV655362:MFV655363 MFV720898:MFV720899 MFV786434:MFV786435 MFV851970:MFV851971 MFV917506:MFV917507 MFV983042:MFV983043 MPR2:MPR3 MPR65538:MPR65539 MPR131074:MPR131075 MPR196610:MPR196611 MPR262146:MPR262147 MPR327682:MPR327683 MPR393218:MPR393219 MPR458754:MPR458755 MPR524290:MPR524291 MPR589826:MPR589827 MPR655362:MPR655363 MPR720898:MPR720899 MPR786434:MPR786435 MPR851970:MPR851971 MPR917506:MPR917507 MPR983042:MPR983043 MZN2:MZN3 MZN65538:MZN65539 MZN131074:MZN131075 MZN196610:MZN196611 MZN262146:MZN262147 MZN327682:MZN327683 MZN393218:MZN393219 MZN458754:MZN458755 MZN524290:MZN524291 MZN589826:MZN589827 MZN655362:MZN655363 MZN720898:MZN720899 MZN786434:MZN786435 MZN851970:MZN851971 MZN917506:MZN917507 MZN983042:MZN983043 NJJ2:NJJ3 NJJ65538:NJJ65539 NJJ131074:NJJ131075 NJJ196610:NJJ196611 NJJ262146:NJJ262147 NJJ327682:NJJ327683 NJJ393218:NJJ393219 NJJ458754:NJJ458755 NJJ524290:NJJ524291 NJJ589826:NJJ589827 NJJ655362:NJJ655363 NJJ720898:NJJ720899 NJJ786434:NJJ786435 NJJ851970:NJJ851971 NJJ917506:NJJ917507 NJJ983042:NJJ983043 NTF2:NTF3 NTF65538:NTF65539 NTF131074:NTF131075 NTF196610:NTF196611 NTF262146:NTF262147 NTF327682:NTF327683 NTF393218:NTF393219 NTF458754:NTF458755 NTF524290:NTF524291 NTF589826:NTF589827 NTF655362:NTF655363 NTF720898:NTF720899 NTF786434:NTF786435 NTF851970:NTF851971 NTF917506:NTF917507 NTF983042:NTF983043 ODB2:ODB3 ODB65538:ODB65539 ODB131074:ODB131075 ODB196610:ODB196611 ODB262146:ODB262147 ODB327682:ODB327683 ODB393218:ODB393219 ODB458754:ODB458755 ODB524290:ODB524291 ODB589826:ODB589827 ODB655362:ODB655363 ODB720898:ODB720899 ODB786434:ODB786435 ODB851970:ODB851971 ODB917506:ODB917507 ODB983042:ODB983043 OMX2:OMX3 OMX65538:OMX65539 OMX131074:OMX131075 OMX196610:OMX196611 OMX262146:OMX262147 OMX327682:OMX327683 OMX393218:OMX393219 OMX458754:OMX458755 OMX524290:OMX524291 OMX589826:OMX589827 OMX655362:OMX655363 OMX720898:OMX720899 OMX786434:OMX786435 OMX851970:OMX851971 OMX917506:OMX917507 OMX983042:OMX983043 OWT2:OWT3 OWT65538:OWT65539 OWT131074:OWT131075 OWT196610:OWT196611 OWT262146:OWT262147 OWT327682:OWT327683 OWT393218:OWT393219 OWT458754:OWT458755 OWT524290:OWT524291 OWT589826:OWT589827 OWT655362:OWT655363 OWT720898:OWT720899 OWT786434:OWT786435 OWT851970:OWT851971 OWT917506:OWT917507 OWT983042:OWT983043 PGP2:PGP3 PGP65538:PGP65539 PGP131074:PGP131075 PGP196610:PGP196611 PGP262146:PGP262147 PGP327682:PGP327683 PGP393218:PGP393219 PGP458754:PGP458755 PGP524290:PGP524291 PGP589826:PGP589827 PGP655362:PGP655363 PGP720898:PGP720899 PGP786434:PGP786435 PGP851970:PGP851971 PGP917506:PGP917507 PGP983042:PGP983043 PQL2:PQL3 PQL65538:PQL65539 PQL131074:PQL131075 PQL196610:PQL196611 PQL262146:PQL262147 PQL327682:PQL327683 PQL393218:PQL393219 PQL458754:PQL458755 PQL524290:PQL524291 PQL589826:PQL589827 PQL655362:PQL655363 PQL720898:PQL720899 PQL786434:PQL786435 PQL851970:PQL851971 PQL917506:PQL917507 PQL983042:PQL983043 QAH2:QAH3 QAH65538:QAH65539 QAH131074:QAH131075 QAH196610:QAH196611 QAH262146:QAH262147 QAH327682:QAH327683 QAH393218:QAH393219 QAH458754:QAH458755 QAH524290:QAH524291 QAH589826:QAH589827 QAH655362:QAH655363 QAH720898:QAH720899 QAH786434:QAH786435 QAH851970:QAH851971 QAH917506:QAH917507 QAH983042:QAH983043 QKD2:QKD3 QKD65538:QKD65539 QKD131074:QKD131075 QKD196610:QKD196611 QKD262146:QKD262147 QKD327682:QKD327683 QKD393218:QKD393219 QKD458754:QKD458755 QKD524290:QKD524291 QKD589826:QKD589827 QKD655362:QKD655363 QKD720898:QKD720899 QKD786434:QKD786435 QKD851970:QKD851971 QKD917506:QKD917507 QKD983042:QKD983043 QTZ2:QTZ3 QTZ65538:QTZ65539 QTZ131074:QTZ131075 QTZ196610:QTZ196611 QTZ262146:QTZ262147 QTZ327682:QTZ327683 QTZ393218:QTZ393219 QTZ458754:QTZ458755 QTZ524290:QTZ524291 QTZ589826:QTZ589827 QTZ655362:QTZ655363 QTZ720898:QTZ720899 QTZ786434:QTZ786435 QTZ851970:QTZ851971 QTZ917506:QTZ917507 QTZ983042:QTZ983043 RDV2:RDV3 RDV65538:RDV65539 RDV131074:RDV131075 RDV196610:RDV196611 RDV262146:RDV262147 RDV327682:RDV327683 RDV393218:RDV393219 RDV458754:RDV458755 RDV524290:RDV524291 RDV589826:RDV589827 RDV655362:RDV655363 RDV720898:RDV720899 RDV786434:RDV786435 RDV851970:RDV851971 RDV917506:RDV917507 RDV983042:RDV983043 RNR2:RNR3 RNR65538:RNR65539 RNR131074:RNR131075 RNR196610:RNR196611 RNR262146:RNR262147 RNR327682:RNR327683 RNR393218:RNR393219 RNR458754:RNR458755 RNR524290:RNR524291 RNR589826:RNR589827 RNR655362:RNR655363 RNR720898:RNR720899 RNR786434:RNR786435 RNR851970:RNR851971 RNR917506:RNR917507 RNR983042:RNR983043 RXN2:RXN3 RXN65538:RXN65539 RXN131074:RXN131075 RXN196610:RXN196611 RXN262146:RXN262147 RXN327682:RXN327683 RXN393218:RXN393219 RXN458754:RXN458755 RXN524290:RXN524291 RXN589826:RXN589827 RXN655362:RXN655363 RXN720898:RXN720899 RXN786434:RXN786435 RXN851970:RXN851971 RXN917506:RXN917507 RXN983042:RXN983043 SHJ2:SHJ3 SHJ65538:SHJ65539 SHJ131074:SHJ131075 SHJ196610:SHJ196611 SHJ262146:SHJ262147 SHJ327682:SHJ327683 SHJ393218:SHJ393219 SHJ458754:SHJ458755 SHJ524290:SHJ524291 SHJ589826:SHJ589827 SHJ655362:SHJ655363 SHJ720898:SHJ720899 SHJ786434:SHJ786435 SHJ851970:SHJ851971 SHJ917506:SHJ917507 SHJ983042:SHJ983043 SRF2:SRF3 SRF65538:SRF65539 SRF131074:SRF131075 SRF196610:SRF196611 SRF262146:SRF262147 SRF327682:SRF327683 SRF393218:SRF393219 SRF458754:SRF458755 SRF524290:SRF524291 SRF589826:SRF589827 SRF655362:SRF655363 SRF720898:SRF720899 SRF786434:SRF786435 SRF851970:SRF851971 SRF917506:SRF917507 SRF983042:SRF983043 TBB2:TBB3 TBB65538:TBB65539 TBB131074:TBB131075 TBB196610:TBB196611 TBB262146:TBB262147 TBB327682:TBB327683 TBB393218:TBB393219 TBB458754:TBB458755 TBB524290:TBB524291 TBB589826:TBB589827 TBB655362:TBB655363 TBB720898:TBB720899 TBB786434:TBB786435 TBB851970:TBB851971 TBB917506:TBB917507 TBB983042:TBB983043 TKX2:TKX3 TKX65538:TKX65539 TKX131074:TKX131075 TKX196610:TKX196611 TKX262146:TKX262147 TKX327682:TKX327683 TKX393218:TKX393219 TKX458754:TKX458755 TKX524290:TKX524291 TKX589826:TKX589827 TKX655362:TKX655363 TKX720898:TKX720899 TKX786434:TKX786435 TKX851970:TKX851971 TKX917506:TKX917507 TKX983042:TKX983043 TUT2:TUT3 TUT65538:TUT65539 TUT131074:TUT131075 TUT196610:TUT196611 TUT262146:TUT262147 TUT327682:TUT327683 TUT393218:TUT393219 TUT458754:TUT458755 TUT524290:TUT524291 TUT589826:TUT589827 TUT655362:TUT655363 TUT720898:TUT720899 TUT786434:TUT786435 TUT851970:TUT851971 TUT917506:TUT917507 TUT983042:TUT983043 UEP2:UEP3 UEP65538:UEP65539 UEP131074:UEP131075 UEP196610:UEP196611 UEP262146:UEP262147 UEP327682:UEP327683 UEP393218:UEP393219 UEP458754:UEP458755 UEP524290:UEP524291 UEP589826:UEP589827 UEP655362:UEP655363 UEP720898:UEP720899 UEP786434:UEP786435 UEP851970:UEP851971 UEP917506:UEP917507 UEP983042:UEP983043 UOL2:UOL3 UOL65538:UOL65539 UOL131074:UOL131075 UOL196610:UOL196611 UOL262146:UOL262147 UOL327682:UOL327683 UOL393218:UOL393219 UOL458754:UOL458755 UOL524290:UOL524291 UOL589826:UOL589827 UOL655362:UOL655363 UOL720898:UOL720899 UOL786434:UOL786435 UOL851970:UOL851971 UOL917506:UOL917507 UOL983042:UOL983043 UYH2:UYH3 UYH65538:UYH65539 UYH131074:UYH131075 UYH196610:UYH196611 UYH262146:UYH262147 UYH327682:UYH327683 UYH393218:UYH393219 UYH458754:UYH458755 UYH524290:UYH524291 UYH589826:UYH589827 UYH655362:UYH655363 UYH720898:UYH720899 UYH786434:UYH786435 UYH851970:UYH851971 UYH917506:UYH917507 UYH983042:UYH983043 VID2:VID3 VID65538:VID65539 VID131074:VID131075 VID196610:VID196611 VID262146:VID262147 VID327682:VID327683 VID393218:VID393219 VID458754:VID458755 VID524290:VID524291 VID589826:VID589827 VID655362:VID655363 VID720898:VID720899 VID786434:VID786435 VID851970:VID851971 VID917506:VID917507 VID983042:VID983043 VRZ2:VRZ3 VRZ65538:VRZ65539 VRZ131074:VRZ131075 VRZ196610:VRZ196611 VRZ262146:VRZ262147 VRZ327682:VRZ327683 VRZ393218:VRZ393219 VRZ458754:VRZ458755 VRZ524290:VRZ524291 VRZ589826:VRZ589827 VRZ655362:VRZ655363 VRZ720898:VRZ720899 VRZ786434:VRZ786435 VRZ851970:VRZ851971 VRZ917506:VRZ917507 VRZ983042:VRZ983043 WBV2:WBV3 WBV65538:WBV65539 WBV131074:WBV131075 WBV196610:WBV196611 WBV262146:WBV262147 WBV327682:WBV327683 WBV393218:WBV393219 WBV458754:WBV458755 WBV524290:WBV524291 WBV589826:WBV589827 WBV655362:WBV655363 WBV720898:WBV720899 WBV786434:WBV786435 WBV851970:WBV851971 WBV917506:WBV917507 WBV983042:WBV983043 WLR2:WLR3 WLR65538:WLR65539 WLR131074:WLR131075 WLR196610:WLR196611 WLR262146:WLR262147 WLR327682:WLR327683 WLR393218:WLR393219 WLR458754:WLR458755 WLR524290:WLR524291 WLR589826:WLR589827 WLR655362:WLR655363 WLR720898:WLR720899 WLR786434:WLR786435 WLR851970:WLR851971 WLR917506:WLR917507 WLR983042:WLR983043 WVN2:WVN3 WVN65538:WVN65539 WVN131074:WVN131075 WVN196610:WVN196611 WVN262146:WVN262147 WVN327682:WVN327683 WVN393218:WVN393219 WVN458754:WVN458755 WVN524290:WVN524291 WVN589826:WVN589827 WVN655362:WVN655363 WVN720898:WVN720899 WVN786434:WVN786435 WVN851970:WVN851971 WVN917506:WVN917507 WVN983042:WVN983043" xr:uid="{00000000-0002-0000-0900-000003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F4 F65540 F131076 F196612 F262148 F327684 F393220 F458756 F524292 F589828 F655364 F720900 F786436 F851972 F917508 F983044 G2:G3 G65538:G65539 G131074:G131075 G196610:G196611 G262146:G262147 G327682:G327683 G393218:G393219 G458754:G458755 G524290:G524291 G589826:G589827 G655362:G655363 G720898:G720899 G786434:G786435 G851970:G851971 G917506:G917507 G983042:G983043 JC4 JC65540 JC131076 JC196612 JC262148 JC327684 JC393220 JC458756 JC524292 JC589828 JC655364 JC720900 JC786436 JC851972 JC917508 JC983044 JD2:JD3 JD65538:JD65539 JD131074:JD131075 JD196610:JD196611 JD262146:JD262147 JD327682:JD327683 JD393218:JD393219 JD458754:JD458755 JD524290:JD524291 JD589826:JD589827 JD655362:JD655363 JD720898:JD720899 JD786434:JD786435 JD851970:JD851971 JD917506:JD917507 JD983042:JD983043 SY4 SY65540 SY131076 SY196612 SY262148 SY327684 SY393220 SY458756 SY524292 SY589828 SY655364 SY720900 SY786436 SY851972 SY917508 SY983044 SZ2:SZ3 SZ65538:SZ65539 SZ131074:SZ131075 SZ196610:SZ196611 SZ262146:SZ262147 SZ327682:SZ327683 SZ393218:SZ393219 SZ458754:SZ458755 SZ524290:SZ524291 SZ589826:SZ589827 SZ655362:SZ655363 SZ720898:SZ720899 SZ786434:SZ786435 SZ851970:SZ851971 SZ917506:SZ917507 SZ983042:SZ983043 ACU4 ACU65540 ACU131076 ACU196612 ACU262148 ACU327684 ACU393220 ACU458756 ACU524292 ACU589828 ACU655364 ACU720900 ACU786436 ACU851972 ACU917508 ACU983044 ACV2:ACV3 ACV65538:ACV65539 ACV131074:ACV131075 ACV196610:ACV196611 ACV262146:ACV262147 ACV327682:ACV327683 ACV393218:ACV393219 ACV458754:ACV458755 ACV524290:ACV524291 ACV589826:ACV589827 ACV655362:ACV655363 ACV720898:ACV720899 ACV786434:ACV786435 ACV851970:ACV851971 ACV917506:ACV917507 ACV983042:ACV983043 AMQ4 AMQ65540 AMQ131076 AMQ196612 AMQ262148 AMQ327684 AMQ393220 AMQ458756 AMQ524292 AMQ589828 AMQ655364 AMQ720900 AMQ786436 AMQ851972 AMQ917508 AMQ983044 AMR2:AMR3 AMR65538:AMR65539 AMR131074:AMR131075 AMR196610:AMR196611 AMR262146:AMR262147 AMR327682:AMR327683 AMR393218:AMR393219 AMR458754:AMR458755 AMR524290:AMR524291 AMR589826:AMR589827 AMR655362:AMR655363 AMR720898:AMR720899 AMR786434:AMR786435 AMR851970:AMR851971 AMR917506:AMR917507 AMR983042:AMR983043 AWM4 AWM65540 AWM131076 AWM196612 AWM262148 AWM327684 AWM393220 AWM458756 AWM524292 AWM589828 AWM655364 AWM720900 AWM786436 AWM851972 AWM917508 AWM983044 AWN2:AWN3 AWN65538:AWN65539 AWN131074:AWN131075 AWN196610:AWN196611 AWN262146:AWN262147 AWN327682:AWN327683 AWN393218:AWN393219 AWN458754:AWN458755 AWN524290:AWN524291 AWN589826:AWN589827 AWN655362:AWN655363 AWN720898:AWN720899 AWN786434:AWN786435 AWN851970:AWN851971 AWN917506:AWN917507 AWN983042:AWN983043 BGI4 BGI65540 BGI131076 BGI196612 BGI262148 BGI327684 BGI393220 BGI458756 BGI524292 BGI589828 BGI655364 BGI720900 BGI786436 BGI851972 BGI917508 BGI983044 BGJ2:BGJ3 BGJ65538:BGJ65539 BGJ131074:BGJ131075 BGJ196610:BGJ196611 BGJ262146:BGJ262147 BGJ327682:BGJ327683 BGJ393218:BGJ393219 BGJ458754:BGJ458755 BGJ524290:BGJ524291 BGJ589826:BGJ589827 BGJ655362:BGJ655363 BGJ720898:BGJ720899 BGJ786434:BGJ786435 BGJ851970:BGJ851971 BGJ917506:BGJ917507 BGJ983042:BGJ983043 BQE4 BQE65540 BQE131076 BQE196612 BQE262148 BQE327684 BQE393220 BQE458756 BQE524292 BQE589828 BQE655364 BQE720900 BQE786436 BQE851972 BQE917508 BQE983044 BQF2:BQF3 BQF65538:BQF65539 BQF131074:BQF131075 BQF196610:BQF196611 BQF262146:BQF262147 BQF327682:BQF327683 BQF393218:BQF393219 BQF458754:BQF458755 BQF524290:BQF524291 BQF589826:BQF589827 BQF655362:BQF655363 BQF720898:BQF720899 BQF786434:BQF786435 BQF851970:BQF851971 BQF917506:BQF917507 BQF983042:BQF983043 CAA4 CAA65540 CAA131076 CAA196612 CAA262148 CAA327684 CAA393220 CAA458756 CAA524292 CAA589828 CAA655364 CAA720900 CAA786436 CAA851972 CAA917508 CAA983044 CAB2:CAB3 CAB65538:CAB65539 CAB131074:CAB131075 CAB196610:CAB196611 CAB262146:CAB262147 CAB327682:CAB327683 CAB393218:CAB393219 CAB458754:CAB458755 CAB524290:CAB524291 CAB589826:CAB589827 CAB655362:CAB655363 CAB720898:CAB720899 CAB786434:CAB786435 CAB851970:CAB851971 CAB917506:CAB917507 CAB983042:CAB983043 CJW4 CJW65540 CJW131076 CJW196612 CJW262148 CJW327684 CJW393220 CJW458756 CJW524292 CJW589828 CJW655364 CJW720900 CJW786436 CJW851972 CJW917508 CJW983044 CJX2:CJX3 CJX65538:CJX65539 CJX131074:CJX131075 CJX196610:CJX196611 CJX262146:CJX262147 CJX327682:CJX327683 CJX393218:CJX393219 CJX458754:CJX458755 CJX524290:CJX524291 CJX589826:CJX589827 CJX655362:CJX655363 CJX720898:CJX720899 CJX786434:CJX786435 CJX851970:CJX851971 CJX917506:CJX917507 CJX983042:CJX983043 CTS4 CTS65540 CTS131076 CTS196612 CTS262148 CTS327684 CTS393220 CTS458756 CTS524292 CTS589828 CTS655364 CTS720900 CTS786436 CTS851972 CTS917508 CTS983044 CTT2:CTT3 CTT65538:CTT65539 CTT131074:CTT131075 CTT196610:CTT196611 CTT262146:CTT262147 CTT327682:CTT327683 CTT393218:CTT393219 CTT458754:CTT458755 CTT524290:CTT524291 CTT589826:CTT589827 CTT655362:CTT655363 CTT720898:CTT720899 CTT786434:CTT786435 CTT851970:CTT851971 CTT917506:CTT917507 CTT983042:CTT983043 DDO4 DDO65540 DDO131076 DDO196612 DDO262148 DDO327684 DDO393220 DDO458756 DDO524292 DDO589828 DDO655364 DDO720900 DDO786436 DDO851972 DDO917508 DDO983044 DDP2:DDP3 DDP65538:DDP65539 DDP131074:DDP131075 DDP196610:DDP196611 DDP262146:DDP262147 DDP327682:DDP327683 DDP393218:DDP393219 DDP458754:DDP458755 DDP524290:DDP524291 DDP589826:DDP589827 DDP655362:DDP655363 DDP720898:DDP720899 DDP786434:DDP786435 DDP851970:DDP851971 DDP917506:DDP917507 DDP983042:DDP983043 DNK4 DNK65540 DNK131076 DNK196612 DNK262148 DNK327684 DNK393220 DNK458756 DNK524292 DNK589828 DNK655364 DNK720900 DNK786436 DNK851972 DNK917508 DNK983044 DNL2:DNL3 DNL65538:DNL65539 DNL131074:DNL131075 DNL196610:DNL196611 DNL262146:DNL262147 DNL327682:DNL327683 DNL393218:DNL393219 DNL458754:DNL458755 DNL524290:DNL524291 DNL589826:DNL589827 DNL655362:DNL655363 DNL720898:DNL720899 DNL786434:DNL786435 DNL851970:DNL851971 DNL917506:DNL917507 DNL983042:DNL983043 DXG4 DXG65540 DXG131076 DXG196612 DXG262148 DXG327684 DXG393220 DXG458756 DXG524292 DXG589828 DXG655364 DXG720900 DXG786436 DXG851972 DXG917508 DXG983044 DXH2:DXH3 DXH65538:DXH65539 DXH131074:DXH131075 DXH196610:DXH196611 DXH262146:DXH262147 DXH327682:DXH327683 DXH393218:DXH393219 DXH458754:DXH458755 DXH524290:DXH524291 DXH589826:DXH589827 DXH655362:DXH655363 DXH720898:DXH720899 DXH786434:DXH786435 DXH851970:DXH851971 DXH917506:DXH917507 DXH983042:DXH983043 EHC4 EHC65540 EHC131076 EHC196612 EHC262148 EHC327684 EHC393220 EHC458756 EHC524292 EHC589828 EHC655364 EHC720900 EHC786436 EHC851972 EHC917508 EHC983044 EHD2:EHD3 EHD65538:EHD65539 EHD131074:EHD131075 EHD196610:EHD196611 EHD262146:EHD262147 EHD327682:EHD327683 EHD393218:EHD393219 EHD458754:EHD458755 EHD524290:EHD524291 EHD589826:EHD589827 EHD655362:EHD655363 EHD720898:EHD720899 EHD786434:EHD786435 EHD851970:EHD851971 EHD917506:EHD917507 EHD983042:EHD983043 EQY4 EQY65540 EQY131076 EQY196612 EQY262148 EQY327684 EQY393220 EQY458756 EQY524292 EQY589828 EQY655364 EQY720900 EQY786436 EQY851972 EQY917508 EQY983044 EQZ2:EQZ3 EQZ65538:EQZ65539 EQZ131074:EQZ131075 EQZ196610:EQZ196611 EQZ262146:EQZ262147 EQZ327682:EQZ327683 EQZ393218:EQZ393219 EQZ458754:EQZ458755 EQZ524290:EQZ524291 EQZ589826:EQZ589827 EQZ655362:EQZ655363 EQZ720898:EQZ720899 EQZ786434:EQZ786435 EQZ851970:EQZ851971 EQZ917506:EQZ917507 EQZ983042:EQZ983043 FAU4 FAU65540 FAU131076 FAU196612 FAU262148 FAU327684 FAU393220 FAU458756 FAU524292 FAU589828 FAU655364 FAU720900 FAU786436 FAU851972 FAU917508 FAU983044 FAV2:FAV3 FAV65538:FAV65539 FAV131074:FAV131075 FAV196610:FAV196611 FAV262146:FAV262147 FAV327682:FAV327683 FAV393218:FAV393219 FAV458754:FAV458755 FAV524290:FAV524291 FAV589826:FAV589827 FAV655362:FAV655363 FAV720898:FAV720899 FAV786434:FAV786435 FAV851970:FAV851971 FAV917506:FAV917507 FAV983042:FAV983043 FKQ4 FKQ65540 FKQ131076 FKQ196612 FKQ262148 FKQ327684 FKQ393220 FKQ458756 FKQ524292 FKQ589828 FKQ655364 FKQ720900 FKQ786436 FKQ851972 FKQ917508 FKQ983044 FKR2:FKR3 FKR65538:FKR65539 FKR131074:FKR131075 FKR196610:FKR196611 FKR262146:FKR262147 FKR327682:FKR327683 FKR393218:FKR393219 FKR458754:FKR458755 FKR524290:FKR524291 FKR589826:FKR589827 FKR655362:FKR655363 FKR720898:FKR720899 FKR786434:FKR786435 FKR851970:FKR851971 FKR917506:FKR917507 FKR983042:FKR983043 FUM4 FUM65540 FUM131076 FUM196612 FUM262148 FUM327684 FUM393220 FUM458756 FUM524292 FUM589828 FUM655364 FUM720900 FUM786436 FUM851972 FUM917508 FUM983044 FUN2:FUN3 FUN65538:FUN65539 FUN131074:FUN131075 FUN196610:FUN196611 FUN262146:FUN262147 FUN327682:FUN327683 FUN393218:FUN393219 FUN458754:FUN458755 FUN524290:FUN524291 FUN589826:FUN589827 FUN655362:FUN655363 FUN720898:FUN720899 FUN786434:FUN786435 FUN851970:FUN851971 FUN917506:FUN917507 FUN983042:FUN983043 GEI4 GEI65540 GEI131076 GEI196612 GEI262148 GEI327684 GEI393220 GEI458756 GEI524292 GEI589828 GEI655364 GEI720900 GEI786436 GEI851972 GEI917508 GEI983044 GEJ2:GEJ3 GEJ65538:GEJ65539 GEJ131074:GEJ131075 GEJ196610:GEJ196611 GEJ262146:GEJ262147 GEJ327682:GEJ327683 GEJ393218:GEJ393219 GEJ458754:GEJ458755 GEJ524290:GEJ524291 GEJ589826:GEJ589827 GEJ655362:GEJ655363 GEJ720898:GEJ720899 GEJ786434:GEJ786435 GEJ851970:GEJ851971 GEJ917506:GEJ917507 GEJ983042:GEJ983043 GOE4 GOE65540 GOE131076 GOE196612 GOE262148 GOE327684 GOE393220 GOE458756 GOE524292 GOE589828 GOE655364 GOE720900 GOE786436 GOE851972 GOE917508 GOE983044 GOF2:GOF3 GOF65538:GOF65539 GOF131074:GOF131075 GOF196610:GOF196611 GOF262146:GOF262147 GOF327682:GOF327683 GOF393218:GOF393219 GOF458754:GOF458755 GOF524290:GOF524291 GOF589826:GOF589827 GOF655362:GOF655363 GOF720898:GOF720899 GOF786434:GOF786435 GOF851970:GOF851971 GOF917506:GOF917507 GOF983042:GOF983043 GYA4 GYA65540 GYA131076 GYA196612 GYA262148 GYA327684 GYA393220 GYA458756 GYA524292 GYA589828 GYA655364 GYA720900 GYA786436 GYA851972 GYA917508 GYA983044 GYB2:GYB3 GYB65538:GYB65539 GYB131074:GYB131075 GYB196610:GYB196611 GYB262146:GYB262147 GYB327682:GYB327683 GYB393218:GYB393219 GYB458754:GYB458755 GYB524290:GYB524291 GYB589826:GYB589827 GYB655362:GYB655363 GYB720898:GYB720899 GYB786434:GYB786435 GYB851970:GYB851971 GYB917506:GYB917507 GYB983042:GYB983043 HHW4 HHW65540 HHW131076 HHW196612 HHW262148 HHW327684 HHW393220 HHW458756 HHW524292 HHW589828 HHW655364 HHW720900 HHW786436 HHW851972 HHW917508 HHW983044 HHX2:HHX3 HHX65538:HHX65539 HHX131074:HHX131075 HHX196610:HHX196611 HHX262146:HHX262147 HHX327682:HHX327683 HHX393218:HHX393219 HHX458754:HHX458755 HHX524290:HHX524291 HHX589826:HHX589827 HHX655362:HHX655363 HHX720898:HHX720899 HHX786434:HHX786435 HHX851970:HHX851971 HHX917506:HHX917507 HHX983042:HHX983043 HRS4 HRS65540 HRS131076 HRS196612 HRS262148 HRS327684 HRS393220 HRS458756 HRS524292 HRS589828 HRS655364 HRS720900 HRS786436 HRS851972 HRS917508 HRS983044 HRT2:HRT3 HRT65538:HRT65539 HRT131074:HRT131075 HRT196610:HRT196611 HRT262146:HRT262147 HRT327682:HRT327683 HRT393218:HRT393219 HRT458754:HRT458755 HRT524290:HRT524291 HRT589826:HRT589827 HRT655362:HRT655363 HRT720898:HRT720899 HRT786434:HRT786435 HRT851970:HRT851971 HRT917506:HRT917507 HRT983042:HRT983043 IBO4 IBO65540 IBO131076 IBO196612 IBO262148 IBO327684 IBO393220 IBO458756 IBO524292 IBO589828 IBO655364 IBO720900 IBO786436 IBO851972 IBO917508 IBO983044 IBP2:IBP3 IBP65538:IBP65539 IBP131074:IBP131075 IBP196610:IBP196611 IBP262146:IBP262147 IBP327682:IBP327683 IBP393218:IBP393219 IBP458754:IBP458755 IBP524290:IBP524291 IBP589826:IBP589827 IBP655362:IBP655363 IBP720898:IBP720899 IBP786434:IBP786435 IBP851970:IBP851971 IBP917506:IBP917507 IBP983042:IBP983043 ILK4 ILK65540 ILK131076 ILK196612 ILK262148 ILK327684 ILK393220 ILK458756 ILK524292 ILK589828 ILK655364 ILK720900 ILK786436 ILK851972 ILK917508 ILK983044 ILL2:ILL3 ILL65538:ILL65539 ILL131074:ILL131075 ILL196610:ILL196611 ILL262146:ILL262147 ILL327682:ILL327683 ILL393218:ILL393219 ILL458754:ILL458755 ILL524290:ILL524291 ILL589826:ILL589827 ILL655362:ILL655363 ILL720898:ILL720899 ILL786434:ILL786435 ILL851970:ILL851971 ILL917506:ILL917507 ILL983042:ILL983043 IVG4 IVG65540 IVG131076 IVG196612 IVG262148 IVG327684 IVG393220 IVG458756 IVG524292 IVG589828 IVG655364 IVG720900 IVG786436 IVG851972 IVG917508 IVG983044 IVH2:IVH3 IVH65538:IVH65539 IVH131074:IVH131075 IVH196610:IVH196611 IVH262146:IVH262147 IVH327682:IVH327683 IVH393218:IVH393219 IVH458754:IVH458755 IVH524290:IVH524291 IVH589826:IVH589827 IVH655362:IVH655363 IVH720898:IVH720899 IVH786434:IVH786435 IVH851970:IVH851971 IVH917506:IVH917507 IVH983042:IVH983043 JFC4 JFC65540 JFC131076 JFC196612 JFC262148 JFC327684 JFC393220 JFC458756 JFC524292 JFC589828 JFC655364 JFC720900 JFC786436 JFC851972 JFC917508 JFC983044 JFD2:JFD3 JFD65538:JFD65539 JFD131074:JFD131075 JFD196610:JFD196611 JFD262146:JFD262147 JFD327682:JFD327683 JFD393218:JFD393219 JFD458754:JFD458755 JFD524290:JFD524291 JFD589826:JFD589827 JFD655362:JFD655363 JFD720898:JFD720899 JFD786434:JFD786435 JFD851970:JFD851971 JFD917506:JFD917507 JFD983042:JFD983043 JOY4 JOY65540 JOY131076 JOY196612 JOY262148 JOY327684 JOY393220 JOY458756 JOY524292 JOY589828 JOY655364 JOY720900 JOY786436 JOY851972 JOY917508 JOY983044 JOZ2:JOZ3 JOZ65538:JOZ65539 JOZ131074:JOZ131075 JOZ196610:JOZ196611 JOZ262146:JOZ262147 JOZ327682:JOZ327683 JOZ393218:JOZ393219 JOZ458754:JOZ458755 JOZ524290:JOZ524291 JOZ589826:JOZ589827 JOZ655362:JOZ655363 JOZ720898:JOZ720899 JOZ786434:JOZ786435 JOZ851970:JOZ851971 JOZ917506:JOZ917507 JOZ983042:JOZ983043 JYU4 JYU65540 JYU131076 JYU196612 JYU262148 JYU327684 JYU393220 JYU458756 JYU524292 JYU589828 JYU655364 JYU720900 JYU786436 JYU851972 JYU917508 JYU983044 JYV2:JYV3 JYV65538:JYV65539 JYV131074:JYV131075 JYV196610:JYV196611 JYV262146:JYV262147 JYV327682:JYV327683 JYV393218:JYV393219 JYV458754:JYV458755 JYV524290:JYV524291 JYV589826:JYV589827 JYV655362:JYV655363 JYV720898:JYV720899 JYV786434:JYV786435 JYV851970:JYV851971 JYV917506:JYV917507 JYV983042:JYV983043 KIQ4 KIQ65540 KIQ131076 KIQ196612 KIQ262148 KIQ327684 KIQ393220 KIQ458756 KIQ524292 KIQ589828 KIQ655364 KIQ720900 KIQ786436 KIQ851972 KIQ917508 KIQ983044 KIR2:KIR3 KIR65538:KIR65539 KIR131074:KIR131075 KIR196610:KIR196611 KIR262146:KIR262147 KIR327682:KIR327683 KIR393218:KIR393219 KIR458754:KIR458755 KIR524290:KIR524291 KIR589826:KIR589827 KIR655362:KIR655363 KIR720898:KIR720899 KIR786434:KIR786435 KIR851970:KIR851971 KIR917506:KIR917507 KIR983042:KIR983043 KSM4 KSM65540 KSM131076 KSM196612 KSM262148 KSM327684 KSM393220 KSM458756 KSM524292 KSM589828 KSM655364 KSM720900 KSM786436 KSM851972 KSM917508 KSM983044 KSN2:KSN3 KSN65538:KSN65539 KSN131074:KSN131075 KSN196610:KSN196611 KSN262146:KSN262147 KSN327682:KSN327683 KSN393218:KSN393219 KSN458754:KSN458755 KSN524290:KSN524291 KSN589826:KSN589827 KSN655362:KSN655363 KSN720898:KSN720899 KSN786434:KSN786435 KSN851970:KSN851971 KSN917506:KSN917507 KSN983042:KSN983043 LCI4 LCI65540 LCI131076 LCI196612 LCI262148 LCI327684 LCI393220 LCI458756 LCI524292 LCI589828 LCI655364 LCI720900 LCI786436 LCI851972 LCI917508 LCI983044 LCJ2:LCJ3 LCJ65538:LCJ65539 LCJ131074:LCJ131075 LCJ196610:LCJ196611 LCJ262146:LCJ262147 LCJ327682:LCJ327683 LCJ393218:LCJ393219 LCJ458754:LCJ458755 LCJ524290:LCJ524291 LCJ589826:LCJ589827 LCJ655362:LCJ655363 LCJ720898:LCJ720899 LCJ786434:LCJ786435 LCJ851970:LCJ851971 LCJ917506:LCJ917507 LCJ983042:LCJ983043 LME4 LME65540 LME131076 LME196612 LME262148 LME327684 LME393220 LME458756 LME524292 LME589828 LME655364 LME720900 LME786436 LME851972 LME917508 LME983044 LMF2:LMF3 LMF65538:LMF65539 LMF131074:LMF131075 LMF196610:LMF196611 LMF262146:LMF262147 LMF327682:LMF327683 LMF393218:LMF393219 LMF458754:LMF458755 LMF524290:LMF524291 LMF589826:LMF589827 LMF655362:LMF655363 LMF720898:LMF720899 LMF786434:LMF786435 LMF851970:LMF851971 LMF917506:LMF917507 LMF983042:LMF983043 LWA4 LWA65540 LWA131076 LWA196612 LWA262148 LWA327684 LWA393220 LWA458756 LWA524292 LWA589828 LWA655364 LWA720900 LWA786436 LWA851972 LWA917508 LWA983044 LWB2:LWB3 LWB65538:LWB65539 LWB131074:LWB131075 LWB196610:LWB196611 LWB262146:LWB262147 LWB327682:LWB327683 LWB393218:LWB393219 LWB458754:LWB458755 LWB524290:LWB524291 LWB589826:LWB589827 LWB655362:LWB655363 LWB720898:LWB720899 LWB786434:LWB786435 LWB851970:LWB851971 LWB917506:LWB917507 LWB983042:LWB983043 MFW4 MFW65540 MFW131076 MFW196612 MFW262148 MFW327684 MFW393220 MFW458756 MFW524292 MFW589828 MFW655364 MFW720900 MFW786436 MFW851972 MFW917508 MFW983044 MFX2:MFX3 MFX65538:MFX65539 MFX131074:MFX131075 MFX196610:MFX196611 MFX262146:MFX262147 MFX327682:MFX327683 MFX393218:MFX393219 MFX458754:MFX458755 MFX524290:MFX524291 MFX589826:MFX589827 MFX655362:MFX655363 MFX720898:MFX720899 MFX786434:MFX786435 MFX851970:MFX851971 MFX917506:MFX917507 MFX983042:MFX983043 MPS4 MPS65540 MPS131076 MPS196612 MPS262148 MPS327684 MPS393220 MPS458756 MPS524292 MPS589828 MPS655364 MPS720900 MPS786436 MPS851972 MPS917508 MPS983044 MPT2:MPT3 MPT65538:MPT65539 MPT131074:MPT131075 MPT196610:MPT196611 MPT262146:MPT262147 MPT327682:MPT327683 MPT393218:MPT393219 MPT458754:MPT458755 MPT524290:MPT524291 MPT589826:MPT589827 MPT655362:MPT655363 MPT720898:MPT720899 MPT786434:MPT786435 MPT851970:MPT851971 MPT917506:MPT917507 MPT983042:MPT983043 MZO4 MZO65540 MZO131076 MZO196612 MZO262148 MZO327684 MZO393220 MZO458756 MZO524292 MZO589828 MZO655364 MZO720900 MZO786436 MZO851972 MZO917508 MZO983044 MZP2:MZP3 MZP65538:MZP65539 MZP131074:MZP131075 MZP196610:MZP196611 MZP262146:MZP262147 MZP327682:MZP327683 MZP393218:MZP393219 MZP458754:MZP458755 MZP524290:MZP524291 MZP589826:MZP589827 MZP655362:MZP655363 MZP720898:MZP720899 MZP786434:MZP786435 MZP851970:MZP851971 MZP917506:MZP917507 MZP983042:MZP983043 NJK4 NJK65540 NJK131076 NJK196612 NJK262148 NJK327684 NJK393220 NJK458756 NJK524292 NJK589828 NJK655364 NJK720900 NJK786436 NJK851972 NJK917508 NJK983044 NJL2:NJL3 NJL65538:NJL65539 NJL131074:NJL131075 NJL196610:NJL196611 NJL262146:NJL262147 NJL327682:NJL327683 NJL393218:NJL393219 NJL458754:NJL458755 NJL524290:NJL524291 NJL589826:NJL589827 NJL655362:NJL655363 NJL720898:NJL720899 NJL786434:NJL786435 NJL851970:NJL851971 NJL917506:NJL917507 NJL983042:NJL983043 NTG4 NTG65540 NTG131076 NTG196612 NTG262148 NTG327684 NTG393220 NTG458756 NTG524292 NTG589828 NTG655364 NTG720900 NTG786436 NTG851972 NTG917508 NTG983044 NTH2:NTH3 NTH65538:NTH65539 NTH131074:NTH131075 NTH196610:NTH196611 NTH262146:NTH262147 NTH327682:NTH327683 NTH393218:NTH393219 NTH458754:NTH458755 NTH524290:NTH524291 NTH589826:NTH589827 NTH655362:NTH655363 NTH720898:NTH720899 NTH786434:NTH786435 NTH851970:NTH851971 NTH917506:NTH917507 NTH983042:NTH983043 ODC4 ODC65540 ODC131076 ODC196612 ODC262148 ODC327684 ODC393220 ODC458756 ODC524292 ODC589828 ODC655364 ODC720900 ODC786436 ODC851972 ODC917508 ODC983044 ODD2:ODD3 ODD65538:ODD65539 ODD131074:ODD131075 ODD196610:ODD196611 ODD262146:ODD262147 ODD327682:ODD327683 ODD393218:ODD393219 ODD458754:ODD458755 ODD524290:ODD524291 ODD589826:ODD589827 ODD655362:ODD655363 ODD720898:ODD720899 ODD786434:ODD786435 ODD851970:ODD851971 ODD917506:ODD917507 ODD983042:ODD983043 OMY4 OMY65540 OMY131076 OMY196612 OMY262148 OMY327684 OMY393220 OMY458756 OMY524292 OMY589828 OMY655364 OMY720900 OMY786436 OMY851972 OMY917508 OMY983044 OMZ2:OMZ3 OMZ65538:OMZ65539 OMZ131074:OMZ131075 OMZ196610:OMZ196611 OMZ262146:OMZ262147 OMZ327682:OMZ327683 OMZ393218:OMZ393219 OMZ458754:OMZ458755 OMZ524290:OMZ524291 OMZ589826:OMZ589827 OMZ655362:OMZ655363 OMZ720898:OMZ720899 OMZ786434:OMZ786435 OMZ851970:OMZ851971 OMZ917506:OMZ917507 OMZ983042:OMZ983043 OWU4 OWU65540 OWU131076 OWU196612 OWU262148 OWU327684 OWU393220 OWU458756 OWU524292 OWU589828 OWU655364 OWU720900 OWU786436 OWU851972 OWU917508 OWU983044 OWV2:OWV3 OWV65538:OWV65539 OWV131074:OWV131075 OWV196610:OWV196611 OWV262146:OWV262147 OWV327682:OWV327683 OWV393218:OWV393219 OWV458754:OWV458755 OWV524290:OWV524291 OWV589826:OWV589827 OWV655362:OWV655363 OWV720898:OWV720899 OWV786434:OWV786435 OWV851970:OWV851971 OWV917506:OWV917507 OWV983042:OWV983043 PGQ4 PGQ65540 PGQ131076 PGQ196612 PGQ262148 PGQ327684 PGQ393220 PGQ458756 PGQ524292 PGQ589828 PGQ655364 PGQ720900 PGQ786436 PGQ851972 PGQ917508 PGQ983044 PGR2:PGR3 PGR65538:PGR65539 PGR131074:PGR131075 PGR196610:PGR196611 PGR262146:PGR262147 PGR327682:PGR327683 PGR393218:PGR393219 PGR458754:PGR458755 PGR524290:PGR524291 PGR589826:PGR589827 PGR655362:PGR655363 PGR720898:PGR720899 PGR786434:PGR786435 PGR851970:PGR851971 PGR917506:PGR917507 PGR983042:PGR983043 PQM4 PQM65540 PQM131076 PQM196612 PQM262148 PQM327684 PQM393220 PQM458756 PQM524292 PQM589828 PQM655364 PQM720900 PQM786436 PQM851972 PQM917508 PQM983044 PQN2:PQN3 PQN65538:PQN65539 PQN131074:PQN131075 PQN196610:PQN196611 PQN262146:PQN262147 PQN327682:PQN327683 PQN393218:PQN393219 PQN458754:PQN458755 PQN524290:PQN524291 PQN589826:PQN589827 PQN655362:PQN655363 PQN720898:PQN720899 PQN786434:PQN786435 PQN851970:PQN851971 PQN917506:PQN917507 PQN983042:PQN983043 QAI4 QAI65540 QAI131076 QAI196612 QAI262148 QAI327684 QAI393220 QAI458756 QAI524292 QAI589828 QAI655364 QAI720900 QAI786436 QAI851972 QAI917508 QAI983044 QAJ2:QAJ3 QAJ65538:QAJ65539 QAJ131074:QAJ131075 QAJ196610:QAJ196611 QAJ262146:QAJ262147 QAJ327682:QAJ327683 QAJ393218:QAJ393219 QAJ458754:QAJ458755 QAJ524290:QAJ524291 QAJ589826:QAJ589827 QAJ655362:QAJ655363 QAJ720898:QAJ720899 QAJ786434:QAJ786435 QAJ851970:QAJ851971 QAJ917506:QAJ917507 QAJ983042:QAJ983043 QKE4 QKE65540 QKE131076 QKE196612 QKE262148 QKE327684 QKE393220 QKE458756 QKE524292 QKE589828 QKE655364 QKE720900 QKE786436 QKE851972 QKE917508 QKE983044 QKF2:QKF3 QKF65538:QKF65539 QKF131074:QKF131075 QKF196610:QKF196611 QKF262146:QKF262147 QKF327682:QKF327683 QKF393218:QKF393219 QKF458754:QKF458755 QKF524290:QKF524291 QKF589826:QKF589827 QKF655362:QKF655363 QKF720898:QKF720899 QKF786434:QKF786435 QKF851970:QKF851971 QKF917506:QKF917507 QKF983042:QKF983043 QUA4 QUA65540 QUA131076 QUA196612 QUA262148 QUA327684 QUA393220 QUA458756 QUA524292 QUA589828 QUA655364 QUA720900 QUA786436 QUA851972 QUA917508 QUA983044 QUB2:QUB3 QUB65538:QUB65539 QUB131074:QUB131075 QUB196610:QUB196611 QUB262146:QUB262147 QUB327682:QUB327683 QUB393218:QUB393219 QUB458754:QUB458755 QUB524290:QUB524291 QUB589826:QUB589827 QUB655362:QUB655363 QUB720898:QUB720899 QUB786434:QUB786435 QUB851970:QUB851971 QUB917506:QUB917507 QUB983042:QUB983043 RDW4 RDW65540 RDW131076 RDW196612 RDW262148 RDW327684 RDW393220 RDW458756 RDW524292 RDW589828 RDW655364 RDW720900 RDW786436 RDW851972 RDW917508 RDW983044 RDX2:RDX3 RDX65538:RDX65539 RDX131074:RDX131075 RDX196610:RDX196611 RDX262146:RDX262147 RDX327682:RDX327683 RDX393218:RDX393219 RDX458754:RDX458755 RDX524290:RDX524291 RDX589826:RDX589827 RDX655362:RDX655363 RDX720898:RDX720899 RDX786434:RDX786435 RDX851970:RDX851971 RDX917506:RDX917507 RDX983042:RDX983043 RNS4 RNS65540 RNS131076 RNS196612 RNS262148 RNS327684 RNS393220 RNS458756 RNS524292 RNS589828 RNS655364 RNS720900 RNS786436 RNS851972 RNS917508 RNS983044 RNT2:RNT3 RNT65538:RNT65539 RNT131074:RNT131075 RNT196610:RNT196611 RNT262146:RNT262147 RNT327682:RNT327683 RNT393218:RNT393219 RNT458754:RNT458755 RNT524290:RNT524291 RNT589826:RNT589827 RNT655362:RNT655363 RNT720898:RNT720899 RNT786434:RNT786435 RNT851970:RNT851971 RNT917506:RNT917507 RNT983042:RNT983043 RXO4 RXO65540 RXO131076 RXO196612 RXO262148 RXO327684 RXO393220 RXO458756 RXO524292 RXO589828 RXO655364 RXO720900 RXO786436 RXO851972 RXO917508 RXO983044 RXP2:RXP3 RXP65538:RXP65539 RXP131074:RXP131075 RXP196610:RXP196611 RXP262146:RXP262147 RXP327682:RXP327683 RXP393218:RXP393219 RXP458754:RXP458755 RXP524290:RXP524291 RXP589826:RXP589827 RXP655362:RXP655363 RXP720898:RXP720899 RXP786434:RXP786435 RXP851970:RXP851971 RXP917506:RXP917507 RXP983042:RXP983043 SHK4 SHK65540 SHK131076 SHK196612 SHK262148 SHK327684 SHK393220 SHK458756 SHK524292 SHK589828 SHK655364 SHK720900 SHK786436 SHK851972 SHK917508 SHK983044 SHL2:SHL3 SHL65538:SHL65539 SHL131074:SHL131075 SHL196610:SHL196611 SHL262146:SHL262147 SHL327682:SHL327683 SHL393218:SHL393219 SHL458754:SHL458755 SHL524290:SHL524291 SHL589826:SHL589827 SHL655362:SHL655363 SHL720898:SHL720899 SHL786434:SHL786435 SHL851970:SHL851971 SHL917506:SHL917507 SHL983042:SHL983043 SRG4 SRG65540 SRG131076 SRG196612 SRG262148 SRG327684 SRG393220 SRG458756 SRG524292 SRG589828 SRG655364 SRG720900 SRG786436 SRG851972 SRG917508 SRG983044 SRH2:SRH3 SRH65538:SRH65539 SRH131074:SRH131075 SRH196610:SRH196611 SRH262146:SRH262147 SRH327682:SRH327683 SRH393218:SRH393219 SRH458754:SRH458755 SRH524290:SRH524291 SRH589826:SRH589827 SRH655362:SRH655363 SRH720898:SRH720899 SRH786434:SRH786435 SRH851970:SRH851971 SRH917506:SRH917507 SRH983042:SRH983043 TBC4 TBC65540 TBC131076 TBC196612 TBC262148 TBC327684 TBC393220 TBC458756 TBC524292 TBC589828 TBC655364 TBC720900 TBC786436 TBC851972 TBC917508 TBC983044 TBD2:TBD3 TBD65538:TBD65539 TBD131074:TBD131075 TBD196610:TBD196611 TBD262146:TBD262147 TBD327682:TBD327683 TBD393218:TBD393219 TBD458754:TBD458755 TBD524290:TBD524291 TBD589826:TBD589827 TBD655362:TBD655363 TBD720898:TBD720899 TBD786434:TBD786435 TBD851970:TBD851971 TBD917506:TBD917507 TBD983042:TBD983043 TKY4 TKY65540 TKY131076 TKY196612 TKY262148 TKY327684 TKY393220 TKY458756 TKY524292 TKY589828 TKY655364 TKY720900 TKY786436 TKY851972 TKY917508 TKY983044 TKZ2:TKZ3 TKZ65538:TKZ65539 TKZ131074:TKZ131075 TKZ196610:TKZ196611 TKZ262146:TKZ262147 TKZ327682:TKZ327683 TKZ393218:TKZ393219 TKZ458754:TKZ458755 TKZ524290:TKZ524291 TKZ589826:TKZ589827 TKZ655362:TKZ655363 TKZ720898:TKZ720899 TKZ786434:TKZ786435 TKZ851970:TKZ851971 TKZ917506:TKZ917507 TKZ983042:TKZ983043 TUU4 TUU65540 TUU131076 TUU196612 TUU262148 TUU327684 TUU393220 TUU458756 TUU524292 TUU589828 TUU655364 TUU720900 TUU786436 TUU851972 TUU917508 TUU983044 TUV2:TUV3 TUV65538:TUV65539 TUV131074:TUV131075 TUV196610:TUV196611 TUV262146:TUV262147 TUV327682:TUV327683 TUV393218:TUV393219 TUV458754:TUV458755 TUV524290:TUV524291 TUV589826:TUV589827 TUV655362:TUV655363 TUV720898:TUV720899 TUV786434:TUV786435 TUV851970:TUV851971 TUV917506:TUV917507 TUV983042:TUV983043 UEQ4 UEQ65540 UEQ131076 UEQ196612 UEQ262148 UEQ327684 UEQ393220 UEQ458756 UEQ524292 UEQ589828 UEQ655364 UEQ720900 UEQ786436 UEQ851972 UEQ917508 UEQ983044 UER2:UER3 UER65538:UER65539 UER131074:UER131075 UER196610:UER196611 UER262146:UER262147 UER327682:UER327683 UER393218:UER393219 UER458754:UER458755 UER524290:UER524291 UER589826:UER589827 UER655362:UER655363 UER720898:UER720899 UER786434:UER786435 UER851970:UER851971 UER917506:UER917507 UER983042:UER983043 UOM4 UOM65540 UOM131076 UOM196612 UOM262148 UOM327684 UOM393220 UOM458756 UOM524292 UOM589828 UOM655364 UOM720900 UOM786436 UOM851972 UOM917508 UOM983044 UON2:UON3 UON65538:UON65539 UON131074:UON131075 UON196610:UON196611 UON262146:UON262147 UON327682:UON327683 UON393218:UON393219 UON458754:UON458755 UON524290:UON524291 UON589826:UON589827 UON655362:UON655363 UON720898:UON720899 UON786434:UON786435 UON851970:UON851971 UON917506:UON917507 UON983042:UON983043 UYI4 UYI65540 UYI131076 UYI196612 UYI262148 UYI327684 UYI393220 UYI458756 UYI524292 UYI589828 UYI655364 UYI720900 UYI786436 UYI851972 UYI917508 UYI983044 UYJ2:UYJ3 UYJ65538:UYJ65539 UYJ131074:UYJ131075 UYJ196610:UYJ196611 UYJ262146:UYJ262147 UYJ327682:UYJ327683 UYJ393218:UYJ393219 UYJ458754:UYJ458755 UYJ524290:UYJ524291 UYJ589826:UYJ589827 UYJ655362:UYJ655363 UYJ720898:UYJ720899 UYJ786434:UYJ786435 UYJ851970:UYJ851971 UYJ917506:UYJ917507 UYJ983042:UYJ983043 VIE4 VIE65540 VIE131076 VIE196612 VIE262148 VIE327684 VIE393220 VIE458756 VIE524292 VIE589828 VIE655364 VIE720900 VIE786436 VIE851972 VIE917508 VIE983044 VIF2:VIF3 VIF65538:VIF65539 VIF131074:VIF131075 VIF196610:VIF196611 VIF262146:VIF262147 VIF327682:VIF327683 VIF393218:VIF393219 VIF458754:VIF458755 VIF524290:VIF524291 VIF589826:VIF589827 VIF655362:VIF655363 VIF720898:VIF720899 VIF786434:VIF786435 VIF851970:VIF851971 VIF917506:VIF917507 VIF983042:VIF983043 VSA4 VSA65540 VSA131076 VSA196612 VSA262148 VSA327684 VSA393220 VSA458756 VSA524292 VSA589828 VSA655364 VSA720900 VSA786436 VSA851972 VSA917508 VSA983044 VSB2:VSB3 VSB65538:VSB65539 VSB131074:VSB131075 VSB196610:VSB196611 VSB262146:VSB262147 VSB327682:VSB327683 VSB393218:VSB393219 VSB458754:VSB458755 VSB524290:VSB524291 VSB589826:VSB589827 VSB655362:VSB655363 VSB720898:VSB720899 VSB786434:VSB786435 VSB851970:VSB851971 VSB917506:VSB917507 VSB983042:VSB983043 WBW4 WBW65540 WBW131076 WBW196612 WBW262148 WBW327684 WBW393220 WBW458756 WBW524292 WBW589828 WBW655364 WBW720900 WBW786436 WBW851972 WBW917508 WBW983044 WBX2:WBX3 WBX65538:WBX65539 WBX131074:WBX131075 WBX196610:WBX196611 WBX262146:WBX262147 WBX327682:WBX327683 WBX393218:WBX393219 WBX458754:WBX458755 WBX524290:WBX524291 WBX589826:WBX589827 WBX655362:WBX655363 WBX720898:WBX720899 WBX786434:WBX786435 WBX851970:WBX851971 WBX917506:WBX917507 WBX983042:WBX983043 WLS4 WLS65540 WLS131076 WLS196612 WLS262148 WLS327684 WLS393220 WLS458756 WLS524292 WLS589828 WLS655364 WLS720900 WLS786436 WLS851972 WLS917508 WLS983044 WLT2:WLT3 WLT65538:WLT65539 WLT131074:WLT131075 WLT196610:WLT196611 WLT262146:WLT262147 WLT327682:WLT327683 WLT393218:WLT393219 WLT458754:WLT458755 WLT524290:WLT524291 WLT589826:WLT589827 WLT655362:WLT655363 WLT720898:WLT720899 WLT786434:WLT786435 WLT851970:WLT851971 WLT917506:WLT917507 WLT983042:WLT983043 WVO4 WVO65540 WVO131076 WVO196612 WVO262148 WVO327684 WVO393220 WVO458756 WVO524292 WVO589828 WVO655364 WVO720900 WVO786436 WVO851972 WVO917508 WVO983044 WVP2:WVP3 WVP65538:WVP65539 WVP131074:WVP131075 WVP196610:WVP196611 WVP262146:WVP262147 WVP327682:WVP327683 WVP393218:WVP393219 WVP458754:WVP458755 WVP524290:WVP524291 WVP589826:WVP589827 WVP655362:WVP655363 WVP720898:WVP720899 WVP786434:WVP786435 WVP851970:WVP851971 WVP917506:WVP917507 WVP983042:WVP983043" xr:uid="{00000000-0002-0000-0900-000004000000}"/>
    <dataValidation allowBlank="1" showInputMessage="1" showErrorMessage="1" promptTitle="Name" prompt="Name of the exchange (elementary flow or intermediate product flow) in English language. " sqref="F2:F3 F65538:F65539 F131074:F131075 F196610:F196611 F262146:F262147 F327682:F327683 F393218:F393219 F458754:F458755 F524290:F524291 F589826:F589827 F655362:F655363 F720898:F720899 F786434:F786435 F851970:F851971 F917506:F917507 F983042:F983043 JC2:JC3 JC65538:JC65539 JC131074:JC131075 JC196610:JC196611 JC262146:JC262147 JC327682:JC327683 JC393218:JC393219 JC458754:JC458755 JC524290:JC524291 JC589826:JC589827 JC655362:JC655363 JC720898:JC720899 JC786434:JC786435 JC851970:JC851971 JC917506:JC917507 JC983042:JC983043 SY2:SY3 SY65538:SY65539 SY131074:SY131075 SY196610:SY196611 SY262146:SY262147 SY327682:SY327683 SY393218:SY393219 SY458754:SY458755 SY524290:SY524291 SY589826:SY589827 SY655362:SY655363 SY720898:SY720899 SY786434:SY786435 SY851970:SY851971 SY917506:SY917507 SY983042:SY983043 ACU2:ACU3 ACU65538:ACU65539 ACU131074:ACU131075 ACU196610:ACU196611 ACU262146:ACU262147 ACU327682:ACU327683 ACU393218:ACU393219 ACU458754:ACU458755 ACU524290:ACU524291 ACU589826:ACU589827 ACU655362:ACU655363 ACU720898:ACU720899 ACU786434:ACU786435 ACU851970:ACU851971 ACU917506:ACU917507 ACU983042:ACU983043 AMQ2:AMQ3 AMQ65538:AMQ65539 AMQ131074:AMQ131075 AMQ196610:AMQ196611 AMQ262146:AMQ262147 AMQ327682:AMQ327683 AMQ393218:AMQ393219 AMQ458754:AMQ458755 AMQ524290:AMQ524291 AMQ589826:AMQ589827 AMQ655362:AMQ655363 AMQ720898:AMQ720899 AMQ786434:AMQ786435 AMQ851970:AMQ851971 AMQ917506:AMQ917507 AMQ983042:AMQ983043 AWM2:AWM3 AWM65538:AWM65539 AWM131074:AWM131075 AWM196610:AWM196611 AWM262146:AWM262147 AWM327682:AWM327683 AWM393218:AWM393219 AWM458754:AWM458755 AWM524290:AWM524291 AWM589826:AWM589827 AWM655362:AWM655363 AWM720898:AWM720899 AWM786434:AWM786435 AWM851970:AWM851971 AWM917506:AWM917507 AWM983042:AWM983043 BGI2:BGI3 BGI65538:BGI65539 BGI131074:BGI131075 BGI196610:BGI196611 BGI262146:BGI262147 BGI327682:BGI327683 BGI393218:BGI393219 BGI458754:BGI458755 BGI524290:BGI524291 BGI589826:BGI589827 BGI655362:BGI655363 BGI720898:BGI720899 BGI786434:BGI786435 BGI851970:BGI851971 BGI917506:BGI917507 BGI983042:BGI983043 BQE2:BQE3 BQE65538:BQE65539 BQE131074:BQE131075 BQE196610:BQE196611 BQE262146:BQE262147 BQE327682:BQE327683 BQE393218:BQE393219 BQE458754:BQE458755 BQE524290:BQE524291 BQE589826:BQE589827 BQE655362:BQE655363 BQE720898:BQE720899 BQE786434:BQE786435 BQE851970:BQE851971 BQE917506:BQE917507 BQE983042:BQE983043 CAA2:CAA3 CAA65538:CAA65539 CAA131074:CAA131075 CAA196610:CAA196611 CAA262146:CAA262147 CAA327682:CAA327683 CAA393218:CAA393219 CAA458754:CAA458755 CAA524290:CAA524291 CAA589826:CAA589827 CAA655362:CAA655363 CAA720898:CAA720899 CAA786434:CAA786435 CAA851970:CAA851971 CAA917506:CAA917507 CAA983042:CAA983043 CJW2:CJW3 CJW65538:CJW65539 CJW131074:CJW131075 CJW196610:CJW196611 CJW262146:CJW262147 CJW327682:CJW327683 CJW393218:CJW393219 CJW458754:CJW458755 CJW524290:CJW524291 CJW589826:CJW589827 CJW655362:CJW655363 CJW720898:CJW720899 CJW786434:CJW786435 CJW851970:CJW851971 CJW917506:CJW917507 CJW983042:CJW983043 CTS2:CTS3 CTS65538:CTS65539 CTS131074:CTS131075 CTS196610:CTS196611 CTS262146:CTS262147 CTS327682:CTS327683 CTS393218:CTS393219 CTS458754:CTS458755 CTS524290:CTS524291 CTS589826:CTS589827 CTS655362:CTS655363 CTS720898:CTS720899 CTS786434:CTS786435 CTS851970:CTS851971 CTS917506:CTS917507 CTS983042:CTS983043 DDO2:DDO3 DDO65538:DDO65539 DDO131074:DDO131075 DDO196610:DDO196611 DDO262146:DDO262147 DDO327682:DDO327683 DDO393218:DDO393219 DDO458754:DDO458755 DDO524290:DDO524291 DDO589826:DDO589827 DDO655362:DDO655363 DDO720898:DDO720899 DDO786434:DDO786435 DDO851970:DDO851971 DDO917506:DDO917507 DDO983042:DDO983043 DNK2:DNK3 DNK65538:DNK65539 DNK131074:DNK131075 DNK196610:DNK196611 DNK262146:DNK262147 DNK327682:DNK327683 DNK393218:DNK393219 DNK458754:DNK458755 DNK524290:DNK524291 DNK589826:DNK589827 DNK655362:DNK655363 DNK720898:DNK720899 DNK786434:DNK786435 DNK851970:DNK851971 DNK917506:DNK917507 DNK983042:DNK983043 DXG2:DXG3 DXG65538:DXG65539 DXG131074:DXG131075 DXG196610:DXG196611 DXG262146:DXG262147 DXG327682:DXG327683 DXG393218:DXG393219 DXG458754:DXG458755 DXG524290:DXG524291 DXG589826:DXG589827 DXG655362:DXG655363 DXG720898:DXG720899 DXG786434:DXG786435 DXG851970:DXG851971 DXG917506:DXG917507 DXG983042:DXG983043 EHC2:EHC3 EHC65538:EHC65539 EHC131074:EHC131075 EHC196610:EHC196611 EHC262146:EHC262147 EHC327682:EHC327683 EHC393218:EHC393219 EHC458754:EHC458755 EHC524290:EHC524291 EHC589826:EHC589827 EHC655362:EHC655363 EHC720898:EHC720899 EHC786434:EHC786435 EHC851970:EHC851971 EHC917506:EHC917507 EHC983042:EHC983043 EQY2:EQY3 EQY65538:EQY65539 EQY131074:EQY131075 EQY196610:EQY196611 EQY262146:EQY262147 EQY327682:EQY327683 EQY393218:EQY393219 EQY458754:EQY458755 EQY524290:EQY524291 EQY589826:EQY589827 EQY655362:EQY655363 EQY720898:EQY720899 EQY786434:EQY786435 EQY851970:EQY851971 EQY917506:EQY917507 EQY983042:EQY983043 FAU2:FAU3 FAU65538:FAU65539 FAU131074:FAU131075 FAU196610:FAU196611 FAU262146:FAU262147 FAU327682:FAU327683 FAU393218:FAU393219 FAU458754:FAU458755 FAU524290:FAU524291 FAU589826:FAU589827 FAU655362:FAU655363 FAU720898:FAU720899 FAU786434:FAU786435 FAU851970:FAU851971 FAU917506:FAU917507 FAU983042:FAU983043 FKQ2:FKQ3 FKQ65538:FKQ65539 FKQ131074:FKQ131075 FKQ196610:FKQ196611 FKQ262146:FKQ262147 FKQ327682:FKQ327683 FKQ393218:FKQ393219 FKQ458754:FKQ458755 FKQ524290:FKQ524291 FKQ589826:FKQ589827 FKQ655362:FKQ655363 FKQ720898:FKQ720899 FKQ786434:FKQ786435 FKQ851970:FKQ851971 FKQ917506:FKQ917507 FKQ983042:FKQ983043 FUM2:FUM3 FUM65538:FUM65539 FUM131074:FUM131075 FUM196610:FUM196611 FUM262146:FUM262147 FUM327682:FUM327683 FUM393218:FUM393219 FUM458754:FUM458755 FUM524290:FUM524291 FUM589826:FUM589827 FUM655362:FUM655363 FUM720898:FUM720899 FUM786434:FUM786435 FUM851970:FUM851971 FUM917506:FUM917507 FUM983042:FUM983043 GEI2:GEI3 GEI65538:GEI65539 GEI131074:GEI131075 GEI196610:GEI196611 GEI262146:GEI262147 GEI327682:GEI327683 GEI393218:GEI393219 GEI458754:GEI458755 GEI524290:GEI524291 GEI589826:GEI589827 GEI655362:GEI655363 GEI720898:GEI720899 GEI786434:GEI786435 GEI851970:GEI851971 GEI917506:GEI917507 GEI983042:GEI983043 GOE2:GOE3 GOE65538:GOE65539 GOE131074:GOE131075 GOE196610:GOE196611 GOE262146:GOE262147 GOE327682:GOE327683 GOE393218:GOE393219 GOE458754:GOE458755 GOE524290:GOE524291 GOE589826:GOE589827 GOE655362:GOE655363 GOE720898:GOE720899 GOE786434:GOE786435 GOE851970:GOE851971 GOE917506:GOE917507 GOE983042:GOE983043 GYA2:GYA3 GYA65538:GYA65539 GYA131074:GYA131075 GYA196610:GYA196611 GYA262146:GYA262147 GYA327682:GYA327683 GYA393218:GYA393219 GYA458754:GYA458755 GYA524290:GYA524291 GYA589826:GYA589827 GYA655362:GYA655363 GYA720898:GYA720899 GYA786434:GYA786435 GYA851970:GYA851971 GYA917506:GYA917507 GYA983042:GYA983043 HHW2:HHW3 HHW65538:HHW65539 HHW131074:HHW131075 HHW196610:HHW196611 HHW262146:HHW262147 HHW327682:HHW327683 HHW393218:HHW393219 HHW458754:HHW458755 HHW524290:HHW524291 HHW589826:HHW589827 HHW655362:HHW655363 HHW720898:HHW720899 HHW786434:HHW786435 HHW851970:HHW851971 HHW917506:HHW917507 HHW983042:HHW983043 HRS2:HRS3 HRS65538:HRS65539 HRS131074:HRS131075 HRS196610:HRS196611 HRS262146:HRS262147 HRS327682:HRS327683 HRS393218:HRS393219 HRS458754:HRS458755 HRS524290:HRS524291 HRS589826:HRS589827 HRS655362:HRS655363 HRS720898:HRS720899 HRS786434:HRS786435 HRS851970:HRS851971 HRS917506:HRS917507 HRS983042:HRS983043 IBO2:IBO3 IBO65538:IBO65539 IBO131074:IBO131075 IBO196610:IBO196611 IBO262146:IBO262147 IBO327682:IBO327683 IBO393218:IBO393219 IBO458754:IBO458755 IBO524290:IBO524291 IBO589826:IBO589827 IBO655362:IBO655363 IBO720898:IBO720899 IBO786434:IBO786435 IBO851970:IBO851971 IBO917506:IBO917507 IBO983042:IBO983043 ILK2:ILK3 ILK65538:ILK65539 ILK131074:ILK131075 ILK196610:ILK196611 ILK262146:ILK262147 ILK327682:ILK327683 ILK393218:ILK393219 ILK458754:ILK458755 ILK524290:ILK524291 ILK589826:ILK589827 ILK655362:ILK655363 ILK720898:ILK720899 ILK786434:ILK786435 ILK851970:ILK851971 ILK917506:ILK917507 ILK983042:ILK983043 IVG2:IVG3 IVG65538:IVG65539 IVG131074:IVG131075 IVG196610:IVG196611 IVG262146:IVG262147 IVG327682:IVG327683 IVG393218:IVG393219 IVG458754:IVG458755 IVG524290:IVG524291 IVG589826:IVG589827 IVG655362:IVG655363 IVG720898:IVG720899 IVG786434:IVG786435 IVG851970:IVG851971 IVG917506:IVG917507 IVG983042:IVG983043 JFC2:JFC3 JFC65538:JFC65539 JFC131074:JFC131075 JFC196610:JFC196611 JFC262146:JFC262147 JFC327682:JFC327683 JFC393218:JFC393219 JFC458754:JFC458755 JFC524290:JFC524291 JFC589826:JFC589827 JFC655362:JFC655363 JFC720898:JFC720899 JFC786434:JFC786435 JFC851970:JFC851971 JFC917506:JFC917507 JFC983042:JFC983043 JOY2:JOY3 JOY65538:JOY65539 JOY131074:JOY131075 JOY196610:JOY196611 JOY262146:JOY262147 JOY327682:JOY327683 JOY393218:JOY393219 JOY458754:JOY458755 JOY524290:JOY524291 JOY589826:JOY589827 JOY655362:JOY655363 JOY720898:JOY720899 JOY786434:JOY786435 JOY851970:JOY851971 JOY917506:JOY917507 JOY983042:JOY983043 JYU2:JYU3 JYU65538:JYU65539 JYU131074:JYU131075 JYU196610:JYU196611 JYU262146:JYU262147 JYU327682:JYU327683 JYU393218:JYU393219 JYU458754:JYU458755 JYU524290:JYU524291 JYU589826:JYU589827 JYU655362:JYU655363 JYU720898:JYU720899 JYU786434:JYU786435 JYU851970:JYU851971 JYU917506:JYU917507 JYU983042:JYU983043 KIQ2:KIQ3 KIQ65538:KIQ65539 KIQ131074:KIQ131075 KIQ196610:KIQ196611 KIQ262146:KIQ262147 KIQ327682:KIQ327683 KIQ393218:KIQ393219 KIQ458754:KIQ458755 KIQ524290:KIQ524291 KIQ589826:KIQ589827 KIQ655362:KIQ655363 KIQ720898:KIQ720899 KIQ786434:KIQ786435 KIQ851970:KIQ851971 KIQ917506:KIQ917507 KIQ983042:KIQ983043 KSM2:KSM3 KSM65538:KSM65539 KSM131074:KSM131075 KSM196610:KSM196611 KSM262146:KSM262147 KSM327682:KSM327683 KSM393218:KSM393219 KSM458754:KSM458755 KSM524290:KSM524291 KSM589826:KSM589827 KSM655362:KSM655363 KSM720898:KSM720899 KSM786434:KSM786435 KSM851970:KSM851971 KSM917506:KSM917507 KSM983042:KSM983043 LCI2:LCI3 LCI65538:LCI65539 LCI131074:LCI131075 LCI196610:LCI196611 LCI262146:LCI262147 LCI327682:LCI327683 LCI393218:LCI393219 LCI458754:LCI458755 LCI524290:LCI524291 LCI589826:LCI589827 LCI655362:LCI655363 LCI720898:LCI720899 LCI786434:LCI786435 LCI851970:LCI851971 LCI917506:LCI917507 LCI983042:LCI983043 LME2:LME3 LME65538:LME65539 LME131074:LME131075 LME196610:LME196611 LME262146:LME262147 LME327682:LME327683 LME393218:LME393219 LME458754:LME458755 LME524290:LME524291 LME589826:LME589827 LME655362:LME655363 LME720898:LME720899 LME786434:LME786435 LME851970:LME851971 LME917506:LME917507 LME983042:LME983043 LWA2:LWA3 LWA65538:LWA65539 LWA131074:LWA131075 LWA196610:LWA196611 LWA262146:LWA262147 LWA327682:LWA327683 LWA393218:LWA393219 LWA458754:LWA458755 LWA524290:LWA524291 LWA589826:LWA589827 LWA655362:LWA655363 LWA720898:LWA720899 LWA786434:LWA786435 LWA851970:LWA851971 LWA917506:LWA917507 LWA983042:LWA983043 MFW2:MFW3 MFW65538:MFW65539 MFW131074:MFW131075 MFW196610:MFW196611 MFW262146:MFW262147 MFW327682:MFW327683 MFW393218:MFW393219 MFW458754:MFW458755 MFW524290:MFW524291 MFW589826:MFW589827 MFW655362:MFW655363 MFW720898:MFW720899 MFW786434:MFW786435 MFW851970:MFW851971 MFW917506:MFW917507 MFW983042:MFW983043 MPS2:MPS3 MPS65538:MPS65539 MPS131074:MPS131075 MPS196610:MPS196611 MPS262146:MPS262147 MPS327682:MPS327683 MPS393218:MPS393219 MPS458754:MPS458755 MPS524290:MPS524291 MPS589826:MPS589827 MPS655362:MPS655363 MPS720898:MPS720899 MPS786434:MPS786435 MPS851970:MPS851971 MPS917506:MPS917507 MPS983042:MPS983043 MZO2:MZO3 MZO65538:MZO65539 MZO131074:MZO131075 MZO196610:MZO196611 MZO262146:MZO262147 MZO327682:MZO327683 MZO393218:MZO393219 MZO458754:MZO458755 MZO524290:MZO524291 MZO589826:MZO589827 MZO655362:MZO655363 MZO720898:MZO720899 MZO786434:MZO786435 MZO851970:MZO851971 MZO917506:MZO917507 MZO983042:MZO983043 NJK2:NJK3 NJK65538:NJK65539 NJK131074:NJK131075 NJK196610:NJK196611 NJK262146:NJK262147 NJK327682:NJK327683 NJK393218:NJK393219 NJK458754:NJK458755 NJK524290:NJK524291 NJK589826:NJK589827 NJK655362:NJK655363 NJK720898:NJK720899 NJK786434:NJK786435 NJK851970:NJK851971 NJK917506:NJK917507 NJK983042:NJK983043 NTG2:NTG3 NTG65538:NTG65539 NTG131074:NTG131075 NTG196610:NTG196611 NTG262146:NTG262147 NTG327682:NTG327683 NTG393218:NTG393219 NTG458754:NTG458755 NTG524290:NTG524291 NTG589826:NTG589827 NTG655362:NTG655363 NTG720898:NTG720899 NTG786434:NTG786435 NTG851970:NTG851971 NTG917506:NTG917507 NTG983042:NTG983043 ODC2:ODC3 ODC65538:ODC65539 ODC131074:ODC131075 ODC196610:ODC196611 ODC262146:ODC262147 ODC327682:ODC327683 ODC393218:ODC393219 ODC458754:ODC458755 ODC524290:ODC524291 ODC589826:ODC589827 ODC655362:ODC655363 ODC720898:ODC720899 ODC786434:ODC786435 ODC851970:ODC851971 ODC917506:ODC917507 ODC983042:ODC983043 OMY2:OMY3 OMY65538:OMY65539 OMY131074:OMY131075 OMY196610:OMY196611 OMY262146:OMY262147 OMY327682:OMY327683 OMY393218:OMY393219 OMY458754:OMY458755 OMY524290:OMY524291 OMY589826:OMY589827 OMY655362:OMY655363 OMY720898:OMY720899 OMY786434:OMY786435 OMY851970:OMY851971 OMY917506:OMY917507 OMY983042:OMY983043 OWU2:OWU3 OWU65538:OWU65539 OWU131074:OWU131075 OWU196610:OWU196611 OWU262146:OWU262147 OWU327682:OWU327683 OWU393218:OWU393219 OWU458754:OWU458755 OWU524290:OWU524291 OWU589826:OWU589827 OWU655362:OWU655363 OWU720898:OWU720899 OWU786434:OWU786435 OWU851970:OWU851971 OWU917506:OWU917507 OWU983042:OWU983043 PGQ2:PGQ3 PGQ65538:PGQ65539 PGQ131074:PGQ131075 PGQ196610:PGQ196611 PGQ262146:PGQ262147 PGQ327682:PGQ327683 PGQ393218:PGQ393219 PGQ458754:PGQ458755 PGQ524290:PGQ524291 PGQ589826:PGQ589827 PGQ655362:PGQ655363 PGQ720898:PGQ720899 PGQ786434:PGQ786435 PGQ851970:PGQ851971 PGQ917506:PGQ917507 PGQ983042:PGQ983043 PQM2:PQM3 PQM65538:PQM65539 PQM131074:PQM131075 PQM196610:PQM196611 PQM262146:PQM262147 PQM327682:PQM327683 PQM393218:PQM393219 PQM458754:PQM458755 PQM524290:PQM524291 PQM589826:PQM589827 PQM655362:PQM655363 PQM720898:PQM720899 PQM786434:PQM786435 PQM851970:PQM851971 PQM917506:PQM917507 PQM983042:PQM983043 QAI2:QAI3 QAI65538:QAI65539 QAI131074:QAI131075 QAI196610:QAI196611 QAI262146:QAI262147 QAI327682:QAI327683 QAI393218:QAI393219 QAI458754:QAI458755 QAI524290:QAI524291 QAI589826:QAI589827 QAI655362:QAI655363 QAI720898:QAI720899 QAI786434:QAI786435 QAI851970:QAI851971 QAI917506:QAI917507 QAI983042:QAI983043 QKE2:QKE3 QKE65538:QKE65539 QKE131074:QKE131075 QKE196610:QKE196611 QKE262146:QKE262147 QKE327682:QKE327683 QKE393218:QKE393219 QKE458754:QKE458755 QKE524290:QKE524291 QKE589826:QKE589827 QKE655362:QKE655363 QKE720898:QKE720899 QKE786434:QKE786435 QKE851970:QKE851971 QKE917506:QKE917507 QKE983042:QKE983043 QUA2:QUA3 QUA65538:QUA65539 QUA131074:QUA131075 QUA196610:QUA196611 QUA262146:QUA262147 QUA327682:QUA327683 QUA393218:QUA393219 QUA458754:QUA458755 QUA524290:QUA524291 QUA589826:QUA589827 QUA655362:QUA655363 QUA720898:QUA720899 QUA786434:QUA786435 QUA851970:QUA851971 QUA917506:QUA917507 QUA983042:QUA983043 RDW2:RDW3 RDW65538:RDW65539 RDW131074:RDW131075 RDW196610:RDW196611 RDW262146:RDW262147 RDW327682:RDW327683 RDW393218:RDW393219 RDW458754:RDW458755 RDW524290:RDW524291 RDW589826:RDW589827 RDW655362:RDW655363 RDW720898:RDW720899 RDW786434:RDW786435 RDW851970:RDW851971 RDW917506:RDW917507 RDW983042:RDW983043 RNS2:RNS3 RNS65538:RNS65539 RNS131074:RNS131075 RNS196610:RNS196611 RNS262146:RNS262147 RNS327682:RNS327683 RNS393218:RNS393219 RNS458754:RNS458755 RNS524290:RNS524291 RNS589826:RNS589827 RNS655362:RNS655363 RNS720898:RNS720899 RNS786434:RNS786435 RNS851970:RNS851971 RNS917506:RNS917507 RNS983042:RNS983043 RXO2:RXO3 RXO65538:RXO65539 RXO131074:RXO131075 RXO196610:RXO196611 RXO262146:RXO262147 RXO327682:RXO327683 RXO393218:RXO393219 RXO458754:RXO458755 RXO524290:RXO524291 RXO589826:RXO589827 RXO655362:RXO655363 RXO720898:RXO720899 RXO786434:RXO786435 RXO851970:RXO851971 RXO917506:RXO917507 RXO983042:RXO983043 SHK2:SHK3 SHK65538:SHK65539 SHK131074:SHK131075 SHK196610:SHK196611 SHK262146:SHK262147 SHK327682:SHK327683 SHK393218:SHK393219 SHK458754:SHK458755 SHK524290:SHK524291 SHK589826:SHK589827 SHK655362:SHK655363 SHK720898:SHK720899 SHK786434:SHK786435 SHK851970:SHK851971 SHK917506:SHK917507 SHK983042:SHK983043 SRG2:SRG3 SRG65538:SRG65539 SRG131074:SRG131075 SRG196610:SRG196611 SRG262146:SRG262147 SRG327682:SRG327683 SRG393218:SRG393219 SRG458754:SRG458755 SRG524290:SRG524291 SRG589826:SRG589827 SRG655362:SRG655363 SRG720898:SRG720899 SRG786434:SRG786435 SRG851970:SRG851971 SRG917506:SRG917507 SRG983042:SRG983043 TBC2:TBC3 TBC65538:TBC65539 TBC131074:TBC131075 TBC196610:TBC196611 TBC262146:TBC262147 TBC327682:TBC327683 TBC393218:TBC393219 TBC458754:TBC458755 TBC524290:TBC524291 TBC589826:TBC589827 TBC655362:TBC655363 TBC720898:TBC720899 TBC786434:TBC786435 TBC851970:TBC851971 TBC917506:TBC917507 TBC983042:TBC983043 TKY2:TKY3 TKY65538:TKY65539 TKY131074:TKY131075 TKY196610:TKY196611 TKY262146:TKY262147 TKY327682:TKY327683 TKY393218:TKY393219 TKY458754:TKY458755 TKY524290:TKY524291 TKY589826:TKY589827 TKY655362:TKY655363 TKY720898:TKY720899 TKY786434:TKY786435 TKY851970:TKY851971 TKY917506:TKY917507 TKY983042:TKY983043 TUU2:TUU3 TUU65538:TUU65539 TUU131074:TUU131075 TUU196610:TUU196611 TUU262146:TUU262147 TUU327682:TUU327683 TUU393218:TUU393219 TUU458754:TUU458755 TUU524290:TUU524291 TUU589826:TUU589827 TUU655362:TUU655363 TUU720898:TUU720899 TUU786434:TUU786435 TUU851970:TUU851971 TUU917506:TUU917507 TUU983042:TUU983043 UEQ2:UEQ3 UEQ65538:UEQ65539 UEQ131074:UEQ131075 UEQ196610:UEQ196611 UEQ262146:UEQ262147 UEQ327682:UEQ327683 UEQ393218:UEQ393219 UEQ458754:UEQ458755 UEQ524290:UEQ524291 UEQ589826:UEQ589827 UEQ655362:UEQ655363 UEQ720898:UEQ720899 UEQ786434:UEQ786435 UEQ851970:UEQ851971 UEQ917506:UEQ917507 UEQ983042:UEQ983043 UOM2:UOM3 UOM65538:UOM65539 UOM131074:UOM131075 UOM196610:UOM196611 UOM262146:UOM262147 UOM327682:UOM327683 UOM393218:UOM393219 UOM458754:UOM458755 UOM524290:UOM524291 UOM589826:UOM589827 UOM655362:UOM655363 UOM720898:UOM720899 UOM786434:UOM786435 UOM851970:UOM851971 UOM917506:UOM917507 UOM983042:UOM983043 UYI2:UYI3 UYI65538:UYI65539 UYI131074:UYI131075 UYI196610:UYI196611 UYI262146:UYI262147 UYI327682:UYI327683 UYI393218:UYI393219 UYI458754:UYI458755 UYI524290:UYI524291 UYI589826:UYI589827 UYI655362:UYI655363 UYI720898:UYI720899 UYI786434:UYI786435 UYI851970:UYI851971 UYI917506:UYI917507 UYI983042:UYI983043 VIE2:VIE3 VIE65538:VIE65539 VIE131074:VIE131075 VIE196610:VIE196611 VIE262146:VIE262147 VIE327682:VIE327683 VIE393218:VIE393219 VIE458754:VIE458755 VIE524290:VIE524291 VIE589826:VIE589827 VIE655362:VIE655363 VIE720898:VIE720899 VIE786434:VIE786435 VIE851970:VIE851971 VIE917506:VIE917507 VIE983042:VIE983043 VSA2:VSA3 VSA65538:VSA65539 VSA131074:VSA131075 VSA196610:VSA196611 VSA262146:VSA262147 VSA327682:VSA327683 VSA393218:VSA393219 VSA458754:VSA458755 VSA524290:VSA524291 VSA589826:VSA589827 VSA655362:VSA655363 VSA720898:VSA720899 VSA786434:VSA786435 VSA851970:VSA851971 VSA917506:VSA917507 VSA983042:VSA983043 WBW2:WBW3 WBW65538:WBW65539 WBW131074:WBW131075 WBW196610:WBW196611 WBW262146:WBW262147 WBW327682:WBW327683 WBW393218:WBW393219 WBW458754:WBW458755 WBW524290:WBW524291 WBW589826:WBW589827 WBW655362:WBW655363 WBW720898:WBW720899 WBW786434:WBW786435 WBW851970:WBW851971 WBW917506:WBW917507 WBW983042:WBW983043 WLS2:WLS3 WLS65538:WLS65539 WLS131074:WLS131075 WLS196610:WLS196611 WLS262146:WLS262147 WLS327682:WLS327683 WLS393218:WLS393219 WLS458754:WLS458755 WLS524290:WLS524291 WLS589826:WLS589827 WLS655362:WLS655363 WLS720898:WLS720899 WLS786434:WLS786435 WLS851970:WLS851971 WLS917506:WLS917507 WLS983042:WLS983043 WVO2:WVO3 WVO65538:WVO65539 WVO131074:WVO131075 WVO196610:WVO196611 WVO262146:WVO262147 WVO327682:WVO327683 WVO393218:WVO393219 WVO458754:WVO458755 WVO524290:WVO524291 WVO589826:WVO589827 WVO655362:WVO655363 WVO720898:WVO720899 WVO786434:WVO786435 WVO851970:WVO851971 WVO917506:WVO917507 WVO983042:WVO983043" xr:uid="{00000000-0002-0000-0900-000005000000}"/>
    <dataValidation allowBlank="1" showInputMessage="1" showErrorMessage="1" promptTitle="Infrastructure" prompt="Describes whether the intermediate product flow from or to the unit process is an infrastructure process or not._x000a__x000a_Not applicable to elementary flows." sqref="F5 F65541 F131077 F196613 F262149 F327685 F393221 F458757 F524293 F589829 F655365 F720901 F786437 F851973 F917509 F983045 J2:J3 J65538:J65539 J131074:J131075 J196610:J196611 J262146:J262147 J327682:J327683 J393218:J393219 J458754:J458755 J524290:J524291 J589826:J589827 J655362:J655363 J720898:J720899 J786434:J786435 J851970:J851971 J917506:J917507 J983042:J983043 JC5 JC65541 JC131077 JC196613 JC262149 JC327685 JC393221 JC458757 JC524293 JC589829 JC655365 JC720901 JC786437 JC851973 JC917509 JC983045 JG2:JG3 JG65538:JG65539 JG131074:JG131075 JG196610:JG196611 JG262146:JG262147 JG327682:JG327683 JG393218:JG393219 JG458754:JG458755 JG524290:JG524291 JG589826:JG589827 JG655362:JG655363 JG720898:JG720899 JG786434:JG786435 JG851970:JG851971 JG917506:JG917507 JG983042:JG983043 SY5 SY65541 SY131077 SY196613 SY262149 SY327685 SY393221 SY458757 SY524293 SY589829 SY655365 SY720901 SY786437 SY851973 SY917509 SY983045 TC2:TC3 TC65538:TC65539 TC131074:TC131075 TC196610:TC196611 TC262146:TC262147 TC327682:TC327683 TC393218:TC393219 TC458754:TC458755 TC524290:TC524291 TC589826:TC589827 TC655362:TC655363 TC720898:TC720899 TC786434:TC786435 TC851970:TC851971 TC917506:TC917507 TC983042:TC983043 ACU5 ACU65541 ACU131077 ACU196613 ACU262149 ACU327685 ACU393221 ACU458757 ACU524293 ACU589829 ACU655365 ACU720901 ACU786437 ACU851973 ACU917509 ACU983045 ACY2:ACY3 ACY65538:ACY65539 ACY131074:ACY131075 ACY196610:ACY196611 ACY262146:ACY262147 ACY327682:ACY327683 ACY393218:ACY393219 ACY458754:ACY458755 ACY524290:ACY524291 ACY589826:ACY589827 ACY655362:ACY655363 ACY720898:ACY720899 ACY786434:ACY786435 ACY851970:ACY851971 ACY917506:ACY917507 ACY983042:ACY983043 AMQ5 AMQ65541 AMQ131077 AMQ196613 AMQ262149 AMQ327685 AMQ393221 AMQ458757 AMQ524293 AMQ589829 AMQ655365 AMQ720901 AMQ786437 AMQ851973 AMQ917509 AMQ983045 AMU2:AMU3 AMU65538:AMU65539 AMU131074:AMU131075 AMU196610:AMU196611 AMU262146:AMU262147 AMU327682:AMU327683 AMU393218:AMU393219 AMU458754:AMU458755 AMU524290:AMU524291 AMU589826:AMU589827 AMU655362:AMU655363 AMU720898:AMU720899 AMU786434:AMU786435 AMU851970:AMU851971 AMU917506:AMU917507 AMU983042:AMU983043 AWM5 AWM65541 AWM131077 AWM196613 AWM262149 AWM327685 AWM393221 AWM458757 AWM524293 AWM589829 AWM655365 AWM720901 AWM786437 AWM851973 AWM917509 AWM983045 AWQ2:AWQ3 AWQ65538:AWQ65539 AWQ131074:AWQ131075 AWQ196610:AWQ196611 AWQ262146:AWQ262147 AWQ327682:AWQ327683 AWQ393218:AWQ393219 AWQ458754:AWQ458755 AWQ524290:AWQ524291 AWQ589826:AWQ589827 AWQ655362:AWQ655363 AWQ720898:AWQ720899 AWQ786434:AWQ786435 AWQ851970:AWQ851971 AWQ917506:AWQ917507 AWQ983042:AWQ983043 BGI5 BGI65541 BGI131077 BGI196613 BGI262149 BGI327685 BGI393221 BGI458757 BGI524293 BGI589829 BGI655365 BGI720901 BGI786437 BGI851973 BGI917509 BGI983045 BGM2:BGM3 BGM65538:BGM65539 BGM131074:BGM131075 BGM196610:BGM196611 BGM262146:BGM262147 BGM327682:BGM327683 BGM393218:BGM393219 BGM458754:BGM458755 BGM524290:BGM524291 BGM589826:BGM589827 BGM655362:BGM655363 BGM720898:BGM720899 BGM786434:BGM786435 BGM851970:BGM851971 BGM917506:BGM917507 BGM983042:BGM983043 BQE5 BQE65541 BQE131077 BQE196613 BQE262149 BQE327685 BQE393221 BQE458757 BQE524293 BQE589829 BQE655365 BQE720901 BQE786437 BQE851973 BQE917509 BQE983045 BQI2:BQI3 BQI65538:BQI65539 BQI131074:BQI131075 BQI196610:BQI196611 BQI262146:BQI262147 BQI327682:BQI327683 BQI393218:BQI393219 BQI458754:BQI458755 BQI524290:BQI524291 BQI589826:BQI589827 BQI655362:BQI655363 BQI720898:BQI720899 BQI786434:BQI786435 BQI851970:BQI851971 BQI917506:BQI917507 BQI983042:BQI983043 CAA5 CAA65541 CAA131077 CAA196613 CAA262149 CAA327685 CAA393221 CAA458757 CAA524293 CAA589829 CAA655365 CAA720901 CAA786437 CAA851973 CAA917509 CAA983045 CAE2:CAE3 CAE65538:CAE65539 CAE131074:CAE131075 CAE196610:CAE196611 CAE262146:CAE262147 CAE327682:CAE327683 CAE393218:CAE393219 CAE458754:CAE458755 CAE524290:CAE524291 CAE589826:CAE589827 CAE655362:CAE655363 CAE720898:CAE720899 CAE786434:CAE786435 CAE851970:CAE851971 CAE917506:CAE917507 CAE983042:CAE983043 CJW5 CJW65541 CJW131077 CJW196613 CJW262149 CJW327685 CJW393221 CJW458757 CJW524293 CJW589829 CJW655365 CJW720901 CJW786437 CJW851973 CJW917509 CJW983045 CKA2:CKA3 CKA65538:CKA65539 CKA131074:CKA131075 CKA196610:CKA196611 CKA262146:CKA262147 CKA327682:CKA327683 CKA393218:CKA393219 CKA458754:CKA458755 CKA524290:CKA524291 CKA589826:CKA589827 CKA655362:CKA655363 CKA720898:CKA720899 CKA786434:CKA786435 CKA851970:CKA851971 CKA917506:CKA917507 CKA983042:CKA983043 CTS5 CTS65541 CTS131077 CTS196613 CTS262149 CTS327685 CTS393221 CTS458757 CTS524293 CTS589829 CTS655365 CTS720901 CTS786437 CTS851973 CTS917509 CTS983045 CTW2:CTW3 CTW65538:CTW65539 CTW131074:CTW131075 CTW196610:CTW196611 CTW262146:CTW262147 CTW327682:CTW327683 CTW393218:CTW393219 CTW458754:CTW458755 CTW524290:CTW524291 CTW589826:CTW589827 CTW655362:CTW655363 CTW720898:CTW720899 CTW786434:CTW786435 CTW851970:CTW851971 CTW917506:CTW917507 CTW983042:CTW983043 DDO5 DDO65541 DDO131077 DDO196613 DDO262149 DDO327685 DDO393221 DDO458757 DDO524293 DDO589829 DDO655365 DDO720901 DDO786437 DDO851973 DDO917509 DDO983045 DDS2:DDS3 DDS65538:DDS65539 DDS131074:DDS131075 DDS196610:DDS196611 DDS262146:DDS262147 DDS327682:DDS327683 DDS393218:DDS393219 DDS458754:DDS458755 DDS524290:DDS524291 DDS589826:DDS589827 DDS655362:DDS655363 DDS720898:DDS720899 DDS786434:DDS786435 DDS851970:DDS851971 DDS917506:DDS917507 DDS983042:DDS983043 DNK5 DNK65541 DNK131077 DNK196613 DNK262149 DNK327685 DNK393221 DNK458757 DNK524293 DNK589829 DNK655365 DNK720901 DNK786437 DNK851973 DNK917509 DNK983045 DNO2:DNO3 DNO65538:DNO65539 DNO131074:DNO131075 DNO196610:DNO196611 DNO262146:DNO262147 DNO327682:DNO327683 DNO393218:DNO393219 DNO458754:DNO458755 DNO524290:DNO524291 DNO589826:DNO589827 DNO655362:DNO655363 DNO720898:DNO720899 DNO786434:DNO786435 DNO851970:DNO851971 DNO917506:DNO917507 DNO983042:DNO983043 DXG5 DXG65541 DXG131077 DXG196613 DXG262149 DXG327685 DXG393221 DXG458757 DXG524293 DXG589829 DXG655365 DXG720901 DXG786437 DXG851973 DXG917509 DXG983045 DXK2:DXK3 DXK65538:DXK65539 DXK131074:DXK131075 DXK196610:DXK196611 DXK262146:DXK262147 DXK327682:DXK327683 DXK393218:DXK393219 DXK458754:DXK458755 DXK524290:DXK524291 DXK589826:DXK589827 DXK655362:DXK655363 DXK720898:DXK720899 DXK786434:DXK786435 DXK851970:DXK851971 DXK917506:DXK917507 DXK983042:DXK983043 EHC5 EHC65541 EHC131077 EHC196613 EHC262149 EHC327685 EHC393221 EHC458757 EHC524293 EHC589829 EHC655365 EHC720901 EHC786437 EHC851973 EHC917509 EHC983045 EHG2:EHG3 EHG65538:EHG65539 EHG131074:EHG131075 EHG196610:EHG196611 EHG262146:EHG262147 EHG327682:EHG327683 EHG393218:EHG393219 EHG458754:EHG458755 EHG524290:EHG524291 EHG589826:EHG589827 EHG655362:EHG655363 EHG720898:EHG720899 EHG786434:EHG786435 EHG851970:EHG851971 EHG917506:EHG917507 EHG983042:EHG983043 EQY5 EQY65541 EQY131077 EQY196613 EQY262149 EQY327685 EQY393221 EQY458757 EQY524293 EQY589829 EQY655365 EQY720901 EQY786437 EQY851973 EQY917509 EQY983045 ERC2:ERC3 ERC65538:ERC65539 ERC131074:ERC131075 ERC196610:ERC196611 ERC262146:ERC262147 ERC327682:ERC327683 ERC393218:ERC393219 ERC458754:ERC458755 ERC524290:ERC524291 ERC589826:ERC589827 ERC655362:ERC655363 ERC720898:ERC720899 ERC786434:ERC786435 ERC851970:ERC851971 ERC917506:ERC917507 ERC983042:ERC983043 FAU5 FAU65541 FAU131077 FAU196613 FAU262149 FAU327685 FAU393221 FAU458757 FAU524293 FAU589829 FAU655365 FAU720901 FAU786437 FAU851973 FAU917509 FAU983045 FAY2:FAY3 FAY65538:FAY65539 FAY131074:FAY131075 FAY196610:FAY196611 FAY262146:FAY262147 FAY327682:FAY327683 FAY393218:FAY393219 FAY458754:FAY458755 FAY524290:FAY524291 FAY589826:FAY589827 FAY655362:FAY655363 FAY720898:FAY720899 FAY786434:FAY786435 FAY851970:FAY851971 FAY917506:FAY917507 FAY983042:FAY983043 FKQ5 FKQ65541 FKQ131077 FKQ196613 FKQ262149 FKQ327685 FKQ393221 FKQ458757 FKQ524293 FKQ589829 FKQ655365 FKQ720901 FKQ786437 FKQ851973 FKQ917509 FKQ983045 FKU2:FKU3 FKU65538:FKU65539 FKU131074:FKU131075 FKU196610:FKU196611 FKU262146:FKU262147 FKU327682:FKU327683 FKU393218:FKU393219 FKU458754:FKU458755 FKU524290:FKU524291 FKU589826:FKU589827 FKU655362:FKU655363 FKU720898:FKU720899 FKU786434:FKU786435 FKU851970:FKU851971 FKU917506:FKU917507 FKU983042:FKU983043 FUM5 FUM65541 FUM131077 FUM196613 FUM262149 FUM327685 FUM393221 FUM458757 FUM524293 FUM589829 FUM655365 FUM720901 FUM786437 FUM851973 FUM917509 FUM983045 FUQ2:FUQ3 FUQ65538:FUQ65539 FUQ131074:FUQ131075 FUQ196610:FUQ196611 FUQ262146:FUQ262147 FUQ327682:FUQ327683 FUQ393218:FUQ393219 FUQ458754:FUQ458755 FUQ524290:FUQ524291 FUQ589826:FUQ589827 FUQ655362:FUQ655363 FUQ720898:FUQ720899 FUQ786434:FUQ786435 FUQ851970:FUQ851971 FUQ917506:FUQ917507 FUQ983042:FUQ983043 GEI5 GEI65541 GEI131077 GEI196613 GEI262149 GEI327685 GEI393221 GEI458757 GEI524293 GEI589829 GEI655365 GEI720901 GEI786437 GEI851973 GEI917509 GEI983045 GEM2:GEM3 GEM65538:GEM65539 GEM131074:GEM131075 GEM196610:GEM196611 GEM262146:GEM262147 GEM327682:GEM327683 GEM393218:GEM393219 GEM458754:GEM458755 GEM524290:GEM524291 GEM589826:GEM589827 GEM655362:GEM655363 GEM720898:GEM720899 GEM786434:GEM786435 GEM851970:GEM851971 GEM917506:GEM917507 GEM983042:GEM983043 GOE5 GOE65541 GOE131077 GOE196613 GOE262149 GOE327685 GOE393221 GOE458757 GOE524293 GOE589829 GOE655365 GOE720901 GOE786437 GOE851973 GOE917509 GOE983045 GOI2:GOI3 GOI65538:GOI65539 GOI131074:GOI131075 GOI196610:GOI196611 GOI262146:GOI262147 GOI327682:GOI327683 GOI393218:GOI393219 GOI458754:GOI458755 GOI524290:GOI524291 GOI589826:GOI589827 GOI655362:GOI655363 GOI720898:GOI720899 GOI786434:GOI786435 GOI851970:GOI851971 GOI917506:GOI917507 GOI983042:GOI983043 GYA5 GYA65541 GYA131077 GYA196613 GYA262149 GYA327685 GYA393221 GYA458757 GYA524293 GYA589829 GYA655365 GYA720901 GYA786437 GYA851973 GYA917509 GYA983045 GYE2:GYE3 GYE65538:GYE65539 GYE131074:GYE131075 GYE196610:GYE196611 GYE262146:GYE262147 GYE327682:GYE327683 GYE393218:GYE393219 GYE458754:GYE458755 GYE524290:GYE524291 GYE589826:GYE589827 GYE655362:GYE655363 GYE720898:GYE720899 GYE786434:GYE786435 GYE851970:GYE851971 GYE917506:GYE917507 GYE983042:GYE983043 HHW5 HHW65541 HHW131077 HHW196613 HHW262149 HHW327685 HHW393221 HHW458757 HHW524293 HHW589829 HHW655365 HHW720901 HHW786437 HHW851973 HHW917509 HHW983045 HIA2:HIA3 HIA65538:HIA65539 HIA131074:HIA131075 HIA196610:HIA196611 HIA262146:HIA262147 HIA327682:HIA327683 HIA393218:HIA393219 HIA458754:HIA458755 HIA524290:HIA524291 HIA589826:HIA589827 HIA655362:HIA655363 HIA720898:HIA720899 HIA786434:HIA786435 HIA851970:HIA851971 HIA917506:HIA917507 HIA983042:HIA983043 HRS5 HRS65541 HRS131077 HRS196613 HRS262149 HRS327685 HRS393221 HRS458757 HRS524293 HRS589829 HRS655365 HRS720901 HRS786437 HRS851973 HRS917509 HRS983045 HRW2:HRW3 HRW65538:HRW65539 HRW131074:HRW131075 HRW196610:HRW196611 HRW262146:HRW262147 HRW327682:HRW327683 HRW393218:HRW393219 HRW458754:HRW458755 HRW524290:HRW524291 HRW589826:HRW589827 HRW655362:HRW655363 HRW720898:HRW720899 HRW786434:HRW786435 HRW851970:HRW851971 HRW917506:HRW917507 HRW983042:HRW983043 IBO5 IBO65541 IBO131077 IBO196613 IBO262149 IBO327685 IBO393221 IBO458757 IBO524293 IBO589829 IBO655365 IBO720901 IBO786437 IBO851973 IBO917509 IBO983045 IBS2:IBS3 IBS65538:IBS65539 IBS131074:IBS131075 IBS196610:IBS196611 IBS262146:IBS262147 IBS327682:IBS327683 IBS393218:IBS393219 IBS458754:IBS458755 IBS524290:IBS524291 IBS589826:IBS589827 IBS655362:IBS655363 IBS720898:IBS720899 IBS786434:IBS786435 IBS851970:IBS851971 IBS917506:IBS917507 IBS983042:IBS983043 ILK5 ILK65541 ILK131077 ILK196613 ILK262149 ILK327685 ILK393221 ILK458757 ILK524293 ILK589829 ILK655365 ILK720901 ILK786437 ILK851973 ILK917509 ILK983045 ILO2:ILO3 ILO65538:ILO65539 ILO131074:ILO131075 ILO196610:ILO196611 ILO262146:ILO262147 ILO327682:ILO327683 ILO393218:ILO393219 ILO458754:ILO458755 ILO524290:ILO524291 ILO589826:ILO589827 ILO655362:ILO655363 ILO720898:ILO720899 ILO786434:ILO786435 ILO851970:ILO851971 ILO917506:ILO917507 ILO983042:ILO983043 IVG5 IVG65541 IVG131077 IVG196613 IVG262149 IVG327685 IVG393221 IVG458757 IVG524293 IVG589829 IVG655365 IVG720901 IVG786437 IVG851973 IVG917509 IVG983045 IVK2:IVK3 IVK65538:IVK65539 IVK131074:IVK131075 IVK196610:IVK196611 IVK262146:IVK262147 IVK327682:IVK327683 IVK393218:IVK393219 IVK458754:IVK458755 IVK524290:IVK524291 IVK589826:IVK589827 IVK655362:IVK655363 IVK720898:IVK720899 IVK786434:IVK786435 IVK851970:IVK851971 IVK917506:IVK917507 IVK983042:IVK983043 JFC5 JFC65541 JFC131077 JFC196613 JFC262149 JFC327685 JFC393221 JFC458757 JFC524293 JFC589829 JFC655365 JFC720901 JFC786437 JFC851973 JFC917509 JFC983045 JFG2:JFG3 JFG65538:JFG65539 JFG131074:JFG131075 JFG196610:JFG196611 JFG262146:JFG262147 JFG327682:JFG327683 JFG393218:JFG393219 JFG458754:JFG458755 JFG524290:JFG524291 JFG589826:JFG589827 JFG655362:JFG655363 JFG720898:JFG720899 JFG786434:JFG786435 JFG851970:JFG851971 JFG917506:JFG917507 JFG983042:JFG983043 JOY5 JOY65541 JOY131077 JOY196613 JOY262149 JOY327685 JOY393221 JOY458757 JOY524293 JOY589829 JOY655365 JOY720901 JOY786437 JOY851973 JOY917509 JOY983045 JPC2:JPC3 JPC65538:JPC65539 JPC131074:JPC131075 JPC196610:JPC196611 JPC262146:JPC262147 JPC327682:JPC327683 JPC393218:JPC393219 JPC458754:JPC458755 JPC524290:JPC524291 JPC589826:JPC589827 JPC655362:JPC655363 JPC720898:JPC720899 JPC786434:JPC786435 JPC851970:JPC851971 JPC917506:JPC917507 JPC983042:JPC983043 JYU5 JYU65541 JYU131077 JYU196613 JYU262149 JYU327685 JYU393221 JYU458757 JYU524293 JYU589829 JYU655365 JYU720901 JYU786437 JYU851973 JYU917509 JYU983045 JYY2:JYY3 JYY65538:JYY65539 JYY131074:JYY131075 JYY196610:JYY196611 JYY262146:JYY262147 JYY327682:JYY327683 JYY393218:JYY393219 JYY458754:JYY458755 JYY524290:JYY524291 JYY589826:JYY589827 JYY655362:JYY655363 JYY720898:JYY720899 JYY786434:JYY786435 JYY851970:JYY851971 JYY917506:JYY917507 JYY983042:JYY983043 KIQ5 KIQ65541 KIQ131077 KIQ196613 KIQ262149 KIQ327685 KIQ393221 KIQ458757 KIQ524293 KIQ589829 KIQ655365 KIQ720901 KIQ786437 KIQ851973 KIQ917509 KIQ983045 KIU2:KIU3 KIU65538:KIU65539 KIU131074:KIU131075 KIU196610:KIU196611 KIU262146:KIU262147 KIU327682:KIU327683 KIU393218:KIU393219 KIU458754:KIU458755 KIU524290:KIU524291 KIU589826:KIU589827 KIU655362:KIU655363 KIU720898:KIU720899 KIU786434:KIU786435 KIU851970:KIU851971 KIU917506:KIU917507 KIU983042:KIU983043 KSM5 KSM65541 KSM131077 KSM196613 KSM262149 KSM327685 KSM393221 KSM458757 KSM524293 KSM589829 KSM655365 KSM720901 KSM786437 KSM851973 KSM917509 KSM983045 KSQ2:KSQ3 KSQ65538:KSQ65539 KSQ131074:KSQ131075 KSQ196610:KSQ196611 KSQ262146:KSQ262147 KSQ327682:KSQ327683 KSQ393218:KSQ393219 KSQ458754:KSQ458755 KSQ524290:KSQ524291 KSQ589826:KSQ589827 KSQ655362:KSQ655363 KSQ720898:KSQ720899 KSQ786434:KSQ786435 KSQ851970:KSQ851971 KSQ917506:KSQ917507 KSQ983042:KSQ983043 LCI5 LCI65541 LCI131077 LCI196613 LCI262149 LCI327685 LCI393221 LCI458757 LCI524293 LCI589829 LCI655365 LCI720901 LCI786437 LCI851973 LCI917509 LCI983045 LCM2:LCM3 LCM65538:LCM65539 LCM131074:LCM131075 LCM196610:LCM196611 LCM262146:LCM262147 LCM327682:LCM327683 LCM393218:LCM393219 LCM458754:LCM458755 LCM524290:LCM524291 LCM589826:LCM589827 LCM655362:LCM655363 LCM720898:LCM720899 LCM786434:LCM786435 LCM851970:LCM851971 LCM917506:LCM917507 LCM983042:LCM983043 LME5 LME65541 LME131077 LME196613 LME262149 LME327685 LME393221 LME458757 LME524293 LME589829 LME655365 LME720901 LME786437 LME851973 LME917509 LME983045 LMI2:LMI3 LMI65538:LMI65539 LMI131074:LMI131075 LMI196610:LMI196611 LMI262146:LMI262147 LMI327682:LMI327683 LMI393218:LMI393219 LMI458754:LMI458755 LMI524290:LMI524291 LMI589826:LMI589827 LMI655362:LMI655363 LMI720898:LMI720899 LMI786434:LMI786435 LMI851970:LMI851971 LMI917506:LMI917507 LMI983042:LMI983043 LWA5 LWA65541 LWA131077 LWA196613 LWA262149 LWA327685 LWA393221 LWA458757 LWA524293 LWA589829 LWA655365 LWA720901 LWA786437 LWA851973 LWA917509 LWA983045 LWE2:LWE3 LWE65538:LWE65539 LWE131074:LWE131075 LWE196610:LWE196611 LWE262146:LWE262147 LWE327682:LWE327683 LWE393218:LWE393219 LWE458754:LWE458755 LWE524290:LWE524291 LWE589826:LWE589827 LWE655362:LWE655363 LWE720898:LWE720899 LWE786434:LWE786435 LWE851970:LWE851971 LWE917506:LWE917507 LWE983042:LWE983043 MFW5 MFW65541 MFW131077 MFW196613 MFW262149 MFW327685 MFW393221 MFW458757 MFW524293 MFW589829 MFW655365 MFW720901 MFW786437 MFW851973 MFW917509 MFW983045 MGA2:MGA3 MGA65538:MGA65539 MGA131074:MGA131075 MGA196610:MGA196611 MGA262146:MGA262147 MGA327682:MGA327683 MGA393218:MGA393219 MGA458754:MGA458755 MGA524290:MGA524291 MGA589826:MGA589827 MGA655362:MGA655363 MGA720898:MGA720899 MGA786434:MGA786435 MGA851970:MGA851971 MGA917506:MGA917507 MGA983042:MGA983043 MPS5 MPS65541 MPS131077 MPS196613 MPS262149 MPS327685 MPS393221 MPS458757 MPS524293 MPS589829 MPS655365 MPS720901 MPS786437 MPS851973 MPS917509 MPS983045 MPW2:MPW3 MPW65538:MPW65539 MPW131074:MPW131075 MPW196610:MPW196611 MPW262146:MPW262147 MPW327682:MPW327683 MPW393218:MPW393219 MPW458754:MPW458755 MPW524290:MPW524291 MPW589826:MPW589827 MPW655362:MPW655363 MPW720898:MPW720899 MPW786434:MPW786435 MPW851970:MPW851971 MPW917506:MPW917507 MPW983042:MPW983043 MZO5 MZO65541 MZO131077 MZO196613 MZO262149 MZO327685 MZO393221 MZO458757 MZO524293 MZO589829 MZO655365 MZO720901 MZO786437 MZO851973 MZO917509 MZO983045 MZS2:MZS3 MZS65538:MZS65539 MZS131074:MZS131075 MZS196610:MZS196611 MZS262146:MZS262147 MZS327682:MZS327683 MZS393218:MZS393219 MZS458754:MZS458755 MZS524290:MZS524291 MZS589826:MZS589827 MZS655362:MZS655363 MZS720898:MZS720899 MZS786434:MZS786435 MZS851970:MZS851971 MZS917506:MZS917507 MZS983042:MZS983043 NJK5 NJK65541 NJK131077 NJK196613 NJK262149 NJK327685 NJK393221 NJK458757 NJK524293 NJK589829 NJK655365 NJK720901 NJK786437 NJK851973 NJK917509 NJK983045 NJO2:NJO3 NJO65538:NJO65539 NJO131074:NJO131075 NJO196610:NJO196611 NJO262146:NJO262147 NJO327682:NJO327683 NJO393218:NJO393219 NJO458754:NJO458755 NJO524290:NJO524291 NJO589826:NJO589827 NJO655362:NJO655363 NJO720898:NJO720899 NJO786434:NJO786435 NJO851970:NJO851971 NJO917506:NJO917507 NJO983042:NJO983043 NTG5 NTG65541 NTG131077 NTG196613 NTG262149 NTG327685 NTG393221 NTG458757 NTG524293 NTG589829 NTG655365 NTG720901 NTG786437 NTG851973 NTG917509 NTG983045 NTK2:NTK3 NTK65538:NTK65539 NTK131074:NTK131075 NTK196610:NTK196611 NTK262146:NTK262147 NTK327682:NTK327683 NTK393218:NTK393219 NTK458754:NTK458755 NTK524290:NTK524291 NTK589826:NTK589827 NTK655362:NTK655363 NTK720898:NTK720899 NTK786434:NTK786435 NTK851970:NTK851971 NTK917506:NTK917507 NTK983042:NTK983043 ODC5 ODC65541 ODC131077 ODC196613 ODC262149 ODC327685 ODC393221 ODC458757 ODC524293 ODC589829 ODC655365 ODC720901 ODC786437 ODC851973 ODC917509 ODC983045 ODG2:ODG3 ODG65538:ODG65539 ODG131074:ODG131075 ODG196610:ODG196611 ODG262146:ODG262147 ODG327682:ODG327683 ODG393218:ODG393219 ODG458754:ODG458755 ODG524290:ODG524291 ODG589826:ODG589827 ODG655362:ODG655363 ODG720898:ODG720899 ODG786434:ODG786435 ODG851970:ODG851971 ODG917506:ODG917507 ODG983042:ODG983043 OMY5 OMY65541 OMY131077 OMY196613 OMY262149 OMY327685 OMY393221 OMY458757 OMY524293 OMY589829 OMY655365 OMY720901 OMY786437 OMY851973 OMY917509 OMY983045 ONC2:ONC3 ONC65538:ONC65539 ONC131074:ONC131075 ONC196610:ONC196611 ONC262146:ONC262147 ONC327682:ONC327683 ONC393218:ONC393219 ONC458754:ONC458755 ONC524290:ONC524291 ONC589826:ONC589827 ONC655362:ONC655363 ONC720898:ONC720899 ONC786434:ONC786435 ONC851970:ONC851971 ONC917506:ONC917507 ONC983042:ONC983043 OWU5 OWU65541 OWU131077 OWU196613 OWU262149 OWU327685 OWU393221 OWU458757 OWU524293 OWU589829 OWU655365 OWU720901 OWU786437 OWU851973 OWU917509 OWU983045 OWY2:OWY3 OWY65538:OWY65539 OWY131074:OWY131075 OWY196610:OWY196611 OWY262146:OWY262147 OWY327682:OWY327683 OWY393218:OWY393219 OWY458754:OWY458755 OWY524290:OWY524291 OWY589826:OWY589827 OWY655362:OWY655363 OWY720898:OWY720899 OWY786434:OWY786435 OWY851970:OWY851971 OWY917506:OWY917507 OWY983042:OWY983043 PGQ5 PGQ65541 PGQ131077 PGQ196613 PGQ262149 PGQ327685 PGQ393221 PGQ458757 PGQ524293 PGQ589829 PGQ655365 PGQ720901 PGQ786437 PGQ851973 PGQ917509 PGQ983045 PGU2:PGU3 PGU65538:PGU65539 PGU131074:PGU131075 PGU196610:PGU196611 PGU262146:PGU262147 PGU327682:PGU327683 PGU393218:PGU393219 PGU458754:PGU458755 PGU524290:PGU524291 PGU589826:PGU589827 PGU655362:PGU655363 PGU720898:PGU720899 PGU786434:PGU786435 PGU851970:PGU851971 PGU917506:PGU917507 PGU983042:PGU983043 PQM5 PQM65541 PQM131077 PQM196613 PQM262149 PQM327685 PQM393221 PQM458757 PQM524293 PQM589829 PQM655365 PQM720901 PQM786437 PQM851973 PQM917509 PQM983045 PQQ2:PQQ3 PQQ65538:PQQ65539 PQQ131074:PQQ131075 PQQ196610:PQQ196611 PQQ262146:PQQ262147 PQQ327682:PQQ327683 PQQ393218:PQQ393219 PQQ458754:PQQ458755 PQQ524290:PQQ524291 PQQ589826:PQQ589827 PQQ655362:PQQ655363 PQQ720898:PQQ720899 PQQ786434:PQQ786435 PQQ851970:PQQ851971 PQQ917506:PQQ917507 PQQ983042:PQQ983043 QAI5 QAI65541 QAI131077 QAI196613 QAI262149 QAI327685 QAI393221 QAI458757 QAI524293 QAI589829 QAI655365 QAI720901 QAI786437 QAI851973 QAI917509 QAI983045 QAM2:QAM3 QAM65538:QAM65539 QAM131074:QAM131075 QAM196610:QAM196611 QAM262146:QAM262147 QAM327682:QAM327683 QAM393218:QAM393219 QAM458754:QAM458755 QAM524290:QAM524291 QAM589826:QAM589827 QAM655362:QAM655363 QAM720898:QAM720899 QAM786434:QAM786435 QAM851970:QAM851971 QAM917506:QAM917507 QAM983042:QAM983043 QKE5 QKE65541 QKE131077 QKE196613 QKE262149 QKE327685 QKE393221 QKE458757 QKE524293 QKE589829 QKE655365 QKE720901 QKE786437 QKE851973 QKE917509 QKE983045 QKI2:QKI3 QKI65538:QKI65539 QKI131074:QKI131075 QKI196610:QKI196611 QKI262146:QKI262147 QKI327682:QKI327683 QKI393218:QKI393219 QKI458754:QKI458755 QKI524290:QKI524291 QKI589826:QKI589827 QKI655362:QKI655363 QKI720898:QKI720899 QKI786434:QKI786435 QKI851970:QKI851971 QKI917506:QKI917507 QKI983042:QKI983043 QUA5 QUA65541 QUA131077 QUA196613 QUA262149 QUA327685 QUA393221 QUA458757 QUA524293 QUA589829 QUA655365 QUA720901 QUA786437 QUA851973 QUA917509 QUA983045 QUE2:QUE3 QUE65538:QUE65539 QUE131074:QUE131075 QUE196610:QUE196611 QUE262146:QUE262147 QUE327682:QUE327683 QUE393218:QUE393219 QUE458754:QUE458755 QUE524290:QUE524291 QUE589826:QUE589827 QUE655362:QUE655363 QUE720898:QUE720899 QUE786434:QUE786435 QUE851970:QUE851971 QUE917506:QUE917507 QUE983042:QUE983043 RDW5 RDW65541 RDW131077 RDW196613 RDW262149 RDW327685 RDW393221 RDW458757 RDW524293 RDW589829 RDW655365 RDW720901 RDW786437 RDW851973 RDW917509 RDW983045 REA2:REA3 REA65538:REA65539 REA131074:REA131075 REA196610:REA196611 REA262146:REA262147 REA327682:REA327683 REA393218:REA393219 REA458754:REA458755 REA524290:REA524291 REA589826:REA589827 REA655362:REA655363 REA720898:REA720899 REA786434:REA786435 REA851970:REA851971 REA917506:REA917507 REA983042:REA983043 RNS5 RNS65541 RNS131077 RNS196613 RNS262149 RNS327685 RNS393221 RNS458757 RNS524293 RNS589829 RNS655365 RNS720901 RNS786437 RNS851973 RNS917509 RNS983045 RNW2:RNW3 RNW65538:RNW65539 RNW131074:RNW131075 RNW196610:RNW196611 RNW262146:RNW262147 RNW327682:RNW327683 RNW393218:RNW393219 RNW458754:RNW458755 RNW524290:RNW524291 RNW589826:RNW589827 RNW655362:RNW655363 RNW720898:RNW720899 RNW786434:RNW786435 RNW851970:RNW851971 RNW917506:RNW917507 RNW983042:RNW983043 RXO5 RXO65541 RXO131077 RXO196613 RXO262149 RXO327685 RXO393221 RXO458757 RXO524293 RXO589829 RXO655365 RXO720901 RXO786437 RXO851973 RXO917509 RXO983045 RXS2:RXS3 RXS65538:RXS65539 RXS131074:RXS131075 RXS196610:RXS196611 RXS262146:RXS262147 RXS327682:RXS327683 RXS393218:RXS393219 RXS458754:RXS458755 RXS524290:RXS524291 RXS589826:RXS589827 RXS655362:RXS655363 RXS720898:RXS720899 RXS786434:RXS786435 RXS851970:RXS851971 RXS917506:RXS917507 RXS983042:RXS983043 SHK5 SHK65541 SHK131077 SHK196613 SHK262149 SHK327685 SHK393221 SHK458757 SHK524293 SHK589829 SHK655365 SHK720901 SHK786437 SHK851973 SHK917509 SHK983045 SHO2:SHO3 SHO65538:SHO65539 SHO131074:SHO131075 SHO196610:SHO196611 SHO262146:SHO262147 SHO327682:SHO327683 SHO393218:SHO393219 SHO458754:SHO458755 SHO524290:SHO524291 SHO589826:SHO589827 SHO655362:SHO655363 SHO720898:SHO720899 SHO786434:SHO786435 SHO851970:SHO851971 SHO917506:SHO917507 SHO983042:SHO983043 SRG5 SRG65541 SRG131077 SRG196613 SRG262149 SRG327685 SRG393221 SRG458757 SRG524293 SRG589829 SRG655365 SRG720901 SRG786437 SRG851973 SRG917509 SRG983045 SRK2:SRK3 SRK65538:SRK65539 SRK131074:SRK131075 SRK196610:SRK196611 SRK262146:SRK262147 SRK327682:SRK327683 SRK393218:SRK393219 SRK458754:SRK458755 SRK524290:SRK524291 SRK589826:SRK589827 SRK655362:SRK655363 SRK720898:SRK720899 SRK786434:SRK786435 SRK851970:SRK851971 SRK917506:SRK917507 SRK983042:SRK983043 TBC5 TBC65541 TBC131077 TBC196613 TBC262149 TBC327685 TBC393221 TBC458757 TBC524293 TBC589829 TBC655365 TBC720901 TBC786437 TBC851973 TBC917509 TBC983045 TBG2:TBG3 TBG65538:TBG65539 TBG131074:TBG131075 TBG196610:TBG196611 TBG262146:TBG262147 TBG327682:TBG327683 TBG393218:TBG393219 TBG458754:TBG458755 TBG524290:TBG524291 TBG589826:TBG589827 TBG655362:TBG655363 TBG720898:TBG720899 TBG786434:TBG786435 TBG851970:TBG851971 TBG917506:TBG917507 TBG983042:TBG983043 TKY5 TKY65541 TKY131077 TKY196613 TKY262149 TKY327685 TKY393221 TKY458757 TKY524293 TKY589829 TKY655365 TKY720901 TKY786437 TKY851973 TKY917509 TKY983045 TLC2:TLC3 TLC65538:TLC65539 TLC131074:TLC131075 TLC196610:TLC196611 TLC262146:TLC262147 TLC327682:TLC327683 TLC393218:TLC393219 TLC458754:TLC458755 TLC524290:TLC524291 TLC589826:TLC589827 TLC655362:TLC655363 TLC720898:TLC720899 TLC786434:TLC786435 TLC851970:TLC851971 TLC917506:TLC917507 TLC983042:TLC983043 TUU5 TUU65541 TUU131077 TUU196613 TUU262149 TUU327685 TUU393221 TUU458757 TUU524293 TUU589829 TUU655365 TUU720901 TUU786437 TUU851973 TUU917509 TUU983045 TUY2:TUY3 TUY65538:TUY65539 TUY131074:TUY131075 TUY196610:TUY196611 TUY262146:TUY262147 TUY327682:TUY327683 TUY393218:TUY393219 TUY458754:TUY458755 TUY524290:TUY524291 TUY589826:TUY589827 TUY655362:TUY655363 TUY720898:TUY720899 TUY786434:TUY786435 TUY851970:TUY851971 TUY917506:TUY917507 TUY983042:TUY983043 UEQ5 UEQ65541 UEQ131077 UEQ196613 UEQ262149 UEQ327685 UEQ393221 UEQ458757 UEQ524293 UEQ589829 UEQ655365 UEQ720901 UEQ786437 UEQ851973 UEQ917509 UEQ983045 UEU2:UEU3 UEU65538:UEU65539 UEU131074:UEU131075 UEU196610:UEU196611 UEU262146:UEU262147 UEU327682:UEU327683 UEU393218:UEU393219 UEU458754:UEU458755 UEU524290:UEU524291 UEU589826:UEU589827 UEU655362:UEU655363 UEU720898:UEU720899 UEU786434:UEU786435 UEU851970:UEU851971 UEU917506:UEU917507 UEU983042:UEU983043 UOM5 UOM65541 UOM131077 UOM196613 UOM262149 UOM327685 UOM393221 UOM458757 UOM524293 UOM589829 UOM655365 UOM720901 UOM786437 UOM851973 UOM917509 UOM983045 UOQ2:UOQ3 UOQ65538:UOQ65539 UOQ131074:UOQ131075 UOQ196610:UOQ196611 UOQ262146:UOQ262147 UOQ327682:UOQ327683 UOQ393218:UOQ393219 UOQ458754:UOQ458755 UOQ524290:UOQ524291 UOQ589826:UOQ589827 UOQ655362:UOQ655363 UOQ720898:UOQ720899 UOQ786434:UOQ786435 UOQ851970:UOQ851971 UOQ917506:UOQ917507 UOQ983042:UOQ983043 UYI5 UYI65541 UYI131077 UYI196613 UYI262149 UYI327685 UYI393221 UYI458757 UYI524293 UYI589829 UYI655365 UYI720901 UYI786437 UYI851973 UYI917509 UYI983045 UYM2:UYM3 UYM65538:UYM65539 UYM131074:UYM131075 UYM196610:UYM196611 UYM262146:UYM262147 UYM327682:UYM327683 UYM393218:UYM393219 UYM458754:UYM458755 UYM524290:UYM524291 UYM589826:UYM589827 UYM655362:UYM655363 UYM720898:UYM720899 UYM786434:UYM786435 UYM851970:UYM851971 UYM917506:UYM917507 UYM983042:UYM983043 VIE5 VIE65541 VIE131077 VIE196613 VIE262149 VIE327685 VIE393221 VIE458757 VIE524293 VIE589829 VIE655365 VIE720901 VIE786437 VIE851973 VIE917509 VIE983045 VII2:VII3 VII65538:VII65539 VII131074:VII131075 VII196610:VII196611 VII262146:VII262147 VII327682:VII327683 VII393218:VII393219 VII458754:VII458755 VII524290:VII524291 VII589826:VII589827 VII655362:VII655363 VII720898:VII720899 VII786434:VII786435 VII851970:VII851971 VII917506:VII917507 VII983042:VII983043 VSA5 VSA65541 VSA131077 VSA196613 VSA262149 VSA327685 VSA393221 VSA458757 VSA524293 VSA589829 VSA655365 VSA720901 VSA786437 VSA851973 VSA917509 VSA983045 VSE2:VSE3 VSE65538:VSE65539 VSE131074:VSE131075 VSE196610:VSE196611 VSE262146:VSE262147 VSE327682:VSE327683 VSE393218:VSE393219 VSE458754:VSE458755 VSE524290:VSE524291 VSE589826:VSE589827 VSE655362:VSE655363 VSE720898:VSE720899 VSE786434:VSE786435 VSE851970:VSE851971 VSE917506:VSE917507 VSE983042:VSE983043 WBW5 WBW65541 WBW131077 WBW196613 WBW262149 WBW327685 WBW393221 WBW458757 WBW524293 WBW589829 WBW655365 WBW720901 WBW786437 WBW851973 WBW917509 WBW983045 WCA2:WCA3 WCA65538:WCA65539 WCA131074:WCA131075 WCA196610:WCA196611 WCA262146:WCA262147 WCA327682:WCA327683 WCA393218:WCA393219 WCA458754:WCA458755 WCA524290:WCA524291 WCA589826:WCA589827 WCA655362:WCA655363 WCA720898:WCA720899 WCA786434:WCA786435 WCA851970:WCA851971 WCA917506:WCA917507 WCA983042:WCA983043 WLS5 WLS65541 WLS131077 WLS196613 WLS262149 WLS327685 WLS393221 WLS458757 WLS524293 WLS589829 WLS655365 WLS720901 WLS786437 WLS851973 WLS917509 WLS983045 WLW2:WLW3 WLW65538:WLW65539 WLW131074:WLW131075 WLW196610:WLW196611 WLW262146:WLW262147 WLW327682:WLW327683 WLW393218:WLW393219 WLW458754:WLW458755 WLW524290:WLW524291 WLW589826:WLW589827 WLW655362:WLW655363 WLW720898:WLW720899 WLW786434:WLW786435 WLW851970:WLW851971 WLW917506:WLW917507 WLW983042:WLW983043 WVO5 WVO65541 WVO131077 WVO196613 WVO262149 WVO327685 WVO393221 WVO458757 WVO524293 WVO589829 WVO655365 WVO720901 WVO786437 WVO851973 WVO917509 WVO983045 WVS2:WVS3 WVS65538:WVS65539 WVS131074:WVS131075 WVS196610:WVS196611 WVS262146:WVS262147 WVS327682:WVS327683 WVS393218:WVS393219 WVS458754:WVS458755 WVS524290:WVS524291 WVS589826:WVS589827 WVS655362:WVS655363 WVS720898:WVS720899 WVS786434:WVS786435 WVS851970:WVS851971 WVS917506:WVS917507 WVS983042:WVS983043" xr:uid="{00000000-0002-0000-0900-000006000000}"/>
    <dataValidation allowBlank="1" showInputMessage="1" showErrorMessage="1" promptTitle="Unit" prompt="Unit of the exchange (elementary flow or intermediate product flow)." sqref="F6 F65542 F131078 F196614 F262150 F327686 F393222 F458758 F524294 F589830 F655366 F720902 F786438 F851974 F917510 F983046 K2:K3 K65538:K65539 K131074:K131075 K196610:K196611 K262146:K262147 K327682:K327683 K393218:K393219 K458754:K458755 K524290:K524291 K589826:K589827 K655362:K655363 K720898:K720899 K786434:K786435 K851970:K851971 K917506:K917507 K983042:K983043 JC6 JC65542 JC131078 JC196614 JC262150 JC327686 JC393222 JC458758 JC524294 JC589830 JC655366 JC720902 JC786438 JC851974 JC917510 JC983046 JH2:JH3 JH65538:JH65539 JH131074:JH131075 JH196610:JH196611 JH262146:JH262147 JH327682:JH327683 JH393218:JH393219 JH458754:JH458755 JH524290:JH524291 JH589826:JH589827 JH655362:JH655363 JH720898:JH720899 JH786434:JH786435 JH851970:JH851971 JH917506:JH917507 JH983042:JH983043 SY6 SY65542 SY131078 SY196614 SY262150 SY327686 SY393222 SY458758 SY524294 SY589830 SY655366 SY720902 SY786438 SY851974 SY917510 SY983046 TD2:TD3 TD65538:TD65539 TD131074:TD131075 TD196610:TD196611 TD262146:TD262147 TD327682:TD327683 TD393218:TD393219 TD458754:TD458755 TD524290:TD524291 TD589826:TD589827 TD655362:TD655363 TD720898:TD720899 TD786434:TD786435 TD851970:TD851971 TD917506:TD917507 TD983042:TD983043 ACU6 ACU65542 ACU131078 ACU196614 ACU262150 ACU327686 ACU393222 ACU458758 ACU524294 ACU589830 ACU655366 ACU720902 ACU786438 ACU851974 ACU917510 ACU983046 ACZ2:ACZ3 ACZ65538:ACZ65539 ACZ131074:ACZ131075 ACZ196610:ACZ196611 ACZ262146:ACZ262147 ACZ327682:ACZ327683 ACZ393218:ACZ393219 ACZ458754:ACZ458755 ACZ524290:ACZ524291 ACZ589826:ACZ589827 ACZ655362:ACZ655363 ACZ720898:ACZ720899 ACZ786434:ACZ786435 ACZ851970:ACZ851971 ACZ917506:ACZ917507 ACZ983042:ACZ983043 AMQ6 AMQ65542 AMQ131078 AMQ196614 AMQ262150 AMQ327686 AMQ393222 AMQ458758 AMQ524294 AMQ589830 AMQ655366 AMQ720902 AMQ786438 AMQ851974 AMQ917510 AMQ983046 AMV2:AMV3 AMV65538:AMV65539 AMV131074:AMV131075 AMV196610:AMV196611 AMV262146:AMV262147 AMV327682:AMV327683 AMV393218:AMV393219 AMV458754:AMV458755 AMV524290:AMV524291 AMV589826:AMV589827 AMV655362:AMV655363 AMV720898:AMV720899 AMV786434:AMV786435 AMV851970:AMV851971 AMV917506:AMV917507 AMV983042:AMV983043 AWM6 AWM65542 AWM131078 AWM196614 AWM262150 AWM327686 AWM393222 AWM458758 AWM524294 AWM589830 AWM655366 AWM720902 AWM786438 AWM851974 AWM917510 AWM983046 AWR2:AWR3 AWR65538:AWR65539 AWR131074:AWR131075 AWR196610:AWR196611 AWR262146:AWR262147 AWR327682:AWR327683 AWR393218:AWR393219 AWR458754:AWR458755 AWR524290:AWR524291 AWR589826:AWR589827 AWR655362:AWR655363 AWR720898:AWR720899 AWR786434:AWR786435 AWR851970:AWR851971 AWR917506:AWR917507 AWR983042:AWR983043 BGI6 BGI65542 BGI131078 BGI196614 BGI262150 BGI327686 BGI393222 BGI458758 BGI524294 BGI589830 BGI655366 BGI720902 BGI786438 BGI851974 BGI917510 BGI983046 BGN2:BGN3 BGN65538:BGN65539 BGN131074:BGN131075 BGN196610:BGN196611 BGN262146:BGN262147 BGN327682:BGN327683 BGN393218:BGN393219 BGN458754:BGN458755 BGN524290:BGN524291 BGN589826:BGN589827 BGN655362:BGN655363 BGN720898:BGN720899 BGN786434:BGN786435 BGN851970:BGN851971 BGN917506:BGN917507 BGN983042:BGN983043 BQE6 BQE65542 BQE131078 BQE196614 BQE262150 BQE327686 BQE393222 BQE458758 BQE524294 BQE589830 BQE655366 BQE720902 BQE786438 BQE851974 BQE917510 BQE983046 BQJ2:BQJ3 BQJ65538:BQJ65539 BQJ131074:BQJ131075 BQJ196610:BQJ196611 BQJ262146:BQJ262147 BQJ327682:BQJ327683 BQJ393218:BQJ393219 BQJ458754:BQJ458755 BQJ524290:BQJ524291 BQJ589826:BQJ589827 BQJ655362:BQJ655363 BQJ720898:BQJ720899 BQJ786434:BQJ786435 BQJ851970:BQJ851971 BQJ917506:BQJ917507 BQJ983042:BQJ983043 CAA6 CAA65542 CAA131078 CAA196614 CAA262150 CAA327686 CAA393222 CAA458758 CAA524294 CAA589830 CAA655366 CAA720902 CAA786438 CAA851974 CAA917510 CAA983046 CAF2:CAF3 CAF65538:CAF65539 CAF131074:CAF131075 CAF196610:CAF196611 CAF262146:CAF262147 CAF327682:CAF327683 CAF393218:CAF393219 CAF458754:CAF458755 CAF524290:CAF524291 CAF589826:CAF589827 CAF655362:CAF655363 CAF720898:CAF720899 CAF786434:CAF786435 CAF851970:CAF851971 CAF917506:CAF917507 CAF983042:CAF983043 CJW6 CJW65542 CJW131078 CJW196614 CJW262150 CJW327686 CJW393222 CJW458758 CJW524294 CJW589830 CJW655366 CJW720902 CJW786438 CJW851974 CJW917510 CJW983046 CKB2:CKB3 CKB65538:CKB65539 CKB131074:CKB131075 CKB196610:CKB196611 CKB262146:CKB262147 CKB327682:CKB327683 CKB393218:CKB393219 CKB458754:CKB458755 CKB524290:CKB524291 CKB589826:CKB589827 CKB655362:CKB655363 CKB720898:CKB720899 CKB786434:CKB786435 CKB851970:CKB851971 CKB917506:CKB917507 CKB983042:CKB983043 CTS6 CTS65542 CTS131078 CTS196614 CTS262150 CTS327686 CTS393222 CTS458758 CTS524294 CTS589830 CTS655366 CTS720902 CTS786438 CTS851974 CTS917510 CTS983046 CTX2:CTX3 CTX65538:CTX65539 CTX131074:CTX131075 CTX196610:CTX196611 CTX262146:CTX262147 CTX327682:CTX327683 CTX393218:CTX393219 CTX458754:CTX458755 CTX524290:CTX524291 CTX589826:CTX589827 CTX655362:CTX655363 CTX720898:CTX720899 CTX786434:CTX786435 CTX851970:CTX851971 CTX917506:CTX917507 CTX983042:CTX983043 DDO6 DDO65542 DDO131078 DDO196614 DDO262150 DDO327686 DDO393222 DDO458758 DDO524294 DDO589830 DDO655366 DDO720902 DDO786438 DDO851974 DDO917510 DDO983046 DDT2:DDT3 DDT65538:DDT65539 DDT131074:DDT131075 DDT196610:DDT196611 DDT262146:DDT262147 DDT327682:DDT327683 DDT393218:DDT393219 DDT458754:DDT458755 DDT524290:DDT524291 DDT589826:DDT589827 DDT655362:DDT655363 DDT720898:DDT720899 DDT786434:DDT786435 DDT851970:DDT851971 DDT917506:DDT917507 DDT983042:DDT983043 DNK6 DNK65542 DNK131078 DNK196614 DNK262150 DNK327686 DNK393222 DNK458758 DNK524294 DNK589830 DNK655366 DNK720902 DNK786438 DNK851974 DNK917510 DNK983046 DNP2:DNP3 DNP65538:DNP65539 DNP131074:DNP131075 DNP196610:DNP196611 DNP262146:DNP262147 DNP327682:DNP327683 DNP393218:DNP393219 DNP458754:DNP458755 DNP524290:DNP524291 DNP589826:DNP589827 DNP655362:DNP655363 DNP720898:DNP720899 DNP786434:DNP786435 DNP851970:DNP851971 DNP917506:DNP917507 DNP983042:DNP983043 DXG6 DXG65542 DXG131078 DXG196614 DXG262150 DXG327686 DXG393222 DXG458758 DXG524294 DXG589830 DXG655366 DXG720902 DXG786438 DXG851974 DXG917510 DXG983046 DXL2:DXL3 DXL65538:DXL65539 DXL131074:DXL131075 DXL196610:DXL196611 DXL262146:DXL262147 DXL327682:DXL327683 DXL393218:DXL393219 DXL458754:DXL458755 DXL524290:DXL524291 DXL589826:DXL589827 DXL655362:DXL655363 DXL720898:DXL720899 DXL786434:DXL786435 DXL851970:DXL851971 DXL917506:DXL917507 DXL983042:DXL983043 EHC6 EHC65542 EHC131078 EHC196614 EHC262150 EHC327686 EHC393222 EHC458758 EHC524294 EHC589830 EHC655366 EHC720902 EHC786438 EHC851974 EHC917510 EHC983046 EHH2:EHH3 EHH65538:EHH65539 EHH131074:EHH131075 EHH196610:EHH196611 EHH262146:EHH262147 EHH327682:EHH327683 EHH393218:EHH393219 EHH458754:EHH458755 EHH524290:EHH524291 EHH589826:EHH589827 EHH655362:EHH655363 EHH720898:EHH720899 EHH786434:EHH786435 EHH851970:EHH851971 EHH917506:EHH917507 EHH983042:EHH983043 EQY6 EQY65542 EQY131078 EQY196614 EQY262150 EQY327686 EQY393222 EQY458758 EQY524294 EQY589830 EQY655366 EQY720902 EQY786438 EQY851974 EQY917510 EQY983046 ERD2:ERD3 ERD65538:ERD65539 ERD131074:ERD131075 ERD196610:ERD196611 ERD262146:ERD262147 ERD327682:ERD327683 ERD393218:ERD393219 ERD458754:ERD458755 ERD524290:ERD524291 ERD589826:ERD589827 ERD655362:ERD655363 ERD720898:ERD720899 ERD786434:ERD786435 ERD851970:ERD851971 ERD917506:ERD917507 ERD983042:ERD983043 FAU6 FAU65542 FAU131078 FAU196614 FAU262150 FAU327686 FAU393222 FAU458758 FAU524294 FAU589830 FAU655366 FAU720902 FAU786438 FAU851974 FAU917510 FAU983046 FAZ2:FAZ3 FAZ65538:FAZ65539 FAZ131074:FAZ131075 FAZ196610:FAZ196611 FAZ262146:FAZ262147 FAZ327682:FAZ327683 FAZ393218:FAZ393219 FAZ458754:FAZ458755 FAZ524290:FAZ524291 FAZ589826:FAZ589827 FAZ655362:FAZ655363 FAZ720898:FAZ720899 FAZ786434:FAZ786435 FAZ851970:FAZ851971 FAZ917506:FAZ917507 FAZ983042:FAZ983043 FKQ6 FKQ65542 FKQ131078 FKQ196614 FKQ262150 FKQ327686 FKQ393222 FKQ458758 FKQ524294 FKQ589830 FKQ655366 FKQ720902 FKQ786438 FKQ851974 FKQ917510 FKQ983046 FKV2:FKV3 FKV65538:FKV65539 FKV131074:FKV131075 FKV196610:FKV196611 FKV262146:FKV262147 FKV327682:FKV327683 FKV393218:FKV393219 FKV458754:FKV458755 FKV524290:FKV524291 FKV589826:FKV589827 FKV655362:FKV655363 FKV720898:FKV720899 FKV786434:FKV786435 FKV851970:FKV851971 FKV917506:FKV917507 FKV983042:FKV983043 FUM6 FUM65542 FUM131078 FUM196614 FUM262150 FUM327686 FUM393222 FUM458758 FUM524294 FUM589830 FUM655366 FUM720902 FUM786438 FUM851974 FUM917510 FUM983046 FUR2:FUR3 FUR65538:FUR65539 FUR131074:FUR131075 FUR196610:FUR196611 FUR262146:FUR262147 FUR327682:FUR327683 FUR393218:FUR393219 FUR458754:FUR458755 FUR524290:FUR524291 FUR589826:FUR589827 FUR655362:FUR655363 FUR720898:FUR720899 FUR786434:FUR786435 FUR851970:FUR851971 FUR917506:FUR917507 FUR983042:FUR983043 GEI6 GEI65542 GEI131078 GEI196614 GEI262150 GEI327686 GEI393222 GEI458758 GEI524294 GEI589830 GEI655366 GEI720902 GEI786438 GEI851974 GEI917510 GEI983046 GEN2:GEN3 GEN65538:GEN65539 GEN131074:GEN131075 GEN196610:GEN196611 GEN262146:GEN262147 GEN327682:GEN327683 GEN393218:GEN393219 GEN458754:GEN458755 GEN524290:GEN524291 GEN589826:GEN589827 GEN655362:GEN655363 GEN720898:GEN720899 GEN786434:GEN786435 GEN851970:GEN851971 GEN917506:GEN917507 GEN983042:GEN983043 GOE6 GOE65542 GOE131078 GOE196614 GOE262150 GOE327686 GOE393222 GOE458758 GOE524294 GOE589830 GOE655366 GOE720902 GOE786438 GOE851974 GOE917510 GOE983046 GOJ2:GOJ3 GOJ65538:GOJ65539 GOJ131074:GOJ131075 GOJ196610:GOJ196611 GOJ262146:GOJ262147 GOJ327682:GOJ327683 GOJ393218:GOJ393219 GOJ458754:GOJ458755 GOJ524290:GOJ524291 GOJ589826:GOJ589827 GOJ655362:GOJ655363 GOJ720898:GOJ720899 GOJ786434:GOJ786435 GOJ851970:GOJ851971 GOJ917506:GOJ917507 GOJ983042:GOJ983043 GYA6 GYA65542 GYA131078 GYA196614 GYA262150 GYA327686 GYA393222 GYA458758 GYA524294 GYA589830 GYA655366 GYA720902 GYA786438 GYA851974 GYA917510 GYA983046 GYF2:GYF3 GYF65538:GYF65539 GYF131074:GYF131075 GYF196610:GYF196611 GYF262146:GYF262147 GYF327682:GYF327683 GYF393218:GYF393219 GYF458754:GYF458755 GYF524290:GYF524291 GYF589826:GYF589827 GYF655362:GYF655363 GYF720898:GYF720899 GYF786434:GYF786435 GYF851970:GYF851971 GYF917506:GYF917507 GYF983042:GYF983043 HHW6 HHW65542 HHW131078 HHW196614 HHW262150 HHW327686 HHW393222 HHW458758 HHW524294 HHW589830 HHW655366 HHW720902 HHW786438 HHW851974 HHW917510 HHW983046 HIB2:HIB3 HIB65538:HIB65539 HIB131074:HIB131075 HIB196610:HIB196611 HIB262146:HIB262147 HIB327682:HIB327683 HIB393218:HIB393219 HIB458754:HIB458755 HIB524290:HIB524291 HIB589826:HIB589827 HIB655362:HIB655363 HIB720898:HIB720899 HIB786434:HIB786435 HIB851970:HIB851971 HIB917506:HIB917507 HIB983042:HIB983043 HRS6 HRS65542 HRS131078 HRS196614 HRS262150 HRS327686 HRS393222 HRS458758 HRS524294 HRS589830 HRS655366 HRS720902 HRS786438 HRS851974 HRS917510 HRS983046 HRX2:HRX3 HRX65538:HRX65539 HRX131074:HRX131075 HRX196610:HRX196611 HRX262146:HRX262147 HRX327682:HRX327683 HRX393218:HRX393219 HRX458754:HRX458755 HRX524290:HRX524291 HRX589826:HRX589827 HRX655362:HRX655363 HRX720898:HRX720899 HRX786434:HRX786435 HRX851970:HRX851971 HRX917506:HRX917507 HRX983042:HRX983043 IBO6 IBO65542 IBO131078 IBO196614 IBO262150 IBO327686 IBO393222 IBO458758 IBO524294 IBO589830 IBO655366 IBO720902 IBO786438 IBO851974 IBO917510 IBO983046 IBT2:IBT3 IBT65538:IBT65539 IBT131074:IBT131075 IBT196610:IBT196611 IBT262146:IBT262147 IBT327682:IBT327683 IBT393218:IBT393219 IBT458754:IBT458755 IBT524290:IBT524291 IBT589826:IBT589827 IBT655362:IBT655363 IBT720898:IBT720899 IBT786434:IBT786435 IBT851970:IBT851971 IBT917506:IBT917507 IBT983042:IBT983043 ILK6 ILK65542 ILK131078 ILK196614 ILK262150 ILK327686 ILK393222 ILK458758 ILK524294 ILK589830 ILK655366 ILK720902 ILK786438 ILK851974 ILK917510 ILK983046 ILP2:ILP3 ILP65538:ILP65539 ILP131074:ILP131075 ILP196610:ILP196611 ILP262146:ILP262147 ILP327682:ILP327683 ILP393218:ILP393219 ILP458754:ILP458755 ILP524290:ILP524291 ILP589826:ILP589827 ILP655362:ILP655363 ILP720898:ILP720899 ILP786434:ILP786435 ILP851970:ILP851971 ILP917506:ILP917507 ILP983042:ILP983043 IVG6 IVG65542 IVG131078 IVG196614 IVG262150 IVG327686 IVG393222 IVG458758 IVG524294 IVG589830 IVG655366 IVG720902 IVG786438 IVG851974 IVG917510 IVG983046 IVL2:IVL3 IVL65538:IVL65539 IVL131074:IVL131075 IVL196610:IVL196611 IVL262146:IVL262147 IVL327682:IVL327683 IVL393218:IVL393219 IVL458754:IVL458755 IVL524290:IVL524291 IVL589826:IVL589827 IVL655362:IVL655363 IVL720898:IVL720899 IVL786434:IVL786435 IVL851970:IVL851971 IVL917506:IVL917507 IVL983042:IVL983043 JFC6 JFC65542 JFC131078 JFC196614 JFC262150 JFC327686 JFC393222 JFC458758 JFC524294 JFC589830 JFC655366 JFC720902 JFC786438 JFC851974 JFC917510 JFC983046 JFH2:JFH3 JFH65538:JFH65539 JFH131074:JFH131075 JFH196610:JFH196611 JFH262146:JFH262147 JFH327682:JFH327683 JFH393218:JFH393219 JFH458754:JFH458755 JFH524290:JFH524291 JFH589826:JFH589827 JFH655362:JFH655363 JFH720898:JFH720899 JFH786434:JFH786435 JFH851970:JFH851971 JFH917506:JFH917507 JFH983042:JFH983043 JOY6 JOY65542 JOY131078 JOY196614 JOY262150 JOY327686 JOY393222 JOY458758 JOY524294 JOY589830 JOY655366 JOY720902 JOY786438 JOY851974 JOY917510 JOY983046 JPD2:JPD3 JPD65538:JPD65539 JPD131074:JPD131075 JPD196610:JPD196611 JPD262146:JPD262147 JPD327682:JPD327683 JPD393218:JPD393219 JPD458754:JPD458755 JPD524290:JPD524291 JPD589826:JPD589827 JPD655362:JPD655363 JPD720898:JPD720899 JPD786434:JPD786435 JPD851970:JPD851971 JPD917506:JPD917507 JPD983042:JPD983043 JYU6 JYU65542 JYU131078 JYU196614 JYU262150 JYU327686 JYU393222 JYU458758 JYU524294 JYU589830 JYU655366 JYU720902 JYU786438 JYU851974 JYU917510 JYU983046 JYZ2:JYZ3 JYZ65538:JYZ65539 JYZ131074:JYZ131075 JYZ196610:JYZ196611 JYZ262146:JYZ262147 JYZ327682:JYZ327683 JYZ393218:JYZ393219 JYZ458754:JYZ458755 JYZ524290:JYZ524291 JYZ589826:JYZ589827 JYZ655362:JYZ655363 JYZ720898:JYZ720899 JYZ786434:JYZ786435 JYZ851970:JYZ851971 JYZ917506:JYZ917507 JYZ983042:JYZ983043 KIQ6 KIQ65542 KIQ131078 KIQ196614 KIQ262150 KIQ327686 KIQ393222 KIQ458758 KIQ524294 KIQ589830 KIQ655366 KIQ720902 KIQ786438 KIQ851974 KIQ917510 KIQ983046 KIV2:KIV3 KIV65538:KIV65539 KIV131074:KIV131075 KIV196610:KIV196611 KIV262146:KIV262147 KIV327682:KIV327683 KIV393218:KIV393219 KIV458754:KIV458755 KIV524290:KIV524291 KIV589826:KIV589827 KIV655362:KIV655363 KIV720898:KIV720899 KIV786434:KIV786435 KIV851970:KIV851971 KIV917506:KIV917507 KIV983042:KIV983043 KSM6 KSM65542 KSM131078 KSM196614 KSM262150 KSM327686 KSM393222 KSM458758 KSM524294 KSM589830 KSM655366 KSM720902 KSM786438 KSM851974 KSM917510 KSM983046 KSR2:KSR3 KSR65538:KSR65539 KSR131074:KSR131075 KSR196610:KSR196611 KSR262146:KSR262147 KSR327682:KSR327683 KSR393218:KSR393219 KSR458754:KSR458755 KSR524290:KSR524291 KSR589826:KSR589827 KSR655362:KSR655363 KSR720898:KSR720899 KSR786434:KSR786435 KSR851970:KSR851971 KSR917506:KSR917507 KSR983042:KSR983043 LCI6 LCI65542 LCI131078 LCI196614 LCI262150 LCI327686 LCI393222 LCI458758 LCI524294 LCI589830 LCI655366 LCI720902 LCI786438 LCI851974 LCI917510 LCI983046 LCN2:LCN3 LCN65538:LCN65539 LCN131074:LCN131075 LCN196610:LCN196611 LCN262146:LCN262147 LCN327682:LCN327683 LCN393218:LCN393219 LCN458754:LCN458755 LCN524290:LCN524291 LCN589826:LCN589827 LCN655362:LCN655363 LCN720898:LCN720899 LCN786434:LCN786435 LCN851970:LCN851971 LCN917506:LCN917507 LCN983042:LCN983043 LME6 LME65542 LME131078 LME196614 LME262150 LME327686 LME393222 LME458758 LME524294 LME589830 LME655366 LME720902 LME786438 LME851974 LME917510 LME983046 LMJ2:LMJ3 LMJ65538:LMJ65539 LMJ131074:LMJ131075 LMJ196610:LMJ196611 LMJ262146:LMJ262147 LMJ327682:LMJ327683 LMJ393218:LMJ393219 LMJ458754:LMJ458755 LMJ524290:LMJ524291 LMJ589826:LMJ589827 LMJ655362:LMJ655363 LMJ720898:LMJ720899 LMJ786434:LMJ786435 LMJ851970:LMJ851971 LMJ917506:LMJ917507 LMJ983042:LMJ983043 LWA6 LWA65542 LWA131078 LWA196614 LWA262150 LWA327686 LWA393222 LWA458758 LWA524294 LWA589830 LWA655366 LWA720902 LWA786438 LWA851974 LWA917510 LWA983046 LWF2:LWF3 LWF65538:LWF65539 LWF131074:LWF131075 LWF196610:LWF196611 LWF262146:LWF262147 LWF327682:LWF327683 LWF393218:LWF393219 LWF458754:LWF458755 LWF524290:LWF524291 LWF589826:LWF589827 LWF655362:LWF655363 LWF720898:LWF720899 LWF786434:LWF786435 LWF851970:LWF851971 LWF917506:LWF917507 LWF983042:LWF983043 MFW6 MFW65542 MFW131078 MFW196614 MFW262150 MFW327686 MFW393222 MFW458758 MFW524294 MFW589830 MFW655366 MFW720902 MFW786438 MFW851974 MFW917510 MFW983046 MGB2:MGB3 MGB65538:MGB65539 MGB131074:MGB131075 MGB196610:MGB196611 MGB262146:MGB262147 MGB327682:MGB327683 MGB393218:MGB393219 MGB458754:MGB458755 MGB524290:MGB524291 MGB589826:MGB589827 MGB655362:MGB655363 MGB720898:MGB720899 MGB786434:MGB786435 MGB851970:MGB851971 MGB917506:MGB917507 MGB983042:MGB983043 MPS6 MPS65542 MPS131078 MPS196614 MPS262150 MPS327686 MPS393222 MPS458758 MPS524294 MPS589830 MPS655366 MPS720902 MPS786438 MPS851974 MPS917510 MPS983046 MPX2:MPX3 MPX65538:MPX65539 MPX131074:MPX131075 MPX196610:MPX196611 MPX262146:MPX262147 MPX327682:MPX327683 MPX393218:MPX393219 MPX458754:MPX458755 MPX524290:MPX524291 MPX589826:MPX589827 MPX655362:MPX655363 MPX720898:MPX720899 MPX786434:MPX786435 MPX851970:MPX851971 MPX917506:MPX917507 MPX983042:MPX983043 MZO6 MZO65542 MZO131078 MZO196614 MZO262150 MZO327686 MZO393222 MZO458758 MZO524294 MZO589830 MZO655366 MZO720902 MZO786438 MZO851974 MZO917510 MZO983046 MZT2:MZT3 MZT65538:MZT65539 MZT131074:MZT131075 MZT196610:MZT196611 MZT262146:MZT262147 MZT327682:MZT327683 MZT393218:MZT393219 MZT458754:MZT458755 MZT524290:MZT524291 MZT589826:MZT589827 MZT655362:MZT655363 MZT720898:MZT720899 MZT786434:MZT786435 MZT851970:MZT851971 MZT917506:MZT917507 MZT983042:MZT983043 NJK6 NJK65542 NJK131078 NJK196614 NJK262150 NJK327686 NJK393222 NJK458758 NJK524294 NJK589830 NJK655366 NJK720902 NJK786438 NJK851974 NJK917510 NJK983046 NJP2:NJP3 NJP65538:NJP65539 NJP131074:NJP131075 NJP196610:NJP196611 NJP262146:NJP262147 NJP327682:NJP327683 NJP393218:NJP393219 NJP458754:NJP458755 NJP524290:NJP524291 NJP589826:NJP589827 NJP655362:NJP655363 NJP720898:NJP720899 NJP786434:NJP786435 NJP851970:NJP851971 NJP917506:NJP917507 NJP983042:NJP983043 NTG6 NTG65542 NTG131078 NTG196614 NTG262150 NTG327686 NTG393222 NTG458758 NTG524294 NTG589830 NTG655366 NTG720902 NTG786438 NTG851974 NTG917510 NTG983046 NTL2:NTL3 NTL65538:NTL65539 NTL131074:NTL131075 NTL196610:NTL196611 NTL262146:NTL262147 NTL327682:NTL327683 NTL393218:NTL393219 NTL458754:NTL458755 NTL524290:NTL524291 NTL589826:NTL589827 NTL655362:NTL655363 NTL720898:NTL720899 NTL786434:NTL786435 NTL851970:NTL851971 NTL917506:NTL917507 NTL983042:NTL983043 ODC6 ODC65542 ODC131078 ODC196614 ODC262150 ODC327686 ODC393222 ODC458758 ODC524294 ODC589830 ODC655366 ODC720902 ODC786438 ODC851974 ODC917510 ODC983046 ODH2:ODH3 ODH65538:ODH65539 ODH131074:ODH131075 ODH196610:ODH196611 ODH262146:ODH262147 ODH327682:ODH327683 ODH393218:ODH393219 ODH458754:ODH458755 ODH524290:ODH524291 ODH589826:ODH589827 ODH655362:ODH655363 ODH720898:ODH720899 ODH786434:ODH786435 ODH851970:ODH851971 ODH917506:ODH917507 ODH983042:ODH983043 OMY6 OMY65542 OMY131078 OMY196614 OMY262150 OMY327686 OMY393222 OMY458758 OMY524294 OMY589830 OMY655366 OMY720902 OMY786438 OMY851974 OMY917510 OMY983046 OND2:OND3 OND65538:OND65539 OND131074:OND131075 OND196610:OND196611 OND262146:OND262147 OND327682:OND327683 OND393218:OND393219 OND458754:OND458755 OND524290:OND524291 OND589826:OND589827 OND655362:OND655363 OND720898:OND720899 OND786434:OND786435 OND851970:OND851971 OND917506:OND917507 OND983042:OND983043 OWU6 OWU65542 OWU131078 OWU196614 OWU262150 OWU327686 OWU393222 OWU458758 OWU524294 OWU589830 OWU655366 OWU720902 OWU786438 OWU851974 OWU917510 OWU983046 OWZ2:OWZ3 OWZ65538:OWZ65539 OWZ131074:OWZ131075 OWZ196610:OWZ196611 OWZ262146:OWZ262147 OWZ327682:OWZ327683 OWZ393218:OWZ393219 OWZ458754:OWZ458755 OWZ524290:OWZ524291 OWZ589826:OWZ589827 OWZ655362:OWZ655363 OWZ720898:OWZ720899 OWZ786434:OWZ786435 OWZ851970:OWZ851971 OWZ917506:OWZ917507 OWZ983042:OWZ983043 PGQ6 PGQ65542 PGQ131078 PGQ196614 PGQ262150 PGQ327686 PGQ393222 PGQ458758 PGQ524294 PGQ589830 PGQ655366 PGQ720902 PGQ786438 PGQ851974 PGQ917510 PGQ983046 PGV2:PGV3 PGV65538:PGV65539 PGV131074:PGV131075 PGV196610:PGV196611 PGV262146:PGV262147 PGV327682:PGV327683 PGV393218:PGV393219 PGV458754:PGV458755 PGV524290:PGV524291 PGV589826:PGV589827 PGV655362:PGV655363 PGV720898:PGV720899 PGV786434:PGV786435 PGV851970:PGV851971 PGV917506:PGV917507 PGV983042:PGV983043 PQM6 PQM65542 PQM131078 PQM196614 PQM262150 PQM327686 PQM393222 PQM458758 PQM524294 PQM589830 PQM655366 PQM720902 PQM786438 PQM851974 PQM917510 PQM983046 PQR2:PQR3 PQR65538:PQR65539 PQR131074:PQR131075 PQR196610:PQR196611 PQR262146:PQR262147 PQR327682:PQR327683 PQR393218:PQR393219 PQR458754:PQR458755 PQR524290:PQR524291 PQR589826:PQR589827 PQR655362:PQR655363 PQR720898:PQR720899 PQR786434:PQR786435 PQR851970:PQR851971 PQR917506:PQR917507 PQR983042:PQR983043 QAI6 QAI65542 QAI131078 QAI196614 QAI262150 QAI327686 QAI393222 QAI458758 QAI524294 QAI589830 QAI655366 QAI720902 QAI786438 QAI851974 QAI917510 QAI983046 QAN2:QAN3 QAN65538:QAN65539 QAN131074:QAN131075 QAN196610:QAN196611 QAN262146:QAN262147 QAN327682:QAN327683 QAN393218:QAN393219 QAN458754:QAN458755 QAN524290:QAN524291 QAN589826:QAN589827 QAN655362:QAN655363 QAN720898:QAN720899 QAN786434:QAN786435 QAN851970:QAN851971 QAN917506:QAN917507 QAN983042:QAN983043 QKE6 QKE65542 QKE131078 QKE196614 QKE262150 QKE327686 QKE393222 QKE458758 QKE524294 QKE589830 QKE655366 QKE720902 QKE786438 QKE851974 QKE917510 QKE983046 QKJ2:QKJ3 QKJ65538:QKJ65539 QKJ131074:QKJ131075 QKJ196610:QKJ196611 QKJ262146:QKJ262147 QKJ327682:QKJ327683 QKJ393218:QKJ393219 QKJ458754:QKJ458755 QKJ524290:QKJ524291 QKJ589826:QKJ589827 QKJ655362:QKJ655363 QKJ720898:QKJ720899 QKJ786434:QKJ786435 QKJ851970:QKJ851971 QKJ917506:QKJ917507 QKJ983042:QKJ983043 QUA6 QUA65542 QUA131078 QUA196614 QUA262150 QUA327686 QUA393222 QUA458758 QUA524294 QUA589830 QUA655366 QUA720902 QUA786438 QUA851974 QUA917510 QUA983046 QUF2:QUF3 QUF65538:QUF65539 QUF131074:QUF131075 QUF196610:QUF196611 QUF262146:QUF262147 QUF327682:QUF327683 QUF393218:QUF393219 QUF458754:QUF458755 QUF524290:QUF524291 QUF589826:QUF589827 QUF655362:QUF655363 QUF720898:QUF720899 QUF786434:QUF786435 QUF851970:QUF851971 QUF917506:QUF917507 QUF983042:QUF983043 RDW6 RDW65542 RDW131078 RDW196614 RDW262150 RDW327686 RDW393222 RDW458758 RDW524294 RDW589830 RDW655366 RDW720902 RDW786438 RDW851974 RDW917510 RDW983046 REB2:REB3 REB65538:REB65539 REB131074:REB131075 REB196610:REB196611 REB262146:REB262147 REB327682:REB327683 REB393218:REB393219 REB458754:REB458755 REB524290:REB524291 REB589826:REB589827 REB655362:REB655363 REB720898:REB720899 REB786434:REB786435 REB851970:REB851971 REB917506:REB917507 REB983042:REB983043 RNS6 RNS65542 RNS131078 RNS196614 RNS262150 RNS327686 RNS393222 RNS458758 RNS524294 RNS589830 RNS655366 RNS720902 RNS786438 RNS851974 RNS917510 RNS983046 RNX2:RNX3 RNX65538:RNX65539 RNX131074:RNX131075 RNX196610:RNX196611 RNX262146:RNX262147 RNX327682:RNX327683 RNX393218:RNX393219 RNX458754:RNX458755 RNX524290:RNX524291 RNX589826:RNX589827 RNX655362:RNX655363 RNX720898:RNX720899 RNX786434:RNX786435 RNX851970:RNX851971 RNX917506:RNX917507 RNX983042:RNX983043 RXO6 RXO65542 RXO131078 RXO196614 RXO262150 RXO327686 RXO393222 RXO458758 RXO524294 RXO589830 RXO655366 RXO720902 RXO786438 RXO851974 RXO917510 RXO983046 RXT2:RXT3 RXT65538:RXT65539 RXT131074:RXT131075 RXT196610:RXT196611 RXT262146:RXT262147 RXT327682:RXT327683 RXT393218:RXT393219 RXT458754:RXT458755 RXT524290:RXT524291 RXT589826:RXT589827 RXT655362:RXT655363 RXT720898:RXT720899 RXT786434:RXT786435 RXT851970:RXT851971 RXT917506:RXT917507 RXT983042:RXT983043 SHK6 SHK65542 SHK131078 SHK196614 SHK262150 SHK327686 SHK393222 SHK458758 SHK524294 SHK589830 SHK655366 SHK720902 SHK786438 SHK851974 SHK917510 SHK983046 SHP2:SHP3 SHP65538:SHP65539 SHP131074:SHP131075 SHP196610:SHP196611 SHP262146:SHP262147 SHP327682:SHP327683 SHP393218:SHP393219 SHP458754:SHP458755 SHP524290:SHP524291 SHP589826:SHP589827 SHP655362:SHP655363 SHP720898:SHP720899 SHP786434:SHP786435 SHP851970:SHP851971 SHP917506:SHP917507 SHP983042:SHP983043 SRG6 SRG65542 SRG131078 SRG196614 SRG262150 SRG327686 SRG393222 SRG458758 SRG524294 SRG589830 SRG655366 SRG720902 SRG786438 SRG851974 SRG917510 SRG983046 SRL2:SRL3 SRL65538:SRL65539 SRL131074:SRL131075 SRL196610:SRL196611 SRL262146:SRL262147 SRL327682:SRL327683 SRL393218:SRL393219 SRL458754:SRL458755 SRL524290:SRL524291 SRL589826:SRL589827 SRL655362:SRL655363 SRL720898:SRL720899 SRL786434:SRL786435 SRL851970:SRL851971 SRL917506:SRL917507 SRL983042:SRL983043 TBC6 TBC65542 TBC131078 TBC196614 TBC262150 TBC327686 TBC393222 TBC458758 TBC524294 TBC589830 TBC655366 TBC720902 TBC786438 TBC851974 TBC917510 TBC983046 TBH2:TBH3 TBH65538:TBH65539 TBH131074:TBH131075 TBH196610:TBH196611 TBH262146:TBH262147 TBH327682:TBH327683 TBH393218:TBH393219 TBH458754:TBH458755 TBH524290:TBH524291 TBH589826:TBH589827 TBH655362:TBH655363 TBH720898:TBH720899 TBH786434:TBH786435 TBH851970:TBH851971 TBH917506:TBH917507 TBH983042:TBH983043 TKY6 TKY65542 TKY131078 TKY196614 TKY262150 TKY327686 TKY393222 TKY458758 TKY524294 TKY589830 TKY655366 TKY720902 TKY786438 TKY851974 TKY917510 TKY983046 TLD2:TLD3 TLD65538:TLD65539 TLD131074:TLD131075 TLD196610:TLD196611 TLD262146:TLD262147 TLD327682:TLD327683 TLD393218:TLD393219 TLD458754:TLD458755 TLD524290:TLD524291 TLD589826:TLD589827 TLD655362:TLD655363 TLD720898:TLD720899 TLD786434:TLD786435 TLD851970:TLD851971 TLD917506:TLD917507 TLD983042:TLD983043 TUU6 TUU65542 TUU131078 TUU196614 TUU262150 TUU327686 TUU393222 TUU458758 TUU524294 TUU589830 TUU655366 TUU720902 TUU786438 TUU851974 TUU917510 TUU983046 TUZ2:TUZ3 TUZ65538:TUZ65539 TUZ131074:TUZ131075 TUZ196610:TUZ196611 TUZ262146:TUZ262147 TUZ327682:TUZ327683 TUZ393218:TUZ393219 TUZ458754:TUZ458755 TUZ524290:TUZ524291 TUZ589826:TUZ589827 TUZ655362:TUZ655363 TUZ720898:TUZ720899 TUZ786434:TUZ786435 TUZ851970:TUZ851971 TUZ917506:TUZ917507 TUZ983042:TUZ983043 UEQ6 UEQ65542 UEQ131078 UEQ196614 UEQ262150 UEQ327686 UEQ393222 UEQ458758 UEQ524294 UEQ589830 UEQ655366 UEQ720902 UEQ786438 UEQ851974 UEQ917510 UEQ983046 UEV2:UEV3 UEV65538:UEV65539 UEV131074:UEV131075 UEV196610:UEV196611 UEV262146:UEV262147 UEV327682:UEV327683 UEV393218:UEV393219 UEV458754:UEV458755 UEV524290:UEV524291 UEV589826:UEV589827 UEV655362:UEV655363 UEV720898:UEV720899 UEV786434:UEV786435 UEV851970:UEV851971 UEV917506:UEV917507 UEV983042:UEV983043 UOM6 UOM65542 UOM131078 UOM196614 UOM262150 UOM327686 UOM393222 UOM458758 UOM524294 UOM589830 UOM655366 UOM720902 UOM786438 UOM851974 UOM917510 UOM983046 UOR2:UOR3 UOR65538:UOR65539 UOR131074:UOR131075 UOR196610:UOR196611 UOR262146:UOR262147 UOR327682:UOR327683 UOR393218:UOR393219 UOR458754:UOR458755 UOR524290:UOR524291 UOR589826:UOR589827 UOR655362:UOR655363 UOR720898:UOR720899 UOR786434:UOR786435 UOR851970:UOR851971 UOR917506:UOR917507 UOR983042:UOR983043 UYI6 UYI65542 UYI131078 UYI196614 UYI262150 UYI327686 UYI393222 UYI458758 UYI524294 UYI589830 UYI655366 UYI720902 UYI786438 UYI851974 UYI917510 UYI983046 UYN2:UYN3 UYN65538:UYN65539 UYN131074:UYN131075 UYN196610:UYN196611 UYN262146:UYN262147 UYN327682:UYN327683 UYN393218:UYN393219 UYN458754:UYN458755 UYN524290:UYN524291 UYN589826:UYN589827 UYN655362:UYN655363 UYN720898:UYN720899 UYN786434:UYN786435 UYN851970:UYN851971 UYN917506:UYN917507 UYN983042:UYN983043 VIE6 VIE65542 VIE131078 VIE196614 VIE262150 VIE327686 VIE393222 VIE458758 VIE524294 VIE589830 VIE655366 VIE720902 VIE786438 VIE851974 VIE917510 VIE983046 VIJ2:VIJ3 VIJ65538:VIJ65539 VIJ131074:VIJ131075 VIJ196610:VIJ196611 VIJ262146:VIJ262147 VIJ327682:VIJ327683 VIJ393218:VIJ393219 VIJ458754:VIJ458755 VIJ524290:VIJ524291 VIJ589826:VIJ589827 VIJ655362:VIJ655363 VIJ720898:VIJ720899 VIJ786434:VIJ786435 VIJ851970:VIJ851971 VIJ917506:VIJ917507 VIJ983042:VIJ983043 VSA6 VSA65542 VSA131078 VSA196614 VSA262150 VSA327686 VSA393222 VSA458758 VSA524294 VSA589830 VSA655366 VSA720902 VSA786438 VSA851974 VSA917510 VSA983046 VSF2:VSF3 VSF65538:VSF65539 VSF131074:VSF131075 VSF196610:VSF196611 VSF262146:VSF262147 VSF327682:VSF327683 VSF393218:VSF393219 VSF458754:VSF458755 VSF524290:VSF524291 VSF589826:VSF589827 VSF655362:VSF655363 VSF720898:VSF720899 VSF786434:VSF786435 VSF851970:VSF851971 VSF917506:VSF917507 VSF983042:VSF983043 WBW6 WBW65542 WBW131078 WBW196614 WBW262150 WBW327686 WBW393222 WBW458758 WBW524294 WBW589830 WBW655366 WBW720902 WBW786438 WBW851974 WBW917510 WBW983046 WCB2:WCB3 WCB65538:WCB65539 WCB131074:WCB131075 WCB196610:WCB196611 WCB262146:WCB262147 WCB327682:WCB327683 WCB393218:WCB393219 WCB458754:WCB458755 WCB524290:WCB524291 WCB589826:WCB589827 WCB655362:WCB655363 WCB720898:WCB720899 WCB786434:WCB786435 WCB851970:WCB851971 WCB917506:WCB917507 WCB983042:WCB983043 WLS6 WLS65542 WLS131078 WLS196614 WLS262150 WLS327686 WLS393222 WLS458758 WLS524294 WLS589830 WLS655366 WLS720902 WLS786438 WLS851974 WLS917510 WLS983046 WLX2:WLX3 WLX65538:WLX65539 WLX131074:WLX131075 WLX196610:WLX196611 WLX262146:WLX262147 WLX327682:WLX327683 WLX393218:WLX393219 WLX458754:WLX458755 WLX524290:WLX524291 WLX589826:WLX589827 WLX655362:WLX655363 WLX720898:WLX720899 WLX786434:WLX786435 WLX851970:WLX851971 WLX917506:WLX917507 WLX983042:WLX983043 WVO6 WVO65542 WVO131078 WVO196614 WVO262150 WVO327686 WVO393222 WVO458758 WVO524294 WVO589830 WVO655366 WVO720902 WVO786438 WVO851974 WVO917510 WVO983046 WVT2:WVT3 WVT65538:WVT65539 WVT131074:WVT131075 WVT196610:WVT196611 WVT262146:WVT262147 WVT327682:WVT327683 WVT393218:WVT393219 WVT458754:WVT458755 WVT524290:WVT524291 WVT589826:WVT589827 WVT655362:WVT655363 WVT720898:WVT720899 WVT786434:WVT786435 WVT851970:WVT851971 WVT917506:WVT917507 WVT983042:WVT983043" xr:uid="{00000000-0002-0000-0900-000007000000}"/>
    <dataValidation allowBlank="1" showInputMessage="1" showErrorMessage="1" prompt="This cell is automatically updated from the names List according to the index number in L1. It needs to be identical to the output product." sqref="L3:L6 L65539:L65542 L131075:L131078 L196611:L196614 L262147:L262150 L327683:L327686 L393219:L393222 L458755:L458758 L524291:L524294 L589827:L589830 L655363:L655366 L720899:L720902 L786435:L786438 L851971:L851974 L917507:L917510 L983043:L983046 JI3:JI6 JI65539:JI65542 JI131075:JI131078 JI196611:JI196614 JI262147:JI262150 JI327683:JI327686 JI393219:JI393222 JI458755:JI458758 JI524291:JI524294 JI589827:JI589830 JI655363:JI655366 JI720899:JI720902 JI786435:JI786438 JI851971:JI851974 JI917507:JI917510 JI983043:JI983046 TE3:TE6 TE65539:TE65542 TE131075:TE131078 TE196611:TE196614 TE262147:TE262150 TE327683:TE327686 TE393219:TE393222 TE458755:TE458758 TE524291:TE524294 TE589827:TE589830 TE655363:TE655366 TE720899:TE720902 TE786435:TE786438 TE851971:TE851974 TE917507:TE917510 TE983043:TE983046 ADA3:ADA6 ADA65539:ADA65542 ADA131075:ADA131078 ADA196611:ADA196614 ADA262147:ADA262150 ADA327683:ADA327686 ADA393219:ADA393222 ADA458755:ADA458758 ADA524291:ADA524294 ADA589827:ADA589830 ADA655363:ADA655366 ADA720899:ADA720902 ADA786435:ADA786438 ADA851971:ADA851974 ADA917507:ADA917510 ADA983043:ADA983046 AMW3:AMW6 AMW65539:AMW65542 AMW131075:AMW131078 AMW196611:AMW196614 AMW262147:AMW262150 AMW327683:AMW327686 AMW393219:AMW393222 AMW458755:AMW458758 AMW524291:AMW524294 AMW589827:AMW589830 AMW655363:AMW655366 AMW720899:AMW720902 AMW786435:AMW786438 AMW851971:AMW851974 AMW917507:AMW917510 AMW983043:AMW983046 AWS3:AWS6 AWS65539:AWS65542 AWS131075:AWS131078 AWS196611:AWS196614 AWS262147:AWS262150 AWS327683:AWS327686 AWS393219:AWS393222 AWS458755:AWS458758 AWS524291:AWS524294 AWS589827:AWS589830 AWS655363:AWS655366 AWS720899:AWS720902 AWS786435:AWS786438 AWS851971:AWS851974 AWS917507:AWS917510 AWS983043:AWS983046 BGO3:BGO6 BGO65539:BGO65542 BGO131075:BGO131078 BGO196611:BGO196614 BGO262147:BGO262150 BGO327683:BGO327686 BGO393219:BGO393222 BGO458755:BGO458758 BGO524291:BGO524294 BGO589827:BGO589830 BGO655363:BGO655366 BGO720899:BGO720902 BGO786435:BGO786438 BGO851971:BGO851974 BGO917507:BGO917510 BGO983043:BGO983046 BQK3:BQK6 BQK65539:BQK65542 BQK131075:BQK131078 BQK196611:BQK196614 BQK262147:BQK262150 BQK327683:BQK327686 BQK393219:BQK393222 BQK458755:BQK458758 BQK524291:BQK524294 BQK589827:BQK589830 BQK655363:BQK655366 BQK720899:BQK720902 BQK786435:BQK786438 BQK851971:BQK851974 BQK917507:BQK917510 BQK983043:BQK983046 CAG3:CAG6 CAG65539:CAG65542 CAG131075:CAG131078 CAG196611:CAG196614 CAG262147:CAG262150 CAG327683:CAG327686 CAG393219:CAG393222 CAG458755:CAG458758 CAG524291:CAG524294 CAG589827:CAG589830 CAG655363:CAG655366 CAG720899:CAG720902 CAG786435:CAG786438 CAG851971:CAG851974 CAG917507:CAG917510 CAG983043:CAG983046 CKC3:CKC6 CKC65539:CKC65542 CKC131075:CKC131078 CKC196611:CKC196614 CKC262147:CKC262150 CKC327683:CKC327686 CKC393219:CKC393222 CKC458755:CKC458758 CKC524291:CKC524294 CKC589827:CKC589830 CKC655363:CKC655366 CKC720899:CKC720902 CKC786435:CKC786438 CKC851971:CKC851974 CKC917507:CKC917510 CKC983043:CKC983046 CTY3:CTY6 CTY65539:CTY65542 CTY131075:CTY131078 CTY196611:CTY196614 CTY262147:CTY262150 CTY327683:CTY327686 CTY393219:CTY393222 CTY458755:CTY458758 CTY524291:CTY524294 CTY589827:CTY589830 CTY655363:CTY655366 CTY720899:CTY720902 CTY786435:CTY786438 CTY851971:CTY851974 CTY917507:CTY917510 CTY983043:CTY983046 DDU3:DDU6 DDU65539:DDU65542 DDU131075:DDU131078 DDU196611:DDU196614 DDU262147:DDU262150 DDU327683:DDU327686 DDU393219:DDU393222 DDU458755:DDU458758 DDU524291:DDU524294 DDU589827:DDU589830 DDU655363:DDU655366 DDU720899:DDU720902 DDU786435:DDU786438 DDU851971:DDU851974 DDU917507:DDU917510 DDU983043:DDU983046 DNQ3:DNQ6 DNQ65539:DNQ65542 DNQ131075:DNQ131078 DNQ196611:DNQ196614 DNQ262147:DNQ262150 DNQ327683:DNQ327686 DNQ393219:DNQ393222 DNQ458755:DNQ458758 DNQ524291:DNQ524294 DNQ589827:DNQ589830 DNQ655363:DNQ655366 DNQ720899:DNQ720902 DNQ786435:DNQ786438 DNQ851971:DNQ851974 DNQ917507:DNQ917510 DNQ983043:DNQ983046 DXM3:DXM6 DXM65539:DXM65542 DXM131075:DXM131078 DXM196611:DXM196614 DXM262147:DXM262150 DXM327683:DXM327686 DXM393219:DXM393222 DXM458755:DXM458758 DXM524291:DXM524294 DXM589827:DXM589830 DXM655363:DXM655366 DXM720899:DXM720902 DXM786435:DXM786438 DXM851971:DXM851974 DXM917507:DXM917510 DXM983043:DXM983046 EHI3:EHI6 EHI65539:EHI65542 EHI131075:EHI131078 EHI196611:EHI196614 EHI262147:EHI262150 EHI327683:EHI327686 EHI393219:EHI393222 EHI458755:EHI458758 EHI524291:EHI524294 EHI589827:EHI589830 EHI655363:EHI655366 EHI720899:EHI720902 EHI786435:EHI786438 EHI851971:EHI851974 EHI917507:EHI917510 EHI983043:EHI983046 ERE3:ERE6 ERE65539:ERE65542 ERE131075:ERE131078 ERE196611:ERE196614 ERE262147:ERE262150 ERE327683:ERE327686 ERE393219:ERE393222 ERE458755:ERE458758 ERE524291:ERE524294 ERE589827:ERE589830 ERE655363:ERE655366 ERE720899:ERE720902 ERE786435:ERE786438 ERE851971:ERE851974 ERE917507:ERE917510 ERE983043:ERE983046 FBA3:FBA6 FBA65539:FBA65542 FBA131075:FBA131078 FBA196611:FBA196614 FBA262147:FBA262150 FBA327683:FBA327686 FBA393219:FBA393222 FBA458755:FBA458758 FBA524291:FBA524294 FBA589827:FBA589830 FBA655363:FBA655366 FBA720899:FBA720902 FBA786435:FBA786438 FBA851971:FBA851974 FBA917507:FBA917510 FBA983043:FBA983046 FKW3:FKW6 FKW65539:FKW65542 FKW131075:FKW131078 FKW196611:FKW196614 FKW262147:FKW262150 FKW327683:FKW327686 FKW393219:FKW393222 FKW458755:FKW458758 FKW524291:FKW524294 FKW589827:FKW589830 FKW655363:FKW655366 FKW720899:FKW720902 FKW786435:FKW786438 FKW851971:FKW851974 FKW917507:FKW917510 FKW983043:FKW983046 FUS3:FUS6 FUS65539:FUS65542 FUS131075:FUS131078 FUS196611:FUS196614 FUS262147:FUS262150 FUS327683:FUS327686 FUS393219:FUS393222 FUS458755:FUS458758 FUS524291:FUS524294 FUS589827:FUS589830 FUS655363:FUS655366 FUS720899:FUS720902 FUS786435:FUS786438 FUS851971:FUS851974 FUS917507:FUS917510 FUS983043:FUS983046 GEO3:GEO6 GEO65539:GEO65542 GEO131075:GEO131078 GEO196611:GEO196614 GEO262147:GEO262150 GEO327683:GEO327686 GEO393219:GEO393222 GEO458755:GEO458758 GEO524291:GEO524294 GEO589827:GEO589830 GEO655363:GEO655366 GEO720899:GEO720902 GEO786435:GEO786438 GEO851971:GEO851974 GEO917507:GEO917510 GEO983043:GEO983046 GOK3:GOK6 GOK65539:GOK65542 GOK131075:GOK131078 GOK196611:GOK196614 GOK262147:GOK262150 GOK327683:GOK327686 GOK393219:GOK393222 GOK458755:GOK458758 GOK524291:GOK524294 GOK589827:GOK589830 GOK655363:GOK655366 GOK720899:GOK720902 GOK786435:GOK786438 GOK851971:GOK851974 GOK917507:GOK917510 GOK983043:GOK983046 GYG3:GYG6 GYG65539:GYG65542 GYG131075:GYG131078 GYG196611:GYG196614 GYG262147:GYG262150 GYG327683:GYG327686 GYG393219:GYG393222 GYG458755:GYG458758 GYG524291:GYG524294 GYG589827:GYG589830 GYG655363:GYG655366 GYG720899:GYG720902 GYG786435:GYG786438 GYG851971:GYG851974 GYG917507:GYG917510 GYG983043:GYG983046 HIC3:HIC6 HIC65539:HIC65542 HIC131075:HIC131078 HIC196611:HIC196614 HIC262147:HIC262150 HIC327683:HIC327686 HIC393219:HIC393222 HIC458755:HIC458758 HIC524291:HIC524294 HIC589827:HIC589830 HIC655363:HIC655366 HIC720899:HIC720902 HIC786435:HIC786438 HIC851971:HIC851974 HIC917507:HIC917510 HIC983043:HIC983046 HRY3:HRY6 HRY65539:HRY65542 HRY131075:HRY131078 HRY196611:HRY196614 HRY262147:HRY262150 HRY327683:HRY327686 HRY393219:HRY393222 HRY458755:HRY458758 HRY524291:HRY524294 HRY589827:HRY589830 HRY655363:HRY655366 HRY720899:HRY720902 HRY786435:HRY786438 HRY851971:HRY851974 HRY917507:HRY917510 HRY983043:HRY983046 IBU3:IBU6 IBU65539:IBU65542 IBU131075:IBU131078 IBU196611:IBU196614 IBU262147:IBU262150 IBU327683:IBU327686 IBU393219:IBU393222 IBU458755:IBU458758 IBU524291:IBU524294 IBU589827:IBU589830 IBU655363:IBU655366 IBU720899:IBU720902 IBU786435:IBU786438 IBU851971:IBU851974 IBU917507:IBU917510 IBU983043:IBU983046 ILQ3:ILQ6 ILQ65539:ILQ65542 ILQ131075:ILQ131078 ILQ196611:ILQ196614 ILQ262147:ILQ262150 ILQ327683:ILQ327686 ILQ393219:ILQ393222 ILQ458755:ILQ458758 ILQ524291:ILQ524294 ILQ589827:ILQ589830 ILQ655363:ILQ655366 ILQ720899:ILQ720902 ILQ786435:ILQ786438 ILQ851971:ILQ851974 ILQ917507:ILQ917510 ILQ983043:ILQ983046 IVM3:IVM6 IVM65539:IVM65542 IVM131075:IVM131078 IVM196611:IVM196614 IVM262147:IVM262150 IVM327683:IVM327686 IVM393219:IVM393222 IVM458755:IVM458758 IVM524291:IVM524294 IVM589827:IVM589830 IVM655363:IVM655366 IVM720899:IVM720902 IVM786435:IVM786438 IVM851971:IVM851974 IVM917507:IVM917510 IVM983043:IVM983046 JFI3:JFI6 JFI65539:JFI65542 JFI131075:JFI131078 JFI196611:JFI196614 JFI262147:JFI262150 JFI327683:JFI327686 JFI393219:JFI393222 JFI458755:JFI458758 JFI524291:JFI524294 JFI589827:JFI589830 JFI655363:JFI655366 JFI720899:JFI720902 JFI786435:JFI786438 JFI851971:JFI851974 JFI917507:JFI917510 JFI983043:JFI983046 JPE3:JPE6 JPE65539:JPE65542 JPE131075:JPE131078 JPE196611:JPE196614 JPE262147:JPE262150 JPE327683:JPE327686 JPE393219:JPE393222 JPE458755:JPE458758 JPE524291:JPE524294 JPE589827:JPE589830 JPE655363:JPE655366 JPE720899:JPE720902 JPE786435:JPE786438 JPE851971:JPE851974 JPE917507:JPE917510 JPE983043:JPE983046 JZA3:JZA6 JZA65539:JZA65542 JZA131075:JZA131078 JZA196611:JZA196614 JZA262147:JZA262150 JZA327683:JZA327686 JZA393219:JZA393222 JZA458755:JZA458758 JZA524291:JZA524294 JZA589827:JZA589830 JZA655363:JZA655366 JZA720899:JZA720902 JZA786435:JZA786438 JZA851971:JZA851974 JZA917507:JZA917510 JZA983043:JZA983046 KIW3:KIW6 KIW65539:KIW65542 KIW131075:KIW131078 KIW196611:KIW196614 KIW262147:KIW262150 KIW327683:KIW327686 KIW393219:KIW393222 KIW458755:KIW458758 KIW524291:KIW524294 KIW589827:KIW589830 KIW655363:KIW655366 KIW720899:KIW720902 KIW786435:KIW786438 KIW851971:KIW851974 KIW917507:KIW917510 KIW983043:KIW983046 KSS3:KSS6 KSS65539:KSS65542 KSS131075:KSS131078 KSS196611:KSS196614 KSS262147:KSS262150 KSS327683:KSS327686 KSS393219:KSS393222 KSS458755:KSS458758 KSS524291:KSS524294 KSS589827:KSS589830 KSS655363:KSS655366 KSS720899:KSS720902 KSS786435:KSS786438 KSS851971:KSS851974 KSS917507:KSS917510 KSS983043:KSS983046 LCO3:LCO6 LCO65539:LCO65542 LCO131075:LCO131078 LCO196611:LCO196614 LCO262147:LCO262150 LCO327683:LCO327686 LCO393219:LCO393222 LCO458755:LCO458758 LCO524291:LCO524294 LCO589827:LCO589830 LCO655363:LCO655366 LCO720899:LCO720902 LCO786435:LCO786438 LCO851971:LCO851974 LCO917507:LCO917510 LCO983043:LCO983046 LMK3:LMK6 LMK65539:LMK65542 LMK131075:LMK131078 LMK196611:LMK196614 LMK262147:LMK262150 LMK327683:LMK327686 LMK393219:LMK393222 LMK458755:LMK458758 LMK524291:LMK524294 LMK589827:LMK589830 LMK655363:LMK655366 LMK720899:LMK720902 LMK786435:LMK786438 LMK851971:LMK851974 LMK917507:LMK917510 LMK983043:LMK983046 LWG3:LWG6 LWG65539:LWG65542 LWG131075:LWG131078 LWG196611:LWG196614 LWG262147:LWG262150 LWG327683:LWG327686 LWG393219:LWG393222 LWG458755:LWG458758 LWG524291:LWG524294 LWG589827:LWG589830 LWG655363:LWG655366 LWG720899:LWG720902 LWG786435:LWG786438 LWG851971:LWG851974 LWG917507:LWG917510 LWG983043:LWG983046 MGC3:MGC6 MGC65539:MGC65542 MGC131075:MGC131078 MGC196611:MGC196614 MGC262147:MGC262150 MGC327683:MGC327686 MGC393219:MGC393222 MGC458755:MGC458758 MGC524291:MGC524294 MGC589827:MGC589830 MGC655363:MGC655366 MGC720899:MGC720902 MGC786435:MGC786438 MGC851971:MGC851974 MGC917507:MGC917510 MGC983043:MGC983046 MPY3:MPY6 MPY65539:MPY65542 MPY131075:MPY131078 MPY196611:MPY196614 MPY262147:MPY262150 MPY327683:MPY327686 MPY393219:MPY393222 MPY458755:MPY458758 MPY524291:MPY524294 MPY589827:MPY589830 MPY655363:MPY655366 MPY720899:MPY720902 MPY786435:MPY786438 MPY851971:MPY851974 MPY917507:MPY917510 MPY983043:MPY983046 MZU3:MZU6 MZU65539:MZU65542 MZU131075:MZU131078 MZU196611:MZU196614 MZU262147:MZU262150 MZU327683:MZU327686 MZU393219:MZU393222 MZU458755:MZU458758 MZU524291:MZU524294 MZU589827:MZU589830 MZU655363:MZU655366 MZU720899:MZU720902 MZU786435:MZU786438 MZU851971:MZU851974 MZU917507:MZU917510 MZU983043:MZU983046 NJQ3:NJQ6 NJQ65539:NJQ65542 NJQ131075:NJQ131078 NJQ196611:NJQ196614 NJQ262147:NJQ262150 NJQ327683:NJQ327686 NJQ393219:NJQ393222 NJQ458755:NJQ458758 NJQ524291:NJQ524294 NJQ589827:NJQ589830 NJQ655363:NJQ655366 NJQ720899:NJQ720902 NJQ786435:NJQ786438 NJQ851971:NJQ851974 NJQ917507:NJQ917510 NJQ983043:NJQ983046 NTM3:NTM6 NTM65539:NTM65542 NTM131075:NTM131078 NTM196611:NTM196614 NTM262147:NTM262150 NTM327683:NTM327686 NTM393219:NTM393222 NTM458755:NTM458758 NTM524291:NTM524294 NTM589827:NTM589830 NTM655363:NTM655366 NTM720899:NTM720902 NTM786435:NTM786438 NTM851971:NTM851974 NTM917507:NTM917510 NTM983043:NTM983046 ODI3:ODI6 ODI65539:ODI65542 ODI131075:ODI131078 ODI196611:ODI196614 ODI262147:ODI262150 ODI327683:ODI327686 ODI393219:ODI393222 ODI458755:ODI458758 ODI524291:ODI524294 ODI589827:ODI589830 ODI655363:ODI655366 ODI720899:ODI720902 ODI786435:ODI786438 ODI851971:ODI851974 ODI917507:ODI917510 ODI983043:ODI983046 ONE3:ONE6 ONE65539:ONE65542 ONE131075:ONE131078 ONE196611:ONE196614 ONE262147:ONE262150 ONE327683:ONE327686 ONE393219:ONE393222 ONE458755:ONE458758 ONE524291:ONE524294 ONE589827:ONE589830 ONE655363:ONE655366 ONE720899:ONE720902 ONE786435:ONE786438 ONE851971:ONE851974 ONE917507:ONE917510 ONE983043:ONE983046 OXA3:OXA6 OXA65539:OXA65542 OXA131075:OXA131078 OXA196611:OXA196614 OXA262147:OXA262150 OXA327683:OXA327686 OXA393219:OXA393222 OXA458755:OXA458758 OXA524291:OXA524294 OXA589827:OXA589830 OXA655363:OXA655366 OXA720899:OXA720902 OXA786435:OXA786438 OXA851971:OXA851974 OXA917507:OXA917510 OXA983043:OXA983046 PGW3:PGW6 PGW65539:PGW65542 PGW131075:PGW131078 PGW196611:PGW196614 PGW262147:PGW262150 PGW327683:PGW327686 PGW393219:PGW393222 PGW458755:PGW458758 PGW524291:PGW524294 PGW589827:PGW589830 PGW655363:PGW655366 PGW720899:PGW720902 PGW786435:PGW786438 PGW851971:PGW851974 PGW917507:PGW917510 PGW983043:PGW983046 PQS3:PQS6 PQS65539:PQS65542 PQS131075:PQS131078 PQS196611:PQS196614 PQS262147:PQS262150 PQS327683:PQS327686 PQS393219:PQS393222 PQS458755:PQS458758 PQS524291:PQS524294 PQS589827:PQS589830 PQS655363:PQS655366 PQS720899:PQS720902 PQS786435:PQS786438 PQS851971:PQS851974 PQS917507:PQS917510 PQS983043:PQS983046 QAO3:QAO6 QAO65539:QAO65542 QAO131075:QAO131078 QAO196611:QAO196614 QAO262147:QAO262150 QAO327683:QAO327686 QAO393219:QAO393222 QAO458755:QAO458758 QAO524291:QAO524294 QAO589827:QAO589830 QAO655363:QAO655366 QAO720899:QAO720902 QAO786435:QAO786438 QAO851971:QAO851974 QAO917507:QAO917510 QAO983043:QAO983046 QKK3:QKK6 QKK65539:QKK65542 QKK131075:QKK131078 QKK196611:QKK196614 QKK262147:QKK262150 QKK327683:QKK327686 QKK393219:QKK393222 QKK458755:QKK458758 QKK524291:QKK524294 QKK589827:QKK589830 QKK655363:QKK655366 QKK720899:QKK720902 QKK786435:QKK786438 QKK851971:QKK851974 QKK917507:QKK917510 QKK983043:QKK983046 QUG3:QUG6 QUG65539:QUG65542 QUG131075:QUG131078 QUG196611:QUG196614 QUG262147:QUG262150 QUG327683:QUG327686 QUG393219:QUG393222 QUG458755:QUG458758 QUG524291:QUG524294 QUG589827:QUG589830 QUG655363:QUG655366 QUG720899:QUG720902 QUG786435:QUG786438 QUG851971:QUG851974 QUG917507:QUG917510 QUG983043:QUG983046 REC3:REC6 REC65539:REC65542 REC131075:REC131078 REC196611:REC196614 REC262147:REC262150 REC327683:REC327686 REC393219:REC393222 REC458755:REC458758 REC524291:REC524294 REC589827:REC589830 REC655363:REC655366 REC720899:REC720902 REC786435:REC786438 REC851971:REC851974 REC917507:REC917510 REC983043:REC983046 RNY3:RNY6 RNY65539:RNY65542 RNY131075:RNY131078 RNY196611:RNY196614 RNY262147:RNY262150 RNY327683:RNY327686 RNY393219:RNY393222 RNY458755:RNY458758 RNY524291:RNY524294 RNY589827:RNY589830 RNY655363:RNY655366 RNY720899:RNY720902 RNY786435:RNY786438 RNY851971:RNY851974 RNY917507:RNY917510 RNY983043:RNY983046 RXU3:RXU6 RXU65539:RXU65542 RXU131075:RXU131078 RXU196611:RXU196614 RXU262147:RXU262150 RXU327683:RXU327686 RXU393219:RXU393222 RXU458755:RXU458758 RXU524291:RXU524294 RXU589827:RXU589830 RXU655363:RXU655366 RXU720899:RXU720902 RXU786435:RXU786438 RXU851971:RXU851974 RXU917507:RXU917510 RXU983043:RXU983046 SHQ3:SHQ6 SHQ65539:SHQ65542 SHQ131075:SHQ131078 SHQ196611:SHQ196614 SHQ262147:SHQ262150 SHQ327683:SHQ327686 SHQ393219:SHQ393222 SHQ458755:SHQ458758 SHQ524291:SHQ524294 SHQ589827:SHQ589830 SHQ655363:SHQ655366 SHQ720899:SHQ720902 SHQ786435:SHQ786438 SHQ851971:SHQ851974 SHQ917507:SHQ917510 SHQ983043:SHQ983046 SRM3:SRM6 SRM65539:SRM65542 SRM131075:SRM131078 SRM196611:SRM196614 SRM262147:SRM262150 SRM327683:SRM327686 SRM393219:SRM393222 SRM458755:SRM458758 SRM524291:SRM524294 SRM589827:SRM589830 SRM655363:SRM655366 SRM720899:SRM720902 SRM786435:SRM786438 SRM851971:SRM851974 SRM917507:SRM917510 SRM983043:SRM983046 TBI3:TBI6 TBI65539:TBI65542 TBI131075:TBI131078 TBI196611:TBI196614 TBI262147:TBI262150 TBI327683:TBI327686 TBI393219:TBI393222 TBI458755:TBI458758 TBI524291:TBI524294 TBI589827:TBI589830 TBI655363:TBI655366 TBI720899:TBI720902 TBI786435:TBI786438 TBI851971:TBI851974 TBI917507:TBI917510 TBI983043:TBI983046 TLE3:TLE6 TLE65539:TLE65542 TLE131075:TLE131078 TLE196611:TLE196614 TLE262147:TLE262150 TLE327683:TLE327686 TLE393219:TLE393222 TLE458755:TLE458758 TLE524291:TLE524294 TLE589827:TLE589830 TLE655363:TLE655366 TLE720899:TLE720902 TLE786435:TLE786438 TLE851971:TLE851974 TLE917507:TLE917510 TLE983043:TLE983046 TVA3:TVA6 TVA65539:TVA65542 TVA131075:TVA131078 TVA196611:TVA196614 TVA262147:TVA262150 TVA327683:TVA327686 TVA393219:TVA393222 TVA458755:TVA458758 TVA524291:TVA524294 TVA589827:TVA589830 TVA655363:TVA655366 TVA720899:TVA720902 TVA786435:TVA786438 TVA851971:TVA851974 TVA917507:TVA917510 TVA983043:TVA983046 UEW3:UEW6 UEW65539:UEW65542 UEW131075:UEW131078 UEW196611:UEW196614 UEW262147:UEW262150 UEW327683:UEW327686 UEW393219:UEW393222 UEW458755:UEW458758 UEW524291:UEW524294 UEW589827:UEW589830 UEW655363:UEW655366 UEW720899:UEW720902 UEW786435:UEW786438 UEW851971:UEW851974 UEW917507:UEW917510 UEW983043:UEW983046 UOS3:UOS6 UOS65539:UOS65542 UOS131075:UOS131078 UOS196611:UOS196614 UOS262147:UOS262150 UOS327683:UOS327686 UOS393219:UOS393222 UOS458755:UOS458758 UOS524291:UOS524294 UOS589827:UOS589830 UOS655363:UOS655366 UOS720899:UOS720902 UOS786435:UOS786438 UOS851971:UOS851974 UOS917507:UOS917510 UOS983043:UOS983046 UYO3:UYO6 UYO65539:UYO65542 UYO131075:UYO131078 UYO196611:UYO196614 UYO262147:UYO262150 UYO327683:UYO327686 UYO393219:UYO393222 UYO458755:UYO458758 UYO524291:UYO524294 UYO589827:UYO589830 UYO655363:UYO655366 UYO720899:UYO720902 UYO786435:UYO786438 UYO851971:UYO851974 UYO917507:UYO917510 UYO983043:UYO983046 VIK3:VIK6 VIK65539:VIK65542 VIK131075:VIK131078 VIK196611:VIK196614 VIK262147:VIK262150 VIK327683:VIK327686 VIK393219:VIK393222 VIK458755:VIK458758 VIK524291:VIK524294 VIK589827:VIK589830 VIK655363:VIK655366 VIK720899:VIK720902 VIK786435:VIK786438 VIK851971:VIK851974 VIK917507:VIK917510 VIK983043:VIK983046 VSG3:VSG6 VSG65539:VSG65542 VSG131075:VSG131078 VSG196611:VSG196614 VSG262147:VSG262150 VSG327683:VSG327686 VSG393219:VSG393222 VSG458755:VSG458758 VSG524291:VSG524294 VSG589827:VSG589830 VSG655363:VSG655366 VSG720899:VSG720902 VSG786435:VSG786438 VSG851971:VSG851974 VSG917507:VSG917510 VSG983043:VSG983046 WCC3:WCC6 WCC65539:WCC65542 WCC131075:WCC131078 WCC196611:WCC196614 WCC262147:WCC262150 WCC327683:WCC327686 WCC393219:WCC393222 WCC458755:WCC458758 WCC524291:WCC524294 WCC589827:WCC589830 WCC655363:WCC655366 WCC720899:WCC720902 WCC786435:WCC786438 WCC851971:WCC851974 WCC917507:WCC917510 WCC983043:WCC983046 WLY3:WLY6 WLY65539:WLY65542 WLY131075:WLY131078 WLY196611:WLY196614 WLY262147:WLY262150 WLY327683:WLY327686 WLY393219:WLY393222 WLY458755:WLY458758 WLY524291:WLY524294 WLY589827:WLY589830 WLY655363:WLY655366 WLY720899:WLY720902 WLY786435:WLY786438 WLY851971:WLY851974 WLY917507:WLY917510 WLY983043:WLY983046 WVU3:WVU6 WVU65539:WVU65542 WVU131075:WVU131078 WVU196611:WVU196614 WVU262147:WVU262150 WVU327683:WVU327686 WVU393219:WVU393222 WVU458755:WVU458758 WVU524291:WVU524294 WVU589827:WVU589830 WVU655363:WVU655366 WVU720899:WVU720902 WVU786435:WVU786438 WVU851971:WVU851974 WVU917507:WVU917510 WVU983043:WVU983046" xr:uid="{00000000-0002-0000-0900-000008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 D65543 D131079 D196615 D262151 D327687 D393223 D458759 D524295 D589831 D655367 D720903 D786439 D851975 D917511 D983047 JA7 JA65543 JA131079 JA196615 JA262151 JA327687 JA393223 JA458759 JA524295 JA589831 JA655367 JA720903 JA786439 JA851975 JA917511 JA983047 SW7 SW65543 SW131079 SW196615 SW262151 SW327687 SW393223 SW458759 SW524295 SW589831 SW655367 SW720903 SW786439 SW851975 SW917511 SW983047 ACS7 ACS65543 ACS131079 ACS196615 ACS262151 ACS327687 ACS393223 ACS458759 ACS524295 ACS589831 ACS655367 ACS720903 ACS786439 ACS851975 ACS917511 ACS983047 AMO7 AMO65543 AMO131079 AMO196615 AMO262151 AMO327687 AMO393223 AMO458759 AMO524295 AMO589831 AMO655367 AMO720903 AMO786439 AMO851975 AMO917511 AMO983047 AWK7 AWK65543 AWK131079 AWK196615 AWK262151 AWK327687 AWK393223 AWK458759 AWK524295 AWK589831 AWK655367 AWK720903 AWK786439 AWK851975 AWK917511 AWK983047 BGG7 BGG65543 BGG131079 BGG196615 BGG262151 BGG327687 BGG393223 BGG458759 BGG524295 BGG589831 BGG655367 BGG720903 BGG786439 BGG851975 BGG917511 BGG983047 BQC7 BQC65543 BQC131079 BQC196615 BQC262151 BQC327687 BQC393223 BQC458759 BQC524295 BQC589831 BQC655367 BQC720903 BQC786439 BQC851975 BQC917511 BQC983047 BZY7 BZY65543 BZY131079 BZY196615 BZY262151 BZY327687 BZY393223 BZY458759 BZY524295 BZY589831 BZY655367 BZY720903 BZY786439 BZY851975 BZY917511 BZY983047 CJU7 CJU65543 CJU131079 CJU196615 CJU262151 CJU327687 CJU393223 CJU458759 CJU524295 CJU589831 CJU655367 CJU720903 CJU786439 CJU851975 CJU917511 CJU983047 CTQ7 CTQ65543 CTQ131079 CTQ196615 CTQ262151 CTQ327687 CTQ393223 CTQ458759 CTQ524295 CTQ589831 CTQ655367 CTQ720903 CTQ786439 CTQ851975 CTQ917511 CTQ983047 DDM7 DDM65543 DDM131079 DDM196615 DDM262151 DDM327687 DDM393223 DDM458759 DDM524295 DDM589831 DDM655367 DDM720903 DDM786439 DDM851975 DDM917511 DDM983047 DNI7 DNI65543 DNI131079 DNI196615 DNI262151 DNI327687 DNI393223 DNI458759 DNI524295 DNI589831 DNI655367 DNI720903 DNI786439 DNI851975 DNI917511 DNI983047 DXE7 DXE65543 DXE131079 DXE196615 DXE262151 DXE327687 DXE393223 DXE458759 DXE524295 DXE589831 DXE655367 DXE720903 DXE786439 DXE851975 DXE917511 DXE983047 EHA7 EHA65543 EHA131079 EHA196615 EHA262151 EHA327687 EHA393223 EHA458759 EHA524295 EHA589831 EHA655367 EHA720903 EHA786439 EHA851975 EHA917511 EHA983047 EQW7 EQW65543 EQW131079 EQW196615 EQW262151 EQW327687 EQW393223 EQW458759 EQW524295 EQW589831 EQW655367 EQW720903 EQW786439 EQW851975 EQW917511 EQW983047 FAS7 FAS65543 FAS131079 FAS196615 FAS262151 FAS327687 FAS393223 FAS458759 FAS524295 FAS589831 FAS655367 FAS720903 FAS786439 FAS851975 FAS917511 FAS983047 FKO7 FKO65543 FKO131079 FKO196615 FKO262151 FKO327687 FKO393223 FKO458759 FKO524295 FKO589831 FKO655367 FKO720903 FKO786439 FKO851975 FKO917511 FKO983047 FUK7 FUK65543 FUK131079 FUK196615 FUK262151 FUK327687 FUK393223 FUK458759 FUK524295 FUK589831 FUK655367 FUK720903 FUK786439 FUK851975 FUK917511 FUK983047 GEG7 GEG65543 GEG131079 GEG196615 GEG262151 GEG327687 GEG393223 GEG458759 GEG524295 GEG589831 GEG655367 GEG720903 GEG786439 GEG851975 GEG917511 GEG983047 GOC7 GOC65543 GOC131079 GOC196615 GOC262151 GOC327687 GOC393223 GOC458759 GOC524295 GOC589831 GOC655367 GOC720903 GOC786439 GOC851975 GOC917511 GOC983047 GXY7 GXY65543 GXY131079 GXY196615 GXY262151 GXY327687 GXY393223 GXY458759 GXY524295 GXY589831 GXY655367 GXY720903 GXY786439 GXY851975 GXY917511 GXY983047 HHU7 HHU65543 HHU131079 HHU196615 HHU262151 HHU327687 HHU393223 HHU458759 HHU524295 HHU589831 HHU655367 HHU720903 HHU786439 HHU851975 HHU917511 HHU983047 HRQ7 HRQ65543 HRQ131079 HRQ196615 HRQ262151 HRQ327687 HRQ393223 HRQ458759 HRQ524295 HRQ589831 HRQ655367 HRQ720903 HRQ786439 HRQ851975 HRQ917511 HRQ983047 IBM7 IBM65543 IBM131079 IBM196615 IBM262151 IBM327687 IBM393223 IBM458759 IBM524295 IBM589831 IBM655367 IBM720903 IBM786439 IBM851975 IBM917511 IBM983047 ILI7 ILI65543 ILI131079 ILI196615 ILI262151 ILI327687 ILI393223 ILI458759 ILI524295 ILI589831 ILI655367 ILI720903 ILI786439 ILI851975 ILI917511 ILI983047 IVE7 IVE65543 IVE131079 IVE196615 IVE262151 IVE327687 IVE393223 IVE458759 IVE524295 IVE589831 IVE655367 IVE720903 IVE786439 IVE851975 IVE917511 IVE983047 JFA7 JFA65543 JFA131079 JFA196615 JFA262151 JFA327687 JFA393223 JFA458759 JFA524295 JFA589831 JFA655367 JFA720903 JFA786439 JFA851975 JFA917511 JFA983047 JOW7 JOW65543 JOW131079 JOW196615 JOW262151 JOW327687 JOW393223 JOW458759 JOW524295 JOW589831 JOW655367 JOW720903 JOW786439 JOW851975 JOW917511 JOW983047 JYS7 JYS65543 JYS131079 JYS196615 JYS262151 JYS327687 JYS393223 JYS458759 JYS524295 JYS589831 JYS655367 JYS720903 JYS786439 JYS851975 JYS917511 JYS983047 KIO7 KIO65543 KIO131079 KIO196615 KIO262151 KIO327687 KIO393223 KIO458759 KIO524295 KIO589831 KIO655367 KIO720903 KIO786439 KIO851975 KIO917511 KIO983047 KSK7 KSK65543 KSK131079 KSK196615 KSK262151 KSK327687 KSK393223 KSK458759 KSK524295 KSK589831 KSK655367 KSK720903 KSK786439 KSK851975 KSK917511 KSK983047 LCG7 LCG65543 LCG131079 LCG196615 LCG262151 LCG327687 LCG393223 LCG458759 LCG524295 LCG589831 LCG655367 LCG720903 LCG786439 LCG851975 LCG917511 LCG983047 LMC7 LMC65543 LMC131079 LMC196615 LMC262151 LMC327687 LMC393223 LMC458759 LMC524295 LMC589831 LMC655367 LMC720903 LMC786439 LMC851975 LMC917511 LMC983047 LVY7 LVY65543 LVY131079 LVY196615 LVY262151 LVY327687 LVY393223 LVY458759 LVY524295 LVY589831 LVY655367 LVY720903 LVY786439 LVY851975 LVY917511 LVY983047 MFU7 MFU65543 MFU131079 MFU196615 MFU262151 MFU327687 MFU393223 MFU458759 MFU524295 MFU589831 MFU655367 MFU720903 MFU786439 MFU851975 MFU917511 MFU983047 MPQ7 MPQ65543 MPQ131079 MPQ196615 MPQ262151 MPQ327687 MPQ393223 MPQ458759 MPQ524295 MPQ589831 MPQ655367 MPQ720903 MPQ786439 MPQ851975 MPQ917511 MPQ983047 MZM7 MZM65543 MZM131079 MZM196615 MZM262151 MZM327687 MZM393223 MZM458759 MZM524295 MZM589831 MZM655367 MZM720903 MZM786439 MZM851975 MZM917511 MZM983047 NJI7 NJI65543 NJI131079 NJI196615 NJI262151 NJI327687 NJI393223 NJI458759 NJI524295 NJI589831 NJI655367 NJI720903 NJI786439 NJI851975 NJI917511 NJI983047 NTE7 NTE65543 NTE131079 NTE196615 NTE262151 NTE327687 NTE393223 NTE458759 NTE524295 NTE589831 NTE655367 NTE720903 NTE786439 NTE851975 NTE917511 NTE983047 ODA7 ODA65543 ODA131079 ODA196615 ODA262151 ODA327687 ODA393223 ODA458759 ODA524295 ODA589831 ODA655367 ODA720903 ODA786439 ODA851975 ODA917511 ODA983047 OMW7 OMW65543 OMW131079 OMW196615 OMW262151 OMW327687 OMW393223 OMW458759 OMW524295 OMW589831 OMW655367 OMW720903 OMW786439 OMW851975 OMW917511 OMW983047 OWS7 OWS65543 OWS131079 OWS196615 OWS262151 OWS327687 OWS393223 OWS458759 OWS524295 OWS589831 OWS655367 OWS720903 OWS786439 OWS851975 OWS917511 OWS983047 PGO7 PGO65543 PGO131079 PGO196615 PGO262151 PGO327687 PGO393223 PGO458759 PGO524295 PGO589831 PGO655367 PGO720903 PGO786439 PGO851975 PGO917511 PGO983047 PQK7 PQK65543 PQK131079 PQK196615 PQK262151 PQK327687 PQK393223 PQK458759 PQK524295 PQK589831 PQK655367 PQK720903 PQK786439 PQK851975 PQK917511 PQK983047 QAG7 QAG65543 QAG131079 QAG196615 QAG262151 QAG327687 QAG393223 QAG458759 QAG524295 QAG589831 QAG655367 QAG720903 QAG786439 QAG851975 QAG917511 QAG983047 QKC7 QKC65543 QKC131079 QKC196615 QKC262151 QKC327687 QKC393223 QKC458759 QKC524295 QKC589831 QKC655367 QKC720903 QKC786439 QKC851975 QKC917511 QKC983047 QTY7 QTY65543 QTY131079 QTY196615 QTY262151 QTY327687 QTY393223 QTY458759 QTY524295 QTY589831 QTY655367 QTY720903 QTY786439 QTY851975 QTY917511 QTY983047 RDU7 RDU65543 RDU131079 RDU196615 RDU262151 RDU327687 RDU393223 RDU458759 RDU524295 RDU589831 RDU655367 RDU720903 RDU786439 RDU851975 RDU917511 RDU983047 RNQ7 RNQ65543 RNQ131079 RNQ196615 RNQ262151 RNQ327687 RNQ393223 RNQ458759 RNQ524295 RNQ589831 RNQ655367 RNQ720903 RNQ786439 RNQ851975 RNQ917511 RNQ983047 RXM7 RXM65543 RXM131079 RXM196615 RXM262151 RXM327687 RXM393223 RXM458759 RXM524295 RXM589831 RXM655367 RXM720903 RXM786439 RXM851975 RXM917511 RXM983047 SHI7 SHI65543 SHI131079 SHI196615 SHI262151 SHI327687 SHI393223 SHI458759 SHI524295 SHI589831 SHI655367 SHI720903 SHI786439 SHI851975 SHI917511 SHI983047 SRE7 SRE65543 SRE131079 SRE196615 SRE262151 SRE327687 SRE393223 SRE458759 SRE524295 SRE589831 SRE655367 SRE720903 SRE786439 SRE851975 SRE917511 SRE983047 TBA7 TBA65543 TBA131079 TBA196615 TBA262151 TBA327687 TBA393223 TBA458759 TBA524295 TBA589831 TBA655367 TBA720903 TBA786439 TBA851975 TBA917511 TBA983047 TKW7 TKW65543 TKW131079 TKW196615 TKW262151 TKW327687 TKW393223 TKW458759 TKW524295 TKW589831 TKW655367 TKW720903 TKW786439 TKW851975 TKW917511 TKW983047 TUS7 TUS65543 TUS131079 TUS196615 TUS262151 TUS327687 TUS393223 TUS458759 TUS524295 TUS589831 TUS655367 TUS720903 TUS786439 TUS851975 TUS917511 TUS983047 UEO7 UEO65543 UEO131079 UEO196615 UEO262151 UEO327687 UEO393223 UEO458759 UEO524295 UEO589831 UEO655367 UEO720903 UEO786439 UEO851975 UEO917511 UEO983047 UOK7 UOK65543 UOK131079 UOK196615 UOK262151 UOK327687 UOK393223 UOK458759 UOK524295 UOK589831 UOK655367 UOK720903 UOK786439 UOK851975 UOK917511 UOK983047 UYG7 UYG65543 UYG131079 UYG196615 UYG262151 UYG327687 UYG393223 UYG458759 UYG524295 UYG589831 UYG655367 UYG720903 UYG786439 UYG851975 UYG917511 UYG983047 VIC7 VIC65543 VIC131079 VIC196615 VIC262151 VIC327687 VIC393223 VIC458759 VIC524295 VIC589831 VIC655367 VIC720903 VIC786439 VIC851975 VIC917511 VIC983047 VRY7 VRY65543 VRY131079 VRY196615 VRY262151 VRY327687 VRY393223 VRY458759 VRY524295 VRY589831 VRY655367 VRY720903 VRY786439 VRY851975 VRY917511 VRY983047 WBU7 WBU65543 WBU131079 WBU196615 WBU262151 WBU327687 WBU393223 WBU458759 WBU524295 WBU589831 WBU655367 WBU720903 WBU786439 WBU851975 WBU917511 WBU983047 WLQ7 WLQ65543 WLQ131079 WLQ196615 WLQ262151 WLQ327687 WLQ393223 WLQ458759 WLQ524295 WLQ589831 WLQ655367 WLQ720903 WLQ786439 WLQ851975 WLQ917511 WLQ983047 WVM7 WVM65543 WVM131079 WVM196615 WVM262151 WVM327687 WVM393223 WVM458759 WVM524295 WVM589831 WVM655367 WVM720903 WVM786439 WVM851975 WVM917511 WVM983047" xr:uid="{00000000-0002-0000-09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A65538:A65539 A131074:A131075 A196610:A196611 A262146:A262147 A327682:A327683 A393218:A393219 A458754:A458755 A524290:A524291 A589826:A589827 A655362:A655363 A720898:A720899 A786434:A786435 A851970:A851971 A917506:A917507 A983042:A983043 IX2:IX3 IX65538:IX65539 IX131074:IX131075 IX196610:IX196611 IX262146:IX262147 IX327682:IX327683 IX393218:IX393219 IX458754:IX458755 IX524290:IX524291 IX589826:IX589827 IX655362:IX655363 IX720898:IX720899 IX786434:IX786435 IX851970:IX851971 IX917506:IX917507 IX983042:IX983043 ST2:ST3 ST65538:ST65539 ST131074:ST131075 ST196610:ST196611 ST262146:ST262147 ST327682:ST327683 ST393218:ST393219 ST458754:ST458755 ST524290:ST524291 ST589826:ST589827 ST655362:ST655363 ST720898:ST720899 ST786434:ST786435 ST851970:ST851971 ST917506:ST917507 ST983042:ST983043 ACP2:ACP3 ACP65538:ACP65539 ACP131074:ACP131075 ACP196610:ACP196611 ACP262146:ACP262147 ACP327682:ACP327683 ACP393218:ACP393219 ACP458754:ACP458755 ACP524290:ACP524291 ACP589826:ACP589827 ACP655362:ACP655363 ACP720898:ACP720899 ACP786434:ACP786435 ACP851970:ACP851971 ACP917506:ACP917507 ACP983042:ACP983043 AML2:AML3 AML65538:AML65539 AML131074:AML131075 AML196610:AML196611 AML262146:AML262147 AML327682:AML327683 AML393218:AML393219 AML458754:AML458755 AML524290:AML524291 AML589826:AML589827 AML655362:AML655363 AML720898:AML720899 AML786434:AML786435 AML851970:AML851971 AML917506:AML917507 AML983042:AML983043 AWH2:AWH3 AWH65538:AWH65539 AWH131074:AWH131075 AWH196610:AWH196611 AWH262146:AWH262147 AWH327682:AWH327683 AWH393218:AWH393219 AWH458754:AWH458755 AWH524290:AWH524291 AWH589826:AWH589827 AWH655362:AWH655363 AWH720898:AWH720899 AWH786434:AWH786435 AWH851970:AWH851971 AWH917506:AWH917507 AWH983042:AWH983043 BGD2:BGD3 BGD65538:BGD65539 BGD131074:BGD131075 BGD196610:BGD196611 BGD262146:BGD262147 BGD327682:BGD327683 BGD393218:BGD393219 BGD458754:BGD458755 BGD524290:BGD524291 BGD589826:BGD589827 BGD655362:BGD655363 BGD720898:BGD720899 BGD786434:BGD786435 BGD851970:BGD851971 BGD917506:BGD917507 BGD983042:BGD983043 BPZ2:BPZ3 BPZ65538:BPZ65539 BPZ131074:BPZ131075 BPZ196610:BPZ196611 BPZ262146:BPZ262147 BPZ327682:BPZ327683 BPZ393218:BPZ393219 BPZ458754:BPZ458755 BPZ524290:BPZ524291 BPZ589826:BPZ589827 BPZ655362:BPZ655363 BPZ720898:BPZ720899 BPZ786434:BPZ786435 BPZ851970:BPZ851971 BPZ917506:BPZ917507 BPZ983042:BPZ983043 BZV2:BZV3 BZV65538:BZV65539 BZV131074:BZV131075 BZV196610:BZV196611 BZV262146:BZV262147 BZV327682:BZV327683 BZV393218:BZV393219 BZV458754:BZV458755 BZV524290:BZV524291 BZV589826:BZV589827 BZV655362:BZV655363 BZV720898:BZV720899 BZV786434:BZV786435 BZV851970:BZV851971 BZV917506:BZV917507 BZV983042:BZV983043 CJR2:CJR3 CJR65538:CJR65539 CJR131074:CJR131075 CJR196610:CJR196611 CJR262146:CJR262147 CJR327682:CJR327683 CJR393218:CJR393219 CJR458754:CJR458755 CJR524290:CJR524291 CJR589826:CJR589827 CJR655362:CJR655363 CJR720898:CJR720899 CJR786434:CJR786435 CJR851970:CJR851971 CJR917506:CJR917507 CJR983042:CJR983043 CTN2:CTN3 CTN65538:CTN65539 CTN131074:CTN131075 CTN196610:CTN196611 CTN262146:CTN262147 CTN327682:CTN327683 CTN393218:CTN393219 CTN458754:CTN458755 CTN524290:CTN524291 CTN589826:CTN589827 CTN655362:CTN655363 CTN720898:CTN720899 CTN786434:CTN786435 CTN851970:CTN851971 CTN917506:CTN917507 CTN983042:CTN983043 DDJ2:DDJ3 DDJ65538:DDJ65539 DDJ131074:DDJ131075 DDJ196610:DDJ196611 DDJ262146:DDJ262147 DDJ327682:DDJ327683 DDJ393218:DDJ393219 DDJ458754:DDJ458755 DDJ524290:DDJ524291 DDJ589826:DDJ589827 DDJ655362:DDJ655363 DDJ720898:DDJ720899 DDJ786434:DDJ786435 DDJ851970:DDJ851971 DDJ917506:DDJ917507 DDJ983042:DDJ983043 DNF2:DNF3 DNF65538:DNF65539 DNF131074:DNF131075 DNF196610:DNF196611 DNF262146:DNF262147 DNF327682:DNF327683 DNF393218:DNF393219 DNF458754:DNF458755 DNF524290:DNF524291 DNF589826:DNF589827 DNF655362:DNF655363 DNF720898:DNF720899 DNF786434:DNF786435 DNF851970:DNF851971 DNF917506:DNF917507 DNF983042:DNF983043 DXB2:DXB3 DXB65538:DXB65539 DXB131074:DXB131075 DXB196610:DXB196611 DXB262146:DXB262147 DXB327682:DXB327683 DXB393218:DXB393219 DXB458754:DXB458755 DXB524290:DXB524291 DXB589826:DXB589827 DXB655362:DXB655363 DXB720898:DXB720899 DXB786434:DXB786435 DXB851970:DXB851971 DXB917506:DXB917507 DXB983042:DXB983043 EGX2:EGX3 EGX65538:EGX65539 EGX131074:EGX131075 EGX196610:EGX196611 EGX262146:EGX262147 EGX327682:EGX327683 EGX393218:EGX393219 EGX458754:EGX458755 EGX524290:EGX524291 EGX589826:EGX589827 EGX655362:EGX655363 EGX720898:EGX720899 EGX786434:EGX786435 EGX851970:EGX851971 EGX917506:EGX917507 EGX983042:EGX983043 EQT2:EQT3 EQT65538:EQT65539 EQT131074:EQT131075 EQT196610:EQT196611 EQT262146:EQT262147 EQT327682:EQT327683 EQT393218:EQT393219 EQT458754:EQT458755 EQT524290:EQT524291 EQT589826:EQT589827 EQT655362:EQT655363 EQT720898:EQT720899 EQT786434:EQT786435 EQT851970:EQT851971 EQT917506:EQT917507 EQT983042:EQT983043 FAP2:FAP3 FAP65538:FAP65539 FAP131074:FAP131075 FAP196610:FAP196611 FAP262146:FAP262147 FAP327682:FAP327683 FAP393218:FAP393219 FAP458754:FAP458755 FAP524290:FAP524291 FAP589826:FAP589827 FAP655362:FAP655363 FAP720898:FAP720899 FAP786434:FAP786435 FAP851970:FAP851971 FAP917506:FAP917507 FAP983042:FAP983043 FKL2:FKL3 FKL65538:FKL65539 FKL131074:FKL131075 FKL196610:FKL196611 FKL262146:FKL262147 FKL327682:FKL327683 FKL393218:FKL393219 FKL458754:FKL458755 FKL524290:FKL524291 FKL589826:FKL589827 FKL655362:FKL655363 FKL720898:FKL720899 FKL786434:FKL786435 FKL851970:FKL851971 FKL917506:FKL917507 FKL983042:FKL983043 FUH2:FUH3 FUH65538:FUH65539 FUH131074:FUH131075 FUH196610:FUH196611 FUH262146:FUH262147 FUH327682:FUH327683 FUH393218:FUH393219 FUH458754:FUH458755 FUH524290:FUH524291 FUH589826:FUH589827 FUH655362:FUH655363 FUH720898:FUH720899 FUH786434:FUH786435 FUH851970:FUH851971 FUH917506:FUH917507 FUH983042:FUH983043 GED2:GED3 GED65538:GED65539 GED131074:GED131075 GED196610:GED196611 GED262146:GED262147 GED327682:GED327683 GED393218:GED393219 GED458754:GED458755 GED524290:GED524291 GED589826:GED589827 GED655362:GED655363 GED720898:GED720899 GED786434:GED786435 GED851970:GED851971 GED917506:GED917507 GED983042:GED983043 GNZ2:GNZ3 GNZ65538:GNZ65539 GNZ131074:GNZ131075 GNZ196610:GNZ196611 GNZ262146:GNZ262147 GNZ327682:GNZ327683 GNZ393218:GNZ393219 GNZ458754:GNZ458755 GNZ524290:GNZ524291 GNZ589826:GNZ589827 GNZ655362:GNZ655363 GNZ720898:GNZ720899 GNZ786434:GNZ786435 GNZ851970:GNZ851971 GNZ917506:GNZ917507 GNZ983042:GNZ983043 GXV2:GXV3 GXV65538:GXV65539 GXV131074:GXV131075 GXV196610:GXV196611 GXV262146:GXV262147 GXV327682:GXV327683 GXV393218:GXV393219 GXV458754:GXV458755 GXV524290:GXV524291 GXV589826:GXV589827 GXV655362:GXV655363 GXV720898:GXV720899 GXV786434:GXV786435 GXV851970:GXV851971 GXV917506:GXV917507 GXV983042:GXV983043 HHR2:HHR3 HHR65538:HHR65539 HHR131074:HHR131075 HHR196610:HHR196611 HHR262146:HHR262147 HHR327682:HHR327683 HHR393218:HHR393219 HHR458754:HHR458755 HHR524290:HHR524291 HHR589826:HHR589827 HHR655362:HHR655363 HHR720898:HHR720899 HHR786434:HHR786435 HHR851970:HHR851971 HHR917506:HHR917507 HHR983042:HHR983043 HRN2:HRN3 HRN65538:HRN65539 HRN131074:HRN131075 HRN196610:HRN196611 HRN262146:HRN262147 HRN327682:HRN327683 HRN393218:HRN393219 HRN458754:HRN458755 HRN524290:HRN524291 HRN589826:HRN589827 HRN655362:HRN655363 HRN720898:HRN720899 HRN786434:HRN786435 HRN851970:HRN851971 HRN917506:HRN917507 HRN983042:HRN983043 IBJ2:IBJ3 IBJ65538:IBJ65539 IBJ131074:IBJ131075 IBJ196610:IBJ196611 IBJ262146:IBJ262147 IBJ327682:IBJ327683 IBJ393218:IBJ393219 IBJ458754:IBJ458755 IBJ524290:IBJ524291 IBJ589826:IBJ589827 IBJ655362:IBJ655363 IBJ720898:IBJ720899 IBJ786434:IBJ786435 IBJ851970:IBJ851971 IBJ917506:IBJ917507 IBJ983042:IBJ983043 ILF2:ILF3 ILF65538:ILF65539 ILF131074:ILF131075 ILF196610:ILF196611 ILF262146:ILF262147 ILF327682:ILF327683 ILF393218:ILF393219 ILF458754:ILF458755 ILF524290:ILF524291 ILF589826:ILF589827 ILF655362:ILF655363 ILF720898:ILF720899 ILF786434:ILF786435 ILF851970:ILF851971 ILF917506:ILF917507 ILF983042:ILF983043 IVB2:IVB3 IVB65538:IVB65539 IVB131074:IVB131075 IVB196610:IVB196611 IVB262146:IVB262147 IVB327682:IVB327683 IVB393218:IVB393219 IVB458754:IVB458755 IVB524290:IVB524291 IVB589826:IVB589827 IVB655362:IVB655363 IVB720898:IVB720899 IVB786434:IVB786435 IVB851970:IVB851971 IVB917506:IVB917507 IVB983042:IVB983043 JEX2:JEX3 JEX65538:JEX65539 JEX131074:JEX131075 JEX196610:JEX196611 JEX262146:JEX262147 JEX327682:JEX327683 JEX393218:JEX393219 JEX458754:JEX458755 JEX524290:JEX524291 JEX589826:JEX589827 JEX655362:JEX655363 JEX720898:JEX720899 JEX786434:JEX786435 JEX851970:JEX851971 JEX917506:JEX917507 JEX983042:JEX983043 JOT2:JOT3 JOT65538:JOT65539 JOT131074:JOT131075 JOT196610:JOT196611 JOT262146:JOT262147 JOT327682:JOT327683 JOT393218:JOT393219 JOT458754:JOT458755 JOT524290:JOT524291 JOT589826:JOT589827 JOT655362:JOT655363 JOT720898:JOT720899 JOT786434:JOT786435 JOT851970:JOT851971 JOT917506:JOT917507 JOT983042:JOT983043 JYP2:JYP3 JYP65538:JYP65539 JYP131074:JYP131075 JYP196610:JYP196611 JYP262146:JYP262147 JYP327682:JYP327683 JYP393218:JYP393219 JYP458754:JYP458755 JYP524290:JYP524291 JYP589826:JYP589827 JYP655362:JYP655363 JYP720898:JYP720899 JYP786434:JYP786435 JYP851970:JYP851971 JYP917506:JYP917507 JYP983042:JYP983043 KIL2:KIL3 KIL65538:KIL65539 KIL131074:KIL131075 KIL196610:KIL196611 KIL262146:KIL262147 KIL327682:KIL327683 KIL393218:KIL393219 KIL458754:KIL458755 KIL524290:KIL524291 KIL589826:KIL589827 KIL655362:KIL655363 KIL720898:KIL720899 KIL786434:KIL786435 KIL851970:KIL851971 KIL917506:KIL917507 KIL983042:KIL983043 KSH2:KSH3 KSH65538:KSH65539 KSH131074:KSH131075 KSH196610:KSH196611 KSH262146:KSH262147 KSH327682:KSH327683 KSH393218:KSH393219 KSH458754:KSH458755 KSH524290:KSH524291 KSH589826:KSH589827 KSH655362:KSH655363 KSH720898:KSH720899 KSH786434:KSH786435 KSH851970:KSH851971 KSH917506:KSH917507 KSH983042:KSH983043 LCD2:LCD3 LCD65538:LCD65539 LCD131074:LCD131075 LCD196610:LCD196611 LCD262146:LCD262147 LCD327682:LCD327683 LCD393218:LCD393219 LCD458754:LCD458755 LCD524290:LCD524291 LCD589826:LCD589827 LCD655362:LCD655363 LCD720898:LCD720899 LCD786434:LCD786435 LCD851970:LCD851971 LCD917506:LCD917507 LCD983042:LCD983043 LLZ2:LLZ3 LLZ65538:LLZ65539 LLZ131074:LLZ131075 LLZ196610:LLZ196611 LLZ262146:LLZ262147 LLZ327682:LLZ327683 LLZ393218:LLZ393219 LLZ458754:LLZ458755 LLZ524290:LLZ524291 LLZ589826:LLZ589827 LLZ655362:LLZ655363 LLZ720898:LLZ720899 LLZ786434:LLZ786435 LLZ851970:LLZ851971 LLZ917506:LLZ917507 LLZ983042:LLZ983043 LVV2:LVV3 LVV65538:LVV65539 LVV131074:LVV131075 LVV196610:LVV196611 LVV262146:LVV262147 LVV327682:LVV327683 LVV393218:LVV393219 LVV458754:LVV458755 LVV524290:LVV524291 LVV589826:LVV589827 LVV655362:LVV655363 LVV720898:LVV720899 LVV786434:LVV786435 LVV851970:LVV851971 LVV917506:LVV917507 LVV983042:LVV983043 MFR2:MFR3 MFR65538:MFR65539 MFR131074:MFR131075 MFR196610:MFR196611 MFR262146:MFR262147 MFR327682:MFR327683 MFR393218:MFR393219 MFR458754:MFR458755 MFR524290:MFR524291 MFR589826:MFR589827 MFR655362:MFR655363 MFR720898:MFR720899 MFR786434:MFR786435 MFR851970:MFR851971 MFR917506:MFR917507 MFR983042:MFR983043 MPN2:MPN3 MPN65538:MPN65539 MPN131074:MPN131075 MPN196610:MPN196611 MPN262146:MPN262147 MPN327682:MPN327683 MPN393218:MPN393219 MPN458754:MPN458755 MPN524290:MPN524291 MPN589826:MPN589827 MPN655362:MPN655363 MPN720898:MPN720899 MPN786434:MPN786435 MPN851970:MPN851971 MPN917506:MPN917507 MPN983042:MPN983043 MZJ2:MZJ3 MZJ65538:MZJ65539 MZJ131074:MZJ131075 MZJ196610:MZJ196611 MZJ262146:MZJ262147 MZJ327682:MZJ327683 MZJ393218:MZJ393219 MZJ458754:MZJ458755 MZJ524290:MZJ524291 MZJ589826:MZJ589827 MZJ655362:MZJ655363 MZJ720898:MZJ720899 MZJ786434:MZJ786435 MZJ851970:MZJ851971 MZJ917506:MZJ917507 MZJ983042:MZJ983043 NJF2:NJF3 NJF65538:NJF65539 NJF131074:NJF131075 NJF196610:NJF196611 NJF262146:NJF262147 NJF327682:NJF327683 NJF393218:NJF393219 NJF458754:NJF458755 NJF524290:NJF524291 NJF589826:NJF589827 NJF655362:NJF655363 NJF720898:NJF720899 NJF786434:NJF786435 NJF851970:NJF851971 NJF917506:NJF917507 NJF983042:NJF983043 NTB2:NTB3 NTB65538:NTB65539 NTB131074:NTB131075 NTB196610:NTB196611 NTB262146:NTB262147 NTB327682:NTB327683 NTB393218:NTB393219 NTB458754:NTB458755 NTB524290:NTB524291 NTB589826:NTB589827 NTB655362:NTB655363 NTB720898:NTB720899 NTB786434:NTB786435 NTB851970:NTB851971 NTB917506:NTB917507 NTB983042:NTB983043 OCX2:OCX3 OCX65538:OCX65539 OCX131074:OCX131075 OCX196610:OCX196611 OCX262146:OCX262147 OCX327682:OCX327683 OCX393218:OCX393219 OCX458754:OCX458755 OCX524290:OCX524291 OCX589826:OCX589827 OCX655362:OCX655363 OCX720898:OCX720899 OCX786434:OCX786435 OCX851970:OCX851971 OCX917506:OCX917507 OCX983042:OCX983043 OMT2:OMT3 OMT65538:OMT65539 OMT131074:OMT131075 OMT196610:OMT196611 OMT262146:OMT262147 OMT327682:OMT327683 OMT393218:OMT393219 OMT458754:OMT458755 OMT524290:OMT524291 OMT589826:OMT589827 OMT655362:OMT655363 OMT720898:OMT720899 OMT786434:OMT786435 OMT851970:OMT851971 OMT917506:OMT917507 OMT983042:OMT983043 OWP2:OWP3 OWP65538:OWP65539 OWP131074:OWP131075 OWP196610:OWP196611 OWP262146:OWP262147 OWP327682:OWP327683 OWP393218:OWP393219 OWP458754:OWP458755 OWP524290:OWP524291 OWP589826:OWP589827 OWP655362:OWP655363 OWP720898:OWP720899 OWP786434:OWP786435 OWP851970:OWP851971 OWP917506:OWP917507 OWP983042:OWP983043 PGL2:PGL3 PGL65538:PGL65539 PGL131074:PGL131075 PGL196610:PGL196611 PGL262146:PGL262147 PGL327682:PGL327683 PGL393218:PGL393219 PGL458754:PGL458755 PGL524290:PGL524291 PGL589826:PGL589827 PGL655362:PGL655363 PGL720898:PGL720899 PGL786434:PGL786435 PGL851970:PGL851971 PGL917506:PGL917507 PGL983042:PGL983043 PQH2:PQH3 PQH65538:PQH65539 PQH131074:PQH131075 PQH196610:PQH196611 PQH262146:PQH262147 PQH327682:PQH327683 PQH393218:PQH393219 PQH458754:PQH458755 PQH524290:PQH524291 PQH589826:PQH589827 PQH655362:PQH655363 PQH720898:PQH720899 PQH786434:PQH786435 PQH851970:PQH851971 PQH917506:PQH917507 PQH983042:PQH983043 QAD2:QAD3 QAD65538:QAD65539 QAD131074:QAD131075 QAD196610:QAD196611 QAD262146:QAD262147 QAD327682:QAD327683 QAD393218:QAD393219 QAD458754:QAD458755 QAD524290:QAD524291 QAD589826:QAD589827 QAD655362:QAD655363 QAD720898:QAD720899 QAD786434:QAD786435 QAD851970:QAD851971 QAD917506:QAD917507 QAD983042:QAD983043 QJZ2:QJZ3 QJZ65538:QJZ65539 QJZ131074:QJZ131075 QJZ196610:QJZ196611 QJZ262146:QJZ262147 QJZ327682:QJZ327683 QJZ393218:QJZ393219 QJZ458754:QJZ458755 QJZ524290:QJZ524291 QJZ589826:QJZ589827 QJZ655362:QJZ655363 QJZ720898:QJZ720899 QJZ786434:QJZ786435 QJZ851970:QJZ851971 QJZ917506:QJZ917507 QJZ983042:QJZ983043 QTV2:QTV3 QTV65538:QTV65539 QTV131074:QTV131075 QTV196610:QTV196611 QTV262146:QTV262147 QTV327682:QTV327683 QTV393218:QTV393219 QTV458754:QTV458755 QTV524290:QTV524291 QTV589826:QTV589827 QTV655362:QTV655363 QTV720898:QTV720899 QTV786434:QTV786435 QTV851970:QTV851971 QTV917506:QTV917507 QTV983042:QTV983043 RDR2:RDR3 RDR65538:RDR65539 RDR131074:RDR131075 RDR196610:RDR196611 RDR262146:RDR262147 RDR327682:RDR327683 RDR393218:RDR393219 RDR458754:RDR458755 RDR524290:RDR524291 RDR589826:RDR589827 RDR655362:RDR655363 RDR720898:RDR720899 RDR786434:RDR786435 RDR851970:RDR851971 RDR917506:RDR917507 RDR983042:RDR983043 RNN2:RNN3 RNN65538:RNN65539 RNN131074:RNN131075 RNN196610:RNN196611 RNN262146:RNN262147 RNN327682:RNN327683 RNN393218:RNN393219 RNN458754:RNN458755 RNN524290:RNN524291 RNN589826:RNN589827 RNN655362:RNN655363 RNN720898:RNN720899 RNN786434:RNN786435 RNN851970:RNN851971 RNN917506:RNN917507 RNN983042:RNN983043 RXJ2:RXJ3 RXJ65538:RXJ65539 RXJ131074:RXJ131075 RXJ196610:RXJ196611 RXJ262146:RXJ262147 RXJ327682:RXJ327683 RXJ393218:RXJ393219 RXJ458754:RXJ458755 RXJ524290:RXJ524291 RXJ589826:RXJ589827 RXJ655362:RXJ655363 RXJ720898:RXJ720899 RXJ786434:RXJ786435 RXJ851970:RXJ851971 RXJ917506:RXJ917507 RXJ983042:RXJ983043 SHF2:SHF3 SHF65538:SHF65539 SHF131074:SHF131075 SHF196610:SHF196611 SHF262146:SHF262147 SHF327682:SHF327683 SHF393218:SHF393219 SHF458754:SHF458755 SHF524290:SHF524291 SHF589826:SHF589827 SHF655362:SHF655363 SHF720898:SHF720899 SHF786434:SHF786435 SHF851970:SHF851971 SHF917506:SHF917507 SHF983042:SHF983043 SRB2:SRB3 SRB65538:SRB65539 SRB131074:SRB131075 SRB196610:SRB196611 SRB262146:SRB262147 SRB327682:SRB327683 SRB393218:SRB393219 SRB458754:SRB458755 SRB524290:SRB524291 SRB589826:SRB589827 SRB655362:SRB655363 SRB720898:SRB720899 SRB786434:SRB786435 SRB851970:SRB851971 SRB917506:SRB917507 SRB983042:SRB983043 TAX2:TAX3 TAX65538:TAX65539 TAX131074:TAX131075 TAX196610:TAX196611 TAX262146:TAX262147 TAX327682:TAX327683 TAX393218:TAX393219 TAX458754:TAX458755 TAX524290:TAX524291 TAX589826:TAX589827 TAX655362:TAX655363 TAX720898:TAX720899 TAX786434:TAX786435 TAX851970:TAX851971 TAX917506:TAX917507 TAX983042:TAX983043 TKT2:TKT3 TKT65538:TKT65539 TKT131074:TKT131075 TKT196610:TKT196611 TKT262146:TKT262147 TKT327682:TKT327683 TKT393218:TKT393219 TKT458754:TKT458755 TKT524290:TKT524291 TKT589826:TKT589827 TKT655362:TKT655363 TKT720898:TKT720899 TKT786434:TKT786435 TKT851970:TKT851971 TKT917506:TKT917507 TKT983042:TKT983043 TUP2:TUP3 TUP65538:TUP65539 TUP131074:TUP131075 TUP196610:TUP196611 TUP262146:TUP262147 TUP327682:TUP327683 TUP393218:TUP393219 TUP458754:TUP458755 TUP524290:TUP524291 TUP589826:TUP589827 TUP655362:TUP655363 TUP720898:TUP720899 TUP786434:TUP786435 TUP851970:TUP851971 TUP917506:TUP917507 TUP983042:TUP983043 UEL2:UEL3 UEL65538:UEL65539 UEL131074:UEL131075 UEL196610:UEL196611 UEL262146:UEL262147 UEL327682:UEL327683 UEL393218:UEL393219 UEL458754:UEL458755 UEL524290:UEL524291 UEL589826:UEL589827 UEL655362:UEL655363 UEL720898:UEL720899 UEL786434:UEL786435 UEL851970:UEL851971 UEL917506:UEL917507 UEL983042:UEL983043 UOH2:UOH3 UOH65538:UOH65539 UOH131074:UOH131075 UOH196610:UOH196611 UOH262146:UOH262147 UOH327682:UOH327683 UOH393218:UOH393219 UOH458754:UOH458755 UOH524290:UOH524291 UOH589826:UOH589827 UOH655362:UOH655363 UOH720898:UOH720899 UOH786434:UOH786435 UOH851970:UOH851971 UOH917506:UOH917507 UOH983042:UOH983043 UYD2:UYD3 UYD65538:UYD65539 UYD131074:UYD131075 UYD196610:UYD196611 UYD262146:UYD262147 UYD327682:UYD327683 UYD393218:UYD393219 UYD458754:UYD458755 UYD524290:UYD524291 UYD589826:UYD589827 UYD655362:UYD655363 UYD720898:UYD720899 UYD786434:UYD786435 UYD851970:UYD851971 UYD917506:UYD917507 UYD983042:UYD983043 VHZ2:VHZ3 VHZ65538:VHZ65539 VHZ131074:VHZ131075 VHZ196610:VHZ196611 VHZ262146:VHZ262147 VHZ327682:VHZ327683 VHZ393218:VHZ393219 VHZ458754:VHZ458755 VHZ524290:VHZ524291 VHZ589826:VHZ589827 VHZ655362:VHZ655363 VHZ720898:VHZ720899 VHZ786434:VHZ786435 VHZ851970:VHZ851971 VHZ917506:VHZ917507 VHZ983042:VHZ983043 VRV2:VRV3 VRV65538:VRV65539 VRV131074:VRV131075 VRV196610:VRV196611 VRV262146:VRV262147 VRV327682:VRV327683 VRV393218:VRV393219 VRV458754:VRV458755 VRV524290:VRV524291 VRV589826:VRV589827 VRV655362:VRV655363 VRV720898:VRV720899 VRV786434:VRV786435 VRV851970:VRV851971 VRV917506:VRV917507 VRV983042:VRV983043 WBR2:WBR3 WBR65538:WBR65539 WBR131074:WBR131075 WBR196610:WBR196611 WBR262146:WBR262147 WBR327682:WBR327683 WBR393218:WBR393219 WBR458754:WBR458755 WBR524290:WBR524291 WBR589826:WBR589827 WBR655362:WBR655363 WBR720898:WBR720899 WBR786434:WBR786435 WBR851970:WBR851971 WBR917506:WBR917507 WBR983042:WBR983043 WLN2:WLN3 WLN65538:WLN65539 WLN131074:WLN131075 WLN196610:WLN196611 WLN262146:WLN262147 WLN327682:WLN327683 WLN393218:WLN393219 WLN458754:WLN458755 WLN524290:WLN524291 WLN589826:WLN589827 WLN655362:WLN655363 WLN720898:WLN720899 WLN786434:WLN786435 WLN851970:WLN851971 WLN917506:WLN917507 WLN983042:WLN983043 WVJ2:WVJ3 WVJ65538:WVJ65539 WVJ131074:WVJ131075 WVJ196610:WVJ196611 WVJ262146:WVJ262147 WVJ327682:WVJ327683 WVJ393218:WVJ393219 WVJ458754:WVJ458755 WVJ524290:WVJ524291 WVJ589826:WVJ589827 WVJ655362:WVJ655363 WVJ720898:WVJ720899 WVJ786434:WVJ786435 WVJ851970:WVJ851971 WVJ917506:WVJ917507 WVJ983042:WVJ983043" xr:uid="{00000000-0002-0000-0900-00000A000000}"/>
    <dataValidation allowBlank="1" showInputMessage="1" showErrorMessage="1" prompt="Do not change." sqref="X2:AH3 X65538:AH65539 X131074:AH131075 X196610:AH196611 X262146:AH262147 X327682:AH327683 X393218:AH393219 X458754:AH458755 X524290:AH524291 X589826:AH589827 X655362:AH655363 X720898:AH720899 X786434:AH786435 X851970:AH851971 X917506:AH917507 X983042:AH983043 Z7:AH7 Z65543:AH65543 Z131079:AH131079 Z196615:AH196615 Z262151:AH262151 Z327687:AH327687 Z393223:AH393223 Z458759:AH458759 Z524295:AH524295 Z589831:AH589831 Z655367:AH655367 Z720903:AH720903 Z786439:AH786439 Z851975:AH851975 Z917511:AH917511 Z983047:AH983047 JT2:KD3 JT65538:KD65539 JT131074:KD131075 JT196610:KD196611 JT262146:KD262147 JT327682:KD327683 JT393218:KD393219 JT458754:KD458755 JT524290:KD524291 JT589826:KD589827 JT655362:KD655363 JT720898:KD720899 JT786434:KD786435 JT851970:KD851971 JT917506:KD917507 JT983042:KD983043 JV7:KD7 JV65543:KD65543 JV131079:KD131079 JV196615:KD196615 JV262151:KD262151 JV327687:KD327687 JV393223:KD393223 JV458759:KD458759 JV524295:KD524295 JV589831:KD589831 JV655367:KD655367 JV720903:KD720903 JV786439:KD786439 JV851975:KD851975 JV917511:KD917511 JV983047:KD983047 TP2:TZ3 TP65538:TZ65539 TP131074:TZ131075 TP196610:TZ196611 TP262146:TZ262147 TP327682:TZ327683 TP393218:TZ393219 TP458754:TZ458755 TP524290:TZ524291 TP589826:TZ589827 TP655362:TZ655363 TP720898:TZ720899 TP786434:TZ786435 TP851970:TZ851971 TP917506:TZ917507 TP983042:TZ983043 TR7:TZ7 TR65543:TZ65543 TR131079:TZ131079 TR196615:TZ196615 TR262151:TZ262151 TR327687:TZ327687 TR393223:TZ393223 TR458759:TZ458759 TR524295:TZ524295 TR589831:TZ589831 TR655367:TZ655367 TR720903:TZ720903 TR786439:TZ786439 TR851975:TZ851975 TR917511:TZ917511 TR983047:TZ983047 ADL2:ADV3 ADL65538:ADV65539 ADL131074:ADV131075 ADL196610:ADV196611 ADL262146:ADV262147 ADL327682:ADV327683 ADL393218:ADV393219 ADL458754:ADV458755 ADL524290:ADV524291 ADL589826:ADV589827 ADL655362:ADV655363 ADL720898:ADV720899 ADL786434:ADV786435 ADL851970:ADV851971 ADL917506:ADV917507 ADL983042:ADV983043 ADN7:ADV7 ADN65543:ADV65543 ADN131079:ADV131079 ADN196615:ADV196615 ADN262151:ADV262151 ADN327687:ADV327687 ADN393223:ADV393223 ADN458759:ADV458759 ADN524295:ADV524295 ADN589831:ADV589831 ADN655367:ADV655367 ADN720903:ADV720903 ADN786439:ADV786439 ADN851975:ADV851975 ADN917511:ADV917511 ADN983047:ADV983047 ANH2:ANR3 ANH65538:ANR65539 ANH131074:ANR131075 ANH196610:ANR196611 ANH262146:ANR262147 ANH327682:ANR327683 ANH393218:ANR393219 ANH458754:ANR458755 ANH524290:ANR524291 ANH589826:ANR589827 ANH655362:ANR655363 ANH720898:ANR720899 ANH786434:ANR786435 ANH851970:ANR851971 ANH917506:ANR917507 ANH983042:ANR983043 ANJ7:ANR7 ANJ65543:ANR65543 ANJ131079:ANR131079 ANJ196615:ANR196615 ANJ262151:ANR262151 ANJ327687:ANR327687 ANJ393223:ANR393223 ANJ458759:ANR458759 ANJ524295:ANR524295 ANJ589831:ANR589831 ANJ655367:ANR655367 ANJ720903:ANR720903 ANJ786439:ANR786439 ANJ851975:ANR851975 ANJ917511:ANR917511 ANJ983047:ANR983047 AXD2:AXN3 AXD65538:AXN65539 AXD131074:AXN131075 AXD196610:AXN196611 AXD262146:AXN262147 AXD327682:AXN327683 AXD393218:AXN393219 AXD458754:AXN458755 AXD524290:AXN524291 AXD589826:AXN589827 AXD655362:AXN655363 AXD720898:AXN720899 AXD786434:AXN786435 AXD851970:AXN851971 AXD917506:AXN917507 AXD983042:AXN983043 AXF7:AXN7 AXF65543:AXN65543 AXF131079:AXN131079 AXF196615:AXN196615 AXF262151:AXN262151 AXF327687:AXN327687 AXF393223:AXN393223 AXF458759:AXN458759 AXF524295:AXN524295 AXF589831:AXN589831 AXF655367:AXN655367 AXF720903:AXN720903 AXF786439:AXN786439 AXF851975:AXN851975 AXF917511:AXN917511 AXF983047:AXN983047 BGZ2:BHJ3 BGZ65538:BHJ65539 BGZ131074:BHJ131075 BGZ196610:BHJ196611 BGZ262146:BHJ262147 BGZ327682:BHJ327683 BGZ393218:BHJ393219 BGZ458754:BHJ458755 BGZ524290:BHJ524291 BGZ589826:BHJ589827 BGZ655362:BHJ655363 BGZ720898:BHJ720899 BGZ786434:BHJ786435 BGZ851970:BHJ851971 BGZ917506:BHJ917507 BGZ983042:BHJ983043 BHB7:BHJ7 BHB65543:BHJ65543 BHB131079:BHJ131079 BHB196615:BHJ196615 BHB262151:BHJ262151 BHB327687:BHJ327687 BHB393223:BHJ393223 BHB458759:BHJ458759 BHB524295:BHJ524295 BHB589831:BHJ589831 BHB655367:BHJ655367 BHB720903:BHJ720903 BHB786439:BHJ786439 BHB851975:BHJ851975 BHB917511:BHJ917511 BHB983047:BHJ983047 BQV2:BRF3 BQV65538:BRF65539 BQV131074:BRF131075 BQV196610:BRF196611 BQV262146:BRF262147 BQV327682:BRF327683 BQV393218:BRF393219 BQV458754:BRF458755 BQV524290:BRF524291 BQV589826:BRF589827 BQV655362:BRF655363 BQV720898:BRF720899 BQV786434:BRF786435 BQV851970:BRF851971 BQV917506:BRF917507 BQV983042:BRF983043 BQX7:BRF7 BQX65543:BRF65543 BQX131079:BRF131079 BQX196615:BRF196615 BQX262151:BRF262151 BQX327687:BRF327687 BQX393223:BRF393223 BQX458759:BRF458759 BQX524295:BRF524295 BQX589831:BRF589831 BQX655367:BRF655367 BQX720903:BRF720903 BQX786439:BRF786439 BQX851975:BRF851975 BQX917511:BRF917511 BQX983047:BRF983047 CAR2:CBB3 CAR65538:CBB65539 CAR131074:CBB131075 CAR196610:CBB196611 CAR262146:CBB262147 CAR327682:CBB327683 CAR393218:CBB393219 CAR458754:CBB458755 CAR524290:CBB524291 CAR589826:CBB589827 CAR655362:CBB655363 CAR720898:CBB720899 CAR786434:CBB786435 CAR851970:CBB851971 CAR917506:CBB917507 CAR983042:CBB983043 CAT7:CBB7 CAT65543:CBB65543 CAT131079:CBB131079 CAT196615:CBB196615 CAT262151:CBB262151 CAT327687:CBB327687 CAT393223:CBB393223 CAT458759:CBB458759 CAT524295:CBB524295 CAT589831:CBB589831 CAT655367:CBB655367 CAT720903:CBB720903 CAT786439:CBB786439 CAT851975:CBB851975 CAT917511:CBB917511 CAT983047:CBB983047 CKN2:CKX3 CKN65538:CKX65539 CKN131074:CKX131075 CKN196610:CKX196611 CKN262146:CKX262147 CKN327682:CKX327683 CKN393218:CKX393219 CKN458754:CKX458755 CKN524290:CKX524291 CKN589826:CKX589827 CKN655362:CKX655363 CKN720898:CKX720899 CKN786434:CKX786435 CKN851970:CKX851971 CKN917506:CKX917507 CKN983042:CKX983043 CKP7:CKX7 CKP65543:CKX65543 CKP131079:CKX131079 CKP196615:CKX196615 CKP262151:CKX262151 CKP327687:CKX327687 CKP393223:CKX393223 CKP458759:CKX458759 CKP524295:CKX524295 CKP589831:CKX589831 CKP655367:CKX655367 CKP720903:CKX720903 CKP786439:CKX786439 CKP851975:CKX851975 CKP917511:CKX917511 CKP983047:CKX983047 CUJ2:CUT3 CUJ65538:CUT65539 CUJ131074:CUT131075 CUJ196610:CUT196611 CUJ262146:CUT262147 CUJ327682:CUT327683 CUJ393218:CUT393219 CUJ458754:CUT458755 CUJ524290:CUT524291 CUJ589826:CUT589827 CUJ655362:CUT655363 CUJ720898:CUT720899 CUJ786434:CUT786435 CUJ851970:CUT851971 CUJ917506:CUT917507 CUJ983042:CUT983043 CUL7:CUT7 CUL65543:CUT65543 CUL131079:CUT131079 CUL196615:CUT196615 CUL262151:CUT262151 CUL327687:CUT327687 CUL393223:CUT393223 CUL458759:CUT458759 CUL524295:CUT524295 CUL589831:CUT589831 CUL655367:CUT655367 CUL720903:CUT720903 CUL786439:CUT786439 CUL851975:CUT851975 CUL917511:CUT917511 CUL983047:CUT983047 DEF2:DEP3 DEF65538:DEP65539 DEF131074:DEP131075 DEF196610:DEP196611 DEF262146:DEP262147 DEF327682:DEP327683 DEF393218:DEP393219 DEF458754:DEP458755 DEF524290:DEP524291 DEF589826:DEP589827 DEF655362:DEP655363 DEF720898:DEP720899 DEF786434:DEP786435 DEF851970:DEP851971 DEF917506:DEP917507 DEF983042:DEP983043 DEH7:DEP7 DEH65543:DEP65543 DEH131079:DEP131079 DEH196615:DEP196615 DEH262151:DEP262151 DEH327687:DEP327687 DEH393223:DEP393223 DEH458759:DEP458759 DEH524295:DEP524295 DEH589831:DEP589831 DEH655367:DEP655367 DEH720903:DEP720903 DEH786439:DEP786439 DEH851975:DEP851975 DEH917511:DEP917511 DEH983047:DEP983047 DOB2:DOL3 DOB65538:DOL65539 DOB131074:DOL131075 DOB196610:DOL196611 DOB262146:DOL262147 DOB327682:DOL327683 DOB393218:DOL393219 DOB458754:DOL458755 DOB524290:DOL524291 DOB589826:DOL589827 DOB655362:DOL655363 DOB720898:DOL720899 DOB786434:DOL786435 DOB851970:DOL851971 DOB917506:DOL917507 DOB983042:DOL983043 DOD7:DOL7 DOD65543:DOL65543 DOD131079:DOL131079 DOD196615:DOL196615 DOD262151:DOL262151 DOD327687:DOL327687 DOD393223:DOL393223 DOD458759:DOL458759 DOD524295:DOL524295 DOD589831:DOL589831 DOD655367:DOL655367 DOD720903:DOL720903 DOD786439:DOL786439 DOD851975:DOL851975 DOD917511:DOL917511 DOD983047:DOL983047 DXX2:DYH3 DXX65538:DYH65539 DXX131074:DYH131075 DXX196610:DYH196611 DXX262146:DYH262147 DXX327682:DYH327683 DXX393218:DYH393219 DXX458754:DYH458755 DXX524290:DYH524291 DXX589826:DYH589827 DXX655362:DYH655363 DXX720898:DYH720899 DXX786434:DYH786435 DXX851970:DYH851971 DXX917506:DYH917507 DXX983042:DYH983043 DXZ7:DYH7 DXZ65543:DYH65543 DXZ131079:DYH131079 DXZ196615:DYH196615 DXZ262151:DYH262151 DXZ327687:DYH327687 DXZ393223:DYH393223 DXZ458759:DYH458759 DXZ524295:DYH524295 DXZ589831:DYH589831 DXZ655367:DYH655367 DXZ720903:DYH720903 DXZ786439:DYH786439 DXZ851975:DYH851975 DXZ917511:DYH917511 DXZ983047:DYH983047 EHT2:EID3 EHT65538:EID65539 EHT131074:EID131075 EHT196610:EID196611 EHT262146:EID262147 EHT327682:EID327683 EHT393218:EID393219 EHT458754:EID458755 EHT524290:EID524291 EHT589826:EID589827 EHT655362:EID655363 EHT720898:EID720899 EHT786434:EID786435 EHT851970:EID851971 EHT917506:EID917507 EHT983042:EID983043 EHV7:EID7 EHV65543:EID65543 EHV131079:EID131079 EHV196615:EID196615 EHV262151:EID262151 EHV327687:EID327687 EHV393223:EID393223 EHV458759:EID458759 EHV524295:EID524295 EHV589831:EID589831 EHV655367:EID655367 EHV720903:EID720903 EHV786439:EID786439 EHV851975:EID851975 EHV917511:EID917511 EHV983047:EID983047 ERP2:ERZ3 ERP65538:ERZ65539 ERP131074:ERZ131075 ERP196610:ERZ196611 ERP262146:ERZ262147 ERP327682:ERZ327683 ERP393218:ERZ393219 ERP458754:ERZ458755 ERP524290:ERZ524291 ERP589826:ERZ589827 ERP655362:ERZ655363 ERP720898:ERZ720899 ERP786434:ERZ786435 ERP851970:ERZ851971 ERP917506:ERZ917507 ERP983042:ERZ983043 ERR7:ERZ7 ERR65543:ERZ65543 ERR131079:ERZ131079 ERR196615:ERZ196615 ERR262151:ERZ262151 ERR327687:ERZ327687 ERR393223:ERZ393223 ERR458759:ERZ458759 ERR524295:ERZ524295 ERR589831:ERZ589831 ERR655367:ERZ655367 ERR720903:ERZ720903 ERR786439:ERZ786439 ERR851975:ERZ851975 ERR917511:ERZ917511 ERR983047:ERZ983047 FBL2:FBV3 FBL65538:FBV65539 FBL131074:FBV131075 FBL196610:FBV196611 FBL262146:FBV262147 FBL327682:FBV327683 FBL393218:FBV393219 FBL458754:FBV458755 FBL524290:FBV524291 FBL589826:FBV589827 FBL655362:FBV655363 FBL720898:FBV720899 FBL786434:FBV786435 FBL851970:FBV851971 FBL917506:FBV917507 FBL983042:FBV983043 FBN7:FBV7 FBN65543:FBV65543 FBN131079:FBV131079 FBN196615:FBV196615 FBN262151:FBV262151 FBN327687:FBV327687 FBN393223:FBV393223 FBN458759:FBV458759 FBN524295:FBV524295 FBN589831:FBV589831 FBN655367:FBV655367 FBN720903:FBV720903 FBN786439:FBV786439 FBN851975:FBV851975 FBN917511:FBV917511 FBN983047:FBV983047 FLH2:FLR3 FLH65538:FLR65539 FLH131074:FLR131075 FLH196610:FLR196611 FLH262146:FLR262147 FLH327682:FLR327683 FLH393218:FLR393219 FLH458754:FLR458755 FLH524290:FLR524291 FLH589826:FLR589827 FLH655362:FLR655363 FLH720898:FLR720899 FLH786434:FLR786435 FLH851970:FLR851971 FLH917506:FLR917507 FLH983042:FLR983043 FLJ7:FLR7 FLJ65543:FLR65543 FLJ131079:FLR131079 FLJ196615:FLR196615 FLJ262151:FLR262151 FLJ327687:FLR327687 FLJ393223:FLR393223 FLJ458759:FLR458759 FLJ524295:FLR524295 FLJ589831:FLR589831 FLJ655367:FLR655367 FLJ720903:FLR720903 FLJ786439:FLR786439 FLJ851975:FLR851975 FLJ917511:FLR917511 FLJ983047:FLR983047 FVD2:FVN3 FVD65538:FVN65539 FVD131074:FVN131075 FVD196610:FVN196611 FVD262146:FVN262147 FVD327682:FVN327683 FVD393218:FVN393219 FVD458754:FVN458755 FVD524290:FVN524291 FVD589826:FVN589827 FVD655362:FVN655363 FVD720898:FVN720899 FVD786434:FVN786435 FVD851970:FVN851971 FVD917506:FVN917507 FVD983042:FVN983043 FVF7:FVN7 FVF65543:FVN65543 FVF131079:FVN131079 FVF196615:FVN196615 FVF262151:FVN262151 FVF327687:FVN327687 FVF393223:FVN393223 FVF458759:FVN458759 FVF524295:FVN524295 FVF589831:FVN589831 FVF655367:FVN655367 FVF720903:FVN720903 FVF786439:FVN786439 FVF851975:FVN851975 FVF917511:FVN917511 FVF983047:FVN983047 GEZ2:GFJ3 GEZ65538:GFJ65539 GEZ131074:GFJ131075 GEZ196610:GFJ196611 GEZ262146:GFJ262147 GEZ327682:GFJ327683 GEZ393218:GFJ393219 GEZ458754:GFJ458755 GEZ524290:GFJ524291 GEZ589826:GFJ589827 GEZ655362:GFJ655363 GEZ720898:GFJ720899 GEZ786434:GFJ786435 GEZ851970:GFJ851971 GEZ917506:GFJ917507 GEZ983042:GFJ983043 GFB7:GFJ7 GFB65543:GFJ65543 GFB131079:GFJ131079 GFB196615:GFJ196615 GFB262151:GFJ262151 GFB327687:GFJ327687 GFB393223:GFJ393223 GFB458759:GFJ458759 GFB524295:GFJ524295 GFB589831:GFJ589831 GFB655367:GFJ655367 GFB720903:GFJ720903 GFB786439:GFJ786439 GFB851975:GFJ851975 GFB917511:GFJ917511 GFB983047:GFJ983047 GOV2:GPF3 GOV65538:GPF65539 GOV131074:GPF131075 GOV196610:GPF196611 GOV262146:GPF262147 GOV327682:GPF327683 GOV393218:GPF393219 GOV458754:GPF458755 GOV524290:GPF524291 GOV589826:GPF589827 GOV655362:GPF655363 GOV720898:GPF720899 GOV786434:GPF786435 GOV851970:GPF851971 GOV917506:GPF917507 GOV983042:GPF983043 GOX7:GPF7 GOX65543:GPF65543 GOX131079:GPF131079 GOX196615:GPF196615 GOX262151:GPF262151 GOX327687:GPF327687 GOX393223:GPF393223 GOX458759:GPF458759 GOX524295:GPF524295 GOX589831:GPF589831 GOX655367:GPF655367 GOX720903:GPF720903 GOX786439:GPF786439 GOX851975:GPF851975 GOX917511:GPF917511 GOX983047:GPF983047 GYR2:GZB3 GYR65538:GZB65539 GYR131074:GZB131075 GYR196610:GZB196611 GYR262146:GZB262147 GYR327682:GZB327683 GYR393218:GZB393219 GYR458754:GZB458755 GYR524290:GZB524291 GYR589826:GZB589827 GYR655362:GZB655363 GYR720898:GZB720899 GYR786434:GZB786435 GYR851970:GZB851971 GYR917506:GZB917507 GYR983042:GZB983043 GYT7:GZB7 GYT65543:GZB65543 GYT131079:GZB131079 GYT196615:GZB196615 GYT262151:GZB262151 GYT327687:GZB327687 GYT393223:GZB393223 GYT458759:GZB458759 GYT524295:GZB524295 GYT589831:GZB589831 GYT655367:GZB655367 GYT720903:GZB720903 GYT786439:GZB786439 GYT851975:GZB851975 GYT917511:GZB917511 GYT983047:GZB983047 HIN2:HIX3 HIN65538:HIX65539 HIN131074:HIX131075 HIN196610:HIX196611 HIN262146:HIX262147 HIN327682:HIX327683 HIN393218:HIX393219 HIN458754:HIX458755 HIN524290:HIX524291 HIN589826:HIX589827 HIN655362:HIX655363 HIN720898:HIX720899 HIN786434:HIX786435 HIN851970:HIX851971 HIN917506:HIX917507 HIN983042:HIX983043 HIP7:HIX7 HIP65543:HIX65543 HIP131079:HIX131079 HIP196615:HIX196615 HIP262151:HIX262151 HIP327687:HIX327687 HIP393223:HIX393223 HIP458759:HIX458759 HIP524295:HIX524295 HIP589831:HIX589831 HIP655367:HIX655367 HIP720903:HIX720903 HIP786439:HIX786439 HIP851975:HIX851975 HIP917511:HIX917511 HIP983047:HIX983047 HSJ2:HST3 HSJ65538:HST65539 HSJ131074:HST131075 HSJ196610:HST196611 HSJ262146:HST262147 HSJ327682:HST327683 HSJ393218:HST393219 HSJ458754:HST458755 HSJ524290:HST524291 HSJ589826:HST589827 HSJ655362:HST655363 HSJ720898:HST720899 HSJ786434:HST786435 HSJ851970:HST851971 HSJ917506:HST917507 HSJ983042:HST983043 HSL7:HST7 HSL65543:HST65543 HSL131079:HST131079 HSL196615:HST196615 HSL262151:HST262151 HSL327687:HST327687 HSL393223:HST393223 HSL458759:HST458759 HSL524295:HST524295 HSL589831:HST589831 HSL655367:HST655367 HSL720903:HST720903 HSL786439:HST786439 HSL851975:HST851975 HSL917511:HST917511 HSL983047:HST983047 ICF2:ICP3 ICF65538:ICP65539 ICF131074:ICP131075 ICF196610:ICP196611 ICF262146:ICP262147 ICF327682:ICP327683 ICF393218:ICP393219 ICF458754:ICP458755 ICF524290:ICP524291 ICF589826:ICP589827 ICF655362:ICP655363 ICF720898:ICP720899 ICF786434:ICP786435 ICF851970:ICP851971 ICF917506:ICP917507 ICF983042:ICP983043 ICH7:ICP7 ICH65543:ICP65543 ICH131079:ICP131079 ICH196615:ICP196615 ICH262151:ICP262151 ICH327687:ICP327687 ICH393223:ICP393223 ICH458759:ICP458759 ICH524295:ICP524295 ICH589831:ICP589831 ICH655367:ICP655367 ICH720903:ICP720903 ICH786439:ICP786439 ICH851975:ICP851975 ICH917511:ICP917511 ICH983047:ICP983047 IMB2:IML3 IMB65538:IML65539 IMB131074:IML131075 IMB196610:IML196611 IMB262146:IML262147 IMB327682:IML327683 IMB393218:IML393219 IMB458754:IML458755 IMB524290:IML524291 IMB589826:IML589827 IMB655362:IML655363 IMB720898:IML720899 IMB786434:IML786435 IMB851970:IML851971 IMB917506:IML917507 IMB983042:IML983043 IMD7:IML7 IMD65543:IML65543 IMD131079:IML131079 IMD196615:IML196615 IMD262151:IML262151 IMD327687:IML327687 IMD393223:IML393223 IMD458759:IML458759 IMD524295:IML524295 IMD589831:IML589831 IMD655367:IML655367 IMD720903:IML720903 IMD786439:IML786439 IMD851975:IML851975 IMD917511:IML917511 IMD983047:IML983047 IVX2:IWH3 IVX65538:IWH65539 IVX131074:IWH131075 IVX196610:IWH196611 IVX262146:IWH262147 IVX327682:IWH327683 IVX393218:IWH393219 IVX458754:IWH458755 IVX524290:IWH524291 IVX589826:IWH589827 IVX655362:IWH655363 IVX720898:IWH720899 IVX786434:IWH786435 IVX851970:IWH851971 IVX917506:IWH917507 IVX983042:IWH983043 IVZ7:IWH7 IVZ65543:IWH65543 IVZ131079:IWH131079 IVZ196615:IWH196615 IVZ262151:IWH262151 IVZ327687:IWH327687 IVZ393223:IWH393223 IVZ458759:IWH458759 IVZ524295:IWH524295 IVZ589831:IWH589831 IVZ655367:IWH655367 IVZ720903:IWH720903 IVZ786439:IWH786439 IVZ851975:IWH851975 IVZ917511:IWH917511 IVZ983047:IWH983047 JFT2:JGD3 JFT65538:JGD65539 JFT131074:JGD131075 JFT196610:JGD196611 JFT262146:JGD262147 JFT327682:JGD327683 JFT393218:JGD393219 JFT458754:JGD458755 JFT524290:JGD524291 JFT589826:JGD589827 JFT655362:JGD655363 JFT720898:JGD720899 JFT786434:JGD786435 JFT851970:JGD851971 JFT917506:JGD917507 JFT983042:JGD983043 JFV7:JGD7 JFV65543:JGD65543 JFV131079:JGD131079 JFV196615:JGD196615 JFV262151:JGD262151 JFV327687:JGD327687 JFV393223:JGD393223 JFV458759:JGD458759 JFV524295:JGD524295 JFV589831:JGD589831 JFV655367:JGD655367 JFV720903:JGD720903 JFV786439:JGD786439 JFV851975:JGD851975 JFV917511:JGD917511 JFV983047:JGD983047 JPP2:JPZ3 JPP65538:JPZ65539 JPP131074:JPZ131075 JPP196610:JPZ196611 JPP262146:JPZ262147 JPP327682:JPZ327683 JPP393218:JPZ393219 JPP458754:JPZ458755 JPP524290:JPZ524291 JPP589826:JPZ589827 JPP655362:JPZ655363 JPP720898:JPZ720899 JPP786434:JPZ786435 JPP851970:JPZ851971 JPP917506:JPZ917507 JPP983042:JPZ983043 JPR7:JPZ7 JPR65543:JPZ65543 JPR131079:JPZ131079 JPR196615:JPZ196615 JPR262151:JPZ262151 JPR327687:JPZ327687 JPR393223:JPZ393223 JPR458759:JPZ458759 JPR524295:JPZ524295 JPR589831:JPZ589831 JPR655367:JPZ655367 JPR720903:JPZ720903 JPR786439:JPZ786439 JPR851975:JPZ851975 JPR917511:JPZ917511 JPR983047:JPZ983047 JZL2:JZV3 JZL65538:JZV65539 JZL131074:JZV131075 JZL196610:JZV196611 JZL262146:JZV262147 JZL327682:JZV327683 JZL393218:JZV393219 JZL458754:JZV458755 JZL524290:JZV524291 JZL589826:JZV589827 JZL655362:JZV655363 JZL720898:JZV720899 JZL786434:JZV786435 JZL851970:JZV851971 JZL917506:JZV917507 JZL983042:JZV983043 JZN7:JZV7 JZN65543:JZV65543 JZN131079:JZV131079 JZN196615:JZV196615 JZN262151:JZV262151 JZN327687:JZV327687 JZN393223:JZV393223 JZN458759:JZV458759 JZN524295:JZV524295 JZN589831:JZV589831 JZN655367:JZV655367 JZN720903:JZV720903 JZN786439:JZV786439 JZN851975:JZV851975 JZN917511:JZV917511 JZN983047:JZV983047 KJH2:KJR3 KJH65538:KJR65539 KJH131074:KJR131075 KJH196610:KJR196611 KJH262146:KJR262147 KJH327682:KJR327683 KJH393218:KJR393219 KJH458754:KJR458755 KJH524290:KJR524291 KJH589826:KJR589827 KJH655362:KJR655363 KJH720898:KJR720899 KJH786434:KJR786435 KJH851970:KJR851971 KJH917506:KJR917507 KJH983042:KJR983043 KJJ7:KJR7 KJJ65543:KJR65543 KJJ131079:KJR131079 KJJ196615:KJR196615 KJJ262151:KJR262151 KJJ327687:KJR327687 KJJ393223:KJR393223 KJJ458759:KJR458759 KJJ524295:KJR524295 KJJ589831:KJR589831 KJJ655367:KJR655367 KJJ720903:KJR720903 KJJ786439:KJR786439 KJJ851975:KJR851975 KJJ917511:KJR917511 KJJ983047:KJR983047 KTD2:KTN3 KTD65538:KTN65539 KTD131074:KTN131075 KTD196610:KTN196611 KTD262146:KTN262147 KTD327682:KTN327683 KTD393218:KTN393219 KTD458754:KTN458755 KTD524290:KTN524291 KTD589826:KTN589827 KTD655362:KTN655363 KTD720898:KTN720899 KTD786434:KTN786435 KTD851970:KTN851971 KTD917506:KTN917507 KTD983042:KTN983043 KTF7:KTN7 KTF65543:KTN65543 KTF131079:KTN131079 KTF196615:KTN196615 KTF262151:KTN262151 KTF327687:KTN327687 KTF393223:KTN393223 KTF458759:KTN458759 KTF524295:KTN524295 KTF589831:KTN589831 KTF655367:KTN655367 KTF720903:KTN720903 KTF786439:KTN786439 KTF851975:KTN851975 KTF917511:KTN917511 KTF983047:KTN983047 LCZ2:LDJ3 LCZ65538:LDJ65539 LCZ131074:LDJ131075 LCZ196610:LDJ196611 LCZ262146:LDJ262147 LCZ327682:LDJ327683 LCZ393218:LDJ393219 LCZ458754:LDJ458755 LCZ524290:LDJ524291 LCZ589826:LDJ589827 LCZ655362:LDJ655363 LCZ720898:LDJ720899 LCZ786434:LDJ786435 LCZ851970:LDJ851971 LCZ917506:LDJ917507 LCZ983042:LDJ983043 LDB7:LDJ7 LDB65543:LDJ65543 LDB131079:LDJ131079 LDB196615:LDJ196615 LDB262151:LDJ262151 LDB327687:LDJ327687 LDB393223:LDJ393223 LDB458759:LDJ458759 LDB524295:LDJ524295 LDB589831:LDJ589831 LDB655367:LDJ655367 LDB720903:LDJ720903 LDB786439:LDJ786439 LDB851975:LDJ851975 LDB917511:LDJ917511 LDB983047:LDJ983047 LMV2:LNF3 LMV65538:LNF65539 LMV131074:LNF131075 LMV196610:LNF196611 LMV262146:LNF262147 LMV327682:LNF327683 LMV393218:LNF393219 LMV458754:LNF458755 LMV524290:LNF524291 LMV589826:LNF589827 LMV655362:LNF655363 LMV720898:LNF720899 LMV786434:LNF786435 LMV851970:LNF851971 LMV917506:LNF917507 LMV983042:LNF983043 LMX7:LNF7 LMX65543:LNF65543 LMX131079:LNF131079 LMX196615:LNF196615 LMX262151:LNF262151 LMX327687:LNF327687 LMX393223:LNF393223 LMX458759:LNF458759 LMX524295:LNF524295 LMX589831:LNF589831 LMX655367:LNF655367 LMX720903:LNF720903 LMX786439:LNF786439 LMX851975:LNF851975 LMX917511:LNF917511 LMX983047:LNF983047 LWR2:LXB3 LWR65538:LXB65539 LWR131074:LXB131075 LWR196610:LXB196611 LWR262146:LXB262147 LWR327682:LXB327683 LWR393218:LXB393219 LWR458754:LXB458755 LWR524290:LXB524291 LWR589826:LXB589827 LWR655362:LXB655363 LWR720898:LXB720899 LWR786434:LXB786435 LWR851970:LXB851971 LWR917506:LXB917507 LWR983042:LXB983043 LWT7:LXB7 LWT65543:LXB65543 LWT131079:LXB131079 LWT196615:LXB196615 LWT262151:LXB262151 LWT327687:LXB327687 LWT393223:LXB393223 LWT458759:LXB458759 LWT524295:LXB524295 LWT589831:LXB589831 LWT655367:LXB655367 LWT720903:LXB720903 LWT786439:LXB786439 LWT851975:LXB851975 LWT917511:LXB917511 LWT983047:LXB983047 MGN2:MGX3 MGN65538:MGX65539 MGN131074:MGX131075 MGN196610:MGX196611 MGN262146:MGX262147 MGN327682:MGX327683 MGN393218:MGX393219 MGN458754:MGX458755 MGN524290:MGX524291 MGN589826:MGX589827 MGN655362:MGX655363 MGN720898:MGX720899 MGN786434:MGX786435 MGN851970:MGX851971 MGN917506:MGX917507 MGN983042:MGX983043 MGP7:MGX7 MGP65543:MGX65543 MGP131079:MGX131079 MGP196615:MGX196615 MGP262151:MGX262151 MGP327687:MGX327687 MGP393223:MGX393223 MGP458759:MGX458759 MGP524295:MGX524295 MGP589831:MGX589831 MGP655367:MGX655367 MGP720903:MGX720903 MGP786439:MGX786439 MGP851975:MGX851975 MGP917511:MGX917511 MGP983047:MGX983047 MQJ2:MQT3 MQJ65538:MQT65539 MQJ131074:MQT131075 MQJ196610:MQT196611 MQJ262146:MQT262147 MQJ327682:MQT327683 MQJ393218:MQT393219 MQJ458754:MQT458755 MQJ524290:MQT524291 MQJ589826:MQT589827 MQJ655362:MQT655363 MQJ720898:MQT720899 MQJ786434:MQT786435 MQJ851970:MQT851971 MQJ917506:MQT917507 MQJ983042:MQT983043 MQL7:MQT7 MQL65543:MQT65543 MQL131079:MQT131079 MQL196615:MQT196615 MQL262151:MQT262151 MQL327687:MQT327687 MQL393223:MQT393223 MQL458759:MQT458759 MQL524295:MQT524295 MQL589831:MQT589831 MQL655367:MQT655367 MQL720903:MQT720903 MQL786439:MQT786439 MQL851975:MQT851975 MQL917511:MQT917511 MQL983047:MQT983047 NAF2:NAP3 NAF65538:NAP65539 NAF131074:NAP131075 NAF196610:NAP196611 NAF262146:NAP262147 NAF327682:NAP327683 NAF393218:NAP393219 NAF458754:NAP458755 NAF524290:NAP524291 NAF589826:NAP589827 NAF655362:NAP655363 NAF720898:NAP720899 NAF786434:NAP786435 NAF851970:NAP851971 NAF917506:NAP917507 NAF983042:NAP983043 NAH7:NAP7 NAH65543:NAP65543 NAH131079:NAP131079 NAH196615:NAP196615 NAH262151:NAP262151 NAH327687:NAP327687 NAH393223:NAP393223 NAH458759:NAP458759 NAH524295:NAP524295 NAH589831:NAP589831 NAH655367:NAP655367 NAH720903:NAP720903 NAH786439:NAP786439 NAH851975:NAP851975 NAH917511:NAP917511 NAH983047:NAP983047 NKB2:NKL3 NKB65538:NKL65539 NKB131074:NKL131075 NKB196610:NKL196611 NKB262146:NKL262147 NKB327682:NKL327683 NKB393218:NKL393219 NKB458754:NKL458755 NKB524290:NKL524291 NKB589826:NKL589827 NKB655362:NKL655363 NKB720898:NKL720899 NKB786434:NKL786435 NKB851970:NKL851971 NKB917506:NKL917507 NKB983042:NKL983043 NKD7:NKL7 NKD65543:NKL65543 NKD131079:NKL131079 NKD196615:NKL196615 NKD262151:NKL262151 NKD327687:NKL327687 NKD393223:NKL393223 NKD458759:NKL458759 NKD524295:NKL524295 NKD589831:NKL589831 NKD655367:NKL655367 NKD720903:NKL720903 NKD786439:NKL786439 NKD851975:NKL851975 NKD917511:NKL917511 NKD983047:NKL983047 NTX2:NUH3 NTX65538:NUH65539 NTX131074:NUH131075 NTX196610:NUH196611 NTX262146:NUH262147 NTX327682:NUH327683 NTX393218:NUH393219 NTX458754:NUH458755 NTX524290:NUH524291 NTX589826:NUH589827 NTX655362:NUH655363 NTX720898:NUH720899 NTX786434:NUH786435 NTX851970:NUH851971 NTX917506:NUH917507 NTX983042:NUH983043 NTZ7:NUH7 NTZ65543:NUH65543 NTZ131079:NUH131079 NTZ196615:NUH196615 NTZ262151:NUH262151 NTZ327687:NUH327687 NTZ393223:NUH393223 NTZ458759:NUH458759 NTZ524295:NUH524295 NTZ589831:NUH589831 NTZ655367:NUH655367 NTZ720903:NUH720903 NTZ786439:NUH786439 NTZ851975:NUH851975 NTZ917511:NUH917511 NTZ983047:NUH983047 ODT2:OED3 ODT65538:OED65539 ODT131074:OED131075 ODT196610:OED196611 ODT262146:OED262147 ODT327682:OED327683 ODT393218:OED393219 ODT458754:OED458755 ODT524290:OED524291 ODT589826:OED589827 ODT655362:OED655363 ODT720898:OED720899 ODT786434:OED786435 ODT851970:OED851971 ODT917506:OED917507 ODT983042:OED983043 ODV7:OED7 ODV65543:OED65543 ODV131079:OED131079 ODV196615:OED196615 ODV262151:OED262151 ODV327687:OED327687 ODV393223:OED393223 ODV458759:OED458759 ODV524295:OED524295 ODV589831:OED589831 ODV655367:OED655367 ODV720903:OED720903 ODV786439:OED786439 ODV851975:OED851975 ODV917511:OED917511 ODV983047:OED983047 ONP2:ONZ3 ONP65538:ONZ65539 ONP131074:ONZ131075 ONP196610:ONZ196611 ONP262146:ONZ262147 ONP327682:ONZ327683 ONP393218:ONZ393219 ONP458754:ONZ458755 ONP524290:ONZ524291 ONP589826:ONZ589827 ONP655362:ONZ655363 ONP720898:ONZ720899 ONP786434:ONZ786435 ONP851970:ONZ851971 ONP917506:ONZ917507 ONP983042:ONZ983043 ONR7:ONZ7 ONR65543:ONZ65543 ONR131079:ONZ131079 ONR196615:ONZ196615 ONR262151:ONZ262151 ONR327687:ONZ327687 ONR393223:ONZ393223 ONR458759:ONZ458759 ONR524295:ONZ524295 ONR589831:ONZ589831 ONR655367:ONZ655367 ONR720903:ONZ720903 ONR786439:ONZ786439 ONR851975:ONZ851975 ONR917511:ONZ917511 ONR983047:ONZ983047 OXL2:OXV3 OXL65538:OXV65539 OXL131074:OXV131075 OXL196610:OXV196611 OXL262146:OXV262147 OXL327682:OXV327683 OXL393218:OXV393219 OXL458754:OXV458755 OXL524290:OXV524291 OXL589826:OXV589827 OXL655362:OXV655363 OXL720898:OXV720899 OXL786434:OXV786435 OXL851970:OXV851971 OXL917506:OXV917507 OXL983042:OXV983043 OXN7:OXV7 OXN65543:OXV65543 OXN131079:OXV131079 OXN196615:OXV196615 OXN262151:OXV262151 OXN327687:OXV327687 OXN393223:OXV393223 OXN458759:OXV458759 OXN524295:OXV524295 OXN589831:OXV589831 OXN655367:OXV655367 OXN720903:OXV720903 OXN786439:OXV786439 OXN851975:OXV851975 OXN917511:OXV917511 OXN983047:OXV983047 PHH2:PHR3 PHH65538:PHR65539 PHH131074:PHR131075 PHH196610:PHR196611 PHH262146:PHR262147 PHH327682:PHR327683 PHH393218:PHR393219 PHH458754:PHR458755 PHH524290:PHR524291 PHH589826:PHR589827 PHH655362:PHR655363 PHH720898:PHR720899 PHH786434:PHR786435 PHH851970:PHR851971 PHH917506:PHR917507 PHH983042:PHR983043 PHJ7:PHR7 PHJ65543:PHR65543 PHJ131079:PHR131079 PHJ196615:PHR196615 PHJ262151:PHR262151 PHJ327687:PHR327687 PHJ393223:PHR393223 PHJ458759:PHR458759 PHJ524295:PHR524295 PHJ589831:PHR589831 PHJ655367:PHR655367 PHJ720903:PHR720903 PHJ786439:PHR786439 PHJ851975:PHR851975 PHJ917511:PHR917511 PHJ983047:PHR983047 PRD2:PRN3 PRD65538:PRN65539 PRD131074:PRN131075 PRD196610:PRN196611 PRD262146:PRN262147 PRD327682:PRN327683 PRD393218:PRN393219 PRD458754:PRN458755 PRD524290:PRN524291 PRD589826:PRN589827 PRD655362:PRN655363 PRD720898:PRN720899 PRD786434:PRN786435 PRD851970:PRN851971 PRD917506:PRN917507 PRD983042:PRN983043 PRF7:PRN7 PRF65543:PRN65543 PRF131079:PRN131079 PRF196615:PRN196615 PRF262151:PRN262151 PRF327687:PRN327687 PRF393223:PRN393223 PRF458759:PRN458759 PRF524295:PRN524295 PRF589831:PRN589831 PRF655367:PRN655367 PRF720903:PRN720903 PRF786439:PRN786439 PRF851975:PRN851975 PRF917511:PRN917511 PRF983047:PRN983047 QAZ2:QBJ3 QAZ65538:QBJ65539 QAZ131074:QBJ131075 QAZ196610:QBJ196611 QAZ262146:QBJ262147 QAZ327682:QBJ327683 QAZ393218:QBJ393219 QAZ458754:QBJ458755 QAZ524290:QBJ524291 QAZ589826:QBJ589827 QAZ655362:QBJ655363 QAZ720898:QBJ720899 QAZ786434:QBJ786435 QAZ851970:QBJ851971 QAZ917506:QBJ917507 QAZ983042:QBJ983043 QBB7:QBJ7 QBB65543:QBJ65543 QBB131079:QBJ131079 QBB196615:QBJ196615 QBB262151:QBJ262151 QBB327687:QBJ327687 QBB393223:QBJ393223 QBB458759:QBJ458759 QBB524295:QBJ524295 QBB589831:QBJ589831 QBB655367:QBJ655367 QBB720903:QBJ720903 QBB786439:QBJ786439 QBB851975:QBJ851975 QBB917511:QBJ917511 QBB983047:QBJ983047 QKV2:QLF3 QKV65538:QLF65539 QKV131074:QLF131075 QKV196610:QLF196611 QKV262146:QLF262147 QKV327682:QLF327683 QKV393218:QLF393219 QKV458754:QLF458755 QKV524290:QLF524291 QKV589826:QLF589827 QKV655362:QLF655363 QKV720898:QLF720899 QKV786434:QLF786435 QKV851970:QLF851971 QKV917506:QLF917507 QKV983042:QLF983043 QKX7:QLF7 QKX65543:QLF65543 QKX131079:QLF131079 QKX196615:QLF196615 QKX262151:QLF262151 QKX327687:QLF327687 QKX393223:QLF393223 QKX458759:QLF458759 QKX524295:QLF524295 QKX589831:QLF589831 QKX655367:QLF655367 QKX720903:QLF720903 QKX786439:QLF786439 QKX851975:QLF851975 QKX917511:QLF917511 QKX983047:QLF983047 QUR2:QVB3 QUR65538:QVB65539 QUR131074:QVB131075 QUR196610:QVB196611 QUR262146:QVB262147 QUR327682:QVB327683 QUR393218:QVB393219 QUR458754:QVB458755 QUR524290:QVB524291 QUR589826:QVB589827 QUR655362:QVB655363 QUR720898:QVB720899 QUR786434:QVB786435 QUR851970:QVB851971 QUR917506:QVB917507 QUR983042:QVB983043 QUT7:QVB7 QUT65543:QVB65543 QUT131079:QVB131079 QUT196615:QVB196615 QUT262151:QVB262151 QUT327687:QVB327687 QUT393223:QVB393223 QUT458759:QVB458759 QUT524295:QVB524295 QUT589831:QVB589831 QUT655367:QVB655367 QUT720903:QVB720903 QUT786439:QVB786439 QUT851975:QVB851975 QUT917511:QVB917511 QUT983047:QVB983047 REN2:REX3 REN65538:REX65539 REN131074:REX131075 REN196610:REX196611 REN262146:REX262147 REN327682:REX327683 REN393218:REX393219 REN458754:REX458755 REN524290:REX524291 REN589826:REX589827 REN655362:REX655363 REN720898:REX720899 REN786434:REX786435 REN851970:REX851971 REN917506:REX917507 REN983042:REX983043 REP7:REX7 REP65543:REX65543 REP131079:REX131079 REP196615:REX196615 REP262151:REX262151 REP327687:REX327687 REP393223:REX393223 REP458759:REX458759 REP524295:REX524295 REP589831:REX589831 REP655367:REX655367 REP720903:REX720903 REP786439:REX786439 REP851975:REX851975 REP917511:REX917511 REP983047:REX983047 ROJ2:ROT3 ROJ65538:ROT65539 ROJ131074:ROT131075 ROJ196610:ROT196611 ROJ262146:ROT262147 ROJ327682:ROT327683 ROJ393218:ROT393219 ROJ458754:ROT458755 ROJ524290:ROT524291 ROJ589826:ROT589827 ROJ655362:ROT655363 ROJ720898:ROT720899 ROJ786434:ROT786435 ROJ851970:ROT851971 ROJ917506:ROT917507 ROJ983042:ROT983043 ROL7:ROT7 ROL65543:ROT65543 ROL131079:ROT131079 ROL196615:ROT196615 ROL262151:ROT262151 ROL327687:ROT327687 ROL393223:ROT393223 ROL458759:ROT458759 ROL524295:ROT524295 ROL589831:ROT589831 ROL655367:ROT655367 ROL720903:ROT720903 ROL786439:ROT786439 ROL851975:ROT851975 ROL917511:ROT917511 ROL983047:ROT983047 RYF2:RYP3 RYF65538:RYP65539 RYF131074:RYP131075 RYF196610:RYP196611 RYF262146:RYP262147 RYF327682:RYP327683 RYF393218:RYP393219 RYF458754:RYP458755 RYF524290:RYP524291 RYF589826:RYP589827 RYF655362:RYP655363 RYF720898:RYP720899 RYF786434:RYP786435 RYF851970:RYP851971 RYF917506:RYP917507 RYF983042:RYP983043 RYH7:RYP7 RYH65543:RYP65543 RYH131079:RYP131079 RYH196615:RYP196615 RYH262151:RYP262151 RYH327687:RYP327687 RYH393223:RYP393223 RYH458759:RYP458759 RYH524295:RYP524295 RYH589831:RYP589831 RYH655367:RYP655367 RYH720903:RYP720903 RYH786439:RYP786439 RYH851975:RYP851975 RYH917511:RYP917511 RYH983047:RYP983047 SIB2:SIL3 SIB65538:SIL65539 SIB131074:SIL131075 SIB196610:SIL196611 SIB262146:SIL262147 SIB327682:SIL327683 SIB393218:SIL393219 SIB458754:SIL458755 SIB524290:SIL524291 SIB589826:SIL589827 SIB655362:SIL655363 SIB720898:SIL720899 SIB786434:SIL786435 SIB851970:SIL851971 SIB917506:SIL917507 SIB983042:SIL983043 SID7:SIL7 SID65543:SIL65543 SID131079:SIL131079 SID196615:SIL196615 SID262151:SIL262151 SID327687:SIL327687 SID393223:SIL393223 SID458759:SIL458759 SID524295:SIL524295 SID589831:SIL589831 SID655367:SIL655367 SID720903:SIL720903 SID786439:SIL786439 SID851975:SIL851975 SID917511:SIL917511 SID983047:SIL983047 SRX2:SSH3 SRX65538:SSH65539 SRX131074:SSH131075 SRX196610:SSH196611 SRX262146:SSH262147 SRX327682:SSH327683 SRX393218:SSH393219 SRX458754:SSH458755 SRX524290:SSH524291 SRX589826:SSH589827 SRX655362:SSH655363 SRX720898:SSH720899 SRX786434:SSH786435 SRX851970:SSH851971 SRX917506:SSH917507 SRX983042:SSH983043 SRZ7:SSH7 SRZ65543:SSH65543 SRZ131079:SSH131079 SRZ196615:SSH196615 SRZ262151:SSH262151 SRZ327687:SSH327687 SRZ393223:SSH393223 SRZ458759:SSH458759 SRZ524295:SSH524295 SRZ589831:SSH589831 SRZ655367:SSH655367 SRZ720903:SSH720903 SRZ786439:SSH786439 SRZ851975:SSH851975 SRZ917511:SSH917511 SRZ983047:SSH983047 TBT2:TCD3 TBT65538:TCD65539 TBT131074:TCD131075 TBT196610:TCD196611 TBT262146:TCD262147 TBT327682:TCD327683 TBT393218:TCD393219 TBT458754:TCD458755 TBT524290:TCD524291 TBT589826:TCD589827 TBT655362:TCD655363 TBT720898:TCD720899 TBT786434:TCD786435 TBT851970:TCD851971 TBT917506:TCD917507 TBT983042:TCD983043 TBV7:TCD7 TBV65543:TCD65543 TBV131079:TCD131079 TBV196615:TCD196615 TBV262151:TCD262151 TBV327687:TCD327687 TBV393223:TCD393223 TBV458759:TCD458759 TBV524295:TCD524295 TBV589831:TCD589831 TBV655367:TCD655367 TBV720903:TCD720903 TBV786439:TCD786439 TBV851975:TCD851975 TBV917511:TCD917511 TBV983047:TCD983047 TLP2:TLZ3 TLP65538:TLZ65539 TLP131074:TLZ131075 TLP196610:TLZ196611 TLP262146:TLZ262147 TLP327682:TLZ327683 TLP393218:TLZ393219 TLP458754:TLZ458755 TLP524290:TLZ524291 TLP589826:TLZ589827 TLP655362:TLZ655363 TLP720898:TLZ720899 TLP786434:TLZ786435 TLP851970:TLZ851971 TLP917506:TLZ917507 TLP983042:TLZ983043 TLR7:TLZ7 TLR65543:TLZ65543 TLR131079:TLZ131079 TLR196615:TLZ196615 TLR262151:TLZ262151 TLR327687:TLZ327687 TLR393223:TLZ393223 TLR458759:TLZ458759 TLR524295:TLZ524295 TLR589831:TLZ589831 TLR655367:TLZ655367 TLR720903:TLZ720903 TLR786439:TLZ786439 TLR851975:TLZ851975 TLR917511:TLZ917511 TLR983047:TLZ983047 TVL2:TVV3 TVL65538:TVV65539 TVL131074:TVV131075 TVL196610:TVV196611 TVL262146:TVV262147 TVL327682:TVV327683 TVL393218:TVV393219 TVL458754:TVV458755 TVL524290:TVV524291 TVL589826:TVV589827 TVL655362:TVV655363 TVL720898:TVV720899 TVL786434:TVV786435 TVL851970:TVV851971 TVL917506:TVV917507 TVL983042:TVV983043 TVN7:TVV7 TVN65543:TVV65543 TVN131079:TVV131079 TVN196615:TVV196615 TVN262151:TVV262151 TVN327687:TVV327687 TVN393223:TVV393223 TVN458759:TVV458759 TVN524295:TVV524295 TVN589831:TVV589831 TVN655367:TVV655367 TVN720903:TVV720903 TVN786439:TVV786439 TVN851975:TVV851975 TVN917511:TVV917511 TVN983047:TVV983047 UFH2:UFR3 UFH65538:UFR65539 UFH131074:UFR131075 UFH196610:UFR196611 UFH262146:UFR262147 UFH327682:UFR327683 UFH393218:UFR393219 UFH458754:UFR458755 UFH524290:UFR524291 UFH589826:UFR589827 UFH655362:UFR655363 UFH720898:UFR720899 UFH786434:UFR786435 UFH851970:UFR851971 UFH917506:UFR917507 UFH983042:UFR983043 UFJ7:UFR7 UFJ65543:UFR65543 UFJ131079:UFR131079 UFJ196615:UFR196615 UFJ262151:UFR262151 UFJ327687:UFR327687 UFJ393223:UFR393223 UFJ458759:UFR458759 UFJ524295:UFR524295 UFJ589831:UFR589831 UFJ655367:UFR655367 UFJ720903:UFR720903 UFJ786439:UFR786439 UFJ851975:UFR851975 UFJ917511:UFR917511 UFJ983047:UFR983047 UPD2:UPN3 UPD65538:UPN65539 UPD131074:UPN131075 UPD196610:UPN196611 UPD262146:UPN262147 UPD327682:UPN327683 UPD393218:UPN393219 UPD458754:UPN458755 UPD524290:UPN524291 UPD589826:UPN589827 UPD655362:UPN655363 UPD720898:UPN720899 UPD786434:UPN786435 UPD851970:UPN851971 UPD917506:UPN917507 UPD983042:UPN983043 UPF7:UPN7 UPF65543:UPN65543 UPF131079:UPN131079 UPF196615:UPN196615 UPF262151:UPN262151 UPF327687:UPN327687 UPF393223:UPN393223 UPF458759:UPN458759 UPF524295:UPN524295 UPF589831:UPN589831 UPF655367:UPN655367 UPF720903:UPN720903 UPF786439:UPN786439 UPF851975:UPN851975 UPF917511:UPN917511 UPF983047:UPN983047 UYZ2:UZJ3 UYZ65538:UZJ65539 UYZ131074:UZJ131075 UYZ196610:UZJ196611 UYZ262146:UZJ262147 UYZ327682:UZJ327683 UYZ393218:UZJ393219 UYZ458754:UZJ458755 UYZ524290:UZJ524291 UYZ589826:UZJ589827 UYZ655362:UZJ655363 UYZ720898:UZJ720899 UYZ786434:UZJ786435 UYZ851970:UZJ851971 UYZ917506:UZJ917507 UYZ983042:UZJ983043 UZB7:UZJ7 UZB65543:UZJ65543 UZB131079:UZJ131079 UZB196615:UZJ196615 UZB262151:UZJ262151 UZB327687:UZJ327687 UZB393223:UZJ393223 UZB458759:UZJ458759 UZB524295:UZJ524295 UZB589831:UZJ589831 UZB655367:UZJ655367 UZB720903:UZJ720903 UZB786439:UZJ786439 UZB851975:UZJ851975 UZB917511:UZJ917511 UZB983047:UZJ983047 VIV2:VJF3 VIV65538:VJF65539 VIV131074:VJF131075 VIV196610:VJF196611 VIV262146:VJF262147 VIV327682:VJF327683 VIV393218:VJF393219 VIV458754:VJF458755 VIV524290:VJF524291 VIV589826:VJF589827 VIV655362:VJF655363 VIV720898:VJF720899 VIV786434:VJF786435 VIV851970:VJF851971 VIV917506:VJF917507 VIV983042:VJF983043 VIX7:VJF7 VIX65543:VJF65543 VIX131079:VJF131079 VIX196615:VJF196615 VIX262151:VJF262151 VIX327687:VJF327687 VIX393223:VJF393223 VIX458759:VJF458759 VIX524295:VJF524295 VIX589831:VJF589831 VIX655367:VJF655367 VIX720903:VJF720903 VIX786439:VJF786439 VIX851975:VJF851975 VIX917511:VJF917511 VIX983047:VJF983047 VSR2:VTB3 VSR65538:VTB65539 VSR131074:VTB131075 VSR196610:VTB196611 VSR262146:VTB262147 VSR327682:VTB327683 VSR393218:VTB393219 VSR458754:VTB458755 VSR524290:VTB524291 VSR589826:VTB589827 VSR655362:VTB655363 VSR720898:VTB720899 VSR786434:VTB786435 VSR851970:VTB851971 VSR917506:VTB917507 VSR983042:VTB983043 VST7:VTB7 VST65543:VTB65543 VST131079:VTB131079 VST196615:VTB196615 VST262151:VTB262151 VST327687:VTB327687 VST393223:VTB393223 VST458759:VTB458759 VST524295:VTB524295 VST589831:VTB589831 VST655367:VTB655367 VST720903:VTB720903 VST786439:VTB786439 VST851975:VTB851975 VST917511:VTB917511 VST983047:VTB983047 WCN2:WCX3 WCN65538:WCX65539 WCN131074:WCX131075 WCN196610:WCX196611 WCN262146:WCX262147 WCN327682:WCX327683 WCN393218:WCX393219 WCN458754:WCX458755 WCN524290:WCX524291 WCN589826:WCX589827 WCN655362:WCX655363 WCN720898:WCX720899 WCN786434:WCX786435 WCN851970:WCX851971 WCN917506:WCX917507 WCN983042:WCX983043 WCP7:WCX7 WCP65543:WCX65543 WCP131079:WCX131079 WCP196615:WCX196615 WCP262151:WCX262151 WCP327687:WCX327687 WCP393223:WCX393223 WCP458759:WCX458759 WCP524295:WCX524295 WCP589831:WCX589831 WCP655367:WCX655367 WCP720903:WCX720903 WCP786439:WCX786439 WCP851975:WCX851975 WCP917511:WCX917511 WCP983047:WCX983047 WMJ2:WMT3 WMJ65538:WMT65539 WMJ131074:WMT131075 WMJ196610:WMT196611 WMJ262146:WMT262147 WMJ327682:WMT327683 WMJ393218:WMT393219 WMJ458754:WMT458755 WMJ524290:WMT524291 WMJ589826:WMT589827 WMJ655362:WMT655363 WMJ720898:WMT720899 WMJ786434:WMT786435 WMJ851970:WMT851971 WMJ917506:WMT917507 WMJ983042:WMT983043 WML7:WMT7 WML65543:WMT65543 WML131079:WMT131079 WML196615:WMT196615 WML262151:WMT262151 WML327687:WMT327687 WML393223:WMT393223 WML458759:WMT458759 WML524295:WMT524295 WML589831:WMT589831 WML655367:WMT655367 WML720903:WMT720903 WML786439:WMT786439 WML851975:WMT851975 WML917511:WMT917511 WML983047:WMT983047 WWF2:WWP3 WWF65538:WWP65539 WWF131074:WWP131075 WWF196610:WWP196611 WWF262146:WWP262147 WWF327682:WWP327683 WWF393218:WWP393219 WWF458754:WWP458755 WWF524290:WWP524291 WWF589826:WWP589827 WWF655362:WWP655363 WWF720898:WWP720899 WWF786434:WWP786435 WWF851970:WWP851971 WWF917506:WWP917507 WWF983042:WWP983043 WWH7:WWP7 WWH65543:WWP65543 WWH131079:WWP131079 WWH196615:WWP196615 WWH262151:WWP262151 WWH327687:WWP327687 WWH393223:WWP393223 WWH458759:WWP458759 WWH524295:WWP524295 WWH589831:WWP589831 WWH655367:WWP655367 WWH720903:WWP720903 WWH786439:WWP786439 WWH851975:WWP851975 WWH917511:WWP917511 WWH983047:WWP983047" xr:uid="{00000000-0002-0000-0900-00000B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O1:P26 O65537:P65562 O131073:P131098 O196609:P196634 O262145:P262170 O327681:P327706 O393217:P393242 O458753:P458778 O524289:P524314 O589825:P589850 O655361:P655386 O720897:P720922 O786433:P786458 O851969:P851994 O917505:P917530 O983041:P983066 JL1:JL26 JL65537:JL65562 JL131073:JL131098 JL196609:JL196634 JL262145:JL262170 JL327681:JL327706 JL393217:JL393242 JL458753:JL458778 JL524289:JL524314 JL589825:JL589850 JL655361:JL655386 JL720897:JL720922 JL786433:JL786458 JL851969:JL851994 JL917505:JL917530 JL983041:JL983066 TH1:TH26 TH65537:TH65562 TH131073:TH131098 TH196609:TH196634 TH262145:TH262170 TH327681:TH327706 TH393217:TH393242 TH458753:TH458778 TH524289:TH524314 TH589825:TH589850 TH655361:TH655386 TH720897:TH720922 TH786433:TH786458 TH851969:TH851994 TH917505:TH917530 TH983041:TH983066 ADD1:ADD26 ADD65537:ADD65562 ADD131073:ADD131098 ADD196609:ADD196634 ADD262145:ADD262170 ADD327681:ADD327706 ADD393217:ADD393242 ADD458753:ADD458778 ADD524289:ADD524314 ADD589825:ADD589850 ADD655361:ADD655386 ADD720897:ADD720922 ADD786433:ADD786458 ADD851969:ADD851994 ADD917505:ADD917530 ADD983041:ADD983066 AMZ1:AMZ26 AMZ65537:AMZ65562 AMZ131073:AMZ131098 AMZ196609:AMZ196634 AMZ262145:AMZ262170 AMZ327681:AMZ327706 AMZ393217:AMZ393242 AMZ458753:AMZ458778 AMZ524289:AMZ524314 AMZ589825:AMZ589850 AMZ655361:AMZ655386 AMZ720897:AMZ720922 AMZ786433:AMZ786458 AMZ851969:AMZ851994 AMZ917505:AMZ917530 AMZ983041:AMZ983066 AWV1:AWV26 AWV65537:AWV65562 AWV131073:AWV131098 AWV196609:AWV196634 AWV262145:AWV262170 AWV327681:AWV327706 AWV393217:AWV393242 AWV458753:AWV458778 AWV524289:AWV524314 AWV589825:AWV589850 AWV655361:AWV655386 AWV720897:AWV720922 AWV786433:AWV786458 AWV851969:AWV851994 AWV917505:AWV917530 AWV983041:AWV983066 BGR1:BGR26 BGR65537:BGR65562 BGR131073:BGR131098 BGR196609:BGR196634 BGR262145:BGR262170 BGR327681:BGR327706 BGR393217:BGR393242 BGR458753:BGR458778 BGR524289:BGR524314 BGR589825:BGR589850 BGR655361:BGR655386 BGR720897:BGR720922 BGR786433:BGR786458 BGR851969:BGR851994 BGR917505:BGR917530 BGR983041:BGR983066 BQN1:BQN26 BQN65537:BQN65562 BQN131073:BQN131098 BQN196609:BQN196634 BQN262145:BQN262170 BQN327681:BQN327706 BQN393217:BQN393242 BQN458753:BQN458778 BQN524289:BQN524314 BQN589825:BQN589850 BQN655361:BQN655386 BQN720897:BQN720922 BQN786433:BQN786458 BQN851969:BQN851994 BQN917505:BQN917530 BQN983041:BQN983066 CAJ1:CAJ26 CAJ65537:CAJ65562 CAJ131073:CAJ131098 CAJ196609:CAJ196634 CAJ262145:CAJ262170 CAJ327681:CAJ327706 CAJ393217:CAJ393242 CAJ458753:CAJ458778 CAJ524289:CAJ524314 CAJ589825:CAJ589850 CAJ655361:CAJ655386 CAJ720897:CAJ720922 CAJ786433:CAJ786458 CAJ851969:CAJ851994 CAJ917505:CAJ917530 CAJ983041:CAJ983066 CKF1:CKF26 CKF65537:CKF65562 CKF131073:CKF131098 CKF196609:CKF196634 CKF262145:CKF262170 CKF327681:CKF327706 CKF393217:CKF393242 CKF458753:CKF458778 CKF524289:CKF524314 CKF589825:CKF589850 CKF655361:CKF655386 CKF720897:CKF720922 CKF786433:CKF786458 CKF851969:CKF851994 CKF917505:CKF917530 CKF983041:CKF983066 CUB1:CUB26 CUB65537:CUB65562 CUB131073:CUB131098 CUB196609:CUB196634 CUB262145:CUB262170 CUB327681:CUB327706 CUB393217:CUB393242 CUB458753:CUB458778 CUB524289:CUB524314 CUB589825:CUB589850 CUB655361:CUB655386 CUB720897:CUB720922 CUB786433:CUB786458 CUB851969:CUB851994 CUB917505:CUB917530 CUB983041:CUB983066 DDX1:DDX26 DDX65537:DDX65562 DDX131073:DDX131098 DDX196609:DDX196634 DDX262145:DDX262170 DDX327681:DDX327706 DDX393217:DDX393242 DDX458753:DDX458778 DDX524289:DDX524314 DDX589825:DDX589850 DDX655361:DDX655386 DDX720897:DDX720922 DDX786433:DDX786458 DDX851969:DDX851994 DDX917505:DDX917530 DDX983041:DDX983066 DNT1:DNT26 DNT65537:DNT65562 DNT131073:DNT131098 DNT196609:DNT196634 DNT262145:DNT262170 DNT327681:DNT327706 DNT393217:DNT393242 DNT458753:DNT458778 DNT524289:DNT524314 DNT589825:DNT589850 DNT655361:DNT655386 DNT720897:DNT720922 DNT786433:DNT786458 DNT851969:DNT851994 DNT917505:DNT917530 DNT983041:DNT983066 DXP1:DXP26 DXP65537:DXP65562 DXP131073:DXP131098 DXP196609:DXP196634 DXP262145:DXP262170 DXP327681:DXP327706 DXP393217:DXP393242 DXP458753:DXP458778 DXP524289:DXP524314 DXP589825:DXP589850 DXP655361:DXP655386 DXP720897:DXP720922 DXP786433:DXP786458 DXP851969:DXP851994 DXP917505:DXP917530 DXP983041:DXP983066 EHL1:EHL26 EHL65537:EHL65562 EHL131073:EHL131098 EHL196609:EHL196634 EHL262145:EHL262170 EHL327681:EHL327706 EHL393217:EHL393242 EHL458753:EHL458778 EHL524289:EHL524314 EHL589825:EHL589850 EHL655361:EHL655386 EHL720897:EHL720922 EHL786433:EHL786458 EHL851969:EHL851994 EHL917505:EHL917530 EHL983041:EHL983066 ERH1:ERH26 ERH65537:ERH65562 ERH131073:ERH131098 ERH196609:ERH196634 ERH262145:ERH262170 ERH327681:ERH327706 ERH393217:ERH393242 ERH458753:ERH458778 ERH524289:ERH524314 ERH589825:ERH589850 ERH655361:ERH655386 ERH720897:ERH720922 ERH786433:ERH786458 ERH851969:ERH851994 ERH917505:ERH917530 ERH983041:ERH983066 FBD1:FBD26 FBD65537:FBD65562 FBD131073:FBD131098 FBD196609:FBD196634 FBD262145:FBD262170 FBD327681:FBD327706 FBD393217:FBD393242 FBD458753:FBD458778 FBD524289:FBD524314 FBD589825:FBD589850 FBD655361:FBD655386 FBD720897:FBD720922 FBD786433:FBD786458 FBD851969:FBD851994 FBD917505:FBD917530 FBD983041:FBD983066 FKZ1:FKZ26 FKZ65537:FKZ65562 FKZ131073:FKZ131098 FKZ196609:FKZ196634 FKZ262145:FKZ262170 FKZ327681:FKZ327706 FKZ393217:FKZ393242 FKZ458753:FKZ458778 FKZ524289:FKZ524314 FKZ589825:FKZ589850 FKZ655361:FKZ655386 FKZ720897:FKZ720922 FKZ786433:FKZ786458 FKZ851969:FKZ851994 FKZ917505:FKZ917530 FKZ983041:FKZ983066 FUV1:FUV26 FUV65537:FUV65562 FUV131073:FUV131098 FUV196609:FUV196634 FUV262145:FUV262170 FUV327681:FUV327706 FUV393217:FUV393242 FUV458753:FUV458778 FUV524289:FUV524314 FUV589825:FUV589850 FUV655361:FUV655386 FUV720897:FUV720922 FUV786433:FUV786458 FUV851969:FUV851994 FUV917505:FUV917530 FUV983041:FUV983066 GER1:GER26 GER65537:GER65562 GER131073:GER131098 GER196609:GER196634 GER262145:GER262170 GER327681:GER327706 GER393217:GER393242 GER458753:GER458778 GER524289:GER524314 GER589825:GER589850 GER655361:GER655386 GER720897:GER720922 GER786433:GER786458 GER851969:GER851994 GER917505:GER917530 GER983041:GER983066 GON1:GON26 GON65537:GON65562 GON131073:GON131098 GON196609:GON196634 GON262145:GON262170 GON327681:GON327706 GON393217:GON393242 GON458753:GON458778 GON524289:GON524314 GON589825:GON589850 GON655361:GON655386 GON720897:GON720922 GON786433:GON786458 GON851969:GON851994 GON917505:GON917530 GON983041:GON983066 GYJ1:GYJ26 GYJ65537:GYJ65562 GYJ131073:GYJ131098 GYJ196609:GYJ196634 GYJ262145:GYJ262170 GYJ327681:GYJ327706 GYJ393217:GYJ393242 GYJ458753:GYJ458778 GYJ524289:GYJ524314 GYJ589825:GYJ589850 GYJ655361:GYJ655386 GYJ720897:GYJ720922 GYJ786433:GYJ786458 GYJ851969:GYJ851994 GYJ917505:GYJ917530 GYJ983041:GYJ983066 HIF1:HIF26 HIF65537:HIF65562 HIF131073:HIF131098 HIF196609:HIF196634 HIF262145:HIF262170 HIF327681:HIF327706 HIF393217:HIF393242 HIF458753:HIF458778 HIF524289:HIF524314 HIF589825:HIF589850 HIF655361:HIF655386 HIF720897:HIF720922 HIF786433:HIF786458 HIF851969:HIF851994 HIF917505:HIF917530 HIF983041:HIF983066 HSB1:HSB26 HSB65537:HSB65562 HSB131073:HSB131098 HSB196609:HSB196634 HSB262145:HSB262170 HSB327681:HSB327706 HSB393217:HSB393242 HSB458753:HSB458778 HSB524289:HSB524314 HSB589825:HSB589850 HSB655361:HSB655386 HSB720897:HSB720922 HSB786433:HSB786458 HSB851969:HSB851994 HSB917505:HSB917530 HSB983041:HSB983066 IBX1:IBX26 IBX65537:IBX65562 IBX131073:IBX131098 IBX196609:IBX196634 IBX262145:IBX262170 IBX327681:IBX327706 IBX393217:IBX393242 IBX458753:IBX458778 IBX524289:IBX524314 IBX589825:IBX589850 IBX655361:IBX655386 IBX720897:IBX720922 IBX786433:IBX786458 IBX851969:IBX851994 IBX917505:IBX917530 IBX983041:IBX983066 ILT1:ILT26 ILT65537:ILT65562 ILT131073:ILT131098 ILT196609:ILT196634 ILT262145:ILT262170 ILT327681:ILT327706 ILT393217:ILT393242 ILT458753:ILT458778 ILT524289:ILT524314 ILT589825:ILT589850 ILT655361:ILT655386 ILT720897:ILT720922 ILT786433:ILT786458 ILT851969:ILT851994 ILT917505:ILT917530 ILT983041:ILT983066 IVP1:IVP26 IVP65537:IVP65562 IVP131073:IVP131098 IVP196609:IVP196634 IVP262145:IVP262170 IVP327681:IVP327706 IVP393217:IVP393242 IVP458753:IVP458778 IVP524289:IVP524314 IVP589825:IVP589850 IVP655361:IVP655386 IVP720897:IVP720922 IVP786433:IVP786458 IVP851969:IVP851994 IVP917505:IVP917530 IVP983041:IVP983066 JFL1:JFL26 JFL65537:JFL65562 JFL131073:JFL131098 JFL196609:JFL196634 JFL262145:JFL262170 JFL327681:JFL327706 JFL393217:JFL393242 JFL458753:JFL458778 JFL524289:JFL524314 JFL589825:JFL589850 JFL655361:JFL655386 JFL720897:JFL720922 JFL786433:JFL786458 JFL851969:JFL851994 JFL917505:JFL917530 JFL983041:JFL983066 JPH1:JPH26 JPH65537:JPH65562 JPH131073:JPH131098 JPH196609:JPH196634 JPH262145:JPH262170 JPH327681:JPH327706 JPH393217:JPH393242 JPH458753:JPH458778 JPH524289:JPH524314 JPH589825:JPH589850 JPH655361:JPH655386 JPH720897:JPH720922 JPH786433:JPH786458 JPH851969:JPH851994 JPH917505:JPH917530 JPH983041:JPH983066 JZD1:JZD26 JZD65537:JZD65562 JZD131073:JZD131098 JZD196609:JZD196634 JZD262145:JZD262170 JZD327681:JZD327706 JZD393217:JZD393242 JZD458753:JZD458778 JZD524289:JZD524314 JZD589825:JZD589850 JZD655361:JZD655386 JZD720897:JZD720922 JZD786433:JZD786458 JZD851969:JZD851994 JZD917505:JZD917530 JZD983041:JZD983066 KIZ1:KIZ26 KIZ65537:KIZ65562 KIZ131073:KIZ131098 KIZ196609:KIZ196634 KIZ262145:KIZ262170 KIZ327681:KIZ327706 KIZ393217:KIZ393242 KIZ458753:KIZ458778 KIZ524289:KIZ524314 KIZ589825:KIZ589850 KIZ655361:KIZ655386 KIZ720897:KIZ720922 KIZ786433:KIZ786458 KIZ851969:KIZ851994 KIZ917505:KIZ917530 KIZ983041:KIZ983066 KSV1:KSV26 KSV65537:KSV65562 KSV131073:KSV131098 KSV196609:KSV196634 KSV262145:KSV262170 KSV327681:KSV327706 KSV393217:KSV393242 KSV458753:KSV458778 KSV524289:KSV524314 KSV589825:KSV589850 KSV655361:KSV655386 KSV720897:KSV720922 KSV786433:KSV786458 KSV851969:KSV851994 KSV917505:KSV917530 KSV983041:KSV983066 LCR1:LCR26 LCR65537:LCR65562 LCR131073:LCR131098 LCR196609:LCR196634 LCR262145:LCR262170 LCR327681:LCR327706 LCR393217:LCR393242 LCR458753:LCR458778 LCR524289:LCR524314 LCR589825:LCR589850 LCR655361:LCR655386 LCR720897:LCR720922 LCR786433:LCR786458 LCR851969:LCR851994 LCR917505:LCR917530 LCR983041:LCR983066 LMN1:LMN26 LMN65537:LMN65562 LMN131073:LMN131098 LMN196609:LMN196634 LMN262145:LMN262170 LMN327681:LMN327706 LMN393217:LMN393242 LMN458753:LMN458778 LMN524289:LMN524314 LMN589825:LMN589850 LMN655361:LMN655386 LMN720897:LMN720922 LMN786433:LMN786458 LMN851969:LMN851994 LMN917505:LMN917530 LMN983041:LMN983066 LWJ1:LWJ26 LWJ65537:LWJ65562 LWJ131073:LWJ131098 LWJ196609:LWJ196634 LWJ262145:LWJ262170 LWJ327681:LWJ327706 LWJ393217:LWJ393242 LWJ458753:LWJ458778 LWJ524289:LWJ524314 LWJ589825:LWJ589850 LWJ655361:LWJ655386 LWJ720897:LWJ720922 LWJ786433:LWJ786458 LWJ851969:LWJ851994 LWJ917505:LWJ917530 LWJ983041:LWJ983066 MGF1:MGF26 MGF65537:MGF65562 MGF131073:MGF131098 MGF196609:MGF196634 MGF262145:MGF262170 MGF327681:MGF327706 MGF393217:MGF393242 MGF458753:MGF458778 MGF524289:MGF524314 MGF589825:MGF589850 MGF655361:MGF655386 MGF720897:MGF720922 MGF786433:MGF786458 MGF851969:MGF851994 MGF917505:MGF917530 MGF983041:MGF983066 MQB1:MQB26 MQB65537:MQB65562 MQB131073:MQB131098 MQB196609:MQB196634 MQB262145:MQB262170 MQB327681:MQB327706 MQB393217:MQB393242 MQB458753:MQB458778 MQB524289:MQB524314 MQB589825:MQB589850 MQB655361:MQB655386 MQB720897:MQB720922 MQB786433:MQB786458 MQB851969:MQB851994 MQB917505:MQB917530 MQB983041:MQB983066 MZX1:MZX26 MZX65537:MZX65562 MZX131073:MZX131098 MZX196609:MZX196634 MZX262145:MZX262170 MZX327681:MZX327706 MZX393217:MZX393242 MZX458753:MZX458778 MZX524289:MZX524314 MZX589825:MZX589850 MZX655361:MZX655386 MZX720897:MZX720922 MZX786433:MZX786458 MZX851969:MZX851994 MZX917505:MZX917530 MZX983041:MZX983066 NJT1:NJT26 NJT65537:NJT65562 NJT131073:NJT131098 NJT196609:NJT196634 NJT262145:NJT262170 NJT327681:NJT327706 NJT393217:NJT393242 NJT458753:NJT458778 NJT524289:NJT524314 NJT589825:NJT589850 NJT655361:NJT655386 NJT720897:NJT720922 NJT786433:NJT786458 NJT851969:NJT851994 NJT917505:NJT917530 NJT983041:NJT983066 NTP1:NTP26 NTP65537:NTP65562 NTP131073:NTP131098 NTP196609:NTP196634 NTP262145:NTP262170 NTP327681:NTP327706 NTP393217:NTP393242 NTP458753:NTP458778 NTP524289:NTP524314 NTP589825:NTP589850 NTP655361:NTP655386 NTP720897:NTP720922 NTP786433:NTP786458 NTP851969:NTP851994 NTP917505:NTP917530 NTP983041:NTP983066 ODL1:ODL26 ODL65537:ODL65562 ODL131073:ODL131098 ODL196609:ODL196634 ODL262145:ODL262170 ODL327681:ODL327706 ODL393217:ODL393242 ODL458753:ODL458778 ODL524289:ODL524314 ODL589825:ODL589850 ODL655361:ODL655386 ODL720897:ODL720922 ODL786433:ODL786458 ODL851969:ODL851994 ODL917505:ODL917530 ODL983041:ODL983066 ONH1:ONH26 ONH65537:ONH65562 ONH131073:ONH131098 ONH196609:ONH196634 ONH262145:ONH262170 ONH327681:ONH327706 ONH393217:ONH393242 ONH458753:ONH458778 ONH524289:ONH524314 ONH589825:ONH589850 ONH655361:ONH655386 ONH720897:ONH720922 ONH786433:ONH786458 ONH851969:ONH851994 ONH917505:ONH917530 ONH983041:ONH983066 OXD1:OXD26 OXD65537:OXD65562 OXD131073:OXD131098 OXD196609:OXD196634 OXD262145:OXD262170 OXD327681:OXD327706 OXD393217:OXD393242 OXD458753:OXD458778 OXD524289:OXD524314 OXD589825:OXD589850 OXD655361:OXD655386 OXD720897:OXD720922 OXD786433:OXD786458 OXD851969:OXD851994 OXD917505:OXD917530 OXD983041:OXD983066 PGZ1:PGZ26 PGZ65537:PGZ65562 PGZ131073:PGZ131098 PGZ196609:PGZ196634 PGZ262145:PGZ262170 PGZ327681:PGZ327706 PGZ393217:PGZ393242 PGZ458753:PGZ458778 PGZ524289:PGZ524314 PGZ589825:PGZ589850 PGZ655361:PGZ655386 PGZ720897:PGZ720922 PGZ786433:PGZ786458 PGZ851969:PGZ851994 PGZ917505:PGZ917530 PGZ983041:PGZ983066 PQV1:PQV26 PQV65537:PQV65562 PQV131073:PQV131098 PQV196609:PQV196634 PQV262145:PQV262170 PQV327681:PQV327706 PQV393217:PQV393242 PQV458753:PQV458778 PQV524289:PQV524314 PQV589825:PQV589850 PQV655361:PQV655386 PQV720897:PQV720922 PQV786433:PQV786458 PQV851969:PQV851994 PQV917505:PQV917530 PQV983041:PQV983066 QAR1:QAR26 QAR65537:QAR65562 QAR131073:QAR131098 QAR196609:QAR196634 QAR262145:QAR262170 QAR327681:QAR327706 QAR393217:QAR393242 QAR458753:QAR458778 QAR524289:QAR524314 QAR589825:QAR589850 QAR655361:QAR655386 QAR720897:QAR720922 QAR786433:QAR786458 QAR851969:QAR851994 QAR917505:QAR917530 QAR983041:QAR983066 QKN1:QKN26 QKN65537:QKN65562 QKN131073:QKN131098 QKN196609:QKN196634 QKN262145:QKN262170 QKN327681:QKN327706 QKN393217:QKN393242 QKN458753:QKN458778 QKN524289:QKN524314 QKN589825:QKN589850 QKN655361:QKN655386 QKN720897:QKN720922 QKN786433:QKN786458 QKN851969:QKN851994 QKN917505:QKN917530 QKN983041:QKN983066 QUJ1:QUJ26 QUJ65537:QUJ65562 QUJ131073:QUJ131098 QUJ196609:QUJ196634 QUJ262145:QUJ262170 QUJ327681:QUJ327706 QUJ393217:QUJ393242 QUJ458753:QUJ458778 QUJ524289:QUJ524314 QUJ589825:QUJ589850 QUJ655361:QUJ655386 QUJ720897:QUJ720922 QUJ786433:QUJ786458 QUJ851969:QUJ851994 QUJ917505:QUJ917530 QUJ983041:QUJ983066 REF1:REF26 REF65537:REF65562 REF131073:REF131098 REF196609:REF196634 REF262145:REF262170 REF327681:REF327706 REF393217:REF393242 REF458753:REF458778 REF524289:REF524314 REF589825:REF589850 REF655361:REF655386 REF720897:REF720922 REF786433:REF786458 REF851969:REF851994 REF917505:REF917530 REF983041:REF983066 ROB1:ROB26 ROB65537:ROB65562 ROB131073:ROB131098 ROB196609:ROB196634 ROB262145:ROB262170 ROB327681:ROB327706 ROB393217:ROB393242 ROB458753:ROB458778 ROB524289:ROB524314 ROB589825:ROB589850 ROB655361:ROB655386 ROB720897:ROB720922 ROB786433:ROB786458 ROB851969:ROB851994 ROB917505:ROB917530 ROB983041:ROB983066 RXX1:RXX26 RXX65537:RXX65562 RXX131073:RXX131098 RXX196609:RXX196634 RXX262145:RXX262170 RXX327681:RXX327706 RXX393217:RXX393242 RXX458753:RXX458778 RXX524289:RXX524314 RXX589825:RXX589850 RXX655361:RXX655386 RXX720897:RXX720922 RXX786433:RXX786458 RXX851969:RXX851994 RXX917505:RXX917530 RXX983041:RXX983066 SHT1:SHT26 SHT65537:SHT65562 SHT131073:SHT131098 SHT196609:SHT196634 SHT262145:SHT262170 SHT327681:SHT327706 SHT393217:SHT393242 SHT458753:SHT458778 SHT524289:SHT524314 SHT589825:SHT589850 SHT655361:SHT655386 SHT720897:SHT720922 SHT786433:SHT786458 SHT851969:SHT851994 SHT917505:SHT917530 SHT983041:SHT983066 SRP1:SRP26 SRP65537:SRP65562 SRP131073:SRP131098 SRP196609:SRP196634 SRP262145:SRP262170 SRP327681:SRP327706 SRP393217:SRP393242 SRP458753:SRP458778 SRP524289:SRP524314 SRP589825:SRP589850 SRP655361:SRP655386 SRP720897:SRP720922 SRP786433:SRP786458 SRP851969:SRP851994 SRP917505:SRP917530 SRP983041:SRP983066 TBL1:TBL26 TBL65537:TBL65562 TBL131073:TBL131098 TBL196609:TBL196634 TBL262145:TBL262170 TBL327681:TBL327706 TBL393217:TBL393242 TBL458753:TBL458778 TBL524289:TBL524314 TBL589825:TBL589850 TBL655361:TBL655386 TBL720897:TBL720922 TBL786433:TBL786458 TBL851969:TBL851994 TBL917505:TBL917530 TBL983041:TBL983066 TLH1:TLH26 TLH65537:TLH65562 TLH131073:TLH131098 TLH196609:TLH196634 TLH262145:TLH262170 TLH327681:TLH327706 TLH393217:TLH393242 TLH458753:TLH458778 TLH524289:TLH524314 TLH589825:TLH589850 TLH655361:TLH655386 TLH720897:TLH720922 TLH786433:TLH786458 TLH851969:TLH851994 TLH917505:TLH917530 TLH983041:TLH983066 TVD1:TVD26 TVD65537:TVD65562 TVD131073:TVD131098 TVD196609:TVD196634 TVD262145:TVD262170 TVD327681:TVD327706 TVD393217:TVD393242 TVD458753:TVD458778 TVD524289:TVD524314 TVD589825:TVD589850 TVD655361:TVD655386 TVD720897:TVD720922 TVD786433:TVD786458 TVD851969:TVD851994 TVD917505:TVD917530 TVD983041:TVD983066 UEZ1:UEZ26 UEZ65537:UEZ65562 UEZ131073:UEZ131098 UEZ196609:UEZ196634 UEZ262145:UEZ262170 UEZ327681:UEZ327706 UEZ393217:UEZ393242 UEZ458753:UEZ458778 UEZ524289:UEZ524314 UEZ589825:UEZ589850 UEZ655361:UEZ655386 UEZ720897:UEZ720922 UEZ786433:UEZ786458 UEZ851969:UEZ851994 UEZ917505:UEZ917530 UEZ983041:UEZ983066 UOV1:UOV26 UOV65537:UOV65562 UOV131073:UOV131098 UOV196609:UOV196634 UOV262145:UOV262170 UOV327681:UOV327706 UOV393217:UOV393242 UOV458753:UOV458778 UOV524289:UOV524314 UOV589825:UOV589850 UOV655361:UOV655386 UOV720897:UOV720922 UOV786433:UOV786458 UOV851969:UOV851994 UOV917505:UOV917530 UOV983041:UOV983066 UYR1:UYR26 UYR65537:UYR65562 UYR131073:UYR131098 UYR196609:UYR196634 UYR262145:UYR262170 UYR327681:UYR327706 UYR393217:UYR393242 UYR458753:UYR458778 UYR524289:UYR524314 UYR589825:UYR589850 UYR655361:UYR655386 UYR720897:UYR720922 UYR786433:UYR786458 UYR851969:UYR851994 UYR917505:UYR917530 UYR983041:UYR983066 VIN1:VIN26 VIN65537:VIN65562 VIN131073:VIN131098 VIN196609:VIN196634 VIN262145:VIN262170 VIN327681:VIN327706 VIN393217:VIN393242 VIN458753:VIN458778 VIN524289:VIN524314 VIN589825:VIN589850 VIN655361:VIN655386 VIN720897:VIN720922 VIN786433:VIN786458 VIN851969:VIN851994 VIN917505:VIN917530 VIN983041:VIN983066 VSJ1:VSJ26 VSJ65537:VSJ65562 VSJ131073:VSJ131098 VSJ196609:VSJ196634 VSJ262145:VSJ262170 VSJ327681:VSJ327706 VSJ393217:VSJ393242 VSJ458753:VSJ458778 VSJ524289:VSJ524314 VSJ589825:VSJ589850 VSJ655361:VSJ655386 VSJ720897:VSJ720922 VSJ786433:VSJ786458 VSJ851969:VSJ851994 VSJ917505:VSJ917530 VSJ983041:VSJ983066 WCF1:WCF26 WCF65537:WCF65562 WCF131073:WCF131098 WCF196609:WCF196634 WCF262145:WCF262170 WCF327681:WCF327706 WCF393217:WCF393242 WCF458753:WCF458778 WCF524289:WCF524314 WCF589825:WCF589850 WCF655361:WCF655386 WCF720897:WCF720922 WCF786433:WCF786458 WCF851969:WCF851994 WCF917505:WCF917530 WCF983041:WCF983066 WMB1:WMB26 WMB65537:WMB65562 WMB131073:WMB131098 WMB196609:WMB196634 WMB262145:WMB262170 WMB327681:WMB327706 WMB393217:WMB393242 WMB458753:WMB458778 WMB524289:WMB524314 WMB589825:WMB589850 WMB655361:WMB655386 WMB720897:WMB720922 WMB786433:WMB786458 WMB851969:WMB851994 WMB917505:WMB917530 WMB983041:WMB983066 WVX1:WVX26 WVX65537:WVX65562 WVX131073:WVX131098 WVX196609:WVX196634 WVX262145:WVX262170 WVX327681:WVX327706 WVX393217:WVX393242 WVX458753:WVX458778 WVX524289:WVX524314 WVX589825:WVX589850 WVX655361:WVX655386 WVX720897:WVX720922 WVX786433:WVX786458 WVX851969:WVX851994 WVX917505:WVX917530 WVX983041:WVX983066" xr:uid="{00000000-0002-0000-0900-00000C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2:N26 N65538:N65562 N131074:N131098 N196610:N196634 N262146:N262170 N327682:N327706 N393218:N393242 N458754:N458778 N524290:N524314 N589826:N589850 N655362:N655386 N720898:N720922 N786434:N786458 N851970:N851994 N917506:N917530 N983042:N983066 JK2:JK26 JK65538:JK65562 JK131074:JK131098 JK196610:JK196634 JK262146:JK262170 JK327682:JK327706 JK393218:JK393242 JK458754:JK458778 JK524290:JK524314 JK589826:JK589850 JK655362:JK655386 JK720898:JK720922 JK786434:JK786458 JK851970:JK851994 JK917506:JK917530 JK983042:JK983066 TG2:TG26 TG65538:TG65562 TG131074:TG131098 TG196610:TG196634 TG262146:TG262170 TG327682:TG327706 TG393218:TG393242 TG458754:TG458778 TG524290:TG524314 TG589826:TG589850 TG655362:TG655386 TG720898:TG720922 TG786434:TG786458 TG851970:TG851994 TG917506:TG917530 TG983042:TG983066 ADC2:ADC26 ADC65538:ADC65562 ADC131074:ADC131098 ADC196610:ADC196634 ADC262146:ADC262170 ADC327682:ADC327706 ADC393218:ADC393242 ADC458754:ADC458778 ADC524290:ADC524314 ADC589826:ADC589850 ADC655362:ADC655386 ADC720898:ADC720922 ADC786434:ADC786458 ADC851970:ADC851994 ADC917506:ADC917530 ADC983042:ADC983066 AMY2:AMY26 AMY65538:AMY65562 AMY131074:AMY131098 AMY196610:AMY196634 AMY262146:AMY262170 AMY327682:AMY327706 AMY393218:AMY393242 AMY458754:AMY458778 AMY524290:AMY524314 AMY589826:AMY589850 AMY655362:AMY655386 AMY720898:AMY720922 AMY786434:AMY786458 AMY851970:AMY851994 AMY917506:AMY917530 AMY983042:AMY983066 AWU2:AWU26 AWU65538:AWU65562 AWU131074:AWU131098 AWU196610:AWU196634 AWU262146:AWU262170 AWU327682:AWU327706 AWU393218:AWU393242 AWU458754:AWU458778 AWU524290:AWU524314 AWU589826:AWU589850 AWU655362:AWU655386 AWU720898:AWU720922 AWU786434:AWU786458 AWU851970:AWU851994 AWU917506:AWU917530 AWU983042:AWU983066 BGQ2:BGQ26 BGQ65538:BGQ65562 BGQ131074:BGQ131098 BGQ196610:BGQ196634 BGQ262146:BGQ262170 BGQ327682:BGQ327706 BGQ393218:BGQ393242 BGQ458754:BGQ458778 BGQ524290:BGQ524314 BGQ589826:BGQ589850 BGQ655362:BGQ655386 BGQ720898:BGQ720922 BGQ786434:BGQ786458 BGQ851970:BGQ851994 BGQ917506:BGQ917530 BGQ983042:BGQ983066 BQM2:BQM26 BQM65538:BQM65562 BQM131074:BQM131098 BQM196610:BQM196634 BQM262146:BQM262170 BQM327682:BQM327706 BQM393218:BQM393242 BQM458754:BQM458778 BQM524290:BQM524314 BQM589826:BQM589850 BQM655362:BQM655386 BQM720898:BQM720922 BQM786434:BQM786458 BQM851970:BQM851994 BQM917506:BQM917530 BQM983042:BQM983066 CAI2:CAI26 CAI65538:CAI65562 CAI131074:CAI131098 CAI196610:CAI196634 CAI262146:CAI262170 CAI327682:CAI327706 CAI393218:CAI393242 CAI458754:CAI458778 CAI524290:CAI524314 CAI589826:CAI589850 CAI655362:CAI655386 CAI720898:CAI720922 CAI786434:CAI786458 CAI851970:CAI851994 CAI917506:CAI917530 CAI983042:CAI983066 CKE2:CKE26 CKE65538:CKE65562 CKE131074:CKE131098 CKE196610:CKE196634 CKE262146:CKE262170 CKE327682:CKE327706 CKE393218:CKE393242 CKE458754:CKE458778 CKE524290:CKE524314 CKE589826:CKE589850 CKE655362:CKE655386 CKE720898:CKE720922 CKE786434:CKE786458 CKE851970:CKE851994 CKE917506:CKE917530 CKE983042:CKE983066 CUA2:CUA26 CUA65538:CUA65562 CUA131074:CUA131098 CUA196610:CUA196634 CUA262146:CUA262170 CUA327682:CUA327706 CUA393218:CUA393242 CUA458754:CUA458778 CUA524290:CUA524314 CUA589826:CUA589850 CUA655362:CUA655386 CUA720898:CUA720922 CUA786434:CUA786458 CUA851970:CUA851994 CUA917506:CUA917530 CUA983042:CUA983066 DDW2:DDW26 DDW65538:DDW65562 DDW131074:DDW131098 DDW196610:DDW196634 DDW262146:DDW262170 DDW327682:DDW327706 DDW393218:DDW393242 DDW458754:DDW458778 DDW524290:DDW524314 DDW589826:DDW589850 DDW655362:DDW655386 DDW720898:DDW720922 DDW786434:DDW786458 DDW851970:DDW851994 DDW917506:DDW917530 DDW983042:DDW983066 DNS2:DNS26 DNS65538:DNS65562 DNS131074:DNS131098 DNS196610:DNS196634 DNS262146:DNS262170 DNS327682:DNS327706 DNS393218:DNS393242 DNS458754:DNS458778 DNS524290:DNS524314 DNS589826:DNS589850 DNS655362:DNS655386 DNS720898:DNS720922 DNS786434:DNS786458 DNS851970:DNS851994 DNS917506:DNS917530 DNS983042:DNS983066 DXO2:DXO26 DXO65538:DXO65562 DXO131074:DXO131098 DXO196610:DXO196634 DXO262146:DXO262170 DXO327682:DXO327706 DXO393218:DXO393242 DXO458754:DXO458778 DXO524290:DXO524314 DXO589826:DXO589850 DXO655362:DXO655386 DXO720898:DXO720922 DXO786434:DXO786458 DXO851970:DXO851994 DXO917506:DXO917530 DXO983042:DXO983066 EHK2:EHK26 EHK65538:EHK65562 EHK131074:EHK131098 EHK196610:EHK196634 EHK262146:EHK262170 EHK327682:EHK327706 EHK393218:EHK393242 EHK458754:EHK458778 EHK524290:EHK524314 EHK589826:EHK589850 EHK655362:EHK655386 EHK720898:EHK720922 EHK786434:EHK786458 EHK851970:EHK851994 EHK917506:EHK917530 EHK983042:EHK983066 ERG2:ERG26 ERG65538:ERG65562 ERG131074:ERG131098 ERG196610:ERG196634 ERG262146:ERG262170 ERG327682:ERG327706 ERG393218:ERG393242 ERG458754:ERG458778 ERG524290:ERG524314 ERG589826:ERG589850 ERG655362:ERG655386 ERG720898:ERG720922 ERG786434:ERG786458 ERG851970:ERG851994 ERG917506:ERG917530 ERG983042:ERG983066 FBC2:FBC26 FBC65538:FBC65562 FBC131074:FBC131098 FBC196610:FBC196634 FBC262146:FBC262170 FBC327682:FBC327706 FBC393218:FBC393242 FBC458754:FBC458778 FBC524290:FBC524314 FBC589826:FBC589850 FBC655362:FBC655386 FBC720898:FBC720922 FBC786434:FBC786458 FBC851970:FBC851994 FBC917506:FBC917530 FBC983042:FBC983066 FKY2:FKY26 FKY65538:FKY65562 FKY131074:FKY131098 FKY196610:FKY196634 FKY262146:FKY262170 FKY327682:FKY327706 FKY393218:FKY393242 FKY458754:FKY458778 FKY524290:FKY524314 FKY589826:FKY589850 FKY655362:FKY655386 FKY720898:FKY720922 FKY786434:FKY786458 FKY851970:FKY851994 FKY917506:FKY917530 FKY983042:FKY983066 FUU2:FUU26 FUU65538:FUU65562 FUU131074:FUU131098 FUU196610:FUU196634 FUU262146:FUU262170 FUU327682:FUU327706 FUU393218:FUU393242 FUU458754:FUU458778 FUU524290:FUU524314 FUU589826:FUU589850 FUU655362:FUU655386 FUU720898:FUU720922 FUU786434:FUU786458 FUU851970:FUU851994 FUU917506:FUU917530 FUU983042:FUU983066 GEQ2:GEQ26 GEQ65538:GEQ65562 GEQ131074:GEQ131098 GEQ196610:GEQ196634 GEQ262146:GEQ262170 GEQ327682:GEQ327706 GEQ393218:GEQ393242 GEQ458754:GEQ458778 GEQ524290:GEQ524314 GEQ589826:GEQ589850 GEQ655362:GEQ655386 GEQ720898:GEQ720922 GEQ786434:GEQ786458 GEQ851970:GEQ851994 GEQ917506:GEQ917530 GEQ983042:GEQ983066 GOM2:GOM26 GOM65538:GOM65562 GOM131074:GOM131098 GOM196610:GOM196634 GOM262146:GOM262170 GOM327682:GOM327706 GOM393218:GOM393242 GOM458754:GOM458778 GOM524290:GOM524314 GOM589826:GOM589850 GOM655362:GOM655386 GOM720898:GOM720922 GOM786434:GOM786458 GOM851970:GOM851994 GOM917506:GOM917530 GOM983042:GOM983066 GYI2:GYI26 GYI65538:GYI65562 GYI131074:GYI131098 GYI196610:GYI196634 GYI262146:GYI262170 GYI327682:GYI327706 GYI393218:GYI393242 GYI458754:GYI458778 GYI524290:GYI524314 GYI589826:GYI589850 GYI655362:GYI655386 GYI720898:GYI720922 GYI786434:GYI786458 GYI851970:GYI851994 GYI917506:GYI917530 GYI983042:GYI983066 HIE2:HIE26 HIE65538:HIE65562 HIE131074:HIE131098 HIE196610:HIE196634 HIE262146:HIE262170 HIE327682:HIE327706 HIE393218:HIE393242 HIE458754:HIE458778 HIE524290:HIE524314 HIE589826:HIE589850 HIE655362:HIE655386 HIE720898:HIE720922 HIE786434:HIE786458 HIE851970:HIE851994 HIE917506:HIE917530 HIE983042:HIE983066 HSA2:HSA26 HSA65538:HSA65562 HSA131074:HSA131098 HSA196610:HSA196634 HSA262146:HSA262170 HSA327682:HSA327706 HSA393218:HSA393242 HSA458754:HSA458778 HSA524290:HSA524314 HSA589826:HSA589850 HSA655362:HSA655386 HSA720898:HSA720922 HSA786434:HSA786458 HSA851970:HSA851994 HSA917506:HSA917530 HSA983042:HSA983066 IBW2:IBW26 IBW65538:IBW65562 IBW131074:IBW131098 IBW196610:IBW196634 IBW262146:IBW262170 IBW327682:IBW327706 IBW393218:IBW393242 IBW458754:IBW458778 IBW524290:IBW524314 IBW589826:IBW589850 IBW655362:IBW655386 IBW720898:IBW720922 IBW786434:IBW786458 IBW851970:IBW851994 IBW917506:IBW917530 IBW983042:IBW983066 ILS2:ILS26 ILS65538:ILS65562 ILS131074:ILS131098 ILS196610:ILS196634 ILS262146:ILS262170 ILS327682:ILS327706 ILS393218:ILS393242 ILS458754:ILS458778 ILS524290:ILS524314 ILS589826:ILS589850 ILS655362:ILS655386 ILS720898:ILS720922 ILS786434:ILS786458 ILS851970:ILS851994 ILS917506:ILS917530 ILS983042:ILS983066 IVO2:IVO26 IVO65538:IVO65562 IVO131074:IVO131098 IVO196610:IVO196634 IVO262146:IVO262170 IVO327682:IVO327706 IVO393218:IVO393242 IVO458754:IVO458778 IVO524290:IVO524314 IVO589826:IVO589850 IVO655362:IVO655386 IVO720898:IVO720922 IVO786434:IVO786458 IVO851970:IVO851994 IVO917506:IVO917530 IVO983042:IVO983066 JFK2:JFK26 JFK65538:JFK65562 JFK131074:JFK131098 JFK196610:JFK196634 JFK262146:JFK262170 JFK327682:JFK327706 JFK393218:JFK393242 JFK458754:JFK458778 JFK524290:JFK524314 JFK589826:JFK589850 JFK655362:JFK655386 JFK720898:JFK720922 JFK786434:JFK786458 JFK851970:JFK851994 JFK917506:JFK917530 JFK983042:JFK983066 JPG2:JPG26 JPG65538:JPG65562 JPG131074:JPG131098 JPG196610:JPG196634 JPG262146:JPG262170 JPG327682:JPG327706 JPG393218:JPG393242 JPG458754:JPG458778 JPG524290:JPG524314 JPG589826:JPG589850 JPG655362:JPG655386 JPG720898:JPG720922 JPG786434:JPG786458 JPG851970:JPG851994 JPG917506:JPG917530 JPG983042:JPG983066 JZC2:JZC26 JZC65538:JZC65562 JZC131074:JZC131098 JZC196610:JZC196634 JZC262146:JZC262170 JZC327682:JZC327706 JZC393218:JZC393242 JZC458754:JZC458778 JZC524290:JZC524314 JZC589826:JZC589850 JZC655362:JZC655386 JZC720898:JZC720922 JZC786434:JZC786458 JZC851970:JZC851994 JZC917506:JZC917530 JZC983042:JZC983066 KIY2:KIY26 KIY65538:KIY65562 KIY131074:KIY131098 KIY196610:KIY196634 KIY262146:KIY262170 KIY327682:KIY327706 KIY393218:KIY393242 KIY458754:KIY458778 KIY524290:KIY524314 KIY589826:KIY589850 KIY655362:KIY655386 KIY720898:KIY720922 KIY786434:KIY786458 KIY851970:KIY851994 KIY917506:KIY917530 KIY983042:KIY983066 KSU2:KSU26 KSU65538:KSU65562 KSU131074:KSU131098 KSU196610:KSU196634 KSU262146:KSU262170 KSU327682:KSU327706 KSU393218:KSU393242 KSU458754:KSU458778 KSU524290:KSU524314 KSU589826:KSU589850 KSU655362:KSU655386 KSU720898:KSU720922 KSU786434:KSU786458 KSU851970:KSU851994 KSU917506:KSU917530 KSU983042:KSU983066 LCQ2:LCQ26 LCQ65538:LCQ65562 LCQ131074:LCQ131098 LCQ196610:LCQ196634 LCQ262146:LCQ262170 LCQ327682:LCQ327706 LCQ393218:LCQ393242 LCQ458754:LCQ458778 LCQ524290:LCQ524314 LCQ589826:LCQ589850 LCQ655362:LCQ655386 LCQ720898:LCQ720922 LCQ786434:LCQ786458 LCQ851970:LCQ851994 LCQ917506:LCQ917530 LCQ983042:LCQ983066 LMM2:LMM26 LMM65538:LMM65562 LMM131074:LMM131098 LMM196610:LMM196634 LMM262146:LMM262170 LMM327682:LMM327706 LMM393218:LMM393242 LMM458754:LMM458778 LMM524290:LMM524314 LMM589826:LMM589850 LMM655362:LMM655386 LMM720898:LMM720922 LMM786434:LMM786458 LMM851970:LMM851994 LMM917506:LMM917530 LMM983042:LMM983066 LWI2:LWI26 LWI65538:LWI65562 LWI131074:LWI131098 LWI196610:LWI196634 LWI262146:LWI262170 LWI327682:LWI327706 LWI393218:LWI393242 LWI458754:LWI458778 LWI524290:LWI524314 LWI589826:LWI589850 LWI655362:LWI655386 LWI720898:LWI720922 LWI786434:LWI786458 LWI851970:LWI851994 LWI917506:LWI917530 LWI983042:LWI983066 MGE2:MGE26 MGE65538:MGE65562 MGE131074:MGE131098 MGE196610:MGE196634 MGE262146:MGE262170 MGE327682:MGE327706 MGE393218:MGE393242 MGE458754:MGE458778 MGE524290:MGE524314 MGE589826:MGE589850 MGE655362:MGE655386 MGE720898:MGE720922 MGE786434:MGE786458 MGE851970:MGE851994 MGE917506:MGE917530 MGE983042:MGE983066 MQA2:MQA26 MQA65538:MQA65562 MQA131074:MQA131098 MQA196610:MQA196634 MQA262146:MQA262170 MQA327682:MQA327706 MQA393218:MQA393242 MQA458754:MQA458778 MQA524290:MQA524314 MQA589826:MQA589850 MQA655362:MQA655386 MQA720898:MQA720922 MQA786434:MQA786458 MQA851970:MQA851994 MQA917506:MQA917530 MQA983042:MQA983066 MZW2:MZW26 MZW65538:MZW65562 MZW131074:MZW131098 MZW196610:MZW196634 MZW262146:MZW262170 MZW327682:MZW327706 MZW393218:MZW393242 MZW458754:MZW458778 MZW524290:MZW524314 MZW589826:MZW589850 MZW655362:MZW655386 MZW720898:MZW720922 MZW786434:MZW786458 MZW851970:MZW851994 MZW917506:MZW917530 MZW983042:MZW983066 NJS2:NJS26 NJS65538:NJS65562 NJS131074:NJS131098 NJS196610:NJS196634 NJS262146:NJS262170 NJS327682:NJS327706 NJS393218:NJS393242 NJS458754:NJS458778 NJS524290:NJS524314 NJS589826:NJS589850 NJS655362:NJS655386 NJS720898:NJS720922 NJS786434:NJS786458 NJS851970:NJS851994 NJS917506:NJS917530 NJS983042:NJS983066 NTO2:NTO26 NTO65538:NTO65562 NTO131074:NTO131098 NTO196610:NTO196634 NTO262146:NTO262170 NTO327682:NTO327706 NTO393218:NTO393242 NTO458754:NTO458778 NTO524290:NTO524314 NTO589826:NTO589850 NTO655362:NTO655386 NTO720898:NTO720922 NTO786434:NTO786458 NTO851970:NTO851994 NTO917506:NTO917530 NTO983042:NTO983066 ODK2:ODK26 ODK65538:ODK65562 ODK131074:ODK131098 ODK196610:ODK196634 ODK262146:ODK262170 ODK327682:ODK327706 ODK393218:ODK393242 ODK458754:ODK458778 ODK524290:ODK524314 ODK589826:ODK589850 ODK655362:ODK655386 ODK720898:ODK720922 ODK786434:ODK786458 ODK851970:ODK851994 ODK917506:ODK917530 ODK983042:ODK983066 ONG2:ONG26 ONG65538:ONG65562 ONG131074:ONG131098 ONG196610:ONG196634 ONG262146:ONG262170 ONG327682:ONG327706 ONG393218:ONG393242 ONG458754:ONG458778 ONG524290:ONG524314 ONG589826:ONG589850 ONG655362:ONG655386 ONG720898:ONG720922 ONG786434:ONG786458 ONG851970:ONG851994 ONG917506:ONG917530 ONG983042:ONG983066 OXC2:OXC26 OXC65538:OXC65562 OXC131074:OXC131098 OXC196610:OXC196634 OXC262146:OXC262170 OXC327682:OXC327706 OXC393218:OXC393242 OXC458754:OXC458778 OXC524290:OXC524314 OXC589826:OXC589850 OXC655362:OXC655386 OXC720898:OXC720922 OXC786434:OXC786458 OXC851970:OXC851994 OXC917506:OXC917530 OXC983042:OXC983066 PGY2:PGY26 PGY65538:PGY65562 PGY131074:PGY131098 PGY196610:PGY196634 PGY262146:PGY262170 PGY327682:PGY327706 PGY393218:PGY393242 PGY458754:PGY458778 PGY524290:PGY524314 PGY589826:PGY589850 PGY655362:PGY655386 PGY720898:PGY720922 PGY786434:PGY786458 PGY851970:PGY851994 PGY917506:PGY917530 PGY983042:PGY983066 PQU2:PQU26 PQU65538:PQU65562 PQU131074:PQU131098 PQU196610:PQU196634 PQU262146:PQU262170 PQU327682:PQU327706 PQU393218:PQU393242 PQU458754:PQU458778 PQU524290:PQU524314 PQU589826:PQU589850 PQU655362:PQU655386 PQU720898:PQU720922 PQU786434:PQU786458 PQU851970:PQU851994 PQU917506:PQU917530 PQU983042:PQU983066 QAQ2:QAQ26 QAQ65538:QAQ65562 QAQ131074:QAQ131098 QAQ196610:QAQ196634 QAQ262146:QAQ262170 QAQ327682:QAQ327706 QAQ393218:QAQ393242 QAQ458754:QAQ458778 QAQ524290:QAQ524314 QAQ589826:QAQ589850 QAQ655362:QAQ655386 QAQ720898:QAQ720922 QAQ786434:QAQ786458 QAQ851970:QAQ851994 QAQ917506:QAQ917530 QAQ983042:QAQ983066 QKM2:QKM26 QKM65538:QKM65562 QKM131074:QKM131098 QKM196610:QKM196634 QKM262146:QKM262170 QKM327682:QKM327706 QKM393218:QKM393242 QKM458754:QKM458778 QKM524290:QKM524314 QKM589826:QKM589850 QKM655362:QKM655386 QKM720898:QKM720922 QKM786434:QKM786458 QKM851970:QKM851994 QKM917506:QKM917530 QKM983042:QKM983066 QUI2:QUI26 QUI65538:QUI65562 QUI131074:QUI131098 QUI196610:QUI196634 QUI262146:QUI262170 QUI327682:QUI327706 QUI393218:QUI393242 QUI458754:QUI458778 QUI524290:QUI524314 QUI589826:QUI589850 QUI655362:QUI655386 QUI720898:QUI720922 QUI786434:QUI786458 QUI851970:QUI851994 QUI917506:QUI917530 QUI983042:QUI983066 REE2:REE26 REE65538:REE65562 REE131074:REE131098 REE196610:REE196634 REE262146:REE262170 REE327682:REE327706 REE393218:REE393242 REE458754:REE458778 REE524290:REE524314 REE589826:REE589850 REE655362:REE655386 REE720898:REE720922 REE786434:REE786458 REE851970:REE851994 REE917506:REE917530 REE983042:REE983066 ROA2:ROA26 ROA65538:ROA65562 ROA131074:ROA131098 ROA196610:ROA196634 ROA262146:ROA262170 ROA327682:ROA327706 ROA393218:ROA393242 ROA458754:ROA458778 ROA524290:ROA524314 ROA589826:ROA589850 ROA655362:ROA655386 ROA720898:ROA720922 ROA786434:ROA786458 ROA851970:ROA851994 ROA917506:ROA917530 ROA983042:ROA983066 RXW2:RXW26 RXW65538:RXW65562 RXW131074:RXW131098 RXW196610:RXW196634 RXW262146:RXW262170 RXW327682:RXW327706 RXW393218:RXW393242 RXW458754:RXW458778 RXW524290:RXW524314 RXW589826:RXW589850 RXW655362:RXW655386 RXW720898:RXW720922 RXW786434:RXW786458 RXW851970:RXW851994 RXW917506:RXW917530 RXW983042:RXW983066 SHS2:SHS26 SHS65538:SHS65562 SHS131074:SHS131098 SHS196610:SHS196634 SHS262146:SHS262170 SHS327682:SHS327706 SHS393218:SHS393242 SHS458754:SHS458778 SHS524290:SHS524314 SHS589826:SHS589850 SHS655362:SHS655386 SHS720898:SHS720922 SHS786434:SHS786458 SHS851970:SHS851994 SHS917506:SHS917530 SHS983042:SHS983066 SRO2:SRO26 SRO65538:SRO65562 SRO131074:SRO131098 SRO196610:SRO196634 SRO262146:SRO262170 SRO327682:SRO327706 SRO393218:SRO393242 SRO458754:SRO458778 SRO524290:SRO524314 SRO589826:SRO589850 SRO655362:SRO655386 SRO720898:SRO720922 SRO786434:SRO786458 SRO851970:SRO851994 SRO917506:SRO917530 SRO983042:SRO983066 TBK2:TBK26 TBK65538:TBK65562 TBK131074:TBK131098 TBK196610:TBK196634 TBK262146:TBK262170 TBK327682:TBK327706 TBK393218:TBK393242 TBK458754:TBK458778 TBK524290:TBK524314 TBK589826:TBK589850 TBK655362:TBK655386 TBK720898:TBK720922 TBK786434:TBK786458 TBK851970:TBK851994 TBK917506:TBK917530 TBK983042:TBK983066 TLG2:TLG26 TLG65538:TLG65562 TLG131074:TLG131098 TLG196610:TLG196634 TLG262146:TLG262170 TLG327682:TLG327706 TLG393218:TLG393242 TLG458754:TLG458778 TLG524290:TLG524314 TLG589826:TLG589850 TLG655362:TLG655386 TLG720898:TLG720922 TLG786434:TLG786458 TLG851970:TLG851994 TLG917506:TLG917530 TLG983042:TLG983066 TVC2:TVC26 TVC65538:TVC65562 TVC131074:TVC131098 TVC196610:TVC196634 TVC262146:TVC262170 TVC327682:TVC327706 TVC393218:TVC393242 TVC458754:TVC458778 TVC524290:TVC524314 TVC589826:TVC589850 TVC655362:TVC655386 TVC720898:TVC720922 TVC786434:TVC786458 TVC851970:TVC851994 TVC917506:TVC917530 TVC983042:TVC983066 UEY2:UEY26 UEY65538:UEY65562 UEY131074:UEY131098 UEY196610:UEY196634 UEY262146:UEY262170 UEY327682:UEY327706 UEY393218:UEY393242 UEY458754:UEY458778 UEY524290:UEY524314 UEY589826:UEY589850 UEY655362:UEY655386 UEY720898:UEY720922 UEY786434:UEY786458 UEY851970:UEY851994 UEY917506:UEY917530 UEY983042:UEY983066 UOU2:UOU26 UOU65538:UOU65562 UOU131074:UOU131098 UOU196610:UOU196634 UOU262146:UOU262170 UOU327682:UOU327706 UOU393218:UOU393242 UOU458754:UOU458778 UOU524290:UOU524314 UOU589826:UOU589850 UOU655362:UOU655386 UOU720898:UOU720922 UOU786434:UOU786458 UOU851970:UOU851994 UOU917506:UOU917530 UOU983042:UOU983066 UYQ2:UYQ26 UYQ65538:UYQ65562 UYQ131074:UYQ131098 UYQ196610:UYQ196634 UYQ262146:UYQ262170 UYQ327682:UYQ327706 UYQ393218:UYQ393242 UYQ458754:UYQ458778 UYQ524290:UYQ524314 UYQ589826:UYQ589850 UYQ655362:UYQ655386 UYQ720898:UYQ720922 UYQ786434:UYQ786458 UYQ851970:UYQ851994 UYQ917506:UYQ917530 UYQ983042:UYQ983066 VIM2:VIM26 VIM65538:VIM65562 VIM131074:VIM131098 VIM196610:VIM196634 VIM262146:VIM262170 VIM327682:VIM327706 VIM393218:VIM393242 VIM458754:VIM458778 VIM524290:VIM524314 VIM589826:VIM589850 VIM655362:VIM655386 VIM720898:VIM720922 VIM786434:VIM786458 VIM851970:VIM851994 VIM917506:VIM917530 VIM983042:VIM983066 VSI2:VSI26 VSI65538:VSI65562 VSI131074:VSI131098 VSI196610:VSI196634 VSI262146:VSI262170 VSI327682:VSI327706 VSI393218:VSI393242 VSI458754:VSI458778 VSI524290:VSI524314 VSI589826:VSI589850 VSI655362:VSI655386 VSI720898:VSI720922 VSI786434:VSI786458 VSI851970:VSI851994 VSI917506:VSI917530 VSI983042:VSI983066 WCE2:WCE26 WCE65538:WCE65562 WCE131074:WCE131098 WCE196610:WCE196634 WCE262146:WCE262170 WCE327682:WCE327706 WCE393218:WCE393242 WCE458754:WCE458778 WCE524290:WCE524314 WCE589826:WCE589850 WCE655362:WCE655386 WCE720898:WCE720922 WCE786434:WCE786458 WCE851970:WCE851994 WCE917506:WCE917530 WCE983042:WCE983066 WMA2:WMA26 WMA65538:WMA65562 WMA131074:WMA131098 WMA196610:WMA196634 WMA262146:WMA262170 WMA327682:WMA327706 WMA393218:WMA393242 WMA458754:WMA458778 WMA524290:WMA524314 WMA589826:WMA589850 WMA655362:WMA655386 WMA720898:WMA720922 WMA786434:WMA786458 WMA851970:WMA851994 WMA917506:WMA917530 WMA983042:WMA983066 WVW2:WVW26 WVW65538:WVW65562 WVW131074:WVW131098 WVW196610:WVW196634 WVW262146:WVW262170 WVW327682:WVW327706 WVW393218:WVW393242 WVW458754:WVW458778 WVW524290:WVW524314 WVW589826:WVW589850 WVW655362:WVW655386 WVW720898:WVW720922 WVW786434:WVW786458 WVW851970:WVW851994 WVW917506:WVW917530 WVW983042:WVW983066" xr:uid="{00000000-0002-0000-0900-00000D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2:M26 M65538:M65562 M131074:M131098 M196610:M196634 M262146:M262170 M327682:M327706 M393218:M393242 M458754:M458778 M524290:M524314 M589826:M589850 M655362:M655386 M720898:M720922 M786434:M786458 M851970:M851994 M917506:M917530 M983042:M983066 JJ2:JJ26 JJ65538:JJ65562 JJ131074:JJ131098 JJ196610:JJ196634 JJ262146:JJ262170 JJ327682:JJ327706 JJ393218:JJ393242 JJ458754:JJ458778 JJ524290:JJ524314 JJ589826:JJ589850 JJ655362:JJ655386 JJ720898:JJ720922 JJ786434:JJ786458 JJ851970:JJ851994 JJ917506:JJ917530 JJ983042:JJ983066 TF2:TF26 TF65538:TF65562 TF131074:TF131098 TF196610:TF196634 TF262146:TF262170 TF327682:TF327706 TF393218:TF393242 TF458754:TF458778 TF524290:TF524314 TF589826:TF589850 TF655362:TF655386 TF720898:TF720922 TF786434:TF786458 TF851970:TF851994 TF917506:TF917530 TF983042:TF983066 ADB2:ADB26 ADB65538:ADB65562 ADB131074:ADB131098 ADB196610:ADB196634 ADB262146:ADB262170 ADB327682:ADB327706 ADB393218:ADB393242 ADB458754:ADB458778 ADB524290:ADB524314 ADB589826:ADB589850 ADB655362:ADB655386 ADB720898:ADB720922 ADB786434:ADB786458 ADB851970:ADB851994 ADB917506:ADB917530 ADB983042:ADB983066 AMX2:AMX26 AMX65538:AMX65562 AMX131074:AMX131098 AMX196610:AMX196634 AMX262146:AMX262170 AMX327682:AMX327706 AMX393218:AMX393242 AMX458754:AMX458778 AMX524290:AMX524314 AMX589826:AMX589850 AMX655362:AMX655386 AMX720898:AMX720922 AMX786434:AMX786458 AMX851970:AMX851994 AMX917506:AMX917530 AMX983042:AMX983066 AWT2:AWT26 AWT65538:AWT65562 AWT131074:AWT131098 AWT196610:AWT196634 AWT262146:AWT262170 AWT327682:AWT327706 AWT393218:AWT393242 AWT458754:AWT458778 AWT524290:AWT524314 AWT589826:AWT589850 AWT655362:AWT655386 AWT720898:AWT720922 AWT786434:AWT786458 AWT851970:AWT851994 AWT917506:AWT917530 AWT983042:AWT983066 BGP2:BGP26 BGP65538:BGP65562 BGP131074:BGP131098 BGP196610:BGP196634 BGP262146:BGP262170 BGP327682:BGP327706 BGP393218:BGP393242 BGP458754:BGP458778 BGP524290:BGP524314 BGP589826:BGP589850 BGP655362:BGP655386 BGP720898:BGP720922 BGP786434:BGP786458 BGP851970:BGP851994 BGP917506:BGP917530 BGP983042:BGP983066 BQL2:BQL26 BQL65538:BQL65562 BQL131074:BQL131098 BQL196610:BQL196634 BQL262146:BQL262170 BQL327682:BQL327706 BQL393218:BQL393242 BQL458754:BQL458778 BQL524290:BQL524314 BQL589826:BQL589850 BQL655362:BQL655386 BQL720898:BQL720922 BQL786434:BQL786458 BQL851970:BQL851994 BQL917506:BQL917530 BQL983042:BQL983066 CAH2:CAH26 CAH65538:CAH65562 CAH131074:CAH131098 CAH196610:CAH196634 CAH262146:CAH262170 CAH327682:CAH327706 CAH393218:CAH393242 CAH458754:CAH458778 CAH524290:CAH524314 CAH589826:CAH589850 CAH655362:CAH655386 CAH720898:CAH720922 CAH786434:CAH786458 CAH851970:CAH851994 CAH917506:CAH917530 CAH983042:CAH983066 CKD2:CKD26 CKD65538:CKD65562 CKD131074:CKD131098 CKD196610:CKD196634 CKD262146:CKD262170 CKD327682:CKD327706 CKD393218:CKD393242 CKD458754:CKD458778 CKD524290:CKD524314 CKD589826:CKD589850 CKD655362:CKD655386 CKD720898:CKD720922 CKD786434:CKD786458 CKD851970:CKD851994 CKD917506:CKD917530 CKD983042:CKD983066 CTZ2:CTZ26 CTZ65538:CTZ65562 CTZ131074:CTZ131098 CTZ196610:CTZ196634 CTZ262146:CTZ262170 CTZ327682:CTZ327706 CTZ393218:CTZ393242 CTZ458754:CTZ458778 CTZ524290:CTZ524314 CTZ589826:CTZ589850 CTZ655362:CTZ655386 CTZ720898:CTZ720922 CTZ786434:CTZ786458 CTZ851970:CTZ851994 CTZ917506:CTZ917530 CTZ983042:CTZ983066 DDV2:DDV26 DDV65538:DDV65562 DDV131074:DDV131098 DDV196610:DDV196634 DDV262146:DDV262170 DDV327682:DDV327706 DDV393218:DDV393242 DDV458754:DDV458778 DDV524290:DDV524314 DDV589826:DDV589850 DDV655362:DDV655386 DDV720898:DDV720922 DDV786434:DDV786458 DDV851970:DDV851994 DDV917506:DDV917530 DDV983042:DDV983066 DNR2:DNR26 DNR65538:DNR65562 DNR131074:DNR131098 DNR196610:DNR196634 DNR262146:DNR262170 DNR327682:DNR327706 DNR393218:DNR393242 DNR458754:DNR458778 DNR524290:DNR524314 DNR589826:DNR589850 DNR655362:DNR655386 DNR720898:DNR720922 DNR786434:DNR786458 DNR851970:DNR851994 DNR917506:DNR917530 DNR983042:DNR983066 DXN2:DXN26 DXN65538:DXN65562 DXN131074:DXN131098 DXN196610:DXN196634 DXN262146:DXN262170 DXN327682:DXN327706 DXN393218:DXN393242 DXN458754:DXN458778 DXN524290:DXN524314 DXN589826:DXN589850 DXN655362:DXN655386 DXN720898:DXN720922 DXN786434:DXN786458 DXN851970:DXN851994 DXN917506:DXN917530 DXN983042:DXN983066 EHJ2:EHJ26 EHJ65538:EHJ65562 EHJ131074:EHJ131098 EHJ196610:EHJ196634 EHJ262146:EHJ262170 EHJ327682:EHJ327706 EHJ393218:EHJ393242 EHJ458754:EHJ458778 EHJ524290:EHJ524314 EHJ589826:EHJ589850 EHJ655362:EHJ655386 EHJ720898:EHJ720922 EHJ786434:EHJ786458 EHJ851970:EHJ851994 EHJ917506:EHJ917530 EHJ983042:EHJ983066 ERF2:ERF26 ERF65538:ERF65562 ERF131074:ERF131098 ERF196610:ERF196634 ERF262146:ERF262170 ERF327682:ERF327706 ERF393218:ERF393242 ERF458754:ERF458778 ERF524290:ERF524314 ERF589826:ERF589850 ERF655362:ERF655386 ERF720898:ERF720922 ERF786434:ERF786458 ERF851970:ERF851994 ERF917506:ERF917530 ERF983042:ERF983066 FBB2:FBB26 FBB65538:FBB65562 FBB131074:FBB131098 FBB196610:FBB196634 FBB262146:FBB262170 FBB327682:FBB327706 FBB393218:FBB393242 FBB458754:FBB458778 FBB524290:FBB524314 FBB589826:FBB589850 FBB655362:FBB655386 FBB720898:FBB720922 FBB786434:FBB786458 FBB851970:FBB851994 FBB917506:FBB917530 FBB983042:FBB983066 FKX2:FKX26 FKX65538:FKX65562 FKX131074:FKX131098 FKX196610:FKX196634 FKX262146:FKX262170 FKX327682:FKX327706 FKX393218:FKX393242 FKX458754:FKX458778 FKX524290:FKX524314 FKX589826:FKX589850 FKX655362:FKX655386 FKX720898:FKX720922 FKX786434:FKX786458 FKX851970:FKX851994 FKX917506:FKX917530 FKX983042:FKX983066 FUT2:FUT26 FUT65538:FUT65562 FUT131074:FUT131098 FUT196610:FUT196634 FUT262146:FUT262170 FUT327682:FUT327706 FUT393218:FUT393242 FUT458754:FUT458778 FUT524290:FUT524314 FUT589826:FUT589850 FUT655362:FUT655386 FUT720898:FUT720922 FUT786434:FUT786458 FUT851970:FUT851994 FUT917506:FUT917530 FUT983042:FUT983066 GEP2:GEP26 GEP65538:GEP65562 GEP131074:GEP131098 GEP196610:GEP196634 GEP262146:GEP262170 GEP327682:GEP327706 GEP393218:GEP393242 GEP458754:GEP458778 GEP524290:GEP524314 GEP589826:GEP589850 GEP655362:GEP655386 GEP720898:GEP720922 GEP786434:GEP786458 GEP851970:GEP851994 GEP917506:GEP917530 GEP983042:GEP983066 GOL2:GOL26 GOL65538:GOL65562 GOL131074:GOL131098 GOL196610:GOL196634 GOL262146:GOL262170 GOL327682:GOL327706 GOL393218:GOL393242 GOL458754:GOL458778 GOL524290:GOL524314 GOL589826:GOL589850 GOL655362:GOL655386 GOL720898:GOL720922 GOL786434:GOL786458 GOL851970:GOL851994 GOL917506:GOL917530 GOL983042:GOL983066 GYH2:GYH26 GYH65538:GYH65562 GYH131074:GYH131098 GYH196610:GYH196634 GYH262146:GYH262170 GYH327682:GYH327706 GYH393218:GYH393242 GYH458754:GYH458778 GYH524290:GYH524314 GYH589826:GYH589850 GYH655362:GYH655386 GYH720898:GYH720922 GYH786434:GYH786458 GYH851970:GYH851994 GYH917506:GYH917530 GYH983042:GYH983066 HID2:HID26 HID65538:HID65562 HID131074:HID131098 HID196610:HID196634 HID262146:HID262170 HID327682:HID327706 HID393218:HID393242 HID458754:HID458778 HID524290:HID524314 HID589826:HID589850 HID655362:HID655386 HID720898:HID720922 HID786434:HID786458 HID851970:HID851994 HID917506:HID917530 HID983042:HID983066 HRZ2:HRZ26 HRZ65538:HRZ65562 HRZ131074:HRZ131098 HRZ196610:HRZ196634 HRZ262146:HRZ262170 HRZ327682:HRZ327706 HRZ393218:HRZ393242 HRZ458754:HRZ458778 HRZ524290:HRZ524314 HRZ589826:HRZ589850 HRZ655362:HRZ655386 HRZ720898:HRZ720922 HRZ786434:HRZ786458 HRZ851970:HRZ851994 HRZ917506:HRZ917530 HRZ983042:HRZ983066 IBV2:IBV26 IBV65538:IBV65562 IBV131074:IBV131098 IBV196610:IBV196634 IBV262146:IBV262170 IBV327682:IBV327706 IBV393218:IBV393242 IBV458754:IBV458778 IBV524290:IBV524314 IBV589826:IBV589850 IBV655362:IBV655386 IBV720898:IBV720922 IBV786434:IBV786458 IBV851970:IBV851994 IBV917506:IBV917530 IBV983042:IBV983066 ILR2:ILR26 ILR65538:ILR65562 ILR131074:ILR131098 ILR196610:ILR196634 ILR262146:ILR262170 ILR327682:ILR327706 ILR393218:ILR393242 ILR458754:ILR458778 ILR524290:ILR524314 ILR589826:ILR589850 ILR655362:ILR655386 ILR720898:ILR720922 ILR786434:ILR786458 ILR851970:ILR851994 ILR917506:ILR917530 ILR983042:ILR983066 IVN2:IVN26 IVN65538:IVN65562 IVN131074:IVN131098 IVN196610:IVN196634 IVN262146:IVN262170 IVN327682:IVN327706 IVN393218:IVN393242 IVN458754:IVN458778 IVN524290:IVN524314 IVN589826:IVN589850 IVN655362:IVN655386 IVN720898:IVN720922 IVN786434:IVN786458 IVN851970:IVN851994 IVN917506:IVN917530 IVN983042:IVN983066 JFJ2:JFJ26 JFJ65538:JFJ65562 JFJ131074:JFJ131098 JFJ196610:JFJ196634 JFJ262146:JFJ262170 JFJ327682:JFJ327706 JFJ393218:JFJ393242 JFJ458754:JFJ458778 JFJ524290:JFJ524314 JFJ589826:JFJ589850 JFJ655362:JFJ655386 JFJ720898:JFJ720922 JFJ786434:JFJ786458 JFJ851970:JFJ851994 JFJ917506:JFJ917530 JFJ983042:JFJ983066 JPF2:JPF26 JPF65538:JPF65562 JPF131074:JPF131098 JPF196610:JPF196634 JPF262146:JPF262170 JPF327682:JPF327706 JPF393218:JPF393242 JPF458754:JPF458778 JPF524290:JPF524314 JPF589826:JPF589850 JPF655362:JPF655386 JPF720898:JPF720922 JPF786434:JPF786458 JPF851970:JPF851994 JPF917506:JPF917530 JPF983042:JPF983066 JZB2:JZB26 JZB65538:JZB65562 JZB131074:JZB131098 JZB196610:JZB196634 JZB262146:JZB262170 JZB327682:JZB327706 JZB393218:JZB393242 JZB458754:JZB458778 JZB524290:JZB524314 JZB589826:JZB589850 JZB655362:JZB655386 JZB720898:JZB720922 JZB786434:JZB786458 JZB851970:JZB851994 JZB917506:JZB917530 JZB983042:JZB983066 KIX2:KIX26 KIX65538:KIX65562 KIX131074:KIX131098 KIX196610:KIX196634 KIX262146:KIX262170 KIX327682:KIX327706 KIX393218:KIX393242 KIX458754:KIX458778 KIX524290:KIX524314 KIX589826:KIX589850 KIX655362:KIX655386 KIX720898:KIX720922 KIX786434:KIX786458 KIX851970:KIX851994 KIX917506:KIX917530 KIX983042:KIX983066 KST2:KST26 KST65538:KST65562 KST131074:KST131098 KST196610:KST196634 KST262146:KST262170 KST327682:KST327706 KST393218:KST393242 KST458754:KST458778 KST524290:KST524314 KST589826:KST589850 KST655362:KST655386 KST720898:KST720922 KST786434:KST786458 KST851970:KST851994 KST917506:KST917530 KST983042:KST983066 LCP2:LCP26 LCP65538:LCP65562 LCP131074:LCP131098 LCP196610:LCP196634 LCP262146:LCP262170 LCP327682:LCP327706 LCP393218:LCP393242 LCP458754:LCP458778 LCP524290:LCP524314 LCP589826:LCP589850 LCP655362:LCP655386 LCP720898:LCP720922 LCP786434:LCP786458 LCP851970:LCP851994 LCP917506:LCP917530 LCP983042:LCP983066 LML2:LML26 LML65538:LML65562 LML131074:LML131098 LML196610:LML196634 LML262146:LML262170 LML327682:LML327706 LML393218:LML393242 LML458754:LML458778 LML524290:LML524314 LML589826:LML589850 LML655362:LML655386 LML720898:LML720922 LML786434:LML786458 LML851970:LML851994 LML917506:LML917530 LML983042:LML983066 LWH2:LWH26 LWH65538:LWH65562 LWH131074:LWH131098 LWH196610:LWH196634 LWH262146:LWH262170 LWH327682:LWH327706 LWH393218:LWH393242 LWH458754:LWH458778 LWH524290:LWH524314 LWH589826:LWH589850 LWH655362:LWH655386 LWH720898:LWH720922 LWH786434:LWH786458 LWH851970:LWH851994 LWH917506:LWH917530 LWH983042:LWH983066 MGD2:MGD26 MGD65538:MGD65562 MGD131074:MGD131098 MGD196610:MGD196634 MGD262146:MGD262170 MGD327682:MGD327706 MGD393218:MGD393242 MGD458754:MGD458778 MGD524290:MGD524314 MGD589826:MGD589850 MGD655362:MGD655386 MGD720898:MGD720922 MGD786434:MGD786458 MGD851970:MGD851994 MGD917506:MGD917530 MGD983042:MGD983066 MPZ2:MPZ26 MPZ65538:MPZ65562 MPZ131074:MPZ131098 MPZ196610:MPZ196634 MPZ262146:MPZ262170 MPZ327682:MPZ327706 MPZ393218:MPZ393242 MPZ458754:MPZ458778 MPZ524290:MPZ524314 MPZ589826:MPZ589850 MPZ655362:MPZ655386 MPZ720898:MPZ720922 MPZ786434:MPZ786458 MPZ851970:MPZ851994 MPZ917506:MPZ917530 MPZ983042:MPZ983066 MZV2:MZV26 MZV65538:MZV65562 MZV131074:MZV131098 MZV196610:MZV196634 MZV262146:MZV262170 MZV327682:MZV327706 MZV393218:MZV393242 MZV458754:MZV458778 MZV524290:MZV524314 MZV589826:MZV589850 MZV655362:MZV655386 MZV720898:MZV720922 MZV786434:MZV786458 MZV851970:MZV851994 MZV917506:MZV917530 MZV983042:MZV983066 NJR2:NJR26 NJR65538:NJR65562 NJR131074:NJR131098 NJR196610:NJR196634 NJR262146:NJR262170 NJR327682:NJR327706 NJR393218:NJR393242 NJR458754:NJR458778 NJR524290:NJR524314 NJR589826:NJR589850 NJR655362:NJR655386 NJR720898:NJR720922 NJR786434:NJR786458 NJR851970:NJR851994 NJR917506:NJR917530 NJR983042:NJR983066 NTN2:NTN26 NTN65538:NTN65562 NTN131074:NTN131098 NTN196610:NTN196634 NTN262146:NTN262170 NTN327682:NTN327706 NTN393218:NTN393242 NTN458754:NTN458778 NTN524290:NTN524314 NTN589826:NTN589850 NTN655362:NTN655386 NTN720898:NTN720922 NTN786434:NTN786458 NTN851970:NTN851994 NTN917506:NTN917530 NTN983042:NTN983066 ODJ2:ODJ26 ODJ65538:ODJ65562 ODJ131074:ODJ131098 ODJ196610:ODJ196634 ODJ262146:ODJ262170 ODJ327682:ODJ327706 ODJ393218:ODJ393242 ODJ458754:ODJ458778 ODJ524290:ODJ524314 ODJ589826:ODJ589850 ODJ655362:ODJ655386 ODJ720898:ODJ720922 ODJ786434:ODJ786458 ODJ851970:ODJ851994 ODJ917506:ODJ917530 ODJ983042:ODJ983066 ONF2:ONF26 ONF65538:ONF65562 ONF131074:ONF131098 ONF196610:ONF196634 ONF262146:ONF262170 ONF327682:ONF327706 ONF393218:ONF393242 ONF458754:ONF458778 ONF524290:ONF524314 ONF589826:ONF589850 ONF655362:ONF655386 ONF720898:ONF720922 ONF786434:ONF786458 ONF851970:ONF851994 ONF917506:ONF917530 ONF983042:ONF983066 OXB2:OXB26 OXB65538:OXB65562 OXB131074:OXB131098 OXB196610:OXB196634 OXB262146:OXB262170 OXB327682:OXB327706 OXB393218:OXB393242 OXB458754:OXB458778 OXB524290:OXB524314 OXB589826:OXB589850 OXB655362:OXB655386 OXB720898:OXB720922 OXB786434:OXB786458 OXB851970:OXB851994 OXB917506:OXB917530 OXB983042:OXB983066 PGX2:PGX26 PGX65538:PGX65562 PGX131074:PGX131098 PGX196610:PGX196634 PGX262146:PGX262170 PGX327682:PGX327706 PGX393218:PGX393242 PGX458754:PGX458778 PGX524290:PGX524314 PGX589826:PGX589850 PGX655362:PGX655386 PGX720898:PGX720922 PGX786434:PGX786458 PGX851970:PGX851994 PGX917506:PGX917530 PGX983042:PGX983066 PQT2:PQT26 PQT65538:PQT65562 PQT131074:PQT131098 PQT196610:PQT196634 PQT262146:PQT262170 PQT327682:PQT327706 PQT393218:PQT393242 PQT458754:PQT458778 PQT524290:PQT524314 PQT589826:PQT589850 PQT655362:PQT655386 PQT720898:PQT720922 PQT786434:PQT786458 PQT851970:PQT851994 PQT917506:PQT917530 PQT983042:PQT983066 QAP2:QAP26 QAP65538:QAP65562 QAP131074:QAP131098 QAP196610:QAP196634 QAP262146:QAP262170 QAP327682:QAP327706 QAP393218:QAP393242 QAP458754:QAP458778 QAP524290:QAP524314 QAP589826:QAP589850 QAP655362:QAP655386 QAP720898:QAP720922 QAP786434:QAP786458 QAP851970:QAP851994 QAP917506:QAP917530 QAP983042:QAP983066 QKL2:QKL26 QKL65538:QKL65562 QKL131074:QKL131098 QKL196610:QKL196634 QKL262146:QKL262170 QKL327682:QKL327706 QKL393218:QKL393242 QKL458754:QKL458778 QKL524290:QKL524314 QKL589826:QKL589850 QKL655362:QKL655386 QKL720898:QKL720922 QKL786434:QKL786458 QKL851970:QKL851994 QKL917506:QKL917530 QKL983042:QKL983066 QUH2:QUH26 QUH65538:QUH65562 QUH131074:QUH131098 QUH196610:QUH196634 QUH262146:QUH262170 QUH327682:QUH327706 QUH393218:QUH393242 QUH458754:QUH458778 QUH524290:QUH524314 QUH589826:QUH589850 QUH655362:QUH655386 QUH720898:QUH720922 QUH786434:QUH786458 QUH851970:QUH851994 QUH917506:QUH917530 QUH983042:QUH983066 RED2:RED26 RED65538:RED65562 RED131074:RED131098 RED196610:RED196634 RED262146:RED262170 RED327682:RED327706 RED393218:RED393242 RED458754:RED458778 RED524290:RED524314 RED589826:RED589850 RED655362:RED655386 RED720898:RED720922 RED786434:RED786458 RED851970:RED851994 RED917506:RED917530 RED983042:RED983066 RNZ2:RNZ26 RNZ65538:RNZ65562 RNZ131074:RNZ131098 RNZ196610:RNZ196634 RNZ262146:RNZ262170 RNZ327682:RNZ327706 RNZ393218:RNZ393242 RNZ458754:RNZ458778 RNZ524290:RNZ524314 RNZ589826:RNZ589850 RNZ655362:RNZ655386 RNZ720898:RNZ720922 RNZ786434:RNZ786458 RNZ851970:RNZ851994 RNZ917506:RNZ917530 RNZ983042:RNZ983066 RXV2:RXV26 RXV65538:RXV65562 RXV131074:RXV131098 RXV196610:RXV196634 RXV262146:RXV262170 RXV327682:RXV327706 RXV393218:RXV393242 RXV458754:RXV458778 RXV524290:RXV524314 RXV589826:RXV589850 RXV655362:RXV655386 RXV720898:RXV720922 RXV786434:RXV786458 RXV851970:RXV851994 RXV917506:RXV917530 RXV983042:RXV983066 SHR2:SHR26 SHR65538:SHR65562 SHR131074:SHR131098 SHR196610:SHR196634 SHR262146:SHR262170 SHR327682:SHR327706 SHR393218:SHR393242 SHR458754:SHR458778 SHR524290:SHR524314 SHR589826:SHR589850 SHR655362:SHR655386 SHR720898:SHR720922 SHR786434:SHR786458 SHR851970:SHR851994 SHR917506:SHR917530 SHR983042:SHR983066 SRN2:SRN26 SRN65538:SRN65562 SRN131074:SRN131098 SRN196610:SRN196634 SRN262146:SRN262170 SRN327682:SRN327706 SRN393218:SRN393242 SRN458754:SRN458778 SRN524290:SRN524314 SRN589826:SRN589850 SRN655362:SRN655386 SRN720898:SRN720922 SRN786434:SRN786458 SRN851970:SRN851994 SRN917506:SRN917530 SRN983042:SRN983066 TBJ2:TBJ26 TBJ65538:TBJ65562 TBJ131074:TBJ131098 TBJ196610:TBJ196634 TBJ262146:TBJ262170 TBJ327682:TBJ327706 TBJ393218:TBJ393242 TBJ458754:TBJ458778 TBJ524290:TBJ524314 TBJ589826:TBJ589850 TBJ655362:TBJ655386 TBJ720898:TBJ720922 TBJ786434:TBJ786458 TBJ851970:TBJ851994 TBJ917506:TBJ917530 TBJ983042:TBJ983066 TLF2:TLF26 TLF65538:TLF65562 TLF131074:TLF131098 TLF196610:TLF196634 TLF262146:TLF262170 TLF327682:TLF327706 TLF393218:TLF393242 TLF458754:TLF458778 TLF524290:TLF524314 TLF589826:TLF589850 TLF655362:TLF655386 TLF720898:TLF720922 TLF786434:TLF786458 TLF851970:TLF851994 TLF917506:TLF917530 TLF983042:TLF983066 TVB2:TVB26 TVB65538:TVB65562 TVB131074:TVB131098 TVB196610:TVB196634 TVB262146:TVB262170 TVB327682:TVB327706 TVB393218:TVB393242 TVB458754:TVB458778 TVB524290:TVB524314 TVB589826:TVB589850 TVB655362:TVB655386 TVB720898:TVB720922 TVB786434:TVB786458 TVB851970:TVB851994 TVB917506:TVB917530 TVB983042:TVB983066 UEX2:UEX26 UEX65538:UEX65562 UEX131074:UEX131098 UEX196610:UEX196634 UEX262146:UEX262170 UEX327682:UEX327706 UEX393218:UEX393242 UEX458754:UEX458778 UEX524290:UEX524314 UEX589826:UEX589850 UEX655362:UEX655386 UEX720898:UEX720922 UEX786434:UEX786458 UEX851970:UEX851994 UEX917506:UEX917530 UEX983042:UEX983066 UOT2:UOT26 UOT65538:UOT65562 UOT131074:UOT131098 UOT196610:UOT196634 UOT262146:UOT262170 UOT327682:UOT327706 UOT393218:UOT393242 UOT458754:UOT458778 UOT524290:UOT524314 UOT589826:UOT589850 UOT655362:UOT655386 UOT720898:UOT720922 UOT786434:UOT786458 UOT851970:UOT851994 UOT917506:UOT917530 UOT983042:UOT983066 UYP2:UYP26 UYP65538:UYP65562 UYP131074:UYP131098 UYP196610:UYP196634 UYP262146:UYP262170 UYP327682:UYP327706 UYP393218:UYP393242 UYP458754:UYP458778 UYP524290:UYP524314 UYP589826:UYP589850 UYP655362:UYP655386 UYP720898:UYP720922 UYP786434:UYP786458 UYP851970:UYP851994 UYP917506:UYP917530 UYP983042:UYP983066 VIL2:VIL26 VIL65538:VIL65562 VIL131074:VIL131098 VIL196610:VIL196634 VIL262146:VIL262170 VIL327682:VIL327706 VIL393218:VIL393242 VIL458754:VIL458778 VIL524290:VIL524314 VIL589826:VIL589850 VIL655362:VIL655386 VIL720898:VIL720922 VIL786434:VIL786458 VIL851970:VIL851994 VIL917506:VIL917530 VIL983042:VIL983066 VSH2:VSH26 VSH65538:VSH65562 VSH131074:VSH131098 VSH196610:VSH196634 VSH262146:VSH262170 VSH327682:VSH327706 VSH393218:VSH393242 VSH458754:VSH458778 VSH524290:VSH524314 VSH589826:VSH589850 VSH655362:VSH655386 VSH720898:VSH720922 VSH786434:VSH786458 VSH851970:VSH851994 VSH917506:VSH917530 VSH983042:VSH983066 WCD2:WCD26 WCD65538:WCD65562 WCD131074:WCD131098 WCD196610:WCD196634 WCD262146:WCD262170 WCD327682:WCD327706 WCD393218:WCD393242 WCD458754:WCD458778 WCD524290:WCD524314 WCD589826:WCD589850 WCD655362:WCD655386 WCD720898:WCD720922 WCD786434:WCD786458 WCD851970:WCD851994 WCD917506:WCD917530 WCD983042:WCD983066 WLZ2:WLZ26 WLZ65538:WLZ65562 WLZ131074:WLZ131098 WLZ196610:WLZ196634 WLZ262146:WLZ262170 WLZ327682:WLZ327706 WLZ393218:WLZ393242 WLZ458754:WLZ458778 WLZ524290:WLZ524314 WLZ589826:WLZ589850 WLZ655362:WLZ655386 WLZ720898:WLZ720922 WLZ786434:WLZ786458 WLZ851970:WLZ851994 WLZ917506:WLZ917530 WLZ983042:WLZ983066 WVV2:WVV26 WVV65538:WVV65562 WVV131074:WVV131098 WVV196610:WVV196634 WVV262146:WVV262170 WVV327682:WVV327706 WVV393218:WVV393242 WVV458754:WVV458778 WVV524290:WVV524314 WVV589826:WVV589850 WVV655362:WVV655386 WVV720898:WVV720922 WVV786434:WVV786458 WVV851970:WVV851994 WVV917506:WVV917530 WVV983042:WVV983066" xr:uid="{00000000-0002-0000-0900-00000E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7:E13 E15:E26 E65543:E65562 E131079:E131098 E196615:E196634 E262151:E262170 E327687:E327706 E393223:E393242 E458759:E458778 E524295:E524314 E589831:E589850 E655367:E655386 E720903:E720922 E786439:E786458 E851975:E851994 E917511:E917530 E983047:E983066 JB7:JB26 JB65543:JB65562 JB131079:JB131098 JB196615:JB196634 JB262151:JB262170 JB327687:JB327706 JB393223:JB393242 JB458759:JB458778 JB524295:JB524314 JB589831:JB589850 JB655367:JB655386 JB720903:JB720922 JB786439:JB786458 JB851975:JB851994 JB917511:JB917530 JB983047:JB983066 SX7:SX26 SX65543:SX65562 SX131079:SX131098 SX196615:SX196634 SX262151:SX262170 SX327687:SX327706 SX393223:SX393242 SX458759:SX458778 SX524295:SX524314 SX589831:SX589850 SX655367:SX655386 SX720903:SX720922 SX786439:SX786458 SX851975:SX851994 SX917511:SX917530 SX983047:SX983066 ACT7:ACT26 ACT65543:ACT65562 ACT131079:ACT131098 ACT196615:ACT196634 ACT262151:ACT262170 ACT327687:ACT327706 ACT393223:ACT393242 ACT458759:ACT458778 ACT524295:ACT524314 ACT589831:ACT589850 ACT655367:ACT655386 ACT720903:ACT720922 ACT786439:ACT786458 ACT851975:ACT851994 ACT917511:ACT917530 ACT983047:ACT983066 AMP7:AMP26 AMP65543:AMP65562 AMP131079:AMP131098 AMP196615:AMP196634 AMP262151:AMP262170 AMP327687:AMP327706 AMP393223:AMP393242 AMP458759:AMP458778 AMP524295:AMP524314 AMP589831:AMP589850 AMP655367:AMP655386 AMP720903:AMP720922 AMP786439:AMP786458 AMP851975:AMP851994 AMP917511:AMP917530 AMP983047:AMP983066 AWL7:AWL26 AWL65543:AWL65562 AWL131079:AWL131098 AWL196615:AWL196634 AWL262151:AWL262170 AWL327687:AWL327706 AWL393223:AWL393242 AWL458759:AWL458778 AWL524295:AWL524314 AWL589831:AWL589850 AWL655367:AWL655386 AWL720903:AWL720922 AWL786439:AWL786458 AWL851975:AWL851994 AWL917511:AWL917530 AWL983047:AWL983066 BGH7:BGH26 BGH65543:BGH65562 BGH131079:BGH131098 BGH196615:BGH196634 BGH262151:BGH262170 BGH327687:BGH327706 BGH393223:BGH393242 BGH458759:BGH458778 BGH524295:BGH524314 BGH589831:BGH589850 BGH655367:BGH655386 BGH720903:BGH720922 BGH786439:BGH786458 BGH851975:BGH851994 BGH917511:BGH917530 BGH983047:BGH983066 BQD7:BQD26 BQD65543:BQD65562 BQD131079:BQD131098 BQD196615:BQD196634 BQD262151:BQD262170 BQD327687:BQD327706 BQD393223:BQD393242 BQD458759:BQD458778 BQD524295:BQD524314 BQD589831:BQD589850 BQD655367:BQD655386 BQD720903:BQD720922 BQD786439:BQD786458 BQD851975:BQD851994 BQD917511:BQD917530 BQD983047:BQD983066 BZZ7:BZZ26 BZZ65543:BZZ65562 BZZ131079:BZZ131098 BZZ196615:BZZ196634 BZZ262151:BZZ262170 BZZ327687:BZZ327706 BZZ393223:BZZ393242 BZZ458759:BZZ458778 BZZ524295:BZZ524314 BZZ589831:BZZ589850 BZZ655367:BZZ655386 BZZ720903:BZZ720922 BZZ786439:BZZ786458 BZZ851975:BZZ851994 BZZ917511:BZZ917530 BZZ983047:BZZ983066 CJV7:CJV26 CJV65543:CJV65562 CJV131079:CJV131098 CJV196615:CJV196634 CJV262151:CJV262170 CJV327687:CJV327706 CJV393223:CJV393242 CJV458759:CJV458778 CJV524295:CJV524314 CJV589831:CJV589850 CJV655367:CJV655386 CJV720903:CJV720922 CJV786439:CJV786458 CJV851975:CJV851994 CJV917511:CJV917530 CJV983047:CJV983066 CTR7:CTR26 CTR65543:CTR65562 CTR131079:CTR131098 CTR196615:CTR196634 CTR262151:CTR262170 CTR327687:CTR327706 CTR393223:CTR393242 CTR458759:CTR458778 CTR524295:CTR524314 CTR589831:CTR589850 CTR655367:CTR655386 CTR720903:CTR720922 CTR786439:CTR786458 CTR851975:CTR851994 CTR917511:CTR917530 CTR983047:CTR983066 DDN7:DDN26 DDN65543:DDN65562 DDN131079:DDN131098 DDN196615:DDN196634 DDN262151:DDN262170 DDN327687:DDN327706 DDN393223:DDN393242 DDN458759:DDN458778 DDN524295:DDN524314 DDN589831:DDN589850 DDN655367:DDN655386 DDN720903:DDN720922 DDN786439:DDN786458 DDN851975:DDN851994 DDN917511:DDN917530 DDN983047:DDN983066 DNJ7:DNJ26 DNJ65543:DNJ65562 DNJ131079:DNJ131098 DNJ196615:DNJ196634 DNJ262151:DNJ262170 DNJ327687:DNJ327706 DNJ393223:DNJ393242 DNJ458759:DNJ458778 DNJ524295:DNJ524314 DNJ589831:DNJ589850 DNJ655367:DNJ655386 DNJ720903:DNJ720922 DNJ786439:DNJ786458 DNJ851975:DNJ851994 DNJ917511:DNJ917530 DNJ983047:DNJ983066 DXF7:DXF26 DXF65543:DXF65562 DXF131079:DXF131098 DXF196615:DXF196634 DXF262151:DXF262170 DXF327687:DXF327706 DXF393223:DXF393242 DXF458759:DXF458778 DXF524295:DXF524314 DXF589831:DXF589850 DXF655367:DXF655386 DXF720903:DXF720922 DXF786439:DXF786458 DXF851975:DXF851994 DXF917511:DXF917530 DXF983047:DXF983066 EHB7:EHB26 EHB65543:EHB65562 EHB131079:EHB131098 EHB196615:EHB196634 EHB262151:EHB262170 EHB327687:EHB327706 EHB393223:EHB393242 EHB458759:EHB458778 EHB524295:EHB524314 EHB589831:EHB589850 EHB655367:EHB655386 EHB720903:EHB720922 EHB786439:EHB786458 EHB851975:EHB851994 EHB917511:EHB917530 EHB983047:EHB983066 EQX7:EQX26 EQX65543:EQX65562 EQX131079:EQX131098 EQX196615:EQX196634 EQX262151:EQX262170 EQX327687:EQX327706 EQX393223:EQX393242 EQX458759:EQX458778 EQX524295:EQX524314 EQX589831:EQX589850 EQX655367:EQX655386 EQX720903:EQX720922 EQX786439:EQX786458 EQX851975:EQX851994 EQX917511:EQX917530 EQX983047:EQX983066 FAT7:FAT26 FAT65543:FAT65562 FAT131079:FAT131098 FAT196615:FAT196634 FAT262151:FAT262170 FAT327687:FAT327706 FAT393223:FAT393242 FAT458759:FAT458778 FAT524295:FAT524314 FAT589831:FAT589850 FAT655367:FAT655386 FAT720903:FAT720922 FAT786439:FAT786458 FAT851975:FAT851994 FAT917511:FAT917530 FAT983047:FAT983066 FKP7:FKP26 FKP65543:FKP65562 FKP131079:FKP131098 FKP196615:FKP196634 FKP262151:FKP262170 FKP327687:FKP327706 FKP393223:FKP393242 FKP458759:FKP458778 FKP524295:FKP524314 FKP589831:FKP589850 FKP655367:FKP655386 FKP720903:FKP720922 FKP786439:FKP786458 FKP851975:FKP851994 FKP917511:FKP917530 FKP983047:FKP983066 FUL7:FUL26 FUL65543:FUL65562 FUL131079:FUL131098 FUL196615:FUL196634 FUL262151:FUL262170 FUL327687:FUL327706 FUL393223:FUL393242 FUL458759:FUL458778 FUL524295:FUL524314 FUL589831:FUL589850 FUL655367:FUL655386 FUL720903:FUL720922 FUL786439:FUL786458 FUL851975:FUL851994 FUL917511:FUL917530 FUL983047:FUL983066 GEH7:GEH26 GEH65543:GEH65562 GEH131079:GEH131098 GEH196615:GEH196634 GEH262151:GEH262170 GEH327687:GEH327706 GEH393223:GEH393242 GEH458759:GEH458778 GEH524295:GEH524314 GEH589831:GEH589850 GEH655367:GEH655386 GEH720903:GEH720922 GEH786439:GEH786458 GEH851975:GEH851994 GEH917511:GEH917530 GEH983047:GEH983066 GOD7:GOD26 GOD65543:GOD65562 GOD131079:GOD131098 GOD196615:GOD196634 GOD262151:GOD262170 GOD327687:GOD327706 GOD393223:GOD393242 GOD458759:GOD458778 GOD524295:GOD524314 GOD589831:GOD589850 GOD655367:GOD655386 GOD720903:GOD720922 GOD786439:GOD786458 GOD851975:GOD851994 GOD917511:GOD917530 GOD983047:GOD983066 GXZ7:GXZ26 GXZ65543:GXZ65562 GXZ131079:GXZ131098 GXZ196615:GXZ196634 GXZ262151:GXZ262170 GXZ327687:GXZ327706 GXZ393223:GXZ393242 GXZ458759:GXZ458778 GXZ524295:GXZ524314 GXZ589831:GXZ589850 GXZ655367:GXZ655386 GXZ720903:GXZ720922 GXZ786439:GXZ786458 GXZ851975:GXZ851994 GXZ917511:GXZ917530 GXZ983047:GXZ983066 HHV7:HHV26 HHV65543:HHV65562 HHV131079:HHV131098 HHV196615:HHV196634 HHV262151:HHV262170 HHV327687:HHV327706 HHV393223:HHV393242 HHV458759:HHV458778 HHV524295:HHV524314 HHV589831:HHV589850 HHV655367:HHV655386 HHV720903:HHV720922 HHV786439:HHV786458 HHV851975:HHV851994 HHV917511:HHV917530 HHV983047:HHV983066 HRR7:HRR26 HRR65543:HRR65562 HRR131079:HRR131098 HRR196615:HRR196634 HRR262151:HRR262170 HRR327687:HRR327706 HRR393223:HRR393242 HRR458759:HRR458778 HRR524295:HRR524314 HRR589831:HRR589850 HRR655367:HRR655386 HRR720903:HRR720922 HRR786439:HRR786458 HRR851975:HRR851994 HRR917511:HRR917530 HRR983047:HRR983066 IBN7:IBN26 IBN65543:IBN65562 IBN131079:IBN131098 IBN196615:IBN196634 IBN262151:IBN262170 IBN327687:IBN327706 IBN393223:IBN393242 IBN458759:IBN458778 IBN524295:IBN524314 IBN589831:IBN589850 IBN655367:IBN655386 IBN720903:IBN720922 IBN786439:IBN786458 IBN851975:IBN851994 IBN917511:IBN917530 IBN983047:IBN983066 ILJ7:ILJ26 ILJ65543:ILJ65562 ILJ131079:ILJ131098 ILJ196615:ILJ196634 ILJ262151:ILJ262170 ILJ327687:ILJ327706 ILJ393223:ILJ393242 ILJ458759:ILJ458778 ILJ524295:ILJ524314 ILJ589831:ILJ589850 ILJ655367:ILJ655386 ILJ720903:ILJ720922 ILJ786439:ILJ786458 ILJ851975:ILJ851994 ILJ917511:ILJ917530 ILJ983047:ILJ983066 IVF7:IVF26 IVF65543:IVF65562 IVF131079:IVF131098 IVF196615:IVF196634 IVF262151:IVF262170 IVF327687:IVF327706 IVF393223:IVF393242 IVF458759:IVF458778 IVF524295:IVF524314 IVF589831:IVF589850 IVF655367:IVF655386 IVF720903:IVF720922 IVF786439:IVF786458 IVF851975:IVF851994 IVF917511:IVF917530 IVF983047:IVF983066 JFB7:JFB26 JFB65543:JFB65562 JFB131079:JFB131098 JFB196615:JFB196634 JFB262151:JFB262170 JFB327687:JFB327706 JFB393223:JFB393242 JFB458759:JFB458778 JFB524295:JFB524314 JFB589831:JFB589850 JFB655367:JFB655386 JFB720903:JFB720922 JFB786439:JFB786458 JFB851975:JFB851994 JFB917511:JFB917530 JFB983047:JFB983066 JOX7:JOX26 JOX65543:JOX65562 JOX131079:JOX131098 JOX196615:JOX196634 JOX262151:JOX262170 JOX327687:JOX327706 JOX393223:JOX393242 JOX458759:JOX458778 JOX524295:JOX524314 JOX589831:JOX589850 JOX655367:JOX655386 JOX720903:JOX720922 JOX786439:JOX786458 JOX851975:JOX851994 JOX917511:JOX917530 JOX983047:JOX983066 JYT7:JYT26 JYT65543:JYT65562 JYT131079:JYT131098 JYT196615:JYT196634 JYT262151:JYT262170 JYT327687:JYT327706 JYT393223:JYT393242 JYT458759:JYT458778 JYT524295:JYT524314 JYT589831:JYT589850 JYT655367:JYT655386 JYT720903:JYT720922 JYT786439:JYT786458 JYT851975:JYT851994 JYT917511:JYT917530 JYT983047:JYT983066 KIP7:KIP26 KIP65543:KIP65562 KIP131079:KIP131098 KIP196615:KIP196634 KIP262151:KIP262170 KIP327687:KIP327706 KIP393223:KIP393242 KIP458759:KIP458778 KIP524295:KIP524314 KIP589831:KIP589850 KIP655367:KIP655386 KIP720903:KIP720922 KIP786439:KIP786458 KIP851975:KIP851994 KIP917511:KIP917530 KIP983047:KIP983066 KSL7:KSL26 KSL65543:KSL65562 KSL131079:KSL131098 KSL196615:KSL196634 KSL262151:KSL262170 KSL327687:KSL327706 KSL393223:KSL393242 KSL458759:KSL458778 KSL524295:KSL524314 KSL589831:KSL589850 KSL655367:KSL655386 KSL720903:KSL720922 KSL786439:KSL786458 KSL851975:KSL851994 KSL917511:KSL917530 KSL983047:KSL983066 LCH7:LCH26 LCH65543:LCH65562 LCH131079:LCH131098 LCH196615:LCH196634 LCH262151:LCH262170 LCH327687:LCH327706 LCH393223:LCH393242 LCH458759:LCH458778 LCH524295:LCH524314 LCH589831:LCH589850 LCH655367:LCH655386 LCH720903:LCH720922 LCH786439:LCH786458 LCH851975:LCH851994 LCH917511:LCH917530 LCH983047:LCH983066 LMD7:LMD26 LMD65543:LMD65562 LMD131079:LMD131098 LMD196615:LMD196634 LMD262151:LMD262170 LMD327687:LMD327706 LMD393223:LMD393242 LMD458759:LMD458778 LMD524295:LMD524314 LMD589831:LMD589850 LMD655367:LMD655386 LMD720903:LMD720922 LMD786439:LMD786458 LMD851975:LMD851994 LMD917511:LMD917530 LMD983047:LMD983066 LVZ7:LVZ26 LVZ65543:LVZ65562 LVZ131079:LVZ131098 LVZ196615:LVZ196634 LVZ262151:LVZ262170 LVZ327687:LVZ327706 LVZ393223:LVZ393242 LVZ458759:LVZ458778 LVZ524295:LVZ524314 LVZ589831:LVZ589850 LVZ655367:LVZ655386 LVZ720903:LVZ720922 LVZ786439:LVZ786458 LVZ851975:LVZ851994 LVZ917511:LVZ917530 LVZ983047:LVZ983066 MFV7:MFV26 MFV65543:MFV65562 MFV131079:MFV131098 MFV196615:MFV196634 MFV262151:MFV262170 MFV327687:MFV327706 MFV393223:MFV393242 MFV458759:MFV458778 MFV524295:MFV524314 MFV589831:MFV589850 MFV655367:MFV655386 MFV720903:MFV720922 MFV786439:MFV786458 MFV851975:MFV851994 MFV917511:MFV917530 MFV983047:MFV983066 MPR7:MPR26 MPR65543:MPR65562 MPR131079:MPR131098 MPR196615:MPR196634 MPR262151:MPR262170 MPR327687:MPR327706 MPR393223:MPR393242 MPR458759:MPR458778 MPR524295:MPR524314 MPR589831:MPR589850 MPR655367:MPR655386 MPR720903:MPR720922 MPR786439:MPR786458 MPR851975:MPR851994 MPR917511:MPR917530 MPR983047:MPR983066 MZN7:MZN26 MZN65543:MZN65562 MZN131079:MZN131098 MZN196615:MZN196634 MZN262151:MZN262170 MZN327687:MZN327706 MZN393223:MZN393242 MZN458759:MZN458778 MZN524295:MZN524314 MZN589831:MZN589850 MZN655367:MZN655386 MZN720903:MZN720922 MZN786439:MZN786458 MZN851975:MZN851994 MZN917511:MZN917530 MZN983047:MZN983066 NJJ7:NJJ26 NJJ65543:NJJ65562 NJJ131079:NJJ131098 NJJ196615:NJJ196634 NJJ262151:NJJ262170 NJJ327687:NJJ327706 NJJ393223:NJJ393242 NJJ458759:NJJ458778 NJJ524295:NJJ524314 NJJ589831:NJJ589850 NJJ655367:NJJ655386 NJJ720903:NJJ720922 NJJ786439:NJJ786458 NJJ851975:NJJ851994 NJJ917511:NJJ917530 NJJ983047:NJJ983066 NTF7:NTF26 NTF65543:NTF65562 NTF131079:NTF131098 NTF196615:NTF196634 NTF262151:NTF262170 NTF327687:NTF327706 NTF393223:NTF393242 NTF458759:NTF458778 NTF524295:NTF524314 NTF589831:NTF589850 NTF655367:NTF655386 NTF720903:NTF720922 NTF786439:NTF786458 NTF851975:NTF851994 NTF917511:NTF917530 NTF983047:NTF983066 ODB7:ODB26 ODB65543:ODB65562 ODB131079:ODB131098 ODB196615:ODB196634 ODB262151:ODB262170 ODB327687:ODB327706 ODB393223:ODB393242 ODB458759:ODB458778 ODB524295:ODB524314 ODB589831:ODB589850 ODB655367:ODB655386 ODB720903:ODB720922 ODB786439:ODB786458 ODB851975:ODB851994 ODB917511:ODB917530 ODB983047:ODB983066 OMX7:OMX26 OMX65543:OMX65562 OMX131079:OMX131098 OMX196615:OMX196634 OMX262151:OMX262170 OMX327687:OMX327706 OMX393223:OMX393242 OMX458759:OMX458778 OMX524295:OMX524314 OMX589831:OMX589850 OMX655367:OMX655386 OMX720903:OMX720922 OMX786439:OMX786458 OMX851975:OMX851994 OMX917511:OMX917530 OMX983047:OMX983066 OWT7:OWT26 OWT65543:OWT65562 OWT131079:OWT131098 OWT196615:OWT196634 OWT262151:OWT262170 OWT327687:OWT327706 OWT393223:OWT393242 OWT458759:OWT458778 OWT524295:OWT524314 OWT589831:OWT589850 OWT655367:OWT655386 OWT720903:OWT720922 OWT786439:OWT786458 OWT851975:OWT851994 OWT917511:OWT917530 OWT983047:OWT983066 PGP7:PGP26 PGP65543:PGP65562 PGP131079:PGP131098 PGP196615:PGP196634 PGP262151:PGP262170 PGP327687:PGP327706 PGP393223:PGP393242 PGP458759:PGP458778 PGP524295:PGP524314 PGP589831:PGP589850 PGP655367:PGP655386 PGP720903:PGP720922 PGP786439:PGP786458 PGP851975:PGP851994 PGP917511:PGP917530 PGP983047:PGP983066 PQL7:PQL26 PQL65543:PQL65562 PQL131079:PQL131098 PQL196615:PQL196634 PQL262151:PQL262170 PQL327687:PQL327706 PQL393223:PQL393242 PQL458759:PQL458778 PQL524295:PQL524314 PQL589831:PQL589850 PQL655367:PQL655386 PQL720903:PQL720922 PQL786439:PQL786458 PQL851975:PQL851994 PQL917511:PQL917530 PQL983047:PQL983066 QAH7:QAH26 QAH65543:QAH65562 QAH131079:QAH131098 QAH196615:QAH196634 QAH262151:QAH262170 QAH327687:QAH327706 QAH393223:QAH393242 QAH458759:QAH458778 QAH524295:QAH524314 QAH589831:QAH589850 QAH655367:QAH655386 QAH720903:QAH720922 QAH786439:QAH786458 QAH851975:QAH851994 QAH917511:QAH917530 QAH983047:QAH983066 QKD7:QKD26 QKD65543:QKD65562 QKD131079:QKD131098 QKD196615:QKD196634 QKD262151:QKD262170 QKD327687:QKD327706 QKD393223:QKD393242 QKD458759:QKD458778 QKD524295:QKD524314 QKD589831:QKD589850 QKD655367:QKD655386 QKD720903:QKD720922 QKD786439:QKD786458 QKD851975:QKD851994 QKD917511:QKD917530 QKD983047:QKD983066 QTZ7:QTZ26 QTZ65543:QTZ65562 QTZ131079:QTZ131098 QTZ196615:QTZ196634 QTZ262151:QTZ262170 QTZ327687:QTZ327706 QTZ393223:QTZ393242 QTZ458759:QTZ458778 QTZ524295:QTZ524314 QTZ589831:QTZ589850 QTZ655367:QTZ655386 QTZ720903:QTZ720922 QTZ786439:QTZ786458 QTZ851975:QTZ851994 QTZ917511:QTZ917530 QTZ983047:QTZ983066 RDV7:RDV26 RDV65543:RDV65562 RDV131079:RDV131098 RDV196615:RDV196634 RDV262151:RDV262170 RDV327687:RDV327706 RDV393223:RDV393242 RDV458759:RDV458778 RDV524295:RDV524314 RDV589831:RDV589850 RDV655367:RDV655386 RDV720903:RDV720922 RDV786439:RDV786458 RDV851975:RDV851994 RDV917511:RDV917530 RDV983047:RDV983066 RNR7:RNR26 RNR65543:RNR65562 RNR131079:RNR131098 RNR196615:RNR196634 RNR262151:RNR262170 RNR327687:RNR327706 RNR393223:RNR393242 RNR458759:RNR458778 RNR524295:RNR524314 RNR589831:RNR589850 RNR655367:RNR655386 RNR720903:RNR720922 RNR786439:RNR786458 RNR851975:RNR851994 RNR917511:RNR917530 RNR983047:RNR983066 RXN7:RXN26 RXN65543:RXN65562 RXN131079:RXN131098 RXN196615:RXN196634 RXN262151:RXN262170 RXN327687:RXN327706 RXN393223:RXN393242 RXN458759:RXN458778 RXN524295:RXN524314 RXN589831:RXN589850 RXN655367:RXN655386 RXN720903:RXN720922 RXN786439:RXN786458 RXN851975:RXN851994 RXN917511:RXN917530 RXN983047:RXN983066 SHJ7:SHJ26 SHJ65543:SHJ65562 SHJ131079:SHJ131098 SHJ196615:SHJ196634 SHJ262151:SHJ262170 SHJ327687:SHJ327706 SHJ393223:SHJ393242 SHJ458759:SHJ458778 SHJ524295:SHJ524314 SHJ589831:SHJ589850 SHJ655367:SHJ655386 SHJ720903:SHJ720922 SHJ786439:SHJ786458 SHJ851975:SHJ851994 SHJ917511:SHJ917530 SHJ983047:SHJ983066 SRF7:SRF26 SRF65543:SRF65562 SRF131079:SRF131098 SRF196615:SRF196634 SRF262151:SRF262170 SRF327687:SRF327706 SRF393223:SRF393242 SRF458759:SRF458778 SRF524295:SRF524314 SRF589831:SRF589850 SRF655367:SRF655386 SRF720903:SRF720922 SRF786439:SRF786458 SRF851975:SRF851994 SRF917511:SRF917530 SRF983047:SRF983066 TBB7:TBB26 TBB65543:TBB65562 TBB131079:TBB131098 TBB196615:TBB196634 TBB262151:TBB262170 TBB327687:TBB327706 TBB393223:TBB393242 TBB458759:TBB458778 TBB524295:TBB524314 TBB589831:TBB589850 TBB655367:TBB655386 TBB720903:TBB720922 TBB786439:TBB786458 TBB851975:TBB851994 TBB917511:TBB917530 TBB983047:TBB983066 TKX7:TKX26 TKX65543:TKX65562 TKX131079:TKX131098 TKX196615:TKX196634 TKX262151:TKX262170 TKX327687:TKX327706 TKX393223:TKX393242 TKX458759:TKX458778 TKX524295:TKX524314 TKX589831:TKX589850 TKX655367:TKX655386 TKX720903:TKX720922 TKX786439:TKX786458 TKX851975:TKX851994 TKX917511:TKX917530 TKX983047:TKX983066 TUT7:TUT26 TUT65543:TUT65562 TUT131079:TUT131098 TUT196615:TUT196634 TUT262151:TUT262170 TUT327687:TUT327706 TUT393223:TUT393242 TUT458759:TUT458778 TUT524295:TUT524314 TUT589831:TUT589850 TUT655367:TUT655386 TUT720903:TUT720922 TUT786439:TUT786458 TUT851975:TUT851994 TUT917511:TUT917530 TUT983047:TUT983066 UEP7:UEP26 UEP65543:UEP65562 UEP131079:UEP131098 UEP196615:UEP196634 UEP262151:UEP262170 UEP327687:UEP327706 UEP393223:UEP393242 UEP458759:UEP458778 UEP524295:UEP524314 UEP589831:UEP589850 UEP655367:UEP655386 UEP720903:UEP720922 UEP786439:UEP786458 UEP851975:UEP851994 UEP917511:UEP917530 UEP983047:UEP983066 UOL7:UOL26 UOL65543:UOL65562 UOL131079:UOL131098 UOL196615:UOL196634 UOL262151:UOL262170 UOL327687:UOL327706 UOL393223:UOL393242 UOL458759:UOL458778 UOL524295:UOL524314 UOL589831:UOL589850 UOL655367:UOL655386 UOL720903:UOL720922 UOL786439:UOL786458 UOL851975:UOL851994 UOL917511:UOL917530 UOL983047:UOL983066 UYH7:UYH26 UYH65543:UYH65562 UYH131079:UYH131098 UYH196615:UYH196634 UYH262151:UYH262170 UYH327687:UYH327706 UYH393223:UYH393242 UYH458759:UYH458778 UYH524295:UYH524314 UYH589831:UYH589850 UYH655367:UYH655386 UYH720903:UYH720922 UYH786439:UYH786458 UYH851975:UYH851994 UYH917511:UYH917530 UYH983047:UYH983066 VID7:VID26 VID65543:VID65562 VID131079:VID131098 VID196615:VID196634 VID262151:VID262170 VID327687:VID327706 VID393223:VID393242 VID458759:VID458778 VID524295:VID524314 VID589831:VID589850 VID655367:VID655386 VID720903:VID720922 VID786439:VID786458 VID851975:VID851994 VID917511:VID917530 VID983047:VID983066 VRZ7:VRZ26 VRZ65543:VRZ65562 VRZ131079:VRZ131098 VRZ196615:VRZ196634 VRZ262151:VRZ262170 VRZ327687:VRZ327706 VRZ393223:VRZ393242 VRZ458759:VRZ458778 VRZ524295:VRZ524314 VRZ589831:VRZ589850 VRZ655367:VRZ655386 VRZ720903:VRZ720922 VRZ786439:VRZ786458 VRZ851975:VRZ851994 VRZ917511:VRZ917530 VRZ983047:VRZ983066 WBV7:WBV26 WBV65543:WBV65562 WBV131079:WBV131098 WBV196615:WBV196634 WBV262151:WBV262170 WBV327687:WBV327706 WBV393223:WBV393242 WBV458759:WBV458778 WBV524295:WBV524314 WBV589831:WBV589850 WBV655367:WBV655386 WBV720903:WBV720922 WBV786439:WBV786458 WBV851975:WBV851994 WBV917511:WBV917530 WBV983047:WBV983066 WLR7:WLR26 WLR65543:WLR65562 WLR131079:WLR131098 WLR196615:WLR196634 WLR262151:WLR262170 WLR327687:WLR327706 WLR393223:WLR393242 WLR458759:WLR458778 WLR524295:WLR524314 WLR589831:WLR589850 WLR655367:WLR655386 WLR720903:WLR720922 WLR786439:WLR786458 WLR851975:WLR851994 WLR917511:WLR917530 WLR983047:WLR983066 WVN7:WVN26 WVN65543:WVN65562 WVN131079:WVN131098 WVN196615:WVN196634 WVN262151:WVN262170 WVN327687:WVN327706 WVN393223:WVN393242 WVN458759:WVN458778 WVN524295:WVN524314 WVN589831:WVN589850 WVN655367:WVN655386 WVN720903:WVN720922 WVN786439:WVN786458 WVN851975:WVN851994 WVN917511:WVN917530 WVN983047:WVN983066" xr:uid="{00000000-0002-0000-0900-00000F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7:K13 F15:K26 F65543:K65562 F131079:K131098 F196615:K196634 F262151:K262170 F327687:K327706 F393223:K393242 F458759:K458778 F524295:K524314 F589831:K589850 F655367:K655386 F720903:K720922 F786439:K786458 F851975:K851994 F917511:K917530 F983047:K983066 JC7:JH26 JC65543:JH65562 JC131079:JH131098 JC196615:JH196634 JC262151:JH262170 JC327687:JH327706 JC393223:JH393242 JC458759:JH458778 JC524295:JH524314 JC589831:JH589850 JC655367:JH655386 JC720903:JH720922 JC786439:JH786458 JC851975:JH851994 JC917511:JH917530 JC983047:JH983066 SY7:TD26 SY65543:TD65562 SY131079:TD131098 SY196615:TD196634 SY262151:TD262170 SY327687:TD327706 SY393223:TD393242 SY458759:TD458778 SY524295:TD524314 SY589831:TD589850 SY655367:TD655386 SY720903:TD720922 SY786439:TD786458 SY851975:TD851994 SY917511:TD917530 SY983047:TD983066 ACU7:ACZ26 ACU65543:ACZ65562 ACU131079:ACZ131098 ACU196615:ACZ196634 ACU262151:ACZ262170 ACU327687:ACZ327706 ACU393223:ACZ393242 ACU458759:ACZ458778 ACU524295:ACZ524314 ACU589831:ACZ589850 ACU655367:ACZ655386 ACU720903:ACZ720922 ACU786439:ACZ786458 ACU851975:ACZ851994 ACU917511:ACZ917530 ACU983047:ACZ983066 AMQ7:AMV26 AMQ65543:AMV65562 AMQ131079:AMV131098 AMQ196615:AMV196634 AMQ262151:AMV262170 AMQ327687:AMV327706 AMQ393223:AMV393242 AMQ458759:AMV458778 AMQ524295:AMV524314 AMQ589831:AMV589850 AMQ655367:AMV655386 AMQ720903:AMV720922 AMQ786439:AMV786458 AMQ851975:AMV851994 AMQ917511:AMV917530 AMQ983047:AMV983066 AWM7:AWR26 AWM65543:AWR65562 AWM131079:AWR131098 AWM196615:AWR196634 AWM262151:AWR262170 AWM327687:AWR327706 AWM393223:AWR393242 AWM458759:AWR458778 AWM524295:AWR524314 AWM589831:AWR589850 AWM655367:AWR655386 AWM720903:AWR720922 AWM786439:AWR786458 AWM851975:AWR851994 AWM917511:AWR917530 AWM983047:AWR983066 BGI7:BGN26 BGI65543:BGN65562 BGI131079:BGN131098 BGI196615:BGN196634 BGI262151:BGN262170 BGI327687:BGN327706 BGI393223:BGN393242 BGI458759:BGN458778 BGI524295:BGN524314 BGI589831:BGN589850 BGI655367:BGN655386 BGI720903:BGN720922 BGI786439:BGN786458 BGI851975:BGN851994 BGI917511:BGN917530 BGI983047:BGN983066 BQE7:BQJ26 BQE65543:BQJ65562 BQE131079:BQJ131098 BQE196615:BQJ196634 BQE262151:BQJ262170 BQE327687:BQJ327706 BQE393223:BQJ393242 BQE458759:BQJ458778 BQE524295:BQJ524314 BQE589831:BQJ589850 BQE655367:BQJ655386 BQE720903:BQJ720922 BQE786439:BQJ786458 BQE851975:BQJ851994 BQE917511:BQJ917530 BQE983047:BQJ983066 CAA7:CAF26 CAA65543:CAF65562 CAA131079:CAF131098 CAA196615:CAF196634 CAA262151:CAF262170 CAA327687:CAF327706 CAA393223:CAF393242 CAA458759:CAF458778 CAA524295:CAF524314 CAA589831:CAF589850 CAA655367:CAF655386 CAA720903:CAF720922 CAA786439:CAF786458 CAA851975:CAF851994 CAA917511:CAF917530 CAA983047:CAF983066 CJW7:CKB26 CJW65543:CKB65562 CJW131079:CKB131098 CJW196615:CKB196634 CJW262151:CKB262170 CJW327687:CKB327706 CJW393223:CKB393242 CJW458759:CKB458778 CJW524295:CKB524314 CJW589831:CKB589850 CJW655367:CKB655386 CJW720903:CKB720922 CJW786439:CKB786458 CJW851975:CKB851994 CJW917511:CKB917530 CJW983047:CKB983066 CTS7:CTX26 CTS65543:CTX65562 CTS131079:CTX131098 CTS196615:CTX196634 CTS262151:CTX262170 CTS327687:CTX327706 CTS393223:CTX393242 CTS458759:CTX458778 CTS524295:CTX524314 CTS589831:CTX589850 CTS655367:CTX655386 CTS720903:CTX720922 CTS786439:CTX786458 CTS851975:CTX851994 CTS917511:CTX917530 CTS983047:CTX983066 DDO7:DDT26 DDO65543:DDT65562 DDO131079:DDT131098 DDO196615:DDT196634 DDO262151:DDT262170 DDO327687:DDT327706 DDO393223:DDT393242 DDO458759:DDT458778 DDO524295:DDT524314 DDO589831:DDT589850 DDO655367:DDT655386 DDO720903:DDT720922 DDO786439:DDT786458 DDO851975:DDT851994 DDO917511:DDT917530 DDO983047:DDT983066 DNK7:DNP26 DNK65543:DNP65562 DNK131079:DNP131098 DNK196615:DNP196634 DNK262151:DNP262170 DNK327687:DNP327706 DNK393223:DNP393242 DNK458759:DNP458778 DNK524295:DNP524314 DNK589831:DNP589850 DNK655367:DNP655386 DNK720903:DNP720922 DNK786439:DNP786458 DNK851975:DNP851994 DNK917511:DNP917530 DNK983047:DNP983066 DXG7:DXL26 DXG65543:DXL65562 DXG131079:DXL131098 DXG196615:DXL196634 DXG262151:DXL262170 DXG327687:DXL327706 DXG393223:DXL393242 DXG458759:DXL458778 DXG524295:DXL524314 DXG589831:DXL589850 DXG655367:DXL655386 DXG720903:DXL720922 DXG786439:DXL786458 DXG851975:DXL851994 DXG917511:DXL917530 DXG983047:DXL983066 EHC7:EHH26 EHC65543:EHH65562 EHC131079:EHH131098 EHC196615:EHH196634 EHC262151:EHH262170 EHC327687:EHH327706 EHC393223:EHH393242 EHC458759:EHH458778 EHC524295:EHH524314 EHC589831:EHH589850 EHC655367:EHH655386 EHC720903:EHH720922 EHC786439:EHH786458 EHC851975:EHH851994 EHC917511:EHH917530 EHC983047:EHH983066 EQY7:ERD26 EQY65543:ERD65562 EQY131079:ERD131098 EQY196615:ERD196634 EQY262151:ERD262170 EQY327687:ERD327706 EQY393223:ERD393242 EQY458759:ERD458778 EQY524295:ERD524314 EQY589831:ERD589850 EQY655367:ERD655386 EQY720903:ERD720922 EQY786439:ERD786458 EQY851975:ERD851994 EQY917511:ERD917530 EQY983047:ERD983066 FAU7:FAZ26 FAU65543:FAZ65562 FAU131079:FAZ131098 FAU196615:FAZ196634 FAU262151:FAZ262170 FAU327687:FAZ327706 FAU393223:FAZ393242 FAU458759:FAZ458778 FAU524295:FAZ524314 FAU589831:FAZ589850 FAU655367:FAZ655386 FAU720903:FAZ720922 FAU786439:FAZ786458 FAU851975:FAZ851994 FAU917511:FAZ917530 FAU983047:FAZ983066 FKQ7:FKV26 FKQ65543:FKV65562 FKQ131079:FKV131098 FKQ196615:FKV196634 FKQ262151:FKV262170 FKQ327687:FKV327706 FKQ393223:FKV393242 FKQ458759:FKV458778 FKQ524295:FKV524314 FKQ589831:FKV589850 FKQ655367:FKV655386 FKQ720903:FKV720922 FKQ786439:FKV786458 FKQ851975:FKV851994 FKQ917511:FKV917530 FKQ983047:FKV983066 FUM7:FUR26 FUM65543:FUR65562 FUM131079:FUR131098 FUM196615:FUR196634 FUM262151:FUR262170 FUM327687:FUR327706 FUM393223:FUR393242 FUM458759:FUR458778 FUM524295:FUR524314 FUM589831:FUR589850 FUM655367:FUR655386 FUM720903:FUR720922 FUM786439:FUR786458 FUM851975:FUR851994 FUM917511:FUR917530 FUM983047:FUR983066 GEI7:GEN26 GEI65543:GEN65562 GEI131079:GEN131098 GEI196615:GEN196634 GEI262151:GEN262170 GEI327687:GEN327706 GEI393223:GEN393242 GEI458759:GEN458778 GEI524295:GEN524314 GEI589831:GEN589850 GEI655367:GEN655386 GEI720903:GEN720922 GEI786439:GEN786458 GEI851975:GEN851994 GEI917511:GEN917530 GEI983047:GEN983066 GOE7:GOJ26 GOE65543:GOJ65562 GOE131079:GOJ131098 GOE196615:GOJ196634 GOE262151:GOJ262170 GOE327687:GOJ327706 GOE393223:GOJ393242 GOE458759:GOJ458778 GOE524295:GOJ524314 GOE589831:GOJ589850 GOE655367:GOJ655386 GOE720903:GOJ720922 GOE786439:GOJ786458 GOE851975:GOJ851994 GOE917511:GOJ917530 GOE983047:GOJ983066 GYA7:GYF26 GYA65543:GYF65562 GYA131079:GYF131098 GYA196615:GYF196634 GYA262151:GYF262170 GYA327687:GYF327706 GYA393223:GYF393242 GYA458759:GYF458778 GYA524295:GYF524314 GYA589831:GYF589850 GYA655367:GYF655386 GYA720903:GYF720922 GYA786439:GYF786458 GYA851975:GYF851994 GYA917511:GYF917530 GYA983047:GYF983066 HHW7:HIB26 HHW65543:HIB65562 HHW131079:HIB131098 HHW196615:HIB196634 HHW262151:HIB262170 HHW327687:HIB327706 HHW393223:HIB393242 HHW458759:HIB458778 HHW524295:HIB524314 HHW589831:HIB589850 HHW655367:HIB655386 HHW720903:HIB720922 HHW786439:HIB786458 HHW851975:HIB851994 HHW917511:HIB917530 HHW983047:HIB983066 HRS7:HRX26 HRS65543:HRX65562 HRS131079:HRX131098 HRS196615:HRX196634 HRS262151:HRX262170 HRS327687:HRX327706 HRS393223:HRX393242 HRS458759:HRX458778 HRS524295:HRX524314 HRS589831:HRX589850 HRS655367:HRX655386 HRS720903:HRX720922 HRS786439:HRX786458 HRS851975:HRX851994 HRS917511:HRX917530 HRS983047:HRX983066 IBO7:IBT26 IBO65543:IBT65562 IBO131079:IBT131098 IBO196615:IBT196634 IBO262151:IBT262170 IBO327687:IBT327706 IBO393223:IBT393242 IBO458759:IBT458778 IBO524295:IBT524314 IBO589831:IBT589850 IBO655367:IBT655386 IBO720903:IBT720922 IBO786439:IBT786458 IBO851975:IBT851994 IBO917511:IBT917530 IBO983047:IBT983066 ILK7:ILP26 ILK65543:ILP65562 ILK131079:ILP131098 ILK196615:ILP196634 ILK262151:ILP262170 ILK327687:ILP327706 ILK393223:ILP393242 ILK458759:ILP458778 ILK524295:ILP524314 ILK589831:ILP589850 ILK655367:ILP655386 ILK720903:ILP720922 ILK786439:ILP786458 ILK851975:ILP851994 ILK917511:ILP917530 ILK983047:ILP983066 IVG7:IVL26 IVG65543:IVL65562 IVG131079:IVL131098 IVG196615:IVL196634 IVG262151:IVL262170 IVG327687:IVL327706 IVG393223:IVL393242 IVG458759:IVL458778 IVG524295:IVL524314 IVG589831:IVL589850 IVG655367:IVL655386 IVG720903:IVL720922 IVG786439:IVL786458 IVG851975:IVL851994 IVG917511:IVL917530 IVG983047:IVL983066 JFC7:JFH26 JFC65543:JFH65562 JFC131079:JFH131098 JFC196615:JFH196634 JFC262151:JFH262170 JFC327687:JFH327706 JFC393223:JFH393242 JFC458759:JFH458778 JFC524295:JFH524314 JFC589831:JFH589850 JFC655367:JFH655386 JFC720903:JFH720922 JFC786439:JFH786458 JFC851975:JFH851994 JFC917511:JFH917530 JFC983047:JFH983066 JOY7:JPD26 JOY65543:JPD65562 JOY131079:JPD131098 JOY196615:JPD196634 JOY262151:JPD262170 JOY327687:JPD327706 JOY393223:JPD393242 JOY458759:JPD458778 JOY524295:JPD524314 JOY589831:JPD589850 JOY655367:JPD655386 JOY720903:JPD720922 JOY786439:JPD786458 JOY851975:JPD851994 JOY917511:JPD917530 JOY983047:JPD983066 JYU7:JYZ26 JYU65543:JYZ65562 JYU131079:JYZ131098 JYU196615:JYZ196634 JYU262151:JYZ262170 JYU327687:JYZ327706 JYU393223:JYZ393242 JYU458759:JYZ458778 JYU524295:JYZ524314 JYU589831:JYZ589850 JYU655367:JYZ655386 JYU720903:JYZ720922 JYU786439:JYZ786458 JYU851975:JYZ851994 JYU917511:JYZ917530 JYU983047:JYZ983066 KIQ7:KIV26 KIQ65543:KIV65562 KIQ131079:KIV131098 KIQ196615:KIV196634 KIQ262151:KIV262170 KIQ327687:KIV327706 KIQ393223:KIV393242 KIQ458759:KIV458778 KIQ524295:KIV524314 KIQ589831:KIV589850 KIQ655367:KIV655386 KIQ720903:KIV720922 KIQ786439:KIV786458 KIQ851975:KIV851994 KIQ917511:KIV917530 KIQ983047:KIV983066 KSM7:KSR26 KSM65543:KSR65562 KSM131079:KSR131098 KSM196615:KSR196634 KSM262151:KSR262170 KSM327687:KSR327706 KSM393223:KSR393242 KSM458759:KSR458778 KSM524295:KSR524314 KSM589831:KSR589850 KSM655367:KSR655386 KSM720903:KSR720922 KSM786439:KSR786458 KSM851975:KSR851994 KSM917511:KSR917530 KSM983047:KSR983066 LCI7:LCN26 LCI65543:LCN65562 LCI131079:LCN131098 LCI196615:LCN196634 LCI262151:LCN262170 LCI327687:LCN327706 LCI393223:LCN393242 LCI458759:LCN458778 LCI524295:LCN524314 LCI589831:LCN589850 LCI655367:LCN655386 LCI720903:LCN720922 LCI786439:LCN786458 LCI851975:LCN851994 LCI917511:LCN917530 LCI983047:LCN983066 LME7:LMJ26 LME65543:LMJ65562 LME131079:LMJ131098 LME196615:LMJ196634 LME262151:LMJ262170 LME327687:LMJ327706 LME393223:LMJ393242 LME458759:LMJ458778 LME524295:LMJ524314 LME589831:LMJ589850 LME655367:LMJ655386 LME720903:LMJ720922 LME786439:LMJ786458 LME851975:LMJ851994 LME917511:LMJ917530 LME983047:LMJ983066 LWA7:LWF26 LWA65543:LWF65562 LWA131079:LWF131098 LWA196615:LWF196634 LWA262151:LWF262170 LWA327687:LWF327706 LWA393223:LWF393242 LWA458759:LWF458778 LWA524295:LWF524314 LWA589831:LWF589850 LWA655367:LWF655386 LWA720903:LWF720922 LWA786439:LWF786458 LWA851975:LWF851994 LWA917511:LWF917530 LWA983047:LWF983066 MFW7:MGB26 MFW65543:MGB65562 MFW131079:MGB131098 MFW196615:MGB196634 MFW262151:MGB262170 MFW327687:MGB327706 MFW393223:MGB393242 MFW458759:MGB458778 MFW524295:MGB524314 MFW589831:MGB589850 MFW655367:MGB655386 MFW720903:MGB720922 MFW786439:MGB786458 MFW851975:MGB851994 MFW917511:MGB917530 MFW983047:MGB983066 MPS7:MPX26 MPS65543:MPX65562 MPS131079:MPX131098 MPS196615:MPX196634 MPS262151:MPX262170 MPS327687:MPX327706 MPS393223:MPX393242 MPS458759:MPX458778 MPS524295:MPX524314 MPS589831:MPX589850 MPS655367:MPX655386 MPS720903:MPX720922 MPS786439:MPX786458 MPS851975:MPX851994 MPS917511:MPX917530 MPS983047:MPX983066 MZO7:MZT26 MZO65543:MZT65562 MZO131079:MZT131098 MZO196615:MZT196634 MZO262151:MZT262170 MZO327687:MZT327706 MZO393223:MZT393242 MZO458759:MZT458778 MZO524295:MZT524314 MZO589831:MZT589850 MZO655367:MZT655386 MZO720903:MZT720922 MZO786439:MZT786458 MZO851975:MZT851994 MZO917511:MZT917530 MZO983047:MZT983066 NJK7:NJP26 NJK65543:NJP65562 NJK131079:NJP131098 NJK196615:NJP196634 NJK262151:NJP262170 NJK327687:NJP327706 NJK393223:NJP393242 NJK458759:NJP458778 NJK524295:NJP524314 NJK589831:NJP589850 NJK655367:NJP655386 NJK720903:NJP720922 NJK786439:NJP786458 NJK851975:NJP851994 NJK917511:NJP917530 NJK983047:NJP983066 NTG7:NTL26 NTG65543:NTL65562 NTG131079:NTL131098 NTG196615:NTL196634 NTG262151:NTL262170 NTG327687:NTL327706 NTG393223:NTL393242 NTG458759:NTL458778 NTG524295:NTL524314 NTG589831:NTL589850 NTG655367:NTL655386 NTG720903:NTL720922 NTG786439:NTL786458 NTG851975:NTL851994 NTG917511:NTL917530 NTG983047:NTL983066 ODC7:ODH26 ODC65543:ODH65562 ODC131079:ODH131098 ODC196615:ODH196634 ODC262151:ODH262170 ODC327687:ODH327706 ODC393223:ODH393242 ODC458759:ODH458778 ODC524295:ODH524314 ODC589831:ODH589850 ODC655367:ODH655386 ODC720903:ODH720922 ODC786439:ODH786458 ODC851975:ODH851994 ODC917511:ODH917530 ODC983047:ODH983066 OMY7:OND26 OMY65543:OND65562 OMY131079:OND131098 OMY196615:OND196634 OMY262151:OND262170 OMY327687:OND327706 OMY393223:OND393242 OMY458759:OND458778 OMY524295:OND524314 OMY589831:OND589850 OMY655367:OND655386 OMY720903:OND720922 OMY786439:OND786458 OMY851975:OND851994 OMY917511:OND917530 OMY983047:OND983066 OWU7:OWZ26 OWU65543:OWZ65562 OWU131079:OWZ131098 OWU196615:OWZ196634 OWU262151:OWZ262170 OWU327687:OWZ327706 OWU393223:OWZ393242 OWU458759:OWZ458778 OWU524295:OWZ524314 OWU589831:OWZ589850 OWU655367:OWZ655386 OWU720903:OWZ720922 OWU786439:OWZ786458 OWU851975:OWZ851994 OWU917511:OWZ917530 OWU983047:OWZ983066 PGQ7:PGV26 PGQ65543:PGV65562 PGQ131079:PGV131098 PGQ196615:PGV196634 PGQ262151:PGV262170 PGQ327687:PGV327706 PGQ393223:PGV393242 PGQ458759:PGV458778 PGQ524295:PGV524314 PGQ589831:PGV589850 PGQ655367:PGV655386 PGQ720903:PGV720922 PGQ786439:PGV786458 PGQ851975:PGV851994 PGQ917511:PGV917530 PGQ983047:PGV983066 PQM7:PQR26 PQM65543:PQR65562 PQM131079:PQR131098 PQM196615:PQR196634 PQM262151:PQR262170 PQM327687:PQR327706 PQM393223:PQR393242 PQM458759:PQR458778 PQM524295:PQR524314 PQM589831:PQR589850 PQM655367:PQR655386 PQM720903:PQR720922 PQM786439:PQR786458 PQM851975:PQR851994 PQM917511:PQR917530 PQM983047:PQR983066 QAI7:QAN26 QAI65543:QAN65562 QAI131079:QAN131098 QAI196615:QAN196634 QAI262151:QAN262170 QAI327687:QAN327706 QAI393223:QAN393242 QAI458759:QAN458778 QAI524295:QAN524314 QAI589831:QAN589850 QAI655367:QAN655386 QAI720903:QAN720922 QAI786439:QAN786458 QAI851975:QAN851994 QAI917511:QAN917530 QAI983047:QAN983066 QKE7:QKJ26 QKE65543:QKJ65562 QKE131079:QKJ131098 QKE196615:QKJ196634 QKE262151:QKJ262170 QKE327687:QKJ327706 QKE393223:QKJ393242 QKE458759:QKJ458778 QKE524295:QKJ524314 QKE589831:QKJ589850 QKE655367:QKJ655386 QKE720903:QKJ720922 QKE786439:QKJ786458 QKE851975:QKJ851994 QKE917511:QKJ917530 QKE983047:QKJ983066 QUA7:QUF26 QUA65543:QUF65562 QUA131079:QUF131098 QUA196615:QUF196634 QUA262151:QUF262170 QUA327687:QUF327706 QUA393223:QUF393242 QUA458759:QUF458778 QUA524295:QUF524314 QUA589831:QUF589850 QUA655367:QUF655386 QUA720903:QUF720922 QUA786439:QUF786458 QUA851975:QUF851994 QUA917511:QUF917530 QUA983047:QUF983066 RDW7:REB26 RDW65543:REB65562 RDW131079:REB131098 RDW196615:REB196634 RDW262151:REB262170 RDW327687:REB327706 RDW393223:REB393242 RDW458759:REB458778 RDW524295:REB524314 RDW589831:REB589850 RDW655367:REB655386 RDW720903:REB720922 RDW786439:REB786458 RDW851975:REB851994 RDW917511:REB917530 RDW983047:REB983066 RNS7:RNX26 RNS65543:RNX65562 RNS131079:RNX131098 RNS196615:RNX196634 RNS262151:RNX262170 RNS327687:RNX327706 RNS393223:RNX393242 RNS458759:RNX458778 RNS524295:RNX524314 RNS589831:RNX589850 RNS655367:RNX655386 RNS720903:RNX720922 RNS786439:RNX786458 RNS851975:RNX851994 RNS917511:RNX917530 RNS983047:RNX983066 RXO7:RXT26 RXO65543:RXT65562 RXO131079:RXT131098 RXO196615:RXT196634 RXO262151:RXT262170 RXO327687:RXT327706 RXO393223:RXT393242 RXO458759:RXT458778 RXO524295:RXT524314 RXO589831:RXT589850 RXO655367:RXT655386 RXO720903:RXT720922 RXO786439:RXT786458 RXO851975:RXT851994 RXO917511:RXT917530 RXO983047:RXT983066 SHK7:SHP26 SHK65543:SHP65562 SHK131079:SHP131098 SHK196615:SHP196634 SHK262151:SHP262170 SHK327687:SHP327706 SHK393223:SHP393242 SHK458759:SHP458778 SHK524295:SHP524314 SHK589831:SHP589850 SHK655367:SHP655386 SHK720903:SHP720922 SHK786439:SHP786458 SHK851975:SHP851994 SHK917511:SHP917530 SHK983047:SHP983066 SRG7:SRL26 SRG65543:SRL65562 SRG131079:SRL131098 SRG196615:SRL196634 SRG262151:SRL262170 SRG327687:SRL327706 SRG393223:SRL393242 SRG458759:SRL458778 SRG524295:SRL524314 SRG589831:SRL589850 SRG655367:SRL655386 SRG720903:SRL720922 SRG786439:SRL786458 SRG851975:SRL851994 SRG917511:SRL917530 SRG983047:SRL983066 TBC7:TBH26 TBC65543:TBH65562 TBC131079:TBH131098 TBC196615:TBH196634 TBC262151:TBH262170 TBC327687:TBH327706 TBC393223:TBH393242 TBC458759:TBH458778 TBC524295:TBH524314 TBC589831:TBH589850 TBC655367:TBH655386 TBC720903:TBH720922 TBC786439:TBH786458 TBC851975:TBH851994 TBC917511:TBH917530 TBC983047:TBH983066 TKY7:TLD26 TKY65543:TLD65562 TKY131079:TLD131098 TKY196615:TLD196634 TKY262151:TLD262170 TKY327687:TLD327706 TKY393223:TLD393242 TKY458759:TLD458778 TKY524295:TLD524314 TKY589831:TLD589850 TKY655367:TLD655386 TKY720903:TLD720922 TKY786439:TLD786458 TKY851975:TLD851994 TKY917511:TLD917530 TKY983047:TLD983066 TUU7:TUZ26 TUU65543:TUZ65562 TUU131079:TUZ131098 TUU196615:TUZ196634 TUU262151:TUZ262170 TUU327687:TUZ327706 TUU393223:TUZ393242 TUU458759:TUZ458778 TUU524295:TUZ524314 TUU589831:TUZ589850 TUU655367:TUZ655386 TUU720903:TUZ720922 TUU786439:TUZ786458 TUU851975:TUZ851994 TUU917511:TUZ917530 TUU983047:TUZ983066 UEQ7:UEV26 UEQ65543:UEV65562 UEQ131079:UEV131098 UEQ196615:UEV196634 UEQ262151:UEV262170 UEQ327687:UEV327706 UEQ393223:UEV393242 UEQ458759:UEV458778 UEQ524295:UEV524314 UEQ589831:UEV589850 UEQ655367:UEV655386 UEQ720903:UEV720922 UEQ786439:UEV786458 UEQ851975:UEV851994 UEQ917511:UEV917530 UEQ983047:UEV983066 UOM7:UOR26 UOM65543:UOR65562 UOM131079:UOR131098 UOM196615:UOR196634 UOM262151:UOR262170 UOM327687:UOR327706 UOM393223:UOR393242 UOM458759:UOR458778 UOM524295:UOR524314 UOM589831:UOR589850 UOM655367:UOR655386 UOM720903:UOR720922 UOM786439:UOR786458 UOM851975:UOR851994 UOM917511:UOR917530 UOM983047:UOR983066 UYI7:UYN26 UYI65543:UYN65562 UYI131079:UYN131098 UYI196615:UYN196634 UYI262151:UYN262170 UYI327687:UYN327706 UYI393223:UYN393242 UYI458759:UYN458778 UYI524295:UYN524314 UYI589831:UYN589850 UYI655367:UYN655386 UYI720903:UYN720922 UYI786439:UYN786458 UYI851975:UYN851994 UYI917511:UYN917530 UYI983047:UYN983066 VIE7:VIJ26 VIE65543:VIJ65562 VIE131079:VIJ131098 VIE196615:VIJ196634 VIE262151:VIJ262170 VIE327687:VIJ327706 VIE393223:VIJ393242 VIE458759:VIJ458778 VIE524295:VIJ524314 VIE589831:VIJ589850 VIE655367:VIJ655386 VIE720903:VIJ720922 VIE786439:VIJ786458 VIE851975:VIJ851994 VIE917511:VIJ917530 VIE983047:VIJ983066 VSA7:VSF26 VSA65543:VSF65562 VSA131079:VSF131098 VSA196615:VSF196634 VSA262151:VSF262170 VSA327687:VSF327706 VSA393223:VSF393242 VSA458759:VSF458778 VSA524295:VSF524314 VSA589831:VSF589850 VSA655367:VSF655386 VSA720903:VSF720922 VSA786439:VSF786458 VSA851975:VSF851994 VSA917511:VSF917530 VSA983047:VSF983066 WBW7:WCB26 WBW65543:WCB65562 WBW131079:WCB131098 WBW196615:WCB196634 WBW262151:WCB262170 WBW327687:WCB327706 WBW393223:WCB393242 WBW458759:WCB458778 WBW524295:WCB524314 WBW589831:WCB589850 WBW655367:WCB655386 WBW720903:WCB720922 WBW786439:WCB786458 WBW851975:WCB851994 WBW917511:WCB917530 WBW983047:WCB983066 WLS7:WLX26 WLS65543:WLX65562 WLS131079:WLX131098 WLS196615:WLX196634 WLS262151:WLX262170 WLS327687:WLX327706 WLS393223:WLX393242 WLS458759:WLX458778 WLS524295:WLX524314 WLS589831:WLX589850 WLS655367:WLX655386 WLS720903:WLX720922 WLS786439:WLX786458 WLS851975:WLX851994 WLS917511:WLX917530 WLS983047:WLX983066 WVO7:WVT26 WVO65543:WVT65562 WVO131079:WVT131098 WVO196615:WVT196634 WVO262151:WVT262170 WVO327687:WVT327706 WVO393223:WVT393242 WVO458759:WVT458778 WVO524295:WVT524314 WVO589831:WVT589850 WVO655367:WVT655386 WVO720903:WVT720922 WVO786439:WVT786458 WVO851975:WVT851994 WVO917511:WVT917530 WVO983047:WVT983066" xr:uid="{00000000-0002-0000-0900-000010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8:D13 D15:D26 D65538:D65539 D65544:D65562 D131074:D131075 D131080:D131098 D196610:D196611 D196616:D196634 D262146:D262147 D262152:D262170 D327682:D327683 D327688:D327706 D393218:D393219 D393224:D393242 D458754:D458755 D458760:D458778 D524290:D524291 D524296:D524314 D589826:D589827 D589832:D589850 D655362:D655363 D655368:D655386 D720898:D720899 D720904:D720922 D786434:D786435 D786440:D786458 D851970:D851971 D851976:D851994 D917506:D917507 D917512:D917530 D983042:D983043 D983048:D983066 JA2:JA3 JA8:JA26 JA65538:JA65539 JA65544:JA65562 JA131074:JA131075 JA131080:JA131098 JA196610:JA196611 JA196616:JA196634 JA262146:JA262147 JA262152:JA262170 JA327682:JA327683 JA327688:JA327706 JA393218:JA393219 JA393224:JA393242 JA458754:JA458755 JA458760:JA458778 JA524290:JA524291 JA524296:JA524314 JA589826:JA589827 JA589832:JA589850 JA655362:JA655363 JA655368:JA655386 JA720898:JA720899 JA720904:JA720922 JA786434:JA786435 JA786440:JA786458 JA851970:JA851971 JA851976:JA851994 JA917506:JA917507 JA917512:JA917530 JA983042:JA983043 JA983048:JA983066 SW2:SW3 SW8:SW26 SW65538:SW65539 SW65544:SW65562 SW131074:SW131075 SW131080:SW131098 SW196610:SW196611 SW196616:SW196634 SW262146:SW262147 SW262152:SW262170 SW327682:SW327683 SW327688:SW327706 SW393218:SW393219 SW393224:SW393242 SW458754:SW458755 SW458760:SW458778 SW524290:SW524291 SW524296:SW524314 SW589826:SW589827 SW589832:SW589850 SW655362:SW655363 SW655368:SW655386 SW720898:SW720899 SW720904:SW720922 SW786434:SW786435 SW786440:SW786458 SW851970:SW851971 SW851976:SW851994 SW917506:SW917507 SW917512:SW917530 SW983042:SW983043 SW983048:SW983066 ACS2:ACS3 ACS8:ACS26 ACS65538:ACS65539 ACS65544:ACS65562 ACS131074:ACS131075 ACS131080:ACS131098 ACS196610:ACS196611 ACS196616:ACS196634 ACS262146:ACS262147 ACS262152:ACS262170 ACS327682:ACS327683 ACS327688:ACS327706 ACS393218:ACS393219 ACS393224:ACS393242 ACS458754:ACS458755 ACS458760:ACS458778 ACS524290:ACS524291 ACS524296:ACS524314 ACS589826:ACS589827 ACS589832:ACS589850 ACS655362:ACS655363 ACS655368:ACS655386 ACS720898:ACS720899 ACS720904:ACS720922 ACS786434:ACS786435 ACS786440:ACS786458 ACS851970:ACS851971 ACS851976:ACS851994 ACS917506:ACS917507 ACS917512:ACS917530 ACS983042:ACS983043 ACS983048:ACS983066 AMO2:AMO3 AMO8:AMO26 AMO65538:AMO65539 AMO65544:AMO65562 AMO131074:AMO131075 AMO131080:AMO131098 AMO196610:AMO196611 AMO196616:AMO196634 AMO262146:AMO262147 AMO262152:AMO262170 AMO327682:AMO327683 AMO327688:AMO327706 AMO393218:AMO393219 AMO393224:AMO393242 AMO458754:AMO458755 AMO458760:AMO458778 AMO524290:AMO524291 AMO524296:AMO524314 AMO589826:AMO589827 AMO589832:AMO589850 AMO655362:AMO655363 AMO655368:AMO655386 AMO720898:AMO720899 AMO720904:AMO720922 AMO786434:AMO786435 AMO786440:AMO786458 AMO851970:AMO851971 AMO851976:AMO851994 AMO917506:AMO917507 AMO917512:AMO917530 AMO983042:AMO983043 AMO983048:AMO983066 AWK2:AWK3 AWK8:AWK26 AWK65538:AWK65539 AWK65544:AWK65562 AWK131074:AWK131075 AWK131080:AWK131098 AWK196610:AWK196611 AWK196616:AWK196634 AWK262146:AWK262147 AWK262152:AWK262170 AWK327682:AWK327683 AWK327688:AWK327706 AWK393218:AWK393219 AWK393224:AWK393242 AWK458754:AWK458755 AWK458760:AWK458778 AWK524290:AWK524291 AWK524296:AWK524314 AWK589826:AWK589827 AWK589832:AWK589850 AWK655362:AWK655363 AWK655368:AWK655386 AWK720898:AWK720899 AWK720904:AWK720922 AWK786434:AWK786435 AWK786440:AWK786458 AWK851970:AWK851971 AWK851976:AWK851994 AWK917506:AWK917507 AWK917512:AWK917530 AWK983042:AWK983043 AWK983048:AWK983066 BGG2:BGG3 BGG8:BGG26 BGG65538:BGG65539 BGG65544:BGG65562 BGG131074:BGG131075 BGG131080:BGG131098 BGG196610:BGG196611 BGG196616:BGG196634 BGG262146:BGG262147 BGG262152:BGG262170 BGG327682:BGG327683 BGG327688:BGG327706 BGG393218:BGG393219 BGG393224:BGG393242 BGG458754:BGG458755 BGG458760:BGG458778 BGG524290:BGG524291 BGG524296:BGG524314 BGG589826:BGG589827 BGG589832:BGG589850 BGG655362:BGG655363 BGG655368:BGG655386 BGG720898:BGG720899 BGG720904:BGG720922 BGG786434:BGG786435 BGG786440:BGG786458 BGG851970:BGG851971 BGG851976:BGG851994 BGG917506:BGG917507 BGG917512:BGG917530 BGG983042:BGG983043 BGG983048:BGG983066 BQC2:BQC3 BQC8:BQC26 BQC65538:BQC65539 BQC65544:BQC65562 BQC131074:BQC131075 BQC131080:BQC131098 BQC196610:BQC196611 BQC196616:BQC196634 BQC262146:BQC262147 BQC262152:BQC262170 BQC327682:BQC327683 BQC327688:BQC327706 BQC393218:BQC393219 BQC393224:BQC393242 BQC458754:BQC458755 BQC458760:BQC458778 BQC524290:BQC524291 BQC524296:BQC524314 BQC589826:BQC589827 BQC589832:BQC589850 BQC655362:BQC655363 BQC655368:BQC655386 BQC720898:BQC720899 BQC720904:BQC720922 BQC786434:BQC786435 BQC786440:BQC786458 BQC851970:BQC851971 BQC851976:BQC851994 BQC917506:BQC917507 BQC917512:BQC917530 BQC983042:BQC983043 BQC983048:BQC983066 BZY2:BZY3 BZY8:BZY26 BZY65538:BZY65539 BZY65544:BZY65562 BZY131074:BZY131075 BZY131080:BZY131098 BZY196610:BZY196611 BZY196616:BZY196634 BZY262146:BZY262147 BZY262152:BZY262170 BZY327682:BZY327683 BZY327688:BZY327706 BZY393218:BZY393219 BZY393224:BZY393242 BZY458754:BZY458755 BZY458760:BZY458778 BZY524290:BZY524291 BZY524296:BZY524314 BZY589826:BZY589827 BZY589832:BZY589850 BZY655362:BZY655363 BZY655368:BZY655386 BZY720898:BZY720899 BZY720904:BZY720922 BZY786434:BZY786435 BZY786440:BZY786458 BZY851970:BZY851971 BZY851976:BZY851994 BZY917506:BZY917507 BZY917512:BZY917530 BZY983042:BZY983043 BZY983048:BZY983066 CJU2:CJU3 CJU8:CJU26 CJU65538:CJU65539 CJU65544:CJU65562 CJU131074:CJU131075 CJU131080:CJU131098 CJU196610:CJU196611 CJU196616:CJU196634 CJU262146:CJU262147 CJU262152:CJU262170 CJU327682:CJU327683 CJU327688:CJU327706 CJU393218:CJU393219 CJU393224:CJU393242 CJU458754:CJU458755 CJU458760:CJU458778 CJU524290:CJU524291 CJU524296:CJU524314 CJU589826:CJU589827 CJU589832:CJU589850 CJU655362:CJU655363 CJU655368:CJU655386 CJU720898:CJU720899 CJU720904:CJU720922 CJU786434:CJU786435 CJU786440:CJU786458 CJU851970:CJU851971 CJU851976:CJU851994 CJU917506:CJU917507 CJU917512:CJU917530 CJU983042:CJU983043 CJU983048:CJU983066 CTQ2:CTQ3 CTQ8:CTQ26 CTQ65538:CTQ65539 CTQ65544:CTQ65562 CTQ131074:CTQ131075 CTQ131080:CTQ131098 CTQ196610:CTQ196611 CTQ196616:CTQ196634 CTQ262146:CTQ262147 CTQ262152:CTQ262170 CTQ327682:CTQ327683 CTQ327688:CTQ327706 CTQ393218:CTQ393219 CTQ393224:CTQ393242 CTQ458754:CTQ458755 CTQ458760:CTQ458778 CTQ524290:CTQ524291 CTQ524296:CTQ524314 CTQ589826:CTQ589827 CTQ589832:CTQ589850 CTQ655362:CTQ655363 CTQ655368:CTQ655386 CTQ720898:CTQ720899 CTQ720904:CTQ720922 CTQ786434:CTQ786435 CTQ786440:CTQ786458 CTQ851970:CTQ851971 CTQ851976:CTQ851994 CTQ917506:CTQ917507 CTQ917512:CTQ917530 CTQ983042:CTQ983043 CTQ983048:CTQ983066 DDM2:DDM3 DDM8:DDM26 DDM65538:DDM65539 DDM65544:DDM65562 DDM131074:DDM131075 DDM131080:DDM131098 DDM196610:DDM196611 DDM196616:DDM196634 DDM262146:DDM262147 DDM262152:DDM262170 DDM327682:DDM327683 DDM327688:DDM327706 DDM393218:DDM393219 DDM393224:DDM393242 DDM458754:DDM458755 DDM458760:DDM458778 DDM524290:DDM524291 DDM524296:DDM524314 DDM589826:DDM589827 DDM589832:DDM589850 DDM655362:DDM655363 DDM655368:DDM655386 DDM720898:DDM720899 DDM720904:DDM720922 DDM786434:DDM786435 DDM786440:DDM786458 DDM851970:DDM851971 DDM851976:DDM851994 DDM917506:DDM917507 DDM917512:DDM917530 DDM983042:DDM983043 DDM983048:DDM983066 DNI2:DNI3 DNI8:DNI26 DNI65538:DNI65539 DNI65544:DNI65562 DNI131074:DNI131075 DNI131080:DNI131098 DNI196610:DNI196611 DNI196616:DNI196634 DNI262146:DNI262147 DNI262152:DNI262170 DNI327682:DNI327683 DNI327688:DNI327706 DNI393218:DNI393219 DNI393224:DNI393242 DNI458754:DNI458755 DNI458760:DNI458778 DNI524290:DNI524291 DNI524296:DNI524314 DNI589826:DNI589827 DNI589832:DNI589850 DNI655362:DNI655363 DNI655368:DNI655386 DNI720898:DNI720899 DNI720904:DNI720922 DNI786434:DNI786435 DNI786440:DNI786458 DNI851970:DNI851971 DNI851976:DNI851994 DNI917506:DNI917507 DNI917512:DNI917530 DNI983042:DNI983043 DNI983048:DNI983066 DXE2:DXE3 DXE8:DXE26 DXE65538:DXE65539 DXE65544:DXE65562 DXE131074:DXE131075 DXE131080:DXE131098 DXE196610:DXE196611 DXE196616:DXE196634 DXE262146:DXE262147 DXE262152:DXE262170 DXE327682:DXE327683 DXE327688:DXE327706 DXE393218:DXE393219 DXE393224:DXE393242 DXE458754:DXE458755 DXE458760:DXE458778 DXE524290:DXE524291 DXE524296:DXE524314 DXE589826:DXE589827 DXE589832:DXE589850 DXE655362:DXE655363 DXE655368:DXE655386 DXE720898:DXE720899 DXE720904:DXE720922 DXE786434:DXE786435 DXE786440:DXE786458 DXE851970:DXE851971 DXE851976:DXE851994 DXE917506:DXE917507 DXE917512:DXE917530 DXE983042:DXE983043 DXE983048:DXE983066 EHA2:EHA3 EHA8:EHA26 EHA65538:EHA65539 EHA65544:EHA65562 EHA131074:EHA131075 EHA131080:EHA131098 EHA196610:EHA196611 EHA196616:EHA196634 EHA262146:EHA262147 EHA262152:EHA262170 EHA327682:EHA327683 EHA327688:EHA327706 EHA393218:EHA393219 EHA393224:EHA393242 EHA458754:EHA458755 EHA458760:EHA458778 EHA524290:EHA524291 EHA524296:EHA524314 EHA589826:EHA589827 EHA589832:EHA589850 EHA655362:EHA655363 EHA655368:EHA655386 EHA720898:EHA720899 EHA720904:EHA720922 EHA786434:EHA786435 EHA786440:EHA786458 EHA851970:EHA851971 EHA851976:EHA851994 EHA917506:EHA917507 EHA917512:EHA917530 EHA983042:EHA983043 EHA983048:EHA983066 EQW2:EQW3 EQW8:EQW26 EQW65538:EQW65539 EQW65544:EQW65562 EQW131074:EQW131075 EQW131080:EQW131098 EQW196610:EQW196611 EQW196616:EQW196634 EQW262146:EQW262147 EQW262152:EQW262170 EQW327682:EQW327683 EQW327688:EQW327706 EQW393218:EQW393219 EQW393224:EQW393242 EQW458754:EQW458755 EQW458760:EQW458778 EQW524290:EQW524291 EQW524296:EQW524314 EQW589826:EQW589827 EQW589832:EQW589850 EQW655362:EQW655363 EQW655368:EQW655386 EQW720898:EQW720899 EQW720904:EQW720922 EQW786434:EQW786435 EQW786440:EQW786458 EQW851970:EQW851971 EQW851976:EQW851994 EQW917506:EQW917507 EQW917512:EQW917530 EQW983042:EQW983043 EQW983048:EQW983066 FAS2:FAS3 FAS8:FAS26 FAS65538:FAS65539 FAS65544:FAS65562 FAS131074:FAS131075 FAS131080:FAS131098 FAS196610:FAS196611 FAS196616:FAS196634 FAS262146:FAS262147 FAS262152:FAS262170 FAS327682:FAS327683 FAS327688:FAS327706 FAS393218:FAS393219 FAS393224:FAS393242 FAS458754:FAS458755 FAS458760:FAS458778 FAS524290:FAS524291 FAS524296:FAS524314 FAS589826:FAS589827 FAS589832:FAS589850 FAS655362:FAS655363 FAS655368:FAS655386 FAS720898:FAS720899 FAS720904:FAS720922 FAS786434:FAS786435 FAS786440:FAS786458 FAS851970:FAS851971 FAS851976:FAS851994 FAS917506:FAS917507 FAS917512:FAS917530 FAS983042:FAS983043 FAS983048:FAS983066 FKO2:FKO3 FKO8:FKO26 FKO65538:FKO65539 FKO65544:FKO65562 FKO131074:FKO131075 FKO131080:FKO131098 FKO196610:FKO196611 FKO196616:FKO196634 FKO262146:FKO262147 FKO262152:FKO262170 FKO327682:FKO327683 FKO327688:FKO327706 FKO393218:FKO393219 FKO393224:FKO393242 FKO458754:FKO458755 FKO458760:FKO458778 FKO524290:FKO524291 FKO524296:FKO524314 FKO589826:FKO589827 FKO589832:FKO589850 FKO655362:FKO655363 FKO655368:FKO655386 FKO720898:FKO720899 FKO720904:FKO720922 FKO786434:FKO786435 FKO786440:FKO786458 FKO851970:FKO851971 FKO851976:FKO851994 FKO917506:FKO917507 FKO917512:FKO917530 FKO983042:FKO983043 FKO983048:FKO983066 FUK2:FUK3 FUK8:FUK26 FUK65538:FUK65539 FUK65544:FUK65562 FUK131074:FUK131075 FUK131080:FUK131098 FUK196610:FUK196611 FUK196616:FUK196634 FUK262146:FUK262147 FUK262152:FUK262170 FUK327682:FUK327683 FUK327688:FUK327706 FUK393218:FUK393219 FUK393224:FUK393242 FUK458754:FUK458755 FUK458760:FUK458778 FUK524290:FUK524291 FUK524296:FUK524314 FUK589826:FUK589827 FUK589832:FUK589850 FUK655362:FUK655363 FUK655368:FUK655386 FUK720898:FUK720899 FUK720904:FUK720922 FUK786434:FUK786435 FUK786440:FUK786458 FUK851970:FUK851971 FUK851976:FUK851994 FUK917506:FUK917507 FUK917512:FUK917530 FUK983042:FUK983043 FUK983048:FUK983066 GEG2:GEG3 GEG8:GEG26 GEG65538:GEG65539 GEG65544:GEG65562 GEG131074:GEG131075 GEG131080:GEG131098 GEG196610:GEG196611 GEG196616:GEG196634 GEG262146:GEG262147 GEG262152:GEG262170 GEG327682:GEG327683 GEG327688:GEG327706 GEG393218:GEG393219 GEG393224:GEG393242 GEG458754:GEG458755 GEG458760:GEG458778 GEG524290:GEG524291 GEG524296:GEG524314 GEG589826:GEG589827 GEG589832:GEG589850 GEG655362:GEG655363 GEG655368:GEG655386 GEG720898:GEG720899 GEG720904:GEG720922 GEG786434:GEG786435 GEG786440:GEG786458 GEG851970:GEG851971 GEG851976:GEG851994 GEG917506:GEG917507 GEG917512:GEG917530 GEG983042:GEG983043 GEG983048:GEG983066 GOC2:GOC3 GOC8:GOC26 GOC65538:GOC65539 GOC65544:GOC65562 GOC131074:GOC131075 GOC131080:GOC131098 GOC196610:GOC196611 GOC196616:GOC196634 GOC262146:GOC262147 GOC262152:GOC262170 GOC327682:GOC327683 GOC327688:GOC327706 GOC393218:GOC393219 GOC393224:GOC393242 GOC458754:GOC458755 GOC458760:GOC458778 GOC524290:GOC524291 GOC524296:GOC524314 GOC589826:GOC589827 GOC589832:GOC589850 GOC655362:GOC655363 GOC655368:GOC655386 GOC720898:GOC720899 GOC720904:GOC720922 GOC786434:GOC786435 GOC786440:GOC786458 GOC851970:GOC851971 GOC851976:GOC851994 GOC917506:GOC917507 GOC917512:GOC917530 GOC983042:GOC983043 GOC983048:GOC983066 GXY2:GXY3 GXY8:GXY26 GXY65538:GXY65539 GXY65544:GXY65562 GXY131074:GXY131075 GXY131080:GXY131098 GXY196610:GXY196611 GXY196616:GXY196634 GXY262146:GXY262147 GXY262152:GXY262170 GXY327682:GXY327683 GXY327688:GXY327706 GXY393218:GXY393219 GXY393224:GXY393242 GXY458754:GXY458755 GXY458760:GXY458778 GXY524290:GXY524291 GXY524296:GXY524314 GXY589826:GXY589827 GXY589832:GXY589850 GXY655362:GXY655363 GXY655368:GXY655386 GXY720898:GXY720899 GXY720904:GXY720922 GXY786434:GXY786435 GXY786440:GXY786458 GXY851970:GXY851971 GXY851976:GXY851994 GXY917506:GXY917507 GXY917512:GXY917530 GXY983042:GXY983043 GXY983048:GXY983066 HHU2:HHU3 HHU8:HHU26 HHU65538:HHU65539 HHU65544:HHU65562 HHU131074:HHU131075 HHU131080:HHU131098 HHU196610:HHU196611 HHU196616:HHU196634 HHU262146:HHU262147 HHU262152:HHU262170 HHU327682:HHU327683 HHU327688:HHU327706 HHU393218:HHU393219 HHU393224:HHU393242 HHU458754:HHU458755 HHU458760:HHU458778 HHU524290:HHU524291 HHU524296:HHU524314 HHU589826:HHU589827 HHU589832:HHU589850 HHU655362:HHU655363 HHU655368:HHU655386 HHU720898:HHU720899 HHU720904:HHU720922 HHU786434:HHU786435 HHU786440:HHU786458 HHU851970:HHU851971 HHU851976:HHU851994 HHU917506:HHU917507 HHU917512:HHU917530 HHU983042:HHU983043 HHU983048:HHU983066 HRQ2:HRQ3 HRQ8:HRQ26 HRQ65538:HRQ65539 HRQ65544:HRQ65562 HRQ131074:HRQ131075 HRQ131080:HRQ131098 HRQ196610:HRQ196611 HRQ196616:HRQ196634 HRQ262146:HRQ262147 HRQ262152:HRQ262170 HRQ327682:HRQ327683 HRQ327688:HRQ327706 HRQ393218:HRQ393219 HRQ393224:HRQ393242 HRQ458754:HRQ458755 HRQ458760:HRQ458778 HRQ524290:HRQ524291 HRQ524296:HRQ524314 HRQ589826:HRQ589827 HRQ589832:HRQ589850 HRQ655362:HRQ655363 HRQ655368:HRQ655386 HRQ720898:HRQ720899 HRQ720904:HRQ720922 HRQ786434:HRQ786435 HRQ786440:HRQ786458 HRQ851970:HRQ851971 HRQ851976:HRQ851994 HRQ917506:HRQ917507 HRQ917512:HRQ917530 HRQ983042:HRQ983043 HRQ983048:HRQ983066 IBM2:IBM3 IBM8:IBM26 IBM65538:IBM65539 IBM65544:IBM65562 IBM131074:IBM131075 IBM131080:IBM131098 IBM196610:IBM196611 IBM196616:IBM196634 IBM262146:IBM262147 IBM262152:IBM262170 IBM327682:IBM327683 IBM327688:IBM327706 IBM393218:IBM393219 IBM393224:IBM393242 IBM458754:IBM458755 IBM458760:IBM458778 IBM524290:IBM524291 IBM524296:IBM524314 IBM589826:IBM589827 IBM589832:IBM589850 IBM655362:IBM655363 IBM655368:IBM655386 IBM720898:IBM720899 IBM720904:IBM720922 IBM786434:IBM786435 IBM786440:IBM786458 IBM851970:IBM851971 IBM851976:IBM851994 IBM917506:IBM917507 IBM917512:IBM917530 IBM983042:IBM983043 IBM983048:IBM983066 ILI2:ILI3 ILI8:ILI26 ILI65538:ILI65539 ILI65544:ILI65562 ILI131074:ILI131075 ILI131080:ILI131098 ILI196610:ILI196611 ILI196616:ILI196634 ILI262146:ILI262147 ILI262152:ILI262170 ILI327682:ILI327683 ILI327688:ILI327706 ILI393218:ILI393219 ILI393224:ILI393242 ILI458754:ILI458755 ILI458760:ILI458778 ILI524290:ILI524291 ILI524296:ILI524314 ILI589826:ILI589827 ILI589832:ILI589850 ILI655362:ILI655363 ILI655368:ILI655386 ILI720898:ILI720899 ILI720904:ILI720922 ILI786434:ILI786435 ILI786440:ILI786458 ILI851970:ILI851971 ILI851976:ILI851994 ILI917506:ILI917507 ILI917512:ILI917530 ILI983042:ILI983043 ILI983048:ILI983066 IVE2:IVE3 IVE8:IVE26 IVE65538:IVE65539 IVE65544:IVE65562 IVE131074:IVE131075 IVE131080:IVE131098 IVE196610:IVE196611 IVE196616:IVE196634 IVE262146:IVE262147 IVE262152:IVE262170 IVE327682:IVE327683 IVE327688:IVE327706 IVE393218:IVE393219 IVE393224:IVE393242 IVE458754:IVE458755 IVE458760:IVE458778 IVE524290:IVE524291 IVE524296:IVE524314 IVE589826:IVE589827 IVE589832:IVE589850 IVE655362:IVE655363 IVE655368:IVE655386 IVE720898:IVE720899 IVE720904:IVE720922 IVE786434:IVE786435 IVE786440:IVE786458 IVE851970:IVE851971 IVE851976:IVE851994 IVE917506:IVE917507 IVE917512:IVE917530 IVE983042:IVE983043 IVE983048:IVE983066 JFA2:JFA3 JFA8:JFA26 JFA65538:JFA65539 JFA65544:JFA65562 JFA131074:JFA131075 JFA131080:JFA131098 JFA196610:JFA196611 JFA196616:JFA196634 JFA262146:JFA262147 JFA262152:JFA262170 JFA327682:JFA327683 JFA327688:JFA327706 JFA393218:JFA393219 JFA393224:JFA393242 JFA458754:JFA458755 JFA458760:JFA458778 JFA524290:JFA524291 JFA524296:JFA524314 JFA589826:JFA589827 JFA589832:JFA589850 JFA655362:JFA655363 JFA655368:JFA655386 JFA720898:JFA720899 JFA720904:JFA720922 JFA786434:JFA786435 JFA786440:JFA786458 JFA851970:JFA851971 JFA851976:JFA851994 JFA917506:JFA917507 JFA917512:JFA917530 JFA983042:JFA983043 JFA983048:JFA983066 JOW2:JOW3 JOW8:JOW26 JOW65538:JOW65539 JOW65544:JOW65562 JOW131074:JOW131075 JOW131080:JOW131098 JOW196610:JOW196611 JOW196616:JOW196634 JOW262146:JOW262147 JOW262152:JOW262170 JOW327682:JOW327683 JOW327688:JOW327706 JOW393218:JOW393219 JOW393224:JOW393242 JOW458754:JOW458755 JOW458760:JOW458778 JOW524290:JOW524291 JOW524296:JOW524314 JOW589826:JOW589827 JOW589832:JOW589850 JOW655362:JOW655363 JOW655368:JOW655386 JOW720898:JOW720899 JOW720904:JOW720922 JOW786434:JOW786435 JOW786440:JOW786458 JOW851970:JOW851971 JOW851976:JOW851994 JOW917506:JOW917507 JOW917512:JOW917530 JOW983042:JOW983043 JOW983048:JOW983066 JYS2:JYS3 JYS8:JYS26 JYS65538:JYS65539 JYS65544:JYS65562 JYS131074:JYS131075 JYS131080:JYS131098 JYS196610:JYS196611 JYS196616:JYS196634 JYS262146:JYS262147 JYS262152:JYS262170 JYS327682:JYS327683 JYS327688:JYS327706 JYS393218:JYS393219 JYS393224:JYS393242 JYS458754:JYS458755 JYS458760:JYS458778 JYS524290:JYS524291 JYS524296:JYS524314 JYS589826:JYS589827 JYS589832:JYS589850 JYS655362:JYS655363 JYS655368:JYS655386 JYS720898:JYS720899 JYS720904:JYS720922 JYS786434:JYS786435 JYS786440:JYS786458 JYS851970:JYS851971 JYS851976:JYS851994 JYS917506:JYS917507 JYS917512:JYS917530 JYS983042:JYS983043 JYS983048:JYS983066 KIO2:KIO3 KIO8:KIO26 KIO65538:KIO65539 KIO65544:KIO65562 KIO131074:KIO131075 KIO131080:KIO131098 KIO196610:KIO196611 KIO196616:KIO196634 KIO262146:KIO262147 KIO262152:KIO262170 KIO327682:KIO327683 KIO327688:KIO327706 KIO393218:KIO393219 KIO393224:KIO393242 KIO458754:KIO458755 KIO458760:KIO458778 KIO524290:KIO524291 KIO524296:KIO524314 KIO589826:KIO589827 KIO589832:KIO589850 KIO655362:KIO655363 KIO655368:KIO655386 KIO720898:KIO720899 KIO720904:KIO720922 KIO786434:KIO786435 KIO786440:KIO786458 KIO851970:KIO851971 KIO851976:KIO851994 KIO917506:KIO917507 KIO917512:KIO917530 KIO983042:KIO983043 KIO983048:KIO983066 KSK2:KSK3 KSK8:KSK26 KSK65538:KSK65539 KSK65544:KSK65562 KSK131074:KSK131075 KSK131080:KSK131098 KSK196610:KSK196611 KSK196616:KSK196634 KSK262146:KSK262147 KSK262152:KSK262170 KSK327682:KSK327683 KSK327688:KSK327706 KSK393218:KSK393219 KSK393224:KSK393242 KSK458754:KSK458755 KSK458760:KSK458778 KSK524290:KSK524291 KSK524296:KSK524314 KSK589826:KSK589827 KSK589832:KSK589850 KSK655362:KSK655363 KSK655368:KSK655386 KSK720898:KSK720899 KSK720904:KSK720922 KSK786434:KSK786435 KSK786440:KSK786458 KSK851970:KSK851971 KSK851976:KSK851994 KSK917506:KSK917507 KSK917512:KSK917530 KSK983042:KSK983043 KSK983048:KSK983066 LCG2:LCG3 LCG8:LCG26 LCG65538:LCG65539 LCG65544:LCG65562 LCG131074:LCG131075 LCG131080:LCG131098 LCG196610:LCG196611 LCG196616:LCG196634 LCG262146:LCG262147 LCG262152:LCG262170 LCG327682:LCG327683 LCG327688:LCG327706 LCG393218:LCG393219 LCG393224:LCG393242 LCG458754:LCG458755 LCG458760:LCG458778 LCG524290:LCG524291 LCG524296:LCG524314 LCG589826:LCG589827 LCG589832:LCG589850 LCG655362:LCG655363 LCG655368:LCG655386 LCG720898:LCG720899 LCG720904:LCG720922 LCG786434:LCG786435 LCG786440:LCG786458 LCG851970:LCG851971 LCG851976:LCG851994 LCG917506:LCG917507 LCG917512:LCG917530 LCG983042:LCG983043 LCG983048:LCG983066 LMC2:LMC3 LMC8:LMC26 LMC65538:LMC65539 LMC65544:LMC65562 LMC131074:LMC131075 LMC131080:LMC131098 LMC196610:LMC196611 LMC196616:LMC196634 LMC262146:LMC262147 LMC262152:LMC262170 LMC327682:LMC327683 LMC327688:LMC327706 LMC393218:LMC393219 LMC393224:LMC393242 LMC458754:LMC458755 LMC458760:LMC458778 LMC524290:LMC524291 LMC524296:LMC524314 LMC589826:LMC589827 LMC589832:LMC589850 LMC655362:LMC655363 LMC655368:LMC655386 LMC720898:LMC720899 LMC720904:LMC720922 LMC786434:LMC786435 LMC786440:LMC786458 LMC851970:LMC851971 LMC851976:LMC851994 LMC917506:LMC917507 LMC917512:LMC917530 LMC983042:LMC983043 LMC983048:LMC983066 LVY2:LVY3 LVY8:LVY26 LVY65538:LVY65539 LVY65544:LVY65562 LVY131074:LVY131075 LVY131080:LVY131098 LVY196610:LVY196611 LVY196616:LVY196634 LVY262146:LVY262147 LVY262152:LVY262170 LVY327682:LVY327683 LVY327688:LVY327706 LVY393218:LVY393219 LVY393224:LVY393242 LVY458754:LVY458755 LVY458760:LVY458778 LVY524290:LVY524291 LVY524296:LVY524314 LVY589826:LVY589827 LVY589832:LVY589850 LVY655362:LVY655363 LVY655368:LVY655386 LVY720898:LVY720899 LVY720904:LVY720922 LVY786434:LVY786435 LVY786440:LVY786458 LVY851970:LVY851971 LVY851976:LVY851994 LVY917506:LVY917507 LVY917512:LVY917530 LVY983042:LVY983043 LVY983048:LVY983066 MFU2:MFU3 MFU8:MFU26 MFU65538:MFU65539 MFU65544:MFU65562 MFU131074:MFU131075 MFU131080:MFU131098 MFU196610:MFU196611 MFU196616:MFU196634 MFU262146:MFU262147 MFU262152:MFU262170 MFU327682:MFU327683 MFU327688:MFU327706 MFU393218:MFU393219 MFU393224:MFU393242 MFU458754:MFU458755 MFU458760:MFU458778 MFU524290:MFU524291 MFU524296:MFU524314 MFU589826:MFU589827 MFU589832:MFU589850 MFU655362:MFU655363 MFU655368:MFU655386 MFU720898:MFU720899 MFU720904:MFU720922 MFU786434:MFU786435 MFU786440:MFU786458 MFU851970:MFU851971 MFU851976:MFU851994 MFU917506:MFU917507 MFU917512:MFU917530 MFU983042:MFU983043 MFU983048:MFU983066 MPQ2:MPQ3 MPQ8:MPQ26 MPQ65538:MPQ65539 MPQ65544:MPQ65562 MPQ131074:MPQ131075 MPQ131080:MPQ131098 MPQ196610:MPQ196611 MPQ196616:MPQ196634 MPQ262146:MPQ262147 MPQ262152:MPQ262170 MPQ327682:MPQ327683 MPQ327688:MPQ327706 MPQ393218:MPQ393219 MPQ393224:MPQ393242 MPQ458754:MPQ458755 MPQ458760:MPQ458778 MPQ524290:MPQ524291 MPQ524296:MPQ524314 MPQ589826:MPQ589827 MPQ589832:MPQ589850 MPQ655362:MPQ655363 MPQ655368:MPQ655386 MPQ720898:MPQ720899 MPQ720904:MPQ720922 MPQ786434:MPQ786435 MPQ786440:MPQ786458 MPQ851970:MPQ851971 MPQ851976:MPQ851994 MPQ917506:MPQ917507 MPQ917512:MPQ917530 MPQ983042:MPQ983043 MPQ983048:MPQ983066 MZM2:MZM3 MZM8:MZM26 MZM65538:MZM65539 MZM65544:MZM65562 MZM131074:MZM131075 MZM131080:MZM131098 MZM196610:MZM196611 MZM196616:MZM196634 MZM262146:MZM262147 MZM262152:MZM262170 MZM327682:MZM327683 MZM327688:MZM327706 MZM393218:MZM393219 MZM393224:MZM393242 MZM458754:MZM458755 MZM458760:MZM458778 MZM524290:MZM524291 MZM524296:MZM524314 MZM589826:MZM589827 MZM589832:MZM589850 MZM655362:MZM655363 MZM655368:MZM655386 MZM720898:MZM720899 MZM720904:MZM720922 MZM786434:MZM786435 MZM786440:MZM786458 MZM851970:MZM851971 MZM851976:MZM851994 MZM917506:MZM917507 MZM917512:MZM917530 MZM983042:MZM983043 MZM983048:MZM983066 NJI2:NJI3 NJI8:NJI26 NJI65538:NJI65539 NJI65544:NJI65562 NJI131074:NJI131075 NJI131080:NJI131098 NJI196610:NJI196611 NJI196616:NJI196634 NJI262146:NJI262147 NJI262152:NJI262170 NJI327682:NJI327683 NJI327688:NJI327706 NJI393218:NJI393219 NJI393224:NJI393242 NJI458754:NJI458755 NJI458760:NJI458778 NJI524290:NJI524291 NJI524296:NJI524314 NJI589826:NJI589827 NJI589832:NJI589850 NJI655362:NJI655363 NJI655368:NJI655386 NJI720898:NJI720899 NJI720904:NJI720922 NJI786434:NJI786435 NJI786440:NJI786458 NJI851970:NJI851971 NJI851976:NJI851994 NJI917506:NJI917507 NJI917512:NJI917530 NJI983042:NJI983043 NJI983048:NJI983066 NTE2:NTE3 NTE8:NTE26 NTE65538:NTE65539 NTE65544:NTE65562 NTE131074:NTE131075 NTE131080:NTE131098 NTE196610:NTE196611 NTE196616:NTE196634 NTE262146:NTE262147 NTE262152:NTE262170 NTE327682:NTE327683 NTE327688:NTE327706 NTE393218:NTE393219 NTE393224:NTE393242 NTE458754:NTE458755 NTE458760:NTE458778 NTE524290:NTE524291 NTE524296:NTE524314 NTE589826:NTE589827 NTE589832:NTE589850 NTE655362:NTE655363 NTE655368:NTE655386 NTE720898:NTE720899 NTE720904:NTE720922 NTE786434:NTE786435 NTE786440:NTE786458 NTE851970:NTE851971 NTE851976:NTE851994 NTE917506:NTE917507 NTE917512:NTE917530 NTE983042:NTE983043 NTE983048:NTE983066 ODA2:ODA3 ODA8:ODA26 ODA65538:ODA65539 ODA65544:ODA65562 ODA131074:ODA131075 ODA131080:ODA131098 ODA196610:ODA196611 ODA196616:ODA196634 ODA262146:ODA262147 ODA262152:ODA262170 ODA327682:ODA327683 ODA327688:ODA327706 ODA393218:ODA393219 ODA393224:ODA393242 ODA458754:ODA458755 ODA458760:ODA458778 ODA524290:ODA524291 ODA524296:ODA524314 ODA589826:ODA589827 ODA589832:ODA589850 ODA655362:ODA655363 ODA655368:ODA655386 ODA720898:ODA720899 ODA720904:ODA720922 ODA786434:ODA786435 ODA786440:ODA786458 ODA851970:ODA851971 ODA851976:ODA851994 ODA917506:ODA917507 ODA917512:ODA917530 ODA983042:ODA983043 ODA983048:ODA983066 OMW2:OMW3 OMW8:OMW26 OMW65538:OMW65539 OMW65544:OMW65562 OMW131074:OMW131075 OMW131080:OMW131098 OMW196610:OMW196611 OMW196616:OMW196634 OMW262146:OMW262147 OMW262152:OMW262170 OMW327682:OMW327683 OMW327688:OMW327706 OMW393218:OMW393219 OMW393224:OMW393242 OMW458754:OMW458755 OMW458760:OMW458778 OMW524290:OMW524291 OMW524296:OMW524314 OMW589826:OMW589827 OMW589832:OMW589850 OMW655362:OMW655363 OMW655368:OMW655386 OMW720898:OMW720899 OMW720904:OMW720922 OMW786434:OMW786435 OMW786440:OMW786458 OMW851970:OMW851971 OMW851976:OMW851994 OMW917506:OMW917507 OMW917512:OMW917530 OMW983042:OMW983043 OMW983048:OMW983066 OWS2:OWS3 OWS8:OWS26 OWS65538:OWS65539 OWS65544:OWS65562 OWS131074:OWS131075 OWS131080:OWS131098 OWS196610:OWS196611 OWS196616:OWS196634 OWS262146:OWS262147 OWS262152:OWS262170 OWS327682:OWS327683 OWS327688:OWS327706 OWS393218:OWS393219 OWS393224:OWS393242 OWS458754:OWS458755 OWS458760:OWS458778 OWS524290:OWS524291 OWS524296:OWS524314 OWS589826:OWS589827 OWS589832:OWS589850 OWS655362:OWS655363 OWS655368:OWS655386 OWS720898:OWS720899 OWS720904:OWS720922 OWS786434:OWS786435 OWS786440:OWS786458 OWS851970:OWS851971 OWS851976:OWS851994 OWS917506:OWS917507 OWS917512:OWS917530 OWS983042:OWS983043 OWS983048:OWS983066 PGO2:PGO3 PGO8:PGO26 PGO65538:PGO65539 PGO65544:PGO65562 PGO131074:PGO131075 PGO131080:PGO131098 PGO196610:PGO196611 PGO196616:PGO196634 PGO262146:PGO262147 PGO262152:PGO262170 PGO327682:PGO327683 PGO327688:PGO327706 PGO393218:PGO393219 PGO393224:PGO393242 PGO458754:PGO458755 PGO458760:PGO458778 PGO524290:PGO524291 PGO524296:PGO524314 PGO589826:PGO589827 PGO589832:PGO589850 PGO655362:PGO655363 PGO655368:PGO655386 PGO720898:PGO720899 PGO720904:PGO720922 PGO786434:PGO786435 PGO786440:PGO786458 PGO851970:PGO851971 PGO851976:PGO851994 PGO917506:PGO917507 PGO917512:PGO917530 PGO983042:PGO983043 PGO983048:PGO983066 PQK2:PQK3 PQK8:PQK26 PQK65538:PQK65539 PQK65544:PQK65562 PQK131074:PQK131075 PQK131080:PQK131098 PQK196610:PQK196611 PQK196616:PQK196634 PQK262146:PQK262147 PQK262152:PQK262170 PQK327682:PQK327683 PQK327688:PQK327706 PQK393218:PQK393219 PQK393224:PQK393242 PQK458754:PQK458755 PQK458760:PQK458778 PQK524290:PQK524291 PQK524296:PQK524314 PQK589826:PQK589827 PQK589832:PQK589850 PQK655362:PQK655363 PQK655368:PQK655386 PQK720898:PQK720899 PQK720904:PQK720922 PQK786434:PQK786435 PQK786440:PQK786458 PQK851970:PQK851971 PQK851976:PQK851994 PQK917506:PQK917507 PQK917512:PQK917530 PQK983042:PQK983043 PQK983048:PQK983066 QAG2:QAG3 QAG8:QAG26 QAG65538:QAG65539 QAG65544:QAG65562 QAG131074:QAG131075 QAG131080:QAG131098 QAG196610:QAG196611 QAG196616:QAG196634 QAG262146:QAG262147 QAG262152:QAG262170 QAG327682:QAG327683 QAG327688:QAG327706 QAG393218:QAG393219 QAG393224:QAG393242 QAG458754:QAG458755 QAG458760:QAG458778 QAG524290:QAG524291 QAG524296:QAG524314 QAG589826:QAG589827 QAG589832:QAG589850 QAG655362:QAG655363 QAG655368:QAG655386 QAG720898:QAG720899 QAG720904:QAG720922 QAG786434:QAG786435 QAG786440:QAG786458 QAG851970:QAG851971 QAG851976:QAG851994 QAG917506:QAG917507 QAG917512:QAG917530 QAG983042:QAG983043 QAG983048:QAG983066 QKC2:QKC3 QKC8:QKC26 QKC65538:QKC65539 QKC65544:QKC65562 QKC131074:QKC131075 QKC131080:QKC131098 QKC196610:QKC196611 QKC196616:QKC196634 QKC262146:QKC262147 QKC262152:QKC262170 QKC327682:QKC327683 QKC327688:QKC327706 QKC393218:QKC393219 QKC393224:QKC393242 QKC458754:QKC458755 QKC458760:QKC458778 QKC524290:QKC524291 QKC524296:QKC524314 QKC589826:QKC589827 QKC589832:QKC589850 QKC655362:QKC655363 QKC655368:QKC655386 QKC720898:QKC720899 QKC720904:QKC720922 QKC786434:QKC786435 QKC786440:QKC786458 QKC851970:QKC851971 QKC851976:QKC851994 QKC917506:QKC917507 QKC917512:QKC917530 QKC983042:QKC983043 QKC983048:QKC983066 QTY2:QTY3 QTY8:QTY26 QTY65538:QTY65539 QTY65544:QTY65562 QTY131074:QTY131075 QTY131080:QTY131098 QTY196610:QTY196611 QTY196616:QTY196634 QTY262146:QTY262147 QTY262152:QTY262170 QTY327682:QTY327683 QTY327688:QTY327706 QTY393218:QTY393219 QTY393224:QTY393242 QTY458754:QTY458755 QTY458760:QTY458778 QTY524290:QTY524291 QTY524296:QTY524314 QTY589826:QTY589827 QTY589832:QTY589850 QTY655362:QTY655363 QTY655368:QTY655386 QTY720898:QTY720899 QTY720904:QTY720922 QTY786434:QTY786435 QTY786440:QTY786458 QTY851970:QTY851971 QTY851976:QTY851994 QTY917506:QTY917507 QTY917512:QTY917530 QTY983042:QTY983043 QTY983048:QTY983066 RDU2:RDU3 RDU8:RDU26 RDU65538:RDU65539 RDU65544:RDU65562 RDU131074:RDU131075 RDU131080:RDU131098 RDU196610:RDU196611 RDU196616:RDU196634 RDU262146:RDU262147 RDU262152:RDU262170 RDU327682:RDU327683 RDU327688:RDU327706 RDU393218:RDU393219 RDU393224:RDU393242 RDU458754:RDU458755 RDU458760:RDU458778 RDU524290:RDU524291 RDU524296:RDU524314 RDU589826:RDU589827 RDU589832:RDU589850 RDU655362:RDU655363 RDU655368:RDU655386 RDU720898:RDU720899 RDU720904:RDU720922 RDU786434:RDU786435 RDU786440:RDU786458 RDU851970:RDU851971 RDU851976:RDU851994 RDU917506:RDU917507 RDU917512:RDU917530 RDU983042:RDU983043 RDU983048:RDU983066 RNQ2:RNQ3 RNQ8:RNQ26 RNQ65538:RNQ65539 RNQ65544:RNQ65562 RNQ131074:RNQ131075 RNQ131080:RNQ131098 RNQ196610:RNQ196611 RNQ196616:RNQ196634 RNQ262146:RNQ262147 RNQ262152:RNQ262170 RNQ327682:RNQ327683 RNQ327688:RNQ327706 RNQ393218:RNQ393219 RNQ393224:RNQ393242 RNQ458754:RNQ458755 RNQ458760:RNQ458778 RNQ524290:RNQ524291 RNQ524296:RNQ524314 RNQ589826:RNQ589827 RNQ589832:RNQ589850 RNQ655362:RNQ655363 RNQ655368:RNQ655386 RNQ720898:RNQ720899 RNQ720904:RNQ720922 RNQ786434:RNQ786435 RNQ786440:RNQ786458 RNQ851970:RNQ851971 RNQ851976:RNQ851994 RNQ917506:RNQ917507 RNQ917512:RNQ917530 RNQ983042:RNQ983043 RNQ983048:RNQ983066 RXM2:RXM3 RXM8:RXM26 RXM65538:RXM65539 RXM65544:RXM65562 RXM131074:RXM131075 RXM131080:RXM131098 RXM196610:RXM196611 RXM196616:RXM196634 RXM262146:RXM262147 RXM262152:RXM262170 RXM327682:RXM327683 RXM327688:RXM327706 RXM393218:RXM393219 RXM393224:RXM393242 RXM458754:RXM458755 RXM458760:RXM458778 RXM524290:RXM524291 RXM524296:RXM524314 RXM589826:RXM589827 RXM589832:RXM589850 RXM655362:RXM655363 RXM655368:RXM655386 RXM720898:RXM720899 RXM720904:RXM720922 RXM786434:RXM786435 RXM786440:RXM786458 RXM851970:RXM851971 RXM851976:RXM851994 RXM917506:RXM917507 RXM917512:RXM917530 RXM983042:RXM983043 RXM983048:RXM983066 SHI2:SHI3 SHI8:SHI26 SHI65538:SHI65539 SHI65544:SHI65562 SHI131074:SHI131075 SHI131080:SHI131098 SHI196610:SHI196611 SHI196616:SHI196634 SHI262146:SHI262147 SHI262152:SHI262170 SHI327682:SHI327683 SHI327688:SHI327706 SHI393218:SHI393219 SHI393224:SHI393242 SHI458754:SHI458755 SHI458760:SHI458778 SHI524290:SHI524291 SHI524296:SHI524314 SHI589826:SHI589827 SHI589832:SHI589850 SHI655362:SHI655363 SHI655368:SHI655386 SHI720898:SHI720899 SHI720904:SHI720922 SHI786434:SHI786435 SHI786440:SHI786458 SHI851970:SHI851971 SHI851976:SHI851994 SHI917506:SHI917507 SHI917512:SHI917530 SHI983042:SHI983043 SHI983048:SHI983066 SRE2:SRE3 SRE8:SRE26 SRE65538:SRE65539 SRE65544:SRE65562 SRE131074:SRE131075 SRE131080:SRE131098 SRE196610:SRE196611 SRE196616:SRE196634 SRE262146:SRE262147 SRE262152:SRE262170 SRE327682:SRE327683 SRE327688:SRE327706 SRE393218:SRE393219 SRE393224:SRE393242 SRE458754:SRE458755 SRE458760:SRE458778 SRE524290:SRE524291 SRE524296:SRE524314 SRE589826:SRE589827 SRE589832:SRE589850 SRE655362:SRE655363 SRE655368:SRE655386 SRE720898:SRE720899 SRE720904:SRE720922 SRE786434:SRE786435 SRE786440:SRE786458 SRE851970:SRE851971 SRE851976:SRE851994 SRE917506:SRE917507 SRE917512:SRE917530 SRE983042:SRE983043 SRE983048:SRE983066 TBA2:TBA3 TBA8:TBA26 TBA65538:TBA65539 TBA65544:TBA65562 TBA131074:TBA131075 TBA131080:TBA131098 TBA196610:TBA196611 TBA196616:TBA196634 TBA262146:TBA262147 TBA262152:TBA262170 TBA327682:TBA327683 TBA327688:TBA327706 TBA393218:TBA393219 TBA393224:TBA393242 TBA458754:TBA458755 TBA458760:TBA458778 TBA524290:TBA524291 TBA524296:TBA524314 TBA589826:TBA589827 TBA589832:TBA589850 TBA655362:TBA655363 TBA655368:TBA655386 TBA720898:TBA720899 TBA720904:TBA720922 TBA786434:TBA786435 TBA786440:TBA786458 TBA851970:TBA851971 TBA851976:TBA851994 TBA917506:TBA917507 TBA917512:TBA917530 TBA983042:TBA983043 TBA983048:TBA983066 TKW2:TKW3 TKW8:TKW26 TKW65538:TKW65539 TKW65544:TKW65562 TKW131074:TKW131075 TKW131080:TKW131098 TKW196610:TKW196611 TKW196616:TKW196634 TKW262146:TKW262147 TKW262152:TKW262170 TKW327682:TKW327683 TKW327688:TKW327706 TKW393218:TKW393219 TKW393224:TKW393242 TKW458754:TKW458755 TKW458760:TKW458778 TKW524290:TKW524291 TKW524296:TKW524314 TKW589826:TKW589827 TKW589832:TKW589850 TKW655362:TKW655363 TKW655368:TKW655386 TKW720898:TKW720899 TKW720904:TKW720922 TKW786434:TKW786435 TKW786440:TKW786458 TKW851970:TKW851971 TKW851976:TKW851994 TKW917506:TKW917507 TKW917512:TKW917530 TKW983042:TKW983043 TKW983048:TKW983066 TUS2:TUS3 TUS8:TUS26 TUS65538:TUS65539 TUS65544:TUS65562 TUS131074:TUS131075 TUS131080:TUS131098 TUS196610:TUS196611 TUS196616:TUS196634 TUS262146:TUS262147 TUS262152:TUS262170 TUS327682:TUS327683 TUS327688:TUS327706 TUS393218:TUS393219 TUS393224:TUS393242 TUS458754:TUS458755 TUS458760:TUS458778 TUS524290:TUS524291 TUS524296:TUS524314 TUS589826:TUS589827 TUS589832:TUS589850 TUS655362:TUS655363 TUS655368:TUS655386 TUS720898:TUS720899 TUS720904:TUS720922 TUS786434:TUS786435 TUS786440:TUS786458 TUS851970:TUS851971 TUS851976:TUS851994 TUS917506:TUS917507 TUS917512:TUS917530 TUS983042:TUS983043 TUS983048:TUS983066 UEO2:UEO3 UEO8:UEO26 UEO65538:UEO65539 UEO65544:UEO65562 UEO131074:UEO131075 UEO131080:UEO131098 UEO196610:UEO196611 UEO196616:UEO196634 UEO262146:UEO262147 UEO262152:UEO262170 UEO327682:UEO327683 UEO327688:UEO327706 UEO393218:UEO393219 UEO393224:UEO393242 UEO458754:UEO458755 UEO458760:UEO458778 UEO524290:UEO524291 UEO524296:UEO524314 UEO589826:UEO589827 UEO589832:UEO589850 UEO655362:UEO655363 UEO655368:UEO655386 UEO720898:UEO720899 UEO720904:UEO720922 UEO786434:UEO786435 UEO786440:UEO786458 UEO851970:UEO851971 UEO851976:UEO851994 UEO917506:UEO917507 UEO917512:UEO917530 UEO983042:UEO983043 UEO983048:UEO983066 UOK2:UOK3 UOK8:UOK26 UOK65538:UOK65539 UOK65544:UOK65562 UOK131074:UOK131075 UOK131080:UOK131098 UOK196610:UOK196611 UOK196616:UOK196634 UOK262146:UOK262147 UOK262152:UOK262170 UOK327682:UOK327683 UOK327688:UOK327706 UOK393218:UOK393219 UOK393224:UOK393242 UOK458754:UOK458755 UOK458760:UOK458778 UOK524290:UOK524291 UOK524296:UOK524314 UOK589826:UOK589827 UOK589832:UOK589850 UOK655362:UOK655363 UOK655368:UOK655386 UOK720898:UOK720899 UOK720904:UOK720922 UOK786434:UOK786435 UOK786440:UOK786458 UOK851970:UOK851971 UOK851976:UOK851994 UOK917506:UOK917507 UOK917512:UOK917530 UOK983042:UOK983043 UOK983048:UOK983066 UYG2:UYG3 UYG8:UYG26 UYG65538:UYG65539 UYG65544:UYG65562 UYG131074:UYG131075 UYG131080:UYG131098 UYG196610:UYG196611 UYG196616:UYG196634 UYG262146:UYG262147 UYG262152:UYG262170 UYG327682:UYG327683 UYG327688:UYG327706 UYG393218:UYG393219 UYG393224:UYG393242 UYG458754:UYG458755 UYG458760:UYG458778 UYG524290:UYG524291 UYG524296:UYG524314 UYG589826:UYG589827 UYG589832:UYG589850 UYG655362:UYG655363 UYG655368:UYG655386 UYG720898:UYG720899 UYG720904:UYG720922 UYG786434:UYG786435 UYG786440:UYG786458 UYG851970:UYG851971 UYG851976:UYG851994 UYG917506:UYG917507 UYG917512:UYG917530 UYG983042:UYG983043 UYG983048:UYG983066 VIC2:VIC3 VIC8:VIC26 VIC65538:VIC65539 VIC65544:VIC65562 VIC131074:VIC131075 VIC131080:VIC131098 VIC196610:VIC196611 VIC196616:VIC196634 VIC262146:VIC262147 VIC262152:VIC262170 VIC327682:VIC327683 VIC327688:VIC327706 VIC393218:VIC393219 VIC393224:VIC393242 VIC458754:VIC458755 VIC458760:VIC458778 VIC524290:VIC524291 VIC524296:VIC524314 VIC589826:VIC589827 VIC589832:VIC589850 VIC655362:VIC655363 VIC655368:VIC655386 VIC720898:VIC720899 VIC720904:VIC720922 VIC786434:VIC786435 VIC786440:VIC786458 VIC851970:VIC851971 VIC851976:VIC851994 VIC917506:VIC917507 VIC917512:VIC917530 VIC983042:VIC983043 VIC983048:VIC983066 VRY2:VRY3 VRY8:VRY26 VRY65538:VRY65539 VRY65544:VRY65562 VRY131074:VRY131075 VRY131080:VRY131098 VRY196610:VRY196611 VRY196616:VRY196634 VRY262146:VRY262147 VRY262152:VRY262170 VRY327682:VRY327683 VRY327688:VRY327706 VRY393218:VRY393219 VRY393224:VRY393242 VRY458754:VRY458755 VRY458760:VRY458778 VRY524290:VRY524291 VRY524296:VRY524314 VRY589826:VRY589827 VRY589832:VRY589850 VRY655362:VRY655363 VRY655368:VRY655386 VRY720898:VRY720899 VRY720904:VRY720922 VRY786434:VRY786435 VRY786440:VRY786458 VRY851970:VRY851971 VRY851976:VRY851994 VRY917506:VRY917507 VRY917512:VRY917530 VRY983042:VRY983043 VRY983048:VRY983066 WBU2:WBU3 WBU8:WBU26 WBU65538:WBU65539 WBU65544:WBU65562 WBU131074:WBU131075 WBU131080:WBU131098 WBU196610:WBU196611 WBU196616:WBU196634 WBU262146:WBU262147 WBU262152:WBU262170 WBU327682:WBU327683 WBU327688:WBU327706 WBU393218:WBU393219 WBU393224:WBU393242 WBU458754:WBU458755 WBU458760:WBU458778 WBU524290:WBU524291 WBU524296:WBU524314 WBU589826:WBU589827 WBU589832:WBU589850 WBU655362:WBU655363 WBU655368:WBU655386 WBU720898:WBU720899 WBU720904:WBU720922 WBU786434:WBU786435 WBU786440:WBU786458 WBU851970:WBU851971 WBU851976:WBU851994 WBU917506:WBU917507 WBU917512:WBU917530 WBU983042:WBU983043 WBU983048:WBU983066 WLQ2:WLQ3 WLQ8:WLQ26 WLQ65538:WLQ65539 WLQ65544:WLQ65562 WLQ131074:WLQ131075 WLQ131080:WLQ131098 WLQ196610:WLQ196611 WLQ196616:WLQ196634 WLQ262146:WLQ262147 WLQ262152:WLQ262170 WLQ327682:WLQ327683 WLQ327688:WLQ327706 WLQ393218:WLQ393219 WLQ393224:WLQ393242 WLQ458754:WLQ458755 WLQ458760:WLQ458778 WLQ524290:WLQ524291 WLQ524296:WLQ524314 WLQ589826:WLQ589827 WLQ589832:WLQ589850 WLQ655362:WLQ655363 WLQ655368:WLQ655386 WLQ720898:WLQ720899 WLQ720904:WLQ720922 WLQ786434:WLQ786435 WLQ786440:WLQ786458 WLQ851970:WLQ851971 WLQ851976:WLQ851994 WLQ917506:WLQ917507 WLQ917512:WLQ917530 WLQ983042:WLQ983043 WLQ983048:WLQ983066 WVM2:WVM3 WVM8:WVM26 WVM65538:WVM65539 WVM65544:WVM65562 WVM131074:WVM131075 WVM131080:WVM131098 WVM196610:WVM196611 WVM196616:WVM196634 WVM262146:WVM262147 WVM262152:WVM262170 WVM327682:WVM327683 WVM327688:WVM327706 WVM393218:WVM393219 WVM393224:WVM393242 WVM458754:WVM458755 WVM458760:WVM458778 WVM524290:WVM524291 WVM524296:WVM524314 WVM589826:WVM589827 WVM589832:WVM589850 WVM655362:WVM655363 WVM655368:WVM655386 WVM720898:WVM720899 WVM720904:WVM720922 WVM786434:WVM786435 WVM786440:WVM786458 WVM851970:WVM851971 WVM851976:WVM851994 WVM917506:WVM917507 WVM917512:WVM917530 WVM983042:WVM983043 WVM983048:WVM983066" xr:uid="{00000000-0002-0000-0900-000011000000}"/>
    <dataValidation allowBlank="1" showInputMessage="1" showErrorMessage="1" promptTitle="Do not change" prompt="This field is automatically updated from the names-list" sqref="X8:X26 X65544:X65562 X131080:X131098 X196616:X196634 X262152:X262170 X327688:X327706 X393224:X393242 X458760:X458778 X524296:X524314 X589832:X589850 X655368:X655386 X720904:X720922 X786440:X786458 X851976:X851994 X917512:X917530 X983048:X983066 JT8:JT26 JT65544:JT65562 JT131080:JT131098 JT196616:JT196634 JT262152:JT262170 JT327688:JT327706 JT393224:JT393242 JT458760:JT458778 JT524296:JT524314 JT589832:JT589850 JT655368:JT655386 JT720904:JT720922 JT786440:JT786458 JT851976:JT851994 JT917512:JT917530 JT983048:JT983066 TP8:TP26 TP65544:TP65562 TP131080:TP131098 TP196616:TP196634 TP262152:TP262170 TP327688:TP327706 TP393224:TP393242 TP458760:TP458778 TP524296:TP524314 TP589832:TP589850 TP655368:TP655386 TP720904:TP720922 TP786440:TP786458 TP851976:TP851994 TP917512:TP917530 TP983048:TP983066 ADL8:ADL26 ADL65544:ADL65562 ADL131080:ADL131098 ADL196616:ADL196634 ADL262152:ADL262170 ADL327688:ADL327706 ADL393224:ADL393242 ADL458760:ADL458778 ADL524296:ADL524314 ADL589832:ADL589850 ADL655368:ADL655386 ADL720904:ADL720922 ADL786440:ADL786458 ADL851976:ADL851994 ADL917512:ADL917530 ADL983048:ADL983066 ANH8:ANH26 ANH65544:ANH65562 ANH131080:ANH131098 ANH196616:ANH196634 ANH262152:ANH262170 ANH327688:ANH327706 ANH393224:ANH393242 ANH458760:ANH458778 ANH524296:ANH524314 ANH589832:ANH589850 ANH655368:ANH655386 ANH720904:ANH720922 ANH786440:ANH786458 ANH851976:ANH851994 ANH917512:ANH917530 ANH983048:ANH983066 AXD8:AXD26 AXD65544:AXD65562 AXD131080:AXD131098 AXD196616:AXD196634 AXD262152:AXD262170 AXD327688:AXD327706 AXD393224:AXD393242 AXD458760:AXD458778 AXD524296:AXD524314 AXD589832:AXD589850 AXD655368:AXD655386 AXD720904:AXD720922 AXD786440:AXD786458 AXD851976:AXD851994 AXD917512:AXD917530 AXD983048:AXD983066 BGZ8:BGZ26 BGZ65544:BGZ65562 BGZ131080:BGZ131098 BGZ196616:BGZ196634 BGZ262152:BGZ262170 BGZ327688:BGZ327706 BGZ393224:BGZ393242 BGZ458760:BGZ458778 BGZ524296:BGZ524314 BGZ589832:BGZ589850 BGZ655368:BGZ655386 BGZ720904:BGZ720922 BGZ786440:BGZ786458 BGZ851976:BGZ851994 BGZ917512:BGZ917530 BGZ983048:BGZ983066 BQV8:BQV26 BQV65544:BQV65562 BQV131080:BQV131098 BQV196616:BQV196634 BQV262152:BQV262170 BQV327688:BQV327706 BQV393224:BQV393242 BQV458760:BQV458778 BQV524296:BQV524314 BQV589832:BQV589850 BQV655368:BQV655386 BQV720904:BQV720922 BQV786440:BQV786458 BQV851976:BQV851994 BQV917512:BQV917530 BQV983048:BQV983066 CAR8:CAR26 CAR65544:CAR65562 CAR131080:CAR131098 CAR196616:CAR196634 CAR262152:CAR262170 CAR327688:CAR327706 CAR393224:CAR393242 CAR458760:CAR458778 CAR524296:CAR524314 CAR589832:CAR589850 CAR655368:CAR655386 CAR720904:CAR720922 CAR786440:CAR786458 CAR851976:CAR851994 CAR917512:CAR917530 CAR983048:CAR983066 CKN8:CKN26 CKN65544:CKN65562 CKN131080:CKN131098 CKN196616:CKN196634 CKN262152:CKN262170 CKN327688:CKN327706 CKN393224:CKN393242 CKN458760:CKN458778 CKN524296:CKN524314 CKN589832:CKN589850 CKN655368:CKN655386 CKN720904:CKN720922 CKN786440:CKN786458 CKN851976:CKN851994 CKN917512:CKN917530 CKN983048:CKN983066 CUJ8:CUJ26 CUJ65544:CUJ65562 CUJ131080:CUJ131098 CUJ196616:CUJ196634 CUJ262152:CUJ262170 CUJ327688:CUJ327706 CUJ393224:CUJ393242 CUJ458760:CUJ458778 CUJ524296:CUJ524314 CUJ589832:CUJ589850 CUJ655368:CUJ655386 CUJ720904:CUJ720922 CUJ786440:CUJ786458 CUJ851976:CUJ851994 CUJ917512:CUJ917530 CUJ983048:CUJ983066 DEF8:DEF26 DEF65544:DEF65562 DEF131080:DEF131098 DEF196616:DEF196634 DEF262152:DEF262170 DEF327688:DEF327706 DEF393224:DEF393242 DEF458760:DEF458778 DEF524296:DEF524314 DEF589832:DEF589850 DEF655368:DEF655386 DEF720904:DEF720922 DEF786440:DEF786458 DEF851976:DEF851994 DEF917512:DEF917530 DEF983048:DEF983066 DOB8:DOB26 DOB65544:DOB65562 DOB131080:DOB131098 DOB196616:DOB196634 DOB262152:DOB262170 DOB327688:DOB327706 DOB393224:DOB393242 DOB458760:DOB458778 DOB524296:DOB524314 DOB589832:DOB589850 DOB655368:DOB655386 DOB720904:DOB720922 DOB786440:DOB786458 DOB851976:DOB851994 DOB917512:DOB917530 DOB983048:DOB983066 DXX8:DXX26 DXX65544:DXX65562 DXX131080:DXX131098 DXX196616:DXX196634 DXX262152:DXX262170 DXX327688:DXX327706 DXX393224:DXX393242 DXX458760:DXX458778 DXX524296:DXX524314 DXX589832:DXX589850 DXX655368:DXX655386 DXX720904:DXX720922 DXX786440:DXX786458 DXX851976:DXX851994 DXX917512:DXX917530 DXX983048:DXX983066 EHT8:EHT26 EHT65544:EHT65562 EHT131080:EHT131098 EHT196616:EHT196634 EHT262152:EHT262170 EHT327688:EHT327706 EHT393224:EHT393242 EHT458760:EHT458778 EHT524296:EHT524314 EHT589832:EHT589850 EHT655368:EHT655386 EHT720904:EHT720922 EHT786440:EHT786458 EHT851976:EHT851994 EHT917512:EHT917530 EHT983048:EHT983066 ERP8:ERP26 ERP65544:ERP65562 ERP131080:ERP131098 ERP196616:ERP196634 ERP262152:ERP262170 ERP327688:ERP327706 ERP393224:ERP393242 ERP458760:ERP458778 ERP524296:ERP524314 ERP589832:ERP589850 ERP655368:ERP655386 ERP720904:ERP720922 ERP786440:ERP786458 ERP851976:ERP851994 ERP917512:ERP917530 ERP983048:ERP983066 FBL8:FBL26 FBL65544:FBL65562 FBL131080:FBL131098 FBL196616:FBL196634 FBL262152:FBL262170 FBL327688:FBL327706 FBL393224:FBL393242 FBL458760:FBL458778 FBL524296:FBL524314 FBL589832:FBL589850 FBL655368:FBL655386 FBL720904:FBL720922 FBL786440:FBL786458 FBL851976:FBL851994 FBL917512:FBL917530 FBL983048:FBL983066 FLH8:FLH26 FLH65544:FLH65562 FLH131080:FLH131098 FLH196616:FLH196634 FLH262152:FLH262170 FLH327688:FLH327706 FLH393224:FLH393242 FLH458760:FLH458778 FLH524296:FLH524314 FLH589832:FLH589850 FLH655368:FLH655386 FLH720904:FLH720922 FLH786440:FLH786458 FLH851976:FLH851994 FLH917512:FLH917530 FLH983048:FLH983066 FVD8:FVD26 FVD65544:FVD65562 FVD131080:FVD131098 FVD196616:FVD196634 FVD262152:FVD262170 FVD327688:FVD327706 FVD393224:FVD393242 FVD458760:FVD458778 FVD524296:FVD524314 FVD589832:FVD589850 FVD655368:FVD655386 FVD720904:FVD720922 FVD786440:FVD786458 FVD851976:FVD851994 FVD917512:FVD917530 FVD983048:FVD983066 GEZ8:GEZ26 GEZ65544:GEZ65562 GEZ131080:GEZ131098 GEZ196616:GEZ196634 GEZ262152:GEZ262170 GEZ327688:GEZ327706 GEZ393224:GEZ393242 GEZ458760:GEZ458778 GEZ524296:GEZ524314 GEZ589832:GEZ589850 GEZ655368:GEZ655386 GEZ720904:GEZ720922 GEZ786440:GEZ786458 GEZ851976:GEZ851994 GEZ917512:GEZ917530 GEZ983048:GEZ983066 GOV8:GOV26 GOV65544:GOV65562 GOV131080:GOV131098 GOV196616:GOV196634 GOV262152:GOV262170 GOV327688:GOV327706 GOV393224:GOV393242 GOV458760:GOV458778 GOV524296:GOV524314 GOV589832:GOV589850 GOV655368:GOV655386 GOV720904:GOV720922 GOV786440:GOV786458 GOV851976:GOV851994 GOV917512:GOV917530 GOV983048:GOV983066 GYR8:GYR26 GYR65544:GYR65562 GYR131080:GYR131098 GYR196616:GYR196634 GYR262152:GYR262170 GYR327688:GYR327706 GYR393224:GYR393242 GYR458760:GYR458778 GYR524296:GYR524314 GYR589832:GYR589850 GYR655368:GYR655386 GYR720904:GYR720922 GYR786440:GYR786458 GYR851976:GYR851994 GYR917512:GYR917530 GYR983048:GYR983066 HIN8:HIN26 HIN65544:HIN65562 HIN131080:HIN131098 HIN196616:HIN196634 HIN262152:HIN262170 HIN327688:HIN327706 HIN393224:HIN393242 HIN458760:HIN458778 HIN524296:HIN524314 HIN589832:HIN589850 HIN655368:HIN655386 HIN720904:HIN720922 HIN786440:HIN786458 HIN851976:HIN851994 HIN917512:HIN917530 HIN983048:HIN983066 HSJ8:HSJ26 HSJ65544:HSJ65562 HSJ131080:HSJ131098 HSJ196616:HSJ196634 HSJ262152:HSJ262170 HSJ327688:HSJ327706 HSJ393224:HSJ393242 HSJ458760:HSJ458778 HSJ524296:HSJ524314 HSJ589832:HSJ589850 HSJ655368:HSJ655386 HSJ720904:HSJ720922 HSJ786440:HSJ786458 HSJ851976:HSJ851994 HSJ917512:HSJ917530 HSJ983048:HSJ983066 ICF8:ICF26 ICF65544:ICF65562 ICF131080:ICF131098 ICF196616:ICF196634 ICF262152:ICF262170 ICF327688:ICF327706 ICF393224:ICF393242 ICF458760:ICF458778 ICF524296:ICF524314 ICF589832:ICF589850 ICF655368:ICF655386 ICF720904:ICF720922 ICF786440:ICF786458 ICF851976:ICF851994 ICF917512:ICF917530 ICF983048:ICF983066 IMB8:IMB26 IMB65544:IMB65562 IMB131080:IMB131098 IMB196616:IMB196634 IMB262152:IMB262170 IMB327688:IMB327706 IMB393224:IMB393242 IMB458760:IMB458778 IMB524296:IMB524314 IMB589832:IMB589850 IMB655368:IMB655386 IMB720904:IMB720922 IMB786440:IMB786458 IMB851976:IMB851994 IMB917512:IMB917530 IMB983048:IMB983066 IVX8:IVX26 IVX65544:IVX65562 IVX131080:IVX131098 IVX196616:IVX196634 IVX262152:IVX262170 IVX327688:IVX327706 IVX393224:IVX393242 IVX458760:IVX458778 IVX524296:IVX524314 IVX589832:IVX589850 IVX655368:IVX655386 IVX720904:IVX720922 IVX786440:IVX786458 IVX851976:IVX851994 IVX917512:IVX917530 IVX983048:IVX983066 JFT8:JFT26 JFT65544:JFT65562 JFT131080:JFT131098 JFT196616:JFT196634 JFT262152:JFT262170 JFT327688:JFT327706 JFT393224:JFT393242 JFT458760:JFT458778 JFT524296:JFT524314 JFT589832:JFT589850 JFT655368:JFT655386 JFT720904:JFT720922 JFT786440:JFT786458 JFT851976:JFT851994 JFT917512:JFT917530 JFT983048:JFT983066 JPP8:JPP26 JPP65544:JPP65562 JPP131080:JPP131098 JPP196616:JPP196634 JPP262152:JPP262170 JPP327688:JPP327706 JPP393224:JPP393242 JPP458760:JPP458778 JPP524296:JPP524314 JPP589832:JPP589850 JPP655368:JPP655386 JPP720904:JPP720922 JPP786440:JPP786458 JPP851976:JPP851994 JPP917512:JPP917530 JPP983048:JPP983066 JZL8:JZL26 JZL65544:JZL65562 JZL131080:JZL131098 JZL196616:JZL196634 JZL262152:JZL262170 JZL327688:JZL327706 JZL393224:JZL393242 JZL458760:JZL458778 JZL524296:JZL524314 JZL589832:JZL589850 JZL655368:JZL655386 JZL720904:JZL720922 JZL786440:JZL786458 JZL851976:JZL851994 JZL917512:JZL917530 JZL983048:JZL983066 KJH8:KJH26 KJH65544:KJH65562 KJH131080:KJH131098 KJH196616:KJH196634 KJH262152:KJH262170 KJH327688:KJH327706 KJH393224:KJH393242 KJH458760:KJH458778 KJH524296:KJH524314 KJH589832:KJH589850 KJH655368:KJH655386 KJH720904:KJH720922 KJH786440:KJH786458 KJH851976:KJH851994 KJH917512:KJH917530 KJH983048:KJH983066 KTD8:KTD26 KTD65544:KTD65562 KTD131080:KTD131098 KTD196616:KTD196634 KTD262152:KTD262170 KTD327688:KTD327706 KTD393224:KTD393242 KTD458760:KTD458778 KTD524296:KTD524314 KTD589832:KTD589850 KTD655368:KTD655386 KTD720904:KTD720922 KTD786440:KTD786458 KTD851976:KTD851994 KTD917512:KTD917530 KTD983048:KTD983066 LCZ8:LCZ26 LCZ65544:LCZ65562 LCZ131080:LCZ131098 LCZ196616:LCZ196634 LCZ262152:LCZ262170 LCZ327688:LCZ327706 LCZ393224:LCZ393242 LCZ458760:LCZ458778 LCZ524296:LCZ524314 LCZ589832:LCZ589850 LCZ655368:LCZ655386 LCZ720904:LCZ720922 LCZ786440:LCZ786458 LCZ851976:LCZ851994 LCZ917512:LCZ917530 LCZ983048:LCZ983066 LMV8:LMV26 LMV65544:LMV65562 LMV131080:LMV131098 LMV196616:LMV196634 LMV262152:LMV262170 LMV327688:LMV327706 LMV393224:LMV393242 LMV458760:LMV458778 LMV524296:LMV524314 LMV589832:LMV589850 LMV655368:LMV655386 LMV720904:LMV720922 LMV786440:LMV786458 LMV851976:LMV851994 LMV917512:LMV917530 LMV983048:LMV983066 LWR8:LWR26 LWR65544:LWR65562 LWR131080:LWR131098 LWR196616:LWR196634 LWR262152:LWR262170 LWR327688:LWR327706 LWR393224:LWR393242 LWR458760:LWR458778 LWR524296:LWR524314 LWR589832:LWR589850 LWR655368:LWR655386 LWR720904:LWR720922 LWR786440:LWR786458 LWR851976:LWR851994 LWR917512:LWR917530 LWR983048:LWR983066 MGN8:MGN26 MGN65544:MGN65562 MGN131080:MGN131098 MGN196616:MGN196634 MGN262152:MGN262170 MGN327688:MGN327706 MGN393224:MGN393242 MGN458760:MGN458778 MGN524296:MGN524314 MGN589832:MGN589850 MGN655368:MGN655386 MGN720904:MGN720922 MGN786440:MGN786458 MGN851976:MGN851994 MGN917512:MGN917530 MGN983048:MGN983066 MQJ8:MQJ26 MQJ65544:MQJ65562 MQJ131080:MQJ131098 MQJ196616:MQJ196634 MQJ262152:MQJ262170 MQJ327688:MQJ327706 MQJ393224:MQJ393242 MQJ458760:MQJ458778 MQJ524296:MQJ524314 MQJ589832:MQJ589850 MQJ655368:MQJ655386 MQJ720904:MQJ720922 MQJ786440:MQJ786458 MQJ851976:MQJ851994 MQJ917512:MQJ917530 MQJ983048:MQJ983066 NAF8:NAF26 NAF65544:NAF65562 NAF131080:NAF131098 NAF196616:NAF196634 NAF262152:NAF262170 NAF327688:NAF327706 NAF393224:NAF393242 NAF458760:NAF458778 NAF524296:NAF524314 NAF589832:NAF589850 NAF655368:NAF655386 NAF720904:NAF720922 NAF786440:NAF786458 NAF851976:NAF851994 NAF917512:NAF917530 NAF983048:NAF983066 NKB8:NKB26 NKB65544:NKB65562 NKB131080:NKB131098 NKB196616:NKB196634 NKB262152:NKB262170 NKB327688:NKB327706 NKB393224:NKB393242 NKB458760:NKB458778 NKB524296:NKB524314 NKB589832:NKB589850 NKB655368:NKB655386 NKB720904:NKB720922 NKB786440:NKB786458 NKB851976:NKB851994 NKB917512:NKB917530 NKB983048:NKB983066 NTX8:NTX26 NTX65544:NTX65562 NTX131080:NTX131098 NTX196616:NTX196634 NTX262152:NTX262170 NTX327688:NTX327706 NTX393224:NTX393242 NTX458760:NTX458778 NTX524296:NTX524314 NTX589832:NTX589850 NTX655368:NTX655386 NTX720904:NTX720922 NTX786440:NTX786458 NTX851976:NTX851994 NTX917512:NTX917530 NTX983048:NTX983066 ODT8:ODT26 ODT65544:ODT65562 ODT131080:ODT131098 ODT196616:ODT196634 ODT262152:ODT262170 ODT327688:ODT327706 ODT393224:ODT393242 ODT458760:ODT458778 ODT524296:ODT524314 ODT589832:ODT589850 ODT655368:ODT655386 ODT720904:ODT720922 ODT786440:ODT786458 ODT851976:ODT851994 ODT917512:ODT917530 ODT983048:ODT983066 ONP8:ONP26 ONP65544:ONP65562 ONP131080:ONP131098 ONP196616:ONP196634 ONP262152:ONP262170 ONP327688:ONP327706 ONP393224:ONP393242 ONP458760:ONP458778 ONP524296:ONP524314 ONP589832:ONP589850 ONP655368:ONP655386 ONP720904:ONP720922 ONP786440:ONP786458 ONP851976:ONP851994 ONP917512:ONP917530 ONP983048:ONP983066 OXL8:OXL26 OXL65544:OXL65562 OXL131080:OXL131098 OXL196616:OXL196634 OXL262152:OXL262170 OXL327688:OXL327706 OXL393224:OXL393242 OXL458760:OXL458778 OXL524296:OXL524314 OXL589832:OXL589850 OXL655368:OXL655386 OXL720904:OXL720922 OXL786440:OXL786458 OXL851976:OXL851994 OXL917512:OXL917530 OXL983048:OXL983066 PHH8:PHH26 PHH65544:PHH65562 PHH131080:PHH131098 PHH196616:PHH196634 PHH262152:PHH262170 PHH327688:PHH327706 PHH393224:PHH393242 PHH458760:PHH458778 PHH524296:PHH524314 PHH589832:PHH589850 PHH655368:PHH655386 PHH720904:PHH720922 PHH786440:PHH786458 PHH851976:PHH851994 PHH917512:PHH917530 PHH983048:PHH983066 PRD8:PRD26 PRD65544:PRD65562 PRD131080:PRD131098 PRD196616:PRD196634 PRD262152:PRD262170 PRD327688:PRD327706 PRD393224:PRD393242 PRD458760:PRD458778 PRD524296:PRD524314 PRD589832:PRD589850 PRD655368:PRD655386 PRD720904:PRD720922 PRD786440:PRD786458 PRD851976:PRD851994 PRD917512:PRD917530 PRD983048:PRD983066 QAZ8:QAZ26 QAZ65544:QAZ65562 QAZ131080:QAZ131098 QAZ196616:QAZ196634 QAZ262152:QAZ262170 QAZ327688:QAZ327706 QAZ393224:QAZ393242 QAZ458760:QAZ458778 QAZ524296:QAZ524314 QAZ589832:QAZ589850 QAZ655368:QAZ655386 QAZ720904:QAZ720922 QAZ786440:QAZ786458 QAZ851976:QAZ851994 QAZ917512:QAZ917530 QAZ983048:QAZ983066 QKV8:QKV26 QKV65544:QKV65562 QKV131080:QKV131098 QKV196616:QKV196634 QKV262152:QKV262170 QKV327688:QKV327706 QKV393224:QKV393242 QKV458760:QKV458778 QKV524296:QKV524314 QKV589832:QKV589850 QKV655368:QKV655386 QKV720904:QKV720922 QKV786440:QKV786458 QKV851976:QKV851994 QKV917512:QKV917530 QKV983048:QKV983066 QUR8:QUR26 QUR65544:QUR65562 QUR131080:QUR131098 QUR196616:QUR196634 QUR262152:QUR262170 QUR327688:QUR327706 QUR393224:QUR393242 QUR458760:QUR458778 QUR524296:QUR524314 QUR589832:QUR589850 QUR655368:QUR655386 QUR720904:QUR720922 QUR786440:QUR786458 QUR851976:QUR851994 QUR917512:QUR917530 QUR983048:QUR983066 REN8:REN26 REN65544:REN65562 REN131080:REN131098 REN196616:REN196634 REN262152:REN262170 REN327688:REN327706 REN393224:REN393242 REN458760:REN458778 REN524296:REN524314 REN589832:REN589850 REN655368:REN655386 REN720904:REN720922 REN786440:REN786458 REN851976:REN851994 REN917512:REN917530 REN983048:REN983066 ROJ8:ROJ26 ROJ65544:ROJ65562 ROJ131080:ROJ131098 ROJ196616:ROJ196634 ROJ262152:ROJ262170 ROJ327688:ROJ327706 ROJ393224:ROJ393242 ROJ458760:ROJ458778 ROJ524296:ROJ524314 ROJ589832:ROJ589850 ROJ655368:ROJ655386 ROJ720904:ROJ720922 ROJ786440:ROJ786458 ROJ851976:ROJ851994 ROJ917512:ROJ917530 ROJ983048:ROJ983066 RYF8:RYF26 RYF65544:RYF65562 RYF131080:RYF131098 RYF196616:RYF196634 RYF262152:RYF262170 RYF327688:RYF327706 RYF393224:RYF393242 RYF458760:RYF458778 RYF524296:RYF524314 RYF589832:RYF589850 RYF655368:RYF655386 RYF720904:RYF720922 RYF786440:RYF786458 RYF851976:RYF851994 RYF917512:RYF917530 RYF983048:RYF983066 SIB8:SIB26 SIB65544:SIB65562 SIB131080:SIB131098 SIB196616:SIB196634 SIB262152:SIB262170 SIB327688:SIB327706 SIB393224:SIB393242 SIB458760:SIB458778 SIB524296:SIB524314 SIB589832:SIB589850 SIB655368:SIB655386 SIB720904:SIB720922 SIB786440:SIB786458 SIB851976:SIB851994 SIB917512:SIB917530 SIB983048:SIB983066 SRX8:SRX26 SRX65544:SRX65562 SRX131080:SRX131098 SRX196616:SRX196634 SRX262152:SRX262170 SRX327688:SRX327706 SRX393224:SRX393242 SRX458760:SRX458778 SRX524296:SRX524314 SRX589832:SRX589850 SRX655368:SRX655386 SRX720904:SRX720922 SRX786440:SRX786458 SRX851976:SRX851994 SRX917512:SRX917530 SRX983048:SRX983066 TBT8:TBT26 TBT65544:TBT65562 TBT131080:TBT131098 TBT196616:TBT196634 TBT262152:TBT262170 TBT327688:TBT327706 TBT393224:TBT393242 TBT458760:TBT458778 TBT524296:TBT524314 TBT589832:TBT589850 TBT655368:TBT655386 TBT720904:TBT720922 TBT786440:TBT786458 TBT851976:TBT851994 TBT917512:TBT917530 TBT983048:TBT983066 TLP8:TLP26 TLP65544:TLP65562 TLP131080:TLP131098 TLP196616:TLP196634 TLP262152:TLP262170 TLP327688:TLP327706 TLP393224:TLP393242 TLP458760:TLP458778 TLP524296:TLP524314 TLP589832:TLP589850 TLP655368:TLP655386 TLP720904:TLP720922 TLP786440:TLP786458 TLP851976:TLP851994 TLP917512:TLP917530 TLP983048:TLP983066 TVL8:TVL26 TVL65544:TVL65562 TVL131080:TVL131098 TVL196616:TVL196634 TVL262152:TVL262170 TVL327688:TVL327706 TVL393224:TVL393242 TVL458760:TVL458778 TVL524296:TVL524314 TVL589832:TVL589850 TVL655368:TVL655386 TVL720904:TVL720922 TVL786440:TVL786458 TVL851976:TVL851994 TVL917512:TVL917530 TVL983048:TVL983066 UFH8:UFH26 UFH65544:UFH65562 UFH131080:UFH131098 UFH196616:UFH196634 UFH262152:UFH262170 UFH327688:UFH327706 UFH393224:UFH393242 UFH458760:UFH458778 UFH524296:UFH524314 UFH589832:UFH589850 UFH655368:UFH655386 UFH720904:UFH720922 UFH786440:UFH786458 UFH851976:UFH851994 UFH917512:UFH917530 UFH983048:UFH983066 UPD8:UPD26 UPD65544:UPD65562 UPD131080:UPD131098 UPD196616:UPD196634 UPD262152:UPD262170 UPD327688:UPD327706 UPD393224:UPD393242 UPD458760:UPD458778 UPD524296:UPD524314 UPD589832:UPD589850 UPD655368:UPD655386 UPD720904:UPD720922 UPD786440:UPD786458 UPD851976:UPD851994 UPD917512:UPD917530 UPD983048:UPD983066 UYZ8:UYZ26 UYZ65544:UYZ65562 UYZ131080:UYZ131098 UYZ196616:UYZ196634 UYZ262152:UYZ262170 UYZ327688:UYZ327706 UYZ393224:UYZ393242 UYZ458760:UYZ458778 UYZ524296:UYZ524314 UYZ589832:UYZ589850 UYZ655368:UYZ655386 UYZ720904:UYZ720922 UYZ786440:UYZ786458 UYZ851976:UYZ851994 UYZ917512:UYZ917530 UYZ983048:UYZ983066 VIV8:VIV26 VIV65544:VIV65562 VIV131080:VIV131098 VIV196616:VIV196634 VIV262152:VIV262170 VIV327688:VIV327706 VIV393224:VIV393242 VIV458760:VIV458778 VIV524296:VIV524314 VIV589832:VIV589850 VIV655368:VIV655386 VIV720904:VIV720922 VIV786440:VIV786458 VIV851976:VIV851994 VIV917512:VIV917530 VIV983048:VIV983066 VSR8:VSR26 VSR65544:VSR65562 VSR131080:VSR131098 VSR196616:VSR196634 VSR262152:VSR262170 VSR327688:VSR327706 VSR393224:VSR393242 VSR458760:VSR458778 VSR524296:VSR524314 VSR589832:VSR589850 VSR655368:VSR655386 VSR720904:VSR720922 VSR786440:VSR786458 VSR851976:VSR851994 VSR917512:VSR917530 VSR983048:VSR983066 WCN8:WCN26 WCN65544:WCN65562 WCN131080:WCN131098 WCN196616:WCN196634 WCN262152:WCN262170 WCN327688:WCN327706 WCN393224:WCN393242 WCN458760:WCN458778 WCN524296:WCN524314 WCN589832:WCN589850 WCN655368:WCN655386 WCN720904:WCN720922 WCN786440:WCN786458 WCN851976:WCN851994 WCN917512:WCN917530 WCN983048:WCN983066 WMJ8:WMJ26 WMJ65544:WMJ65562 WMJ131080:WMJ131098 WMJ196616:WMJ196634 WMJ262152:WMJ262170 WMJ327688:WMJ327706 WMJ393224:WMJ393242 WMJ458760:WMJ458778 WMJ524296:WMJ524314 WMJ589832:WMJ589850 WMJ655368:WMJ655386 WMJ720904:WMJ720922 WMJ786440:WMJ786458 WMJ851976:WMJ851994 WMJ917512:WMJ917530 WMJ983048:WMJ983066 WWF8:WWF26 WWF65544:WWF65562 WWF131080:WWF131098 WWF196616:WWF196634 WWF262152:WWF262170 WWF327688:WWF327706 WWF393224:WWF393242 WWF458760:WWF458778 WWF524296:WWF524314 WWF589832:WWF589850 WWF655368:WWF655386 WWF720904:WWF720922 WWF786440:WWF786458 WWF851976:WWF851994 WWF917512:WWF917530 WWF983048:WWF983066" xr:uid="{00000000-0002-0000-0900-000012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R2 R8:R26 R65538 R65544:R65562 R131074 R131080:R131098 R196610 R196616:R196634 R262146 R262152:R262170 R327682 R327688:R327706 R393218 R393224:R393242 R458754 R458760:R458778 R524290 R524296:R524314 R589826 R589832:R589850 R655362 R655368:R655386 R720898 R720904:R720922 R786434 R786440:R786458 R851970 R851976:R851994 R917506 R917512:R917530 R983042 R983048:R983066 JN2 JN8:JN26 JN65538 JN65544:JN65562 JN131074 JN131080:JN131098 JN196610 JN196616:JN196634 JN262146 JN262152:JN262170 JN327682 JN327688:JN327706 JN393218 JN393224:JN393242 JN458754 JN458760:JN458778 JN524290 JN524296:JN524314 JN589826 JN589832:JN589850 JN655362 JN655368:JN655386 JN720898 JN720904:JN720922 JN786434 JN786440:JN786458 JN851970 JN851976:JN851994 JN917506 JN917512:JN917530 JN983042 JN983048:JN983066 TJ2 TJ8:TJ26 TJ65538 TJ65544:TJ65562 TJ131074 TJ131080:TJ131098 TJ196610 TJ196616:TJ196634 TJ262146 TJ262152:TJ262170 TJ327682 TJ327688:TJ327706 TJ393218 TJ393224:TJ393242 TJ458754 TJ458760:TJ458778 TJ524290 TJ524296:TJ524314 TJ589826 TJ589832:TJ589850 TJ655362 TJ655368:TJ655386 TJ720898 TJ720904:TJ720922 TJ786434 TJ786440:TJ786458 TJ851970 TJ851976:TJ851994 TJ917506 TJ917512:TJ917530 TJ983042 TJ983048:TJ983066 ADF2 ADF8:ADF26 ADF65538 ADF65544:ADF65562 ADF131074 ADF131080:ADF131098 ADF196610 ADF196616:ADF196634 ADF262146 ADF262152:ADF262170 ADF327682 ADF327688:ADF327706 ADF393218 ADF393224:ADF393242 ADF458754 ADF458760:ADF458778 ADF524290 ADF524296:ADF524314 ADF589826 ADF589832:ADF589850 ADF655362 ADF655368:ADF655386 ADF720898 ADF720904:ADF720922 ADF786434 ADF786440:ADF786458 ADF851970 ADF851976:ADF851994 ADF917506 ADF917512:ADF917530 ADF983042 ADF983048:ADF983066 ANB2 ANB8:ANB26 ANB65538 ANB65544:ANB65562 ANB131074 ANB131080:ANB131098 ANB196610 ANB196616:ANB196634 ANB262146 ANB262152:ANB262170 ANB327682 ANB327688:ANB327706 ANB393218 ANB393224:ANB393242 ANB458754 ANB458760:ANB458778 ANB524290 ANB524296:ANB524314 ANB589826 ANB589832:ANB589850 ANB655362 ANB655368:ANB655386 ANB720898 ANB720904:ANB720922 ANB786434 ANB786440:ANB786458 ANB851970 ANB851976:ANB851994 ANB917506 ANB917512:ANB917530 ANB983042 ANB983048:ANB983066 AWX2 AWX8:AWX26 AWX65538 AWX65544:AWX65562 AWX131074 AWX131080:AWX131098 AWX196610 AWX196616:AWX196634 AWX262146 AWX262152:AWX262170 AWX327682 AWX327688:AWX327706 AWX393218 AWX393224:AWX393242 AWX458754 AWX458760:AWX458778 AWX524290 AWX524296:AWX524314 AWX589826 AWX589832:AWX589850 AWX655362 AWX655368:AWX655386 AWX720898 AWX720904:AWX720922 AWX786434 AWX786440:AWX786458 AWX851970 AWX851976:AWX851994 AWX917506 AWX917512:AWX917530 AWX983042 AWX983048:AWX983066 BGT2 BGT8:BGT26 BGT65538 BGT65544:BGT65562 BGT131074 BGT131080:BGT131098 BGT196610 BGT196616:BGT196634 BGT262146 BGT262152:BGT262170 BGT327682 BGT327688:BGT327706 BGT393218 BGT393224:BGT393242 BGT458754 BGT458760:BGT458778 BGT524290 BGT524296:BGT524314 BGT589826 BGT589832:BGT589850 BGT655362 BGT655368:BGT655386 BGT720898 BGT720904:BGT720922 BGT786434 BGT786440:BGT786458 BGT851970 BGT851976:BGT851994 BGT917506 BGT917512:BGT917530 BGT983042 BGT983048:BGT983066 BQP2 BQP8:BQP26 BQP65538 BQP65544:BQP65562 BQP131074 BQP131080:BQP131098 BQP196610 BQP196616:BQP196634 BQP262146 BQP262152:BQP262170 BQP327682 BQP327688:BQP327706 BQP393218 BQP393224:BQP393242 BQP458754 BQP458760:BQP458778 BQP524290 BQP524296:BQP524314 BQP589826 BQP589832:BQP589850 BQP655362 BQP655368:BQP655386 BQP720898 BQP720904:BQP720922 BQP786434 BQP786440:BQP786458 BQP851970 BQP851976:BQP851994 BQP917506 BQP917512:BQP917530 BQP983042 BQP983048:BQP983066 CAL2 CAL8:CAL26 CAL65538 CAL65544:CAL65562 CAL131074 CAL131080:CAL131098 CAL196610 CAL196616:CAL196634 CAL262146 CAL262152:CAL262170 CAL327682 CAL327688:CAL327706 CAL393218 CAL393224:CAL393242 CAL458754 CAL458760:CAL458778 CAL524290 CAL524296:CAL524314 CAL589826 CAL589832:CAL589850 CAL655362 CAL655368:CAL655386 CAL720898 CAL720904:CAL720922 CAL786434 CAL786440:CAL786458 CAL851970 CAL851976:CAL851994 CAL917506 CAL917512:CAL917530 CAL983042 CAL983048:CAL983066 CKH2 CKH8:CKH26 CKH65538 CKH65544:CKH65562 CKH131074 CKH131080:CKH131098 CKH196610 CKH196616:CKH196634 CKH262146 CKH262152:CKH262170 CKH327682 CKH327688:CKH327706 CKH393218 CKH393224:CKH393242 CKH458754 CKH458760:CKH458778 CKH524290 CKH524296:CKH524314 CKH589826 CKH589832:CKH589850 CKH655362 CKH655368:CKH655386 CKH720898 CKH720904:CKH720922 CKH786434 CKH786440:CKH786458 CKH851970 CKH851976:CKH851994 CKH917506 CKH917512:CKH917530 CKH983042 CKH983048:CKH983066 CUD2 CUD8:CUD26 CUD65538 CUD65544:CUD65562 CUD131074 CUD131080:CUD131098 CUD196610 CUD196616:CUD196634 CUD262146 CUD262152:CUD262170 CUD327682 CUD327688:CUD327706 CUD393218 CUD393224:CUD393242 CUD458754 CUD458760:CUD458778 CUD524290 CUD524296:CUD524314 CUD589826 CUD589832:CUD589850 CUD655362 CUD655368:CUD655386 CUD720898 CUD720904:CUD720922 CUD786434 CUD786440:CUD786458 CUD851970 CUD851976:CUD851994 CUD917506 CUD917512:CUD917530 CUD983042 CUD983048:CUD983066 DDZ2 DDZ8:DDZ26 DDZ65538 DDZ65544:DDZ65562 DDZ131074 DDZ131080:DDZ131098 DDZ196610 DDZ196616:DDZ196634 DDZ262146 DDZ262152:DDZ262170 DDZ327682 DDZ327688:DDZ327706 DDZ393218 DDZ393224:DDZ393242 DDZ458754 DDZ458760:DDZ458778 DDZ524290 DDZ524296:DDZ524314 DDZ589826 DDZ589832:DDZ589850 DDZ655362 DDZ655368:DDZ655386 DDZ720898 DDZ720904:DDZ720922 DDZ786434 DDZ786440:DDZ786458 DDZ851970 DDZ851976:DDZ851994 DDZ917506 DDZ917512:DDZ917530 DDZ983042 DDZ983048:DDZ983066 DNV2 DNV8:DNV26 DNV65538 DNV65544:DNV65562 DNV131074 DNV131080:DNV131098 DNV196610 DNV196616:DNV196634 DNV262146 DNV262152:DNV262170 DNV327682 DNV327688:DNV327706 DNV393218 DNV393224:DNV393242 DNV458754 DNV458760:DNV458778 DNV524290 DNV524296:DNV524314 DNV589826 DNV589832:DNV589850 DNV655362 DNV655368:DNV655386 DNV720898 DNV720904:DNV720922 DNV786434 DNV786440:DNV786458 DNV851970 DNV851976:DNV851994 DNV917506 DNV917512:DNV917530 DNV983042 DNV983048:DNV983066 DXR2 DXR8:DXR26 DXR65538 DXR65544:DXR65562 DXR131074 DXR131080:DXR131098 DXR196610 DXR196616:DXR196634 DXR262146 DXR262152:DXR262170 DXR327682 DXR327688:DXR327706 DXR393218 DXR393224:DXR393242 DXR458754 DXR458760:DXR458778 DXR524290 DXR524296:DXR524314 DXR589826 DXR589832:DXR589850 DXR655362 DXR655368:DXR655386 DXR720898 DXR720904:DXR720922 DXR786434 DXR786440:DXR786458 DXR851970 DXR851976:DXR851994 DXR917506 DXR917512:DXR917530 DXR983042 DXR983048:DXR983066 EHN2 EHN8:EHN26 EHN65538 EHN65544:EHN65562 EHN131074 EHN131080:EHN131098 EHN196610 EHN196616:EHN196634 EHN262146 EHN262152:EHN262170 EHN327682 EHN327688:EHN327706 EHN393218 EHN393224:EHN393242 EHN458754 EHN458760:EHN458778 EHN524290 EHN524296:EHN524314 EHN589826 EHN589832:EHN589850 EHN655362 EHN655368:EHN655386 EHN720898 EHN720904:EHN720922 EHN786434 EHN786440:EHN786458 EHN851970 EHN851976:EHN851994 EHN917506 EHN917512:EHN917530 EHN983042 EHN983048:EHN983066 ERJ2 ERJ8:ERJ26 ERJ65538 ERJ65544:ERJ65562 ERJ131074 ERJ131080:ERJ131098 ERJ196610 ERJ196616:ERJ196634 ERJ262146 ERJ262152:ERJ262170 ERJ327682 ERJ327688:ERJ327706 ERJ393218 ERJ393224:ERJ393242 ERJ458754 ERJ458760:ERJ458778 ERJ524290 ERJ524296:ERJ524314 ERJ589826 ERJ589832:ERJ589850 ERJ655362 ERJ655368:ERJ655386 ERJ720898 ERJ720904:ERJ720922 ERJ786434 ERJ786440:ERJ786458 ERJ851970 ERJ851976:ERJ851994 ERJ917506 ERJ917512:ERJ917530 ERJ983042 ERJ983048:ERJ983066 FBF2 FBF8:FBF26 FBF65538 FBF65544:FBF65562 FBF131074 FBF131080:FBF131098 FBF196610 FBF196616:FBF196634 FBF262146 FBF262152:FBF262170 FBF327682 FBF327688:FBF327706 FBF393218 FBF393224:FBF393242 FBF458754 FBF458760:FBF458778 FBF524290 FBF524296:FBF524314 FBF589826 FBF589832:FBF589850 FBF655362 FBF655368:FBF655386 FBF720898 FBF720904:FBF720922 FBF786434 FBF786440:FBF786458 FBF851970 FBF851976:FBF851994 FBF917506 FBF917512:FBF917530 FBF983042 FBF983048:FBF983066 FLB2 FLB8:FLB26 FLB65538 FLB65544:FLB65562 FLB131074 FLB131080:FLB131098 FLB196610 FLB196616:FLB196634 FLB262146 FLB262152:FLB262170 FLB327682 FLB327688:FLB327706 FLB393218 FLB393224:FLB393242 FLB458754 FLB458760:FLB458778 FLB524290 FLB524296:FLB524314 FLB589826 FLB589832:FLB589850 FLB655362 FLB655368:FLB655386 FLB720898 FLB720904:FLB720922 FLB786434 FLB786440:FLB786458 FLB851970 FLB851976:FLB851994 FLB917506 FLB917512:FLB917530 FLB983042 FLB983048:FLB983066 FUX2 FUX8:FUX26 FUX65538 FUX65544:FUX65562 FUX131074 FUX131080:FUX131098 FUX196610 FUX196616:FUX196634 FUX262146 FUX262152:FUX262170 FUX327682 FUX327688:FUX327706 FUX393218 FUX393224:FUX393242 FUX458754 FUX458760:FUX458778 FUX524290 FUX524296:FUX524314 FUX589826 FUX589832:FUX589850 FUX655362 FUX655368:FUX655386 FUX720898 FUX720904:FUX720922 FUX786434 FUX786440:FUX786458 FUX851970 FUX851976:FUX851994 FUX917506 FUX917512:FUX917530 FUX983042 FUX983048:FUX983066 GET2 GET8:GET26 GET65538 GET65544:GET65562 GET131074 GET131080:GET131098 GET196610 GET196616:GET196634 GET262146 GET262152:GET262170 GET327682 GET327688:GET327706 GET393218 GET393224:GET393242 GET458754 GET458760:GET458778 GET524290 GET524296:GET524314 GET589826 GET589832:GET589850 GET655362 GET655368:GET655386 GET720898 GET720904:GET720922 GET786434 GET786440:GET786458 GET851970 GET851976:GET851994 GET917506 GET917512:GET917530 GET983042 GET983048:GET983066 GOP2 GOP8:GOP26 GOP65538 GOP65544:GOP65562 GOP131074 GOP131080:GOP131098 GOP196610 GOP196616:GOP196634 GOP262146 GOP262152:GOP262170 GOP327682 GOP327688:GOP327706 GOP393218 GOP393224:GOP393242 GOP458754 GOP458760:GOP458778 GOP524290 GOP524296:GOP524314 GOP589826 GOP589832:GOP589850 GOP655362 GOP655368:GOP655386 GOP720898 GOP720904:GOP720922 GOP786434 GOP786440:GOP786458 GOP851970 GOP851976:GOP851994 GOP917506 GOP917512:GOP917530 GOP983042 GOP983048:GOP983066 GYL2 GYL8:GYL26 GYL65538 GYL65544:GYL65562 GYL131074 GYL131080:GYL131098 GYL196610 GYL196616:GYL196634 GYL262146 GYL262152:GYL262170 GYL327682 GYL327688:GYL327706 GYL393218 GYL393224:GYL393242 GYL458754 GYL458760:GYL458778 GYL524290 GYL524296:GYL524314 GYL589826 GYL589832:GYL589850 GYL655362 GYL655368:GYL655386 GYL720898 GYL720904:GYL720922 GYL786434 GYL786440:GYL786458 GYL851970 GYL851976:GYL851994 GYL917506 GYL917512:GYL917530 GYL983042 GYL983048:GYL983066 HIH2 HIH8:HIH26 HIH65538 HIH65544:HIH65562 HIH131074 HIH131080:HIH131098 HIH196610 HIH196616:HIH196634 HIH262146 HIH262152:HIH262170 HIH327682 HIH327688:HIH327706 HIH393218 HIH393224:HIH393242 HIH458754 HIH458760:HIH458778 HIH524290 HIH524296:HIH524314 HIH589826 HIH589832:HIH589850 HIH655362 HIH655368:HIH655386 HIH720898 HIH720904:HIH720922 HIH786434 HIH786440:HIH786458 HIH851970 HIH851976:HIH851994 HIH917506 HIH917512:HIH917530 HIH983042 HIH983048:HIH983066 HSD2 HSD8:HSD26 HSD65538 HSD65544:HSD65562 HSD131074 HSD131080:HSD131098 HSD196610 HSD196616:HSD196634 HSD262146 HSD262152:HSD262170 HSD327682 HSD327688:HSD327706 HSD393218 HSD393224:HSD393242 HSD458754 HSD458760:HSD458778 HSD524290 HSD524296:HSD524314 HSD589826 HSD589832:HSD589850 HSD655362 HSD655368:HSD655386 HSD720898 HSD720904:HSD720922 HSD786434 HSD786440:HSD786458 HSD851970 HSD851976:HSD851994 HSD917506 HSD917512:HSD917530 HSD983042 HSD983048:HSD983066 IBZ2 IBZ8:IBZ26 IBZ65538 IBZ65544:IBZ65562 IBZ131074 IBZ131080:IBZ131098 IBZ196610 IBZ196616:IBZ196634 IBZ262146 IBZ262152:IBZ262170 IBZ327682 IBZ327688:IBZ327706 IBZ393218 IBZ393224:IBZ393242 IBZ458754 IBZ458760:IBZ458778 IBZ524290 IBZ524296:IBZ524314 IBZ589826 IBZ589832:IBZ589850 IBZ655362 IBZ655368:IBZ655386 IBZ720898 IBZ720904:IBZ720922 IBZ786434 IBZ786440:IBZ786458 IBZ851970 IBZ851976:IBZ851994 IBZ917506 IBZ917512:IBZ917530 IBZ983042 IBZ983048:IBZ983066 ILV2 ILV8:ILV26 ILV65538 ILV65544:ILV65562 ILV131074 ILV131080:ILV131098 ILV196610 ILV196616:ILV196634 ILV262146 ILV262152:ILV262170 ILV327682 ILV327688:ILV327706 ILV393218 ILV393224:ILV393242 ILV458754 ILV458760:ILV458778 ILV524290 ILV524296:ILV524314 ILV589826 ILV589832:ILV589850 ILV655362 ILV655368:ILV655386 ILV720898 ILV720904:ILV720922 ILV786434 ILV786440:ILV786458 ILV851970 ILV851976:ILV851994 ILV917506 ILV917512:ILV917530 ILV983042 ILV983048:ILV983066 IVR2 IVR8:IVR26 IVR65538 IVR65544:IVR65562 IVR131074 IVR131080:IVR131098 IVR196610 IVR196616:IVR196634 IVR262146 IVR262152:IVR262170 IVR327682 IVR327688:IVR327706 IVR393218 IVR393224:IVR393242 IVR458754 IVR458760:IVR458778 IVR524290 IVR524296:IVR524314 IVR589826 IVR589832:IVR589850 IVR655362 IVR655368:IVR655386 IVR720898 IVR720904:IVR720922 IVR786434 IVR786440:IVR786458 IVR851970 IVR851976:IVR851994 IVR917506 IVR917512:IVR917530 IVR983042 IVR983048:IVR983066 JFN2 JFN8:JFN26 JFN65538 JFN65544:JFN65562 JFN131074 JFN131080:JFN131098 JFN196610 JFN196616:JFN196634 JFN262146 JFN262152:JFN262170 JFN327682 JFN327688:JFN327706 JFN393218 JFN393224:JFN393242 JFN458754 JFN458760:JFN458778 JFN524290 JFN524296:JFN524314 JFN589826 JFN589832:JFN589850 JFN655362 JFN655368:JFN655386 JFN720898 JFN720904:JFN720922 JFN786434 JFN786440:JFN786458 JFN851970 JFN851976:JFN851994 JFN917506 JFN917512:JFN917530 JFN983042 JFN983048:JFN983066 JPJ2 JPJ8:JPJ26 JPJ65538 JPJ65544:JPJ65562 JPJ131074 JPJ131080:JPJ131098 JPJ196610 JPJ196616:JPJ196634 JPJ262146 JPJ262152:JPJ262170 JPJ327682 JPJ327688:JPJ327706 JPJ393218 JPJ393224:JPJ393242 JPJ458754 JPJ458760:JPJ458778 JPJ524290 JPJ524296:JPJ524314 JPJ589826 JPJ589832:JPJ589850 JPJ655362 JPJ655368:JPJ655386 JPJ720898 JPJ720904:JPJ720922 JPJ786434 JPJ786440:JPJ786458 JPJ851970 JPJ851976:JPJ851994 JPJ917506 JPJ917512:JPJ917530 JPJ983042 JPJ983048:JPJ983066 JZF2 JZF8:JZF26 JZF65538 JZF65544:JZF65562 JZF131074 JZF131080:JZF131098 JZF196610 JZF196616:JZF196634 JZF262146 JZF262152:JZF262170 JZF327682 JZF327688:JZF327706 JZF393218 JZF393224:JZF393242 JZF458754 JZF458760:JZF458778 JZF524290 JZF524296:JZF524314 JZF589826 JZF589832:JZF589850 JZF655362 JZF655368:JZF655386 JZF720898 JZF720904:JZF720922 JZF786434 JZF786440:JZF786458 JZF851970 JZF851976:JZF851994 JZF917506 JZF917512:JZF917530 JZF983042 JZF983048:JZF983066 KJB2 KJB8:KJB26 KJB65538 KJB65544:KJB65562 KJB131074 KJB131080:KJB131098 KJB196610 KJB196616:KJB196634 KJB262146 KJB262152:KJB262170 KJB327682 KJB327688:KJB327706 KJB393218 KJB393224:KJB393242 KJB458754 KJB458760:KJB458778 KJB524290 KJB524296:KJB524314 KJB589826 KJB589832:KJB589850 KJB655362 KJB655368:KJB655386 KJB720898 KJB720904:KJB720922 KJB786434 KJB786440:KJB786458 KJB851970 KJB851976:KJB851994 KJB917506 KJB917512:KJB917530 KJB983042 KJB983048:KJB983066 KSX2 KSX8:KSX26 KSX65538 KSX65544:KSX65562 KSX131074 KSX131080:KSX131098 KSX196610 KSX196616:KSX196634 KSX262146 KSX262152:KSX262170 KSX327682 KSX327688:KSX327706 KSX393218 KSX393224:KSX393242 KSX458754 KSX458760:KSX458778 KSX524290 KSX524296:KSX524314 KSX589826 KSX589832:KSX589850 KSX655362 KSX655368:KSX655386 KSX720898 KSX720904:KSX720922 KSX786434 KSX786440:KSX786458 KSX851970 KSX851976:KSX851994 KSX917506 KSX917512:KSX917530 KSX983042 KSX983048:KSX983066 LCT2 LCT8:LCT26 LCT65538 LCT65544:LCT65562 LCT131074 LCT131080:LCT131098 LCT196610 LCT196616:LCT196634 LCT262146 LCT262152:LCT262170 LCT327682 LCT327688:LCT327706 LCT393218 LCT393224:LCT393242 LCT458754 LCT458760:LCT458778 LCT524290 LCT524296:LCT524314 LCT589826 LCT589832:LCT589850 LCT655362 LCT655368:LCT655386 LCT720898 LCT720904:LCT720922 LCT786434 LCT786440:LCT786458 LCT851970 LCT851976:LCT851994 LCT917506 LCT917512:LCT917530 LCT983042 LCT983048:LCT983066 LMP2 LMP8:LMP26 LMP65538 LMP65544:LMP65562 LMP131074 LMP131080:LMP131098 LMP196610 LMP196616:LMP196634 LMP262146 LMP262152:LMP262170 LMP327682 LMP327688:LMP327706 LMP393218 LMP393224:LMP393242 LMP458754 LMP458760:LMP458778 LMP524290 LMP524296:LMP524314 LMP589826 LMP589832:LMP589850 LMP655362 LMP655368:LMP655386 LMP720898 LMP720904:LMP720922 LMP786434 LMP786440:LMP786458 LMP851970 LMP851976:LMP851994 LMP917506 LMP917512:LMP917530 LMP983042 LMP983048:LMP983066 LWL2 LWL8:LWL26 LWL65538 LWL65544:LWL65562 LWL131074 LWL131080:LWL131098 LWL196610 LWL196616:LWL196634 LWL262146 LWL262152:LWL262170 LWL327682 LWL327688:LWL327706 LWL393218 LWL393224:LWL393242 LWL458754 LWL458760:LWL458778 LWL524290 LWL524296:LWL524314 LWL589826 LWL589832:LWL589850 LWL655362 LWL655368:LWL655386 LWL720898 LWL720904:LWL720922 LWL786434 LWL786440:LWL786458 LWL851970 LWL851976:LWL851994 LWL917506 LWL917512:LWL917530 LWL983042 LWL983048:LWL983066 MGH2 MGH8:MGH26 MGH65538 MGH65544:MGH65562 MGH131074 MGH131080:MGH131098 MGH196610 MGH196616:MGH196634 MGH262146 MGH262152:MGH262170 MGH327682 MGH327688:MGH327706 MGH393218 MGH393224:MGH393242 MGH458754 MGH458760:MGH458778 MGH524290 MGH524296:MGH524314 MGH589826 MGH589832:MGH589850 MGH655362 MGH655368:MGH655386 MGH720898 MGH720904:MGH720922 MGH786434 MGH786440:MGH786458 MGH851970 MGH851976:MGH851994 MGH917506 MGH917512:MGH917530 MGH983042 MGH983048:MGH983066 MQD2 MQD8:MQD26 MQD65538 MQD65544:MQD65562 MQD131074 MQD131080:MQD131098 MQD196610 MQD196616:MQD196634 MQD262146 MQD262152:MQD262170 MQD327682 MQD327688:MQD327706 MQD393218 MQD393224:MQD393242 MQD458754 MQD458760:MQD458778 MQD524290 MQD524296:MQD524314 MQD589826 MQD589832:MQD589850 MQD655362 MQD655368:MQD655386 MQD720898 MQD720904:MQD720922 MQD786434 MQD786440:MQD786458 MQD851970 MQD851976:MQD851994 MQD917506 MQD917512:MQD917530 MQD983042 MQD983048:MQD983066 MZZ2 MZZ8:MZZ26 MZZ65538 MZZ65544:MZZ65562 MZZ131074 MZZ131080:MZZ131098 MZZ196610 MZZ196616:MZZ196634 MZZ262146 MZZ262152:MZZ262170 MZZ327682 MZZ327688:MZZ327706 MZZ393218 MZZ393224:MZZ393242 MZZ458754 MZZ458760:MZZ458778 MZZ524290 MZZ524296:MZZ524314 MZZ589826 MZZ589832:MZZ589850 MZZ655362 MZZ655368:MZZ655386 MZZ720898 MZZ720904:MZZ720922 MZZ786434 MZZ786440:MZZ786458 MZZ851970 MZZ851976:MZZ851994 MZZ917506 MZZ917512:MZZ917530 MZZ983042 MZZ983048:MZZ983066 NJV2 NJV8:NJV26 NJV65538 NJV65544:NJV65562 NJV131074 NJV131080:NJV131098 NJV196610 NJV196616:NJV196634 NJV262146 NJV262152:NJV262170 NJV327682 NJV327688:NJV327706 NJV393218 NJV393224:NJV393242 NJV458754 NJV458760:NJV458778 NJV524290 NJV524296:NJV524314 NJV589826 NJV589832:NJV589850 NJV655362 NJV655368:NJV655386 NJV720898 NJV720904:NJV720922 NJV786434 NJV786440:NJV786458 NJV851970 NJV851976:NJV851994 NJV917506 NJV917512:NJV917530 NJV983042 NJV983048:NJV983066 NTR2 NTR8:NTR26 NTR65538 NTR65544:NTR65562 NTR131074 NTR131080:NTR131098 NTR196610 NTR196616:NTR196634 NTR262146 NTR262152:NTR262170 NTR327682 NTR327688:NTR327706 NTR393218 NTR393224:NTR393242 NTR458754 NTR458760:NTR458778 NTR524290 NTR524296:NTR524314 NTR589826 NTR589832:NTR589850 NTR655362 NTR655368:NTR655386 NTR720898 NTR720904:NTR720922 NTR786434 NTR786440:NTR786458 NTR851970 NTR851976:NTR851994 NTR917506 NTR917512:NTR917530 NTR983042 NTR983048:NTR983066 ODN2 ODN8:ODN26 ODN65538 ODN65544:ODN65562 ODN131074 ODN131080:ODN131098 ODN196610 ODN196616:ODN196634 ODN262146 ODN262152:ODN262170 ODN327682 ODN327688:ODN327706 ODN393218 ODN393224:ODN393242 ODN458754 ODN458760:ODN458778 ODN524290 ODN524296:ODN524314 ODN589826 ODN589832:ODN589850 ODN655362 ODN655368:ODN655386 ODN720898 ODN720904:ODN720922 ODN786434 ODN786440:ODN786458 ODN851970 ODN851976:ODN851994 ODN917506 ODN917512:ODN917530 ODN983042 ODN983048:ODN983066 ONJ2 ONJ8:ONJ26 ONJ65538 ONJ65544:ONJ65562 ONJ131074 ONJ131080:ONJ131098 ONJ196610 ONJ196616:ONJ196634 ONJ262146 ONJ262152:ONJ262170 ONJ327682 ONJ327688:ONJ327706 ONJ393218 ONJ393224:ONJ393242 ONJ458754 ONJ458760:ONJ458778 ONJ524290 ONJ524296:ONJ524314 ONJ589826 ONJ589832:ONJ589850 ONJ655362 ONJ655368:ONJ655386 ONJ720898 ONJ720904:ONJ720922 ONJ786434 ONJ786440:ONJ786458 ONJ851970 ONJ851976:ONJ851994 ONJ917506 ONJ917512:ONJ917530 ONJ983042 ONJ983048:ONJ983066 OXF2 OXF8:OXF26 OXF65538 OXF65544:OXF65562 OXF131074 OXF131080:OXF131098 OXF196610 OXF196616:OXF196634 OXF262146 OXF262152:OXF262170 OXF327682 OXF327688:OXF327706 OXF393218 OXF393224:OXF393242 OXF458754 OXF458760:OXF458778 OXF524290 OXF524296:OXF524314 OXF589826 OXF589832:OXF589850 OXF655362 OXF655368:OXF655386 OXF720898 OXF720904:OXF720922 OXF786434 OXF786440:OXF786458 OXF851970 OXF851976:OXF851994 OXF917506 OXF917512:OXF917530 OXF983042 OXF983048:OXF983066 PHB2 PHB8:PHB26 PHB65538 PHB65544:PHB65562 PHB131074 PHB131080:PHB131098 PHB196610 PHB196616:PHB196634 PHB262146 PHB262152:PHB262170 PHB327682 PHB327688:PHB327706 PHB393218 PHB393224:PHB393242 PHB458754 PHB458760:PHB458778 PHB524290 PHB524296:PHB524314 PHB589826 PHB589832:PHB589850 PHB655362 PHB655368:PHB655386 PHB720898 PHB720904:PHB720922 PHB786434 PHB786440:PHB786458 PHB851970 PHB851976:PHB851994 PHB917506 PHB917512:PHB917530 PHB983042 PHB983048:PHB983066 PQX2 PQX8:PQX26 PQX65538 PQX65544:PQX65562 PQX131074 PQX131080:PQX131098 PQX196610 PQX196616:PQX196634 PQX262146 PQX262152:PQX262170 PQX327682 PQX327688:PQX327706 PQX393218 PQX393224:PQX393242 PQX458754 PQX458760:PQX458778 PQX524290 PQX524296:PQX524314 PQX589826 PQX589832:PQX589850 PQX655362 PQX655368:PQX655386 PQX720898 PQX720904:PQX720922 PQX786434 PQX786440:PQX786458 PQX851970 PQX851976:PQX851994 PQX917506 PQX917512:PQX917530 PQX983042 PQX983048:PQX983066 QAT2 QAT8:QAT26 QAT65538 QAT65544:QAT65562 QAT131074 QAT131080:QAT131098 QAT196610 QAT196616:QAT196634 QAT262146 QAT262152:QAT262170 QAT327682 QAT327688:QAT327706 QAT393218 QAT393224:QAT393242 QAT458754 QAT458760:QAT458778 QAT524290 QAT524296:QAT524314 QAT589826 QAT589832:QAT589850 QAT655362 QAT655368:QAT655386 QAT720898 QAT720904:QAT720922 QAT786434 QAT786440:QAT786458 QAT851970 QAT851976:QAT851994 QAT917506 QAT917512:QAT917530 QAT983042 QAT983048:QAT983066 QKP2 QKP8:QKP26 QKP65538 QKP65544:QKP65562 QKP131074 QKP131080:QKP131098 QKP196610 QKP196616:QKP196634 QKP262146 QKP262152:QKP262170 QKP327682 QKP327688:QKP327706 QKP393218 QKP393224:QKP393242 QKP458754 QKP458760:QKP458778 QKP524290 QKP524296:QKP524314 QKP589826 QKP589832:QKP589850 QKP655362 QKP655368:QKP655386 QKP720898 QKP720904:QKP720922 QKP786434 QKP786440:QKP786458 QKP851970 QKP851976:QKP851994 QKP917506 QKP917512:QKP917530 QKP983042 QKP983048:QKP983066 QUL2 QUL8:QUL26 QUL65538 QUL65544:QUL65562 QUL131074 QUL131080:QUL131098 QUL196610 QUL196616:QUL196634 QUL262146 QUL262152:QUL262170 QUL327682 QUL327688:QUL327706 QUL393218 QUL393224:QUL393242 QUL458754 QUL458760:QUL458778 QUL524290 QUL524296:QUL524314 QUL589826 QUL589832:QUL589850 QUL655362 QUL655368:QUL655386 QUL720898 QUL720904:QUL720922 QUL786434 QUL786440:QUL786458 QUL851970 QUL851976:QUL851994 QUL917506 QUL917512:QUL917530 QUL983042 QUL983048:QUL983066 REH2 REH8:REH26 REH65538 REH65544:REH65562 REH131074 REH131080:REH131098 REH196610 REH196616:REH196634 REH262146 REH262152:REH262170 REH327682 REH327688:REH327706 REH393218 REH393224:REH393242 REH458754 REH458760:REH458778 REH524290 REH524296:REH524314 REH589826 REH589832:REH589850 REH655362 REH655368:REH655386 REH720898 REH720904:REH720922 REH786434 REH786440:REH786458 REH851970 REH851976:REH851994 REH917506 REH917512:REH917530 REH983042 REH983048:REH983066 ROD2 ROD8:ROD26 ROD65538 ROD65544:ROD65562 ROD131074 ROD131080:ROD131098 ROD196610 ROD196616:ROD196634 ROD262146 ROD262152:ROD262170 ROD327682 ROD327688:ROD327706 ROD393218 ROD393224:ROD393242 ROD458754 ROD458760:ROD458778 ROD524290 ROD524296:ROD524314 ROD589826 ROD589832:ROD589850 ROD655362 ROD655368:ROD655386 ROD720898 ROD720904:ROD720922 ROD786434 ROD786440:ROD786458 ROD851970 ROD851976:ROD851994 ROD917506 ROD917512:ROD917530 ROD983042 ROD983048:ROD983066 RXZ2 RXZ8:RXZ26 RXZ65538 RXZ65544:RXZ65562 RXZ131074 RXZ131080:RXZ131098 RXZ196610 RXZ196616:RXZ196634 RXZ262146 RXZ262152:RXZ262170 RXZ327682 RXZ327688:RXZ327706 RXZ393218 RXZ393224:RXZ393242 RXZ458754 RXZ458760:RXZ458778 RXZ524290 RXZ524296:RXZ524314 RXZ589826 RXZ589832:RXZ589850 RXZ655362 RXZ655368:RXZ655386 RXZ720898 RXZ720904:RXZ720922 RXZ786434 RXZ786440:RXZ786458 RXZ851970 RXZ851976:RXZ851994 RXZ917506 RXZ917512:RXZ917530 RXZ983042 RXZ983048:RXZ983066 SHV2 SHV8:SHV26 SHV65538 SHV65544:SHV65562 SHV131074 SHV131080:SHV131098 SHV196610 SHV196616:SHV196634 SHV262146 SHV262152:SHV262170 SHV327682 SHV327688:SHV327706 SHV393218 SHV393224:SHV393242 SHV458754 SHV458760:SHV458778 SHV524290 SHV524296:SHV524314 SHV589826 SHV589832:SHV589850 SHV655362 SHV655368:SHV655386 SHV720898 SHV720904:SHV720922 SHV786434 SHV786440:SHV786458 SHV851970 SHV851976:SHV851994 SHV917506 SHV917512:SHV917530 SHV983042 SHV983048:SHV983066 SRR2 SRR8:SRR26 SRR65538 SRR65544:SRR65562 SRR131074 SRR131080:SRR131098 SRR196610 SRR196616:SRR196634 SRR262146 SRR262152:SRR262170 SRR327682 SRR327688:SRR327706 SRR393218 SRR393224:SRR393242 SRR458754 SRR458760:SRR458778 SRR524290 SRR524296:SRR524314 SRR589826 SRR589832:SRR589850 SRR655362 SRR655368:SRR655386 SRR720898 SRR720904:SRR720922 SRR786434 SRR786440:SRR786458 SRR851970 SRR851976:SRR851994 SRR917506 SRR917512:SRR917530 SRR983042 SRR983048:SRR983066 TBN2 TBN8:TBN26 TBN65538 TBN65544:TBN65562 TBN131074 TBN131080:TBN131098 TBN196610 TBN196616:TBN196634 TBN262146 TBN262152:TBN262170 TBN327682 TBN327688:TBN327706 TBN393218 TBN393224:TBN393242 TBN458754 TBN458760:TBN458778 TBN524290 TBN524296:TBN524314 TBN589826 TBN589832:TBN589850 TBN655362 TBN655368:TBN655386 TBN720898 TBN720904:TBN720922 TBN786434 TBN786440:TBN786458 TBN851970 TBN851976:TBN851994 TBN917506 TBN917512:TBN917530 TBN983042 TBN983048:TBN983066 TLJ2 TLJ8:TLJ26 TLJ65538 TLJ65544:TLJ65562 TLJ131074 TLJ131080:TLJ131098 TLJ196610 TLJ196616:TLJ196634 TLJ262146 TLJ262152:TLJ262170 TLJ327682 TLJ327688:TLJ327706 TLJ393218 TLJ393224:TLJ393242 TLJ458754 TLJ458760:TLJ458778 TLJ524290 TLJ524296:TLJ524314 TLJ589826 TLJ589832:TLJ589850 TLJ655362 TLJ655368:TLJ655386 TLJ720898 TLJ720904:TLJ720922 TLJ786434 TLJ786440:TLJ786458 TLJ851970 TLJ851976:TLJ851994 TLJ917506 TLJ917512:TLJ917530 TLJ983042 TLJ983048:TLJ983066 TVF2 TVF8:TVF26 TVF65538 TVF65544:TVF65562 TVF131074 TVF131080:TVF131098 TVF196610 TVF196616:TVF196634 TVF262146 TVF262152:TVF262170 TVF327682 TVF327688:TVF327706 TVF393218 TVF393224:TVF393242 TVF458754 TVF458760:TVF458778 TVF524290 TVF524296:TVF524314 TVF589826 TVF589832:TVF589850 TVF655362 TVF655368:TVF655386 TVF720898 TVF720904:TVF720922 TVF786434 TVF786440:TVF786458 TVF851970 TVF851976:TVF851994 TVF917506 TVF917512:TVF917530 TVF983042 TVF983048:TVF983066 UFB2 UFB8:UFB26 UFB65538 UFB65544:UFB65562 UFB131074 UFB131080:UFB131098 UFB196610 UFB196616:UFB196634 UFB262146 UFB262152:UFB262170 UFB327682 UFB327688:UFB327706 UFB393218 UFB393224:UFB393242 UFB458754 UFB458760:UFB458778 UFB524290 UFB524296:UFB524314 UFB589826 UFB589832:UFB589850 UFB655362 UFB655368:UFB655386 UFB720898 UFB720904:UFB720922 UFB786434 UFB786440:UFB786458 UFB851970 UFB851976:UFB851994 UFB917506 UFB917512:UFB917530 UFB983042 UFB983048:UFB983066 UOX2 UOX8:UOX26 UOX65538 UOX65544:UOX65562 UOX131074 UOX131080:UOX131098 UOX196610 UOX196616:UOX196634 UOX262146 UOX262152:UOX262170 UOX327682 UOX327688:UOX327706 UOX393218 UOX393224:UOX393242 UOX458754 UOX458760:UOX458778 UOX524290 UOX524296:UOX524314 UOX589826 UOX589832:UOX589850 UOX655362 UOX655368:UOX655386 UOX720898 UOX720904:UOX720922 UOX786434 UOX786440:UOX786458 UOX851970 UOX851976:UOX851994 UOX917506 UOX917512:UOX917530 UOX983042 UOX983048:UOX983066 UYT2 UYT8:UYT26 UYT65538 UYT65544:UYT65562 UYT131074 UYT131080:UYT131098 UYT196610 UYT196616:UYT196634 UYT262146 UYT262152:UYT262170 UYT327682 UYT327688:UYT327706 UYT393218 UYT393224:UYT393242 UYT458754 UYT458760:UYT458778 UYT524290 UYT524296:UYT524314 UYT589826 UYT589832:UYT589850 UYT655362 UYT655368:UYT655386 UYT720898 UYT720904:UYT720922 UYT786434 UYT786440:UYT786458 UYT851970 UYT851976:UYT851994 UYT917506 UYT917512:UYT917530 UYT983042 UYT983048:UYT983066 VIP2 VIP8:VIP26 VIP65538 VIP65544:VIP65562 VIP131074 VIP131080:VIP131098 VIP196610 VIP196616:VIP196634 VIP262146 VIP262152:VIP262170 VIP327682 VIP327688:VIP327706 VIP393218 VIP393224:VIP393242 VIP458754 VIP458760:VIP458778 VIP524290 VIP524296:VIP524314 VIP589826 VIP589832:VIP589850 VIP655362 VIP655368:VIP655386 VIP720898 VIP720904:VIP720922 VIP786434 VIP786440:VIP786458 VIP851970 VIP851976:VIP851994 VIP917506 VIP917512:VIP917530 VIP983042 VIP983048:VIP983066 VSL2 VSL8:VSL26 VSL65538 VSL65544:VSL65562 VSL131074 VSL131080:VSL131098 VSL196610 VSL196616:VSL196634 VSL262146 VSL262152:VSL262170 VSL327682 VSL327688:VSL327706 VSL393218 VSL393224:VSL393242 VSL458754 VSL458760:VSL458778 VSL524290 VSL524296:VSL524314 VSL589826 VSL589832:VSL589850 VSL655362 VSL655368:VSL655386 VSL720898 VSL720904:VSL720922 VSL786434 VSL786440:VSL786458 VSL851970 VSL851976:VSL851994 VSL917506 VSL917512:VSL917530 VSL983042 VSL983048:VSL983066 WCH2 WCH8:WCH26 WCH65538 WCH65544:WCH65562 WCH131074 WCH131080:WCH131098 WCH196610 WCH196616:WCH196634 WCH262146 WCH262152:WCH262170 WCH327682 WCH327688:WCH327706 WCH393218 WCH393224:WCH393242 WCH458754 WCH458760:WCH458778 WCH524290 WCH524296:WCH524314 WCH589826 WCH589832:WCH589850 WCH655362 WCH655368:WCH655386 WCH720898 WCH720904:WCH720922 WCH786434 WCH786440:WCH786458 WCH851970 WCH851976:WCH851994 WCH917506 WCH917512:WCH917530 WCH983042 WCH983048:WCH983066 WMD2 WMD8:WMD26 WMD65538 WMD65544:WMD65562 WMD131074 WMD131080:WMD131098 WMD196610 WMD196616:WMD196634 WMD262146 WMD262152:WMD262170 WMD327682 WMD327688:WMD327706 WMD393218 WMD393224:WMD393242 WMD458754 WMD458760:WMD458778 WMD524290 WMD524296:WMD524314 WMD589826 WMD589832:WMD589850 WMD655362 WMD655368:WMD655386 WMD720898 WMD720904:WMD720922 WMD786434 WMD786440:WMD786458 WMD851970 WMD851976:WMD851994 WMD917506 WMD917512:WMD917530 WMD983042 WMD983048:WMD983066 WVZ2 WVZ8:WVZ26 WVZ65538 WVZ65544:WVZ65562 WVZ131074 WVZ131080:WVZ131098 WVZ196610 WVZ196616:WVZ196634 WVZ262146 WVZ262152:WVZ262170 WVZ327682 WVZ327688:WVZ327706 WVZ393218 WVZ393224:WVZ393242 WVZ458754 WVZ458760:WVZ458778 WVZ524290 WVZ524296:WVZ524314 WVZ589826 WVZ589832:WVZ589850 WVZ655362 WVZ655368:WVZ655386 WVZ720898 WVZ720904:WVZ720922 WVZ786434 WVZ786440:WVZ786458 WVZ851970 WVZ851976:WVZ851994 WVZ917506 WVZ917512:WVZ917530 WVZ983042 WVZ983048:WVZ983066" xr:uid="{00000000-0002-0000-0900-000013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S2 S8:S26 S65538 S65544:S65562 S131074 S131080:S131098 S196610 S196616:S196634 S262146 S262152:S262170 S327682 S327688:S327706 S393218 S393224:S393242 S458754 S458760:S458778 S524290 S524296:S524314 S589826 S589832:S589850 S655362 S655368:S655386 S720898 S720904:S720922 S786434 S786440:S786458 S851970 S851976:S851994 S917506 S917512:S917530 S983042 S983048:S983066 JO2 JO8:JO26 JO65538 JO65544:JO65562 JO131074 JO131080:JO131098 JO196610 JO196616:JO196634 JO262146 JO262152:JO262170 JO327682 JO327688:JO327706 JO393218 JO393224:JO393242 JO458754 JO458760:JO458778 JO524290 JO524296:JO524314 JO589826 JO589832:JO589850 JO655362 JO655368:JO655386 JO720898 JO720904:JO720922 JO786434 JO786440:JO786458 JO851970 JO851976:JO851994 JO917506 JO917512:JO917530 JO983042 JO983048:JO983066 TK2 TK8:TK26 TK65538 TK65544:TK65562 TK131074 TK131080:TK131098 TK196610 TK196616:TK196634 TK262146 TK262152:TK262170 TK327682 TK327688:TK327706 TK393218 TK393224:TK393242 TK458754 TK458760:TK458778 TK524290 TK524296:TK524314 TK589826 TK589832:TK589850 TK655362 TK655368:TK655386 TK720898 TK720904:TK720922 TK786434 TK786440:TK786458 TK851970 TK851976:TK851994 TK917506 TK917512:TK917530 TK983042 TK983048:TK983066 ADG2 ADG8:ADG26 ADG65538 ADG65544:ADG65562 ADG131074 ADG131080:ADG131098 ADG196610 ADG196616:ADG196634 ADG262146 ADG262152:ADG262170 ADG327682 ADG327688:ADG327706 ADG393218 ADG393224:ADG393242 ADG458754 ADG458760:ADG458778 ADG524290 ADG524296:ADG524314 ADG589826 ADG589832:ADG589850 ADG655362 ADG655368:ADG655386 ADG720898 ADG720904:ADG720922 ADG786434 ADG786440:ADG786458 ADG851970 ADG851976:ADG851994 ADG917506 ADG917512:ADG917530 ADG983042 ADG983048:ADG983066 ANC2 ANC8:ANC26 ANC65538 ANC65544:ANC65562 ANC131074 ANC131080:ANC131098 ANC196610 ANC196616:ANC196634 ANC262146 ANC262152:ANC262170 ANC327682 ANC327688:ANC327706 ANC393218 ANC393224:ANC393242 ANC458754 ANC458760:ANC458778 ANC524290 ANC524296:ANC524314 ANC589826 ANC589832:ANC589850 ANC655362 ANC655368:ANC655386 ANC720898 ANC720904:ANC720922 ANC786434 ANC786440:ANC786458 ANC851970 ANC851976:ANC851994 ANC917506 ANC917512:ANC917530 ANC983042 ANC983048:ANC983066 AWY2 AWY8:AWY26 AWY65538 AWY65544:AWY65562 AWY131074 AWY131080:AWY131098 AWY196610 AWY196616:AWY196634 AWY262146 AWY262152:AWY262170 AWY327682 AWY327688:AWY327706 AWY393218 AWY393224:AWY393242 AWY458754 AWY458760:AWY458778 AWY524290 AWY524296:AWY524314 AWY589826 AWY589832:AWY589850 AWY655362 AWY655368:AWY655386 AWY720898 AWY720904:AWY720922 AWY786434 AWY786440:AWY786458 AWY851970 AWY851976:AWY851994 AWY917506 AWY917512:AWY917530 AWY983042 AWY983048:AWY983066 BGU2 BGU8:BGU26 BGU65538 BGU65544:BGU65562 BGU131074 BGU131080:BGU131098 BGU196610 BGU196616:BGU196634 BGU262146 BGU262152:BGU262170 BGU327682 BGU327688:BGU327706 BGU393218 BGU393224:BGU393242 BGU458754 BGU458760:BGU458778 BGU524290 BGU524296:BGU524314 BGU589826 BGU589832:BGU589850 BGU655362 BGU655368:BGU655386 BGU720898 BGU720904:BGU720922 BGU786434 BGU786440:BGU786458 BGU851970 BGU851976:BGU851994 BGU917506 BGU917512:BGU917530 BGU983042 BGU983048:BGU983066 BQQ2 BQQ8:BQQ26 BQQ65538 BQQ65544:BQQ65562 BQQ131074 BQQ131080:BQQ131098 BQQ196610 BQQ196616:BQQ196634 BQQ262146 BQQ262152:BQQ262170 BQQ327682 BQQ327688:BQQ327706 BQQ393218 BQQ393224:BQQ393242 BQQ458754 BQQ458760:BQQ458778 BQQ524290 BQQ524296:BQQ524314 BQQ589826 BQQ589832:BQQ589850 BQQ655362 BQQ655368:BQQ655386 BQQ720898 BQQ720904:BQQ720922 BQQ786434 BQQ786440:BQQ786458 BQQ851970 BQQ851976:BQQ851994 BQQ917506 BQQ917512:BQQ917530 BQQ983042 BQQ983048:BQQ983066 CAM2 CAM8:CAM26 CAM65538 CAM65544:CAM65562 CAM131074 CAM131080:CAM131098 CAM196610 CAM196616:CAM196634 CAM262146 CAM262152:CAM262170 CAM327682 CAM327688:CAM327706 CAM393218 CAM393224:CAM393242 CAM458754 CAM458760:CAM458778 CAM524290 CAM524296:CAM524314 CAM589826 CAM589832:CAM589850 CAM655362 CAM655368:CAM655386 CAM720898 CAM720904:CAM720922 CAM786434 CAM786440:CAM786458 CAM851970 CAM851976:CAM851994 CAM917506 CAM917512:CAM917530 CAM983042 CAM983048:CAM983066 CKI2 CKI8:CKI26 CKI65538 CKI65544:CKI65562 CKI131074 CKI131080:CKI131098 CKI196610 CKI196616:CKI196634 CKI262146 CKI262152:CKI262170 CKI327682 CKI327688:CKI327706 CKI393218 CKI393224:CKI393242 CKI458754 CKI458760:CKI458778 CKI524290 CKI524296:CKI524314 CKI589826 CKI589832:CKI589850 CKI655362 CKI655368:CKI655386 CKI720898 CKI720904:CKI720922 CKI786434 CKI786440:CKI786458 CKI851970 CKI851976:CKI851994 CKI917506 CKI917512:CKI917530 CKI983042 CKI983048:CKI983066 CUE2 CUE8:CUE26 CUE65538 CUE65544:CUE65562 CUE131074 CUE131080:CUE131098 CUE196610 CUE196616:CUE196634 CUE262146 CUE262152:CUE262170 CUE327682 CUE327688:CUE327706 CUE393218 CUE393224:CUE393242 CUE458754 CUE458760:CUE458778 CUE524290 CUE524296:CUE524314 CUE589826 CUE589832:CUE589850 CUE655362 CUE655368:CUE655386 CUE720898 CUE720904:CUE720922 CUE786434 CUE786440:CUE786458 CUE851970 CUE851976:CUE851994 CUE917506 CUE917512:CUE917530 CUE983042 CUE983048:CUE983066 DEA2 DEA8:DEA26 DEA65538 DEA65544:DEA65562 DEA131074 DEA131080:DEA131098 DEA196610 DEA196616:DEA196634 DEA262146 DEA262152:DEA262170 DEA327682 DEA327688:DEA327706 DEA393218 DEA393224:DEA393242 DEA458754 DEA458760:DEA458778 DEA524290 DEA524296:DEA524314 DEA589826 DEA589832:DEA589850 DEA655362 DEA655368:DEA655386 DEA720898 DEA720904:DEA720922 DEA786434 DEA786440:DEA786458 DEA851970 DEA851976:DEA851994 DEA917506 DEA917512:DEA917530 DEA983042 DEA983048:DEA983066 DNW2 DNW8:DNW26 DNW65538 DNW65544:DNW65562 DNW131074 DNW131080:DNW131098 DNW196610 DNW196616:DNW196634 DNW262146 DNW262152:DNW262170 DNW327682 DNW327688:DNW327706 DNW393218 DNW393224:DNW393242 DNW458754 DNW458760:DNW458778 DNW524290 DNW524296:DNW524314 DNW589826 DNW589832:DNW589850 DNW655362 DNW655368:DNW655386 DNW720898 DNW720904:DNW720922 DNW786434 DNW786440:DNW786458 DNW851970 DNW851976:DNW851994 DNW917506 DNW917512:DNW917530 DNW983042 DNW983048:DNW983066 DXS2 DXS8:DXS26 DXS65538 DXS65544:DXS65562 DXS131074 DXS131080:DXS131098 DXS196610 DXS196616:DXS196634 DXS262146 DXS262152:DXS262170 DXS327682 DXS327688:DXS327706 DXS393218 DXS393224:DXS393242 DXS458754 DXS458760:DXS458778 DXS524290 DXS524296:DXS524314 DXS589826 DXS589832:DXS589850 DXS655362 DXS655368:DXS655386 DXS720898 DXS720904:DXS720922 DXS786434 DXS786440:DXS786458 DXS851970 DXS851976:DXS851994 DXS917506 DXS917512:DXS917530 DXS983042 DXS983048:DXS983066 EHO2 EHO8:EHO26 EHO65538 EHO65544:EHO65562 EHO131074 EHO131080:EHO131098 EHO196610 EHO196616:EHO196634 EHO262146 EHO262152:EHO262170 EHO327682 EHO327688:EHO327706 EHO393218 EHO393224:EHO393242 EHO458754 EHO458760:EHO458778 EHO524290 EHO524296:EHO524314 EHO589826 EHO589832:EHO589850 EHO655362 EHO655368:EHO655386 EHO720898 EHO720904:EHO720922 EHO786434 EHO786440:EHO786458 EHO851970 EHO851976:EHO851994 EHO917506 EHO917512:EHO917530 EHO983042 EHO983048:EHO983066 ERK2 ERK8:ERK26 ERK65538 ERK65544:ERK65562 ERK131074 ERK131080:ERK131098 ERK196610 ERK196616:ERK196634 ERK262146 ERK262152:ERK262170 ERK327682 ERK327688:ERK327706 ERK393218 ERK393224:ERK393242 ERK458754 ERK458760:ERK458778 ERK524290 ERK524296:ERK524314 ERK589826 ERK589832:ERK589850 ERK655362 ERK655368:ERK655386 ERK720898 ERK720904:ERK720922 ERK786434 ERK786440:ERK786458 ERK851970 ERK851976:ERK851994 ERK917506 ERK917512:ERK917530 ERK983042 ERK983048:ERK983066 FBG2 FBG8:FBG26 FBG65538 FBG65544:FBG65562 FBG131074 FBG131080:FBG131098 FBG196610 FBG196616:FBG196634 FBG262146 FBG262152:FBG262170 FBG327682 FBG327688:FBG327706 FBG393218 FBG393224:FBG393242 FBG458754 FBG458760:FBG458778 FBG524290 FBG524296:FBG524314 FBG589826 FBG589832:FBG589850 FBG655362 FBG655368:FBG655386 FBG720898 FBG720904:FBG720922 FBG786434 FBG786440:FBG786458 FBG851970 FBG851976:FBG851994 FBG917506 FBG917512:FBG917530 FBG983042 FBG983048:FBG983066 FLC2 FLC8:FLC26 FLC65538 FLC65544:FLC65562 FLC131074 FLC131080:FLC131098 FLC196610 FLC196616:FLC196634 FLC262146 FLC262152:FLC262170 FLC327682 FLC327688:FLC327706 FLC393218 FLC393224:FLC393242 FLC458754 FLC458760:FLC458778 FLC524290 FLC524296:FLC524314 FLC589826 FLC589832:FLC589850 FLC655362 FLC655368:FLC655386 FLC720898 FLC720904:FLC720922 FLC786434 FLC786440:FLC786458 FLC851970 FLC851976:FLC851994 FLC917506 FLC917512:FLC917530 FLC983042 FLC983048:FLC983066 FUY2 FUY8:FUY26 FUY65538 FUY65544:FUY65562 FUY131074 FUY131080:FUY131098 FUY196610 FUY196616:FUY196634 FUY262146 FUY262152:FUY262170 FUY327682 FUY327688:FUY327706 FUY393218 FUY393224:FUY393242 FUY458754 FUY458760:FUY458778 FUY524290 FUY524296:FUY524314 FUY589826 FUY589832:FUY589850 FUY655362 FUY655368:FUY655386 FUY720898 FUY720904:FUY720922 FUY786434 FUY786440:FUY786458 FUY851970 FUY851976:FUY851994 FUY917506 FUY917512:FUY917530 FUY983042 FUY983048:FUY983066 GEU2 GEU8:GEU26 GEU65538 GEU65544:GEU65562 GEU131074 GEU131080:GEU131098 GEU196610 GEU196616:GEU196634 GEU262146 GEU262152:GEU262170 GEU327682 GEU327688:GEU327706 GEU393218 GEU393224:GEU393242 GEU458754 GEU458760:GEU458778 GEU524290 GEU524296:GEU524314 GEU589826 GEU589832:GEU589850 GEU655362 GEU655368:GEU655386 GEU720898 GEU720904:GEU720922 GEU786434 GEU786440:GEU786458 GEU851970 GEU851976:GEU851994 GEU917506 GEU917512:GEU917530 GEU983042 GEU983048:GEU983066 GOQ2 GOQ8:GOQ26 GOQ65538 GOQ65544:GOQ65562 GOQ131074 GOQ131080:GOQ131098 GOQ196610 GOQ196616:GOQ196634 GOQ262146 GOQ262152:GOQ262170 GOQ327682 GOQ327688:GOQ327706 GOQ393218 GOQ393224:GOQ393242 GOQ458754 GOQ458760:GOQ458778 GOQ524290 GOQ524296:GOQ524314 GOQ589826 GOQ589832:GOQ589850 GOQ655362 GOQ655368:GOQ655386 GOQ720898 GOQ720904:GOQ720922 GOQ786434 GOQ786440:GOQ786458 GOQ851970 GOQ851976:GOQ851994 GOQ917506 GOQ917512:GOQ917530 GOQ983042 GOQ983048:GOQ983066 GYM2 GYM8:GYM26 GYM65538 GYM65544:GYM65562 GYM131074 GYM131080:GYM131098 GYM196610 GYM196616:GYM196634 GYM262146 GYM262152:GYM262170 GYM327682 GYM327688:GYM327706 GYM393218 GYM393224:GYM393242 GYM458754 GYM458760:GYM458778 GYM524290 GYM524296:GYM524314 GYM589826 GYM589832:GYM589850 GYM655362 GYM655368:GYM655386 GYM720898 GYM720904:GYM720922 GYM786434 GYM786440:GYM786458 GYM851970 GYM851976:GYM851994 GYM917506 GYM917512:GYM917530 GYM983042 GYM983048:GYM983066 HII2 HII8:HII26 HII65538 HII65544:HII65562 HII131074 HII131080:HII131098 HII196610 HII196616:HII196634 HII262146 HII262152:HII262170 HII327682 HII327688:HII327706 HII393218 HII393224:HII393242 HII458754 HII458760:HII458778 HII524290 HII524296:HII524314 HII589826 HII589832:HII589850 HII655362 HII655368:HII655386 HII720898 HII720904:HII720922 HII786434 HII786440:HII786458 HII851970 HII851976:HII851994 HII917506 HII917512:HII917530 HII983042 HII983048:HII983066 HSE2 HSE8:HSE26 HSE65538 HSE65544:HSE65562 HSE131074 HSE131080:HSE131098 HSE196610 HSE196616:HSE196634 HSE262146 HSE262152:HSE262170 HSE327682 HSE327688:HSE327706 HSE393218 HSE393224:HSE393242 HSE458754 HSE458760:HSE458778 HSE524290 HSE524296:HSE524314 HSE589826 HSE589832:HSE589850 HSE655362 HSE655368:HSE655386 HSE720898 HSE720904:HSE720922 HSE786434 HSE786440:HSE786458 HSE851970 HSE851976:HSE851994 HSE917506 HSE917512:HSE917530 HSE983042 HSE983048:HSE983066 ICA2 ICA8:ICA26 ICA65538 ICA65544:ICA65562 ICA131074 ICA131080:ICA131098 ICA196610 ICA196616:ICA196634 ICA262146 ICA262152:ICA262170 ICA327682 ICA327688:ICA327706 ICA393218 ICA393224:ICA393242 ICA458754 ICA458760:ICA458778 ICA524290 ICA524296:ICA524314 ICA589826 ICA589832:ICA589850 ICA655362 ICA655368:ICA655386 ICA720898 ICA720904:ICA720922 ICA786434 ICA786440:ICA786458 ICA851970 ICA851976:ICA851994 ICA917506 ICA917512:ICA917530 ICA983042 ICA983048:ICA983066 ILW2 ILW8:ILW26 ILW65538 ILW65544:ILW65562 ILW131074 ILW131080:ILW131098 ILW196610 ILW196616:ILW196634 ILW262146 ILW262152:ILW262170 ILW327682 ILW327688:ILW327706 ILW393218 ILW393224:ILW393242 ILW458754 ILW458760:ILW458778 ILW524290 ILW524296:ILW524314 ILW589826 ILW589832:ILW589850 ILW655362 ILW655368:ILW655386 ILW720898 ILW720904:ILW720922 ILW786434 ILW786440:ILW786458 ILW851970 ILW851976:ILW851994 ILW917506 ILW917512:ILW917530 ILW983042 ILW983048:ILW983066 IVS2 IVS8:IVS26 IVS65538 IVS65544:IVS65562 IVS131074 IVS131080:IVS131098 IVS196610 IVS196616:IVS196634 IVS262146 IVS262152:IVS262170 IVS327682 IVS327688:IVS327706 IVS393218 IVS393224:IVS393242 IVS458754 IVS458760:IVS458778 IVS524290 IVS524296:IVS524314 IVS589826 IVS589832:IVS589850 IVS655362 IVS655368:IVS655386 IVS720898 IVS720904:IVS720922 IVS786434 IVS786440:IVS786458 IVS851970 IVS851976:IVS851994 IVS917506 IVS917512:IVS917530 IVS983042 IVS983048:IVS983066 JFO2 JFO8:JFO26 JFO65538 JFO65544:JFO65562 JFO131074 JFO131080:JFO131098 JFO196610 JFO196616:JFO196634 JFO262146 JFO262152:JFO262170 JFO327682 JFO327688:JFO327706 JFO393218 JFO393224:JFO393242 JFO458754 JFO458760:JFO458778 JFO524290 JFO524296:JFO524314 JFO589826 JFO589832:JFO589850 JFO655362 JFO655368:JFO655386 JFO720898 JFO720904:JFO720922 JFO786434 JFO786440:JFO786458 JFO851970 JFO851976:JFO851994 JFO917506 JFO917512:JFO917530 JFO983042 JFO983048:JFO983066 JPK2 JPK8:JPK26 JPK65538 JPK65544:JPK65562 JPK131074 JPK131080:JPK131098 JPK196610 JPK196616:JPK196634 JPK262146 JPK262152:JPK262170 JPK327682 JPK327688:JPK327706 JPK393218 JPK393224:JPK393242 JPK458754 JPK458760:JPK458778 JPK524290 JPK524296:JPK524314 JPK589826 JPK589832:JPK589850 JPK655362 JPK655368:JPK655386 JPK720898 JPK720904:JPK720922 JPK786434 JPK786440:JPK786458 JPK851970 JPK851976:JPK851994 JPK917506 JPK917512:JPK917530 JPK983042 JPK983048:JPK983066 JZG2 JZG8:JZG26 JZG65538 JZG65544:JZG65562 JZG131074 JZG131080:JZG131098 JZG196610 JZG196616:JZG196634 JZG262146 JZG262152:JZG262170 JZG327682 JZG327688:JZG327706 JZG393218 JZG393224:JZG393242 JZG458754 JZG458760:JZG458778 JZG524290 JZG524296:JZG524314 JZG589826 JZG589832:JZG589850 JZG655362 JZG655368:JZG655386 JZG720898 JZG720904:JZG720922 JZG786434 JZG786440:JZG786458 JZG851970 JZG851976:JZG851994 JZG917506 JZG917512:JZG917530 JZG983042 JZG983048:JZG983066 KJC2 KJC8:KJC26 KJC65538 KJC65544:KJC65562 KJC131074 KJC131080:KJC131098 KJC196610 KJC196616:KJC196634 KJC262146 KJC262152:KJC262170 KJC327682 KJC327688:KJC327706 KJC393218 KJC393224:KJC393242 KJC458754 KJC458760:KJC458778 KJC524290 KJC524296:KJC524314 KJC589826 KJC589832:KJC589850 KJC655362 KJC655368:KJC655386 KJC720898 KJC720904:KJC720922 KJC786434 KJC786440:KJC786458 KJC851970 KJC851976:KJC851994 KJC917506 KJC917512:KJC917530 KJC983042 KJC983048:KJC983066 KSY2 KSY8:KSY26 KSY65538 KSY65544:KSY65562 KSY131074 KSY131080:KSY131098 KSY196610 KSY196616:KSY196634 KSY262146 KSY262152:KSY262170 KSY327682 KSY327688:KSY327706 KSY393218 KSY393224:KSY393242 KSY458754 KSY458760:KSY458778 KSY524290 KSY524296:KSY524314 KSY589826 KSY589832:KSY589850 KSY655362 KSY655368:KSY655386 KSY720898 KSY720904:KSY720922 KSY786434 KSY786440:KSY786458 KSY851970 KSY851976:KSY851994 KSY917506 KSY917512:KSY917530 KSY983042 KSY983048:KSY983066 LCU2 LCU8:LCU26 LCU65538 LCU65544:LCU65562 LCU131074 LCU131080:LCU131098 LCU196610 LCU196616:LCU196634 LCU262146 LCU262152:LCU262170 LCU327682 LCU327688:LCU327706 LCU393218 LCU393224:LCU393242 LCU458754 LCU458760:LCU458778 LCU524290 LCU524296:LCU524314 LCU589826 LCU589832:LCU589850 LCU655362 LCU655368:LCU655386 LCU720898 LCU720904:LCU720922 LCU786434 LCU786440:LCU786458 LCU851970 LCU851976:LCU851994 LCU917506 LCU917512:LCU917530 LCU983042 LCU983048:LCU983066 LMQ2 LMQ8:LMQ26 LMQ65538 LMQ65544:LMQ65562 LMQ131074 LMQ131080:LMQ131098 LMQ196610 LMQ196616:LMQ196634 LMQ262146 LMQ262152:LMQ262170 LMQ327682 LMQ327688:LMQ327706 LMQ393218 LMQ393224:LMQ393242 LMQ458754 LMQ458760:LMQ458778 LMQ524290 LMQ524296:LMQ524314 LMQ589826 LMQ589832:LMQ589850 LMQ655362 LMQ655368:LMQ655386 LMQ720898 LMQ720904:LMQ720922 LMQ786434 LMQ786440:LMQ786458 LMQ851970 LMQ851976:LMQ851994 LMQ917506 LMQ917512:LMQ917530 LMQ983042 LMQ983048:LMQ983066 LWM2 LWM8:LWM26 LWM65538 LWM65544:LWM65562 LWM131074 LWM131080:LWM131098 LWM196610 LWM196616:LWM196634 LWM262146 LWM262152:LWM262170 LWM327682 LWM327688:LWM327706 LWM393218 LWM393224:LWM393242 LWM458754 LWM458760:LWM458778 LWM524290 LWM524296:LWM524314 LWM589826 LWM589832:LWM589850 LWM655362 LWM655368:LWM655386 LWM720898 LWM720904:LWM720922 LWM786434 LWM786440:LWM786458 LWM851970 LWM851976:LWM851994 LWM917506 LWM917512:LWM917530 LWM983042 LWM983048:LWM983066 MGI2 MGI8:MGI26 MGI65538 MGI65544:MGI65562 MGI131074 MGI131080:MGI131098 MGI196610 MGI196616:MGI196634 MGI262146 MGI262152:MGI262170 MGI327682 MGI327688:MGI327706 MGI393218 MGI393224:MGI393242 MGI458754 MGI458760:MGI458778 MGI524290 MGI524296:MGI524314 MGI589826 MGI589832:MGI589850 MGI655362 MGI655368:MGI655386 MGI720898 MGI720904:MGI720922 MGI786434 MGI786440:MGI786458 MGI851970 MGI851976:MGI851994 MGI917506 MGI917512:MGI917530 MGI983042 MGI983048:MGI983066 MQE2 MQE8:MQE26 MQE65538 MQE65544:MQE65562 MQE131074 MQE131080:MQE131098 MQE196610 MQE196616:MQE196634 MQE262146 MQE262152:MQE262170 MQE327682 MQE327688:MQE327706 MQE393218 MQE393224:MQE393242 MQE458754 MQE458760:MQE458778 MQE524290 MQE524296:MQE524314 MQE589826 MQE589832:MQE589850 MQE655362 MQE655368:MQE655386 MQE720898 MQE720904:MQE720922 MQE786434 MQE786440:MQE786458 MQE851970 MQE851976:MQE851994 MQE917506 MQE917512:MQE917530 MQE983042 MQE983048:MQE983066 NAA2 NAA8:NAA26 NAA65538 NAA65544:NAA65562 NAA131074 NAA131080:NAA131098 NAA196610 NAA196616:NAA196634 NAA262146 NAA262152:NAA262170 NAA327682 NAA327688:NAA327706 NAA393218 NAA393224:NAA393242 NAA458754 NAA458760:NAA458778 NAA524290 NAA524296:NAA524314 NAA589826 NAA589832:NAA589850 NAA655362 NAA655368:NAA655386 NAA720898 NAA720904:NAA720922 NAA786434 NAA786440:NAA786458 NAA851970 NAA851976:NAA851994 NAA917506 NAA917512:NAA917530 NAA983042 NAA983048:NAA983066 NJW2 NJW8:NJW26 NJW65538 NJW65544:NJW65562 NJW131074 NJW131080:NJW131098 NJW196610 NJW196616:NJW196634 NJW262146 NJW262152:NJW262170 NJW327682 NJW327688:NJW327706 NJW393218 NJW393224:NJW393242 NJW458754 NJW458760:NJW458778 NJW524290 NJW524296:NJW524314 NJW589826 NJW589832:NJW589850 NJW655362 NJW655368:NJW655386 NJW720898 NJW720904:NJW720922 NJW786434 NJW786440:NJW786458 NJW851970 NJW851976:NJW851994 NJW917506 NJW917512:NJW917530 NJW983042 NJW983048:NJW983066 NTS2 NTS8:NTS26 NTS65538 NTS65544:NTS65562 NTS131074 NTS131080:NTS131098 NTS196610 NTS196616:NTS196634 NTS262146 NTS262152:NTS262170 NTS327682 NTS327688:NTS327706 NTS393218 NTS393224:NTS393242 NTS458754 NTS458760:NTS458778 NTS524290 NTS524296:NTS524314 NTS589826 NTS589832:NTS589850 NTS655362 NTS655368:NTS655386 NTS720898 NTS720904:NTS720922 NTS786434 NTS786440:NTS786458 NTS851970 NTS851976:NTS851994 NTS917506 NTS917512:NTS917530 NTS983042 NTS983048:NTS983066 ODO2 ODO8:ODO26 ODO65538 ODO65544:ODO65562 ODO131074 ODO131080:ODO131098 ODO196610 ODO196616:ODO196634 ODO262146 ODO262152:ODO262170 ODO327682 ODO327688:ODO327706 ODO393218 ODO393224:ODO393242 ODO458754 ODO458760:ODO458778 ODO524290 ODO524296:ODO524314 ODO589826 ODO589832:ODO589850 ODO655362 ODO655368:ODO655386 ODO720898 ODO720904:ODO720922 ODO786434 ODO786440:ODO786458 ODO851970 ODO851976:ODO851994 ODO917506 ODO917512:ODO917530 ODO983042 ODO983048:ODO983066 ONK2 ONK8:ONK26 ONK65538 ONK65544:ONK65562 ONK131074 ONK131080:ONK131098 ONK196610 ONK196616:ONK196634 ONK262146 ONK262152:ONK262170 ONK327682 ONK327688:ONK327706 ONK393218 ONK393224:ONK393242 ONK458754 ONK458760:ONK458778 ONK524290 ONK524296:ONK524314 ONK589826 ONK589832:ONK589850 ONK655362 ONK655368:ONK655386 ONK720898 ONK720904:ONK720922 ONK786434 ONK786440:ONK786458 ONK851970 ONK851976:ONK851994 ONK917506 ONK917512:ONK917530 ONK983042 ONK983048:ONK983066 OXG2 OXG8:OXG26 OXG65538 OXG65544:OXG65562 OXG131074 OXG131080:OXG131098 OXG196610 OXG196616:OXG196634 OXG262146 OXG262152:OXG262170 OXG327682 OXG327688:OXG327706 OXG393218 OXG393224:OXG393242 OXG458754 OXG458760:OXG458778 OXG524290 OXG524296:OXG524314 OXG589826 OXG589832:OXG589850 OXG655362 OXG655368:OXG655386 OXG720898 OXG720904:OXG720922 OXG786434 OXG786440:OXG786458 OXG851970 OXG851976:OXG851994 OXG917506 OXG917512:OXG917530 OXG983042 OXG983048:OXG983066 PHC2 PHC8:PHC26 PHC65538 PHC65544:PHC65562 PHC131074 PHC131080:PHC131098 PHC196610 PHC196616:PHC196634 PHC262146 PHC262152:PHC262170 PHC327682 PHC327688:PHC327706 PHC393218 PHC393224:PHC393242 PHC458754 PHC458760:PHC458778 PHC524290 PHC524296:PHC524314 PHC589826 PHC589832:PHC589850 PHC655362 PHC655368:PHC655386 PHC720898 PHC720904:PHC720922 PHC786434 PHC786440:PHC786458 PHC851970 PHC851976:PHC851994 PHC917506 PHC917512:PHC917530 PHC983042 PHC983048:PHC983066 PQY2 PQY8:PQY26 PQY65538 PQY65544:PQY65562 PQY131074 PQY131080:PQY131098 PQY196610 PQY196616:PQY196634 PQY262146 PQY262152:PQY262170 PQY327682 PQY327688:PQY327706 PQY393218 PQY393224:PQY393242 PQY458754 PQY458760:PQY458778 PQY524290 PQY524296:PQY524314 PQY589826 PQY589832:PQY589850 PQY655362 PQY655368:PQY655386 PQY720898 PQY720904:PQY720922 PQY786434 PQY786440:PQY786458 PQY851970 PQY851976:PQY851994 PQY917506 PQY917512:PQY917530 PQY983042 PQY983048:PQY983066 QAU2 QAU8:QAU26 QAU65538 QAU65544:QAU65562 QAU131074 QAU131080:QAU131098 QAU196610 QAU196616:QAU196634 QAU262146 QAU262152:QAU262170 QAU327682 QAU327688:QAU327706 QAU393218 QAU393224:QAU393242 QAU458754 QAU458760:QAU458778 QAU524290 QAU524296:QAU524314 QAU589826 QAU589832:QAU589850 QAU655362 QAU655368:QAU655386 QAU720898 QAU720904:QAU720922 QAU786434 QAU786440:QAU786458 QAU851970 QAU851976:QAU851994 QAU917506 QAU917512:QAU917530 QAU983042 QAU983048:QAU983066 QKQ2 QKQ8:QKQ26 QKQ65538 QKQ65544:QKQ65562 QKQ131074 QKQ131080:QKQ131098 QKQ196610 QKQ196616:QKQ196634 QKQ262146 QKQ262152:QKQ262170 QKQ327682 QKQ327688:QKQ327706 QKQ393218 QKQ393224:QKQ393242 QKQ458754 QKQ458760:QKQ458778 QKQ524290 QKQ524296:QKQ524314 QKQ589826 QKQ589832:QKQ589850 QKQ655362 QKQ655368:QKQ655386 QKQ720898 QKQ720904:QKQ720922 QKQ786434 QKQ786440:QKQ786458 QKQ851970 QKQ851976:QKQ851994 QKQ917506 QKQ917512:QKQ917530 QKQ983042 QKQ983048:QKQ983066 QUM2 QUM8:QUM26 QUM65538 QUM65544:QUM65562 QUM131074 QUM131080:QUM131098 QUM196610 QUM196616:QUM196634 QUM262146 QUM262152:QUM262170 QUM327682 QUM327688:QUM327706 QUM393218 QUM393224:QUM393242 QUM458754 QUM458760:QUM458778 QUM524290 QUM524296:QUM524314 QUM589826 QUM589832:QUM589850 QUM655362 QUM655368:QUM655386 QUM720898 QUM720904:QUM720922 QUM786434 QUM786440:QUM786458 QUM851970 QUM851976:QUM851994 QUM917506 QUM917512:QUM917530 QUM983042 QUM983048:QUM983066 REI2 REI8:REI26 REI65538 REI65544:REI65562 REI131074 REI131080:REI131098 REI196610 REI196616:REI196634 REI262146 REI262152:REI262170 REI327682 REI327688:REI327706 REI393218 REI393224:REI393242 REI458754 REI458760:REI458778 REI524290 REI524296:REI524314 REI589826 REI589832:REI589850 REI655362 REI655368:REI655386 REI720898 REI720904:REI720922 REI786434 REI786440:REI786458 REI851970 REI851976:REI851994 REI917506 REI917512:REI917530 REI983042 REI983048:REI983066 ROE2 ROE8:ROE26 ROE65538 ROE65544:ROE65562 ROE131074 ROE131080:ROE131098 ROE196610 ROE196616:ROE196634 ROE262146 ROE262152:ROE262170 ROE327682 ROE327688:ROE327706 ROE393218 ROE393224:ROE393242 ROE458754 ROE458760:ROE458778 ROE524290 ROE524296:ROE524314 ROE589826 ROE589832:ROE589850 ROE655362 ROE655368:ROE655386 ROE720898 ROE720904:ROE720922 ROE786434 ROE786440:ROE786458 ROE851970 ROE851976:ROE851994 ROE917506 ROE917512:ROE917530 ROE983042 ROE983048:ROE983066 RYA2 RYA8:RYA26 RYA65538 RYA65544:RYA65562 RYA131074 RYA131080:RYA131098 RYA196610 RYA196616:RYA196634 RYA262146 RYA262152:RYA262170 RYA327682 RYA327688:RYA327706 RYA393218 RYA393224:RYA393242 RYA458754 RYA458760:RYA458778 RYA524290 RYA524296:RYA524314 RYA589826 RYA589832:RYA589850 RYA655362 RYA655368:RYA655386 RYA720898 RYA720904:RYA720922 RYA786434 RYA786440:RYA786458 RYA851970 RYA851976:RYA851994 RYA917506 RYA917512:RYA917530 RYA983042 RYA983048:RYA983066 SHW2 SHW8:SHW26 SHW65538 SHW65544:SHW65562 SHW131074 SHW131080:SHW131098 SHW196610 SHW196616:SHW196634 SHW262146 SHW262152:SHW262170 SHW327682 SHW327688:SHW327706 SHW393218 SHW393224:SHW393242 SHW458754 SHW458760:SHW458778 SHW524290 SHW524296:SHW524314 SHW589826 SHW589832:SHW589850 SHW655362 SHW655368:SHW655386 SHW720898 SHW720904:SHW720922 SHW786434 SHW786440:SHW786458 SHW851970 SHW851976:SHW851994 SHW917506 SHW917512:SHW917530 SHW983042 SHW983048:SHW983066 SRS2 SRS8:SRS26 SRS65538 SRS65544:SRS65562 SRS131074 SRS131080:SRS131098 SRS196610 SRS196616:SRS196634 SRS262146 SRS262152:SRS262170 SRS327682 SRS327688:SRS327706 SRS393218 SRS393224:SRS393242 SRS458754 SRS458760:SRS458778 SRS524290 SRS524296:SRS524314 SRS589826 SRS589832:SRS589850 SRS655362 SRS655368:SRS655386 SRS720898 SRS720904:SRS720922 SRS786434 SRS786440:SRS786458 SRS851970 SRS851976:SRS851994 SRS917506 SRS917512:SRS917530 SRS983042 SRS983048:SRS983066 TBO2 TBO8:TBO26 TBO65538 TBO65544:TBO65562 TBO131074 TBO131080:TBO131098 TBO196610 TBO196616:TBO196634 TBO262146 TBO262152:TBO262170 TBO327682 TBO327688:TBO327706 TBO393218 TBO393224:TBO393242 TBO458754 TBO458760:TBO458778 TBO524290 TBO524296:TBO524314 TBO589826 TBO589832:TBO589850 TBO655362 TBO655368:TBO655386 TBO720898 TBO720904:TBO720922 TBO786434 TBO786440:TBO786458 TBO851970 TBO851976:TBO851994 TBO917506 TBO917512:TBO917530 TBO983042 TBO983048:TBO983066 TLK2 TLK8:TLK26 TLK65538 TLK65544:TLK65562 TLK131074 TLK131080:TLK131098 TLK196610 TLK196616:TLK196634 TLK262146 TLK262152:TLK262170 TLK327682 TLK327688:TLK327706 TLK393218 TLK393224:TLK393242 TLK458754 TLK458760:TLK458778 TLK524290 TLK524296:TLK524314 TLK589826 TLK589832:TLK589850 TLK655362 TLK655368:TLK655386 TLK720898 TLK720904:TLK720922 TLK786434 TLK786440:TLK786458 TLK851970 TLK851976:TLK851994 TLK917506 TLK917512:TLK917530 TLK983042 TLK983048:TLK983066 TVG2 TVG8:TVG26 TVG65538 TVG65544:TVG65562 TVG131074 TVG131080:TVG131098 TVG196610 TVG196616:TVG196634 TVG262146 TVG262152:TVG262170 TVG327682 TVG327688:TVG327706 TVG393218 TVG393224:TVG393242 TVG458754 TVG458760:TVG458778 TVG524290 TVG524296:TVG524314 TVG589826 TVG589832:TVG589850 TVG655362 TVG655368:TVG655386 TVG720898 TVG720904:TVG720922 TVG786434 TVG786440:TVG786458 TVG851970 TVG851976:TVG851994 TVG917506 TVG917512:TVG917530 TVG983042 TVG983048:TVG983066 UFC2 UFC8:UFC26 UFC65538 UFC65544:UFC65562 UFC131074 UFC131080:UFC131098 UFC196610 UFC196616:UFC196634 UFC262146 UFC262152:UFC262170 UFC327682 UFC327688:UFC327706 UFC393218 UFC393224:UFC393242 UFC458754 UFC458760:UFC458778 UFC524290 UFC524296:UFC524314 UFC589826 UFC589832:UFC589850 UFC655362 UFC655368:UFC655386 UFC720898 UFC720904:UFC720922 UFC786434 UFC786440:UFC786458 UFC851970 UFC851976:UFC851994 UFC917506 UFC917512:UFC917530 UFC983042 UFC983048:UFC983066 UOY2 UOY8:UOY26 UOY65538 UOY65544:UOY65562 UOY131074 UOY131080:UOY131098 UOY196610 UOY196616:UOY196634 UOY262146 UOY262152:UOY262170 UOY327682 UOY327688:UOY327706 UOY393218 UOY393224:UOY393242 UOY458754 UOY458760:UOY458778 UOY524290 UOY524296:UOY524314 UOY589826 UOY589832:UOY589850 UOY655362 UOY655368:UOY655386 UOY720898 UOY720904:UOY720922 UOY786434 UOY786440:UOY786458 UOY851970 UOY851976:UOY851994 UOY917506 UOY917512:UOY917530 UOY983042 UOY983048:UOY983066 UYU2 UYU8:UYU26 UYU65538 UYU65544:UYU65562 UYU131074 UYU131080:UYU131098 UYU196610 UYU196616:UYU196634 UYU262146 UYU262152:UYU262170 UYU327682 UYU327688:UYU327706 UYU393218 UYU393224:UYU393242 UYU458754 UYU458760:UYU458778 UYU524290 UYU524296:UYU524314 UYU589826 UYU589832:UYU589850 UYU655362 UYU655368:UYU655386 UYU720898 UYU720904:UYU720922 UYU786434 UYU786440:UYU786458 UYU851970 UYU851976:UYU851994 UYU917506 UYU917512:UYU917530 UYU983042 UYU983048:UYU983066 VIQ2 VIQ8:VIQ26 VIQ65538 VIQ65544:VIQ65562 VIQ131074 VIQ131080:VIQ131098 VIQ196610 VIQ196616:VIQ196634 VIQ262146 VIQ262152:VIQ262170 VIQ327682 VIQ327688:VIQ327706 VIQ393218 VIQ393224:VIQ393242 VIQ458754 VIQ458760:VIQ458778 VIQ524290 VIQ524296:VIQ524314 VIQ589826 VIQ589832:VIQ589850 VIQ655362 VIQ655368:VIQ655386 VIQ720898 VIQ720904:VIQ720922 VIQ786434 VIQ786440:VIQ786458 VIQ851970 VIQ851976:VIQ851994 VIQ917506 VIQ917512:VIQ917530 VIQ983042 VIQ983048:VIQ983066 VSM2 VSM8:VSM26 VSM65538 VSM65544:VSM65562 VSM131074 VSM131080:VSM131098 VSM196610 VSM196616:VSM196634 VSM262146 VSM262152:VSM262170 VSM327682 VSM327688:VSM327706 VSM393218 VSM393224:VSM393242 VSM458754 VSM458760:VSM458778 VSM524290 VSM524296:VSM524314 VSM589826 VSM589832:VSM589850 VSM655362 VSM655368:VSM655386 VSM720898 VSM720904:VSM720922 VSM786434 VSM786440:VSM786458 VSM851970 VSM851976:VSM851994 VSM917506 VSM917512:VSM917530 VSM983042 VSM983048:VSM983066 WCI2 WCI8:WCI26 WCI65538 WCI65544:WCI65562 WCI131074 WCI131080:WCI131098 WCI196610 WCI196616:WCI196634 WCI262146 WCI262152:WCI262170 WCI327682 WCI327688:WCI327706 WCI393218 WCI393224:WCI393242 WCI458754 WCI458760:WCI458778 WCI524290 WCI524296:WCI524314 WCI589826 WCI589832:WCI589850 WCI655362 WCI655368:WCI655386 WCI720898 WCI720904:WCI720922 WCI786434 WCI786440:WCI786458 WCI851970 WCI851976:WCI851994 WCI917506 WCI917512:WCI917530 WCI983042 WCI983048:WCI983066 WME2 WME8:WME26 WME65538 WME65544:WME65562 WME131074 WME131080:WME131098 WME196610 WME196616:WME196634 WME262146 WME262152:WME262170 WME327682 WME327688:WME327706 WME393218 WME393224:WME393242 WME458754 WME458760:WME458778 WME524290 WME524296:WME524314 WME589826 WME589832:WME589850 WME655362 WME655368:WME655386 WME720898 WME720904:WME720922 WME786434 WME786440:WME786458 WME851970 WME851976:WME851994 WME917506 WME917512:WME917530 WME983042 WME983048:WME983066 WWA2 WWA8:WWA26 WWA65538 WWA65544:WWA65562 WWA131074 WWA131080:WWA131098 WWA196610 WWA196616:WWA196634 WWA262146 WWA262152:WWA262170 WWA327682 WWA327688:WWA327706 WWA393218 WWA393224:WWA393242 WWA458754 WWA458760:WWA458778 WWA524290 WWA524296:WWA524314 WWA589826 WWA589832:WWA589850 WWA655362 WWA655368:WWA655386 WWA720898 WWA720904:WWA720922 WWA786434 WWA786440:WWA786458 WWA851970 WWA851976:WWA851994 WWA917506 WWA917512:WWA917530 WWA983042 WWA983048:WWA983066" xr:uid="{00000000-0002-0000-0900-000014000000}"/>
    <dataValidation allowBlank="1" showInputMessage="1" showErrorMessage="1" promptTitle="Do not change" prompt="This field is automatically calculated from your inputs." sqref="Y8:AH26 Y65544:AH65562 Y131080:AH131098 Y196616:AH196634 Y262152:AH262170 Y327688:AH327706 Y393224:AH393242 Y458760:AH458778 Y524296:AH524314 Y589832:AH589850 Y655368:AH655386 Y720904:AH720922 Y786440:AH786458 Y851976:AH851994 Y917512:AH917530 Y983048:AH983066 JU8:KD26 JU65544:KD65562 JU131080:KD131098 JU196616:KD196634 JU262152:KD262170 JU327688:KD327706 JU393224:KD393242 JU458760:KD458778 JU524296:KD524314 JU589832:KD589850 JU655368:KD655386 JU720904:KD720922 JU786440:KD786458 JU851976:KD851994 JU917512:KD917530 JU983048:KD983066 TQ8:TZ26 TQ65544:TZ65562 TQ131080:TZ131098 TQ196616:TZ196634 TQ262152:TZ262170 TQ327688:TZ327706 TQ393224:TZ393242 TQ458760:TZ458778 TQ524296:TZ524314 TQ589832:TZ589850 TQ655368:TZ655386 TQ720904:TZ720922 TQ786440:TZ786458 TQ851976:TZ851994 TQ917512:TZ917530 TQ983048:TZ983066 ADM8:ADV26 ADM65544:ADV65562 ADM131080:ADV131098 ADM196616:ADV196634 ADM262152:ADV262170 ADM327688:ADV327706 ADM393224:ADV393242 ADM458760:ADV458778 ADM524296:ADV524314 ADM589832:ADV589850 ADM655368:ADV655386 ADM720904:ADV720922 ADM786440:ADV786458 ADM851976:ADV851994 ADM917512:ADV917530 ADM983048:ADV983066 ANI8:ANR26 ANI65544:ANR65562 ANI131080:ANR131098 ANI196616:ANR196634 ANI262152:ANR262170 ANI327688:ANR327706 ANI393224:ANR393242 ANI458760:ANR458778 ANI524296:ANR524314 ANI589832:ANR589850 ANI655368:ANR655386 ANI720904:ANR720922 ANI786440:ANR786458 ANI851976:ANR851994 ANI917512:ANR917530 ANI983048:ANR983066 AXE8:AXN26 AXE65544:AXN65562 AXE131080:AXN131098 AXE196616:AXN196634 AXE262152:AXN262170 AXE327688:AXN327706 AXE393224:AXN393242 AXE458760:AXN458778 AXE524296:AXN524314 AXE589832:AXN589850 AXE655368:AXN655386 AXE720904:AXN720922 AXE786440:AXN786458 AXE851976:AXN851994 AXE917512:AXN917530 AXE983048:AXN983066 BHA8:BHJ26 BHA65544:BHJ65562 BHA131080:BHJ131098 BHA196616:BHJ196634 BHA262152:BHJ262170 BHA327688:BHJ327706 BHA393224:BHJ393242 BHA458760:BHJ458778 BHA524296:BHJ524314 BHA589832:BHJ589850 BHA655368:BHJ655386 BHA720904:BHJ720922 BHA786440:BHJ786458 BHA851976:BHJ851994 BHA917512:BHJ917530 BHA983048:BHJ983066 BQW8:BRF26 BQW65544:BRF65562 BQW131080:BRF131098 BQW196616:BRF196634 BQW262152:BRF262170 BQW327688:BRF327706 BQW393224:BRF393242 BQW458760:BRF458778 BQW524296:BRF524314 BQW589832:BRF589850 BQW655368:BRF655386 BQW720904:BRF720922 BQW786440:BRF786458 BQW851976:BRF851994 BQW917512:BRF917530 BQW983048:BRF983066 CAS8:CBB26 CAS65544:CBB65562 CAS131080:CBB131098 CAS196616:CBB196634 CAS262152:CBB262170 CAS327688:CBB327706 CAS393224:CBB393242 CAS458760:CBB458778 CAS524296:CBB524314 CAS589832:CBB589850 CAS655368:CBB655386 CAS720904:CBB720922 CAS786440:CBB786458 CAS851976:CBB851994 CAS917512:CBB917530 CAS983048:CBB983066 CKO8:CKX26 CKO65544:CKX65562 CKO131080:CKX131098 CKO196616:CKX196634 CKO262152:CKX262170 CKO327688:CKX327706 CKO393224:CKX393242 CKO458760:CKX458778 CKO524296:CKX524314 CKO589832:CKX589850 CKO655368:CKX655386 CKO720904:CKX720922 CKO786440:CKX786458 CKO851976:CKX851994 CKO917512:CKX917530 CKO983048:CKX983066 CUK8:CUT26 CUK65544:CUT65562 CUK131080:CUT131098 CUK196616:CUT196634 CUK262152:CUT262170 CUK327688:CUT327706 CUK393224:CUT393242 CUK458760:CUT458778 CUK524296:CUT524314 CUK589832:CUT589850 CUK655368:CUT655386 CUK720904:CUT720922 CUK786440:CUT786458 CUK851976:CUT851994 CUK917512:CUT917530 CUK983048:CUT983066 DEG8:DEP26 DEG65544:DEP65562 DEG131080:DEP131098 DEG196616:DEP196634 DEG262152:DEP262170 DEG327688:DEP327706 DEG393224:DEP393242 DEG458760:DEP458778 DEG524296:DEP524314 DEG589832:DEP589850 DEG655368:DEP655386 DEG720904:DEP720922 DEG786440:DEP786458 DEG851976:DEP851994 DEG917512:DEP917530 DEG983048:DEP983066 DOC8:DOL26 DOC65544:DOL65562 DOC131080:DOL131098 DOC196616:DOL196634 DOC262152:DOL262170 DOC327688:DOL327706 DOC393224:DOL393242 DOC458760:DOL458778 DOC524296:DOL524314 DOC589832:DOL589850 DOC655368:DOL655386 DOC720904:DOL720922 DOC786440:DOL786458 DOC851976:DOL851994 DOC917512:DOL917530 DOC983048:DOL983066 DXY8:DYH26 DXY65544:DYH65562 DXY131080:DYH131098 DXY196616:DYH196634 DXY262152:DYH262170 DXY327688:DYH327706 DXY393224:DYH393242 DXY458760:DYH458778 DXY524296:DYH524314 DXY589832:DYH589850 DXY655368:DYH655386 DXY720904:DYH720922 DXY786440:DYH786458 DXY851976:DYH851994 DXY917512:DYH917530 DXY983048:DYH983066 EHU8:EID26 EHU65544:EID65562 EHU131080:EID131098 EHU196616:EID196634 EHU262152:EID262170 EHU327688:EID327706 EHU393224:EID393242 EHU458760:EID458778 EHU524296:EID524314 EHU589832:EID589850 EHU655368:EID655386 EHU720904:EID720922 EHU786440:EID786458 EHU851976:EID851994 EHU917512:EID917530 EHU983048:EID983066 ERQ8:ERZ26 ERQ65544:ERZ65562 ERQ131080:ERZ131098 ERQ196616:ERZ196634 ERQ262152:ERZ262170 ERQ327688:ERZ327706 ERQ393224:ERZ393242 ERQ458760:ERZ458778 ERQ524296:ERZ524314 ERQ589832:ERZ589850 ERQ655368:ERZ655386 ERQ720904:ERZ720922 ERQ786440:ERZ786458 ERQ851976:ERZ851994 ERQ917512:ERZ917530 ERQ983048:ERZ983066 FBM8:FBV26 FBM65544:FBV65562 FBM131080:FBV131098 FBM196616:FBV196634 FBM262152:FBV262170 FBM327688:FBV327706 FBM393224:FBV393242 FBM458760:FBV458778 FBM524296:FBV524314 FBM589832:FBV589850 FBM655368:FBV655386 FBM720904:FBV720922 FBM786440:FBV786458 FBM851976:FBV851994 FBM917512:FBV917530 FBM983048:FBV983066 FLI8:FLR26 FLI65544:FLR65562 FLI131080:FLR131098 FLI196616:FLR196634 FLI262152:FLR262170 FLI327688:FLR327706 FLI393224:FLR393242 FLI458760:FLR458778 FLI524296:FLR524314 FLI589832:FLR589850 FLI655368:FLR655386 FLI720904:FLR720922 FLI786440:FLR786458 FLI851976:FLR851994 FLI917512:FLR917530 FLI983048:FLR983066 FVE8:FVN26 FVE65544:FVN65562 FVE131080:FVN131098 FVE196616:FVN196634 FVE262152:FVN262170 FVE327688:FVN327706 FVE393224:FVN393242 FVE458760:FVN458778 FVE524296:FVN524314 FVE589832:FVN589850 FVE655368:FVN655386 FVE720904:FVN720922 FVE786440:FVN786458 FVE851976:FVN851994 FVE917512:FVN917530 FVE983048:FVN983066 GFA8:GFJ26 GFA65544:GFJ65562 GFA131080:GFJ131098 GFA196616:GFJ196634 GFA262152:GFJ262170 GFA327688:GFJ327706 GFA393224:GFJ393242 GFA458760:GFJ458778 GFA524296:GFJ524314 GFA589832:GFJ589850 GFA655368:GFJ655386 GFA720904:GFJ720922 GFA786440:GFJ786458 GFA851976:GFJ851994 GFA917512:GFJ917530 GFA983048:GFJ983066 GOW8:GPF26 GOW65544:GPF65562 GOW131080:GPF131098 GOW196616:GPF196634 GOW262152:GPF262170 GOW327688:GPF327706 GOW393224:GPF393242 GOW458760:GPF458778 GOW524296:GPF524314 GOW589832:GPF589850 GOW655368:GPF655386 GOW720904:GPF720922 GOW786440:GPF786458 GOW851976:GPF851994 GOW917512:GPF917530 GOW983048:GPF983066 GYS8:GZB26 GYS65544:GZB65562 GYS131080:GZB131098 GYS196616:GZB196634 GYS262152:GZB262170 GYS327688:GZB327706 GYS393224:GZB393242 GYS458760:GZB458778 GYS524296:GZB524314 GYS589832:GZB589850 GYS655368:GZB655386 GYS720904:GZB720922 GYS786440:GZB786458 GYS851976:GZB851994 GYS917512:GZB917530 GYS983048:GZB983066 HIO8:HIX26 HIO65544:HIX65562 HIO131080:HIX131098 HIO196616:HIX196634 HIO262152:HIX262170 HIO327688:HIX327706 HIO393224:HIX393242 HIO458760:HIX458778 HIO524296:HIX524314 HIO589832:HIX589850 HIO655368:HIX655386 HIO720904:HIX720922 HIO786440:HIX786458 HIO851976:HIX851994 HIO917512:HIX917530 HIO983048:HIX983066 HSK8:HST26 HSK65544:HST65562 HSK131080:HST131098 HSK196616:HST196634 HSK262152:HST262170 HSK327688:HST327706 HSK393224:HST393242 HSK458760:HST458778 HSK524296:HST524314 HSK589832:HST589850 HSK655368:HST655386 HSK720904:HST720922 HSK786440:HST786458 HSK851976:HST851994 HSK917512:HST917530 HSK983048:HST983066 ICG8:ICP26 ICG65544:ICP65562 ICG131080:ICP131098 ICG196616:ICP196634 ICG262152:ICP262170 ICG327688:ICP327706 ICG393224:ICP393242 ICG458760:ICP458778 ICG524296:ICP524314 ICG589832:ICP589850 ICG655368:ICP655386 ICG720904:ICP720922 ICG786440:ICP786458 ICG851976:ICP851994 ICG917512:ICP917530 ICG983048:ICP983066 IMC8:IML26 IMC65544:IML65562 IMC131080:IML131098 IMC196616:IML196634 IMC262152:IML262170 IMC327688:IML327706 IMC393224:IML393242 IMC458760:IML458778 IMC524296:IML524314 IMC589832:IML589850 IMC655368:IML655386 IMC720904:IML720922 IMC786440:IML786458 IMC851976:IML851994 IMC917512:IML917530 IMC983048:IML983066 IVY8:IWH26 IVY65544:IWH65562 IVY131080:IWH131098 IVY196616:IWH196634 IVY262152:IWH262170 IVY327688:IWH327706 IVY393224:IWH393242 IVY458760:IWH458778 IVY524296:IWH524314 IVY589832:IWH589850 IVY655368:IWH655386 IVY720904:IWH720922 IVY786440:IWH786458 IVY851976:IWH851994 IVY917512:IWH917530 IVY983048:IWH983066 JFU8:JGD26 JFU65544:JGD65562 JFU131080:JGD131098 JFU196616:JGD196634 JFU262152:JGD262170 JFU327688:JGD327706 JFU393224:JGD393242 JFU458760:JGD458778 JFU524296:JGD524314 JFU589832:JGD589850 JFU655368:JGD655386 JFU720904:JGD720922 JFU786440:JGD786458 JFU851976:JGD851994 JFU917512:JGD917530 JFU983048:JGD983066 JPQ8:JPZ26 JPQ65544:JPZ65562 JPQ131080:JPZ131098 JPQ196616:JPZ196634 JPQ262152:JPZ262170 JPQ327688:JPZ327706 JPQ393224:JPZ393242 JPQ458760:JPZ458778 JPQ524296:JPZ524314 JPQ589832:JPZ589850 JPQ655368:JPZ655386 JPQ720904:JPZ720922 JPQ786440:JPZ786458 JPQ851976:JPZ851994 JPQ917512:JPZ917530 JPQ983048:JPZ983066 JZM8:JZV26 JZM65544:JZV65562 JZM131080:JZV131098 JZM196616:JZV196634 JZM262152:JZV262170 JZM327688:JZV327706 JZM393224:JZV393242 JZM458760:JZV458778 JZM524296:JZV524314 JZM589832:JZV589850 JZM655368:JZV655386 JZM720904:JZV720922 JZM786440:JZV786458 JZM851976:JZV851994 JZM917512:JZV917530 JZM983048:JZV983066 KJI8:KJR26 KJI65544:KJR65562 KJI131080:KJR131098 KJI196616:KJR196634 KJI262152:KJR262170 KJI327688:KJR327706 KJI393224:KJR393242 KJI458760:KJR458778 KJI524296:KJR524314 KJI589832:KJR589850 KJI655368:KJR655386 KJI720904:KJR720922 KJI786440:KJR786458 KJI851976:KJR851994 KJI917512:KJR917530 KJI983048:KJR983066 KTE8:KTN26 KTE65544:KTN65562 KTE131080:KTN131098 KTE196616:KTN196634 KTE262152:KTN262170 KTE327688:KTN327706 KTE393224:KTN393242 KTE458760:KTN458778 KTE524296:KTN524314 KTE589832:KTN589850 KTE655368:KTN655386 KTE720904:KTN720922 KTE786440:KTN786458 KTE851976:KTN851994 KTE917512:KTN917530 KTE983048:KTN983066 LDA8:LDJ26 LDA65544:LDJ65562 LDA131080:LDJ131098 LDA196616:LDJ196634 LDA262152:LDJ262170 LDA327688:LDJ327706 LDA393224:LDJ393242 LDA458760:LDJ458778 LDA524296:LDJ524314 LDA589832:LDJ589850 LDA655368:LDJ655386 LDA720904:LDJ720922 LDA786440:LDJ786458 LDA851976:LDJ851994 LDA917512:LDJ917530 LDA983048:LDJ983066 LMW8:LNF26 LMW65544:LNF65562 LMW131080:LNF131098 LMW196616:LNF196634 LMW262152:LNF262170 LMW327688:LNF327706 LMW393224:LNF393242 LMW458760:LNF458778 LMW524296:LNF524314 LMW589832:LNF589850 LMW655368:LNF655386 LMW720904:LNF720922 LMW786440:LNF786458 LMW851976:LNF851994 LMW917512:LNF917530 LMW983048:LNF983066 LWS8:LXB26 LWS65544:LXB65562 LWS131080:LXB131098 LWS196616:LXB196634 LWS262152:LXB262170 LWS327688:LXB327706 LWS393224:LXB393242 LWS458760:LXB458778 LWS524296:LXB524314 LWS589832:LXB589850 LWS655368:LXB655386 LWS720904:LXB720922 LWS786440:LXB786458 LWS851976:LXB851994 LWS917512:LXB917530 LWS983048:LXB983066 MGO8:MGX26 MGO65544:MGX65562 MGO131080:MGX131098 MGO196616:MGX196634 MGO262152:MGX262170 MGO327688:MGX327706 MGO393224:MGX393242 MGO458760:MGX458778 MGO524296:MGX524314 MGO589832:MGX589850 MGO655368:MGX655386 MGO720904:MGX720922 MGO786440:MGX786458 MGO851976:MGX851994 MGO917512:MGX917530 MGO983048:MGX983066 MQK8:MQT26 MQK65544:MQT65562 MQK131080:MQT131098 MQK196616:MQT196634 MQK262152:MQT262170 MQK327688:MQT327706 MQK393224:MQT393242 MQK458760:MQT458778 MQK524296:MQT524314 MQK589832:MQT589850 MQK655368:MQT655386 MQK720904:MQT720922 MQK786440:MQT786458 MQK851976:MQT851994 MQK917512:MQT917530 MQK983048:MQT983066 NAG8:NAP26 NAG65544:NAP65562 NAG131080:NAP131098 NAG196616:NAP196634 NAG262152:NAP262170 NAG327688:NAP327706 NAG393224:NAP393242 NAG458760:NAP458778 NAG524296:NAP524314 NAG589832:NAP589850 NAG655368:NAP655386 NAG720904:NAP720922 NAG786440:NAP786458 NAG851976:NAP851994 NAG917512:NAP917530 NAG983048:NAP983066 NKC8:NKL26 NKC65544:NKL65562 NKC131080:NKL131098 NKC196616:NKL196634 NKC262152:NKL262170 NKC327688:NKL327706 NKC393224:NKL393242 NKC458760:NKL458778 NKC524296:NKL524314 NKC589832:NKL589850 NKC655368:NKL655386 NKC720904:NKL720922 NKC786440:NKL786458 NKC851976:NKL851994 NKC917512:NKL917530 NKC983048:NKL983066 NTY8:NUH26 NTY65544:NUH65562 NTY131080:NUH131098 NTY196616:NUH196634 NTY262152:NUH262170 NTY327688:NUH327706 NTY393224:NUH393242 NTY458760:NUH458778 NTY524296:NUH524314 NTY589832:NUH589850 NTY655368:NUH655386 NTY720904:NUH720922 NTY786440:NUH786458 NTY851976:NUH851994 NTY917512:NUH917530 NTY983048:NUH983066 ODU8:OED26 ODU65544:OED65562 ODU131080:OED131098 ODU196616:OED196634 ODU262152:OED262170 ODU327688:OED327706 ODU393224:OED393242 ODU458760:OED458778 ODU524296:OED524314 ODU589832:OED589850 ODU655368:OED655386 ODU720904:OED720922 ODU786440:OED786458 ODU851976:OED851994 ODU917512:OED917530 ODU983048:OED983066 ONQ8:ONZ26 ONQ65544:ONZ65562 ONQ131080:ONZ131098 ONQ196616:ONZ196634 ONQ262152:ONZ262170 ONQ327688:ONZ327706 ONQ393224:ONZ393242 ONQ458760:ONZ458778 ONQ524296:ONZ524314 ONQ589832:ONZ589850 ONQ655368:ONZ655386 ONQ720904:ONZ720922 ONQ786440:ONZ786458 ONQ851976:ONZ851994 ONQ917512:ONZ917530 ONQ983048:ONZ983066 OXM8:OXV26 OXM65544:OXV65562 OXM131080:OXV131098 OXM196616:OXV196634 OXM262152:OXV262170 OXM327688:OXV327706 OXM393224:OXV393242 OXM458760:OXV458778 OXM524296:OXV524314 OXM589832:OXV589850 OXM655368:OXV655386 OXM720904:OXV720922 OXM786440:OXV786458 OXM851976:OXV851994 OXM917512:OXV917530 OXM983048:OXV983066 PHI8:PHR26 PHI65544:PHR65562 PHI131080:PHR131098 PHI196616:PHR196634 PHI262152:PHR262170 PHI327688:PHR327706 PHI393224:PHR393242 PHI458760:PHR458778 PHI524296:PHR524314 PHI589832:PHR589850 PHI655368:PHR655386 PHI720904:PHR720922 PHI786440:PHR786458 PHI851976:PHR851994 PHI917512:PHR917530 PHI983048:PHR983066 PRE8:PRN26 PRE65544:PRN65562 PRE131080:PRN131098 PRE196616:PRN196634 PRE262152:PRN262170 PRE327688:PRN327706 PRE393224:PRN393242 PRE458760:PRN458778 PRE524296:PRN524314 PRE589832:PRN589850 PRE655368:PRN655386 PRE720904:PRN720922 PRE786440:PRN786458 PRE851976:PRN851994 PRE917512:PRN917530 PRE983048:PRN983066 QBA8:QBJ26 QBA65544:QBJ65562 QBA131080:QBJ131098 QBA196616:QBJ196634 QBA262152:QBJ262170 QBA327688:QBJ327706 QBA393224:QBJ393242 QBA458760:QBJ458778 QBA524296:QBJ524314 QBA589832:QBJ589850 QBA655368:QBJ655386 QBA720904:QBJ720922 QBA786440:QBJ786458 QBA851976:QBJ851994 QBA917512:QBJ917530 QBA983048:QBJ983066 QKW8:QLF26 QKW65544:QLF65562 QKW131080:QLF131098 QKW196616:QLF196634 QKW262152:QLF262170 QKW327688:QLF327706 QKW393224:QLF393242 QKW458760:QLF458778 QKW524296:QLF524314 QKW589832:QLF589850 QKW655368:QLF655386 QKW720904:QLF720922 QKW786440:QLF786458 QKW851976:QLF851994 QKW917512:QLF917530 QKW983048:QLF983066 QUS8:QVB26 QUS65544:QVB65562 QUS131080:QVB131098 QUS196616:QVB196634 QUS262152:QVB262170 QUS327688:QVB327706 QUS393224:QVB393242 QUS458760:QVB458778 QUS524296:QVB524314 QUS589832:QVB589850 QUS655368:QVB655386 QUS720904:QVB720922 QUS786440:QVB786458 QUS851976:QVB851994 QUS917512:QVB917530 QUS983048:QVB983066 REO8:REX26 REO65544:REX65562 REO131080:REX131098 REO196616:REX196634 REO262152:REX262170 REO327688:REX327706 REO393224:REX393242 REO458760:REX458778 REO524296:REX524314 REO589832:REX589850 REO655368:REX655386 REO720904:REX720922 REO786440:REX786458 REO851976:REX851994 REO917512:REX917530 REO983048:REX983066 ROK8:ROT26 ROK65544:ROT65562 ROK131080:ROT131098 ROK196616:ROT196634 ROK262152:ROT262170 ROK327688:ROT327706 ROK393224:ROT393242 ROK458760:ROT458778 ROK524296:ROT524314 ROK589832:ROT589850 ROK655368:ROT655386 ROK720904:ROT720922 ROK786440:ROT786458 ROK851976:ROT851994 ROK917512:ROT917530 ROK983048:ROT983066 RYG8:RYP26 RYG65544:RYP65562 RYG131080:RYP131098 RYG196616:RYP196634 RYG262152:RYP262170 RYG327688:RYP327706 RYG393224:RYP393242 RYG458760:RYP458778 RYG524296:RYP524314 RYG589832:RYP589850 RYG655368:RYP655386 RYG720904:RYP720922 RYG786440:RYP786458 RYG851976:RYP851994 RYG917512:RYP917530 RYG983048:RYP983066 SIC8:SIL26 SIC65544:SIL65562 SIC131080:SIL131098 SIC196616:SIL196634 SIC262152:SIL262170 SIC327688:SIL327706 SIC393224:SIL393242 SIC458760:SIL458778 SIC524296:SIL524314 SIC589832:SIL589850 SIC655368:SIL655386 SIC720904:SIL720922 SIC786440:SIL786458 SIC851976:SIL851994 SIC917512:SIL917530 SIC983048:SIL983066 SRY8:SSH26 SRY65544:SSH65562 SRY131080:SSH131098 SRY196616:SSH196634 SRY262152:SSH262170 SRY327688:SSH327706 SRY393224:SSH393242 SRY458760:SSH458778 SRY524296:SSH524314 SRY589832:SSH589850 SRY655368:SSH655386 SRY720904:SSH720922 SRY786440:SSH786458 SRY851976:SSH851994 SRY917512:SSH917530 SRY983048:SSH983066 TBU8:TCD26 TBU65544:TCD65562 TBU131080:TCD131098 TBU196616:TCD196634 TBU262152:TCD262170 TBU327688:TCD327706 TBU393224:TCD393242 TBU458760:TCD458778 TBU524296:TCD524314 TBU589832:TCD589850 TBU655368:TCD655386 TBU720904:TCD720922 TBU786440:TCD786458 TBU851976:TCD851994 TBU917512:TCD917530 TBU983048:TCD983066 TLQ8:TLZ26 TLQ65544:TLZ65562 TLQ131080:TLZ131098 TLQ196616:TLZ196634 TLQ262152:TLZ262170 TLQ327688:TLZ327706 TLQ393224:TLZ393242 TLQ458760:TLZ458778 TLQ524296:TLZ524314 TLQ589832:TLZ589850 TLQ655368:TLZ655386 TLQ720904:TLZ720922 TLQ786440:TLZ786458 TLQ851976:TLZ851994 TLQ917512:TLZ917530 TLQ983048:TLZ983066 TVM8:TVV26 TVM65544:TVV65562 TVM131080:TVV131098 TVM196616:TVV196634 TVM262152:TVV262170 TVM327688:TVV327706 TVM393224:TVV393242 TVM458760:TVV458778 TVM524296:TVV524314 TVM589832:TVV589850 TVM655368:TVV655386 TVM720904:TVV720922 TVM786440:TVV786458 TVM851976:TVV851994 TVM917512:TVV917530 TVM983048:TVV983066 UFI8:UFR26 UFI65544:UFR65562 UFI131080:UFR131098 UFI196616:UFR196634 UFI262152:UFR262170 UFI327688:UFR327706 UFI393224:UFR393242 UFI458760:UFR458778 UFI524296:UFR524314 UFI589832:UFR589850 UFI655368:UFR655386 UFI720904:UFR720922 UFI786440:UFR786458 UFI851976:UFR851994 UFI917512:UFR917530 UFI983048:UFR983066 UPE8:UPN26 UPE65544:UPN65562 UPE131080:UPN131098 UPE196616:UPN196634 UPE262152:UPN262170 UPE327688:UPN327706 UPE393224:UPN393242 UPE458760:UPN458778 UPE524296:UPN524314 UPE589832:UPN589850 UPE655368:UPN655386 UPE720904:UPN720922 UPE786440:UPN786458 UPE851976:UPN851994 UPE917512:UPN917530 UPE983048:UPN983066 UZA8:UZJ26 UZA65544:UZJ65562 UZA131080:UZJ131098 UZA196616:UZJ196634 UZA262152:UZJ262170 UZA327688:UZJ327706 UZA393224:UZJ393242 UZA458760:UZJ458778 UZA524296:UZJ524314 UZA589832:UZJ589850 UZA655368:UZJ655386 UZA720904:UZJ720922 UZA786440:UZJ786458 UZA851976:UZJ851994 UZA917512:UZJ917530 UZA983048:UZJ983066 VIW8:VJF26 VIW65544:VJF65562 VIW131080:VJF131098 VIW196616:VJF196634 VIW262152:VJF262170 VIW327688:VJF327706 VIW393224:VJF393242 VIW458760:VJF458778 VIW524296:VJF524314 VIW589832:VJF589850 VIW655368:VJF655386 VIW720904:VJF720922 VIW786440:VJF786458 VIW851976:VJF851994 VIW917512:VJF917530 VIW983048:VJF983066 VSS8:VTB26 VSS65544:VTB65562 VSS131080:VTB131098 VSS196616:VTB196634 VSS262152:VTB262170 VSS327688:VTB327706 VSS393224:VTB393242 VSS458760:VTB458778 VSS524296:VTB524314 VSS589832:VTB589850 VSS655368:VTB655386 VSS720904:VTB720922 VSS786440:VTB786458 VSS851976:VTB851994 VSS917512:VTB917530 VSS983048:VTB983066 WCO8:WCX26 WCO65544:WCX65562 WCO131080:WCX131098 WCO196616:WCX196634 WCO262152:WCX262170 WCO327688:WCX327706 WCO393224:WCX393242 WCO458760:WCX458778 WCO524296:WCX524314 WCO589832:WCX589850 WCO655368:WCX655386 WCO720904:WCX720922 WCO786440:WCX786458 WCO851976:WCX851994 WCO917512:WCX917530 WCO983048:WCX983066 WMK8:WMT26 WMK65544:WMT65562 WMK131080:WMT131098 WMK196616:WMT196634 WMK262152:WMT262170 WMK327688:WMT327706 WMK393224:WMT393242 WMK458760:WMT458778 WMK524296:WMT524314 WMK589832:WMT589850 WMK655368:WMT655386 WMK720904:WMT720922 WMK786440:WMT786458 WMK851976:WMT851994 WMK917512:WMT917530 WMK983048:WMT983066 WWG8:WWP26 WWG65544:WWP65562 WWG131080:WWP131098 WWG196616:WWP196634 WWG262152:WWP262170 WWG327688:WWP327706 WWG393224:WWP393242 WWG458760:WWP458778 WWG524296:WWP524314 WWG589832:WWP589850 WWG655368:WWP655386 WWG720904:WWP720922 WWG786440:WWP786458 WWG851976:WWP851994 WWG917512:WWP917530 WWG983048:WWP983066" xr:uid="{00000000-0002-0000-0900-000015000000}"/>
    <dataValidation allowBlank="1" showInputMessage="1" showErrorMessage="1" promptTitle="Remarks" prompt="A general comment (data source, calculation procedure, ...) can be made about each individual exchange. The remarks are added to the GeneralComment-field." sqref="Q2:Q3 Q8:Q26 Q65538:Q65539 Q65544:Q65562 Q131074:Q131075 Q131080:Q131098 Q196610:Q196611 Q196616:Q196634 Q262146:Q262147 Q262152:Q262170 Q327682:Q327683 Q327688:Q327706 Q393218:Q393219 Q393224:Q393242 Q458754:Q458755 Q458760:Q458778 Q524290:Q524291 Q524296:Q524314 Q589826:Q589827 Q589832:Q589850 Q655362:Q655363 Q655368:Q655386 Q720898:Q720899 Q720904:Q720922 Q786434:Q786435 Q786440:Q786458 Q851970:Q851971 Q851976:Q851994 Q917506:Q917507 Q917512:Q917530 Q983042:Q983043 Q983048:Q983066 JM2:JM3 JM8:JM26 JM65538:JM65539 JM65544:JM65562 JM131074:JM131075 JM131080:JM131098 JM196610:JM196611 JM196616:JM196634 JM262146:JM262147 JM262152:JM262170 JM327682:JM327683 JM327688:JM327706 JM393218:JM393219 JM393224:JM393242 JM458754:JM458755 JM458760:JM458778 JM524290:JM524291 JM524296:JM524314 JM589826:JM589827 JM589832:JM589850 JM655362:JM655363 JM655368:JM655386 JM720898:JM720899 JM720904:JM720922 JM786434:JM786435 JM786440:JM786458 JM851970:JM851971 JM851976:JM851994 JM917506:JM917507 JM917512:JM917530 JM983042:JM983043 JM983048:JM983066 TI2:TI3 TI8:TI26 TI65538:TI65539 TI65544:TI65562 TI131074:TI131075 TI131080:TI131098 TI196610:TI196611 TI196616:TI196634 TI262146:TI262147 TI262152:TI262170 TI327682:TI327683 TI327688:TI327706 TI393218:TI393219 TI393224:TI393242 TI458754:TI458755 TI458760:TI458778 TI524290:TI524291 TI524296:TI524314 TI589826:TI589827 TI589832:TI589850 TI655362:TI655363 TI655368:TI655386 TI720898:TI720899 TI720904:TI720922 TI786434:TI786435 TI786440:TI786458 TI851970:TI851971 TI851976:TI851994 TI917506:TI917507 TI917512:TI917530 TI983042:TI983043 TI983048:TI983066 ADE2:ADE3 ADE8:ADE26 ADE65538:ADE65539 ADE65544:ADE65562 ADE131074:ADE131075 ADE131080:ADE131098 ADE196610:ADE196611 ADE196616:ADE196634 ADE262146:ADE262147 ADE262152:ADE262170 ADE327682:ADE327683 ADE327688:ADE327706 ADE393218:ADE393219 ADE393224:ADE393242 ADE458754:ADE458755 ADE458760:ADE458778 ADE524290:ADE524291 ADE524296:ADE524314 ADE589826:ADE589827 ADE589832:ADE589850 ADE655362:ADE655363 ADE655368:ADE655386 ADE720898:ADE720899 ADE720904:ADE720922 ADE786434:ADE786435 ADE786440:ADE786458 ADE851970:ADE851971 ADE851976:ADE851994 ADE917506:ADE917507 ADE917512:ADE917530 ADE983042:ADE983043 ADE983048:ADE983066 ANA2:ANA3 ANA8:ANA26 ANA65538:ANA65539 ANA65544:ANA65562 ANA131074:ANA131075 ANA131080:ANA131098 ANA196610:ANA196611 ANA196616:ANA196634 ANA262146:ANA262147 ANA262152:ANA262170 ANA327682:ANA327683 ANA327688:ANA327706 ANA393218:ANA393219 ANA393224:ANA393242 ANA458754:ANA458755 ANA458760:ANA458778 ANA524290:ANA524291 ANA524296:ANA524314 ANA589826:ANA589827 ANA589832:ANA589850 ANA655362:ANA655363 ANA655368:ANA655386 ANA720898:ANA720899 ANA720904:ANA720922 ANA786434:ANA786435 ANA786440:ANA786458 ANA851970:ANA851971 ANA851976:ANA851994 ANA917506:ANA917507 ANA917512:ANA917530 ANA983042:ANA983043 ANA983048:ANA983066 AWW2:AWW3 AWW8:AWW26 AWW65538:AWW65539 AWW65544:AWW65562 AWW131074:AWW131075 AWW131080:AWW131098 AWW196610:AWW196611 AWW196616:AWW196634 AWW262146:AWW262147 AWW262152:AWW262170 AWW327682:AWW327683 AWW327688:AWW327706 AWW393218:AWW393219 AWW393224:AWW393242 AWW458754:AWW458755 AWW458760:AWW458778 AWW524290:AWW524291 AWW524296:AWW524314 AWW589826:AWW589827 AWW589832:AWW589850 AWW655362:AWW655363 AWW655368:AWW655386 AWW720898:AWW720899 AWW720904:AWW720922 AWW786434:AWW786435 AWW786440:AWW786458 AWW851970:AWW851971 AWW851976:AWW851994 AWW917506:AWW917507 AWW917512:AWW917530 AWW983042:AWW983043 AWW983048:AWW983066 BGS2:BGS3 BGS8:BGS26 BGS65538:BGS65539 BGS65544:BGS65562 BGS131074:BGS131075 BGS131080:BGS131098 BGS196610:BGS196611 BGS196616:BGS196634 BGS262146:BGS262147 BGS262152:BGS262170 BGS327682:BGS327683 BGS327688:BGS327706 BGS393218:BGS393219 BGS393224:BGS393242 BGS458754:BGS458755 BGS458760:BGS458778 BGS524290:BGS524291 BGS524296:BGS524314 BGS589826:BGS589827 BGS589832:BGS589850 BGS655362:BGS655363 BGS655368:BGS655386 BGS720898:BGS720899 BGS720904:BGS720922 BGS786434:BGS786435 BGS786440:BGS786458 BGS851970:BGS851971 BGS851976:BGS851994 BGS917506:BGS917507 BGS917512:BGS917530 BGS983042:BGS983043 BGS983048:BGS983066 BQO2:BQO3 BQO8:BQO26 BQO65538:BQO65539 BQO65544:BQO65562 BQO131074:BQO131075 BQO131080:BQO131098 BQO196610:BQO196611 BQO196616:BQO196634 BQO262146:BQO262147 BQO262152:BQO262170 BQO327682:BQO327683 BQO327688:BQO327706 BQO393218:BQO393219 BQO393224:BQO393242 BQO458754:BQO458755 BQO458760:BQO458778 BQO524290:BQO524291 BQO524296:BQO524314 BQO589826:BQO589827 BQO589832:BQO589850 BQO655362:BQO655363 BQO655368:BQO655386 BQO720898:BQO720899 BQO720904:BQO720922 BQO786434:BQO786435 BQO786440:BQO786458 BQO851970:BQO851971 BQO851976:BQO851994 BQO917506:BQO917507 BQO917512:BQO917530 BQO983042:BQO983043 BQO983048:BQO983066 CAK2:CAK3 CAK8:CAK26 CAK65538:CAK65539 CAK65544:CAK65562 CAK131074:CAK131075 CAK131080:CAK131098 CAK196610:CAK196611 CAK196616:CAK196634 CAK262146:CAK262147 CAK262152:CAK262170 CAK327682:CAK327683 CAK327688:CAK327706 CAK393218:CAK393219 CAK393224:CAK393242 CAK458754:CAK458755 CAK458760:CAK458778 CAK524290:CAK524291 CAK524296:CAK524314 CAK589826:CAK589827 CAK589832:CAK589850 CAK655362:CAK655363 CAK655368:CAK655386 CAK720898:CAK720899 CAK720904:CAK720922 CAK786434:CAK786435 CAK786440:CAK786458 CAK851970:CAK851971 CAK851976:CAK851994 CAK917506:CAK917507 CAK917512:CAK917530 CAK983042:CAK983043 CAK983048:CAK983066 CKG2:CKG3 CKG8:CKG26 CKG65538:CKG65539 CKG65544:CKG65562 CKG131074:CKG131075 CKG131080:CKG131098 CKG196610:CKG196611 CKG196616:CKG196634 CKG262146:CKG262147 CKG262152:CKG262170 CKG327682:CKG327683 CKG327688:CKG327706 CKG393218:CKG393219 CKG393224:CKG393242 CKG458754:CKG458755 CKG458760:CKG458778 CKG524290:CKG524291 CKG524296:CKG524314 CKG589826:CKG589827 CKG589832:CKG589850 CKG655362:CKG655363 CKG655368:CKG655386 CKG720898:CKG720899 CKG720904:CKG720922 CKG786434:CKG786435 CKG786440:CKG786458 CKG851970:CKG851971 CKG851976:CKG851994 CKG917506:CKG917507 CKG917512:CKG917530 CKG983042:CKG983043 CKG983048:CKG983066 CUC2:CUC3 CUC8:CUC26 CUC65538:CUC65539 CUC65544:CUC65562 CUC131074:CUC131075 CUC131080:CUC131098 CUC196610:CUC196611 CUC196616:CUC196634 CUC262146:CUC262147 CUC262152:CUC262170 CUC327682:CUC327683 CUC327688:CUC327706 CUC393218:CUC393219 CUC393224:CUC393242 CUC458754:CUC458755 CUC458760:CUC458778 CUC524290:CUC524291 CUC524296:CUC524314 CUC589826:CUC589827 CUC589832:CUC589850 CUC655362:CUC655363 CUC655368:CUC655386 CUC720898:CUC720899 CUC720904:CUC720922 CUC786434:CUC786435 CUC786440:CUC786458 CUC851970:CUC851971 CUC851976:CUC851994 CUC917506:CUC917507 CUC917512:CUC917530 CUC983042:CUC983043 CUC983048:CUC983066 DDY2:DDY3 DDY8:DDY26 DDY65538:DDY65539 DDY65544:DDY65562 DDY131074:DDY131075 DDY131080:DDY131098 DDY196610:DDY196611 DDY196616:DDY196634 DDY262146:DDY262147 DDY262152:DDY262170 DDY327682:DDY327683 DDY327688:DDY327706 DDY393218:DDY393219 DDY393224:DDY393242 DDY458754:DDY458755 DDY458760:DDY458778 DDY524290:DDY524291 DDY524296:DDY524314 DDY589826:DDY589827 DDY589832:DDY589850 DDY655362:DDY655363 DDY655368:DDY655386 DDY720898:DDY720899 DDY720904:DDY720922 DDY786434:DDY786435 DDY786440:DDY786458 DDY851970:DDY851971 DDY851976:DDY851994 DDY917506:DDY917507 DDY917512:DDY917530 DDY983042:DDY983043 DDY983048:DDY983066 DNU2:DNU3 DNU8:DNU26 DNU65538:DNU65539 DNU65544:DNU65562 DNU131074:DNU131075 DNU131080:DNU131098 DNU196610:DNU196611 DNU196616:DNU196634 DNU262146:DNU262147 DNU262152:DNU262170 DNU327682:DNU327683 DNU327688:DNU327706 DNU393218:DNU393219 DNU393224:DNU393242 DNU458754:DNU458755 DNU458760:DNU458778 DNU524290:DNU524291 DNU524296:DNU524314 DNU589826:DNU589827 DNU589832:DNU589850 DNU655362:DNU655363 DNU655368:DNU655386 DNU720898:DNU720899 DNU720904:DNU720922 DNU786434:DNU786435 DNU786440:DNU786458 DNU851970:DNU851971 DNU851976:DNU851994 DNU917506:DNU917507 DNU917512:DNU917530 DNU983042:DNU983043 DNU983048:DNU983066 DXQ2:DXQ3 DXQ8:DXQ26 DXQ65538:DXQ65539 DXQ65544:DXQ65562 DXQ131074:DXQ131075 DXQ131080:DXQ131098 DXQ196610:DXQ196611 DXQ196616:DXQ196634 DXQ262146:DXQ262147 DXQ262152:DXQ262170 DXQ327682:DXQ327683 DXQ327688:DXQ327706 DXQ393218:DXQ393219 DXQ393224:DXQ393242 DXQ458754:DXQ458755 DXQ458760:DXQ458778 DXQ524290:DXQ524291 DXQ524296:DXQ524314 DXQ589826:DXQ589827 DXQ589832:DXQ589850 DXQ655362:DXQ655363 DXQ655368:DXQ655386 DXQ720898:DXQ720899 DXQ720904:DXQ720922 DXQ786434:DXQ786435 DXQ786440:DXQ786458 DXQ851970:DXQ851971 DXQ851976:DXQ851994 DXQ917506:DXQ917507 DXQ917512:DXQ917530 DXQ983042:DXQ983043 DXQ983048:DXQ983066 EHM2:EHM3 EHM8:EHM26 EHM65538:EHM65539 EHM65544:EHM65562 EHM131074:EHM131075 EHM131080:EHM131098 EHM196610:EHM196611 EHM196616:EHM196634 EHM262146:EHM262147 EHM262152:EHM262170 EHM327682:EHM327683 EHM327688:EHM327706 EHM393218:EHM393219 EHM393224:EHM393242 EHM458754:EHM458755 EHM458760:EHM458778 EHM524290:EHM524291 EHM524296:EHM524314 EHM589826:EHM589827 EHM589832:EHM589850 EHM655362:EHM655363 EHM655368:EHM655386 EHM720898:EHM720899 EHM720904:EHM720922 EHM786434:EHM786435 EHM786440:EHM786458 EHM851970:EHM851971 EHM851976:EHM851994 EHM917506:EHM917507 EHM917512:EHM917530 EHM983042:EHM983043 EHM983048:EHM983066 ERI2:ERI3 ERI8:ERI26 ERI65538:ERI65539 ERI65544:ERI65562 ERI131074:ERI131075 ERI131080:ERI131098 ERI196610:ERI196611 ERI196616:ERI196634 ERI262146:ERI262147 ERI262152:ERI262170 ERI327682:ERI327683 ERI327688:ERI327706 ERI393218:ERI393219 ERI393224:ERI393242 ERI458754:ERI458755 ERI458760:ERI458778 ERI524290:ERI524291 ERI524296:ERI524314 ERI589826:ERI589827 ERI589832:ERI589850 ERI655362:ERI655363 ERI655368:ERI655386 ERI720898:ERI720899 ERI720904:ERI720922 ERI786434:ERI786435 ERI786440:ERI786458 ERI851970:ERI851971 ERI851976:ERI851994 ERI917506:ERI917507 ERI917512:ERI917530 ERI983042:ERI983043 ERI983048:ERI983066 FBE2:FBE3 FBE8:FBE26 FBE65538:FBE65539 FBE65544:FBE65562 FBE131074:FBE131075 FBE131080:FBE131098 FBE196610:FBE196611 FBE196616:FBE196634 FBE262146:FBE262147 FBE262152:FBE262170 FBE327682:FBE327683 FBE327688:FBE327706 FBE393218:FBE393219 FBE393224:FBE393242 FBE458754:FBE458755 FBE458760:FBE458778 FBE524290:FBE524291 FBE524296:FBE524314 FBE589826:FBE589827 FBE589832:FBE589850 FBE655362:FBE655363 FBE655368:FBE655386 FBE720898:FBE720899 FBE720904:FBE720922 FBE786434:FBE786435 FBE786440:FBE786458 FBE851970:FBE851971 FBE851976:FBE851994 FBE917506:FBE917507 FBE917512:FBE917530 FBE983042:FBE983043 FBE983048:FBE983066 FLA2:FLA3 FLA8:FLA26 FLA65538:FLA65539 FLA65544:FLA65562 FLA131074:FLA131075 FLA131080:FLA131098 FLA196610:FLA196611 FLA196616:FLA196634 FLA262146:FLA262147 FLA262152:FLA262170 FLA327682:FLA327683 FLA327688:FLA327706 FLA393218:FLA393219 FLA393224:FLA393242 FLA458754:FLA458755 FLA458760:FLA458778 FLA524290:FLA524291 FLA524296:FLA524314 FLA589826:FLA589827 FLA589832:FLA589850 FLA655362:FLA655363 FLA655368:FLA655386 FLA720898:FLA720899 FLA720904:FLA720922 FLA786434:FLA786435 FLA786440:FLA786458 FLA851970:FLA851971 FLA851976:FLA851994 FLA917506:FLA917507 FLA917512:FLA917530 FLA983042:FLA983043 FLA983048:FLA983066 FUW2:FUW3 FUW8:FUW26 FUW65538:FUW65539 FUW65544:FUW65562 FUW131074:FUW131075 FUW131080:FUW131098 FUW196610:FUW196611 FUW196616:FUW196634 FUW262146:FUW262147 FUW262152:FUW262170 FUW327682:FUW327683 FUW327688:FUW327706 FUW393218:FUW393219 FUW393224:FUW393242 FUW458754:FUW458755 FUW458760:FUW458778 FUW524290:FUW524291 FUW524296:FUW524314 FUW589826:FUW589827 FUW589832:FUW589850 FUW655362:FUW655363 FUW655368:FUW655386 FUW720898:FUW720899 FUW720904:FUW720922 FUW786434:FUW786435 FUW786440:FUW786458 FUW851970:FUW851971 FUW851976:FUW851994 FUW917506:FUW917507 FUW917512:FUW917530 FUW983042:FUW983043 FUW983048:FUW983066 GES2:GES3 GES8:GES26 GES65538:GES65539 GES65544:GES65562 GES131074:GES131075 GES131080:GES131098 GES196610:GES196611 GES196616:GES196634 GES262146:GES262147 GES262152:GES262170 GES327682:GES327683 GES327688:GES327706 GES393218:GES393219 GES393224:GES393242 GES458754:GES458755 GES458760:GES458778 GES524290:GES524291 GES524296:GES524314 GES589826:GES589827 GES589832:GES589850 GES655362:GES655363 GES655368:GES655386 GES720898:GES720899 GES720904:GES720922 GES786434:GES786435 GES786440:GES786458 GES851970:GES851971 GES851976:GES851994 GES917506:GES917507 GES917512:GES917530 GES983042:GES983043 GES983048:GES983066 GOO2:GOO3 GOO8:GOO26 GOO65538:GOO65539 GOO65544:GOO65562 GOO131074:GOO131075 GOO131080:GOO131098 GOO196610:GOO196611 GOO196616:GOO196634 GOO262146:GOO262147 GOO262152:GOO262170 GOO327682:GOO327683 GOO327688:GOO327706 GOO393218:GOO393219 GOO393224:GOO393242 GOO458754:GOO458755 GOO458760:GOO458778 GOO524290:GOO524291 GOO524296:GOO524314 GOO589826:GOO589827 GOO589832:GOO589850 GOO655362:GOO655363 GOO655368:GOO655386 GOO720898:GOO720899 GOO720904:GOO720922 GOO786434:GOO786435 GOO786440:GOO786458 GOO851970:GOO851971 GOO851976:GOO851994 GOO917506:GOO917507 GOO917512:GOO917530 GOO983042:GOO983043 GOO983048:GOO983066 GYK2:GYK3 GYK8:GYK26 GYK65538:GYK65539 GYK65544:GYK65562 GYK131074:GYK131075 GYK131080:GYK131098 GYK196610:GYK196611 GYK196616:GYK196634 GYK262146:GYK262147 GYK262152:GYK262170 GYK327682:GYK327683 GYK327688:GYK327706 GYK393218:GYK393219 GYK393224:GYK393242 GYK458754:GYK458755 GYK458760:GYK458778 GYK524290:GYK524291 GYK524296:GYK524314 GYK589826:GYK589827 GYK589832:GYK589850 GYK655362:GYK655363 GYK655368:GYK655386 GYK720898:GYK720899 GYK720904:GYK720922 GYK786434:GYK786435 GYK786440:GYK786458 GYK851970:GYK851971 GYK851976:GYK851994 GYK917506:GYK917507 GYK917512:GYK917530 GYK983042:GYK983043 GYK983048:GYK983066 HIG2:HIG3 HIG8:HIG26 HIG65538:HIG65539 HIG65544:HIG65562 HIG131074:HIG131075 HIG131080:HIG131098 HIG196610:HIG196611 HIG196616:HIG196634 HIG262146:HIG262147 HIG262152:HIG262170 HIG327682:HIG327683 HIG327688:HIG327706 HIG393218:HIG393219 HIG393224:HIG393242 HIG458754:HIG458755 HIG458760:HIG458778 HIG524290:HIG524291 HIG524296:HIG524314 HIG589826:HIG589827 HIG589832:HIG589850 HIG655362:HIG655363 HIG655368:HIG655386 HIG720898:HIG720899 HIG720904:HIG720922 HIG786434:HIG786435 HIG786440:HIG786458 HIG851970:HIG851971 HIG851976:HIG851994 HIG917506:HIG917507 HIG917512:HIG917530 HIG983042:HIG983043 HIG983048:HIG983066 HSC2:HSC3 HSC8:HSC26 HSC65538:HSC65539 HSC65544:HSC65562 HSC131074:HSC131075 HSC131080:HSC131098 HSC196610:HSC196611 HSC196616:HSC196634 HSC262146:HSC262147 HSC262152:HSC262170 HSC327682:HSC327683 HSC327688:HSC327706 HSC393218:HSC393219 HSC393224:HSC393242 HSC458754:HSC458755 HSC458760:HSC458778 HSC524290:HSC524291 HSC524296:HSC524314 HSC589826:HSC589827 HSC589832:HSC589850 HSC655362:HSC655363 HSC655368:HSC655386 HSC720898:HSC720899 HSC720904:HSC720922 HSC786434:HSC786435 HSC786440:HSC786458 HSC851970:HSC851971 HSC851976:HSC851994 HSC917506:HSC917507 HSC917512:HSC917530 HSC983042:HSC983043 HSC983048:HSC983066 IBY2:IBY3 IBY8:IBY26 IBY65538:IBY65539 IBY65544:IBY65562 IBY131074:IBY131075 IBY131080:IBY131098 IBY196610:IBY196611 IBY196616:IBY196634 IBY262146:IBY262147 IBY262152:IBY262170 IBY327682:IBY327683 IBY327688:IBY327706 IBY393218:IBY393219 IBY393224:IBY393242 IBY458754:IBY458755 IBY458760:IBY458778 IBY524290:IBY524291 IBY524296:IBY524314 IBY589826:IBY589827 IBY589832:IBY589850 IBY655362:IBY655363 IBY655368:IBY655386 IBY720898:IBY720899 IBY720904:IBY720922 IBY786434:IBY786435 IBY786440:IBY786458 IBY851970:IBY851971 IBY851976:IBY851994 IBY917506:IBY917507 IBY917512:IBY917530 IBY983042:IBY983043 IBY983048:IBY983066 ILU2:ILU3 ILU8:ILU26 ILU65538:ILU65539 ILU65544:ILU65562 ILU131074:ILU131075 ILU131080:ILU131098 ILU196610:ILU196611 ILU196616:ILU196634 ILU262146:ILU262147 ILU262152:ILU262170 ILU327682:ILU327683 ILU327688:ILU327706 ILU393218:ILU393219 ILU393224:ILU393242 ILU458754:ILU458755 ILU458760:ILU458778 ILU524290:ILU524291 ILU524296:ILU524314 ILU589826:ILU589827 ILU589832:ILU589850 ILU655362:ILU655363 ILU655368:ILU655386 ILU720898:ILU720899 ILU720904:ILU720922 ILU786434:ILU786435 ILU786440:ILU786458 ILU851970:ILU851971 ILU851976:ILU851994 ILU917506:ILU917507 ILU917512:ILU917530 ILU983042:ILU983043 ILU983048:ILU983066 IVQ2:IVQ3 IVQ8:IVQ26 IVQ65538:IVQ65539 IVQ65544:IVQ65562 IVQ131074:IVQ131075 IVQ131080:IVQ131098 IVQ196610:IVQ196611 IVQ196616:IVQ196634 IVQ262146:IVQ262147 IVQ262152:IVQ262170 IVQ327682:IVQ327683 IVQ327688:IVQ327706 IVQ393218:IVQ393219 IVQ393224:IVQ393242 IVQ458754:IVQ458755 IVQ458760:IVQ458778 IVQ524290:IVQ524291 IVQ524296:IVQ524314 IVQ589826:IVQ589827 IVQ589832:IVQ589850 IVQ655362:IVQ655363 IVQ655368:IVQ655386 IVQ720898:IVQ720899 IVQ720904:IVQ720922 IVQ786434:IVQ786435 IVQ786440:IVQ786458 IVQ851970:IVQ851971 IVQ851976:IVQ851994 IVQ917506:IVQ917507 IVQ917512:IVQ917530 IVQ983042:IVQ983043 IVQ983048:IVQ983066 JFM2:JFM3 JFM8:JFM26 JFM65538:JFM65539 JFM65544:JFM65562 JFM131074:JFM131075 JFM131080:JFM131098 JFM196610:JFM196611 JFM196616:JFM196634 JFM262146:JFM262147 JFM262152:JFM262170 JFM327682:JFM327683 JFM327688:JFM327706 JFM393218:JFM393219 JFM393224:JFM393242 JFM458754:JFM458755 JFM458760:JFM458778 JFM524290:JFM524291 JFM524296:JFM524314 JFM589826:JFM589827 JFM589832:JFM589850 JFM655362:JFM655363 JFM655368:JFM655386 JFM720898:JFM720899 JFM720904:JFM720922 JFM786434:JFM786435 JFM786440:JFM786458 JFM851970:JFM851971 JFM851976:JFM851994 JFM917506:JFM917507 JFM917512:JFM917530 JFM983042:JFM983043 JFM983048:JFM983066 JPI2:JPI3 JPI8:JPI26 JPI65538:JPI65539 JPI65544:JPI65562 JPI131074:JPI131075 JPI131080:JPI131098 JPI196610:JPI196611 JPI196616:JPI196634 JPI262146:JPI262147 JPI262152:JPI262170 JPI327682:JPI327683 JPI327688:JPI327706 JPI393218:JPI393219 JPI393224:JPI393242 JPI458754:JPI458755 JPI458760:JPI458778 JPI524290:JPI524291 JPI524296:JPI524314 JPI589826:JPI589827 JPI589832:JPI589850 JPI655362:JPI655363 JPI655368:JPI655386 JPI720898:JPI720899 JPI720904:JPI720922 JPI786434:JPI786435 JPI786440:JPI786458 JPI851970:JPI851971 JPI851976:JPI851994 JPI917506:JPI917507 JPI917512:JPI917530 JPI983042:JPI983043 JPI983048:JPI983066 JZE2:JZE3 JZE8:JZE26 JZE65538:JZE65539 JZE65544:JZE65562 JZE131074:JZE131075 JZE131080:JZE131098 JZE196610:JZE196611 JZE196616:JZE196634 JZE262146:JZE262147 JZE262152:JZE262170 JZE327682:JZE327683 JZE327688:JZE327706 JZE393218:JZE393219 JZE393224:JZE393242 JZE458754:JZE458755 JZE458760:JZE458778 JZE524290:JZE524291 JZE524296:JZE524314 JZE589826:JZE589827 JZE589832:JZE589850 JZE655362:JZE655363 JZE655368:JZE655386 JZE720898:JZE720899 JZE720904:JZE720922 JZE786434:JZE786435 JZE786440:JZE786458 JZE851970:JZE851971 JZE851976:JZE851994 JZE917506:JZE917507 JZE917512:JZE917530 JZE983042:JZE983043 JZE983048:JZE983066 KJA2:KJA3 KJA8:KJA26 KJA65538:KJA65539 KJA65544:KJA65562 KJA131074:KJA131075 KJA131080:KJA131098 KJA196610:KJA196611 KJA196616:KJA196634 KJA262146:KJA262147 KJA262152:KJA262170 KJA327682:KJA327683 KJA327688:KJA327706 KJA393218:KJA393219 KJA393224:KJA393242 KJA458754:KJA458755 KJA458760:KJA458778 KJA524290:KJA524291 KJA524296:KJA524314 KJA589826:KJA589827 KJA589832:KJA589850 KJA655362:KJA655363 KJA655368:KJA655386 KJA720898:KJA720899 KJA720904:KJA720922 KJA786434:KJA786435 KJA786440:KJA786458 KJA851970:KJA851971 KJA851976:KJA851994 KJA917506:KJA917507 KJA917512:KJA917530 KJA983042:KJA983043 KJA983048:KJA983066 KSW2:KSW3 KSW8:KSW26 KSW65538:KSW65539 KSW65544:KSW65562 KSW131074:KSW131075 KSW131080:KSW131098 KSW196610:KSW196611 KSW196616:KSW196634 KSW262146:KSW262147 KSW262152:KSW262170 KSW327682:KSW327683 KSW327688:KSW327706 KSW393218:KSW393219 KSW393224:KSW393242 KSW458754:KSW458755 KSW458760:KSW458778 KSW524290:KSW524291 KSW524296:KSW524314 KSW589826:KSW589827 KSW589832:KSW589850 KSW655362:KSW655363 KSW655368:KSW655386 KSW720898:KSW720899 KSW720904:KSW720922 KSW786434:KSW786435 KSW786440:KSW786458 KSW851970:KSW851971 KSW851976:KSW851994 KSW917506:KSW917507 KSW917512:KSW917530 KSW983042:KSW983043 KSW983048:KSW983066 LCS2:LCS3 LCS8:LCS26 LCS65538:LCS65539 LCS65544:LCS65562 LCS131074:LCS131075 LCS131080:LCS131098 LCS196610:LCS196611 LCS196616:LCS196634 LCS262146:LCS262147 LCS262152:LCS262170 LCS327682:LCS327683 LCS327688:LCS327706 LCS393218:LCS393219 LCS393224:LCS393242 LCS458754:LCS458755 LCS458760:LCS458778 LCS524290:LCS524291 LCS524296:LCS524314 LCS589826:LCS589827 LCS589832:LCS589850 LCS655362:LCS655363 LCS655368:LCS655386 LCS720898:LCS720899 LCS720904:LCS720922 LCS786434:LCS786435 LCS786440:LCS786458 LCS851970:LCS851971 LCS851976:LCS851994 LCS917506:LCS917507 LCS917512:LCS917530 LCS983042:LCS983043 LCS983048:LCS983066 LMO2:LMO3 LMO8:LMO26 LMO65538:LMO65539 LMO65544:LMO65562 LMO131074:LMO131075 LMO131080:LMO131098 LMO196610:LMO196611 LMO196616:LMO196634 LMO262146:LMO262147 LMO262152:LMO262170 LMO327682:LMO327683 LMO327688:LMO327706 LMO393218:LMO393219 LMO393224:LMO393242 LMO458754:LMO458755 LMO458760:LMO458778 LMO524290:LMO524291 LMO524296:LMO524314 LMO589826:LMO589827 LMO589832:LMO589850 LMO655362:LMO655363 LMO655368:LMO655386 LMO720898:LMO720899 LMO720904:LMO720922 LMO786434:LMO786435 LMO786440:LMO786458 LMO851970:LMO851971 LMO851976:LMO851994 LMO917506:LMO917507 LMO917512:LMO917530 LMO983042:LMO983043 LMO983048:LMO983066 LWK2:LWK3 LWK8:LWK26 LWK65538:LWK65539 LWK65544:LWK65562 LWK131074:LWK131075 LWK131080:LWK131098 LWK196610:LWK196611 LWK196616:LWK196634 LWK262146:LWK262147 LWK262152:LWK262170 LWK327682:LWK327683 LWK327688:LWK327706 LWK393218:LWK393219 LWK393224:LWK393242 LWK458754:LWK458755 LWK458760:LWK458778 LWK524290:LWK524291 LWK524296:LWK524314 LWK589826:LWK589827 LWK589832:LWK589850 LWK655362:LWK655363 LWK655368:LWK655386 LWK720898:LWK720899 LWK720904:LWK720922 LWK786434:LWK786435 LWK786440:LWK786458 LWK851970:LWK851971 LWK851976:LWK851994 LWK917506:LWK917507 LWK917512:LWK917530 LWK983042:LWK983043 LWK983048:LWK983066 MGG2:MGG3 MGG8:MGG26 MGG65538:MGG65539 MGG65544:MGG65562 MGG131074:MGG131075 MGG131080:MGG131098 MGG196610:MGG196611 MGG196616:MGG196634 MGG262146:MGG262147 MGG262152:MGG262170 MGG327682:MGG327683 MGG327688:MGG327706 MGG393218:MGG393219 MGG393224:MGG393242 MGG458754:MGG458755 MGG458760:MGG458778 MGG524290:MGG524291 MGG524296:MGG524314 MGG589826:MGG589827 MGG589832:MGG589850 MGG655362:MGG655363 MGG655368:MGG655386 MGG720898:MGG720899 MGG720904:MGG720922 MGG786434:MGG786435 MGG786440:MGG786458 MGG851970:MGG851971 MGG851976:MGG851994 MGG917506:MGG917507 MGG917512:MGG917530 MGG983042:MGG983043 MGG983048:MGG983066 MQC2:MQC3 MQC8:MQC26 MQC65538:MQC65539 MQC65544:MQC65562 MQC131074:MQC131075 MQC131080:MQC131098 MQC196610:MQC196611 MQC196616:MQC196634 MQC262146:MQC262147 MQC262152:MQC262170 MQC327682:MQC327683 MQC327688:MQC327706 MQC393218:MQC393219 MQC393224:MQC393242 MQC458754:MQC458755 MQC458760:MQC458778 MQC524290:MQC524291 MQC524296:MQC524314 MQC589826:MQC589827 MQC589832:MQC589850 MQC655362:MQC655363 MQC655368:MQC655386 MQC720898:MQC720899 MQC720904:MQC720922 MQC786434:MQC786435 MQC786440:MQC786458 MQC851970:MQC851971 MQC851976:MQC851994 MQC917506:MQC917507 MQC917512:MQC917530 MQC983042:MQC983043 MQC983048:MQC983066 MZY2:MZY3 MZY8:MZY26 MZY65538:MZY65539 MZY65544:MZY65562 MZY131074:MZY131075 MZY131080:MZY131098 MZY196610:MZY196611 MZY196616:MZY196634 MZY262146:MZY262147 MZY262152:MZY262170 MZY327682:MZY327683 MZY327688:MZY327706 MZY393218:MZY393219 MZY393224:MZY393242 MZY458754:MZY458755 MZY458760:MZY458778 MZY524290:MZY524291 MZY524296:MZY524314 MZY589826:MZY589827 MZY589832:MZY589850 MZY655362:MZY655363 MZY655368:MZY655386 MZY720898:MZY720899 MZY720904:MZY720922 MZY786434:MZY786435 MZY786440:MZY786458 MZY851970:MZY851971 MZY851976:MZY851994 MZY917506:MZY917507 MZY917512:MZY917530 MZY983042:MZY983043 MZY983048:MZY983066 NJU2:NJU3 NJU8:NJU26 NJU65538:NJU65539 NJU65544:NJU65562 NJU131074:NJU131075 NJU131080:NJU131098 NJU196610:NJU196611 NJU196616:NJU196634 NJU262146:NJU262147 NJU262152:NJU262170 NJU327682:NJU327683 NJU327688:NJU327706 NJU393218:NJU393219 NJU393224:NJU393242 NJU458754:NJU458755 NJU458760:NJU458778 NJU524290:NJU524291 NJU524296:NJU524314 NJU589826:NJU589827 NJU589832:NJU589850 NJU655362:NJU655363 NJU655368:NJU655386 NJU720898:NJU720899 NJU720904:NJU720922 NJU786434:NJU786435 NJU786440:NJU786458 NJU851970:NJU851971 NJU851976:NJU851994 NJU917506:NJU917507 NJU917512:NJU917530 NJU983042:NJU983043 NJU983048:NJU983066 NTQ2:NTQ3 NTQ8:NTQ26 NTQ65538:NTQ65539 NTQ65544:NTQ65562 NTQ131074:NTQ131075 NTQ131080:NTQ131098 NTQ196610:NTQ196611 NTQ196616:NTQ196634 NTQ262146:NTQ262147 NTQ262152:NTQ262170 NTQ327682:NTQ327683 NTQ327688:NTQ327706 NTQ393218:NTQ393219 NTQ393224:NTQ393242 NTQ458754:NTQ458755 NTQ458760:NTQ458778 NTQ524290:NTQ524291 NTQ524296:NTQ524314 NTQ589826:NTQ589827 NTQ589832:NTQ589850 NTQ655362:NTQ655363 NTQ655368:NTQ655386 NTQ720898:NTQ720899 NTQ720904:NTQ720922 NTQ786434:NTQ786435 NTQ786440:NTQ786458 NTQ851970:NTQ851971 NTQ851976:NTQ851994 NTQ917506:NTQ917507 NTQ917512:NTQ917530 NTQ983042:NTQ983043 NTQ983048:NTQ983066 ODM2:ODM3 ODM8:ODM26 ODM65538:ODM65539 ODM65544:ODM65562 ODM131074:ODM131075 ODM131080:ODM131098 ODM196610:ODM196611 ODM196616:ODM196634 ODM262146:ODM262147 ODM262152:ODM262170 ODM327682:ODM327683 ODM327688:ODM327706 ODM393218:ODM393219 ODM393224:ODM393242 ODM458754:ODM458755 ODM458760:ODM458778 ODM524290:ODM524291 ODM524296:ODM524314 ODM589826:ODM589827 ODM589832:ODM589850 ODM655362:ODM655363 ODM655368:ODM655386 ODM720898:ODM720899 ODM720904:ODM720922 ODM786434:ODM786435 ODM786440:ODM786458 ODM851970:ODM851971 ODM851976:ODM851994 ODM917506:ODM917507 ODM917512:ODM917530 ODM983042:ODM983043 ODM983048:ODM983066 ONI2:ONI3 ONI8:ONI26 ONI65538:ONI65539 ONI65544:ONI65562 ONI131074:ONI131075 ONI131080:ONI131098 ONI196610:ONI196611 ONI196616:ONI196634 ONI262146:ONI262147 ONI262152:ONI262170 ONI327682:ONI327683 ONI327688:ONI327706 ONI393218:ONI393219 ONI393224:ONI393242 ONI458754:ONI458755 ONI458760:ONI458778 ONI524290:ONI524291 ONI524296:ONI524314 ONI589826:ONI589827 ONI589832:ONI589850 ONI655362:ONI655363 ONI655368:ONI655386 ONI720898:ONI720899 ONI720904:ONI720922 ONI786434:ONI786435 ONI786440:ONI786458 ONI851970:ONI851971 ONI851976:ONI851994 ONI917506:ONI917507 ONI917512:ONI917530 ONI983042:ONI983043 ONI983048:ONI983066 OXE2:OXE3 OXE8:OXE26 OXE65538:OXE65539 OXE65544:OXE65562 OXE131074:OXE131075 OXE131080:OXE131098 OXE196610:OXE196611 OXE196616:OXE196634 OXE262146:OXE262147 OXE262152:OXE262170 OXE327682:OXE327683 OXE327688:OXE327706 OXE393218:OXE393219 OXE393224:OXE393242 OXE458754:OXE458755 OXE458760:OXE458778 OXE524290:OXE524291 OXE524296:OXE524314 OXE589826:OXE589827 OXE589832:OXE589850 OXE655362:OXE655363 OXE655368:OXE655386 OXE720898:OXE720899 OXE720904:OXE720922 OXE786434:OXE786435 OXE786440:OXE786458 OXE851970:OXE851971 OXE851976:OXE851994 OXE917506:OXE917507 OXE917512:OXE917530 OXE983042:OXE983043 OXE983048:OXE983066 PHA2:PHA3 PHA8:PHA26 PHA65538:PHA65539 PHA65544:PHA65562 PHA131074:PHA131075 PHA131080:PHA131098 PHA196610:PHA196611 PHA196616:PHA196634 PHA262146:PHA262147 PHA262152:PHA262170 PHA327682:PHA327683 PHA327688:PHA327706 PHA393218:PHA393219 PHA393224:PHA393242 PHA458754:PHA458755 PHA458760:PHA458778 PHA524290:PHA524291 PHA524296:PHA524314 PHA589826:PHA589827 PHA589832:PHA589850 PHA655362:PHA655363 PHA655368:PHA655386 PHA720898:PHA720899 PHA720904:PHA720922 PHA786434:PHA786435 PHA786440:PHA786458 PHA851970:PHA851971 PHA851976:PHA851994 PHA917506:PHA917507 PHA917512:PHA917530 PHA983042:PHA983043 PHA983048:PHA983066 PQW2:PQW3 PQW8:PQW26 PQW65538:PQW65539 PQW65544:PQW65562 PQW131074:PQW131075 PQW131080:PQW131098 PQW196610:PQW196611 PQW196616:PQW196634 PQW262146:PQW262147 PQW262152:PQW262170 PQW327682:PQW327683 PQW327688:PQW327706 PQW393218:PQW393219 PQW393224:PQW393242 PQW458754:PQW458755 PQW458760:PQW458778 PQW524290:PQW524291 PQW524296:PQW524314 PQW589826:PQW589827 PQW589832:PQW589850 PQW655362:PQW655363 PQW655368:PQW655386 PQW720898:PQW720899 PQW720904:PQW720922 PQW786434:PQW786435 PQW786440:PQW786458 PQW851970:PQW851971 PQW851976:PQW851994 PQW917506:PQW917507 PQW917512:PQW917530 PQW983042:PQW983043 PQW983048:PQW983066 QAS2:QAS3 QAS8:QAS26 QAS65538:QAS65539 QAS65544:QAS65562 QAS131074:QAS131075 QAS131080:QAS131098 QAS196610:QAS196611 QAS196616:QAS196634 QAS262146:QAS262147 QAS262152:QAS262170 QAS327682:QAS327683 QAS327688:QAS327706 QAS393218:QAS393219 QAS393224:QAS393242 QAS458754:QAS458755 QAS458760:QAS458778 QAS524290:QAS524291 QAS524296:QAS524314 QAS589826:QAS589827 QAS589832:QAS589850 QAS655362:QAS655363 QAS655368:QAS655386 QAS720898:QAS720899 QAS720904:QAS720922 QAS786434:QAS786435 QAS786440:QAS786458 QAS851970:QAS851971 QAS851976:QAS851994 QAS917506:QAS917507 QAS917512:QAS917530 QAS983042:QAS983043 QAS983048:QAS983066 QKO2:QKO3 QKO8:QKO26 QKO65538:QKO65539 QKO65544:QKO65562 QKO131074:QKO131075 QKO131080:QKO131098 QKO196610:QKO196611 QKO196616:QKO196634 QKO262146:QKO262147 QKO262152:QKO262170 QKO327682:QKO327683 QKO327688:QKO327706 QKO393218:QKO393219 QKO393224:QKO393242 QKO458754:QKO458755 QKO458760:QKO458778 QKO524290:QKO524291 QKO524296:QKO524314 QKO589826:QKO589827 QKO589832:QKO589850 QKO655362:QKO655363 QKO655368:QKO655386 QKO720898:QKO720899 QKO720904:QKO720922 QKO786434:QKO786435 QKO786440:QKO786458 QKO851970:QKO851971 QKO851976:QKO851994 QKO917506:QKO917507 QKO917512:QKO917530 QKO983042:QKO983043 QKO983048:QKO983066 QUK2:QUK3 QUK8:QUK26 QUK65538:QUK65539 QUK65544:QUK65562 QUK131074:QUK131075 QUK131080:QUK131098 QUK196610:QUK196611 QUK196616:QUK196634 QUK262146:QUK262147 QUK262152:QUK262170 QUK327682:QUK327683 QUK327688:QUK327706 QUK393218:QUK393219 QUK393224:QUK393242 QUK458754:QUK458755 QUK458760:QUK458778 QUK524290:QUK524291 QUK524296:QUK524314 QUK589826:QUK589827 QUK589832:QUK589850 QUK655362:QUK655363 QUK655368:QUK655386 QUK720898:QUK720899 QUK720904:QUK720922 QUK786434:QUK786435 QUK786440:QUK786458 QUK851970:QUK851971 QUK851976:QUK851994 QUK917506:QUK917507 QUK917512:QUK917530 QUK983042:QUK983043 QUK983048:QUK983066 REG2:REG3 REG8:REG26 REG65538:REG65539 REG65544:REG65562 REG131074:REG131075 REG131080:REG131098 REG196610:REG196611 REG196616:REG196634 REG262146:REG262147 REG262152:REG262170 REG327682:REG327683 REG327688:REG327706 REG393218:REG393219 REG393224:REG393242 REG458754:REG458755 REG458760:REG458778 REG524290:REG524291 REG524296:REG524314 REG589826:REG589827 REG589832:REG589850 REG655362:REG655363 REG655368:REG655386 REG720898:REG720899 REG720904:REG720922 REG786434:REG786435 REG786440:REG786458 REG851970:REG851971 REG851976:REG851994 REG917506:REG917507 REG917512:REG917530 REG983042:REG983043 REG983048:REG983066 ROC2:ROC3 ROC8:ROC26 ROC65538:ROC65539 ROC65544:ROC65562 ROC131074:ROC131075 ROC131080:ROC131098 ROC196610:ROC196611 ROC196616:ROC196634 ROC262146:ROC262147 ROC262152:ROC262170 ROC327682:ROC327683 ROC327688:ROC327706 ROC393218:ROC393219 ROC393224:ROC393242 ROC458754:ROC458755 ROC458760:ROC458778 ROC524290:ROC524291 ROC524296:ROC524314 ROC589826:ROC589827 ROC589832:ROC589850 ROC655362:ROC655363 ROC655368:ROC655386 ROC720898:ROC720899 ROC720904:ROC720922 ROC786434:ROC786435 ROC786440:ROC786458 ROC851970:ROC851971 ROC851976:ROC851994 ROC917506:ROC917507 ROC917512:ROC917530 ROC983042:ROC983043 ROC983048:ROC983066 RXY2:RXY3 RXY8:RXY26 RXY65538:RXY65539 RXY65544:RXY65562 RXY131074:RXY131075 RXY131080:RXY131098 RXY196610:RXY196611 RXY196616:RXY196634 RXY262146:RXY262147 RXY262152:RXY262170 RXY327682:RXY327683 RXY327688:RXY327706 RXY393218:RXY393219 RXY393224:RXY393242 RXY458754:RXY458755 RXY458760:RXY458778 RXY524290:RXY524291 RXY524296:RXY524314 RXY589826:RXY589827 RXY589832:RXY589850 RXY655362:RXY655363 RXY655368:RXY655386 RXY720898:RXY720899 RXY720904:RXY720922 RXY786434:RXY786435 RXY786440:RXY786458 RXY851970:RXY851971 RXY851976:RXY851994 RXY917506:RXY917507 RXY917512:RXY917530 RXY983042:RXY983043 RXY983048:RXY983066 SHU2:SHU3 SHU8:SHU26 SHU65538:SHU65539 SHU65544:SHU65562 SHU131074:SHU131075 SHU131080:SHU131098 SHU196610:SHU196611 SHU196616:SHU196634 SHU262146:SHU262147 SHU262152:SHU262170 SHU327682:SHU327683 SHU327688:SHU327706 SHU393218:SHU393219 SHU393224:SHU393242 SHU458754:SHU458755 SHU458760:SHU458778 SHU524290:SHU524291 SHU524296:SHU524314 SHU589826:SHU589827 SHU589832:SHU589850 SHU655362:SHU655363 SHU655368:SHU655386 SHU720898:SHU720899 SHU720904:SHU720922 SHU786434:SHU786435 SHU786440:SHU786458 SHU851970:SHU851971 SHU851976:SHU851994 SHU917506:SHU917507 SHU917512:SHU917530 SHU983042:SHU983043 SHU983048:SHU983066 SRQ2:SRQ3 SRQ8:SRQ26 SRQ65538:SRQ65539 SRQ65544:SRQ65562 SRQ131074:SRQ131075 SRQ131080:SRQ131098 SRQ196610:SRQ196611 SRQ196616:SRQ196634 SRQ262146:SRQ262147 SRQ262152:SRQ262170 SRQ327682:SRQ327683 SRQ327688:SRQ327706 SRQ393218:SRQ393219 SRQ393224:SRQ393242 SRQ458754:SRQ458755 SRQ458760:SRQ458778 SRQ524290:SRQ524291 SRQ524296:SRQ524314 SRQ589826:SRQ589827 SRQ589832:SRQ589850 SRQ655362:SRQ655363 SRQ655368:SRQ655386 SRQ720898:SRQ720899 SRQ720904:SRQ720922 SRQ786434:SRQ786435 SRQ786440:SRQ786458 SRQ851970:SRQ851971 SRQ851976:SRQ851994 SRQ917506:SRQ917507 SRQ917512:SRQ917530 SRQ983042:SRQ983043 SRQ983048:SRQ983066 TBM2:TBM3 TBM8:TBM26 TBM65538:TBM65539 TBM65544:TBM65562 TBM131074:TBM131075 TBM131080:TBM131098 TBM196610:TBM196611 TBM196616:TBM196634 TBM262146:TBM262147 TBM262152:TBM262170 TBM327682:TBM327683 TBM327688:TBM327706 TBM393218:TBM393219 TBM393224:TBM393242 TBM458754:TBM458755 TBM458760:TBM458778 TBM524290:TBM524291 TBM524296:TBM524314 TBM589826:TBM589827 TBM589832:TBM589850 TBM655362:TBM655363 TBM655368:TBM655386 TBM720898:TBM720899 TBM720904:TBM720922 TBM786434:TBM786435 TBM786440:TBM786458 TBM851970:TBM851971 TBM851976:TBM851994 TBM917506:TBM917507 TBM917512:TBM917530 TBM983042:TBM983043 TBM983048:TBM983066 TLI2:TLI3 TLI8:TLI26 TLI65538:TLI65539 TLI65544:TLI65562 TLI131074:TLI131075 TLI131080:TLI131098 TLI196610:TLI196611 TLI196616:TLI196634 TLI262146:TLI262147 TLI262152:TLI262170 TLI327682:TLI327683 TLI327688:TLI327706 TLI393218:TLI393219 TLI393224:TLI393242 TLI458754:TLI458755 TLI458760:TLI458778 TLI524290:TLI524291 TLI524296:TLI524314 TLI589826:TLI589827 TLI589832:TLI589850 TLI655362:TLI655363 TLI655368:TLI655386 TLI720898:TLI720899 TLI720904:TLI720922 TLI786434:TLI786435 TLI786440:TLI786458 TLI851970:TLI851971 TLI851976:TLI851994 TLI917506:TLI917507 TLI917512:TLI917530 TLI983042:TLI983043 TLI983048:TLI983066 TVE2:TVE3 TVE8:TVE26 TVE65538:TVE65539 TVE65544:TVE65562 TVE131074:TVE131075 TVE131080:TVE131098 TVE196610:TVE196611 TVE196616:TVE196634 TVE262146:TVE262147 TVE262152:TVE262170 TVE327682:TVE327683 TVE327688:TVE327706 TVE393218:TVE393219 TVE393224:TVE393242 TVE458754:TVE458755 TVE458760:TVE458778 TVE524290:TVE524291 TVE524296:TVE524314 TVE589826:TVE589827 TVE589832:TVE589850 TVE655362:TVE655363 TVE655368:TVE655386 TVE720898:TVE720899 TVE720904:TVE720922 TVE786434:TVE786435 TVE786440:TVE786458 TVE851970:TVE851971 TVE851976:TVE851994 TVE917506:TVE917507 TVE917512:TVE917530 TVE983042:TVE983043 TVE983048:TVE983066 UFA2:UFA3 UFA8:UFA26 UFA65538:UFA65539 UFA65544:UFA65562 UFA131074:UFA131075 UFA131080:UFA131098 UFA196610:UFA196611 UFA196616:UFA196634 UFA262146:UFA262147 UFA262152:UFA262170 UFA327682:UFA327683 UFA327688:UFA327706 UFA393218:UFA393219 UFA393224:UFA393242 UFA458754:UFA458755 UFA458760:UFA458778 UFA524290:UFA524291 UFA524296:UFA524314 UFA589826:UFA589827 UFA589832:UFA589850 UFA655362:UFA655363 UFA655368:UFA655386 UFA720898:UFA720899 UFA720904:UFA720922 UFA786434:UFA786435 UFA786440:UFA786458 UFA851970:UFA851971 UFA851976:UFA851994 UFA917506:UFA917507 UFA917512:UFA917530 UFA983042:UFA983043 UFA983048:UFA983066 UOW2:UOW3 UOW8:UOW26 UOW65538:UOW65539 UOW65544:UOW65562 UOW131074:UOW131075 UOW131080:UOW131098 UOW196610:UOW196611 UOW196616:UOW196634 UOW262146:UOW262147 UOW262152:UOW262170 UOW327682:UOW327683 UOW327688:UOW327706 UOW393218:UOW393219 UOW393224:UOW393242 UOW458754:UOW458755 UOW458760:UOW458778 UOW524290:UOW524291 UOW524296:UOW524314 UOW589826:UOW589827 UOW589832:UOW589850 UOW655362:UOW655363 UOW655368:UOW655386 UOW720898:UOW720899 UOW720904:UOW720922 UOW786434:UOW786435 UOW786440:UOW786458 UOW851970:UOW851971 UOW851976:UOW851994 UOW917506:UOW917507 UOW917512:UOW917530 UOW983042:UOW983043 UOW983048:UOW983066 UYS2:UYS3 UYS8:UYS26 UYS65538:UYS65539 UYS65544:UYS65562 UYS131074:UYS131075 UYS131080:UYS131098 UYS196610:UYS196611 UYS196616:UYS196634 UYS262146:UYS262147 UYS262152:UYS262170 UYS327682:UYS327683 UYS327688:UYS327706 UYS393218:UYS393219 UYS393224:UYS393242 UYS458754:UYS458755 UYS458760:UYS458778 UYS524290:UYS524291 UYS524296:UYS524314 UYS589826:UYS589827 UYS589832:UYS589850 UYS655362:UYS655363 UYS655368:UYS655386 UYS720898:UYS720899 UYS720904:UYS720922 UYS786434:UYS786435 UYS786440:UYS786458 UYS851970:UYS851971 UYS851976:UYS851994 UYS917506:UYS917507 UYS917512:UYS917530 UYS983042:UYS983043 UYS983048:UYS983066 VIO2:VIO3 VIO8:VIO26 VIO65538:VIO65539 VIO65544:VIO65562 VIO131074:VIO131075 VIO131080:VIO131098 VIO196610:VIO196611 VIO196616:VIO196634 VIO262146:VIO262147 VIO262152:VIO262170 VIO327682:VIO327683 VIO327688:VIO327706 VIO393218:VIO393219 VIO393224:VIO393242 VIO458754:VIO458755 VIO458760:VIO458778 VIO524290:VIO524291 VIO524296:VIO524314 VIO589826:VIO589827 VIO589832:VIO589850 VIO655362:VIO655363 VIO655368:VIO655386 VIO720898:VIO720899 VIO720904:VIO720922 VIO786434:VIO786435 VIO786440:VIO786458 VIO851970:VIO851971 VIO851976:VIO851994 VIO917506:VIO917507 VIO917512:VIO917530 VIO983042:VIO983043 VIO983048:VIO983066 VSK2:VSK3 VSK8:VSK26 VSK65538:VSK65539 VSK65544:VSK65562 VSK131074:VSK131075 VSK131080:VSK131098 VSK196610:VSK196611 VSK196616:VSK196634 VSK262146:VSK262147 VSK262152:VSK262170 VSK327682:VSK327683 VSK327688:VSK327706 VSK393218:VSK393219 VSK393224:VSK393242 VSK458754:VSK458755 VSK458760:VSK458778 VSK524290:VSK524291 VSK524296:VSK524314 VSK589826:VSK589827 VSK589832:VSK589850 VSK655362:VSK655363 VSK655368:VSK655386 VSK720898:VSK720899 VSK720904:VSK720922 VSK786434:VSK786435 VSK786440:VSK786458 VSK851970:VSK851971 VSK851976:VSK851994 VSK917506:VSK917507 VSK917512:VSK917530 VSK983042:VSK983043 VSK983048:VSK983066 WCG2:WCG3 WCG8:WCG26 WCG65538:WCG65539 WCG65544:WCG65562 WCG131074:WCG131075 WCG131080:WCG131098 WCG196610:WCG196611 WCG196616:WCG196634 WCG262146:WCG262147 WCG262152:WCG262170 WCG327682:WCG327683 WCG327688:WCG327706 WCG393218:WCG393219 WCG393224:WCG393242 WCG458754:WCG458755 WCG458760:WCG458778 WCG524290:WCG524291 WCG524296:WCG524314 WCG589826:WCG589827 WCG589832:WCG589850 WCG655362:WCG655363 WCG655368:WCG655386 WCG720898:WCG720899 WCG720904:WCG720922 WCG786434:WCG786435 WCG786440:WCG786458 WCG851970:WCG851971 WCG851976:WCG851994 WCG917506:WCG917507 WCG917512:WCG917530 WCG983042:WCG983043 WCG983048:WCG983066 WMC2:WMC3 WMC8:WMC26 WMC65538:WMC65539 WMC65544:WMC65562 WMC131074:WMC131075 WMC131080:WMC131098 WMC196610:WMC196611 WMC196616:WMC196634 WMC262146:WMC262147 WMC262152:WMC262170 WMC327682:WMC327683 WMC327688:WMC327706 WMC393218:WMC393219 WMC393224:WMC393242 WMC458754:WMC458755 WMC458760:WMC458778 WMC524290:WMC524291 WMC524296:WMC524314 WMC589826:WMC589827 WMC589832:WMC589850 WMC655362:WMC655363 WMC655368:WMC655386 WMC720898:WMC720899 WMC720904:WMC720922 WMC786434:WMC786435 WMC786440:WMC786458 WMC851970:WMC851971 WMC851976:WMC851994 WMC917506:WMC917507 WMC917512:WMC917530 WMC983042:WMC983043 WMC983048:WMC983066 WVY2:WVY3 WVY8:WVY26 WVY65538:WVY65539 WVY65544:WVY65562 WVY131074:WVY131075 WVY131080:WVY131098 WVY196610:WVY196611 WVY196616:WVY196634 WVY262146:WVY262147 WVY262152:WVY262170 WVY327682:WVY327683 WVY327688:WVY327706 WVY393218:WVY393219 WVY393224:WVY393242 WVY458754:WVY458755 WVY458760:WVY458778 WVY524290:WVY524291 WVY524296:WVY524314 WVY589826:WVY589827 WVY589832:WVY589850 WVY655362:WVY655363 WVY655368:WVY655386 WVY720898:WVY720899 WVY720904:WVY720922 WVY786434:WVY786435 WVY786440:WVY786458 WVY851970:WVY851971 WVY851976:WVY851994 WVY917506:WVY917507 WVY917512:WVY917530 WVY983042:WVY983043 WVY983048:WVY983066" xr:uid="{00000000-0002-0000-0900-000016000000}"/>
    <dataValidation allowBlank="1" showInputMessage="1" showErrorMessage="1" prompt="Mean amount of elementary flow or intermediate product flow. Enter your values (or the respective equation) here." sqref="L8:L26 L65544:L65562 L131080:L131098 L196616:L196634 L262152:L262170 L327688:L327706 L393224:L393242 L458760:L458778 L524296:L524314 L589832:L589850 L655368:L655386 L720904:L720922 L786440:L786458 L851976:L851994 L917512:L917530 L983048:L983066 JI8:JI26 JI65544:JI65562 JI131080:JI131098 JI196616:JI196634 JI262152:JI262170 JI327688:JI327706 JI393224:JI393242 JI458760:JI458778 JI524296:JI524314 JI589832:JI589850 JI655368:JI655386 JI720904:JI720922 JI786440:JI786458 JI851976:JI851994 JI917512:JI917530 JI983048:JI983066 TE8:TE26 TE65544:TE65562 TE131080:TE131098 TE196616:TE196634 TE262152:TE262170 TE327688:TE327706 TE393224:TE393242 TE458760:TE458778 TE524296:TE524314 TE589832:TE589850 TE655368:TE655386 TE720904:TE720922 TE786440:TE786458 TE851976:TE851994 TE917512:TE917530 TE983048:TE983066 ADA8:ADA26 ADA65544:ADA65562 ADA131080:ADA131098 ADA196616:ADA196634 ADA262152:ADA262170 ADA327688:ADA327706 ADA393224:ADA393242 ADA458760:ADA458778 ADA524296:ADA524314 ADA589832:ADA589850 ADA655368:ADA655386 ADA720904:ADA720922 ADA786440:ADA786458 ADA851976:ADA851994 ADA917512:ADA917530 ADA983048:ADA983066 AMW8:AMW26 AMW65544:AMW65562 AMW131080:AMW131098 AMW196616:AMW196634 AMW262152:AMW262170 AMW327688:AMW327706 AMW393224:AMW393242 AMW458760:AMW458778 AMW524296:AMW524314 AMW589832:AMW589850 AMW655368:AMW655386 AMW720904:AMW720922 AMW786440:AMW786458 AMW851976:AMW851994 AMW917512:AMW917530 AMW983048:AMW983066 AWS8:AWS26 AWS65544:AWS65562 AWS131080:AWS131098 AWS196616:AWS196634 AWS262152:AWS262170 AWS327688:AWS327706 AWS393224:AWS393242 AWS458760:AWS458778 AWS524296:AWS524314 AWS589832:AWS589850 AWS655368:AWS655386 AWS720904:AWS720922 AWS786440:AWS786458 AWS851976:AWS851994 AWS917512:AWS917530 AWS983048:AWS983066 BGO8:BGO26 BGO65544:BGO65562 BGO131080:BGO131098 BGO196616:BGO196634 BGO262152:BGO262170 BGO327688:BGO327706 BGO393224:BGO393242 BGO458760:BGO458778 BGO524296:BGO524314 BGO589832:BGO589850 BGO655368:BGO655386 BGO720904:BGO720922 BGO786440:BGO786458 BGO851976:BGO851994 BGO917512:BGO917530 BGO983048:BGO983066 BQK8:BQK26 BQK65544:BQK65562 BQK131080:BQK131098 BQK196616:BQK196634 BQK262152:BQK262170 BQK327688:BQK327706 BQK393224:BQK393242 BQK458760:BQK458778 BQK524296:BQK524314 BQK589832:BQK589850 BQK655368:BQK655386 BQK720904:BQK720922 BQK786440:BQK786458 BQK851976:BQK851994 BQK917512:BQK917530 BQK983048:BQK983066 CAG8:CAG26 CAG65544:CAG65562 CAG131080:CAG131098 CAG196616:CAG196634 CAG262152:CAG262170 CAG327688:CAG327706 CAG393224:CAG393242 CAG458760:CAG458778 CAG524296:CAG524314 CAG589832:CAG589850 CAG655368:CAG655386 CAG720904:CAG720922 CAG786440:CAG786458 CAG851976:CAG851994 CAG917512:CAG917530 CAG983048:CAG983066 CKC8:CKC26 CKC65544:CKC65562 CKC131080:CKC131098 CKC196616:CKC196634 CKC262152:CKC262170 CKC327688:CKC327706 CKC393224:CKC393242 CKC458760:CKC458778 CKC524296:CKC524314 CKC589832:CKC589850 CKC655368:CKC655386 CKC720904:CKC720922 CKC786440:CKC786458 CKC851976:CKC851994 CKC917512:CKC917530 CKC983048:CKC983066 CTY8:CTY26 CTY65544:CTY65562 CTY131080:CTY131098 CTY196616:CTY196634 CTY262152:CTY262170 CTY327688:CTY327706 CTY393224:CTY393242 CTY458760:CTY458778 CTY524296:CTY524314 CTY589832:CTY589850 CTY655368:CTY655386 CTY720904:CTY720922 CTY786440:CTY786458 CTY851976:CTY851994 CTY917512:CTY917530 CTY983048:CTY983066 DDU8:DDU26 DDU65544:DDU65562 DDU131080:DDU131098 DDU196616:DDU196634 DDU262152:DDU262170 DDU327688:DDU327706 DDU393224:DDU393242 DDU458760:DDU458778 DDU524296:DDU524314 DDU589832:DDU589850 DDU655368:DDU655386 DDU720904:DDU720922 DDU786440:DDU786458 DDU851976:DDU851994 DDU917512:DDU917530 DDU983048:DDU983066 DNQ8:DNQ26 DNQ65544:DNQ65562 DNQ131080:DNQ131098 DNQ196616:DNQ196634 DNQ262152:DNQ262170 DNQ327688:DNQ327706 DNQ393224:DNQ393242 DNQ458760:DNQ458778 DNQ524296:DNQ524314 DNQ589832:DNQ589850 DNQ655368:DNQ655386 DNQ720904:DNQ720922 DNQ786440:DNQ786458 DNQ851976:DNQ851994 DNQ917512:DNQ917530 DNQ983048:DNQ983066 DXM8:DXM26 DXM65544:DXM65562 DXM131080:DXM131098 DXM196616:DXM196634 DXM262152:DXM262170 DXM327688:DXM327706 DXM393224:DXM393242 DXM458760:DXM458778 DXM524296:DXM524314 DXM589832:DXM589850 DXM655368:DXM655386 DXM720904:DXM720922 DXM786440:DXM786458 DXM851976:DXM851994 DXM917512:DXM917530 DXM983048:DXM983066 EHI8:EHI26 EHI65544:EHI65562 EHI131080:EHI131098 EHI196616:EHI196634 EHI262152:EHI262170 EHI327688:EHI327706 EHI393224:EHI393242 EHI458760:EHI458778 EHI524296:EHI524314 EHI589832:EHI589850 EHI655368:EHI655386 EHI720904:EHI720922 EHI786440:EHI786458 EHI851976:EHI851994 EHI917512:EHI917530 EHI983048:EHI983066 ERE8:ERE26 ERE65544:ERE65562 ERE131080:ERE131098 ERE196616:ERE196634 ERE262152:ERE262170 ERE327688:ERE327706 ERE393224:ERE393242 ERE458760:ERE458778 ERE524296:ERE524314 ERE589832:ERE589850 ERE655368:ERE655386 ERE720904:ERE720922 ERE786440:ERE786458 ERE851976:ERE851994 ERE917512:ERE917530 ERE983048:ERE983066 FBA8:FBA26 FBA65544:FBA65562 FBA131080:FBA131098 FBA196616:FBA196634 FBA262152:FBA262170 FBA327688:FBA327706 FBA393224:FBA393242 FBA458760:FBA458778 FBA524296:FBA524314 FBA589832:FBA589850 FBA655368:FBA655386 FBA720904:FBA720922 FBA786440:FBA786458 FBA851976:FBA851994 FBA917512:FBA917530 FBA983048:FBA983066 FKW8:FKW26 FKW65544:FKW65562 FKW131080:FKW131098 FKW196616:FKW196634 FKW262152:FKW262170 FKW327688:FKW327706 FKW393224:FKW393242 FKW458760:FKW458778 FKW524296:FKW524314 FKW589832:FKW589850 FKW655368:FKW655386 FKW720904:FKW720922 FKW786440:FKW786458 FKW851976:FKW851994 FKW917512:FKW917530 FKW983048:FKW983066 FUS8:FUS26 FUS65544:FUS65562 FUS131080:FUS131098 FUS196616:FUS196634 FUS262152:FUS262170 FUS327688:FUS327706 FUS393224:FUS393242 FUS458760:FUS458778 FUS524296:FUS524314 FUS589832:FUS589850 FUS655368:FUS655386 FUS720904:FUS720922 FUS786440:FUS786458 FUS851976:FUS851994 FUS917512:FUS917530 FUS983048:FUS983066 GEO8:GEO26 GEO65544:GEO65562 GEO131080:GEO131098 GEO196616:GEO196634 GEO262152:GEO262170 GEO327688:GEO327706 GEO393224:GEO393242 GEO458760:GEO458778 GEO524296:GEO524314 GEO589832:GEO589850 GEO655368:GEO655386 GEO720904:GEO720922 GEO786440:GEO786458 GEO851976:GEO851994 GEO917512:GEO917530 GEO983048:GEO983066 GOK8:GOK26 GOK65544:GOK65562 GOK131080:GOK131098 GOK196616:GOK196634 GOK262152:GOK262170 GOK327688:GOK327706 GOK393224:GOK393242 GOK458760:GOK458778 GOK524296:GOK524314 GOK589832:GOK589850 GOK655368:GOK655386 GOK720904:GOK720922 GOK786440:GOK786458 GOK851976:GOK851994 GOK917512:GOK917530 GOK983048:GOK983066 GYG8:GYG26 GYG65544:GYG65562 GYG131080:GYG131098 GYG196616:GYG196634 GYG262152:GYG262170 GYG327688:GYG327706 GYG393224:GYG393242 GYG458760:GYG458778 GYG524296:GYG524314 GYG589832:GYG589850 GYG655368:GYG655386 GYG720904:GYG720922 GYG786440:GYG786458 GYG851976:GYG851994 GYG917512:GYG917530 GYG983048:GYG983066 HIC8:HIC26 HIC65544:HIC65562 HIC131080:HIC131098 HIC196616:HIC196634 HIC262152:HIC262170 HIC327688:HIC327706 HIC393224:HIC393242 HIC458760:HIC458778 HIC524296:HIC524314 HIC589832:HIC589850 HIC655368:HIC655386 HIC720904:HIC720922 HIC786440:HIC786458 HIC851976:HIC851994 HIC917512:HIC917530 HIC983048:HIC983066 HRY8:HRY26 HRY65544:HRY65562 HRY131080:HRY131098 HRY196616:HRY196634 HRY262152:HRY262170 HRY327688:HRY327706 HRY393224:HRY393242 HRY458760:HRY458778 HRY524296:HRY524314 HRY589832:HRY589850 HRY655368:HRY655386 HRY720904:HRY720922 HRY786440:HRY786458 HRY851976:HRY851994 HRY917512:HRY917530 HRY983048:HRY983066 IBU8:IBU26 IBU65544:IBU65562 IBU131080:IBU131098 IBU196616:IBU196634 IBU262152:IBU262170 IBU327688:IBU327706 IBU393224:IBU393242 IBU458760:IBU458778 IBU524296:IBU524314 IBU589832:IBU589850 IBU655368:IBU655386 IBU720904:IBU720922 IBU786440:IBU786458 IBU851976:IBU851994 IBU917512:IBU917530 IBU983048:IBU983066 ILQ8:ILQ26 ILQ65544:ILQ65562 ILQ131080:ILQ131098 ILQ196616:ILQ196634 ILQ262152:ILQ262170 ILQ327688:ILQ327706 ILQ393224:ILQ393242 ILQ458760:ILQ458778 ILQ524296:ILQ524314 ILQ589832:ILQ589850 ILQ655368:ILQ655386 ILQ720904:ILQ720922 ILQ786440:ILQ786458 ILQ851976:ILQ851994 ILQ917512:ILQ917530 ILQ983048:ILQ983066 IVM8:IVM26 IVM65544:IVM65562 IVM131080:IVM131098 IVM196616:IVM196634 IVM262152:IVM262170 IVM327688:IVM327706 IVM393224:IVM393242 IVM458760:IVM458778 IVM524296:IVM524314 IVM589832:IVM589850 IVM655368:IVM655386 IVM720904:IVM720922 IVM786440:IVM786458 IVM851976:IVM851994 IVM917512:IVM917530 IVM983048:IVM983066 JFI8:JFI26 JFI65544:JFI65562 JFI131080:JFI131098 JFI196616:JFI196634 JFI262152:JFI262170 JFI327688:JFI327706 JFI393224:JFI393242 JFI458760:JFI458778 JFI524296:JFI524314 JFI589832:JFI589850 JFI655368:JFI655386 JFI720904:JFI720922 JFI786440:JFI786458 JFI851976:JFI851994 JFI917512:JFI917530 JFI983048:JFI983066 JPE8:JPE26 JPE65544:JPE65562 JPE131080:JPE131098 JPE196616:JPE196634 JPE262152:JPE262170 JPE327688:JPE327706 JPE393224:JPE393242 JPE458760:JPE458778 JPE524296:JPE524314 JPE589832:JPE589850 JPE655368:JPE655386 JPE720904:JPE720922 JPE786440:JPE786458 JPE851976:JPE851994 JPE917512:JPE917530 JPE983048:JPE983066 JZA8:JZA26 JZA65544:JZA65562 JZA131080:JZA131098 JZA196616:JZA196634 JZA262152:JZA262170 JZA327688:JZA327706 JZA393224:JZA393242 JZA458760:JZA458778 JZA524296:JZA524314 JZA589832:JZA589850 JZA655368:JZA655386 JZA720904:JZA720922 JZA786440:JZA786458 JZA851976:JZA851994 JZA917512:JZA917530 JZA983048:JZA983066 KIW8:KIW26 KIW65544:KIW65562 KIW131080:KIW131098 KIW196616:KIW196634 KIW262152:KIW262170 KIW327688:KIW327706 KIW393224:KIW393242 KIW458760:KIW458778 KIW524296:KIW524314 KIW589832:KIW589850 KIW655368:KIW655386 KIW720904:KIW720922 KIW786440:KIW786458 KIW851976:KIW851994 KIW917512:KIW917530 KIW983048:KIW983066 KSS8:KSS26 KSS65544:KSS65562 KSS131080:KSS131098 KSS196616:KSS196634 KSS262152:KSS262170 KSS327688:KSS327706 KSS393224:KSS393242 KSS458760:KSS458778 KSS524296:KSS524314 KSS589832:KSS589850 KSS655368:KSS655386 KSS720904:KSS720922 KSS786440:KSS786458 KSS851976:KSS851994 KSS917512:KSS917530 KSS983048:KSS983066 LCO8:LCO26 LCO65544:LCO65562 LCO131080:LCO131098 LCO196616:LCO196634 LCO262152:LCO262170 LCO327688:LCO327706 LCO393224:LCO393242 LCO458760:LCO458778 LCO524296:LCO524314 LCO589832:LCO589850 LCO655368:LCO655386 LCO720904:LCO720922 LCO786440:LCO786458 LCO851976:LCO851994 LCO917512:LCO917530 LCO983048:LCO983066 LMK8:LMK26 LMK65544:LMK65562 LMK131080:LMK131098 LMK196616:LMK196634 LMK262152:LMK262170 LMK327688:LMK327706 LMK393224:LMK393242 LMK458760:LMK458778 LMK524296:LMK524314 LMK589832:LMK589850 LMK655368:LMK655386 LMK720904:LMK720922 LMK786440:LMK786458 LMK851976:LMK851994 LMK917512:LMK917530 LMK983048:LMK983066 LWG8:LWG26 LWG65544:LWG65562 LWG131080:LWG131098 LWG196616:LWG196634 LWG262152:LWG262170 LWG327688:LWG327706 LWG393224:LWG393242 LWG458760:LWG458778 LWG524296:LWG524314 LWG589832:LWG589850 LWG655368:LWG655386 LWG720904:LWG720922 LWG786440:LWG786458 LWG851976:LWG851994 LWG917512:LWG917530 LWG983048:LWG983066 MGC8:MGC26 MGC65544:MGC65562 MGC131080:MGC131098 MGC196616:MGC196634 MGC262152:MGC262170 MGC327688:MGC327706 MGC393224:MGC393242 MGC458760:MGC458778 MGC524296:MGC524314 MGC589832:MGC589850 MGC655368:MGC655386 MGC720904:MGC720922 MGC786440:MGC786458 MGC851976:MGC851994 MGC917512:MGC917530 MGC983048:MGC983066 MPY8:MPY26 MPY65544:MPY65562 MPY131080:MPY131098 MPY196616:MPY196634 MPY262152:MPY262170 MPY327688:MPY327706 MPY393224:MPY393242 MPY458760:MPY458778 MPY524296:MPY524314 MPY589832:MPY589850 MPY655368:MPY655386 MPY720904:MPY720922 MPY786440:MPY786458 MPY851976:MPY851994 MPY917512:MPY917530 MPY983048:MPY983066 MZU8:MZU26 MZU65544:MZU65562 MZU131080:MZU131098 MZU196616:MZU196634 MZU262152:MZU262170 MZU327688:MZU327706 MZU393224:MZU393242 MZU458760:MZU458778 MZU524296:MZU524314 MZU589832:MZU589850 MZU655368:MZU655386 MZU720904:MZU720922 MZU786440:MZU786458 MZU851976:MZU851994 MZU917512:MZU917530 MZU983048:MZU983066 NJQ8:NJQ26 NJQ65544:NJQ65562 NJQ131080:NJQ131098 NJQ196616:NJQ196634 NJQ262152:NJQ262170 NJQ327688:NJQ327706 NJQ393224:NJQ393242 NJQ458760:NJQ458778 NJQ524296:NJQ524314 NJQ589832:NJQ589850 NJQ655368:NJQ655386 NJQ720904:NJQ720922 NJQ786440:NJQ786458 NJQ851976:NJQ851994 NJQ917512:NJQ917530 NJQ983048:NJQ983066 NTM8:NTM26 NTM65544:NTM65562 NTM131080:NTM131098 NTM196616:NTM196634 NTM262152:NTM262170 NTM327688:NTM327706 NTM393224:NTM393242 NTM458760:NTM458778 NTM524296:NTM524314 NTM589832:NTM589850 NTM655368:NTM655386 NTM720904:NTM720922 NTM786440:NTM786458 NTM851976:NTM851994 NTM917512:NTM917530 NTM983048:NTM983066 ODI8:ODI26 ODI65544:ODI65562 ODI131080:ODI131098 ODI196616:ODI196634 ODI262152:ODI262170 ODI327688:ODI327706 ODI393224:ODI393242 ODI458760:ODI458778 ODI524296:ODI524314 ODI589832:ODI589850 ODI655368:ODI655386 ODI720904:ODI720922 ODI786440:ODI786458 ODI851976:ODI851994 ODI917512:ODI917530 ODI983048:ODI983066 ONE8:ONE26 ONE65544:ONE65562 ONE131080:ONE131098 ONE196616:ONE196634 ONE262152:ONE262170 ONE327688:ONE327706 ONE393224:ONE393242 ONE458760:ONE458778 ONE524296:ONE524314 ONE589832:ONE589850 ONE655368:ONE655386 ONE720904:ONE720922 ONE786440:ONE786458 ONE851976:ONE851994 ONE917512:ONE917530 ONE983048:ONE983066 OXA8:OXA26 OXA65544:OXA65562 OXA131080:OXA131098 OXA196616:OXA196634 OXA262152:OXA262170 OXA327688:OXA327706 OXA393224:OXA393242 OXA458760:OXA458778 OXA524296:OXA524314 OXA589832:OXA589850 OXA655368:OXA655386 OXA720904:OXA720922 OXA786440:OXA786458 OXA851976:OXA851994 OXA917512:OXA917530 OXA983048:OXA983066 PGW8:PGW26 PGW65544:PGW65562 PGW131080:PGW131098 PGW196616:PGW196634 PGW262152:PGW262170 PGW327688:PGW327706 PGW393224:PGW393242 PGW458760:PGW458778 PGW524296:PGW524314 PGW589832:PGW589850 PGW655368:PGW655386 PGW720904:PGW720922 PGW786440:PGW786458 PGW851976:PGW851994 PGW917512:PGW917530 PGW983048:PGW983066 PQS8:PQS26 PQS65544:PQS65562 PQS131080:PQS131098 PQS196616:PQS196634 PQS262152:PQS262170 PQS327688:PQS327706 PQS393224:PQS393242 PQS458760:PQS458778 PQS524296:PQS524314 PQS589832:PQS589850 PQS655368:PQS655386 PQS720904:PQS720922 PQS786440:PQS786458 PQS851976:PQS851994 PQS917512:PQS917530 PQS983048:PQS983066 QAO8:QAO26 QAO65544:QAO65562 QAO131080:QAO131098 QAO196616:QAO196634 QAO262152:QAO262170 QAO327688:QAO327706 QAO393224:QAO393242 QAO458760:QAO458778 QAO524296:QAO524314 QAO589832:QAO589850 QAO655368:QAO655386 QAO720904:QAO720922 QAO786440:QAO786458 QAO851976:QAO851994 QAO917512:QAO917530 QAO983048:QAO983066 QKK8:QKK26 QKK65544:QKK65562 QKK131080:QKK131098 QKK196616:QKK196634 QKK262152:QKK262170 QKK327688:QKK327706 QKK393224:QKK393242 QKK458760:QKK458778 QKK524296:QKK524314 QKK589832:QKK589850 QKK655368:QKK655386 QKK720904:QKK720922 QKK786440:QKK786458 QKK851976:QKK851994 QKK917512:QKK917530 QKK983048:QKK983066 QUG8:QUG26 QUG65544:QUG65562 QUG131080:QUG131098 QUG196616:QUG196634 QUG262152:QUG262170 QUG327688:QUG327706 QUG393224:QUG393242 QUG458760:QUG458778 QUG524296:QUG524314 QUG589832:QUG589850 QUG655368:QUG655386 QUG720904:QUG720922 QUG786440:QUG786458 QUG851976:QUG851994 QUG917512:QUG917530 QUG983048:QUG983066 REC8:REC26 REC65544:REC65562 REC131080:REC131098 REC196616:REC196634 REC262152:REC262170 REC327688:REC327706 REC393224:REC393242 REC458760:REC458778 REC524296:REC524314 REC589832:REC589850 REC655368:REC655386 REC720904:REC720922 REC786440:REC786458 REC851976:REC851994 REC917512:REC917530 REC983048:REC983066 RNY8:RNY26 RNY65544:RNY65562 RNY131080:RNY131098 RNY196616:RNY196634 RNY262152:RNY262170 RNY327688:RNY327706 RNY393224:RNY393242 RNY458760:RNY458778 RNY524296:RNY524314 RNY589832:RNY589850 RNY655368:RNY655386 RNY720904:RNY720922 RNY786440:RNY786458 RNY851976:RNY851994 RNY917512:RNY917530 RNY983048:RNY983066 RXU8:RXU26 RXU65544:RXU65562 RXU131080:RXU131098 RXU196616:RXU196634 RXU262152:RXU262170 RXU327688:RXU327706 RXU393224:RXU393242 RXU458760:RXU458778 RXU524296:RXU524314 RXU589832:RXU589850 RXU655368:RXU655386 RXU720904:RXU720922 RXU786440:RXU786458 RXU851976:RXU851994 RXU917512:RXU917530 RXU983048:RXU983066 SHQ8:SHQ26 SHQ65544:SHQ65562 SHQ131080:SHQ131098 SHQ196616:SHQ196634 SHQ262152:SHQ262170 SHQ327688:SHQ327706 SHQ393224:SHQ393242 SHQ458760:SHQ458778 SHQ524296:SHQ524314 SHQ589832:SHQ589850 SHQ655368:SHQ655386 SHQ720904:SHQ720922 SHQ786440:SHQ786458 SHQ851976:SHQ851994 SHQ917512:SHQ917530 SHQ983048:SHQ983066 SRM8:SRM26 SRM65544:SRM65562 SRM131080:SRM131098 SRM196616:SRM196634 SRM262152:SRM262170 SRM327688:SRM327706 SRM393224:SRM393242 SRM458760:SRM458778 SRM524296:SRM524314 SRM589832:SRM589850 SRM655368:SRM655386 SRM720904:SRM720922 SRM786440:SRM786458 SRM851976:SRM851994 SRM917512:SRM917530 SRM983048:SRM983066 TBI8:TBI26 TBI65544:TBI65562 TBI131080:TBI131098 TBI196616:TBI196634 TBI262152:TBI262170 TBI327688:TBI327706 TBI393224:TBI393242 TBI458760:TBI458778 TBI524296:TBI524314 TBI589832:TBI589850 TBI655368:TBI655386 TBI720904:TBI720922 TBI786440:TBI786458 TBI851976:TBI851994 TBI917512:TBI917530 TBI983048:TBI983066 TLE8:TLE26 TLE65544:TLE65562 TLE131080:TLE131098 TLE196616:TLE196634 TLE262152:TLE262170 TLE327688:TLE327706 TLE393224:TLE393242 TLE458760:TLE458778 TLE524296:TLE524314 TLE589832:TLE589850 TLE655368:TLE655386 TLE720904:TLE720922 TLE786440:TLE786458 TLE851976:TLE851994 TLE917512:TLE917530 TLE983048:TLE983066 TVA8:TVA26 TVA65544:TVA65562 TVA131080:TVA131098 TVA196616:TVA196634 TVA262152:TVA262170 TVA327688:TVA327706 TVA393224:TVA393242 TVA458760:TVA458778 TVA524296:TVA524314 TVA589832:TVA589850 TVA655368:TVA655386 TVA720904:TVA720922 TVA786440:TVA786458 TVA851976:TVA851994 TVA917512:TVA917530 TVA983048:TVA983066 UEW8:UEW26 UEW65544:UEW65562 UEW131080:UEW131098 UEW196616:UEW196634 UEW262152:UEW262170 UEW327688:UEW327706 UEW393224:UEW393242 UEW458760:UEW458778 UEW524296:UEW524314 UEW589832:UEW589850 UEW655368:UEW655386 UEW720904:UEW720922 UEW786440:UEW786458 UEW851976:UEW851994 UEW917512:UEW917530 UEW983048:UEW983066 UOS8:UOS26 UOS65544:UOS65562 UOS131080:UOS131098 UOS196616:UOS196634 UOS262152:UOS262170 UOS327688:UOS327706 UOS393224:UOS393242 UOS458760:UOS458778 UOS524296:UOS524314 UOS589832:UOS589850 UOS655368:UOS655386 UOS720904:UOS720922 UOS786440:UOS786458 UOS851976:UOS851994 UOS917512:UOS917530 UOS983048:UOS983066 UYO8:UYO26 UYO65544:UYO65562 UYO131080:UYO131098 UYO196616:UYO196634 UYO262152:UYO262170 UYO327688:UYO327706 UYO393224:UYO393242 UYO458760:UYO458778 UYO524296:UYO524314 UYO589832:UYO589850 UYO655368:UYO655386 UYO720904:UYO720922 UYO786440:UYO786458 UYO851976:UYO851994 UYO917512:UYO917530 UYO983048:UYO983066 VIK8:VIK26 VIK65544:VIK65562 VIK131080:VIK131098 VIK196616:VIK196634 VIK262152:VIK262170 VIK327688:VIK327706 VIK393224:VIK393242 VIK458760:VIK458778 VIK524296:VIK524314 VIK589832:VIK589850 VIK655368:VIK655386 VIK720904:VIK720922 VIK786440:VIK786458 VIK851976:VIK851994 VIK917512:VIK917530 VIK983048:VIK983066 VSG8:VSG26 VSG65544:VSG65562 VSG131080:VSG131098 VSG196616:VSG196634 VSG262152:VSG262170 VSG327688:VSG327706 VSG393224:VSG393242 VSG458760:VSG458778 VSG524296:VSG524314 VSG589832:VSG589850 VSG655368:VSG655386 VSG720904:VSG720922 VSG786440:VSG786458 VSG851976:VSG851994 VSG917512:VSG917530 VSG983048:VSG983066 WCC8:WCC26 WCC65544:WCC65562 WCC131080:WCC131098 WCC196616:WCC196634 WCC262152:WCC262170 WCC327688:WCC327706 WCC393224:WCC393242 WCC458760:WCC458778 WCC524296:WCC524314 WCC589832:WCC589850 WCC655368:WCC655386 WCC720904:WCC720922 WCC786440:WCC786458 WCC851976:WCC851994 WCC917512:WCC917530 WCC983048:WCC983066 WLY8:WLY26 WLY65544:WLY65562 WLY131080:WLY131098 WLY196616:WLY196634 WLY262152:WLY262170 WLY327688:WLY327706 WLY393224:WLY393242 WLY458760:WLY458778 WLY524296:WLY524314 WLY589832:WLY589850 WLY655368:WLY655386 WLY720904:WLY720922 WLY786440:WLY786458 WLY851976:WLY851994 WLY917512:WLY917530 WLY983048:WLY983066 WVU8:WVU26 WVU65544:WVU65562 WVU131080:WVU131098 WVU196616:WVU196634 WVU262152:WVU262170 WVU327688:WVU327706 WVU393224:WVU393242 WVU458760:WVU458778 WVU524296:WVU524314 WVU589832:WVU589850 WVU655368:WVU655386 WVU720904:WVU720922 WVU786440:WVU786458 WVU851976:WVU851994 WVU917512:WVU917530 WVU983048:WVU983066" xr:uid="{00000000-0002-0000-0900-000017000000}"/>
    <dataValidation allowBlank="1" showInputMessage="1" showErrorMessage="1" promptTitle="Pedigree Matrix (Sample Size)" prompt="See the ecoinvent names list (sheet &quot;pedigree&quot;) for a detailed explanation on the fields and the numbers._x000a__x000a_1: aggregated figure from &gt;100 samples (e.g. continuous measurements)_x000a_2: &gt;20_x000a_3: &gt;10, aggregated figure in env. report_x000a_4: &gt;=3_x000a_5: unknown" sqref="W2 W8:W12 W65538 W65544:W65548 W131074 W131080:W131084 W196610 W196616:W196620 W262146 W262152:W262156 W327682 W327688:W327692 W393218 W393224:W393228 W458754 W458760:W458764 W524290 W524296:W524300 W589826 W589832:W589836 W655362 W655368:W655372 W720898 W720904:W720908 W786434 W786440:W786444 W851970 W851976:W851980 W917506 W917512:W917516 W983042 W983048:W983052 JS2 JS8:JS12 JS65538 JS65544:JS65548 JS131074 JS131080:JS131084 JS196610 JS196616:JS196620 JS262146 JS262152:JS262156 JS327682 JS327688:JS327692 JS393218 JS393224:JS393228 JS458754 JS458760:JS458764 JS524290 JS524296:JS524300 JS589826 JS589832:JS589836 JS655362 JS655368:JS655372 JS720898 JS720904:JS720908 JS786434 JS786440:JS786444 JS851970 JS851976:JS851980 JS917506 JS917512:JS917516 JS983042 JS983048:JS983052 TO2 TO8:TO12 TO65538 TO65544:TO65548 TO131074 TO131080:TO131084 TO196610 TO196616:TO196620 TO262146 TO262152:TO262156 TO327682 TO327688:TO327692 TO393218 TO393224:TO393228 TO458754 TO458760:TO458764 TO524290 TO524296:TO524300 TO589826 TO589832:TO589836 TO655362 TO655368:TO655372 TO720898 TO720904:TO720908 TO786434 TO786440:TO786444 TO851970 TO851976:TO851980 TO917506 TO917512:TO917516 TO983042 TO983048:TO983052 ADK2 ADK8:ADK12 ADK65538 ADK65544:ADK65548 ADK131074 ADK131080:ADK131084 ADK196610 ADK196616:ADK196620 ADK262146 ADK262152:ADK262156 ADK327682 ADK327688:ADK327692 ADK393218 ADK393224:ADK393228 ADK458754 ADK458760:ADK458764 ADK524290 ADK524296:ADK524300 ADK589826 ADK589832:ADK589836 ADK655362 ADK655368:ADK655372 ADK720898 ADK720904:ADK720908 ADK786434 ADK786440:ADK786444 ADK851970 ADK851976:ADK851980 ADK917506 ADK917512:ADK917516 ADK983042 ADK983048:ADK983052 ANG2 ANG8:ANG12 ANG65538 ANG65544:ANG65548 ANG131074 ANG131080:ANG131084 ANG196610 ANG196616:ANG196620 ANG262146 ANG262152:ANG262156 ANG327682 ANG327688:ANG327692 ANG393218 ANG393224:ANG393228 ANG458754 ANG458760:ANG458764 ANG524290 ANG524296:ANG524300 ANG589826 ANG589832:ANG589836 ANG655362 ANG655368:ANG655372 ANG720898 ANG720904:ANG720908 ANG786434 ANG786440:ANG786444 ANG851970 ANG851976:ANG851980 ANG917506 ANG917512:ANG917516 ANG983042 ANG983048:ANG983052 AXC2 AXC8:AXC12 AXC65538 AXC65544:AXC65548 AXC131074 AXC131080:AXC131084 AXC196610 AXC196616:AXC196620 AXC262146 AXC262152:AXC262156 AXC327682 AXC327688:AXC327692 AXC393218 AXC393224:AXC393228 AXC458754 AXC458760:AXC458764 AXC524290 AXC524296:AXC524300 AXC589826 AXC589832:AXC589836 AXC655362 AXC655368:AXC655372 AXC720898 AXC720904:AXC720908 AXC786434 AXC786440:AXC786444 AXC851970 AXC851976:AXC851980 AXC917506 AXC917512:AXC917516 AXC983042 AXC983048:AXC983052 BGY2 BGY8:BGY12 BGY65538 BGY65544:BGY65548 BGY131074 BGY131080:BGY131084 BGY196610 BGY196616:BGY196620 BGY262146 BGY262152:BGY262156 BGY327682 BGY327688:BGY327692 BGY393218 BGY393224:BGY393228 BGY458754 BGY458760:BGY458764 BGY524290 BGY524296:BGY524300 BGY589826 BGY589832:BGY589836 BGY655362 BGY655368:BGY655372 BGY720898 BGY720904:BGY720908 BGY786434 BGY786440:BGY786444 BGY851970 BGY851976:BGY851980 BGY917506 BGY917512:BGY917516 BGY983042 BGY983048:BGY983052 BQU2 BQU8:BQU12 BQU65538 BQU65544:BQU65548 BQU131074 BQU131080:BQU131084 BQU196610 BQU196616:BQU196620 BQU262146 BQU262152:BQU262156 BQU327682 BQU327688:BQU327692 BQU393218 BQU393224:BQU393228 BQU458754 BQU458760:BQU458764 BQU524290 BQU524296:BQU524300 BQU589826 BQU589832:BQU589836 BQU655362 BQU655368:BQU655372 BQU720898 BQU720904:BQU720908 BQU786434 BQU786440:BQU786444 BQU851970 BQU851976:BQU851980 BQU917506 BQU917512:BQU917516 BQU983042 BQU983048:BQU983052 CAQ2 CAQ8:CAQ12 CAQ65538 CAQ65544:CAQ65548 CAQ131074 CAQ131080:CAQ131084 CAQ196610 CAQ196616:CAQ196620 CAQ262146 CAQ262152:CAQ262156 CAQ327682 CAQ327688:CAQ327692 CAQ393218 CAQ393224:CAQ393228 CAQ458754 CAQ458760:CAQ458764 CAQ524290 CAQ524296:CAQ524300 CAQ589826 CAQ589832:CAQ589836 CAQ655362 CAQ655368:CAQ655372 CAQ720898 CAQ720904:CAQ720908 CAQ786434 CAQ786440:CAQ786444 CAQ851970 CAQ851976:CAQ851980 CAQ917506 CAQ917512:CAQ917516 CAQ983042 CAQ983048:CAQ983052 CKM2 CKM8:CKM12 CKM65538 CKM65544:CKM65548 CKM131074 CKM131080:CKM131084 CKM196610 CKM196616:CKM196620 CKM262146 CKM262152:CKM262156 CKM327682 CKM327688:CKM327692 CKM393218 CKM393224:CKM393228 CKM458754 CKM458760:CKM458764 CKM524290 CKM524296:CKM524300 CKM589826 CKM589832:CKM589836 CKM655362 CKM655368:CKM655372 CKM720898 CKM720904:CKM720908 CKM786434 CKM786440:CKM786444 CKM851970 CKM851976:CKM851980 CKM917506 CKM917512:CKM917516 CKM983042 CKM983048:CKM983052 CUI2 CUI8:CUI12 CUI65538 CUI65544:CUI65548 CUI131074 CUI131080:CUI131084 CUI196610 CUI196616:CUI196620 CUI262146 CUI262152:CUI262156 CUI327682 CUI327688:CUI327692 CUI393218 CUI393224:CUI393228 CUI458754 CUI458760:CUI458764 CUI524290 CUI524296:CUI524300 CUI589826 CUI589832:CUI589836 CUI655362 CUI655368:CUI655372 CUI720898 CUI720904:CUI720908 CUI786434 CUI786440:CUI786444 CUI851970 CUI851976:CUI851980 CUI917506 CUI917512:CUI917516 CUI983042 CUI983048:CUI983052 DEE2 DEE8:DEE12 DEE65538 DEE65544:DEE65548 DEE131074 DEE131080:DEE131084 DEE196610 DEE196616:DEE196620 DEE262146 DEE262152:DEE262156 DEE327682 DEE327688:DEE327692 DEE393218 DEE393224:DEE393228 DEE458754 DEE458760:DEE458764 DEE524290 DEE524296:DEE524300 DEE589826 DEE589832:DEE589836 DEE655362 DEE655368:DEE655372 DEE720898 DEE720904:DEE720908 DEE786434 DEE786440:DEE786444 DEE851970 DEE851976:DEE851980 DEE917506 DEE917512:DEE917516 DEE983042 DEE983048:DEE983052 DOA2 DOA8:DOA12 DOA65538 DOA65544:DOA65548 DOA131074 DOA131080:DOA131084 DOA196610 DOA196616:DOA196620 DOA262146 DOA262152:DOA262156 DOA327682 DOA327688:DOA327692 DOA393218 DOA393224:DOA393228 DOA458754 DOA458760:DOA458764 DOA524290 DOA524296:DOA524300 DOA589826 DOA589832:DOA589836 DOA655362 DOA655368:DOA655372 DOA720898 DOA720904:DOA720908 DOA786434 DOA786440:DOA786444 DOA851970 DOA851976:DOA851980 DOA917506 DOA917512:DOA917516 DOA983042 DOA983048:DOA983052 DXW2 DXW8:DXW12 DXW65538 DXW65544:DXW65548 DXW131074 DXW131080:DXW131084 DXW196610 DXW196616:DXW196620 DXW262146 DXW262152:DXW262156 DXW327682 DXW327688:DXW327692 DXW393218 DXW393224:DXW393228 DXW458754 DXW458760:DXW458764 DXW524290 DXW524296:DXW524300 DXW589826 DXW589832:DXW589836 DXW655362 DXW655368:DXW655372 DXW720898 DXW720904:DXW720908 DXW786434 DXW786440:DXW786444 DXW851970 DXW851976:DXW851980 DXW917506 DXW917512:DXW917516 DXW983042 DXW983048:DXW983052 EHS2 EHS8:EHS12 EHS65538 EHS65544:EHS65548 EHS131074 EHS131080:EHS131084 EHS196610 EHS196616:EHS196620 EHS262146 EHS262152:EHS262156 EHS327682 EHS327688:EHS327692 EHS393218 EHS393224:EHS393228 EHS458754 EHS458760:EHS458764 EHS524290 EHS524296:EHS524300 EHS589826 EHS589832:EHS589836 EHS655362 EHS655368:EHS655372 EHS720898 EHS720904:EHS720908 EHS786434 EHS786440:EHS786444 EHS851970 EHS851976:EHS851980 EHS917506 EHS917512:EHS917516 EHS983042 EHS983048:EHS983052 ERO2 ERO8:ERO12 ERO65538 ERO65544:ERO65548 ERO131074 ERO131080:ERO131084 ERO196610 ERO196616:ERO196620 ERO262146 ERO262152:ERO262156 ERO327682 ERO327688:ERO327692 ERO393218 ERO393224:ERO393228 ERO458754 ERO458760:ERO458764 ERO524290 ERO524296:ERO524300 ERO589826 ERO589832:ERO589836 ERO655362 ERO655368:ERO655372 ERO720898 ERO720904:ERO720908 ERO786434 ERO786440:ERO786444 ERO851970 ERO851976:ERO851980 ERO917506 ERO917512:ERO917516 ERO983042 ERO983048:ERO983052 FBK2 FBK8:FBK12 FBK65538 FBK65544:FBK65548 FBK131074 FBK131080:FBK131084 FBK196610 FBK196616:FBK196620 FBK262146 FBK262152:FBK262156 FBK327682 FBK327688:FBK327692 FBK393218 FBK393224:FBK393228 FBK458754 FBK458760:FBK458764 FBK524290 FBK524296:FBK524300 FBK589826 FBK589832:FBK589836 FBK655362 FBK655368:FBK655372 FBK720898 FBK720904:FBK720908 FBK786434 FBK786440:FBK786444 FBK851970 FBK851976:FBK851980 FBK917506 FBK917512:FBK917516 FBK983042 FBK983048:FBK983052 FLG2 FLG8:FLG12 FLG65538 FLG65544:FLG65548 FLG131074 FLG131080:FLG131084 FLG196610 FLG196616:FLG196620 FLG262146 FLG262152:FLG262156 FLG327682 FLG327688:FLG327692 FLG393218 FLG393224:FLG393228 FLG458754 FLG458760:FLG458764 FLG524290 FLG524296:FLG524300 FLG589826 FLG589832:FLG589836 FLG655362 FLG655368:FLG655372 FLG720898 FLG720904:FLG720908 FLG786434 FLG786440:FLG786444 FLG851970 FLG851976:FLG851980 FLG917506 FLG917512:FLG917516 FLG983042 FLG983048:FLG983052 FVC2 FVC8:FVC12 FVC65538 FVC65544:FVC65548 FVC131074 FVC131080:FVC131084 FVC196610 FVC196616:FVC196620 FVC262146 FVC262152:FVC262156 FVC327682 FVC327688:FVC327692 FVC393218 FVC393224:FVC393228 FVC458754 FVC458760:FVC458764 FVC524290 FVC524296:FVC524300 FVC589826 FVC589832:FVC589836 FVC655362 FVC655368:FVC655372 FVC720898 FVC720904:FVC720908 FVC786434 FVC786440:FVC786444 FVC851970 FVC851976:FVC851980 FVC917506 FVC917512:FVC917516 FVC983042 FVC983048:FVC983052 GEY2 GEY8:GEY12 GEY65538 GEY65544:GEY65548 GEY131074 GEY131080:GEY131084 GEY196610 GEY196616:GEY196620 GEY262146 GEY262152:GEY262156 GEY327682 GEY327688:GEY327692 GEY393218 GEY393224:GEY393228 GEY458754 GEY458760:GEY458764 GEY524290 GEY524296:GEY524300 GEY589826 GEY589832:GEY589836 GEY655362 GEY655368:GEY655372 GEY720898 GEY720904:GEY720908 GEY786434 GEY786440:GEY786444 GEY851970 GEY851976:GEY851980 GEY917506 GEY917512:GEY917516 GEY983042 GEY983048:GEY983052 GOU2 GOU8:GOU12 GOU65538 GOU65544:GOU65548 GOU131074 GOU131080:GOU131084 GOU196610 GOU196616:GOU196620 GOU262146 GOU262152:GOU262156 GOU327682 GOU327688:GOU327692 GOU393218 GOU393224:GOU393228 GOU458754 GOU458760:GOU458764 GOU524290 GOU524296:GOU524300 GOU589826 GOU589832:GOU589836 GOU655362 GOU655368:GOU655372 GOU720898 GOU720904:GOU720908 GOU786434 GOU786440:GOU786444 GOU851970 GOU851976:GOU851980 GOU917506 GOU917512:GOU917516 GOU983042 GOU983048:GOU983052 GYQ2 GYQ8:GYQ12 GYQ65538 GYQ65544:GYQ65548 GYQ131074 GYQ131080:GYQ131084 GYQ196610 GYQ196616:GYQ196620 GYQ262146 GYQ262152:GYQ262156 GYQ327682 GYQ327688:GYQ327692 GYQ393218 GYQ393224:GYQ393228 GYQ458754 GYQ458760:GYQ458764 GYQ524290 GYQ524296:GYQ524300 GYQ589826 GYQ589832:GYQ589836 GYQ655362 GYQ655368:GYQ655372 GYQ720898 GYQ720904:GYQ720908 GYQ786434 GYQ786440:GYQ786444 GYQ851970 GYQ851976:GYQ851980 GYQ917506 GYQ917512:GYQ917516 GYQ983042 GYQ983048:GYQ983052 HIM2 HIM8:HIM12 HIM65538 HIM65544:HIM65548 HIM131074 HIM131080:HIM131084 HIM196610 HIM196616:HIM196620 HIM262146 HIM262152:HIM262156 HIM327682 HIM327688:HIM327692 HIM393218 HIM393224:HIM393228 HIM458754 HIM458760:HIM458764 HIM524290 HIM524296:HIM524300 HIM589826 HIM589832:HIM589836 HIM655362 HIM655368:HIM655372 HIM720898 HIM720904:HIM720908 HIM786434 HIM786440:HIM786444 HIM851970 HIM851976:HIM851980 HIM917506 HIM917512:HIM917516 HIM983042 HIM983048:HIM983052 HSI2 HSI8:HSI12 HSI65538 HSI65544:HSI65548 HSI131074 HSI131080:HSI131084 HSI196610 HSI196616:HSI196620 HSI262146 HSI262152:HSI262156 HSI327682 HSI327688:HSI327692 HSI393218 HSI393224:HSI393228 HSI458754 HSI458760:HSI458764 HSI524290 HSI524296:HSI524300 HSI589826 HSI589832:HSI589836 HSI655362 HSI655368:HSI655372 HSI720898 HSI720904:HSI720908 HSI786434 HSI786440:HSI786444 HSI851970 HSI851976:HSI851980 HSI917506 HSI917512:HSI917516 HSI983042 HSI983048:HSI983052 ICE2 ICE8:ICE12 ICE65538 ICE65544:ICE65548 ICE131074 ICE131080:ICE131084 ICE196610 ICE196616:ICE196620 ICE262146 ICE262152:ICE262156 ICE327682 ICE327688:ICE327692 ICE393218 ICE393224:ICE393228 ICE458754 ICE458760:ICE458764 ICE524290 ICE524296:ICE524300 ICE589826 ICE589832:ICE589836 ICE655362 ICE655368:ICE655372 ICE720898 ICE720904:ICE720908 ICE786434 ICE786440:ICE786444 ICE851970 ICE851976:ICE851980 ICE917506 ICE917512:ICE917516 ICE983042 ICE983048:ICE983052 IMA2 IMA8:IMA12 IMA65538 IMA65544:IMA65548 IMA131074 IMA131080:IMA131084 IMA196610 IMA196616:IMA196620 IMA262146 IMA262152:IMA262156 IMA327682 IMA327688:IMA327692 IMA393218 IMA393224:IMA393228 IMA458754 IMA458760:IMA458764 IMA524290 IMA524296:IMA524300 IMA589826 IMA589832:IMA589836 IMA655362 IMA655368:IMA655372 IMA720898 IMA720904:IMA720908 IMA786434 IMA786440:IMA786444 IMA851970 IMA851976:IMA851980 IMA917506 IMA917512:IMA917516 IMA983042 IMA983048:IMA983052 IVW2 IVW8:IVW12 IVW65538 IVW65544:IVW65548 IVW131074 IVW131080:IVW131084 IVW196610 IVW196616:IVW196620 IVW262146 IVW262152:IVW262156 IVW327682 IVW327688:IVW327692 IVW393218 IVW393224:IVW393228 IVW458754 IVW458760:IVW458764 IVW524290 IVW524296:IVW524300 IVW589826 IVW589832:IVW589836 IVW655362 IVW655368:IVW655372 IVW720898 IVW720904:IVW720908 IVW786434 IVW786440:IVW786444 IVW851970 IVW851976:IVW851980 IVW917506 IVW917512:IVW917516 IVW983042 IVW983048:IVW983052 JFS2 JFS8:JFS12 JFS65538 JFS65544:JFS65548 JFS131074 JFS131080:JFS131084 JFS196610 JFS196616:JFS196620 JFS262146 JFS262152:JFS262156 JFS327682 JFS327688:JFS327692 JFS393218 JFS393224:JFS393228 JFS458754 JFS458760:JFS458764 JFS524290 JFS524296:JFS524300 JFS589826 JFS589832:JFS589836 JFS655362 JFS655368:JFS655372 JFS720898 JFS720904:JFS720908 JFS786434 JFS786440:JFS786444 JFS851970 JFS851976:JFS851980 JFS917506 JFS917512:JFS917516 JFS983042 JFS983048:JFS983052 JPO2 JPO8:JPO12 JPO65538 JPO65544:JPO65548 JPO131074 JPO131080:JPO131084 JPO196610 JPO196616:JPO196620 JPO262146 JPO262152:JPO262156 JPO327682 JPO327688:JPO327692 JPO393218 JPO393224:JPO393228 JPO458754 JPO458760:JPO458764 JPO524290 JPO524296:JPO524300 JPO589826 JPO589832:JPO589836 JPO655362 JPO655368:JPO655372 JPO720898 JPO720904:JPO720908 JPO786434 JPO786440:JPO786444 JPO851970 JPO851976:JPO851980 JPO917506 JPO917512:JPO917516 JPO983042 JPO983048:JPO983052 JZK2 JZK8:JZK12 JZK65538 JZK65544:JZK65548 JZK131074 JZK131080:JZK131084 JZK196610 JZK196616:JZK196620 JZK262146 JZK262152:JZK262156 JZK327682 JZK327688:JZK327692 JZK393218 JZK393224:JZK393228 JZK458754 JZK458760:JZK458764 JZK524290 JZK524296:JZK524300 JZK589826 JZK589832:JZK589836 JZK655362 JZK655368:JZK655372 JZK720898 JZK720904:JZK720908 JZK786434 JZK786440:JZK786444 JZK851970 JZK851976:JZK851980 JZK917506 JZK917512:JZK917516 JZK983042 JZK983048:JZK983052 KJG2 KJG8:KJG12 KJG65538 KJG65544:KJG65548 KJG131074 KJG131080:KJG131084 KJG196610 KJG196616:KJG196620 KJG262146 KJG262152:KJG262156 KJG327682 KJG327688:KJG327692 KJG393218 KJG393224:KJG393228 KJG458754 KJG458760:KJG458764 KJG524290 KJG524296:KJG524300 KJG589826 KJG589832:KJG589836 KJG655362 KJG655368:KJG655372 KJG720898 KJG720904:KJG720908 KJG786434 KJG786440:KJG786444 KJG851970 KJG851976:KJG851980 KJG917506 KJG917512:KJG917516 KJG983042 KJG983048:KJG983052 KTC2 KTC8:KTC12 KTC65538 KTC65544:KTC65548 KTC131074 KTC131080:KTC131084 KTC196610 KTC196616:KTC196620 KTC262146 KTC262152:KTC262156 KTC327682 KTC327688:KTC327692 KTC393218 KTC393224:KTC393228 KTC458754 KTC458760:KTC458764 KTC524290 KTC524296:KTC524300 KTC589826 KTC589832:KTC589836 KTC655362 KTC655368:KTC655372 KTC720898 KTC720904:KTC720908 KTC786434 KTC786440:KTC786444 KTC851970 KTC851976:KTC851980 KTC917506 KTC917512:KTC917516 KTC983042 KTC983048:KTC983052 LCY2 LCY8:LCY12 LCY65538 LCY65544:LCY65548 LCY131074 LCY131080:LCY131084 LCY196610 LCY196616:LCY196620 LCY262146 LCY262152:LCY262156 LCY327682 LCY327688:LCY327692 LCY393218 LCY393224:LCY393228 LCY458754 LCY458760:LCY458764 LCY524290 LCY524296:LCY524300 LCY589826 LCY589832:LCY589836 LCY655362 LCY655368:LCY655372 LCY720898 LCY720904:LCY720908 LCY786434 LCY786440:LCY786444 LCY851970 LCY851976:LCY851980 LCY917506 LCY917512:LCY917516 LCY983042 LCY983048:LCY983052 LMU2 LMU8:LMU12 LMU65538 LMU65544:LMU65548 LMU131074 LMU131080:LMU131084 LMU196610 LMU196616:LMU196620 LMU262146 LMU262152:LMU262156 LMU327682 LMU327688:LMU327692 LMU393218 LMU393224:LMU393228 LMU458754 LMU458760:LMU458764 LMU524290 LMU524296:LMU524300 LMU589826 LMU589832:LMU589836 LMU655362 LMU655368:LMU655372 LMU720898 LMU720904:LMU720908 LMU786434 LMU786440:LMU786444 LMU851970 LMU851976:LMU851980 LMU917506 LMU917512:LMU917516 LMU983042 LMU983048:LMU983052 LWQ2 LWQ8:LWQ12 LWQ65538 LWQ65544:LWQ65548 LWQ131074 LWQ131080:LWQ131084 LWQ196610 LWQ196616:LWQ196620 LWQ262146 LWQ262152:LWQ262156 LWQ327682 LWQ327688:LWQ327692 LWQ393218 LWQ393224:LWQ393228 LWQ458754 LWQ458760:LWQ458764 LWQ524290 LWQ524296:LWQ524300 LWQ589826 LWQ589832:LWQ589836 LWQ655362 LWQ655368:LWQ655372 LWQ720898 LWQ720904:LWQ720908 LWQ786434 LWQ786440:LWQ786444 LWQ851970 LWQ851976:LWQ851980 LWQ917506 LWQ917512:LWQ917516 LWQ983042 LWQ983048:LWQ983052 MGM2 MGM8:MGM12 MGM65538 MGM65544:MGM65548 MGM131074 MGM131080:MGM131084 MGM196610 MGM196616:MGM196620 MGM262146 MGM262152:MGM262156 MGM327682 MGM327688:MGM327692 MGM393218 MGM393224:MGM393228 MGM458754 MGM458760:MGM458764 MGM524290 MGM524296:MGM524300 MGM589826 MGM589832:MGM589836 MGM655362 MGM655368:MGM655372 MGM720898 MGM720904:MGM720908 MGM786434 MGM786440:MGM786444 MGM851970 MGM851976:MGM851980 MGM917506 MGM917512:MGM917516 MGM983042 MGM983048:MGM983052 MQI2 MQI8:MQI12 MQI65538 MQI65544:MQI65548 MQI131074 MQI131080:MQI131084 MQI196610 MQI196616:MQI196620 MQI262146 MQI262152:MQI262156 MQI327682 MQI327688:MQI327692 MQI393218 MQI393224:MQI393228 MQI458754 MQI458760:MQI458764 MQI524290 MQI524296:MQI524300 MQI589826 MQI589832:MQI589836 MQI655362 MQI655368:MQI655372 MQI720898 MQI720904:MQI720908 MQI786434 MQI786440:MQI786444 MQI851970 MQI851976:MQI851980 MQI917506 MQI917512:MQI917516 MQI983042 MQI983048:MQI983052 NAE2 NAE8:NAE12 NAE65538 NAE65544:NAE65548 NAE131074 NAE131080:NAE131084 NAE196610 NAE196616:NAE196620 NAE262146 NAE262152:NAE262156 NAE327682 NAE327688:NAE327692 NAE393218 NAE393224:NAE393228 NAE458754 NAE458760:NAE458764 NAE524290 NAE524296:NAE524300 NAE589826 NAE589832:NAE589836 NAE655362 NAE655368:NAE655372 NAE720898 NAE720904:NAE720908 NAE786434 NAE786440:NAE786444 NAE851970 NAE851976:NAE851980 NAE917506 NAE917512:NAE917516 NAE983042 NAE983048:NAE983052 NKA2 NKA8:NKA12 NKA65538 NKA65544:NKA65548 NKA131074 NKA131080:NKA131084 NKA196610 NKA196616:NKA196620 NKA262146 NKA262152:NKA262156 NKA327682 NKA327688:NKA327692 NKA393218 NKA393224:NKA393228 NKA458754 NKA458760:NKA458764 NKA524290 NKA524296:NKA524300 NKA589826 NKA589832:NKA589836 NKA655362 NKA655368:NKA655372 NKA720898 NKA720904:NKA720908 NKA786434 NKA786440:NKA786444 NKA851970 NKA851976:NKA851980 NKA917506 NKA917512:NKA917516 NKA983042 NKA983048:NKA983052 NTW2 NTW8:NTW12 NTW65538 NTW65544:NTW65548 NTW131074 NTW131080:NTW131084 NTW196610 NTW196616:NTW196620 NTW262146 NTW262152:NTW262156 NTW327682 NTW327688:NTW327692 NTW393218 NTW393224:NTW393228 NTW458754 NTW458760:NTW458764 NTW524290 NTW524296:NTW524300 NTW589826 NTW589832:NTW589836 NTW655362 NTW655368:NTW655372 NTW720898 NTW720904:NTW720908 NTW786434 NTW786440:NTW786444 NTW851970 NTW851976:NTW851980 NTW917506 NTW917512:NTW917516 NTW983042 NTW983048:NTW983052 ODS2 ODS8:ODS12 ODS65538 ODS65544:ODS65548 ODS131074 ODS131080:ODS131084 ODS196610 ODS196616:ODS196620 ODS262146 ODS262152:ODS262156 ODS327682 ODS327688:ODS327692 ODS393218 ODS393224:ODS393228 ODS458754 ODS458760:ODS458764 ODS524290 ODS524296:ODS524300 ODS589826 ODS589832:ODS589836 ODS655362 ODS655368:ODS655372 ODS720898 ODS720904:ODS720908 ODS786434 ODS786440:ODS786444 ODS851970 ODS851976:ODS851980 ODS917506 ODS917512:ODS917516 ODS983042 ODS983048:ODS983052 ONO2 ONO8:ONO12 ONO65538 ONO65544:ONO65548 ONO131074 ONO131080:ONO131084 ONO196610 ONO196616:ONO196620 ONO262146 ONO262152:ONO262156 ONO327682 ONO327688:ONO327692 ONO393218 ONO393224:ONO393228 ONO458754 ONO458760:ONO458764 ONO524290 ONO524296:ONO524300 ONO589826 ONO589832:ONO589836 ONO655362 ONO655368:ONO655372 ONO720898 ONO720904:ONO720908 ONO786434 ONO786440:ONO786444 ONO851970 ONO851976:ONO851980 ONO917506 ONO917512:ONO917516 ONO983042 ONO983048:ONO983052 OXK2 OXK8:OXK12 OXK65538 OXK65544:OXK65548 OXK131074 OXK131080:OXK131084 OXK196610 OXK196616:OXK196620 OXK262146 OXK262152:OXK262156 OXK327682 OXK327688:OXK327692 OXK393218 OXK393224:OXK393228 OXK458754 OXK458760:OXK458764 OXK524290 OXK524296:OXK524300 OXK589826 OXK589832:OXK589836 OXK655362 OXK655368:OXK655372 OXK720898 OXK720904:OXK720908 OXK786434 OXK786440:OXK786444 OXK851970 OXK851976:OXK851980 OXK917506 OXK917512:OXK917516 OXK983042 OXK983048:OXK983052 PHG2 PHG8:PHG12 PHG65538 PHG65544:PHG65548 PHG131074 PHG131080:PHG131084 PHG196610 PHG196616:PHG196620 PHG262146 PHG262152:PHG262156 PHG327682 PHG327688:PHG327692 PHG393218 PHG393224:PHG393228 PHG458754 PHG458760:PHG458764 PHG524290 PHG524296:PHG524300 PHG589826 PHG589832:PHG589836 PHG655362 PHG655368:PHG655372 PHG720898 PHG720904:PHG720908 PHG786434 PHG786440:PHG786444 PHG851970 PHG851976:PHG851980 PHG917506 PHG917512:PHG917516 PHG983042 PHG983048:PHG983052 PRC2 PRC8:PRC12 PRC65538 PRC65544:PRC65548 PRC131074 PRC131080:PRC131084 PRC196610 PRC196616:PRC196620 PRC262146 PRC262152:PRC262156 PRC327682 PRC327688:PRC327692 PRC393218 PRC393224:PRC393228 PRC458754 PRC458760:PRC458764 PRC524290 PRC524296:PRC524300 PRC589826 PRC589832:PRC589836 PRC655362 PRC655368:PRC655372 PRC720898 PRC720904:PRC720908 PRC786434 PRC786440:PRC786444 PRC851970 PRC851976:PRC851980 PRC917506 PRC917512:PRC917516 PRC983042 PRC983048:PRC983052 QAY2 QAY8:QAY12 QAY65538 QAY65544:QAY65548 QAY131074 QAY131080:QAY131084 QAY196610 QAY196616:QAY196620 QAY262146 QAY262152:QAY262156 QAY327682 QAY327688:QAY327692 QAY393218 QAY393224:QAY393228 QAY458754 QAY458760:QAY458764 QAY524290 QAY524296:QAY524300 QAY589826 QAY589832:QAY589836 QAY655362 QAY655368:QAY655372 QAY720898 QAY720904:QAY720908 QAY786434 QAY786440:QAY786444 QAY851970 QAY851976:QAY851980 QAY917506 QAY917512:QAY917516 QAY983042 QAY983048:QAY983052 QKU2 QKU8:QKU12 QKU65538 QKU65544:QKU65548 QKU131074 QKU131080:QKU131084 QKU196610 QKU196616:QKU196620 QKU262146 QKU262152:QKU262156 QKU327682 QKU327688:QKU327692 QKU393218 QKU393224:QKU393228 QKU458754 QKU458760:QKU458764 QKU524290 QKU524296:QKU524300 QKU589826 QKU589832:QKU589836 QKU655362 QKU655368:QKU655372 QKU720898 QKU720904:QKU720908 QKU786434 QKU786440:QKU786444 QKU851970 QKU851976:QKU851980 QKU917506 QKU917512:QKU917516 QKU983042 QKU983048:QKU983052 QUQ2 QUQ8:QUQ12 QUQ65538 QUQ65544:QUQ65548 QUQ131074 QUQ131080:QUQ131084 QUQ196610 QUQ196616:QUQ196620 QUQ262146 QUQ262152:QUQ262156 QUQ327682 QUQ327688:QUQ327692 QUQ393218 QUQ393224:QUQ393228 QUQ458754 QUQ458760:QUQ458764 QUQ524290 QUQ524296:QUQ524300 QUQ589826 QUQ589832:QUQ589836 QUQ655362 QUQ655368:QUQ655372 QUQ720898 QUQ720904:QUQ720908 QUQ786434 QUQ786440:QUQ786444 QUQ851970 QUQ851976:QUQ851980 QUQ917506 QUQ917512:QUQ917516 QUQ983042 QUQ983048:QUQ983052 REM2 REM8:REM12 REM65538 REM65544:REM65548 REM131074 REM131080:REM131084 REM196610 REM196616:REM196620 REM262146 REM262152:REM262156 REM327682 REM327688:REM327692 REM393218 REM393224:REM393228 REM458754 REM458760:REM458764 REM524290 REM524296:REM524300 REM589826 REM589832:REM589836 REM655362 REM655368:REM655372 REM720898 REM720904:REM720908 REM786434 REM786440:REM786444 REM851970 REM851976:REM851980 REM917506 REM917512:REM917516 REM983042 REM983048:REM983052 ROI2 ROI8:ROI12 ROI65538 ROI65544:ROI65548 ROI131074 ROI131080:ROI131084 ROI196610 ROI196616:ROI196620 ROI262146 ROI262152:ROI262156 ROI327682 ROI327688:ROI327692 ROI393218 ROI393224:ROI393228 ROI458754 ROI458760:ROI458764 ROI524290 ROI524296:ROI524300 ROI589826 ROI589832:ROI589836 ROI655362 ROI655368:ROI655372 ROI720898 ROI720904:ROI720908 ROI786434 ROI786440:ROI786444 ROI851970 ROI851976:ROI851980 ROI917506 ROI917512:ROI917516 ROI983042 ROI983048:ROI983052 RYE2 RYE8:RYE12 RYE65538 RYE65544:RYE65548 RYE131074 RYE131080:RYE131084 RYE196610 RYE196616:RYE196620 RYE262146 RYE262152:RYE262156 RYE327682 RYE327688:RYE327692 RYE393218 RYE393224:RYE393228 RYE458754 RYE458760:RYE458764 RYE524290 RYE524296:RYE524300 RYE589826 RYE589832:RYE589836 RYE655362 RYE655368:RYE655372 RYE720898 RYE720904:RYE720908 RYE786434 RYE786440:RYE786444 RYE851970 RYE851976:RYE851980 RYE917506 RYE917512:RYE917516 RYE983042 RYE983048:RYE983052 SIA2 SIA8:SIA12 SIA65538 SIA65544:SIA65548 SIA131074 SIA131080:SIA131084 SIA196610 SIA196616:SIA196620 SIA262146 SIA262152:SIA262156 SIA327682 SIA327688:SIA327692 SIA393218 SIA393224:SIA393228 SIA458754 SIA458760:SIA458764 SIA524290 SIA524296:SIA524300 SIA589826 SIA589832:SIA589836 SIA655362 SIA655368:SIA655372 SIA720898 SIA720904:SIA720908 SIA786434 SIA786440:SIA786444 SIA851970 SIA851976:SIA851980 SIA917506 SIA917512:SIA917516 SIA983042 SIA983048:SIA983052 SRW2 SRW8:SRW12 SRW65538 SRW65544:SRW65548 SRW131074 SRW131080:SRW131084 SRW196610 SRW196616:SRW196620 SRW262146 SRW262152:SRW262156 SRW327682 SRW327688:SRW327692 SRW393218 SRW393224:SRW393228 SRW458754 SRW458760:SRW458764 SRW524290 SRW524296:SRW524300 SRW589826 SRW589832:SRW589836 SRW655362 SRW655368:SRW655372 SRW720898 SRW720904:SRW720908 SRW786434 SRW786440:SRW786444 SRW851970 SRW851976:SRW851980 SRW917506 SRW917512:SRW917516 SRW983042 SRW983048:SRW983052 TBS2 TBS8:TBS12 TBS65538 TBS65544:TBS65548 TBS131074 TBS131080:TBS131084 TBS196610 TBS196616:TBS196620 TBS262146 TBS262152:TBS262156 TBS327682 TBS327688:TBS327692 TBS393218 TBS393224:TBS393228 TBS458754 TBS458760:TBS458764 TBS524290 TBS524296:TBS524300 TBS589826 TBS589832:TBS589836 TBS655362 TBS655368:TBS655372 TBS720898 TBS720904:TBS720908 TBS786434 TBS786440:TBS786444 TBS851970 TBS851976:TBS851980 TBS917506 TBS917512:TBS917516 TBS983042 TBS983048:TBS983052 TLO2 TLO8:TLO12 TLO65538 TLO65544:TLO65548 TLO131074 TLO131080:TLO131084 TLO196610 TLO196616:TLO196620 TLO262146 TLO262152:TLO262156 TLO327682 TLO327688:TLO327692 TLO393218 TLO393224:TLO393228 TLO458754 TLO458760:TLO458764 TLO524290 TLO524296:TLO524300 TLO589826 TLO589832:TLO589836 TLO655362 TLO655368:TLO655372 TLO720898 TLO720904:TLO720908 TLO786434 TLO786440:TLO786444 TLO851970 TLO851976:TLO851980 TLO917506 TLO917512:TLO917516 TLO983042 TLO983048:TLO983052 TVK2 TVK8:TVK12 TVK65538 TVK65544:TVK65548 TVK131074 TVK131080:TVK131084 TVK196610 TVK196616:TVK196620 TVK262146 TVK262152:TVK262156 TVK327682 TVK327688:TVK327692 TVK393218 TVK393224:TVK393228 TVK458754 TVK458760:TVK458764 TVK524290 TVK524296:TVK524300 TVK589826 TVK589832:TVK589836 TVK655362 TVK655368:TVK655372 TVK720898 TVK720904:TVK720908 TVK786434 TVK786440:TVK786444 TVK851970 TVK851976:TVK851980 TVK917506 TVK917512:TVK917516 TVK983042 TVK983048:TVK983052 UFG2 UFG8:UFG12 UFG65538 UFG65544:UFG65548 UFG131074 UFG131080:UFG131084 UFG196610 UFG196616:UFG196620 UFG262146 UFG262152:UFG262156 UFG327682 UFG327688:UFG327692 UFG393218 UFG393224:UFG393228 UFG458754 UFG458760:UFG458764 UFG524290 UFG524296:UFG524300 UFG589826 UFG589832:UFG589836 UFG655362 UFG655368:UFG655372 UFG720898 UFG720904:UFG720908 UFG786434 UFG786440:UFG786444 UFG851970 UFG851976:UFG851980 UFG917506 UFG917512:UFG917516 UFG983042 UFG983048:UFG983052 UPC2 UPC8:UPC12 UPC65538 UPC65544:UPC65548 UPC131074 UPC131080:UPC131084 UPC196610 UPC196616:UPC196620 UPC262146 UPC262152:UPC262156 UPC327682 UPC327688:UPC327692 UPC393218 UPC393224:UPC393228 UPC458754 UPC458760:UPC458764 UPC524290 UPC524296:UPC524300 UPC589826 UPC589832:UPC589836 UPC655362 UPC655368:UPC655372 UPC720898 UPC720904:UPC720908 UPC786434 UPC786440:UPC786444 UPC851970 UPC851976:UPC851980 UPC917506 UPC917512:UPC917516 UPC983042 UPC983048:UPC983052 UYY2 UYY8:UYY12 UYY65538 UYY65544:UYY65548 UYY131074 UYY131080:UYY131084 UYY196610 UYY196616:UYY196620 UYY262146 UYY262152:UYY262156 UYY327682 UYY327688:UYY327692 UYY393218 UYY393224:UYY393228 UYY458754 UYY458760:UYY458764 UYY524290 UYY524296:UYY524300 UYY589826 UYY589832:UYY589836 UYY655362 UYY655368:UYY655372 UYY720898 UYY720904:UYY720908 UYY786434 UYY786440:UYY786444 UYY851970 UYY851976:UYY851980 UYY917506 UYY917512:UYY917516 UYY983042 UYY983048:UYY983052 VIU2 VIU8:VIU12 VIU65538 VIU65544:VIU65548 VIU131074 VIU131080:VIU131084 VIU196610 VIU196616:VIU196620 VIU262146 VIU262152:VIU262156 VIU327682 VIU327688:VIU327692 VIU393218 VIU393224:VIU393228 VIU458754 VIU458760:VIU458764 VIU524290 VIU524296:VIU524300 VIU589826 VIU589832:VIU589836 VIU655362 VIU655368:VIU655372 VIU720898 VIU720904:VIU720908 VIU786434 VIU786440:VIU786444 VIU851970 VIU851976:VIU851980 VIU917506 VIU917512:VIU917516 VIU983042 VIU983048:VIU983052 VSQ2 VSQ8:VSQ12 VSQ65538 VSQ65544:VSQ65548 VSQ131074 VSQ131080:VSQ131084 VSQ196610 VSQ196616:VSQ196620 VSQ262146 VSQ262152:VSQ262156 VSQ327682 VSQ327688:VSQ327692 VSQ393218 VSQ393224:VSQ393228 VSQ458754 VSQ458760:VSQ458764 VSQ524290 VSQ524296:VSQ524300 VSQ589826 VSQ589832:VSQ589836 VSQ655362 VSQ655368:VSQ655372 VSQ720898 VSQ720904:VSQ720908 VSQ786434 VSQ786440:VSQ786444 VSQ851970 VSQ851976:VSQ851980 VSQ917506 VSQ917512:VSQ917516 VSQ983042 VSQ983048:VSQ983052 WCM2 WCM8:WCM12 WCM65538 WCM65544:WCM65548 WCM131074 WCM131080:WCM131084 WCM196610 WCM196616:WCM196620 WCM262146 WCM262152:WCM262156 WCM327682 WCM327688:WCM327692 WCM393218 WCM393224:WCM393228 WCM458754 WCM458760:WCM458764 WCM524290 WCM524296:WCM524300 WCM589826 WCM589832:WCM589836 WCM655362 WCM655368:WCM655372 WCM720898 WCM720904:WCM720908 WCM786434 WCM786440:WCM786444 WCM851970 WCM851976:WCM851980 WCM917506 WCM917512:WCM917516 WCM983042 WCM983048:WCM983052 WMI2 WMI8:WMI12 WMI65538 WMI65544:WMI65548 WMI131074 WMI131080:WMI131084 WMI196610 WMI196616:WMI196620 WMI262146 WMI262152:WMI262156 WMI327682 WMI327688:WMI327692 WMI393218 WMI393224:WMI393228 WMI458754 WMI458760:WMI458764 WMI524290 WMI524296:WMI524300 WMI589826 WMI589832:WMI589836 WMI655362 WMI655368:WMI655372 WMI720898 WMI720904:WMI720908 WMI786434 WMI786440:WMI786444 WMI851970 WMI851976:WMI851980 WMI917506 WMI917512:WMI917516 WMI983042 WMI983048:WMI983052 WWE2 WWE8:WWE12 WWE65538 WWE65544:WWE65548 WWE131074 WWE131080:WWE131084 WWE196610 WWE196616:WWE196620 WWE262146 WWE262152:WWE262156 WWE327682 WWE327688:WWE327692 WWE393218 WWE393224:WWE393228 WWE458754 WWE458760:WWE458764 WWE524290 WWE524296:WWE524300 WWE589826 WWE589832:WWE589836 WWE655362 WWE655368:WWE655372 WWE720898 WWE720904:WWE720908 WWE786434 WWE786440:WWE786444 WWE851970 WWE851976:WWE851980 WWE917506 WWE917512:WWE917516 WWE983042 WWE983048:WWE983052" xr:uid="{00000000-0002-0000-0900-000018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V2 V8:V12 V65538 V65544:V65548 V131074 V131080:V131084 V196610 V196616:V196620 V262146 V262152:V262156 V327682 V327688:V327692 V393218 V393224:V393228 V458754 V458760:V458764 V524290 V524296:V524300 V589826 V589832:V589836 V655362 V655368:V655372 V720898 V720904:V720908 V786434 V786440:V786444 V851970 V851976:V851980 V917506 V917512:V917516 V983042 V983048:V983052 JR2 JR8:JR12 JR65538 JR65544:JR65548 JR131074 JR131080:JR131084 JR196610 JR196616:JR196620 JR262146 JR262152:JR262156 JR327682 JR327688:JR327692 JR393218 JR393224:JR393228 JR458754 JR458760:JR458764 JR524290 JR524296:JR524300 JR589826 JR589832:JR589836 JR655362 JR655368:JR655372 JR720898 JR720904:JR720908 JR786434 JR786440:JR786444 JR851970 JR851976:JR851980 JR917506 JR917512:JR917516 JR983042 JR983048:JR983052 TN2 TN8:TN12 TN65538 TN65544:TN65548 TN131074 TN131080:TN131084 TN196610 TN196616:TN196620 TN262146 TN262152:TN262156 TN327682 TN327688:TN327692 TN393218 TN393224:TN393228 TN458754 TN458760:TN458764 TN524290 TN524296:TN524300 TN589826 TN589832:TN589836 TN655362 TN655368:TN655372 TN720898 TN720904:TN720908 TN786434 TN786440:TN786444 TN851970 TN851976:TN851980 TN917506 TN917512:TN917516 TN983042 TN983048:TN983052 ADJ2 ADJ8:ADJ12 ADJ65538 ADJ65544:ADJ65548 ADJ131074 ADJ131080:ADJ131084 ADJ196610 ADJ196616:ADJ196620 ADJ262146 ADJ262152:ADJ262156 ADJ327682 ADJ327688:ADJ327692 ADJ393218 ADJ393224:ADJ393228 ADJ458754 ADJ458760:ADJ458764 ADJ524290 ADJ524296:ADJ524300 ADJ589826 ADJ589832:ADJ589836 ADJ655362 ADJ655368:ADJ655372 ADJ720898 ADJ720904:ADJ720908 ADJ786434 ADJ786440:ADJ786444 ADJ851970 ADJ851976:ADJ851980 ADJ917506 ADJ917512:ADJ917516 ADJ983042 ADJ983048:ADJ983052 ANF2 ANF8:ANF12 ANF65538 ANF65544:ANF65548 ANF131074 ANF131080:ANF131084 ANF196610 ANF196616:ANF196620 ANF262146 ANF262152:ANF262156 ANF327682 ANF327688:ANF327692 ANF393218 ANF393224:ANF393228 ANF458754 ANF458760:ANF458764 ANF524290 ANF524296:ANF524300 ANF589826 ANF589832:ANF589836 ANF655362 ANF655368:ANF655372 ANF720898 ANF720904:ANF720908 ANF786434 ANF786440:ANF786444 ANF851970 ANF851976:ANF851980 ANF917506 ANF917512:ANF917516 ANF983042 ANF983048:ANF983052 AXB2 AXB8:AXB12 AXB65538 AXB65544:AXB65548 AXB131074 AXB131080:AXB131084 AXB196610 AXB196616:AXB196620 AXB262146 AXB262152:AXB262156 AXB327682 AXB327688:AXB327692 AXB393218 AXB393224:AXB393228 AXB458754 AXB458760:AXB458764 AXB524290 AXB524296:AXB524300 AXB589826 AXB589832:AXB589836 AXB655362 AXB655368:AXB655372 AXB720898 AXB720904:AXB720908 AXB786434 AXB786440:AXB786444 AXB851970 AXB851976:AXB851980 AXB917506 AXB917512:AXB917516 AXB983042 AXB983048:AXB983052 BGX2 BGX8:BGX12 BGX65538 BGX65544:BGX65548 BGX131074 BGX131080:BGX131084 BGX196610 BGX196616:BGX196620 BGX262146 BGX262152:BGX262156 BGX327682 BGX327688:BGX327692 BGX393218 BGX393224:BGX393228 BGX458754 BGX458760:BGX458764 BGX524290 BGX524296:BGX524300 BGX589826 BGX589832:BGX589836 BGX655362 BGX655368:BGX655372 BGX720898 BGX720904:BGX720908 BGX786434 BGX786440:BGX786444 BGX851970 BGX851976:BGX851980 BGX917506 BGX917512:BGX917516 BGX983042 BGX983048:BGX983052 BQT2 BQT8:BQT12 BQT65538 BQT65544:BQT65548 BQT131074 BQT131080:BQT131084 BQT196610 BQT196616:BQT196620 BQT262146 BQT262152:BQT262156 BQT327682 BQT327688:BQT327692 BQT393218 BQT393224:BQT393228 BQT458754 BQT458760:BQT458764 BQT524290 BQT524296:BQT524300 BQT589826 BQT589832:BQT589836 BQT655362 BQT655368:BQT655372 BQT720898 BQT720904:BQT720908 BQT786434 BQT786440:BQT786444 BQT851970 BQT851976:BQT851980 BQT917506 BQT917512:BQT917516 BQT983042 BQT983048:BQT983052 CAP2 CAP8:CAP12 CAP65538 CAP65544:CAP65548 CAP131074 CAP131080:CAP131084 CAP196610 CAP196616:CAP196620 CAP262146 CAP262152:CAP262156 CAP327682 CAP327688:CAP327692 CAP393218 CAP393224:CAP393228 CAP458754 CAP458760:CAP458764 CAP524290 CAP524296:CAP524300 CAP589826 CAP589832:CAP589836 CAP655362 CAP655368:CAP655372 CAP720898 CAP720904:CAP720908 CAP786434 CAP786440:CAP786444 CAP851970 CAP851976:CAP851980 CAP917506 CAP917512:CAP917516 CAP983042 CAP983048:CAP983052 CKL2 CKL8:CKL12 CKL65538 CKL65544:CKL65548 CKL131074 CKL131080:CKL131084 CKL196610 CKL196616:CKL196620 CKL262146 CKL262152:CKL262156 CKL327682 CKL327688:CKL327692 CKL393218 CKL393224:CKL393228 CKL458754 CKL458760:CKL458764 CKL524290 CKL524296:CKL524300 CKL589826 CKL589832:CKL589836 CKL655362 CKL655368:CKL655372 CKL720898 CKL720904:CKL720908 CKL786434 CKL786440:CKL786444 CKL851970 CKL851976:CKL851980 CKL917506 CKL917512:CKL917516 CKL983042 CKL983048:CKL983052 CUH2 CUH8:CUH12 CUH65538 CUH65544:CUH65548 CUH131074 CUH131080:CUH131084 CUH196610 CUH196616:CUH196620 CUH262146 CUH262152:CUH262156 CUH327682 CUH327688:CUH327692 CUH393218 CUH393224:CUH393228 CUH458754 CUH458760:CUH458764 CUH524290 CUH524296:CUH524300 CUH589826 CUH589832:CUH589836 CUH655362 CUH655368:CUH655372 CUH720898 CUH720904:CUH720908 CUH786434 CUH786440:CUH786444 CUH851970 CUH851976:CUH851980 CUH917506 CUH917512:CUH917516 CUH983042 CUH983048:CUH983052 DED2 DED8:DED12 DED65538 DED65544:DED65548 DED131074 DED131080:DED131084 DED196610 DED196616:DED196620 DED262146 DED262152:DED262156 DED327682 DED327688:DED327692 DED393218 DED393224:DED393228 DED458754 DED458760:DED458764 DED524290 DED524296:DED524300 DED589826 DED589832:DED589836 DED655362 DED655368:DED655372 DED720898 DED720904:DED720908 DED786434 DED786440:DED786444 DED851970 DED851976:DED851980 DED917506 DED917512:DED917516 DED983042 DED983048:DED983052 DNZ2 DNZ8:DNZ12 DNZ65538 DNZ65544:DNZ65548 DNZ131074 DNZ131080:DNZ131084 DNZ196610 DNZ196616:DNZ196620 DNZ262146 DNZ262152:DNZ262156 DNZ327682 DNZ327688:DNZ327692 DNZ393218 DNZ393224:DNZ393228 DNZ458754 DNZ458760:DNZ458764 DNZ524290 DNZ524296:DNZ524300 DNZ589826 DNZ589832:DNZ589836 DNZ655362 DNZ655368:DNZ655372 DNZ720898 DNZ720904:DNZ720908 DNZ786434 DNZ786440:DNZ786444 DNZ851970 DNZ851976:DNZ851980 DNZ917506 DNZ917512:DNZ917516 DNZ983042 DNZ983048:DNZ983052 DXV2 DXV8:DXV12 DXV65538 DXV65544:DXV65548 DXV131074 DXV131080:DXV131084 DXV196610 DXV196616:DXV196620 DXV262146 DXV262152:DXV262156 DXV327682 DXV327688:DXV327692 DXV393218 DXV393224:DXV393228 DXV458754 DXV458760:DXV458764 DXV524290 DXV524296:DXV524300 DXV589826 DXV589832:DXV589836 DXV655362 DXV655368:DXV655372 DXV720898 DXV720904:DXV720908 DXV786434 DXV786440:DXV786444 DXV851970 DXV851976:DXV851980 DXV917506 DXV917512:DXV917516 DXV983042 DXV983048:DXV983052 EHR2 EHR8:EHR12 EHR65538 EHR65544:EHR65548 EHR131074 EHR131080:EHR131084 EHR196610 EHR196616:EHR196620 EHR262146 EHR262152:EHR262156 EHR327682 EHR327688:EHR327692 EHR393218 EHR393224:EHR393228 EHR458754 EHR458760:EHR458764 EHR524290 EHR524296:EHR524300 EHR589826 EHR589832:EHR589836 EHR655362 EHR655368:EHR655372 EHR720898 EHR720904:EHR720908 EHR786434 EHR786440:EHR786444 EHR851970 EHR851976:EHR851980 EHR917506 EHR917512:EHR917516 EHR983042 EHR983048:EHR983052 ERN2 ERN8:ERN12 ERN65538 ERN65544:ERN65548 ERN131074 ERN131080:ERN131084 ERN196610 ERN196616:ERN196620 ERN262146 ERN262152:ERN262156 ERN327682 ERN327688:ERN327692 ERN393218 ERN393224:ERN393228 ERN458754 ERN458760:ERN458764 ERN524290 ERN524296:ERN524300 ERN589826 ERN589832:ERN589836 ERN655362 ERN655368:ERN655372 ERN720898 ERN720904:ERN720908 ERN786434 ERN786440:ERN786444 ERN851970 ERN851976:ERN851980 ERN917506 ERN917512:ERN917516 ERN983042 ERN983048:ERN983052 FBJ2 FBJ8:FBJ12 FBJ65538 FBJ65544:FBJ65548 FBJ131074 FBJ131080:FBJ131084 FBJ196610 FBJ196616:FBJ196620 FBJ262146 FBJ262152:FBJ262156 FBJ327682 FBJ327688:FBJ327692 FBJ393218 FBJ393224:FBJ393228 FBJ458754 FBJ458760:FBJ458764 FBJ524290 FBJ524296:FBJ524300 FBJ589826 FBJ589832:FBJ589836 FBJ655362 FBJ655368:FBJ655372 FBJ720898 FBJ720904:FBJ720908 FBJ786434 FBJ786440:FBJ786444 FBJ851970 FBJ851976:FBJ851980 FBJ917506 FBJ917512:FBJ917516 FBJ983042 FBJ983048:FBJ983052 FLF2 FLF8:FLF12 FLF65538 FLF65544:FLF65548 FLF131074 FLF131080:FLF131084 FLF196610 FLF196616:FLF196620 FLF262146 FLF262152:FLF262156 FLF327682 FLF327688:FLF327692 FLF393218 FLF393224:FLF393228 FLF458754 FLF458760:FLF458764 FLF524290 FLF524296:FLF524300 FLF589826 FLF589832:FLF589836 FLF655362 FLF655368:FLF655372 FLF720898 FLF720904:FLF720908 FLF786434 FLF786440:FLF786444 FLF851970 FLF851976:FLF851980 FLF917506 FLF917512:FLF917516 FLF983042 FLF983048:FLF983052 FVB2 FVB8:FVB12 FVB65538 FVB65544:FVB65548 FVB131074 FVB131080:FVB131084 FVB196610 FVB196616:FVB196620 FVB262146 FVB262152:FVB262156 FVB327682 FVB327688:FVB327692 FVB393218 FVB393224:FVB393228 FVB458754 FVB458760:FVB458764 FVB524290 FVB524296:FVB524300 FVB589826 FVB589832:FVB589836 FVB655362 FVB655368:FVB655372 FVB720898 FVB720904:FVB720908 FVB786434 FVB786440:FVB786444 FVB851970 FVB851976:FVB851980 FVB917506 FVB917512:FVB917516 FVB983042 FVB983048:FVB983052 GEX2 GEX8:GEX12 GEX65538 GEX65544:GEX65548 GEX131074 GEX131080:GEX131084 GEX196610 GEX196616:GEX196620 GEX262146 GEX262152:GEX262156 GEX327682 GEX327688:GEX327692 GEX393218 GEX393224:GEX393228 GEX458754 GEX458760:GEX458764 GEX524290 GEX524296:GEX524300 GEX589826 GEX589832:GEX589836 GEX655362 GEX655368:GEX655372 GEX720898 GEX720904:GEX720908 GEX786434 GEX786440:GEX786444 GEX851970 GEX851976:GEX851980 GEX917506 GEX917512:GEX917516 GEX983042 GEX983048:GEX983052 GOT2 GOT8:GOT12 GOT65538 GOT65544:GOT65548 GOT131074 GOT131080:GOT131084 GOT196610 GOT196616:GOT196620 GOT262146 GOT262152:GOT262156 GOT327682 GOT327688:GOT327692 GOT393218 GOT393224:GOT393228 GOT458754 GOT458760:GOT458764 GOT524290 GOT524296:GOT524300 GOT589826 GOT589832:GOT589836 GOT655362 GOT655368:GOT655372 GOT720898 GOT720904:GOT720908 GOT786434 GOT786440:GOT786444 GOT851970 GOT851976:GOT851980 GOT917506 GOT917512:GOT917516 GOT983042 GOT983048:GOT983052 GYP2 GYP8:GYP12 GYP65538 GYP65544:GYP65548 GYP131074 GYP131080:GYP131084 GYP196610 GYP196616:GYP196620 GYP262146 GYP262152:GYP262156 GYP327682 GYP327688:GYP327692 GYP393218 GYP393224:GYP393228 GYP458754 GYP458760:GYP458764 GYP524290 GYP524296:GYP524300 GYP589826 GYP589832:GYP589836 GYP655362 GYP655368:GYP655372 GYP720898 GYP720904:GYP720908 GYP786434 GYP786440:GYP786444 GYP851970 GYP851976:GYP851980 GYP917506 GYP917512:GYP917516 GYP983042 GYP983048:GYP983052 HIL2 HIL8:HIL12 HIL65538 HIL65544:HIL65548 HIL131074 HIL131080:HIL131084 HIL196610 HIL196616:HIL196620 HIL262146 HIL262152:HIL262156 HIL327682 HIL327688:HIL327692 HIL393218 HIL393224:HIL393228 HIL458754 HIL458760:HIL458764 HIL524290 HIL524296:HIL524300 HIL589826 HIL589832:HIL589836 HIL655362 HIL655368:HIL655372 HIL720898 HIL720904:HIL720908 HIL786434 HIL786440:HIL786444 HIL851970 HIL851976:HIL851980 HIL917506 HIL917512:HIL917516 HIL983042 HIL983048:HIL983052 HSH2 HSH8:HSH12 HSH65538 HSH65544:HSH65548 HSH131074 HSH131080:HSH131084 HSH196610 HSH196616:HSH196620 HSH262146 HSH262152:HSH262156 HSH327682 HSH327688:HSH327692 HSH393218 HSH393224:HSH393228 HSH458754 HSH458760:HSH458764 HSH524290 HSH524296:HSH524300 HSH589826 HSH589832:HSH589836 HSH655362 HSH655368:HSH655372 HSH720898 HSH720904:HSH720908 HSH786434 HSH786440:HSH786444 HSH851970 HSH851976:HSH851980 HSH917506 HSH917512:HSH917516 HSH983042 HSH983048:HSH983052 ICD2 ICD8:ICD12 ICD65538 ICD65544:ICD65548 ICD131074 ICD131080:ICD131084 ICD196610 ICD196616:ICD196620 ICD262146 ICD262152:ICD262156 ICD327682 ICD327688:ICD327692 ICD393218 ICD393224:ICD393228 ICD458754 ICD458760:ICD458764 ICD524290 ICD524296:ICD524300 ICD589826 ICD589832:ICD589836 ICD655362 ICD655368:ICD655372 ICD720898 ICD720904:ICD720908 ICD786434 ICD786440:ICD786444 ICD851970 ICD851976:ICD851980 ICD917506 ICD917512:ICD917516 ICD983042 ICD983048:ICD983052 ILZ2 ILZ8:ILZ12 ILZ65538 ILZ65544:ILZ65548 ILZ131074 ILZ131080:ILZ131084 ILZ196610 ILZ196616:ILZ196620 ILZ262146 ILZ262152:ILZ262156 ILZ327682 ILZ327688:ILZ327692 ILZ393218 ILZ393224:ILZ393228 ILZ458754 ILZ458760:ILZ458764 ILZ524290 ILZ524296:ILZ524300 ILZ589826 ILZ589832:ILZ589836 ILZ655362 ILZ655368:ILZ655372 ILZ720898 ILZ720904:ILZ720908 ILZ786434 ILZ786440:ILZ786444 ILZ851970 ILZ851976:ILZ851980 ILZ917506 ILZ917512:ILZ917516 ILZ983042 ILZ983048:ILZ983052 IVV2 IVV8:IVV12 IVV65538 IVV65544:IVV65548 IVV131074 IVV131080:IVV131084 IVV196610 IVV196616:IVV196620 IVV262146 IVV262152:IVV262156 IVV327682 IVV327688:IVV327692 IVV393218 IVV393224:IVV393228 IVV458754 IVV458760:IVV458764 IVV524290 IVV524296:IVV524300 IVV589826 IVV589832:IVV589836 IVV655362 IVV655368:IVV655372 IVV720898 IVV720904:IVV720908 IVV786434 IVV786440:IVV786444 IVV851970 IVV851976:IVV851980 IVV917506 IVV917512:IVV917516 IVV983042 IVV983048:IVV983052 JFR2 JFR8:JFR12 JFR65538 JFR65544:JFR65548 JFR131074 JFR131080:JFR131084 JFR196610 JFR196616:JFR196620 JFR262146 JFR262152:JFR262156 JFR327682 JFR327688:JFR327692 JFR393218 JFR393224:JFR393228 JFR458754 JFR458760:JFR458764 JFR524290 JFR524296:JFR524300 JFR589826 JFR589832:JFR589836 JFR655362 JFR655368:JFR655372 JFR720898 JFR720904:JFR720908 JFR786434 JFR786440:JFR786444 JFR851970 JFR851976:JFR851980 JFR917506 JFR917512:JFR917516 JFR983042 JFR983048:JFR983052 JPN2 JPN8:JPN12 JPN65538 JPN65544:JPN65548 JPN131074 JPN131080:JPN131084 JPN196610 JPN196616:JPN196620 JPN262146 JPN262152:JPN262156 JPN327682 JPN327688:JPN327692 JPN393218 JPN393224:JPN393228 JPN458754 JPN458760:JPN458764 JPN524290 JPN524296:JPN524300 JPN589826 JPN589832:JPN589836 JPN655362 JPN655368:JPN655372 JPN720898 JPN720904:JPN720908 JPN786434 JPN786440:JPN786444 JPN851970 JPN851976:JPN851980 JPN917506 JPN917512:JPN917516 JPN983042 JPN983048:JPN983052 JZJ2 JZJ8:JZJ12 JZJ65538 JZJ65544:JZJ65548 JZJ131074 JZJ131080:JZJ131084 JZJ196610 JZJ196616:JZJ196620 JZJ262146 JZJ262152:JZJ262156 JZJ327682 JZJ327688:JZJ327692 JZJ393218 JZJ393224:JZJ393228 JZJ458754 JZJ458760:JZJ458764 JZJ524290 JZJ524296:JZJ524300 JZJ589826 JZJ589832:JZJ589836 JZJ655362 JZJ655368:JZJ655372 JZJ720898 JZJ720904:JZJ720908 JZJ786434 JZJ786440:JZJ786444 JZJ851970 JZJ851976:JZJ851980 JZJ917506 JZJ917512:JZJ917516 JZJ983042 JZJ983048:JZJ983052 KJF2 KJF8:KJF12 KJF65538 KJF65544:KJF65548 KJF131074 KJF131080:KJF131084 KJF196610 KJF196616:KJF196620 KJF262146 KJF262152:KJF262156 KJF327682 KJF327688:KJF327692 KJF393218 KJF393224:KJF393228 KJF458754 KJF458760:KJF458764 KJF524290 KJF524296:KJF524300 KJF589826 KJF589832:KJF589836 KJF655362 KJF655368:KJF655372 KJF720898 KJF720904:KJF720908 KJF786434 KJF786440:KJF786444 KJF851970 KJF851976:KJF851980 KJF917506 KJF917512:KJF917516 KJF983042 KJF983048:KJF983052 KTB2 KTB8:KTB12 KTB65538 KTB65544:KTB65548 KTB131074 KTB131080:KTB131084 KTB196610 KTB196616:KTB196620 KTB262146 KTB262152:KTB262156 KTB327682 KTB327688:KTB327692 KTB393218 KTB393224:KTB393228 KTB458754 KTB458760:KTB458764 KTB524290 KTB524296:KTB524300 KTB589826 KTB589832:KTB589836 KTB655362 KTB655368:KTB655372 KTB720898 KTB720904:KTB720908 KTB786434 KTB786440:KTB786444 KTB851970 KTB851976:KTB851980 KTB917506 KTB917512:KTB917516 KTB983042 KTB983048:KTB983052 LCX2 LCX8:LCX12 LCX65538 LCX65544:LCX65548 LCX131074 LCX131080:LCX131084 LCX196610 LCX196616:LCX196620 LCX262146 LCX262152:LCX262156 LCX327682 LCX327688:LCX327692 LCX393218 LCX393224:LCX393228 LCX458754 LCX458760:LCX458764 LCX524290 LCX524296:LCX524300 LCX589826 LCX589832:LCX589836 LCX655362 LCX655368:LCX655372 LCX720898 LCX720904:LCX720908 LCX786434 LCX786440:LCX786444 LCX851970 LCX851976:LCX851980 LCX917506 LCX917512:LCX917516 LCX983042 LCX983048:LCX983052 LMT2 LMT8:LMT12 LMT65538 LMT65544:LMT65548 LMT131074 LMT131080:LMT131084 LMT196610 LMT196616:LMT196620 LMT262146 LMT262152:LMT262156 LMT327682 LMT327688:LMT327692 LMT393218 LMT393224:LMT393228 LMT458754 LMT458760:LMT458764 LMT524290 LMT524296:LMT524300 LMT589826 LMT589832:LMT589836 LMT655362 LMT655368:LMT655372 LMT720898 LMT720904:LMT720908 LMT786434 LMT786440:LMT786444 LMT851970 LMT851976:LMT851980 LMT917506 LMT917512:LMT917516 LMT983042 LMT983048:LMT983052 LWP2 LWP8:LWP12 LWP65538 LWP65544:LWP65548 LWP131074 LWP131080:LWP131084 LWP196610 LWP196616:LWP196620 LWP262146 LWP262152:LWP262156 LWP327682 LWP327688:LWP327692 LWP393218 LWP393224:LWP393228 LWP458754 LWP458760:LWP458764 LWP524290 LWP524296:LWP524300 LWP589826 LWP589832:LWP589836 LWP655362 LWP655368:LWP655372 LWP720898 LWP720904:LWP720908 LWP786434 LWP786440:LWP786444 LWP851970 LWP851976:LWP851980 LWP917506 LWP917512:LWP917516 LWP983042 LWP983048:LWP983052 MGL2 MGL8:MGL12 MGL65538 MGL65544:MGL65548 MGL131074 MGL131080:MGL131084 MGL196610 MGL196616:MGL196620 MGL262146 MGL262152:MGL262156 MGL327682 MGL327688:MGL327692 MGL393218 MGL393224:MGL393228 MGL458754 MGL458760:MGL458764 MGL524290 MGL524296:MGL524300 MGL589826 MGL589832:MGL589836 MGL655362 MGL655368:MGL655372 MGL720898 MGL720904:MGL720908 MGL786434 MGL786440:MGL786444 MGL851970 MGL851976:MGL851980 MGL917506 MGL917512:MGL917516 MGL983042 MGL983048:MGL983052 MQH2 MQH8:MQH12 MQH65538 MQH65544:MQH65548 MQH131074 MQH131080:MQH131084 MQH196610 MQH196616:MQH196620 MQH262146 MQH262152:MQH262156 MQH327682 MQH327688:MQH327692 MQH393218 MQH393224:MQH393228 MQH458754 MQH458760:MQH458764 MQH524290 MQH524296:MQH524300 MQH589826 MQH589832:MQH589836 MQH655362 MQH655368:MQH655372 MQH720898 MQH720904:MQH720908 MQH786434 MQH786440:MQH786444 MQH851970 MQH851976:MQH851980 MQH917506 MQH917512:MQH917516 MQH983042 MQH983048:MQH983052 NAD2 NAD8:NAD12 NAD65538 NAD65544:NAD65548 NAD131074 NAD131080:NAD131084 NAD196610 NAD196616:NAD196620 NAD262146 NAD262152:NAD262156 NAD327682 NAD327688:NAD327692 NAD393218 NAD393224:NAD393228 NAD458754 NAD458760:NAD458764 NAD524290 NAD524296:NAD524300 NAD589826 NAD589832:NAD589836 NAD655362 NAD655368:NAD655372 NAD720898 NAD720904:NAD720908 NAD786434 NAD786440:NAD786444 NAD851970 NAD851976:NAD851980 NAD917506 NAD917512:NAD917516 NAD983042 NAD983048:NAD983052 NJZ2 NJZ8:NJZ12 NJZ65538 NJZ65544:NJZ65548 NJZ131074 NJZ131080:NJZ131084 NJZ196610 NJZ196616:NJZ196620 NJZ262146 NJZ262152:NJZ262156 NJZ327682 NJZ327688:NJZ327692 NJZ393218 NJZ393224:NJZ393228 NJZ458754 NJZ458760:NJZ458764 NJZ524290 NJZ524296:NJZ524300 NJZ589826 NJZ589832:NJZ589836 NJZ655362 NJZ655368:NJZ655372 NJZ720898 NJZ720904:NJZ720908 NJZ786434 NJZ786440:NJZ786444 NJZ851970 NJZ851976:NJZ851980 NJZ917506 NJZ917512:NJZ917516 NJZ983042 NJZ983048:NJZ983052 NTV2 NTV8:NTV12 NTV65538 NTV65544:NTV65548 NTV131074 NTV131080:NTV131084 NTV196610 NTV196616:NTV196620 NTV262146 NTV262152:NTV262156 NTV327682 NTV327688:NTV327692 NTV393218 NTV393224:NTV393228 NTV458754 NTV458760:NTV458764 NTV524290 NTV524296:NTV524300 NTV589826 NTV589832:NTV589836 NTV655362 NTV655368:NTV655372 NTV720898 NTV720904:NTV720908 NTV786434 NTV786440:NTV786444 NTV851970 NTV851976:NTV851980 NTV917506 NTV917512:NTV917516 NTV983042 NTV983048:NTV983052 ODR2 ODR8:ODR12 ODR65538 ODR65544:ODR65548 ODR131074 ODR131080:ODR131084 ODR196610 ODR196616:ODR196620 ODR262146 ODR262152:ODR262156 ODR327682 ODR327688:ODR327692 ODR393218 ODR393224:ODR393228 ODR458754 ODR458760:ODR458764 ODR524290 ODR524296:ODR524300 ODR589826 ODR589832:ODR589836 ODR655362 ODR655368:ODR655372 ODR720898 ODR720904:ODR720908 ODR786434 ODR786440:ODR786444 ODR851970 ODR851976:ODR851980 ODR917506 ODR917512:ODR917516 ODR983042 ODR983048:ODR983052 ONN2 ONN8:ONN12 ONN65538 ONN65544:ONN65548 ONN131074 ONN131080:ONN131084 ONN196610 ONN196616:ONN196620 ONN262146 ONN262152:ONN262156 ONN327682 ONN327688:ONN327692 ONN393218 ONN393224:ONN393228 ONN458754 ONN458760:ONN458764 ONN524290 ONN524296:ONN524300 ONN589826 ONN589832:ONN589836 ONN655362 ONN655368:ONN655372 ONN720898 ONN720904:ONN720908 ONN786434 ONN786440:ONN786444 ONN851970 ONN851976:ONN851980 ONN917506 ONN917512:ONN917516 ONN983042 ONN983048:ONN983052 OXJ2 OXJ8:OXJ12 OXJ65538 OXJ65544:OXJ65548 OXJ131074 OXJ131080:OXJ131084 OXJ196610 OXJ196616:OXJ196620 OXJ262146 OXJ262152:OXJ262156 OXJ327682 OXJ327688:OXJ327692 OXJ393218 OXJ393224:OXJ393228 OXJ458754 OXJ458760:OXJ458764 OXJ524290 OXJ524296:OXJ524300 OXJ589826 OXJ589832:OXJ589836 OXJ655362 OXJ655368:OXJ655372 OXJ720898 OXJ720904:OXJ720908 OXJ786434 OXJ786440:OXJ786444 OXJ851970 OXJ851976:OXJ851980 OXJ917506 OXJ917512:OXJ917516 OXJ983042 OXJ983048:OXJ983052 PHF2 PHF8:PHF12 PHF65538 PHF65544:PHF65548 PHF131074 PHF131080:PHF131084 PHF196610 PHF196616:PHF196620 PHF262146 PHF262152:PHF262156 PHF327682 PHF327688:PHF327692 PHF393218 PHF393224:PHF393228 PHF458754 PHF458760:PHF458764 PHF524290 PHF524296:PHF524300 PHF589826 PHF589832:PHF589836 PHF655362 PHF655368:PHF655372 PHF720898 PHF720904:PHF720908 PHF786434 PHF786440:PHF786444 PHF851970 PHF851976:PHF851980 PHF917506 PHF917512:PHF917516 PHF983042 PHF983048:PHF983052 PRB2 PRB8:PRB12 PRB65538 PRB65544:PRB65548 PRB131074 PRB131080:PRB131084 PRB196610 PRB196616:PRB196620 PRB262146 PRB262152:PRB262156 PRB327682 PRB327688:PRB327692 PRB393218 PRB393224:PRB393228 PRB458754 PRB458760:PRB458764 PRB524290 PRB524296:PRB524300 PRB589826 PRB589832:PRB589836 PRB655362 PRB655368:PRB655372 PRB720898 PRB720904:PRB720908 PRB786434 PRB786440:PRB786444 PRB851970 PRB851976:PRB851980 PRB917506 PRB917512:PRB917516 PRB983042 PRB983048:PRB983052 QAX2 QAX8:QAX12 QAX65538 QAX65544:QAX65548 QAX131074 QAX131080:QAX131084 QAX196610 QAX196616:QAX196620 QAX262146 QAX262152:QAX262156 QAX327682 QAX327688:QAX327692 QAX393218 QAX393224:QAX393228 QAX458754 QAX458760:QAX458764 QAX524290 QAX524296:QAX524300 QAX589826 QAX589832:QAX589836 QAX655362 QAX655368:QAX655372 QAX720898 QAX720904:QAX720908 QAX786434 QAX786440:QAX786444 QAX851970 QAX851976:QAX851980 QAX917506 QAX917512:QAX917516 QAX983042 QAX983048:QAX983052 QKT2 QKT8:QKT12 QKT65538 QKT65544:QKT65548 QKT131074 QKT131080:QKT131084 QKT196610 QKT196616:QKT196620 QKT262146 QKT262152:QKT262156 QKT327682 QKT327688:QKT327692 QKT393218 QKT393224:QKT393228 QKT458754 QKT458760:QKT458764 QKT524290 QKT524296:QKT524300 QKT589826 QKT589832:QKT589836 QKT655362 QKT655368:QKT655372 QKT720898 QKT720904:QKT720908 QKT786434 QKT786440:QKT786444 QKT851970 QKT851976:QKT851980 QKT917506 QKT917512:QKT917516 QKT983042 QKT983048:QKT983052 QUP2 QUP8:QUP12 QUP65538 QUP65544:QUP65548 QUP131074 QUP131080:QUP131084 QUP196610 QUP196616:QUP196620 QUP262146 QUP262152:QUP262156 QUP327682 QUP327688:QUP327692 QUP393218 QUP393224:QUP393228 QUP458754 QUP458760:QUP458764 QUP524290 QUP524296:QUP524300 QUP589826 QUP589832:QUP589836 QUP655362 QUP655368:QUP655372 QUP720898 QUP720904:QUP720908 QUP786434 QUP786440:QUP786444 QUP851970 QUP851976:QUP851980 QUP917506 QUP917512:QUP917516 QUP983042 QUP983048:QUP983052 REL2 REL8:REL12 REL65538 REL65544:REL65548 REL131074 REL131080:REL131084 REL196610 REL196616:REL196620 REL262146 REL262152:REL262156 REL327682 REL327688:REL327692 REL393218 REL393224:REL393228 REL458754 REL458760:REL458764 REL524290 REL524296:REL524300 REL589826 REL589832:REL589836 REL655362 REL655368:REL655372 REL720898 REL720904:REL720908 REL786434 REL786440:REL786444 REL851970 REL851976:REL851980 REL917506 REL917512:REL917516 REL983042 REL983048:REL983052 ROH2 ROH8:ROH12 ROH65538 ROH65544:ROH65548 ROH131074 ROH131080:ROH131084 ROH196610 ROH196616:ROH196620 ROH262146 ROH262152:ROH262156 ROH327682 ROH327688:ROH327692 ROH393218 ROH393224:ROH393228 ROH458754 ROH458760:ROH458764 ROH524290 ROH524296:ROH524300 ROH589826 ROH589832:ROH589836 ROH655362 ROH655368:ROH655372 ROH720898 ROH720904:ROH720908 ROH786434 ROH786440:ROH786444 ROH851970 ROH851976:ROH851980 ROH917506 ROH917512:ROH917516 ROH983042 ROH983048:ROH983052 RYD2 RYD8:RYD12 RYD65538 RYD65544:RYD65548 RYD131074 RYD131080:RYD131084 RYD196610 RYD196616:RYD196620 RYD262146 RYD262152:RYD262156 RYD327682 RYD327688:RYD327692 RYD393218 RYD393224:RYD393228 RYD458754 RYD458760:RYD458764 RYD524290 RYD524296:RYD524300 RYD589826 RYD589832:RYD589836 RYD655362 RYD655368:RYD655372 RYD720898 RYD720904:RYD720908 RYD786434 RYD786440:RYD786444 RYD851970 RYD851976:RYD851980 RYD917506 RYD917512:RYD917516 RYD983042 RYD983048:RYD983052 SHZ2 SHZ8:SHZ12 SHZ65538 SHZ65544:SHZ65548 SHZ131074 SHZ131080:SHZ131084 SHZ196610 SHZ196616:SHZ196620 SHZ262146 SHZ262152:SHZ262156 SHZ327682 SHZ327688:SHZ327692 SHZ393218 SHZ393224:SHZ393228 SHZ458754 SHZ458760:SHZ458764 SHZ524290 SHZ524296:SHZ524300 SHZ589826 SHZ589832:SHZ589836 SHZ655362 SHZ655368:SHZ655372 SHZ720898 SHZ720904:SHZ720908 SHZ786434 SHZ786440:SHZ786444 SHZ851970 SHZ851976:SHZ851980 SHZ917506 SHZ917512:SHZ917516 SHZ983042 SHZ983048:SHZ983052 SRV2 SRV8:SRV12 SRV65538 SRV65544:SRV65548 SRV131074 SRV131080:SRV131084 SRV196610 SRV196616:SRV196620 SRV262146 SRV262152:SRV262156 SRV327682 SRV327688:SRV327692 SRV393218 SRV393224:SRV393228 SRV458754 SRV458760:SRV458764 SRV524290 SRV524296:SRV524300 SRV589826 SRV589832:SRV589836 SRV655362 SRV655368:SRV655372 SRV720898 SRV720904:SRV720908 SRV786434 SRV786440:SRV786444 SRV851970 SRV851976:SRV851980 SRV917506 SRV917512:SRV917516 SRV983042 SRV983048:SRV983052 TBR2 TBR8:TBR12 TBR65538 TBR65544:TBR65548 TBR131074 TBR131080:TBR131084 TBR196610 TBR196616:TBR196620 TBR262146 TBR262152:TBR262156 TBR327682 TBR327688:TBR327692 TBR393218 TBR393224:TBR393228 TBR458754 TBR458760:TBR458764 TBR524290 TBR524296:TBR524300 TBR589826 TBR589832:TBR589836 TBR655362 TBR655368:TBR655372 TBR720898 TBR720904:TBR720908 TBR786434 TBR786440:TBR786444 TBR851970 TBR851976:TBR851980 TBR917506 TBR917512:TBR917516 TBR983042 TBR983048:TBR983052 TLN2 TLN8:TLN12 TLN65538 TLN65544:TLN65548 TLN131074 TLN131080:TLN131084 TLN196610 TLN196616:TLN196620 TLN262146 TLN262152:TLN262156 TLN327682 TLN327688:TLN327692 TLN393218 TLN393224:TLN393228 TLN458754 TLN458760:TLN458764 TLN524290 TLN524296:TLN524300 TLN589826 TLN589832:TLN589836 TLN655362 TLN655368:TLN655372 TLN720898 TLN720904:TLN720908 TLN786434 TLN786440:TLN786444 TLN851970 TLN851976:TLN851980 TLN917506 TLN917512:TLN917516 TLN983042 TLN983048:TLN983052 TVJ2 TVJ8:TVJ12 TVJ65538 TVJ65544:TVJ65548 TVJ131074 TVJ131080:TVJ131084 TVJ196610 TVJ196616:TVJ196620 TVJ262146 TVJ262152:TVJ262156 TVJ327682 TVJ327688:TVJ327692 TVJ393218 TVJ393224:TVJ393228 TVJ458754 TVJ458760:TVJ458764 TVJ524290 TVJ524296:TVJ524300 TVJ589826 TVJ589832:TVJ589836 TVJ655362 TVJ655368:TVJ655372 TVJ720898 TVJ720904:TVJ720908 TVJ786434 TVJ786440:TVJ786444 TVJ851970 TVJ851976:TVJ851980 TVJ917506 TVJ917512:TVJ917516 TVJ983042 TVJ983048:TVJ983052 UFF2 UFF8:UFF12 UFF65538 UFF65544:UFF65548 UFF131074 UFF131080:UFF131084 UFF196610 UFF196616:UFF196620 UFF262146 UFF262152:UFF262156 UFF327682 UFF327688:UFF327692 UFF393218 UFF393224:UFF393228 UFF458754 UFF458760:UFF458764 UFF524290 UFF524296:UFF524300 UFF589826 UFF589832:UFF589836 UFF655362 UFF655368:UFF655372 UFF720898 UFF720904:UFF720908 UFF786434 UFF786440:UFF786444 UFF851970 UFF851976:UFF851980 UFF917506 UFF917512:UFF917516 UFF983042 UFF983048:UFF983052 UPB2 UPB8:UPB12 UPB65538 UPB65544:UPB65548 UPB131074 UPB131080:UPB131084 UPB196610 UPB196616:UPB196620 UPB262146 UPB262152:UPB262156 UPB327682 UPB327688:UPB327692 UPB393218 UPB393224:UPB393228 UPB458754 UPB458760:UPB458764 UPB524290 UPB524296:UPB524300 UPB589826 UPB589832:UPB589836 UPB655362 UPB655368:UPB655372 UPB720898 UPB720904:UPB720908 UPB786434 UPB786440:UPB786444 UPB851970 UPB851976:UPB851980 UPB917506 UPB917512:UPB917516 UPB983042 UPB983048:UPB983052 UYX2 UYX8:UYX12 UYX65538 UYX65544:UYX65548 UYX131074 UYX131080:UYX131084 UYX196610 UYX196616:UYX196620 UYX262146 UYX262152:UYX262156 UYX327682 UYX327688:UYX327692 UYX393218 UYX393224:UYX393228 UYX458754 UYX458760:UYX458764 UYX524290 UYX524296:UYX524300 UYX589826 UYX589832:UYX589836 UYX655362 UYX655368:UYX655372 UYX720898 UYX720904:UYX720908 UYX786434 UYX786440:UYX786444 UYX851970 UYX851976:UYX851980 UYX917506 UYX917512:UYX917516 UYX983042 UYX983048:UYX983052 VIT2 VIT8:VIT12 VIT65538 VIT65544:VIT65548 VIT131074 VIT131080:VIT131084 VIT196610 VIT196616:VIT196620 VIT262146 VIT262152:VIT262156 VIT327682 VIT327688:VIT327692 VIT393218 VIT393224:VIT393228 VIT458754 VIT458760:VIT458764 VIT524290 VIT524296:VIT524300 VIT589826 VIT589832:VIT589836 VIT655362 VIT655368:VIT655372 VIT720898 VIT720904:VIT720908 VIT786434 VIT786440:VIT786444 VIT851970 VIT851976:VIT851980 VIT917506 VIT917512:VIT917516 VIT983042 VIT983048:VIT983052 VSP2 VSP8:VSP12 VSP65538 VSP65544:VSP65548 VSP131074 VSP131080:VSP131084 VSP196610 VSP196616:VSP196620 VSP262146 VSP262152:VSP262156 VSP327682 VSP327688:VSP327692 VSP393218 VSP393224:VSP393228 VSP458754 VSP458760:VSP458764 VSP524290 VSP524296:VSP524300 VSP589826 VSP589832:VSP589836 VSP655362 VSP655368:VSP655372 VSP720898 VSP720904:VSP720908 VSP786434 VSP786440:VSP786444 VSP851970 VSP851976:VSP851980 VSP917506 VSP917512:VSP917516 VSP983042 VSP983048:VSP983052 WCL2 WCL8:WCL12 WCL65538 WCL65544:WCL65548 WCL131074 WCL131080:WCL131084 WCL196610 WCL196616:WCL196620 WCL262146 WCL262152:WCL262156 WCL327682 WCL327688:WCL327692 WCL393218 WCL393224:WCL393228 WCL458754 WCL458760:WCL458764 WCL524290 WCL524296:WCL524300 WCL589826 WCL589832:WCL589836 WCL655362 WCL655368:WCL655372 WCL720898 WCL720904:WCL720908 WCL786434 WCL786440:WCL786444 WCL851970 WCL851976:WCL851980 WCL917506 WCL917512:WCL917516 WCL983042 WCL983048:WCL983052 WMH2 WMH8:WMH12 WMH65538 WMH65544:WMH65548 WMH131074 WMH131080:WMH131084 WMH196610 WMH196616:WMH196620 WMH262146 WMH262152:WMH262156 WMH327682 WMH327688:WMH327692 WMH393218 WMH393224:WMH393228 WMH458754 WMH458760:WMH458764 WMH524290 WMH524296:WMH524300 WMH589826 WMH589832:WMH589836 WMH655362 WMH655368:WMH655372 WMH720898 WMH720904:WMH720908 WMH786434 WMH786440:WMH786444 WMH851970 WMH851976:WMH851980 WMH917506 WMH917512:WMH917516 WMH983042 WMH983048:WMH983052 WWD2 WWD8:WWD12 WWD65538 WWD65544:WWD65548 WWD131074 WWD131080:WWD131084 WWD196610 WWD196616:WWD196620 WWD262146 WWD262152:WWD262156 WWD327682 WWD327688:WWD327692 WWD393218 WWD393224:WWD393228 WWD458754 WWD458760:WWD458764 WWD524290 WWD524296:WWD524300 WWD589826 WWD589832:WWD589836 WWD655362 WWD655368:WWD655372 WWD720898 WWD720904:WWD720908 WWD786434 WWD786440:WWD786444 WWD851970 WWD851976:WWD851980 WWD917506 WWD917512:WWD917516 WWD983042 WWD983048:WWD983052" xr:uid="{00000000-0002-0000-0900-000019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U2 U8:U12 U65538 U65544:U65548 U131074 U131080:U131084 U196610 U196616:U196620 U262146 U262152:U262156 U327682 U327688:U327692 U393218 U393224:U393228 U458754 U458760:U458764 U524290 U524296:U524300 U589826 U589832:U589836 U655362 U655368:U655372 U720898 U720904:U720908 U786434 U786440:U786444 U851970 U851976:U851980 U917506 U917512:U917516 U983042 U983048:U983052 JQ2 JQ8:JQ12 JQ65538 JQ65544:JQ65548 JQ131074 JQ131080:JQ131084 JQ196610 JQ196616:JQ196620 JQ262146 JQ262152:JQ262156 JQ327682 JQ327688:JQ327692 JQ393218 JQ393224:JQ393228 JQ458754 JQ458760:JQ458764 JQ524290 JQ524296:JQ524300 JQ589826 JQ589832:JQ589836 JQ655362 JQ655368:JQ655372 JQ720898 JQ720904:JQ720908 JQ786434 JQ786440:JQ786444 JQ851970 JQ851976:JQ851980 JQ917506 JQ917512:JQ917516 JQ983042 JQ983048:JQ983052 TM2 TM8:TM12 TM65538 TM65544:TM65548 TM131074 TM131080:TM131084 TM196610 TM196616:TM196620 TM262146 TM262152:TM262156 TM327682 TM327688:TM327692 TM393218 TM393224:TM393228 TM458754 TM458760:TM458764 TM524290 TM524296:TM524300 TM589826 TM589832:TM589836 TM655362 TM655368:TM655372 TM720898 TM720904:TM720908 TM786434 TM786440:TM786444 TM851970 TM851976:TM851980 TM917506 TM917512:TM917516 TM983042 TM983048:TM983052 ADI2 ADI8:ADI12 ADI65538 ADI65544:ADI65548 ADI131074 ADI131080:ADI131084 ADI196610 ADI196616:ADI196620 ADI262146 ADI262152:ADI262156 ADI327682 ADI327688:ADI327692 ADI393218 ADI393224:ADI393228 ADI458754 ADI458760:ADI458764 ADI524290 ADI524296:ADI524300 ADI589826 ADI589832:ADI589836 ADI655362 ADI655368:ADI655372 ADI720898 ADI720904:ADI720908 ADI786434 ADI786440:ADI786444 ADI851970 ADI851976:ADI851980 ADI917506 ADI917512:ADI917516 ADI983042 ADI983048:ADI983052 ANE2 ANE8:ANE12 ANE65538 ANE65544:ANE65548 ANE131074 ANE131080:ANE131084 ANE196610 ANE196616:ANE196620 ANE262146 ANE262152:ANE262156 ANE327682 ANE327688:ANE327692 ANE393218 ANE393224:ANE393228 ANE458754 ANE458760:ANE458764 ANE524290 ANE524296:ANE524300 ANE589826 ANE589832:ANE589836 ANE655362 ANE655368:ANE655372 ANE720898 ANE720904:ANE720908 ANE786434 ANE786440:ANE786444 ANE851970 ANE851976:ANE851980 ANE917506 ANE917512:ANE917516 ANE983042 ANE983048:ANE983052 AXA2 AXA8:AXA12 AXA65538 AXA65544:AXA65548 AXA131074 AXA131080:AXA131084 AXA196610 AXA196616:AXA196620 AXA262146 AXA262152:AXA262156 AXA327682 AXA327688:AXA327692 AXA393218 AXA393224:AXA393228 AXA458754 AXA458760:AXA458764 AXA524290 AXA524296:AXA524300 AXA589826 AXA589832:AXA589836 AXA655362 AXA655368:AXA655372 AXA720898 AXA720904:AXA720908 AXA786434 AXA786440:AXA786444 AXA851970 AXA851976:AXA851980 AXA917506 AXA917512:AXA917516 AXA983042 AXA983048:AXA983052 BGW2 BGW8:BGW12 BGW65538 BGW65544:BGW65548 BGW131074 BGW131080:BGW131084 BGW196610 BGW196616:BGW196620 BGW262146 BGW262152:BGW262156 BGW327682 BGW327688:BGW327692 BGW393218 BGW393224:BGW393228 BGW458754 BGW458760:BGW458764 BGW524290 BGW524296:BGW524300 BGW589826 BGW589832:BGW589836 BGW655362 BGW655368:BGW655372 BGW720898 BGW720904:BGW720908 BGW786434 BGW786440:BGW786444 BGW851970 BGW851976:BGW851980 BGW917506 BGW917512:BGW917516 BGW983042 BGW983048:BGW983052 BQS2 BQS8:BQS12 BQS65538 BQS65544:BQS65548 BQS131074 BQS131080:BQS131084 BQS196610 BQS196616:BQS196620 BQS262146 BQS262152:BQS262156 BQS327682 BQS327688:BQS327692 BQS393218 BQS393224:BQS393228 BQS458754 BQS458760:BQS458764 BQS524290 BQS524296:BQS524300 BQS589826 BQS589832:BQS589836 BQS655362 BQS655368:BQS655372 BQS720898 BQS720904:BQS720908 BQS786434 BQS786440:BQS786444 BQS851970 BQS851976:BQS851980 BQS917506 BQS917512:BQS917516 BQS983042 BQS983048:BQS983052 CAO2 CAO8:CAO12 CAO65538 CAO65544:CAO65548 CAO131074 CAO131080:CAO131084 CAO196610 CAO196616:CAO196620 CAO262146 CAO262152:CAO262156 CAO327682 CAO327688:CAO327692 CAO393218 CAO393224:CAO393228 CAO458754 CAO458760:CAO458764 CAO524290 CAO524296:CAO524300 CAO589826 CAO589832:CAO589836 CAO655362 CAO655368:CAO655372 CAO720898 CAO720904:CAO720908 CAO786434 CAO786440:CAO786444 CAO851970 CAO851976:CAO851980 CAO917506 CAO917512:CAO917516 CAO983042 CAO983048:CAO983052 CKK2 CKK8:CKK12 CKK65538 CKK65544:CKK65548 CKK131074 CKK131080:CKK131084 CKK196610 CKK196616:CKK196620 CKK262146 CKK262152:CKK262156 CKK327682 CKK327688:CKK327692 CKK393218 CKK393224:CKK393228 CKK458754 CKK458760:CKK458764 CKK524290 CKK524296:CKK524300 CKK589826 CKK589832:CKK589836 CKK655362 CKK655368:CKK655372 CKK720898 CKK720904:CKK720908 CKK786434 CKK786440:CKK786444 CKK851970 CKK851976:CKK851980 CKK917506 CKK917512:CKK917516 CKK983042 CKK983048:CKK983052 CUG2 CUG8:CUG12 CUG65538 CUG65544:CUG65548 CUG131074 CUG131080:CUG131084 CUG196610 CUG196616:CUG196620 CUG262146 CUG262152:CUG262156 CUG327682 CUG327688:CUG327692 CUG393218 CUG393224:CUG393228 CUG458754 CUG458760:CUG458764 CUG524290 CUG524296:CUG524300 CUG589826 CUG589832:CUG589836 CUG655362 CUG655368:CUG655372 CUG720898 CUG720904:CUG720908 CUG786434 CUG786440:CUG786444 CUG851970 CUG851976:CUG851980 CUG917506 CUG917512:CUG917516 CUG983042 CUG983048:CUG983052 DEC2 DEC8:DEC12 DEC65538 DEC65544:DEC65548 DEC131074 DEC131080:DEC131084 DEC196610 DEC196616:DEC196620 DEC262146 DEC262152:DEC262156 DEC327682 DEC327688:DEC327692 DEC393218 DEC393224:DEC393228 DEC458754 DEC458760:DEC458764 DEC524290 DEC524296:DEC524300 DEC589826 DEC589832:DEC589836 DEC655362 DEC655368:DEC655372 DEC720898 DEC720904:DEC720908 DEC786434 DEC786440:DEC786444 DEC851970 DEC851976:DEC851980 DEC917506 DEC917512:DEC917516 DEC983042 DEC983048:DEC983052 DNY2 DNY8:DNY12 DNY65538 DNY65544:DNY65548 DNY131074 DNY131080:DNY131084 DNY196610 DNY196616:DNY196620 DNY262146 DNY262152:DNY262156 DNY327682 DNY327688:DNY327692 DNY393218 DNY393224:DNY393228 DNY458754 DNY458760:DNY458764 DNY524290 DNY524296:DNY524300 DNY589826 DNY589832:DNY589836 DNY655362 DNY655368:DNY655372 DNY720898 DNY720904:DNY720908 DNY786434 DNY786440:DNY786444 DNY851970 DNY851976:DNY851980 DNY917506 DNY917512:DNY917516 DNY983042 DNY983048:DNY983052 DXU2 DXU8:DXU12 DXU65538 DXU65544:DXU65548 DXU131074 DXU131080:DXU131084 DXU196610 DXU196616:DXU196620 DXU262146 DXU262152:DXU262156 DXU327682 DXU327688:DXU327692 DXU393218 DXU393224:DXU393228 DXU458754 DXU458760:DXU458764 DXU524290 DXU524296:DXU524300 DXU589826 DXU589832:DXU589836 DXU655362 DXU655368:DXU655372 DXU720898 DXU720904:DXU720908 DXU786434 DXU786440:DXU786444 DXU851970 DXU851976:DXU851980 DXU917506 DXU917512:DXU917516 DXU983042 DXU983048:DXU983052 EHQ2 EHQ8:EHQ12 EHQ65538 EHQ65544:EHQ65548 EHQ131074 EHQ131080:EHQ131084 EHQ196610 EHQ196616:EHQ196620 EHQ262146 EHQ262152:EHQ262156 EHQ327682 EHQ327688:EHQ327692 EHQ393218 EHQ393224:EHQ393228 EHQ458754 EHQ458760:EHQ458764 EHQ524290 EHQ524296:EHQ524300 EHQ589826 EHQ589832:EHQ589836 EHQ655362 EHQ655368:EHQ655372 EHQ720898 EHQ720904:EHQ720908 EHQ786434 EHQ786440:EHQ786444 EHQ851970 EHQ851976:EHQ851980 EHQ917506 EHQ917512:EHQ917516 EHQ983042 EHQ983048:EHQ983052 ERM2 ERM8:ERM12 ERM65538 ERM65544:ERM65548 ERM131074 ERM131080:ERM131084 ERM196610 ERM196616:ERM196620 ERM262146 ERM262152:ERM262156 ERM327682 ERM327688:ERM327692 ERM393218 ERM393224:ERM393228 ERM458754 ERM458760:ERM458764 ERM524290 ERM524296:ERM524300 ERM589826 ERM589832:ERM589836 ERM655362 ERM655368:ERM655372 ERM720898 ERM720904:ERM720908 ERM786434 ERM786440:ERM786444 ERM851970 ERM851976:ERM851980 ERM917506 ERM917512:ERM917516 ERM983042 ERM983048:ERM983052 FBI2 FBI8:FBI12 FBI65538 FBI65544:FBI65548 FBI131074 FBI131080:FBI131084 FBI196610 FBI196616:FBI196620 FBI262146 FBI262152:FBI262156 FBI327682 FBI327688:FBI327692 FBI393218 FBI393224:FBI393228 FBI458754 FBI458760:FBI458764 FBI524290 FBI524296:FBI524300 FBI589826 FBI589832:FBI589836 FBI655362 FBI655368:FBI655372 FBI720898 FBI720904:FBI720908 FBI786434 FBI786440:FBI786444 FBI851970 FBI851976:FBI851980 FBI917506 FBI917512:FBI917516 FBI983042 FBI983048:FBI983052 FLE2 FLE8:FLE12 FLE65538 FLE65544:FLE65548 FLE131074 FLE131080:FLE131084 FLE196610 FLE196616:FLE196620 FLE262146 FLE262152:FLE262156 FLE327682 FLE327688:FLE327692 FLE393218 FLE393224:FLE393228 FLE458754 FLE458760:FLE458764 FLE524290 FLE524296:FLE524300 FLE589826 FLE589832:FLE589836 FLE655362 FLE655368:FLE655372 FLE720898 FLE720904:FLE720908 FLE786434 FLE786440:FLE786444 FLE851970 FLE851976:FLE851980 FLE917506 FLE917512:FLE917516 FLE983042 FLE983048:FLE983052 FVA2 FVA8:FVA12 FVA65538 FVA65544:FVA65548 FVA131074 FVA131080:FVA131084 FVA196610 FVA196616:FVA196620 FVA262146 FVA262152:FVA262156 FVA327682 FVA327688:FVA327692 FVA393218 FVA393224:FVA393228 FVA458754 FVA458760:FVA458764 FVA524290 FVA524296:FVA524300 FVA589826 FVA589832:FVA589836 FVA655362 FVA655368:FVA655372 FVA720898 FVA720904:FVA720908 FVA786434 FVA786440:FVA786444 FVA851970 FVA851976:FVA851980 FVA917506 FVA917512:FVA917516 FVA983042 FVA983048:FVA983052 GEW2 GEW8:GEW12 GEW65538 GEW65544:GEW65548 GEW131074 GEW131080:GEW131084 GEW196610 GEW196616:GEW196620 GEW262146 GEW262152:GEW262156 GEW327682 GEW327688:GEW327692 GEW393218 GEW393224:GEW393228 GEW458754 GEW458760:GEW458764 GEW524290 GEW524296:GEW524300 GEW589826 GEW589832:GEW589836 GEW655362 GEW655368:GEW655372 GEW720898 GEW720904:GEW720908 GEW786434 GEW786440:GEW786444 GEW851970 GEW851976:GEW851980 GEW917506 GEW917512:GEW917516 GEW983042 GEW983048:GEW983052 GOS2 GOS8:GOS12 GOS65538 GOS65544:GOS65548 GOS131074 GOS131080:GOS131084 GOS196610 GOS196616:GOS196620 GOS262146 GOS262152:GOS262156 GOS327682 GOS327688:GOS327692 GOS393218 GOS393224:GOS393228 GOS458754 GOS458760:GOS458764 GOS524290 GOS524296:GOS524300 GOS589826 GOS589832:GOS589836 GOS655362 GOS655368:GOS655372 GOS720898 GOS720904:GOS720908 GOS786434 GOS786440:GOS786444 GOS851970 GOS851976:GOS851980 GOS917506 GOS917512:GOS917516 GOS983042 GOS983048:GOS983052 GYO2 GYO8:GYO12 GYO65538 GYO65544:GYO65548 GYO131074 GYO131080:GYO131084 GYO196610 GYO196616:GYO196620 GYO262146 GYO262152:GYO262156 GYO327682 GYO327688:GYO327692 GYO393218 GYO393224:GYO393228 GYO458754 GYO458760:GYO458764 GYO524290 GYO524296:GYO524300 GYO589826 GYO589832:GYO589836 GYO655362 GYO655368:GYO655372 GYO720898 GYO720904:GYO720908 GYO786434 GYO786440:GYO786444 GYO851970 GYO851976:GYO851980 GYO917506 GYO917512:GYO917516 GYO983042 GYO983048:GYO983052 HIK2 HIK8:HIK12 HIK65538 HIK65544:HIK65548 HIK131074 HIK131080:HIK131084 HIK196610 HIK196616:HIK196620 HIK262146 HIK262152:HIK262156 HIK327682 HIK327688:HIK327692 HIK393218 HIK393224:HIK393228 HIK458754 HIK458760:HIK458764 HIK524290 HIK524296:HIK524300 HIK589826 HIK589832:HIK589836 HIK655362 HIK655368:HIK655372 HIK720898 HIK720904:HIK720908 HIK786434 HIK786440:HIK786444 HIK851970 HIK851976:HIK851980 HIK917506 HIK917512:HIK917516 HIK983042 HIK983048:HIK983052 HSG2 HSG8:HSG12 HSG65538 HSG65544:HSG65548 HSG131074 HSG131080:HSG131084 HSG196610 HSG196616:HSG196620 HSG262146 HSG262152:HSG262156 HSG327682 HSG327688:HSG327692 HSG393218 HSG393224:HSG393228 HSG458754 HSG458760:HSG458764 HSG524290 HSG524296:HSG524300 HSG589826 HSG589832:HSG589836 HSG655362 HSG655368:HSG655372 HSG720898 HSG720904:HSG720908 HSG786434 HSG786440:HSG786444 HSG851970 HSG851976:HSG851980 HSG917506 HSG917512:HSG917516 HSG983042 HSG983048:HSG983052 ICC2 ICC8:ICC12 ICC65538 ICC65544:ICC65548 ICC131074 ICC131080:ICC131084 ICC196610 ICC196616:ICC196620 ICC262146 ICC262152:ICC262156 ICC327682 ICC327688:ICC327692 ICC393218 ICC393224:ICC393228 ICC458754 ICC458760:ICC458764 ICC524290 ICC524296:ICC524300 ICC589826 ICC589832:ICC589836 ICC655362 ICC655368:ICC655372 ICC720898 ICC720904:ICC720908 ICC786434 ICC786440:ICC786444 ICC851970 ICC851976:ICC851980 ICC917506 ICC917512:ICC917516 ICC983042 ICC983048:ICC983052 ILY2 ILY8:ILY12 ILY65538 ILY65544:ILY65548 ILY131074 ILY131080:ILY131084 ILY196610 ILY196616:ILY196620 ILY262146 ILY262152:ILY262156 ILY327682 ILY327688:ILY327692 ILY393218 ILY393224:ILY393228 ILY458754 ILY458760:ILY458764 ILY524290 ILY524296:ILY524300 ILY589826 ILY589832:ILY589836 ILY655362 ILY655368:ILY655372 ILY720898 ILY720904:ILY720908 ILY786434 ILY786440:ILY786444 ILY851970 ILY851976:ILY851980 ILY917506 ILY917512:ILY917516 ILY983042 ILY983048:ILY983052 IVU2 IVU8:IVU12 IVU65538 IVU65544:IVU65548 IVU131074 IVU131080:IVU131084 IVU196610 IVU196616:IVU196620 IVU262146 IVU262152:IVU262156 IVU327682 IVU327688:IVU327692 IVU393218 IVU393224:IVU393228 IVU458754 IVU458760:IVU458764 IVU524290 IVU524296:IVU524300 IVU589826 IVU589832:IVU589836 IVU655362 IVU655368:IVU655372 IVU720898 IVU720904:IVU720908 IVU786434 IVU786440:IVU786444 IVU851970 IVU851976:IVU851980 IVU917506 IVU917512:IVU917516 IVU983042 IVU983048:IVU983052 JFQ2 JFQ8:JFQ12 JFQ65538 JFQ65544:JFQ65548 JFQ131074 JFQ131080:JFQ131084 JFQ196610 JFQ196616:JFQ196620 JFQ262146 JFQ262152:JFQ262156 JFQ327682 JFQ327688:JFQ327692 JFQ393218 JFQ393224:JFQ393228 JFQ458754 JFQ458760:JFQ458764 JFQ524290 JFQ524296:JFQ524300 JFQ589826 JFQ589832:JFQ589836 JFQ655362 JFQ655368:JFQ655372 JFQ720898 JFQ720904:JFQ720908 JFQ786434 JFQ786440:JFQ786444 JFQ851970 JFQ851976:JFQ851980 JFQ917506 JFQ917512:JFQ917516 JFQ983042 JFQ983048:JFQ983052 JPM2 JPM8:JPM12 JPM65538 JPM65544:JPM65548 JPM131074 JPM131080:JPM131084 JPM196610 JPM196616:JPM196620 JPM262146 JPM262152:JPM262156 JPM327682 JPM327688:JPM327692 JPM393218 JPM393224:JPM393228 JPM458754 JPM458760:JPM458764 JPM524290 JPM524296:JPM524300 JPM589826 JPM589832:JPM589836 JPM655362 JPM655368:JPM655372 JPM720898 JPM720904:JPM720908 JPM786434 JPM786440:JPM786444 JPM851970 JPM851976:JPM851980 JPM917506 JPM917512:JPM917516 JPM983042 JPM983048:JPM983052 JZI2 JZI8:JZI12 JZI65538 JZI65544:JZI65548 JZI131074 JZI131080:JZI131084 JZI196610 JZI196616:JZI196620 JZI262146 JZI262152:JZI262156 JZI327682 JZI327688:JZI327692 JZI393218 JZI393224:JZI393228 JZI458754 JZI458760:JZI458764 JZI524290 JZI524296:JZI524300 JZI589826 JZI589832:JZI589836 JZI655362 JZI655368:JZI655372 JZI720898 JZI720904:JZI720908 JZI786434 JZI786440:JZI786444 JZI851970 JZI851976:JZI851980 JZI917506 JZI917512:JZI917516 JZI983042 JZI983048:JZI983052 KJE2 KJE8:KJE12 KJE65538 KJE65544:KJE65548 KJE131074 KJE131080:KJE131084 KJE196610 KJE196616:KJE196620 KJE262146 KJE262152:KJE262156 KJE327682 KJE327688:KJE327692 KJE393218 KJE393224:KJE393228 KJE458754 KJE458760:KJE458764 KJE524290 KJE524296:KJE524300 KJE589826 KJE589832:KJE589836 KJE655362 KJE655368:KJE655372 KJE720898 KJE720904:KJE720908 KJE786434 KJE786440:KJE786444 KJE851970 KJE851976:KJE851980 KJE917506 KJE917512:KJE917516 KJE983042 KJE983048:KJE983052 KTA2 KTA8:KTA12 KTA65538 KTA65544:KTA65548 KTA131074 KTA131080:KTA131084 KTA196610 KTA196616:KTA196620 KTA262146 KTA262152:KTA262156 KTA327682 KTA327688:KTA327692 KTA393218 KTA393224:KTA393228 KTA458754 KTA458760:KTA458764 KTA524290 KTA524296:KTA524300 KTA589826 KTA589832:KTA589836 KTA655362 KTA655368:KTA655372 KTA720898 KTA720904:KTA720908 KTA786434 KTA786440:KTA786444 KTA851970 KTA851976:KTA851980 KTA917506 KTA917512:KTA917516 KTA983042 KTA983048:KTA983052 LCW2 LCW8:LCW12 LCW65538 LCW65544:LCW65548 LCW131074 LCW131080:LCW131084 LCW196610 LCW196616:LCW196620 LCW262146 LCW262152:LCW262156 LCW327682 LCW327688:LCW327692 LCW393218 LCW393224:LCW393228 LCW458754 LCW458760:LCW458764 LCW524290 LCW524296:LCW524300 LCW589826 LCW589832:LCW589836 LCW655362 LCW655368:LCW655372 LCW720898 LCW720904:LCW720908 LCW786434 LCW786440:LCW786444 LCW851970 LCW851976:LCW851980 LCW917506 LCW917512:LCW917516 LCW983042 LCW983048:LCW983052 LMS2 LMS8:LMS12 LMS65538 LMS65544:LMS65548 LMS131074 LMS131080:LMS131084 LMS196610 LMS196616:LMS196620 LMS262146 LMS262152:LMS262156 LMS327682 LMS327688:LMS327692 LMS393218 LMS393224:LMS393228 LMS458754 LMS458760:LMS458764 LMS524290 LMS524296:LMS524300 LMS589826 LMS589832:LMS589836 LMS655362 LMS655368:LMS655372 LMS720898 LMS720904:LMS720908 LMS786434 LMS786440:LMS786444 LMS851970 LMS851976:LMS851980 LMS917506 LMS917512:LMS917516 LMS983042 LMS983048:LMS983052 LWO2 LWO8:LWO12 LWO65538 LWO65544:LWO65548 LWO131074 LWO131080:LWO131084 LWO196610 LWO196616:LWO196620 LWO262146 LWO262152:LWO262156 LWO327682 LWO327688:LWO327692 LWO393218 LWO393224:LWO393228 LWO458754 LWO458760:LWO458764 LWO524290 LWO524296:LWO524300 LWO589826 LWO589832:LWO589836 LWO655362 LWO655368:LWO655372 LWO720898 LWO720904:LWO720908 LWO786434 LWO786440:LWO786444 LWO851970 LWO851976:LWO851980 LWO917506 LWO917512:LWO917516 LWO983042 LWO983048:LWO983052 MGK2 MGK8:MGK12 MGK65538 MGK65544:MGK65548 MGK131074 MGK131080:MGK131084 MGK196610 MGK196616:MGK196620 MGK262146 MGK262152:MGK262156 MGK327682 MGK327688:MGK327692 MGK393218 MGK393224:MGK393228 MGK458754 MGK458760:MGK458764 MGK524290 MGK524296:MGK524300 MGK589826 MGK589832:MGK589836 MGK655362 MGK655368:MGK655372 MGK720898 MGK720904:MGK720908 MGK786434 MGK786440:MGK786444 MGK851970 MGK851976:MGK851980 MGK917506 MGK917512:MGK917516 MGK983042 MGK983048:MGK983052 MQG2 MQG8:MQG12 MQG65538 MQG65544:MQG65548 MQG131074 MQG131080:MQG131084 MQG196610 MQG196616:MQG196620 MQG262146 MQG262152:MQG262156 MQG327682 MQG327688:MQG327692 MQG393218 MQG393224:MQG393228 MQG458754 MQG458760:MQG458764 MQG524290 MQG524296:MQG524300 MQG589826 MQG589832:MQG589836 MQG655362 MQG655368:MQG655372 MQG720898 MQG720904:MQG720908 MQG786434 MQG786440:MQG786444 MQG851970 MQG851976:MQG851980 MQG917506 MQG917512:MQG917516 MQG983042 MQG983048:MQG983052 NAC2 NAC8:NAC12 NAC65538 NAC65544:NAC65548 NAC131074 NAC131080:NAC131084 NAC196610 NAC196616:NAC196620 NAC262146 NAC262152:NAC262156 NAC327682 NAC327688:NAC327692 NAC393218 NAC393224:NAC393228 NAC458754 NAC458760:NAC458764 NAC524290 NAC524296:NAC524300 NAC589826 NAC589832:NAC589836 NAC655362 NAC655368:NAC655372 NAC720898 NAC720904:NAC720908 NAC786434 NAC786440:NAC786444 NAC851970 NAC851976:NAC851980 NAC917506 NAC917512:NAC917516 NAC983042 NAC983048:NAC983052 NJY2 NJY8:NJY12 NJY65538 NJY65544:NJY65548 NJY131074 NJY131080:NJY131084 NJY196610 NJY196616:NJY196620 NJY262146 NJY262152:NJY262156 NJY327682 NJY327688:NJY327692 NJY393218 NJY393224:NJY393228 NJY458754 NJY458760:NJY458764 NJY524290 NJY524296:NJY524300 NJY589826 NJY589832:NJY589836 NJY655362 NJY655368:NJY655372 NJY720898 NJY720904:NJY720908 NJY786434 NJY786440:NJY786444 NJY851970 NJY851976:NJY851980 NJY917506 NJY917512:NJY917516 NJY983042 NJY983048:NJY983052 NTU2 NTU8:NTU12 NTU65538 NTU65544:NTU65548 NTU131074 NTU131080:NTU131084 NTU196610 NTU196616:NTU196620 NTU262146 NTU262152:NTU262156 NTU327682 NTU327688:NTU327692 NTU393218 NTU393224:NTU393228 NTU458754 NTU458760:NTU458764 NTU524290 NTU524296:NTU524300 NTU589826 NTU589832:NTU589836 NTU655362 NTU655368:NTU655372 NTU720898 NTU720904:NTU720908 NTU786434 NTU786440:NTU786444 NTU851970 NTU851976:NTU851980 NTU917506 NTU917512:NTU917516 NTU983042 NTU983048:NTU983052 ODQ2 ODQ8:ODQ12 ODQ65538 ODQ65544:ODQ65548 ODQ131074 ODQ131080:ODQ131084 ODQ196610 ODQ196616:ODQ196620 ODQ262146 ODQ262152:ODQ262156 ODQ327682 ODQ327688:ODQ327692 ODQ393218 ODQ393224:ODQ393228 ODQ458754 ODQ458760:ODQ458764 ODQ524290 ODQ524296:ODQ524300 ODQ589826 ODQ589832:ODQ589836 ODQ655362 ODQ655368:ODQ655372 ODQ720898 ODQ720904:ODQ720908 ODQ786434 ODQ786440:ODQ786444 ODQ851970 ODQ851976:ODQ851980 ODQ917506 ODQ917512:ODQ917516 ODQ983042 ODQ983048:ODQ983052 ONM2 ONM8:ONM12 ONM65538 ONM65544:ONM65548 ONM131074 ONM131080:ONM131084 ONM196610 ONM196616:ONM196620 ONM262146 ONM262152:ONM262156 ONM327682 ONM327688:ONM327692 ONM393218 ONM393224:ONM393228 ONM458754 ONM458760:ONM458764 ONM524290 ONM524296:ONM524300 ONM589826 ONM589832:ONM589836 ONM655362 ONM655368:ONM655372 ONM720898 ONM720904:ONM720908 ONM786434 ONM786440:ONM786444 ONM851970 ONM851976:ONM851980 ONM917506 ONM917512:ONM917516 ONM983042 ONM983048:ONM983052 OXI2 OXI8:OXI12 OXI65538 OXI65544:OXI65548 OXI131074 OXI131080:OXI131084 OXI196610 OXI196616:OXI196620 OXI262146 OXI262152:OXI262156 OXI327682 OXI327688:OXI327692 OXI393218 OXI393224:OXI393228 OXI458754 OXI458760:OXI458764 OXI524290 OXI524296:OXI524300 OXI589826 OXI589832:OXI589836 OXI655362 OXI655368:OXI655372 OXI720898 OXI720904:OXI720908 OXI786434 OXI786440:OXI786444 OXI851970 OXI851976:OXI851980 OXI917506 OXI917512:OXI917516 OXI983042 OXI983048:OXI983052 PHE2 PHE8:PHE12 PHE65538 PHE65544:PHE65548 PHE131074 PHE131080:PHE131084 PHE196610 PHE196616:PHE196620 PHE262146 PHE262152:PHE262156 PHE327682 PHE327688:PHE327692 PHE393218 PHE393224:PHE393228 PHE458754 PHE458760:PHE458764 PHE524290 PHE524296:PHE524300 PHE589826 PHE589832:PHE589836 PHE655362 PHE655368:PHE655372 PHE720898 PHE720904:PHE720908 PHE786434 PHE786440:PHE786444 PHE851970 PHE851976:PHE851980 PHE917506 PHE917512:PHE917516 PHE983042 PHE983048:PHE983052 PRA2 PRA8:PRA12 PRA65538 PRA65544:PRA65548 PRA131074 PRA131080:PRA131084 PRA196610 PRA196616:PRA196620 PRA262146 PRA262152:PRA262156 PRA327682 PRA327688:PRA327692 PRA393218 PRA393224:PRA393228 PRA458754 PRA458760:PRA458764 PRA524290 PRA524296:PRA524300 PRA589826 PRA589832:PRA589836 PRA655362 PRA655368:PRA655372 PRA720898 PRA720904:PRA720908 PRA786434 PRA786440:PRA786444 PRA851970 PRA851976:PRA851980 PRA917506 PRA917512:PRA917516 PRA983042 PRA983048:PRA983052 QAW2 QAW8:QAW12 QAW65538 QAW65544:QAW65548 QAW131074 QAW131080:QAW131084 QAW196610 QAW196616:QAW196620 QAW262146 QAW262152:QAW262156 QAW327682 QAW327688:QAW327692 QAW393218 QAW393224:QAW393228 QAW458754 QAW458760:QAW458764 QAW524290 QAW524296:QAW524300 QAW589826 QAW589832:QAW589836 QAW655362 QAW655368:QAW655372 QAW720898 QAW720904:QAW720908 QAW786434 QAW786440:QAW786444 QAW851970 QAW851976:QAW851980 QAW917506 QAW917512:QAW917516 QAW983042 QAW983048:QAW983052 QKS2 QKS8:QKS12 QKS65538 QKS65544:QKS65548 QKS131074 QKS131080:QKS131084 QKS196610 QKS196616:QKS196620 QKS262146 QKS262152:QKS262156 QKS327682 QKS327688:QKS327692 QKS393218 QKS393224:QKS393228 QKS458754 QKS458760:QKS458764 QKS524290 QKS524296:QKS524300 QKS589826 QKS589832:QKS589836 QKS655362 QKS655368:QKS655372 QKS720898 QKS720904:QKS720908 QKS786434 QKS786440:QKS786444 QKS851970 QKS851976:QKS851980 QKS917506 QKS917512:QKS917516 QKS983042 QKS983048:QKS983052 QUO2 QUO8:QUO12 QUO65538 QUO65544:QUO65548 QUO131074 QUO131080:QUO131084 QUO196610 QUO196616:QUO196620 QUO262146 QUO262152:QUO262156 QUO327682 QUO327688:QUO327692 QUO393218 QUO393224:QUO393228 QUO458754 QUO458760:QUO458764 QUO524290 QUO524296:QUO524300 QUO589826 QUO589832:QUO589836 QUO655362 QUO655368:QUO655372 QUO720898 QUO720904:QUO720908 QUO786434 QUO786440:QUO786444 QUO851970 QUO851976:QUO851980 QUO917506 QUO917512:QUO917516 QUO983042 QUO983048:QUO983052 REK2 REK8:REK12 REK65538 REK65544:REK65548 REK131074 REK131080:REK131084 REK196610 REK196616:REK196620 REK262146 REK262152:REK262156 REK327682 REK327688:REK327692 REK393218 REK393224:REK393228 REK458754 REK458760:REK458764 REK524290 REK524296:REK524300 REK589826 REK589832:REK589836 REK655362 REK655368:REK655372 REK720898 REK720904:REK720908 REK786434 REK786440:REK786444 REK851970 REK851976:REK851980 REK917506 REK917512:REK917516 REK983042 REK983048:REK983052 ROG2 ROG8:ROG12 ROG65538 ROG65544:ROG65548 ROG131074 ROG131080:ROG131084 ROG196610 ROG196616:ROG196620 ROG262146 ROG262152:ROG262156 ROG327682 ROG327688:ROG327692 ROG393218 ROG393224:ROG393228 ROG458754 ROG458760:ROG458764 ROG524290 ROG524296:ROG524300 ROG589826 ROG589832:ROG589836 ROG655362 ROG655368:ROG655372 ROG720898 ROG720904:ROG720908 ROG786434 ROG786440:ROG786444 ROG851970 ROG851976:ROG851980 ROG917506 ROG917512:ROG917516 ROG983042 ROG983048:ROG983052 RYC2 RYC8:RYC12 RYC65538 RYC65544:RYC65548 RYC131074 RYC131080:RYC131084 RYC196610 RYC196616:RYC196620 RYC262146 RYC262152:RYC262156 RYC327682 RYC327688:RYC327692 RYC393218 RYC393224:RYC393228 RYC458754 RYC458760:RYC458764 RYC524290 RYC524296:RYC524300 RYC589826 RYC589832:RYC589836 RYC655362 RYC655368:RYC655372 RYC720898 RYC720904:RYC720908 RYC786434 RYC786440:RYC786444 RYC851970 RYC851976:RYC851980 RYC917506 RYC917512:RYC917516 RYC983042 RYC983048:RYC983052 SHY2 SHY8:SHY12 SHY65538 SHY65544:SHY65548 SHY131074 SHY131080:SHY131084 SHY196610 SHY196616:SHY196620 SHY262146 SHY262152:SHY262156 SHY327682 SHY327688:SHY327692 SHY393218 SHY393224:SHY393228 SHY458754 SHY458760:SHY458764 SHY524290 SHY524296:SHY524300 SHY589826 SHY589832:SHY589836 SHY655362 SHY655368:SHY655372 SHY720898 SHY720904:SHY720908 SHY786434 SHY786440:SHY786444 SHY851970 SHY851976:SHY851980 SHY917506 SHY917512:SHY917516 SHY983042 SHY983048:SHY983052 SRU2 SRU8:SRU12 SRU65538 SRU65544:SRU65548 SRU131074 SRU131080:SRU131084 SRU196610 SRU196616:SRU196620 SRU262146 SRU262152:SRU262156 SRU327682 SRU327688:SRU327692 SRU393218 SRU393224:SRU393228 SRU458754 SRU458760:SRU458764 SRU524290 SRU524296:SRU524300 SRU589826 SRU589832:SRU589836 SRU655362 SRU655368:SRU655372 SRU720898 SRU720904:SRU720908 SRU786434 SRU786440:SRU786444 SRU851970 SRU851976:SRU851980 SRU917506 SRU917512:SRU917516 SRU983042 SRU983048:SRU983052 TBQ2 TBQ8:TBQ12 TBQ65538 TBQ65544:TBQ65548 TBQ131074 TBQ131080:TBQ131084 TBQ196610 TBQ196616:TBQ196620 TBQ262146 TBQ262152:TBQ262156 TBQ327682 TBQ327688:TBQ327692 TBQ393218 TBQ393224:TBQ393228 TBQ458754 TBQ458760:TBQ458764 TBQ524290 TBQ524296:TBQ524300 TBQ589826 TBQ589832:TBQ589836 TBQ655362 TBQ655368:TBQ655372 TBQ720898 TBQ720904:TBQ720908 TBQ786434 TBQ786440:TBQ786444 TBQ851970 TBQ851976:TBQ851980 TBQ917506 TBQ917512:TBQ917516 TBQ983042 TBQ983048:TBQ983052 TLM2 TLM8:TLM12 TLM65538 TLM65544:TLM65548 TLM131074 TLM131080:TLM131084 TLM196610 TLM196616:TLM196620 TLM262146 TLM262152:TLM262156 TLM327682 TLM327688:TLM327692 TLM393218 TLM393224:TLM393228 TLM458754 TLM458760:TLM458764 TLM524290 TLM524296:TLM524300 TLM589826 TLM589832:TLM589836 TLM655362 TLM655368:TLM655372 TLM720898 TLM720904:TLM720908 TLM786434 TLM786440:TLM786444 TLM851970 TLM851976:TLM851980 TLM917506 TLM917512:TLM917516 TLM983042 TLM983048:TLM983052 TVI2 TVI8:TVI12 TVI65538 TVI65544:TVI65548 TVI131074 TVI131080:TVI131084 TVI196610 TVI196616:TVI196620 TVI262146 TVI262152:TVI262156 TVI327682 TVI327688:TVI327692 TVI393218 TVI393224:TVI393228 TVI458754 TVI458760:TVI458764 TVI524290 TVI524296:TVI524300 TVI589826 TVI589832:TVI589836 TVI655362 TVI655368:TVI655372 TVI720898 TVI720904:TVI720908 TVI786434 TVI786440:TVI786444 TVI851970 TVI851976:TVI851980 TVI917506 TVI917512:TVI917516 TVI983042 TVI983048:TVI983052 UFE2 UFE8:UFE12 UFE65538 UFE65544:UFE65548 UFE131074 UFE131080:UFE131084 UFE196610 UFE196616:UFE196620 UFE262146 UFE262152:UFE262156 UFE327682 UFE327688:UFE327692 UFE393218 UFE393224:UFE393228 UFE458754 UFE458760:UFE458764 UFE524290 UFE524296:UFE524300 UFE589826 UFE589832:UFE589836 UFE655362 UFE655368:UFE655372 UFE720898 UFE720904:UFE720908 UFE786434 UFE786440:UFE786444 UFE851970 UFE851976:UFE851980 UFE917506 UFE917512:UFE917516 UFE983042 UFE983048:UFE983052 UPA2 UPA8:UPA12 UPA65538 UPA65544:UPA65548 UPA131074 UPA131080:UPA131084 UPA196610 UPA196616:UPA196620 UPA262146 UPA262152:UPA262156 UPA327682 UPA327688:UPA327692 UPA393218 UPA393224:UPA393228 UPA458754 UPA458760:UPA458764 UPA524290 UPA524296:UPA524300 UPA589826 UPA589832:UPA589836 UPA655362 UPA655368:UPA655372 UPA720898 UPA720904:UPA720908 UPA786434 UPA786440:UPA786444 UPA851970 UPA851976:UPA851980 UPA917506 UPA917512:UPA917516 UPA983042 UPA983048:UPA983052 UYW2 UYW8:UYW12 UYW65538 UYW65544:UYW65548 UYW131074 UYW131080:UYW131084 UYW196610 UYW196616:UYW196620 UYW262146 UYW262152:UYW262156 UYW327682 UYW327688:UYW327692 UYW393218 UYW393224:UYW393228 UYW458754 UYW458760:UYW458764 UYW524290 UYW524296:UYW524300 UYW589826 UYW589832:UYW589836 UYW655362 UYW655368:UYW655372 UYW720898 UYW720904:UYW720908 UYW786434 UYW786440:UYW786444 UYW851970 UYW851976:UYW851980 UYW917506 UYW917512:UYW917516 UYW983042 UYW983048:UYW983052 VIS2 VIS8:VIS12 VIS65538 VIS65544:VIS65548 VIS131074 VIS131080:VIS131084 VIS196610 VIS196616:VIS196620 VIS262146 VIS262152:VIS262156 VIS327682 VIS327688:VIS327692 VIS393218 VIS393224:VIS393228 VIS458754 VIS458760:VIS458764 VIS524290 VIS524296:VIS524300 VIS589826 VIS589832:VIS589836 VIS655362 VIS655368:VIS655372 VIS720898 VIS720904:VIS720908 VIS786434 VIS786440:VIS786444 VIS851970 VIS851976:VIS851980 VIS917506 VIS917512:VIS917516 VIS983042 VIS983048:VIS983052 VSO2 VSO8:VSO12 VSO65538 VSO65544:VSO65548 VSO131074 VSO131080:VSO131084 VSO196610 VSO196616:VSO196620 VSO262146 VSO262152:VSO262156 VSO327682 VSO327688:VSO327692 VSO393218 VSO393224:VSO393228 VSO458754 VSO458760:VSO458764 VSO524290 VSO524296:VSO524300 VSO589826 VSO589832:VSO589836 VSO655362 VSO655368:VSO655372 VSO720898 VSO720904:VSO720908 VSO786434 VSO786440:VSO786444 VSO851970 VSO851976:VSO851980 VSO917506 VSO917512:VSO917516 VSO983042 VSO983048:VSO983052 WCK2 WCK8:WCK12 WCK65538 WCK65544:WCK65548 WCK131074 WCK131080:WCK131084 WCK196610 WCK196616:WCK196620 WCK262146 WCK262152:WCK262156 WCK327682 WCK327688:WCK327692 WCK393218 WCK393224:WCK393228 WCK458754 WCK458760:WCK458764 WCK524290 WCK524296:WCK524300 WCK589826 WCK589832:WCK589836 WCK655362 WCK655368:WCK655372 WCK720898 WCK720904:WCK720908 WCK786434 WCK786440:WCK786444 WCK851970 WCK851976:WCK851980 WCK917506 WCK917512:WCK917516 WCK983042 WCK983048:WCK983052 WMG2 WMG8:WMG12 WMG65538 WMG65544:WMG65548 WMG131074 WMG131080:WMG131084 WMG196610 WMG196616:WMG196620 WMG262146 WMG262152:WMG262156 WMG327682 WMG327688:WMG327692 WMG393218 WMG393224:WMG393228 WMG458754 WMG458760:WMG458764 WMG524290 WMG524296:WMG524300 WMG589826 WMG589832:WMG589836 WMG655362 WMG655368:WMG655372 WMG720898 WMG720904:WMG720908 WMG786434 WMG786440:WMG786444 WMG851970 WMG851976:WMG851980 WMG917506 WMG917512:WMG917516 WMG983042 WMG983048:WMG983052 WWC2 WWC8:WWC12 WWC65538 WWC65544:WWC65548 WWC131074 WWC131080:WWC131084 WWC196610 WWC196616:WWC196620 WWC262146 WWC262152:WWC262156 WWC327682 WWC327688:WWC327692 WWC393218 WWC393224:WWC393228 WWC458754 WWC458760:WWC458764 WWC524290 WWC524296:WWC524300 WWC589826 WWC589832:WWC589836 WWC655362 WWC655368:WWC655372 WWC720898 WWC720904:WWC720908 WWC786434 WWC786440:WWC786444 WWC851970 WWC851976:WWC851980 WWC917506 WWC917512:WWC917516 WWC983042 WWC983048:WWC983052" xr:uid="{00000000-0002-0000-0900-00001A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T2 T8:T12 T13:W26 T65538 T65544:T65548 T65549:W65562 T131074 T131080:T131084 T131085:W131098 T196610 T196616:T196620 T196621:W196634 T262146 T262152:T262156 T262157:W262170 T327682 T327688:T327692 T327693:W327706 T393218 T393224:T393228 T393229:W393242 T458754 T458760:T458764 T458765:W458778 T524290 T524296:T524300 T524301:W524314 T589826 T589832:T589836 T589837:W589850 T655362 T655368:T655372 T655373:W655386 T720898 T720904:T720908 T720909:W720922 T786434 T786440:T786444 T786445:W786458 T851970 T851976:T851980 T851981:W851994 T917506 T917512:T917516 T917517:W917530 T983042 T983048:T983052 T983053:W983066 JP2 JP8:JP12 JP13:JS26 JP65538 JP65544:JP65548 JP65549:JS65562 JP131074 JP131080:JP131084 JP131085:JS131098 JP196610 JP196616:JP196620 JP196621:JS196634 JP262146 JP262152:JP262156 JP262157:JS262170 JP327682 JP327688:JP327692 JP327693:JS327706 JP393218 JP393224:JP393228 JP393229:JS393242 JP458754 JP458760:JP458764 JP458765:JS458778 JP524290 JP524296:JP524300 JP524301:JS524314 JP589826 JP589832:JP589836 JP589837:JS589850 JP655362 JP655368:JP655372 JP655373:JS655386 JP720898 JP720904:JP720908 JP720909:JS720922 JP786434 JP786440:JP786444 JP786445:JS786458 JP851970 JP851976:JP851980 JP851981:JS851994 JP917506 JP917512:JP917516 JP917517:JS917530 JP983042 JP983048:JP983052 JP983053:JS983066 TL2 TL8:TL12 TL13:TO26 TL65538 TL65544:TL65548 TL65549:TO65562 TL131074 TL131080:TL131084 TL131085:TO131098 TL196610 TL196616:TL196620 TL196621:TO196634 TL262146 TL262152:TL262156 TL262157:TO262170 TL327682 TL327688:TL327692 TL327693:TO327706 TL393218 TL393224:TL393228 TL393229:TO393242 TL458754 TL458760:TL458764 TL458765:TO458778 TL524290 TL524296:TL524300 TL524301:TO524314 TL589826 TL589832:TL589836 TL589837:TO589850 TL655362 TL655368:TL655372 TL655373:TO655386 TL720898 TL720904:TL720908 TL720909:TO720922 TL786434 TL786440:TL786444 TL786445:TO786458 TL851970 TL851976:TL851980 TL851981:TO851994 TL917506 TL917512:TL917516 TL917517:TO917530 TL983042 TL983048:TL983052 TL983053:TO983066 ADH2 ADH8:ADH12 ADH13:ADK26 ADH65538 ADH65544:ADH65548 ADH65549:ADK65562 ADH131074 ADH131080:ADH131084 ADH131085:ADK131098 ADH196610 ADH196616:ADH196620 ADH196621:ADK196634 ADH262146 ADH262152:ADH262156 ADH262157:ADK262170 ADH327682 ADH327688:ADH327692 ADH327693:ADK327706 ADH393218 ADH393224:ADH393228 ADH393229:ADK393242 ADH458754 ADH458760:ADH458764 ADH458765:ADK458778 ADH524290 ADH524296:ADH524300 ADH524301:ADK524314 ADH589826 ADH589832:ADH589836 ADH589837:ADK589850 ADH655362 ADH655368:ADH655372 ADH655373:ADK655386 ADH720898 ADH720904:ADH720908 ADH720909:ADK720922 ADH786434 ADH786440:ADH786444 ADH786445:ADK786458 ADH851970 ADH851976:ADH851980 ADH851981:ADK851994 ADH917506 ADH917512:ADH917516 ADH917517:ADK917530 ADH983042 ADH983048:ADH983052 ADH983053:ADK983066 AND2 AND8:AND12 AND13:ANG26 AND65538 AND65544:AND65548 AND65549:ANG65562 AND131074 AND131080:AND131084 AND131085:ANG131098 AND196610 AND196616:AND196620 AND196621:ANG196634 AND262146 AND262152:AND262156 AND262157:ANG262170 AND327682 AND327688:AND327692 AND327693:ANG327706 AND393218 AND393224:AND393228 AND393229:ANG393242 AND458754 AND458760:AND458764 AND458765:ANG458778 AND524290 AND524296:AND524300 AND524301:ANG524314 AND589826 AND589832:AND589836 AND589837:ANG589850 AND655362 AND655368:AND655372 AND655373:ANG655386 AND720898 AND720904:AND720908 AND720909:ANG720922 AND786434 AND786440:AND786444 AND786445:ANG786458 AND851970 AND851976:AND851980 AND851981:ANG851994 AND917506 AND917512:AND917516 AND917517:ANG917530 AND983042 AND983048:AND983052 AND983053:ANG983066 AWZ2 AWZ8:AWZ12 AWZ13:AXC26 AWZ65538 AWZ65544:AWZ65548 AWZ65549:AXC65562 AWZ131074 AWZ131080:AWZ131084 AWZ131085:AXC131098 AWZ196610 AWZ196616:AWZ196620 AWZ196621:AXC196634 AWZ262146 AWZ262152:AWZ262156 AWZ262157:AXC262170 AWZ327682 AWZ327688:AWZ327692 AWZ327693:AXC327706 AWZ393218 AWZ393224:AWZ393228 AWZ393229:AXC393242 AWZ458754 AWZ458760:AWZ458764 AWZ458765:AXC458778 AWZ524290 AWZ524296:AWZ524300 AWZ524301:AXC524314 AWZ589826 AWZ589832:AWZ589836 AWZ589837:AXC589850 AWZ655362 AWZ655368:AWZ655372 AWZ655373:AXC655386 AWZ720898 AWZ720904:AWZ720908 AWZ720909:AXC720922 AWZ786434 AWZ786440:AWZ786444 AWZ786445:AXC786458 AWZ851970 AWZ851976:AWZ851980 AWZ851981:AXC851994 AWZ917506 AWZ917512:AWZ917516 AWZ917517:AXC917530 AWZ983042 AWZ983048:AWZ983052 AWZ983053:AXC983066 BGV2 BGV8:BGV12 BGV13:BGY26 BGV65538 BGV65544:BGV65548 BGV65549:BGY65562 BGV131074 BGV131080:BGV131084 BGV131085:BGY131098 BGV196610 BGV196616:BGV196620 BGV196621:BGY196634 BGV262146 BGV262152:BGV262156 BGV262157:BGY262170 BGV327682 BGV327688:BGV327692 BGV327693:BGY327706 BGV393218 BGV393224:BGV393228 BGV393229:BGY393242 BGV458754 BGV458760:BGV458764 BGV458765:BGY458778 BGV524290 BGV524296:BGV524300 BGV524301:BGY524314 BGV589826 BGV589832:BGV589836 BGV589837:BGY589850 BGV655362 BGV655368:BGV655372 BGV655373:BGY655386 BGV720898 BGV720904:BGV720908 BGV720909:BGY720922 BGV786434 BGV786440:BGV786444 BGV786445:BGY786458 BGV851970 BGV851976:BGV851980 BGV851981:BGY851994 BGV917506 BGV917512:BGV917516 BGV917517:BGY917530 BGV983042 BGV983048:BGV983052 BGV983053:BGY983066 BQR2 BQR8:BQR12 BQR13:BQU26 BQR65538 BQR65544:BQR65548 BQR65549:BQU65562 BQR131074 BQR131080:BQR131084 BQR131085:BQU131098 BQR196610 BQR196616:BQR196620 BQR196621:BQU196634 BQR262146 BQR262152:BQR262156 BQR262157:BQU262170 BQR327682 BQR327688:BQR327692 BQR327693:BQU327706 BQR393218 BQR393224:BQR393228 BQR393229:BQU393242 BQR458754 BQR458760:BQR458764 BQR458765:BQU458778 BQR524290 BQR524296:BQR524300 BQR524301:BQU524314 BQR589826 BQR589832:BQR589836 BQR589837:BQU589850 BQR655362 BQR655368:BQR655372 BQR655373:BQU655386 BQR720898 BQR720904:BQR720908 BQR720909:BQU720922 BQR786434 BQR786440:BQR786444 BQR786445:BQU786458 BQR851970 BQR851976:BQR851980 BQR851981:BQU851994 BQR917506 BQR917512:BQR917516 BQR917517:BQU917530 BQR983042 BQR983048:BQR983052 BQR983053:BQU983066 CAN2 CAN8:CAN12 CAN13:CAQ26 CAN65538 CAN65544:CAN65548 CAN65549:CAQ65562 CAN131074 CAN131080:CAN131084 CAN131085:CAQ131098 CAN196610 CAN196616:CAN196620 CAN196621:CAQ196634 CAN262146 CAN262152:CAN262156 CAN262157:CAQ262170 CAN327682 CAN327688:CAN327692 CAN327693:CAQ327706 CAN393218 CAN393224:CAN393228 CAN393229:CAQ393242 CAN458754 CAN458760:CAN458764 CAN458765:CAQ458778 CAN524290 CAN524296:CAN524300 CAN524301:CAQ524314 CAN589826 CAN589832:CAN589836 CAN589837:CAQ589850 CAN655362 CAN655368:CAN655372 CAN655373:CAQ655386 CAN720898 CAN720904:CAN720908 CAN720909:CAQ720922 CAN786434 CAN786440:CAN786444 CAN786445:CAQ786458 CAN851970 CAN851976:CAN851980 CAN851981:CAQ851994 CAN917506 CAN917512:CAN917516 CAN917517:CAQ917530 CAN983042 CAN983048:CAN983052 CAN983053:CAQ983066 CKJ2 CKJ8:CKJ12 CKJ13:CKM26 CKJ65538 CKJ65544:CKJ65548 CKJ65549:CKM65562 CKJ131074 CKJ131080:CKJ131084 CKJ131085:CKM131098 CKJ196610 CKJ196616:CKJ196620 CKJ196621:CKM196634 CKJ262146 CKJ262152:CKJ262156 CKJ262157:CKM262170 CKJ327682 CKJ327688:CKJ327692 CKJ327693:CKM327706 CKJ393218 CKJ393224:CKJ393228 CKJ393229:CKM393242 CKJ458754 CKJ458760:CKJ458764 CKJ458765:CKM458778 CKJ524290 CKJ524296:CKJ524300 CKJ524301:CKM524314 CKJ589826 CKJ589832:CKJ589836 CKJ589837:CKM589850 CKJ655362 CKJ655368:CKJ655372 CKJ655373:CKM655386 CKJ720898 CKJ720904:CKJ720908 CKJ720909:CKM720922 CKJ786434 CKJ786440:CKJ786444 CKJ786445:CKM786458 CKJ851970 CKJ851976:CKJ851980 CKJ851981:CKM851994 CKJ917506 CKJ917512:CKJ917516 CKJ917517:CKM917530 CKJ983042 CKJ983048:CKJ983052 CKJ983053:CKM983066 CUF2 CUF8:CUF12 CUF13:CUI26 CUF65538 CUF65544:CUF65548 CUF65549:CUI65562 CUF131074 CUF131080:CUF131084 CUF131085:CUI131098 CUF196610 CUF196616:CUF196620 CUF196621:CUI196634 CUF262146 CUF262152:CUF262156 CUF262157:CUI262170 CUF327682 CUF327688:CUF327692 CUF327693:CUI327706 CUF393218 CUF393224:CUF393228 CUF393229:CUI393242 CUF458754 CUF458760:CUF458764 CUF458765:CUI458778 CUF524290 CUF524296:CUF524300 CUF524301:CUI524314 CUF589826 CUF589832:CUF589836 CUF589837:CUI589850 CUF655362 CUF655368:CUF655372 CUF655373:CUI655386 CUF720898 CUF720904:CUF720908 CUF720909:CUI720922 CUF786434 CUF786440:CUF786444 CUF786445:CUI786458 CUF851970 CUF851976:CUF851980 CUF851981:CUI851994 CUF917506 CUF917512:CUF917516 CUF917517:CUI917530 CUF983042 CUF983048:CUF983052 CUF983053:CUI983066 DEB2 DEB8:DEB12 DEB13:DEE26 DEB65538 DEB65544:DEB65548 DEB65549:DEE65562 DEB131074 DEB131080:DEB131084 DEB131085:DEE131098 DEB196610 DEB196616:DEB196620 DEB196621:DEE196634 DEB262146 DEB262152:DEB262156 DEB262157:DEE262170 DEB327682 DEB327688:DEB327692 DEB327693:DEE327706 DEB393218 DEB393224:DEB393228 DEB393229:DEE393242 DEB458754 DEB458760:DEB458764 DEB458765:DEE458778 DEB524290 DEB524296:DEB524300 DEB524301:DEE524314 DEB589826 DEB589832:DEB589836 DEB589837:DEE589850 DEB655362 DEB655368:DEB655372 DEB655373:DEE655386 DEB720898 DEB720904:DEB720908 DEB720909:DEE720922 DEB786434 DEB786440:DEB786444 DEB786445:DEE786458 DEB851970 DEB851976:DEB851980 DEB851981:DEE851994 DEB917506 DEB917512:DEB917516 DEB917517:DEE917530 DEB983042 DEB983048:DEB983052 DEB983053:DEE983066 DNX2 DNX8:DNX12 DNX13:DOA26 DNX65538 DNX65544:DNX65548 DNX65549:DOA65562 DNX131074 DNX131080:DNX131084 DNX131085:DOA131098 DNX196610 DNX196616:DNX196620 DNX196621:DOA196634 DNX262146 DNX262152:DNX262156 DNX262157:DOA262170 DNX327682 DNX327688:DNX327692 DNX327693:DOA327706 DNX393218 DNX393224:DNX393228 DNX393229:DOA393242 DNX458754 DNX458760:DNX458764 DNX458765:DOA458778 DNX524290 DNX524296:DNX524300 DNX524301:DOA524314 DNX589826 DNX589832:DNX589836 DNX589837:DOA589850 DNX655362 DNX655368:DNX655372 DNX655373:DOA655386 DNX720898 DNX720904:DNX720908 DNX720909:DOA720922 DNX786434 DNX786440:DNX786444 DNX786445:DOA786458 DNX851970 DNX851976:DNX851980 DNX851981:DOA851994 DNX917506 DNX917512:DNX917516 DNX917517:DOA917530 DNX983042 DNX983048:DNX983052 DNX983053:DOA983066 DXT2 DXT8:DXT12 DXT13:DXW26 DXT65538 DXT65544:DXT65548 DXT65549:DXW65562 DXT131074 DXT131080:DXT131084 DXT131085:DXW131098 DXT196610 DXT196616:DXT196620 DXT196621:DXW196634 DXT262146 DXT262152:DXT262156 DXT262157:DXW262170 DXT327682 DXT327688:DXT327692 DXT327693:DXW327706 DXT393218 DXT393224:DXT393228 DXT393229:DXW393242 DXT458754 DXT458760:DXT458764 DXT458765:DXW458778 DXT524290 DXT524296:DXT524300 DXT524301:DXW524314 DXT589826 DXT589832:DXT589836 DXT589837:DXW589850 DXT655362 DXT655368:DXT655372 DXT655373:DXW655386 DXT720898 DXT720904:DXT720908 DXT720909:DXW720922 DXT786434 DXT786440:DXT786444 DXT786445:DXW786458 DXT851970 DXT851976:DXT851980 DXT851981:DXW851994 DXT917506 DXT917512:DXT917516 DXT917517:DXW917530 DXT983042 DXT983048:DXT983052 DXT983053:DXW983066 EHP2 EHP8:EHP12 EHP13:EHS26 EHP65538 EHP65544:EHP65548 EHP65549:EHS65562 EHP131074 EHP131080:EHP131084 EHP131085:EHS131098 EHP196610 EHP196616:EHP196620 EHP196621:EHS196634 EHP262146 EHP262152:EHP262156 EHP262157:EHS262170 EHP327682 EHP327688:EHP327692 EHP327693:EHS327706 EHP393218 EHP393224:EHP393228 EHP393229:EHS393242 EHP458754 EHP458760:EHP458764 EHP458765:EHS458778 EHP524290 EHP524296:EHP524300 EHP524301:EHS524314 EHP589826 EHP589832:EHP589836 EHP589837:EHS589850 EHP655362 EHP655368:EHP655372 EHP655373:EHS655386 EHP720898 EHP720904:EHP720908 EHP720909:EHS720922 EHP786434 EHP786440:EHP786444 EHP786445:EHS786458 EHP851970 EHP851976:EHP851980 EHP851981:EHS851994 EHP917506 EHP917512:EHP917516 EHP917517:EHS917530 EHP983042 EHP983048:EHP983052 EHP983053:EHS983066 ERL2 ERL8:ERL12 ERL13:ERO26 ERL65538 ERL65544:ERL65548 ERL65549:ERO65562 ERL131074 ERL131080:ERL131084 ERL131085:ERO131098 ERL196610 ERL196616:ERL196620 ERL196621:ERO196634 ERL262146 ERL262152:ERL262156 ERL262157:ERO262170 ERL327682 ERL327688:ERL327692 ERL327693:ERO327706 ERL393218 ERL393224:ERL393228 ERL393229:ERO393242 ERL458754 ERL458760:ERL458764 ERL458765:ERO458778 ERL524290 ERL524296:ERL524300 ERL524301:ERO524314 ERL589826 ERL589832:ERL589836 ERL589837:ERO589850 ERL655362 ERL655368:ERL655372 ERL655373:ERO655386 ERL720898 ERL720904:ERL720908 ERL720909:ERO720922 ERL786434 ERL786440:ERL786444 ERL786445:ERO786458 ERL851970 ERL851976:ERL851980 ERL851981:ERO851994 ERL917506 ERL917512:ERL917516 ERL917517:ERO917530 ERL983042 ERL983048:ERL983052 ERL983053:ERO983066 FBH2 FBH8:FBH12 FBH13:FBK26 FBH65538 FBH65544:FBH65548 FBH65549:FBK65562 FBH131074 FBH131080:FBH131084 FBH131085:FBK131098 FBH196610 FBH196616:FBH196620 FBH196621:FBK196634 FBH262146 FBH262152:FBH262156 FBH262157:FBK262170 FBH327682 FBH327688:FBH327692 FBH327693:FBK327706 FBH393218 FBH393224:FBH393228 FBH393229:FBK393242 FBH458754 FBH458760:FBH458764 FBH458765:FBK458778 FBH524290 FBH524296:FBH524300 FBH524301:FBK524314 FBH589826 FBH589832:FBH589836 FBH589837:FBK589850 FBH655362 FBH655368:FBH655372 FBH655373:FBK655386 FBH720898 FBH720904:FBH720908 FBH720909:FBK720922 FBH786434 FBH786440:FBH786444 FBH786445:FBK786458 FBH851970 FBH851976:FBH851980 FBH851981:FBK851994 FBH917506 FBH917512:FBH917516 FBH917517:FBK917530 FBH983042 FBH983048:FBH983052 FBH983053:FBK983066 FLD2 FLD8:FLD12 FLD13:FLG26 FLD65538 FLD65544:FLD65548 FLD65549:FLG65562 FLD131074 FLD131080:FLD131084 FLD131085:FLG131098 FLD196610 FLD196616:FLD196620 FLD196621:FLG196634 FLD262146 FLD262152:FLD262156 FLD262157:FLG262170 FLD327682 FLD327688:FLD327692 FLD327693:FLG327706 FLD393218 FLD393224:FLD393228 FLD393229:FLG393242 FLD458754 FLD458760:FLD458764 FLD458765:FLG458778 FLD524290 FLD524296:FLD524300 FLD524301:FLG524314 FLD589826 FLD589832:FLD589836 FLD589837:FLG589850 FLD655362 FLD655368:FLD655372 FLD655373:FLG655386 FLD720898 FLD720904:FLD720908 FLD720909:FLG720922 FLD786434 FLD786440:FLD786444 FLD786445:FLG786458 FLD851970 FLD851976:FLD851980 FLD851981:FLG851994 FLD917506 FLD917512:FLD917516 FLD917517:FLG917530 FLD983042 FLD983048:FLD983052 FLD983053:FLG983066 FUZ2 FUZ8:FUZ12 FUZ13:FVC26 FUZ65538 FUZ65544:FUZ65548 FUZ65549:FVC65562 FUZ131074 FUZ131080:FUZ131084 FUZ131085:FVC131098 FUZ196610 FUZ196616:FUZ196620 FUZ196621:FVC196634 FUZ262146 FUZ262152:FUZ262156 FUZ262157:FVC262170 FUZ327682 FUZ327688:FUZ327692 FUZ327693:FVC327706 FUZ393218 FUZ393224:FUZ393228 FUZ393229:FVC393242 FUZ458754 FUZ458760:FUZ458764 FUZ458765:FVC458778 FUZ524290 FUZ524296:FUZ524300 FUZ524301:FVC524314 FUZ589826 FUZ589832:FUZ589836 FUZ589837:FVC589850 FUZ655362 FUZ655368:FUZ655372 FUZ655373:FVC655386 FUZ720898 FUZ720904:FUZ720908 FUZ720909:FVC720922 FUZ786434 FUZ786440:FUZ786444 FUZ786445:FVC786458 FUZ851970 FUZ851976:FUZ851980 FUZ851981:FVC851994 FUZ917506 FUZ917512:FUZ917516 FUZ917517:FVC917530 FUZ983042 FUZ983048:FUZ983052 FUZ983053:FVC983066 GEV2 GEV8:GEV12 GEV13:GEY26 GEV65538 GEV65544:GEV65548 GEV65549:GEY65562 GEV131074 GEV131080:GEV131084 GEV131085:GEY131098 GEV196610 GEV196616:GEV196620 GEV196621:GEY196634 GEV262146 GEV262152:GEV262156 GEV262157:GEY262170 GEV327682 GEV327688:GEV327692 GEV327693:GEY327706 GEV393218 GEV393224:GEV393228 GEV393229:GEY393242 GEV458754 GEV458760:GEV458764 GEV458765:GEY458778 GEV524290 GEV524296:GEV524300 GEV524301:GEY524314 GEV589826 GEV589832:GEV589836 GEV589837:GEY589850 GEV655362 GEV655368:GEV655372 GEV655373:GEY655386 GEV720898 GEV720904:GEV720908 GEV720909:GEY720922 GEV786434 GEV786440:GEV786444 GEV786445:GEY786458 GEV851970 GEV851976:GEV851980 GEV851981:GEY851994 GEV917506 GEV917512:GEV917516 GEV917517:GEY917530 GEV983042 GEV983048:GEV983052 GEV983053:GEY983066 GOR2 GOR8:GOR12 GOR13:GOU26 GOR65538 GOR65544:GOR65548 GOR65549:GOU65562 GOR131074 GOR131080:GOR131084 GOR131085:GOU131098 GOR196610 GOR196616:GOR196620 GOR196621:GOU196634 GOR262146 GOR262152:GOR262156 GOR262157:GOU262170 GOR327682 GOR327688:GOR327692 GOR327693:GOU327706 GOR393218 GOR393224:GOR393228 GOR393229:GOU393242 GOR458754 GOR458760:GOR458764 GOR458765:GOU458778 GOR524290 GOR524296:GOR524300 GOR524301:GOU524314 GOR589826 GOR589832:GOR589836 GOR589837:GOU589850 GOR655362 GOR655368:GOR655372 GOR655373:GOU655386 GOR720898 GOR720904:GOR720908 GOR720909:GOU720922 GOR786434 GOR786440:GOR786444 GOR786445:GOU786458 GOR851970 GOR851976:GOR851980 GOR851981:GOU851994 GOR917506 GOR917512:GOR917516 GOR917517:GOU917530 GOR983042 GOR983048:GOR983052 GOR983053:GOU983066 GYN2 GYN8:GYN12 GYN13:GYQ26 GYN65538 GYN65544:GYN65548 GYN65549:GYQ65562 GYN131074 GYN131080:GYN131084 GYN131085:GYQ131098 GYN196610 GYN196616:GYN196620 GYN196621:GYQ196634 GYN262146 GYN262152:GYN262156 GYN262157:GYQ262170 GYN327682 GYN327688:GYN327692 GYN327693:GYQ327706 GYN393218 GYN393224:GYN393228 GYN393229:GYQ393242 GYN458754 GYN458760:GYN458764 GYN458765:GYQ458778 GYN524290 GYN524296:GYN524300 GYN524301:GYQ524314 GYN589826 GYN589832:GYN589836 GYN589837:GYQ589850 GYN655362 GYN655368:GYN655372 GYN655373:GYQ655386 GYN720898 GYN720904:GYN720908 GYN720909:GYQ720922 GYN786434 GYN786440:GYN786444 GYN786445:GYQ786458 GYN851970 GYN851976:GYN851980 GYN851981:GYQ851994 GYN917506 GYN917512:GYN917516 GYN917517:GYQ917530 GYN983042 GYN983048:GYN983052 GYN983053:GYQ983066 HIJ2 HIJ8:HIJ12 HIJ13:HIM26 HIJ65538 HIJ65544:HIJ65548 HIJ65549:HIM65562 HIJ131074 HIJ131080:HIJ131084 HIJ131085:HIM131098 HIJ196610 HIJ196616:HIJ196620 HIJ196621:HIM196634 HIJ262146 HIJ262152:HIJ262156 HIJ262157:HIM262170 HIJ327682 HIJ327688:HIJ327692 HIJ327693:HIM327706 HIJ393218 HIJ393224:HIJ393228 HIJ393229:HIM393242 HIJ458754 HIJ458760:HIJ458764 HIJ458765:HIM458778 HIJ524290 HIJ524296:HIJ524300 HIJ524301:HIM524314 HIJ589826 HIJ589832:HIJ589836 HIJ589837:HIM589850 HIJ655362 HIJ655368:HIJ655372 HIJ655373:HIM655386 HIJ720898 HIJ720904:HIJ720908 HIJ720909:HIM720922 HIJ786434 HIJ786440:HIJ786444 HIJ786445:HIM786458 HIJ851970 HIJ851976:HIJ851980 HIJ851981:HIM851994 HIJ917506 HIJ917512:HIJ917516 HIJ917517:HIM917530 HIJ983042 HIJ983048:HIJ983052 HIJ983053:HIM983066 HSF2 HSF8:HSF12 HSF13:HSI26 HSF65538 HSF65544:HSF65548 HSF65549:HSI65562 HSF131074 HSF131080:HSF131084 HSF131085:HSI131098 HSF196610 HSF196616:HSF196620 HSF196621:HSI196634 HSF262146 HSF262152:HSF262156 HSF262157:HSI262170 HSF327682 HSF327688:HSF327692 HSF327693:HSI327706 HSF393218 HSF393224:HSF393228 HSF393229:HSI393242 HSF458754 HSF458760:HSF458764 HSF458765:HSI458778 HSF524290 HSF524296:HSF524300 HSF524301:HSI524314 HSF589826 HSF589832:HSF589836 HSF589837:HSI589850 HSF655362 HSF655368:HSF655372 HSF655373:HSI655386 HSF720898 HSF720904:HSF720908 HSF720909:HSI720922 HSF786434 HSF786440:HSF786444 HSF786445:HSI786458 HSF851970 HSF851976:HSF851980 HSF851981:HSI851994 HSF917506 HSF917512:HSF917516 HSF917517:HSI917530 HSF983042 HSF983048:HSF983052 HSF983053:HSI983066 ICB2 ICB8:ICB12 ICB13:ICE26 ICB65538 ICB65544:ICB65548 ICB65549:ICE65562 ICB131074 ICB131080:ICB131084 ICB131085:ICE131098 ICB196610 ICB196616:ICB196620 ICB196621:ICE196634 ICB262146 ICB262152:ICB262156 ICB262157:ICE262170 ICB327682 ICB327688:ICB327692 ICB327693:ICE327706 ICB393218 ICB393224:ICB393228 ICB393229:ICE393242 ICB458754 ICB458760:ICB458764 ICB458765:ICE458778 ICB524290 ICB524296:ICB524300 ICB524301:ICE524314 ICB589826 ICB589832:ICB589836 ICB589837:ICE589850 ICB655362 ICB655368:ICB655372 ICB655373:ICE655386 ICB720898 ICB720904:ICB720908 ICB720909:ICE720922 ICB786434 ICB786440:ICB786444 ICB786445:ICE786458 ICB851970 ICB851976:ICB851980 ICB851981:ICE851994 ICB917506 ICB917512:ICB917516 ICB917517:ICE917530 ICB983042 ICB983048:ICB983052 ICB983053:ICE983066 ILX2 ILX8:ILX12 ILX13:IMA26 ILX65538 ILX65544:ILX65548 ILX65549:IMA65562 ILX131074 ILX131080:ILX131084 ILX131085:IMA131098 ILX196610 ILX196616:ILX196620 ILX196621:IMA196634 ILX262146 ILX262152:ILX262156 ILX262157:IMA262170 ILX327682 ILX327688:ILX327692 ILX327693:IMA327706 ILX393218 ILX393224:ILX393228 ILX393229:IMA393242 ILX458754 ILX458760:ILX458764 ILX458765:IMA458778 ILX524290 ILX524296:ILX524300 ILX524301:IMA524314 ILX589826 ILX589832:ILX589836 ILX589837:IMA589850 ILX655362 ILX655368:ILX655372 ILX655373:IMA655386 ILX720898 ILX720904:ILX720908 ILX720909:IMA720922 ILX786434 ILX786440:ILX786444 ILX786445:IMA786458 ILX851970 ILX851976:ILX851980 ILX851981:IMA851994 ILX917506 ILX917512:ILX917516 ILX917517:IMA917530 ILX983042 ILX983048:ILX983052 ILX983053:IMA983066 IVT2 IVT8:IVT12 IVT13:IVW26 IVT65538 IVT65544:IVT65548 IVT65549:IVW65562 IVT131074 IVT131080:IVT131084 IVT131085:IVW131098 IVT196610 IVT196616:IVT196620 IVT196621:IVW196634 IVT262146 IVT262152:IVT262156 IVT262157:IVW262170 IVT327682 IVT327688:IVT327692 IVT327693:IVW327706 IVT393218 IVT393224:IVT393228 IVT393229:IVW393242 IVT458754 IVT458760:IVT458764 IVT458765:IVW458778 IVT524290 IVT524296:IVT524300 IVT524301:IVW524314 IVT589826 IVT589832:IVT589836 IVT589837:IVW589850 IVT655362 IVT655368:IVT655372 IVT655373:IVW655386 IVT720898 IVT720904:IVT720908 IVT720909:IVW720922 IVT786434 IVT786440:IVT786444 IVT786445:IVW786458 IVT851970 IVT851976:IVT851980 IVT851981:IVW851994 IVT917506 IVT917512:IVT917516 IVT917517:IVW917530 IVT983042 IVT983048:IVT983052 IVT983053:IVW983066 JFP2 JFP8:JFP12 JFP13:JFS26 JFP65538 JFP65544:JFP65548 JFP65549:JFS65562 JFP131074 JFP131080:JFP131084 JFP131085:JFS131098 JFP196610 JFP196616:JFP196620 JFP196621:JFS196634 JFP262146 JFP262152:JFP262156 JFP262157:JFS262170 JFP327682 JFP327688:JFP327692 JFP327693:JFS327706 JFP393218 JFP393224:JFP393228 JFP393229:JFS393242 JFP458754 JFP458760:JFP458764 JFP458765:JFS458778 JFP524290 JFP524296:JFP524300 JFP524301:JFS524314 JFP589826 JFP589832:JFP589836 JFP589837:JFS589850 JFP655362 JFP655368:JFP655372 JFP655373:JFS655386 JFP720898 JFP720904:JFP720908 JFP720909:JFS720922 JFP786434 JFP786440:JFP786444 JFP786445:JFS786458 JFP851970 JFP851976:JFP851980 JFP851981:JFS851994 JFP917506 JFP917512:JFP917516 JFP917517:JFS917530 JFP983042 JFP983048:JFP983052 JFP983053:JFS983066 JPL2 JPL8:JPL12 JPL13:JPO26 JPL65538 JPL65544:JPL65548 JPL65549:JPO65562 JPL131074 JPL131080:JPL131084 JPL131085:JPO131098 JPL196610 JPL196616:JPL196620 JPL196621:JPO196634 JPL262146 JPL262152:JPL262156 JPL262157:JPO262170 JPL327682 JPL327688:JPL327692 JPL327693:JPO327706 JPL393218 JPL393224:JPL393228 JPL393229:JPO393242 JPL458754 JPL458760:JPL458764 JPL458765:JPO458778 JPL524290 JPL524296:JPL524300 JPL524301:JPO524314 JPL589826 JPL589832:JPL589836 JPL589837:JPO589850 JPL655362 JPL655368:JPL655372 JPL655373:JPO655386 JPL720898 JPL720904:JPL720908 JPL720909:JPO720922 JPL786434 JPL786440:JPL786444 JPL786445:JPO786458 JPL851970 JPL851976:JPL851980 JPL851981:JPO851994 JPL917506 JPL917512:JPL917516 JPL917517:JPO917530 JPL983042 JPL983048:JPL983052 JPL983053:JPO983066 JZH2 JZH8:JZH12 JZH13:JZK26 JZH65538 JZH65544:JZH65548 JZH65549:JZK65562 JZH131074 JZH131080:JZH131084 JZH131085:JZK131098 JZH196610 JZH196616:JZH196620 JZH196621:JZK196634 JZH262146 JZH262152:JZH262156 JZH262157:JZK262170 JZH327682 JZH327688:JZH327692 JZH327693:JZK327706 JZH393218 JZH393224:JZH393228 JZH393229:JZK393242 JZH458754 JZH458760:JZH458764 JZH458765:JZK458778 JZH524290 JZH524296:JZH524300 JZH524301:JZK524314 JZH589826 JZH589832:JZH589836 JZH589837:JZK589850 JZH655362 JZH655368:JZH655372 JZH655373:JZK655386 JZH720898 JZH720904:JZH720908 JZH720909:JZK720922 JZH786434 JZH786440:JZH786444 JZH786445:JZK786458 JZH851970 JZH851976:JZH851980 JZH851981:JZK851994 JZH917506 JZH917512:JZH917516 JZH917517:JZK917530 JZH983042 JZH983048:JZH983052 JZH983053:JZK983066 KJD2 KJD8:KJD12 KJD13:KJG26 KJD65538 KJD65544:KJD65548 KJD65549:KJG65562 KJD131074 KJD131080:KJD131084 KJD131085:KJG131098 KJD196610 KJD196616:KJD196620 KJD196621:KJG196634 KJD262146 KJD262152:KJD262156 KJD262157:KJG262170 KJD327682 KJD327688:KJD327692 KJD327693:KJG327706 KJD393218 KJD393224:KJD393228 KJD393229:KJG393242 KJD458754 KJD458760:KJD458764 KJD458765:KJG458778 KJD524290 KJD524296:KJD524300 KJD524301:KJG524314 KJD589826 KJD589832:KJD589836 KJD589837:KJG589850 KJD655362 KJD655368:KJD655372 KJD655373:KJG655386 KJD720898 KJD720904:KJD720908 KJD720909:KJG720922 KJD786434 KJD786440:KJD786444 KJD786445:KJG786458 KJD851970 KJD851976:KJD851980 KJD851981:KJG851994 KJD917506 KJD917512:KJD917516 KJD917517:KJG917530 KJD983042 KJD983048:KJD983052 KJD983053:KJG983066 KSZ2 KSZ8:KSZ12 KSZ13:KTC26 KSZ65538 KSZ65544:KSZ65548 KSZ65549:KTC65562 KSZ131074 KSZ131080:KSZ131084 KSZ131085:KTC131098 KSZ196610 KSZ196616:KSZ196620 KSZ196621:KTC196634 KSZ262146 KSZ262152:KSZ262156 KSZ262157:KTC262170 KSZ327682 KSZ327688:KSZ327692 KSZ327693:KTC327706 KSZ393218 KSZ393224:KSZ393228 KSZ393229:KTC393242 KSZ458754 KSZ458760:KSZ458764 KSZ458765:KTC458778 KSZ524290 KSZ524296:KSZ524300 KSZ524301:KTC524314 KSZ589826 KSZ589832:KSZ589836 KSZ589837:KTC589850 KSZ655362 KSZ655368:KSZ655372 KSZ655373:KTC655386 KSZ720898 KSZ720904:KSZ720908 KSZ720909:KTC720922 KSZ786434 KSZ786440:KSZ786444 KSZ786445:KTC786458 KSZ851970 KSZ851976:KSZ851980 KSZ851981:KTC851994 KSZ917506 KSZ917512:KSZ917516 KSZ917517:KTC917530 KSZ983042 KSZ983048:KSZ983052 KSZ983053:KTC983066 LCV2 LCV8:LCV12 LCV13:LCY26 LCV65538 LCV65544:LCV65548 LCV65549:LCY65562 LCV131074 LCV131080:LCV131084 LCV131085:LCY131098 LCV196610 LCV196616:LCV196620 LCV196621:LCY196634 LCV262146 LCV262152:LCV262156 LCV262157:LCY262170 LCV327682 LCV327688:LCV327692 LCV327693:LCY327706 LCV393218 LCV393224:LCV393228 LCV393229:LCY393242 LCV458754 LCV458760:LCV458764 LCV458765:LCY458778 LCV524290 LCV524296:LCV524300 LCV524301:LCY524314 LCV589826 LCV589832:LCV589836 LCV589837:LCY589850 LCV655362 LCV655368:LCV655372 LCV655373:LCY655386 LCV720898 LCV720904:LCV720908 LCV720909:LCY720922 LCV786434 LCV786440:LCV786444 LCV786445:LCY786458 LCV851970 LCV851976:LCV851980 LCV851981:LCY851994 LCV917506 LCV917512:LCV917516 LCV917517:LCY917530 LCV983042 LCV983048:LCV983052 LCV983053:LCY983066 LMR2 LMR8:LMR12 LMR13:LMU26 LMR65538 LMR65544:LMR65548 LMR65549:LMU65562 LMR131074 LMR131080:LMR131084 LMR131085:LMU131098 LMR196610 LMR196616:LMR196620 LMR196621:LMU196634 LMR262146 LMR262152:LMR262156 LMR262157:LMU262170 LMR327682 LMR327688:LMR327692 LMR327693:LMU327706 LMR393218 LMR393224:LMR393228 LMR393229:LMU393242 LMR458754 LMR458760:LMR458764 LMR458765:LMU458778 LMR524290 LMR524296:LMR524300 LMR524301:LMU524314 LMR589826 LMR589832:LMR589836 LMR589837:LMU589850 LMR655362 LMR655368:LMR655372 LMR655373:LMU655386 LMR720898 LMR720904:LMR720908 LMR720909:LMU720922 LMR786434 LMR786440:LMR786444 LMR786445:LMU786458 LMR851970 LMR851976:LMR851980 LMR851981:LMU851994 LMR917506 LMR917512:LMR917516 LMR917517:LMU917530 LMR983042 LMR983048:LMR983052 LMR983053:LMU983066 LWN2 LWN8:LWN12 LWN13:LWQ26 LWN65538 LWN65544:LWN65548 LWN65549:LWQ65562 LWN131074 LWN131080:LWN131084 LWN131085:LWQ131098 LWN196610 LWN196616:LWN196620 LWN196621:LWQ196634 LWN262146 LWN262152:LWN262156 LWN262157:LWQ262170 LWN327682 LWN327688:LWN327692 LWN327693:LWQ327706 LWN393218 LWN393224:LWN393228 LWN393229:LWQ393242 LWN458754 LWN458760:LWN458764 LWN458765:LWQ458778 LWN524290 LWN524296:LWN524300 LWN524301:LWQ524314 LWN589826 LWN589832:LWN589836 LWN589837:LWQ589850 LWN655362 LWN655368:LWN655372 LWN655373:LWQ655386 LWN720898 LWN720904:LWN720908 LWN720909:LWQ720922 LWN786434 LWN786440:LWN786444 LWN786445:LWQ786458 LWN851970 LWN851976:LWN851980 LWN851981:LWQ851994 LWN917506 LWN917512:LWN917516 LWN917517:LWQ917530 LWN983042 LWN983048:LWN983052 LWN983053:LWQ983066 MGJ2 MGJ8:MGJ12 MGJ13:MGM26 MGJ65538 MGJ65544:MGJ65548 MGJ65549:MGM65562 MGJ131074 MGJ131080:MGJ131084 MGJ131085:MGM131098 MGJ196610 MGJ196616:MGJ196620 MGJ196621:MGM196634 MGJ262146 MGJ262152:MGJ262156 MGJ262157:MGM262170 MGJ327682 MGJ327688:MGJ327692 MGJ327693:MGM327706 MGJ393218 MGJ393224:MGJ393228 MGJ393229:MGM393242 MGJ458754 MGJ458760:MGJ458764 MGJ458765:MGM458778 MGJ524290 MGJ524296:MGJ524300 MGJ524301:MGM524314 MGJ589826 MGJ589832:MGJ589836 MGJ589837:MGM589850 MGJ655362 MGJ655368:MGJ655372 MGJ655373:MGM655386 MGJ720898 MGJ720904:MGJ720908 MGJ720909:MGM720922 MGJ786434 MGJ786440:MGJ786444 MGJ786445:MGM786458 MGJ851970 MGJ851976:MGJ851980 MGJ851981:MGM851994 MGJ917506 MGJ917512:MGJ917516 MGJ917517:MGM917530 MGJ983042 MGJ983048:MGJ983052 MGJ983053:MGM983066 MQF2 MQF8:MQF12 MQF13:MQI26 MQF65538 MQF65544:MQF65548 MQF65549:MQI65562 MQF131074 MQF131080:MQF131084 MQF131085:MQI131098 MQF196610 MQF196616:MQF196620 MQF196621:MQI196634 MQF262146 MQF262152:MQF262156 MQF262157:MQI262170 MQF327682 MQF327688:MQF327692 MQF327693:MQI327706 MQF393218 MQF393224:MQF393228 MQF393229:MQI393242 MQF458754 MQF458760:MQF458764 MQF458765:MQI458778 MQF524290 MQF524296:MQF524300 MQF524301:MQI524314 MQF589826 MQF589832:MQF589836 MQF589837:MQI589850 MQF655362 MQF655368:MQF655372 MQF655373:MQI655386 MQF720898 MQF720904:MQF720908 MQF720909:MQI720922 MQF786434 MQF786440:MQF786444 MQF786445:MQI786458 MQF851970 MQF851976:MQF851980 MQF851981:MQI851994 MQF917506 MQF917512:MQF917516 MQF917517:MQI917530 MQF983042 MQF983048:MQF983052 MQF983053:MQI983066 NAB2 NAB8:NAB12 NAB13:NAE26 NAB65538 NAB65544:NAB65548 NAB65549:NAE65562 NAB131074 NAB131080:NAB131084 NAB131085:NAE131098 NAB196610 NAB196616:NAB196620 NAB196621:NAE196634 NAB262146 NAB262152:NAB262156 NAB262157:NAE262170 NAB327682 NAB327688:NAB327692 NAB327693:NAE327706 NAB393218 NAB393224:NAB393228 NAB393229:NAE393242 NAB458754 NAB458760:NAB458764 NAB458765:NAE458778 NAB524290 NAB524296:NAB524300 NAB524301:NAE524314 NAB589826 NAB589832:NAB589836 NAB589837:NAE589850 NAB655362 NAB655368:NAB655372 NAB655373:NAE655386 NAB720898 NAB720904:NAB720908 NAB720909:NAE720922 NAB786434 NAB786440:NAB786444 NAB786445:NAE786458 NAB851970 NAB851976:NAB851980 NAB851981:NAE851994 NAB917506 NAB917512:NAB917516 NAB917517:NAE917530 NAB983042 NAB983048:NAB983052 NAB983053:NAE983066 NJX2 NJX8:NJX12 NJX13:NKA26 NJX65538 NJX65544:NJX65548 NJX65549:NKA65562 NJX131074 NJX131080:NJX131084 NJX131085:NKA131098 NJX196610 NJX196616:NJX196620 NJX196621:NKA196634 NJX262146 NJX262152:NJX262156 NJX262157:NKA262170 NJX327682 NJX327688:NJX327692 NJX327693:NKA327706 NJX393218 NJX393224:NJX393228 NJX393229:NKA393242 NJX458754 NJX458760:NJX458764 NJX458765:NKA458778 NJX524290 NJX524296:NJX524300 NJX524301:NKA524314 NJX589826 NJX589832:NJX589836 NJX589837:NKA589850 NJX655362 NJX655368:NJX655372 NJX655373:NKA655386 NJX720898 NJX720904:NJX720908 NJX720909:NKA720922 NJX786434 NJX786440:NJX786444 NJX786445:NKA786458 NJX851970 NJX851976:NJX851980 NJX851981:NKA851994 NJX917506 NJX917512:NJX917516 NJX917517:NKA917530 NJX983042 NJX983048:NJX983052 NJX983053:NKA983066 NTT2 NTT8:NTT12 NTT13:NTW26 NTT65538 NTT65544:NTT65548 NTT65549:NTW65562 NTT131074 NTT131080:NTT131084 NTT131085:NTW131098 NTT196610 NTT196616:NTT196620 NTT196621:NTW196634 NTT262146 NTT262152:NTT262156 NTT262157:NTW262170 NTT327682 NTT327688:NTT327692 NTT327693:NTW327706 NTT393218 NTT393224:NTT393228 NTT393229:NTW393242 NTT458754 NTT458760:NTT458764 NTT458765:NTW458778 NTT524290 NTT524296:NTT524300 NTT524301:NTW524314 NTT589826 NTT589832:NTT589836 NTT589837:NTW589850 NTT655362 NTT655368:NTT655372 NTT655373:NTW655386 NTT720898 NTT720904:NTT720908 NTT720909:NTW720922 NTT786434 NTT786440:NTT786444 NTT786445:NTW786458 NTT851970 NTT851976:NTT851980 NTT851981:NTW851994 NTT917506 NTT917512:NTT917516 NTT917517:NTW917530 NTT983042 NTT983048:NTT983052 NTT983053:NTW983066 ODP2 ODP8:ODP12 ODP13:ODS26 ODP65538 ODP65544:ODP65548 ODP65549:ODS65562 ODP131074 ODP131080:ODP131084 ODP131085:ODS131098 ODP196610 ODP196616:ODP196620 ODP196621:ODS196634 ODP262146 ODP262152:ODP262156 ODP262157:ODS262170 ODP327682 ODP327688:ODP327692 ODP327693:ODS327706 ODP393218 ODP393224:ODP393228 ODP393229:ODS393242 ODP458754 ODP458760:ODP458764 ODP458765:ODS458778 ODP524290 ODP524296:ODP524300 ODP524301:ODS524314 ODP589826 ODP589832:ODP589836 ODP589837:ODS589850 ODP655362 ODP655368:ODP655372 ODP655373:ODS655386 ODP720898 ODP720904:ODP720908 ODP720909:ODS720922 ODP786434 ODP786440:ODP786444 ODP786445:ODS786458 ODP851970 ODP851976:ODP851980 ODP851981:ODS851994 ODP917506 ODP917512:ODP917516 ODP917517:ODS917530 ODP983042 ODP983048:ODP983052 ODP983053:ODS983066 ONL2 ONL8:ONL12 ONL13:ONO26 ONL65538 ONL65544:ONL65548 ONL65549:ONO65562 ONL131074 ONL131080:ONL131084 ONL131085:ONO131098 ONL196610 ONL196616:ONL196620 ONL196621:ONO196634 ONL262146 ONL262152:ONL262156 ONL262157:ONO262170 ONL327682 ONL327688:ONL327692 ONL327693:ONO327706 ONL393218 ONL393224:ONL393228 ONL393229:ONO393242 ONL458754 ONL458760:ONL458764 ONL458765:ONO458778 ONL524290 ONL524296:ONL524300 ONL524301:ONO524314 ONL589826 ONL589832:ONL589836 ONL589837:ONO589850 ONL655362 ONL655368:ONL655372 ONL655373:ONO655386 ONL720898 ONL720904:ONL720908 ONL720909:ONO720922 ONL786434 ONL786440:ONL786444 ONL786445:ONO786458 ONL851970 ONL851976:ONL851980 ONL851981:ONO851994 ONL917506 ONL917512:ONL917516 ONL917517:ONO917530 ONL983042 ONL983048:ONL983052 ONL983053:ONO983066 OXH2 OXH8:OXH12 OXH13:OXK26 OXH65538 OXH65544:OXH65548 OXH65549:OXK65562 OXH131074 OXH131080:OXH131084 OXH131085:OXK131098 OXH196610 OXH196616:OXH196620 OXH196621:OXK196634 OXH262146 OXH262152:OXH262156 OXH262157:OXK262170 OXH327682 OXH327688:OXH327692 OXH327693:OXK327706 OXH393218 OXH393224:OXH393228 OXH393229:OXK393242 OXH458754 OXH458760:OXH458764 OXH458765:OXK458778 OXH524290 OXH524296:OXH524300 OXH524301:OXK524314 OXH589826 OXH589832:OXH589836 OXH589837:OXK589850 OXH655362 OXH655368:OXH655372 OXH655373:OXK655386 OXH720898 OXH720904:OXH720908 OXH720909:OXK720922 OXH786434 OXH786440:OXH786444 OXH786445:OXK786458 OXH851970 OXH851976:OXH851980 OXH851981:OXK851994 OXH917506 OXH917512:OXH917516 OXH917517:OXK917530 OXH983042 OXH983048:OXH983052 OXH983053:OXK983066 PHD2 PHD8:PHD12 PHD13:PHG26 PHD65538 PHD65544:PHD65548 PHD65549:PHG65562 PHD131074 PHD131080:PHD131084 PHD131085:PHG131098 PHD196610 PHD196616:PHD196620 PHD196621:PHG196634 PHD262146 PHD262152:PHD262156 PHD262157:PHG262170 PHD327682 PHD327688:PHD327692 PHD327693:PHG327706 PHD393218 PHD393224:PHD393228 PHD393229:PHG393242 PHD458754 PHD458760:PHD458764 PHD458765:PHG458778 PHD524290 PHD524296:PHD524300 PHD524301:PHG524314 PHD589826 PHD589832:PHD589836 PHD589837:PHG589850 PHD655362 PHD655368:PHD655372 PHD655373:PHG655386 PHD720898 PHD720904:PHD720908 PHD720909:PHG720922 PHD786434 PHD786440:PHD786444 PHD786445:PHG786458 PHD851970 PHD851976:PHD851980 PHD851981:PHG851994 PHD917506 PHD917512:PHD917516 PHD917517:PHG917530 PHD983042 PHD983048:PHD983052 PHD983053:PHG983066 PQZ2 PQZ8:PQZ12 PQZ13:PRC26 PQZ65538 PQZ65544:PQZ65548 PQZ65549:PRC65562 PQZ131074 PQZ131080:PQZ131084 PQZ131085:PRC131098 PQZ196610 PQZ196616:PQZ196620 PQZ196621:PRC196634 PQZ262146 PQZ262152:PQZ262156 PQZ262157:PRC262170 PQZ327682 PQZ327688:PQZ327692 PQZ327693:PRC327706 PQZ393218 PQZ393224:PQZ393228 PQZ393229:PRC393242 PQZ458754 PQZ458760:PQZ458764 PQZ458765:PRC458778 PQZ524290 PQZ524296:PQZ524300 PQZ524301:PRC524314 PQZ589826 PQZ589832:PQZ589836 PQZ589837:PRC589850 PQZ655362 PQZ655368:PQZ655372 PQZ655373:PRC655386 PQZ720898 PQZ720904:PQZ720908 PQZ720909:PRC720922 PQZ786434 PQZ786440:PQZ786444 PQZ786445:PRC786458 PQZ851970 PQZ851976:PQZ851980 PQZ851981:PRC851994 PQZ917506 PQZ917512:PQZ917516 PQZ917517:PRC917530 PQZ983042 PQZ983048:PQZ983052 PQZ983053:PRC983066 QAV2 QAV8:QAV12 QAV13:QAY26 QAV65538 QAV65544:QAV65548 QAV65549:QAY65562 QAV131074 QAV131080:QAV131084 QAV131085:QAY131098 QAV196610 QAV196616:QAV196620 QAV196621:QAY196634 QAV262146 QAV262152:QAV262156 QAV262157:QAY262170 QAV327682 QAV327688:QAV327692 QAV327693:QAY327706 QAV393218 QAV393224:QAV393228 QAV393229:QAY393242 QAV458754 QAV458760:QAV458764 QAV458765:QAY458778 QAV524290 QAV524296:QAV524300 QAV524301:QAY524314 QAV589826 QAV589832:QAV589836 QAV589837:QAY589850 QAV655362 QAV655368:QAV655372 QAV655373:QAY655386 QAV720898 QAV720904:QAV720908 QAV720909:QAY720922 QAV786434 QAV786440:QAV786444 QAV786445:QAY786458 QAV851970 QAV851976:QAV851980 QAV851981:QAY851994 QAV917506 QAV917512:QAV917516 QAV917517:QAY917530 QAV983042 QAV983048:QAV983052 QAV983053:QAY983066 QKR2 QKR8:QKR12 QKR13:QKU26 QKR65538 QKR65544:QKR65548 QKR65549:QKU65562 QKR131074 QKR131080:QKR131084 QKR131085:QKU131098 QKR196610 QKR196616:QKR196620 QKR196621:QKU196634 QKR262146 QKR262152:QKR262156 QKR262157:QKU262170 QKR327682 QKR327688:QKR327692 QKR327693:QKU327706 QKR393218 QKR393224:QKR393228 QKR393229:QKU393242 QKR458754 QKR458760:QKR458764 QKR458765:QKU458778 QKR524290 QKR524296:QKR524300 QKR524301:QKU524314 QKR589826 QKR589832:QKR589836 QKR589837:QKU589850 QKR655362 QKR655368:QKR655372 QKR655373:QKU655386 QKR720898 QKR720904:QKR720908 QKR720909:QKU720922 QKR786434 QKR786440:QKR786444 QKR786445:QKU786458 QKR851970 QKR851976:QKR851980 QKR851981:QKU851994 QKR917506 QKR917512:QKR917516 QKR917517:QKU917530 QKR983042 QKR983048:QKR983052 QKR983053:QKU983066 QUN2 QUN8:QUN12 QUN13:QUQ26 QUN65538 QUN65544:QUN65548 QUN65549:QUQ65562 QUN131074 QUN131080:QUN131084 QUN131085:QUQ131098 QUN196610 QUN196616:QUN196620 QUN196621:QUQ196634 QUN262146 QUN262152:QUN262156 QUN262157:QUQ262170 QUN327682 QUN327688:QUN327692 QUN327693:QUQ327706 QUN393218 QUN393224:QUN393228 QUN393229:QUQ393242 QUN458754 QUN458760:QUN458764 QUN458765:QUQ458778 QUN524290 QUN524296:QUN524300 QUN524301:QUQ524314 QUN589826 QUN589832:QUN589836 QUN589837:QUQ589850 QUN655362 QUN655368:QUN655372 QUN655373:QUQ655386 QUN720898 QUN720904:QUN720908 QUN720909:QUQ720922 QUN786434 QUN786440:QUN786444 QUN786445:QUQ786458 QUN851970 QUN851976:QUN851980 QUN851981:QUQ851994 QUN917506 QUN917512:QUN917516 QUN917517:QUQ917530 QUN983042 QUN983048:QUN983052 QUN983053:QUQ983066 REJ2 REJ8:REJ12 REJ13:REM26 REJ65538 REJ65544:REJ65548 REJ65549:REM65562 REJ131074 REJ131080:REJ131084 REJ131085:REM131098 REJ196610 REJ196616:REJ196620 REJ196621:REM196634 REJ262146 REJ262152:REJ262156 REJ262157:REM262170 REJ327682 REJ327688:REJ327692 REJ327693:REM327706 REJ393218 REJ393224:REJ393228 REJ393229:REM393242 REJ458754 REJ458760:REJ458764 REJ458765:REM458778 REJ524290 REJ524296:REJ524300 REJ524301:REM524314 REJ589826 REJ589832:REJ589836 REJ589837:REM589850 REJ655362 REJ655368:REJ655372 REJ655373:REM655386 REJ720898 REJ720904:REJ720908 REJ720909:REM720922 REJ786434 REJ786440:REJ786444 REJ786445:REM786458 REJ851970 REJ851976:REJ851980 REJ851981:REM851994 REJ917506 REJ917512:REJ917516 REJ917517:REM917530 REJ983042 REJ983048:REJ983052 REJ983053:REM983066 ROF2 ROF8:ROF12 ROF13:ROI26 ROF65538 ROF65544:ROF65548 ROF65549:ROI65562 ROF131074 ROF131080:ROF131084 ROF131085:ROI131098 ROF196610 ROF196616:ROF196620 ROF196621:ROI196634 ROF262146 ROF262152:ROF262156 ROF262157:ROI262170 ROF327682 ROF327688:ROF327692 ROF327693:ROI327706 ROF393218 ROF393224:ROF393228 ROF393229:ROI393242 ROF458754 ROF458760:ROF458764 ROF458765:ROI458778 ROF524290 ROF524296:ROF524300 ROF524301:ROI524314 ROF589826 ROF589832:ROF589836 ROF589837:ROI589850 ROF655362 ROF655368:ROF655372 ROF655373:ROI655386 ROF720898 ROF720904:ROF720908 ROF720909:ROI720922 ROF786434 ROF786440:ROF786444 ROF786445:ROI786458 ROF851970 ROF851976:ROF851980 ROF851981:ROI851994 ROF917506 ROF917512:ROF917516 ROF917517:ROI917530 ROF983042 ROF983048:ROF983052 ROF983053:ROI983066 RYB2 RYB8:RYB12 RYB13:RYE26 RYB65538 RYB65544:RYB65548 RYB65549:RYE65562 RYB131074 RYB131080:RYB131084 RYB131085:RYE131098 RYB196610 RYB196616:RYB196620 RYB196621:RYE196634 RYB262146 RYB262152:RYB262156 RYB262157:RYE262170 RYB327682 RYB327688:RYB327692 RYB327693:RYE327706 RYB393218 RYB393224:RYB393228 RYB393229:RYE393242 RYB458754 RYB458760:RYB458764 RYB458765:RYE458778 RYB524290 RYB524296:RYB524300 RYB524301:RYE524314 RYB589826 RYB589832:RYB589836 RYB589837:RYE589850 RYB655362 RYB655368:RYB655372 RYB655373:RYE655386 RYB720898 RYB720904:RYB720908 RYB720909:RYE720922 RYB786434 RYB786440:RYB786444 RYB786445:RYE786458 RYB851970 RYB851976:RYB851980 RYB851981:RYE851994 RYB917506 RYB917512:RYB917516 RYB917517:RYE917530 RYB983042 RYB983048:RYB983052 RYB983053:RYE983066 SHX2 SHX8:SHX12 SHX13:SIA26 SHX65538 SHX65544:SHX65548 SHX65549:SIA65562 SHX131074 SHX131080:SHX131084 SHX131085:SIA131098 SHX196610 SHX196616:SHX196620 SHX196621:SIA196634 SHX262146 SHX262152:SHX262156 SHX262157:SIA262170 SHX327682 SHX327688:SHX327692 SHX327693:SIA327706 SHX393218 SHX393224:SHX393228 SHX393229:SIA393242 SHX458754 SHX458760:SHX458764 SHX458765:SIA458778 SHX524290 SHX524296:SHX524300 SHX524301:SIA524314 SHX589826 SHX589832:SHX589836 SHX589837:SIA589850 SHX655362 SHX655368:SHX655372 SHX655373:SIA655386 SHX720898 SHX720904:SHX720908 SHX720909:SIA720922 SHX786434 SHX786440:SHX786444 SHX786445:SIA786458 SHX851970 SHX851976:SHX851980 SHX851981:SIA851994 SHX917506 SHX917512:SHX917516 SHX917517:SIA917530 SHX983042 SHX983048:SHX983052 SHX983053:SIA983066 SRT2 SRT8:SRT12 SRT13:SRW26 SRT65538 SRT65544:SRT65548 SRT65549:SRW65562 SRT131074 SRT131080:SRT131084 SRT131085:SRW131098 SRT196610 SRT196616:SRT196620 SRT196621:SRW196634 SRT262146 SRT262152:SRT262156 SRT262157:SRW262170 SRT327682 SRT327688:SRT327692 SRT327693:SRW327706 SRT393218 SRT393224:SRT393228 SRT393229:SRW393242 SRT458754 SRT458760:SRT458764 SRT458765:SRW458778 SRT524290 SRT524296:SRT524300 SRT524301:SRW524314 SRT589826 SRT589832:SRT589836 SRT589837:SRW589850 SRT655362 SRT655368:SRT655372 SRT655373:SRW655386 SRT720898 SRT720904:SRT720908 SRT720909:SRW720922 SRT786434 SRT786440:SRT786444 SRT786445:SRW786458 SRT851970 SRT851976:SRT851980 SRT851981:SRW851994 SRT917506 SRT917512:SRT917516 SRT917517:SRW917530 SRT983042 SRT983048:SRT983052 SRT983053:SRW983066 TBP2 TBP8:TBP12 TBP13:TBS26 TBP65538 TBP65544:TBP65548 TBP65549:TBS65562 TBP131074 TBP131080:TBP131084 TBP131085:TBS131098 TBP196610 TBP196616:TBP196620 TBP196621:TBS196634 TBP262146 TBP262152:TBP262156 TBP262157:TBS262170 TBP327682 TBP327688:TBP327692 TBP327693:TBS327706 TBP393218 TBP393224:TBP393228 TBP393229:TBS393242 TBP458754 TBP458760:TBP458764 TBP458765:TBS458778 TBP524290 TBP524296:TBP524300 TBP524301:TBS524314 TBP589826 TBP589832:TBP589836 TBP589837:TBS589850 TBP655362 TBP655368:TBP655372 TBP655373:TBS655386 TBP720898 TBP720904:TBP720908 TBP720909:TBS720922 TBP786434 TBP786440:TBP786444 TBP786445:TBS786458 TBP851970 TBP851976:TBP851980 TBP851981:TBS851994 TBP917506 TBP917512:TBP917516 TBP917517:TBS917530 TBP983042 TBP983048:TBP983052 TBP983053:TBS983066 TLL2 TLL8:TLL12 TLL13:TLO26 TLL65538 TLL65544:TLL65548 TLL65549:TLO65562 TLL131074 TLL131080:TLL131084 TLL131085:TLO131098 TLL196610 TLL196616:TLL196620 TLL196621:TLO196634 TLL262146 TLL262152:TLL262156 TLL262157:TLO262170 TLL327682 TLL327688:TLL327692 TLL327693:TLO327706 TLL393218 TLL393224:TLL393228 TLL393229:TLO393242 TLL458754 TLL458760:TLL458764 TLL458765:TLO458778 TLL524290 TLL524296:TLL524300 TLL524301:TLO524314 TLL589826 TLL589832:TLL589836 TLL589837:TLO589850 TLL655362 TLL655368:TLL655372 TLL655373:TLO655386 TLL720898 TLL720904:TLL720908 TLL720909:TLO720922 TLL786434 TLL786440:TLL786444 TLL786445:TLO786458 TLL851970 TLL851976:TLL851980 TLL851981:TLO851994 TLL917506 TLL917512:TLL917516 TLL917517:TLO917530 TLL983042 TLL983048:TLL983052 TLL983053:TLO983066 TVH2 TVH8:TVH12 TVH13:TVK26 TVH65538 TVH65544:TVH65548 TVH65549:TVK65562 TVH131074 TVH131080:TVH131084 TVH131085:TVK131098 TVH196610 TVH196616:TVH196620 TVH196621:TVK196634 TVH262146 TVH262152:TVH262156 TVH262157:TVK262170 TVH327682 TVH327688:TVH327692 TVH327693:TVK327706 TVH393218 TVH393224:TVH393228 TVH393229:TVK393242 TVH458754 TVH458760:TVH458764 TVH458765:TVK458778 TVH524290 TVH524296:TVH524300 TVH524301:TVK524314 TVH589826 TVH589832:TVH589836 TVH589837:TVK589850 TVH655362 TVH655368:TVH655372 TVH655373:TVK655386 TVH720898 TVH720904:TVH720908 TVH720909:TVK720922 TVH786434 TVH786440:TVH786444 TVH786445:TVK786458 TVH851970 TVH851976:TVH851980 TVH851981:TVK851994 TVH917506 TVH917512:TVH917516 TVH917517:TVK917530 TVH983042 TVH983048:TVH983052 TVH983053:TVK983066 UFD2 UFD8:UFD12 UFD13:UFG26 UFD65538 UFD65544:UFD65548 UFD65549:UFG65562 UFD131074 UFD131080:UFD131084 UFD131085:UFG131098 UFD196610 UFD196616:UFD196620 UFD196621:UFG196634 UFD262146 UFD262152:UFD262156 UFD262157:UFG262170 UFD327682 UFD327688:UFD327692 UFD327693:UFG327706 UFD393218 UFD393224:UFD393228 UFD393229:UFG393242 UFD458754 UFD458760:UFD458764 UFD458765:UFG458778 UFD524290 UFD524296:UFD524300 UFD524301:UFG524314 UFD589826 UFD589832:UFD589836 UFD589837:UFG589850 UFD655362 UFD655368:UFD655372 UFD655373:UFG655386 UFD720898 UFD720904:UFD720908 UFD720909:UFG720922 UFD786434 UFD786440:UFD786444 UFD786445:UFG786458 UFD851970 UFD851976:UFD851980 UFD851981:UFG851994 UFD917506 UFD917512:UFD917516 UFD917517:UFG917530 UFD983042 UFD983048:UFD983052 UFD983053:UFG983066 UOZ2 UOZ8:UOZ12 UOZ13:UPC26 UOZ65538 UOZ65544:UOZ65548 UOZ65549:UPC65562 UOZ131074 UOZ131080:UOZ131084 UOZ131085:UPC131098 UOZ196610 UOZ196616:UOZ196620 UOZ196621:UPC196634 UOZ262146 UOZ262152:UOZ262156 UOZ262157:UPC262170 UOZ327682 UOZ327688:UOZ327692 UOZ327693:UPC327706 UOZ393218 UOZ393224:UOZ393228 UOZ393229:UPC393242 UOZ458754 UOZ458760:UOZ458764 UOZ458765:UPC458778 UOZ524290 UOZ524296:UOZ524300 UOZ524301:UPC524314 UOZ589826 UOZ589832:UOZ589836 UOZ589837:UPC589850 UOZ655362 UOZ655368:UOZ655372 UOZ655373:UPC655386 UOZ720898 UOZ720904:UOZ720908 UOZ720909:UPC720922 UOZ786434 UOZ786440:UOZ786444 UOZ786445:UPC786458 UOZ851970 UOZ851976:UOZ851980 UOZ851981:UPC851994 UOZ917506 UOZ917512:UOZ917516 UOZ917517:UPC917530 UOZ983042 UOZ983048:UOZ983052 UOZ983053:UPC983066 UYV2 UYV8:UYV12 UYV13:UYY26 UYV65538 UYV65544:UYV65548 UYV65549:UYY65562 UYV131074 UYV131080:UYV131084 UYV131085:UYY131098 UYV196610 UYV196616:UYV196620 UYV196621:UYY196634 UYV262146 UYV262152:UYV262156 UYV262157:UYY262170 UYV327682 UYV327688:UYV327692 UYV327693:UYY327706 UYV393218 UYV393224:UYV393228 UYV393229:UYY393242 UYV458754 UYV458760:UYV458764 UYV458765:UYY458778 UYV524290 UYV524296:UYV524300 UYV524301:UYY524314 UYV589826 UYV589832:UYV589836 UYV589837:UYY589850 UYV655362 UYV655368:UYV655372 UYV655373:UYY655386 UYV720898 UYV720904:UYV720908 UYV720909:UYY720922 UYV786434 UYV786440:UYV786444 UYV786445:UYY786458 UYV851970 UYV851976:UYV851980 UYV851981:UYY851994 UYV917506 UYV917512:UYV917516 UYV917517:UYY917530 UYV983042 UYV983048:UYV983052 UYV983053:UYY983066 VIR2 VIR8:VIR12 VIR13:VIU26 VIR65538 VIR65544:VIR65548 VIR65549:VIU65562 VIR131074 VIR131080:VIR131084 VIR131085:VIU131098 VIR196610 VIR196616:VIR196620 VIR196621:VIU196634 VIR262146 VIR262152:VIR262156 VIR262157:VIU262170 VIR327682 VIR327688:VIR327692 VIR327693:VIU327706 VIR393218 VIR393224:VIR393228 VIR393229:VIU393242 VIR458754 VIR458760:VIR458764 VIR458765:VIU458778 VIR524290 VIR524296:VIR524300 VIR524301:VIU524314 VIR589826 VIR589832:VIR589836 VIR589837:VIU589850 VIR655362 VIR655368:VIR655372 VIR655373:VIU655386 VIR720898 VIR720904:VIR720908 VIR720909:VIU720922 VIR786434 VIR786440:VIR786444 VIR786445:VIU786458 VIR851970 VIR851976:VIR851980 VIR851981:VIU851994 VIR917506 VIR917512:VIR917516 VIR917517:VIU917530 VIR983042 VIR983048:VIR983052 VIR983053:VIU983066 VSN2 VSN8:VSN12 VSN13:VSQ26 VSN65538 VSN65544:VSN65548 VSN65549:VSQ65562 VSN131074 VSN131080:VSN131084 VSN131085:VSQ131098 VSN196610 VSN196616:VSN196620 VSN196621:VSQ196634 VSN262146 VSN262152:VSN262156 VSN262157:VSQ262170 VSN327682 VSN327688:VSN327692 VSN327693:VSQ327706 VSN393218 VSN393224:VSN393228 VSN393229:VSQ393242 VSN458754 VSN458760:VSN458764 VSN458765:VSQ458778 VSN524290 VSN524296:VSN524300 VSN524301:VSQ524314 VSN589826 VSN589832:VSN589836 VSN589837:VSQ589850 VSN655362 VSN655368:VSN655372 VSN655373:VSQ655386 VSN720898 VSN720904:VSN720908 VSN720909:VSQ720922 VSN786434 VSN786440:VSN786444 VSN786445:VSQ786458 VSN851970 VSN851976:VSN851980 VSN851981:VSQ851994 VSN917506 VSN917512:VSN917516 VSN917517:VSQ917530 VSN983042 VSN983048:VSN983052 VSN983053:VSQ983066 WCJ2 WCJ8:WCJ12 WCJ13:WCM26 WCJ65538 WCJ65544:WCJ65548 WCJ65549:WCM65562 WCJ131074 WCJ131080:WCJ131084 WCJ131085:WCM131098 WCJ196610 WCJ196616:WCJ196620 WCJ196621:WCM196634 WCJ262146 WCJ262152:WCJ262156 WCJ262157:WCM262170 WCJ327682 WCJ327688:WCJ327692 WCJ327693:WCM327706 WCJ393218 WCJ393224:WCJ393228 WCJ393229:WCM393242 WCJ458754 WCJ458760:WCJ458764 WCJ458765:WCM458778 WCJ524290 WCJ524296:WCJ524300 WCJ524301:WCM524314 WCJ589826 WCJ589832:WCJ589836 WCJ589837:WCM589850 WCJ655362 WCJ655368:WCJ655372 WCJ655373:WCM655386 WCJ720898 WCJ720904:WCJ720908 WCJ720909:WCM720922 WCJ786434 WCJ786440:WCJ786444 WCJ786445:WCM786458 WCJ851970 WCJ851976:WCJ851980 WCJ851981:WCM851994 WCJ917506 WCJ917512:WCJ917516 WCJ917517:WCM917530 WCJ983042 WCJ983048:WCJ983052 WCJ983053:WCM983066 WMF2 WMF8:WMF12 WMF13:WMI26 WMF65538 WMF65544:WMF65548 WMF65549:WMI65562 WMF131074 WMF131080:WMF131084 WMF131085:WMI131098 WMF196610 WMF196616:WMF196620 WMF196621:WMI196634 WMF262146 WMF262152:WMF262156 WMF262157:WMI262170 WMF327682 WMF327688:WMF327692 WMF327693:WMI327706 WMF393218 WMF393224:WMF393228 WMF393229:WMI393242 WMF458754 WMF458760:WMF458764 WMF458765:WMI458778 WMF524290 WMF524296:WMF524300 WMF524301:WMI524314 WMF589826 WMF589832:WMF589836 WMF589837:WMI589850 WMF655362 WMF655368:WMF655372 WMF655373:WMI655386 WMF720898 WMF720904:WMF720908 WMF720909:WMI720922 WMF786434 WMF786440:WMF786444 WMF786445:WMI786458 WMF851970 WMF851976:WMF851980 WMF851981:WMI851994 WMF917506 WMF917512:WMF917516 WMF917517:WMI917530 WMF983042 WMF983048:WMF983052 WMF983053:WMI983066 WWB2 WWB8:WWB12 WWB13:WWE26 WWB65538 WWB65544:WWB65548 WWB65549:WWE65562 WWB131074 WWB131080:WWB131084 WWB131085:WWE131098 WWB196610 WWB196616:WWB196620 WWB196621:WWE196634 WWB262146 WWB262152:WWB262156 WWB262157:WWE262170 WWB327682 WWB327688:WWB327692 WWB327693:WWE327706 WWB393218 WWB393224:WWB393228 WWB393229:WWE393242 WWB458754 WWB458760:WWB458764 WWB458765:WWE458778 WWB524290 WWB524296:WWB524300 WWB524301:WWE524314 WWB589826 WWB589832:WWB589836 WWB589837:WWE589850 WWB655362 WWB655368:WWB655372 WWB655373:WWE655386 WWB720898 WWB720904:WWB720908 WWB720909:WWE720922 WWB786434 WWB786440:WWB786444 WWB786445:WWE786458 WWB851970 WWB851976:WWB851980 WWB851981:WWE851994 WWB917506 WWB917512:WWB917516 WWB917517:WWE917530 WWB983042 WWB983048:WWB983052 WWB983053:WWE983066" xr:uid="{00000000-0002-0000-0900-00001B000000}"/>
  </dataValidations>
  <printOptions horizontalCentered="1" verticalCentered="1"/>
  <pageMargins left="0.78740157480314965" right="0.78740157480314965" top="0.98425196850393704" bottom="0.98425196850393704" header="0.51181102362204722" footer="0.51181102362204722"/>
  <pageSetup paperSize="9" scale="41" orientation="landscape" r:id="rId1"/>
  <headerFooter alignWithMargins="0">
    <oddHeader>&amp;L&amp;C&amp;R</oddHeader>
    <oddFooter>&amp;L&amp;D&amp;C&amp;F&amp;RSeite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78</vt:i4>
      </vt:variant>
    </vt:vector>
  </HeadingPairs>
  <TitlesOfParts>
    <vt:vector size="78" baseType="lpstr">
      <vt:lpstr>Intro</vt:lpstr>
      <vt:lpstr>Bill-of-Materials_c-Si</vt:lpstr>
      <vt:lpstr>Bill-of-Materials_CdTe</vt:lpstr>
      <vt:lpstr>X-NF3</vt:lpstr>
      <vt:lpstr>X-NF3-wastewater</vt:lpstr>
      <vt:lpstr>X-fluor</vt:lpstr>
      <vt:lpstr>X-PVB foil</vt:lpstr>
      <vt:lpstr>X-PVB</vt:lpstr>
      <vt:lpstr>X-PVA</vt:lpstr>
      <vt:lpstr>X-emulsion polymerisation</vt:lpstr>
      <vt:lpstr>X-silane</vt:lpstr>
      <vt:lpstr>X-MG-Si</vt:lpstr>
      <vt:lpstr>X-SoG-Si</vt:lpstr>
      <vt:lpstr>X-Si-Market</vt:lpstr>
      <vt:lpstr>X-single-Si-ingots</vt:lpstr>
      <vt:lpstr>X-mc-Si</vt:lpstr>
      <vt:lpstr>X-single-Si-brick</vt:lpstr>
      <vt:lpstr>X-silicon-factory</vt:lpstr>
      <vt:lpstr>X-factory-ancillary-building</vt:lpstr>
      <vt:lpstr>X-wafer-factory</vt:lpstr>
      <vt:lpstr>X-wafer_mono-Si</vt:lpstr>
      <vt:lpstr>X-wafer-market</vt:lpstr>
      <vt:lpstr>X-paste</vt:lpstr>
      <vt:lpstr>X-cell-factory</vt:lpstr>
      <vt:lpstr>X-cell_mono-Si_TOPCon</vt:lpstr>
      <vt:lpstr>X-cell_mono-Si_PERC</vt:lpstr>
      <vt:lpstr>X-cell-market</vt:lpstr>
      <vt:lpstr>X-panel-factory</vt:lpstr>
      <vt:lpstr>X-panel_mono-Si_TOPCon</vt:lpstr>
      <vt:lpstr>X-panel_mono-Si_PERC</vt:lpstr>
      <vt:lpstr>X-panel-market-RER</vt:lpstr>
      <vt:lpstr>X-panel-market-US</vt:lpstr>
      <vt:lpstr>X-panel-market-APAC</vt:lpstr>
      <vt:lpstr>cSi-Production-2024</vt:lpstr>
      <vt:lpstr>X-CdTe (Series 6)</vt:lpstr>
      <vt:lpstr>X-CdTe (Series 7)</vt:lpstr>
      <vt:lpstr>X-CdTe-RER</vt:lpstr>
      <vt:lpstr>X-CdTe-US</vt:lpstr>
      <vt:lpstr>X-perovskite</vt:lpstr>
      <vt:lpstr>X-methyl-iodide</vt:lpstr>
      <vt:lpstr>X-iodine</vt:lpstr>
      <vt:lpstr>X-ethylene-bromide</vt:lpstr>
      <vt:lpstr>X-bromine</vt:lpstr>
      <vt:lpstr>X-Recycling-cSi</vt:lpstr>
      <vt:lpstr>X-AvoidedBurden-cSi</vt:lpstr>
      <vt:lpstr>X-Treatment-cSi</vt:lpstr>
      <vt:lpstr>X-Recycling-CdTe</vt:lpstr>
      <vt:lpstr>X-AvoidedBurden-CdTe</vt:lpstr>
      <vt:lpstr>X-Treatment-CdTe</vt:lpstr>
      <vt:lpstr>X-Montage</vt:lpstr>
      <vt:lpstr>X-Montage-utility</vt:lpstr>
      <vt:lpstr>X-electric</vt:lpstr>
      <vt:lpstr>X-electric-utility</vt:lpstr>
      <vt:lpstr>X-inverter</vt:lpstr>
      <vt:lpstr>X-transformer-utility</vt:lpstr>
      <vt:lpstr>X-singleSi-plants-GLO</vt:lpstr>
      <vt:lpstr>X-singleSi-plants-RER</vt:lpstr>
      <vt:lpstr>X-singleSi-plants-US</vt:lpstr>
      <vt:lpstr>X-singleSi-plants-APAC</vt:lpstr>
      <vt:lpstr>X-singleSi-plants-CN</vt:lpstr>
      <vt:lpstr>X-multiSi-plants-GLO</vt:lpstr>
      <vt:lpstr>X-multiSi-plants-RER</vt:lpstr>
      <vt:lpstr>X-multiSi-plants-US</vt:lpstr>
      <vt:lpstr>X-multiSi-plants-APAC</vt:lpstr>
      <vt:lpstr>X-multiSi-plants-CN</vt:lpstr>
      <vt:lpstr>X-CdTe-plants-GLO</vt:lpstr>
      <vt:lpstr>X-CdTe-plants-RER</vt:lpstr>
      <vt:lpstr>electricity-mixes-data</vt:lpstr>
      <vt:lpstr>electricity-mixes-shares</vt:lpstr>
      <vt:lpstr>X-elec-CH_production-mix</vt:lpstr>
      <vt:lpstr>X-elec-REF</vt:lpstr>
      <vt:lpstr>X-elec-RER</vt:lpstr>
      <vt:lpstr>X-elec-Americas</vt:lpstr>
      <vt:lpstr>X-elec-APAC</vt:lpstr>
      <vt:lpstr>X-elec-CN</vt:lpstr>
      <vt:lpstr>X-Process</vt:lpstr>
      <vt:lpstr>X-Source</vt:lpstr>
      <vt:lpstr>X-Person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Life Cycle Inventories of Photovoltaic Systems</dc:title>
  <dc:subject/>
  <dc:creator>goem@zhaw.ch;deub@zhaw.ch;stck@zhaw.ch</dc:creator>
  <cp:keywords/>
  <dc:description/>
  <cp:lastModifiedBy>Stucki Matthias (stck)</cp:lastModifiedBy>
  <cp:revision/>
  <dcterms:created xsi:type="dcterms:W3CDTF">2000-03-31T13:47:06Z</dcterms:created>
  <dcterms:modified xsi:type="dcterms:W3CDTF">2026-07-09T08:05:50Z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0d9bad3-6dac-4e9a-89a3-89f3b8d247b2_Enabled">
    <vt:lpwstr>true</vt:lpwstr>
  </property>
  <property fmtid="{D5CDD505-2E9C-101B-9397-08002B2CF9AE}" pid="3" name="MSIP_Label_10d9bad3-6dac-4e9a-89a3-89f3b8d247b2_SetDate">
    <vt:lpwstr>2023-05-15T11:17:45Z</vt:lpwstr>
  </property>
  <property fmtid="{D5CDD505-2E9C-101B-9397-08002B2CF9AE}" pid="4" name="MSIP_Label_10d9bad3-6dac-4e9a-89a3-89f3b8d247b2_Method">
    <vt:lpwstr>Standard</vt:lpwstr>
  </property>
  <property fmtid="{D5CDD505-2E9C-101B-9397-08002B2CF9AE}" pid="5" name="MSIP_Label_10d9bad3-6dac-4e9a-89a3-89f3b8d247b2_Name">
    <vt:lpwstr>10d9bad3-6dac-4e9a-89a3-89f3b8d247b2</vt:lpwstr>
  </property>
  <property fmtid="{D5CDD505-2E9C-101B-9397-08002B2CF9AE}" pid="6" name="MSIP_Label_10d9bad3-6dac-4e9a-89a3-89f3b8d247b2_SiteId">
    <vt:lpwstr>5d1a9f9d-201f-4a10-b983-451cf65cbc1e</vt:lpwstr>
  </property>
  <property fmtid="{D5CDD505-2E9C-101B-9397-08002B2CF9AE}" pid="7" name="MSIP_Label_10d9bad3-6dac-4e9a-89a3-89f3b8d247b2_ActionId">
    <vt:lpwstr>b4646c1d-f8de-4abf-a78d-b823b7b65e53</vt:lpwstr>
  </property>
  <property fmtid="{D5CDD505-2E9C-101B-9397-08002B2CF9AE}" pid="8" name="MSIP_Label_10d9bad3-6dac-4e9a-89a3-89f3b8d247b2_ContentBits">
    <vt:lpwstr>0</vt:lpwstr>
  </property>
</Properties>
</file>